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<sst xmlns="http://schemas.openxmlformats.org/spreadsheetml/2006/main" count="13377" uniqueCount="13377">
  <si>
    <t>Date Type:</t>
  </si>
  <si>
    <t>Shipped Date</t>
  </si>
  <si>
    <t>Start Date:</t>
  </si>
  <si>
    <t>05/01/2024</t>
  </si>
  <si>
    <t>End Date:</t>
  </si>
  <si>
    <t>11/03/2024</t>
  </si>
  <si>
    <t>Report Run Date:</t>
  </si>
  <si>
    <t>11/06/2024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</si>
  <si>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</si>
  <si>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</si>
  <si>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</si>
  <si>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</si>
  <si>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</si>
  <si>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</si>
  <si>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</si>
  <si>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</si>
  <si>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</si>
  <si>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</si>
  <si>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</si>
  <si>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</si>
  <si>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</si>
  <si>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</si>
  <si>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</si>
  <si>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</si>
  <si>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</si>
  <si>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</si>
  <si>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</si>
  <si>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</si>
  <si>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</si>
  <si>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</si>
  <si>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</si>
  <si>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</si>
  <si>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</si>
  <si>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</si>
  <si>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</si>
  <si>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</si>
  <si>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</si>
  <si>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</si>
  <si>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</si>
  <si>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</si>
  <si>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</si>
  <si>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</si>
  <si>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</si>
  <si>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</si>
  <si>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</si>
  <si>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</si>
  <si>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</si>
  <si>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</si>
  <si>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</si>
  <si>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</si>
  <si>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</si>
  <si>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</si>
  <si>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</si>
  <si>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</si>
  <si>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</si>
  <si>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</si>
  <si>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</si>
  <si>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</si>
  <si>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</si>
  <si>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</si>
  <si>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</si>
  <si>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</si>
  <si>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</si>
  <si>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</si>
  <si>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</si>
  <si>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</si>
  <si>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</si>
  <si>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</si>
  <si>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</si>
  <si>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</si>
  <si>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</si>
  <si>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</si>
  <si>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</si>
  <si>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</si>
  <si>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</si>
  <si>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</si>
  <si>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</si>
  <si>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</si>
  <si>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</si>
  <si>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</si>
  <si>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</si>
  <si>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</si>
  <si>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</si>
  <si>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</si>
  <si>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</si>
  <si>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</si>
  <si>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MP13-3972</t>
  </si>
  <si>
    <t>ADUL</t>
  </si>
  <si>
    <t>Madison Park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</si>
  <si>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</si>
  <si>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</si>
  <si>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</si>
  <si>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</si>
  <si>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</si>
  <si>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</si>
  <si>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</si>
  <si>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Aqua</t>
  </si>
  <si>
    <t>Active</t>
  </si>
  <si>
    <t>A</t>
  </si>
  <si>
    <t>NO</t>
  </si>
  <si>
    <t/>
  </si>
  <si>
    <t>PF002720</t>
  </si>
  <si>
    <t>6</t>
  </si>
  <si>
    <t>Medallion</t>
  </si>
  <si>
    <t>Transitional</t>
  </si>
  <si>
    <t>Traditional|Casual</t>
  </si>
  <si>
    <t>5/10/2017</t>
  </si>
  <si>
    <t>11/26/2024</t>
  </si>
  <si>
    <t>AMAZON,AMAZONDS,ASHFURNDS,BLK01,CSNSTORES,DESINC,FINGERHUTDS,JCPENNEY01,KOHLDSN,MACY02,NRTPORT,OLLIIX,OVERSCONSIGN,OVERSTOCK01,TGTDVS,WALMARTDS</t>
  </si>
  <si>
    <t>Setup</t>
  </si>
  <si>
    <t>Temp Discontinued</t>
  </si>
  <si>
    <t>7/18/2017</t>
  </si>
  <si>
    <t>7/31/2017</t>
  </si>
  <si>
    <t>No</t>
  </si>
  <si>
    <t>MP13-3976</t>
  </si>
  <si>
    <t>Peyton</t>
  </si>
  <si>
    <t>Brenna</t>
  </si>
  <si>
    <t>Natalie</t>
  </si>
  <si>
    <t>Blue</t>
  </si>
  <si>
    <t>B</t>
  </si>
  <si>
    <t>PF002639;PP000923</t>
  </si>
  <si>
    <t>Cottage/Country|Casual</t>
  </si>
  <si>
    <t>5/26/2017</t>
  </si>
  <si>
    <t>11/27/2024</t>
  </si>
  <si>
    <t>AMAZON,AMAZONDS,BLK01,CSNSTORES,JCPENNEY01,KOHLDSN,MACY02,OLLIIX,OVERSTOCK01,TGTDVS,WALMARTDS</t>
  </si>
  <si>
    <t>7/27/2017</t>
  </si>
  <si>
    <t>MP13-4473</t>
  </si>
  <si>
    <t>Yosemite</t>
  </si>
  <si>
    <t>Sequoia</t>
  </si>
  <si>
    <t>Reyes</t>
  </si>
  <si>
    <t>Multi</t>
  </si>
  <si>
    <t>PF002447</t>
  </si>
  <si>
    <t>Southwestern</t>
  </si>
  <si>
    <t>Rustic/Lodge/Cabin</t>
  </si>
  <si>
    <t>6/23/2017</t>
  </si>
  <si>
    <t>11/18/2024</t>
  </si>
  <si>
    <t>AMAZON,AMAZONDS,BEALLSDS,BLK01,CSNSTORES,DESINC,JCPENNEY01,KOHLDSN,MACY02,NRTPORT,OLLIIX,OVERSTOCK01,TGTDVS,WALMARTDS</t>
  </si>
  <si>
    <t>11/23/2017</t>
  </si>
  <si>
    <t>1/5/2018</t>
  </si>
  <si>
    <t>MP13-6472</t>
  </si>
  <si>
    <t>Breanna</t>
  </si>
  <si>
    <t>Levine</t>
  </si>
  <si>
    <t>Miller</t>
  </si>
  <si>
    <t>6 Piece Cotton Daybed Cover Set</t>
  </si>
  <si>
    <t>Khaki</t>
  </si>
  <si>
    <t>PF004099</t>
  </si>
  <si>
    <t>Solid</t>
  </si>
  <si>
    <t>7/29/2019</t>
  </si>
  <si>
    <t>1/29/2025</t>
  </si>
  <si>
    <t>AMAZON,AMAZONDS,BLK01,CSNSTORES,DESINC,JCPENNEY01,KOHLDSN,MACY02,NRTPORT,OLLIIX,OVERSTOCK01,TGTDVS,WALMARTDS</t>
  </si>
  <si>
    <t>12/25/2019</t>
  </si>
  <si>
    <t>5/14/2020</t>
  </si>
  <si>
    <t>MP13-5590</t>
  </si>
  <si>
    <t>Leila</t>
  </si>
  <si>
    <t>Lorilyn</t>
  </si>
  <si>
    <t>Lucita</t>
  </si>
  <si>
    <t>Dark Gray</t>
  </si>
  <si>
    <t>PF004175;PP000845</t>
  </si>
  <si>
    <t>Shabby Chic</t>
  </si>
  <si>
    <t>Modern/Contemporary|Casual</t>
  </si>
  <si>
    <t>3/20/2018</t>
  </si>
  <si>
    <t>AMAZON,AMAZONDS,BLK01,CSNSTORES,JCPENNEY01,KOHLDSN,MACY02,NRTPORT,OVERSTOCK01,TGTDVS,WALMARTDS</t>
  </si>
  <si>
    <t>11/21/2018</t>
  </si>
  <si>
    <t>1/3/2019</t>
  </si>
  <si>
    <t>MP13-5322</t>
  </si>
  <si>
    <t>Sabrina</t>
  </si>
  <si>
    <t>Sarah</t>
  </si>
  <si>
    <t>Amber</t>
  </si>
  <si>
    <t>5 Piece Tufted Cotton Chenille Daybed Set</t>
  </si>
  <si>
    <t>Off-White</t>
  </si>
  <si>
    <t>PF002604;PP000641</t>
  </si>
  <si>
    <t>5</t>
  </si>
  <si>
    <t>Farm House|Cottage/Country</t>
  </si>
  <si>
    <t>11/20/2017</t>
  </si>
  <si>
    <t>12/17/2024</t>
  </si>
  <si>
    <t>ASHFURNDS,BEALLSDS,BLK01,CSNSTORES,JCPENNEY01,KOHLDSN,MACY02,OLLIIX,OVERSTOCK01,TGTDVS,WALMARTDS</t>
  </si>
  <si>
    <t>9/13/2018</t>
  </si>
  <si>
    <t>5/20/2019</t>
  </si>
  <si>
    <t>MP13-3977</t>
  </si>
  <si>
    <t>Quebec</t>
  </si>
  <si>
    <t>Mansfield</t>
  </si>
  <si>
    <t>Vancouver</t>
  </si>
  <si>
    <t>PF002403</t>
  </si>
  <si>
    <t>Casual</t>
  </si>
  <si>
    <t>11/16/2024</t>
  </si>
  <si>
    <t>AMAZON,AMAZONDS,BLK01,CSNSTORES,DESINC,HSNDS,JCPENNEY01,KOHLDSN,MACY02,OLLIIX,OVERSTOCK01,TGTDVS</t>
  </si>
  <si>
    <t>Accepted</t>
  </si>
  <si>
    <t>7/24/2017</t>
  </si>
  <si>
    <t>MP13-3980</t>
  </si>
  <si>
    <t>White</t>
  </si>
  <si>
    <t>PF002406</t>
  </si>
  <si>
    <t>AMAZON,AMAZONDS,BLK01,CSNSTORES,DESINC,HOUZZ,JCPENNEY01,KOHLDSN,MACY02,NRTPORT,OLLIIX,OVERSTOCK01,TGTDVS</t>
  </si>
  <si>
    <t>8/3/2017</t>
  </si>
  <si>
    <t>MP13-8388</t>
  </si>
  <si>
    <t>Ridge</t>
  </si>
  <si>
    <t>Pioneer</t>
  </si>
  <si>
    <t>Warren</t>
  </si>
  <si>
    <t>6 Piece Reversible Plaid Daybed Cover Set</t>
  </si>
  <si>
    <t>Grey</t>
  </si>
  <si>
    <t>PP001537;PF006171</t>
  </si>
  <si>
    <t>Polyester</t>
  </si>
  <si>
    <t>Plaid</t>
  </si>
  <si>
    <t>Lodge/Cabin</t>
  </si>
  <si>
    <t>Casual|Transitional</t>
  </si>
  <si>
    <t>4/5/2024</t>
  </si>
  <si>
    <t>11/29/2024</t>
  </si>
  <si>
    <t>AMAZON,AMAZONDS,BLK01,CSNSTORES,DESINC,HDDS,KOHLDSN,TGTDVS</t>
  </si>
  <si>
    <t>Ready To Offer</t>
  </si>
  <si>
    <t>MP13-8387</t>
  </si>
  <si>
    <t>Neutral</t>
  </si>
  <si>
    <t>PP001537;PF005192</t>
  </si>
  <si>
    <t>AMAZON,AMAZONDS,CSNSTORES,DESINC,HDDS,KOHLDSN,MACY02,NRTPORT,OLLIIX,OVERSTOCK01,TGTDVS</t>
  </si>
  <si>
    <t>MP13-8386</t>
  </si>
  <si>
    <t>Tuscany</t>
  </si>
  <si>
    <t>Marino</t>
  </si>
  <si>
    <t>Genoa</t>
  </si>
  <si>
    <t>6 Piece Reversible Scalloped Edge Daybed Cover Set</t>
  </si>
  <si>
    <t>PF006016;PP001886</t>
  </si>
  <si>
    <t>Microfiber</t>
  </si>
  <si>
    <t>Cottage/Country</t>
  </si>
  <si>
    <t>Shabby Chic|Traditional</t>
  </si>
  <si>
    <t>2/7/2024</t>
  </si>
  <si>
    <t>11/22/2024</t>
  </si>
  <si>
    <t>AMAZON,AMAZONDS,BLK01,CSNSTORES,KOHLDSN,MACY02,NRTPORT,OLLIIX,OVERSTOCK01,TGTDVS</t>
  </si>
  <si>
    <t>MP13-8499</t>
  </si>
  <si>
    <t>TBD</t>
  </si>
  <si>
    <t>PP001886;PF006370</t>
  </si>
  <si>
    <t>Shabby Chic|Transitional</t>
  </si>
  <si>
    <t>8/22/2024</t>
  </si>
  <si>
    <t>AMAZON,AMAZONDS,CSNSTORES,JCPENNEY01,KOHLDSN,MACY02,OVERSTOCK01,TGTDVS</t>
  </si>
  <si>
    <t>Pending</t>
  </si>
  <si>
    <t>MP13-483</t>
  </si>
  <si>
    <t>Coverlet</t>
  </si>
  <si>
    <t>Bayside</t>
  </si>
  <si>
    <t>Nantucket</t>
  </si>
  <si>
    <t>Rockaway</t>
  </si>
  <si>
    <t>Brushed Microfiber Quilt Set with Throw Pillows</t>
  </si>
  <si>
    <t>Twin/Twin XL</t>
  </si>
  <si>
    <t>PF003396;PP000384</t>
  </si>
  <si>
    <t>Coastal</t>
  </si>
  <si>
    <t>4/2/2017</t>
  </si>
  <si>
    <t>11/4/2024</t>
  </si>
  <si>
    <t>AMAZONDS,BEALLSDS,BIGLOTSDS,BLK01,CSNSTORES,HDDS,JCPENNEY01,KOHLDSN,MACY02,OLLIIX,OVERSTOCK01,TGTDVS,WALMARTDS</t>
  </si>
  <si>
    <t>7/30/2016</t>
  </si>
  <si>
    <t>1/5/2015</t>
  </si>
  <si>
    <t>Yes</t>
  </si>
  <si>
    <t>MP13-374</t>
  </si>
  <si>
    <t>Full/Queen</t>
  </si>
  <si>
    <t>AMAZONDS,BEALLSDS,BLK01,CSNSTORES,HDDS,JCPENNEY01,KOHLDSN,MACY02,OLLIIX,OVERSCONSIGN,OVERSTOCK01,TGTDVS,WALMARTDS</t>
  </si>
  <si>
    <t>MP13-2312</t>
  </si>
  <si>
    <t>Lola</t>
  </si>
  <si>
    <t>Brianna</t>
  </si>
  <si>
    <t>Victoria</t>
  </si>
  <si>
    <t>6 Piece Printed Cotton Quilt Set with Throw Pillows</t>
  </si>
  <si>
    <t>Taupe Grey/Purple</t>
  </si>
  <si>
    <t>PF002454;PP000448</t>
  </si>
  <si>
    <t>Floral</t>
  </si>
  <si>
    <t>Farm House|Casual</t>
  </si>
  <si>
    <t>4/6/2017</t>
  </si>
  <si>
    <t>AMAZON,AMAZONDS,BLK01,CSNSTORES,FINGERHUTDS,JCPENNEY01,KOHLDSN,MACY02,NRTPORT,OLLIIX,OVERSTOCK01,TGTDVS,WALMARTDS</t>
  </si>
  <si>
    <t>3/3/2017</t>
  </si>
  <si>
    <t>3/13/2017</t>
  </si>
  <si>
    <t>MP13-6834</t>
  </si>
  <si>
    <t>Grey/Peach</t>
  </si>
  <si>
    <t>PP000448;PF004226</t>
  </si>
  <si>
    <t>1/7/2020</t>
  </si>
  <si>
    <t>12/1/2024</t>
  </si>
  <si>
    <t>AMAZON,AMAZONDS,BLK01,CSNSTORES,DESINC,JCPENNEY01,KOHLDSN,MACY02,OLLIIX,OVERSTOCK01,TGTDVS</t>
  </si>
  <si>
    <t>Offered</t>
  </si>
  <si>
    <t>MP13-6835</t>
  </si>
  <si>
    <t>King/Cal King</t>
  </si>
  <si>
    <t>11/25/2024</t>
  </si>
  <si>
    <t>AMAZON,AMAZONDS,BLK01,CSNSTORES,DESINC,JCPENNEY01,KOHLDSN,MACY02,NRTPORT,OLLIIX,OVERSTOCK01,TGTDVS</t>
  </si>
  <si>
    <t>MP13-3240</t>
  </si>
  <si>
    <t>Willa</t>
  </si>
  <si>
    <t>Felicity</t>
  </si>
  <si>
    <t>Loraine</t>
  </si>
  <si>
    <t>6 Piece Cotton Quilt Set with Throw Pillows</t>
  </si>
  <si>
    <t>Green</t>
  </si>
  <si>
    <t>PF002608;PP000533</t>
  </si>
  <si>
    <t>Cotton</t>
  </si>
  <si>
    <t>Transitional|Casual</t>
  </si>
  <si>
    <t>11/24/2024</t>
  </si>
  <si>
    <t>AMAZON,AMAZONDS,BEALLSDS,CSNSTORES,HDDS,HOUZZ,JCPENNEY01,KOHLDSN,LAMPDS,MACY02,OVERSTOCK01,ROOMECOM,TGTDVS,WALMARTDS</t>
  </si>
  <si>
    <t>3/15/2017</t>
  </si>
  <si>
    <t>5/30/2017</t>
  </si>
  <si>
    <t>MP13-774</t>
  </si>
  <si>
    <t>Caelie</t>
  </si>
  <si>
    <t>Rochelle</t>
  </si>
  <si>
    <t>Marissa</t>
  </si>
  <si>
    <t>6 Piece Embroidered Quilt Set with Throw Pillows</t>
  </si>
  <si>
    <t>PF002691</t>
  </si>
  <si>
    <t>Botanical</t>
  </si>
  <si>
    <t>Casual|Cottage/Country</t>
  </si>
  <si>
    <t>AMAZON,AMAZONDS,AMERSIGNDS,BEALLSDS,BLK01,CSNSTORES,HDDS,HOUZZ,HSNDS,JCPENNEY01,KOHLDSN,MACY02,NRTPORT,OLLIIX,OVERSCONSIGN,OVERSTOCK01,ROOMECOM,TGTDVS,WALMARTDS</t>
  </si>
  <si>
    <t>6/8/2015</t>
  </si>
  <si>
    <t>MP13-776</t>
  </si>
  <si>
    <t>Yellow</t>
  </si>
  <si>
    <t>PF002680</t>
  </si>
  <si>
    <t>AMAZON,AMAZONDS,BEALLSDS,BLK01,CSNSTORES,HDDS,JCPENNEY01,KOHLDSN,MACY02,NRTPORT,OLLIIX,TGTDVS,WALMARTDS</t>
  </si>
  <si>
    <t>8/5/2015</t>
  </si>
  <si>
    <t>MP13-368</t>
  </si>
  <si>
    <t>Bellagio</t>
  </si>
  <si>
    <t>Venetian</t>
  </si>
  <si>
    <t>Mirage</t>
  </si>
  <si>
    <t>6 Piece Jacquard Quilt Set with Throw Pillows</t>
  </si>
  <si>
    <t>Brown/Gold</t>
  </si>
  <si>
    <t>A++</t>
  </si>
  <si>
    <t>PF003397;PP000386</t>
  </si>
  <si>
    <t>Traditional</t>
  </si>
  <si>
    <t>Transitional|Glam/Luxury</t>
  </si>
  <si>
    <t>AMAZON,AMAZONDS,BLK01,CSNSTORES,FINGERHUTDS,HDDS,HSNDS,JCPENNEY01,KOHLDSN,LAMPDS,MACY02,OLLIIX,OVERSTOCK01,TGTDVS,WALMARTDS</t>
  </si>
  <si>
    <t>1/2/2015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</si>
  <si>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</si>
  <si>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</si>
  <si>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</si>
  <si>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</si>
  <si>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</si>
  <si>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</si>
  <si>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Boho</t>
  </si>
  <si>
    <t>11/1/2024</t>
  </si>
  <si>
    <t>AMAZON,AMAZONDS,BEALLSDS,BIGLOTSDS,BLK01,CSNSTORES,HDDS,JCPENNEY01,KOHLDSN,MACY02,OLLIIX,OVERSCONSIGN,OVERSTOCK01,ROOMECOM,TGTDVS,WALMARTDS</t>
  </si>
  <si>
    <t>5/18/2015</t>
  </si>
  <si>
    <t>MP13-1524</t>
  </si>
  <si>
    <t>Orange</t>
  </si>
  <si>
    <t>PF002679;PP000518</t>
  </si>
  <si>
    <t>12/21/2024</t>
  </si>
  <si>
    <t>AMAZON,AMAZONDS,ASHFURNDS,BLK01,CSNSTORES,JCPENNEY01,KOHLDSN,MACY02,NRTPORT,OLLIIX,OVERSTOCK01,TGTDVS,WALMARTDS</t>
  </si>
  <si>
    <t>9/12/2016</t>
  </si>
  <si>
    <t>12/7/2016</t>
  </si>
  <si>
    <t>MP13-1741</t>
  </si>
  <si>
    <t>Attingham</t>
  </si>
  <si>
    <t>Danville</t>
  </si>
  <si>
    <t>Longmont</t>
  </si>
  <si>
    <t>7 Piece Quilt Set with Euro Shams and Throw Pillows</t>
  </si>
  <si>
    <t>Black</t>
  </si>
  <si>
    <t>PF002419</t>
  </si>
  <si>
    <t>7</t>
  </si>
  <si>
    <t>Border</t>
  </si>
  <si>
    <t>Casual|Farm House</t>
  </si>
  <si>
    <t>12/24/2024</t>
  </si>
  <si>
    <t>AMAZONDS,BLK01,CSNSTORES,HSNDS,JCPENNEY01,KOHLDSN,MACY02,NRTPORT,OLLIIX,OVERSTOCK01,ROOMECOM,TGTDVS,WALMARTDS</t>
  </si>
  <si>
    <t>1/11/2016</t>
  </si>
  <si>
    <t>MP13-3399</t>
  </si>
  <si>
    <t>Rhapsody</t>
  </si>
  <si>
    <t>Melody</t>
  </si>
  <si>
    <t>Harmony</t>
  </si>
  <si>
    <t>6 Piece Reversible Jacquard Quilt Set with Throw Pillows</t>
  </si>
  <si>
    <t>Grey/Taupe</t>
  </si>
  <si>
    <t>PF002618</t>
  </si>
  <si>
    <t>Stripe</t>
  </si>
  <si>
    <t>Modern/Contemporary|Glam/Luxury</t>
  </si>
  <si>
    <t>5/4/2017</t>
  </si>
  <si>
    <t>AMAZON,AMAZONDS,AMERSIGNDS,BLK01,CSNSTORES,FINGERHUTDS,HOUZZ,JCPENNEY01,KOHLDSN,LAMPDS,MACY02,OLLIIX,OVERSTOCK01,TGTDVS,WALMARTDS</t>
  </si>
  <si>
    <t>5/22/2017</t>
  </si>
  <si>
    <t>MP13-3400</t>
  </si>
  <si>
    <t>11/6/2024</t>
  </si>
  <si>
    <t>AMAZON,AMAZONDS,AMERSIGNDS,BLK01,CSNSTORES,HOUZZ,JCPENNEY01,KOHLDSN,MACY02,NRTPORT,OLLIIX,OVERSTOCK01,TGTDVS</t>
  </si>
  <si>
    <t>7/10/2017</t>
  </si>
  <si>
    <t>MP13-7423</t>
  </si>
  <si>
    <t>Navy</t>
  </si>
  <si>
    <t>PP001573</t>
  </si>
  <si>
    <t>Glam/Luxury|Modern/Contemporary</t>
  </si>
  <si>
    <t>6/23/2021</t>
  </si>
  <si>
    <t>AMAZON,AMAZONDS,BLK01,CSNSTORES,FINGERHUTDS,HDDS,JCPENNEY01,KOHLDSN,MACY02,NRTPORT,OLLIIX,OVERSTOCK01,TGTDVS</t>
  </si>
  <si>
    <t>MP13-7424</t>
  </si>
  <si>
    <t>AMAZON,AMAZONDS,BLK01,CSNSTORES,FINGERHUTDS,HDDS,JCPENNEY01,KOHLDSN,MACY02,OLLIIX,OVERSCONSIGN,OVERSTOCK01,ROOMECOM,TGTDVS</t>
  </si>
  <si>
    <t>MP13-2425</t>
  </si>
  <si>
    <t>Marina</t>
  </si>
  <si>
    <t>Anchorage</t>
  </si>
  <si>
    <t>Fairbanks</t>
  </si>
  <si>
    <t>6 Piece Printed Quilt Set with Throw Pillows</t>
  </si>
  <si>
    <t>A+</t>
  </si>
  <si>
    <t>PF002744</t>
  </si>
  <si>
    <t>AMAZON,AMAZONDS,BEALLSDS,BLK01,CSNSTORES,HSNDS,JCPENNEY01,KOHLDSN,LAMPDS,MACY02,NRTPORT,OLLIIX,OVERSTOCK01,TGTDVS,WALMARTDS</t>
  </si>
  <si>
    <t>9/22/2016</t>
  </si>
  <si>
    <t>MP13-7948</t>
  </si>
  <si>
    <t>PP001782;PF005733</t>
  </si>
  <si>
    <t>Casual|Modern/Contemporary</t>
  </si>
  <si>
    <t>8/19/2022</t>
  </si>
  <si>
    <t>AMAZONDS,CSNSTORES,HDDS,HOUZZ,JCPENNEY01,KOHLDSN,MACY02,NRTPORT,OLLIIX,OVERSTOCK01,TGTDVS</t>
  </si>
  <si>
    <t>MP13-7949</t>
  </si>
  <si>
    <t>AMAZONDS,BLK01,CSNSTORES,DESINC,HDDS,HOUZZ,JCPENNEY01,KOHLDSN,MACY02,NRTPORT,OLLIIX,OVERSTOCK01,TGTDVS</t>
  </si>
  <si>
    <t>MP13-7944</t>
  </si>
  <si>
    <t>PP001782;PF005732</t>
  </si>
  <si>
    <t>AMAZONDS,CSNSTORES,HDDS,JCPENNEY01,KOHLDSN,MACY02,TGTDVS</t>
  </si>
  <si>
    <t>MP13-7945</t>
  </si>
  <si>
    <t>AMAZONDS,CSNSTORES,HDDS,HOUZZ,JCPENNEY01,KOHLDSN,MACY02,OVERSTOCK01,TGTDVS</t>
  </si>
  <si>
    <t>MP13-2694</t>
  </si>
  <si>
    <t>Aubrey</t>
  </si>
  <si>
    <t>Whitman</t>
  </si>
  <si>
    <t>Charlotte</t>
  </si>
  <si>
    <t>PF003388</t>
  </si>
  <si>
    <t>Paisley</t>
  </si>
  <si>
    <t>AMAZON,AMAZONDS,BLK01,CSNSTORES,HDDS,HSNDS,JCPENNEY01,KOHLDSN,MACY02,OVERSTOCK01,ROOMECOM,TGTDVS</t>
  </si>
  <si>
    <t>10/4/2016</t>
  </si>
  <si>
    <t>MP13-7395</t>
  </si>
  <si>
    <t>Bennett</t>
  </si>
  <si>
    <t>Christian</t>
  </si>
  <si>
    <t>William</t>
  </si>
  <si>
    <t>4 Piece Jacquard Quilt Set with Throw Pillow</t>
  </si>
  <si>
    <t>PP001609;PF005405</t>
  </si>
  <si>
    <t>4</t>
  </si>
  <si>
    <t>Geometric</t>
  </si>
  <si>
    <t>Glam/Luxury|Transitional</t>
  </si>
  <si>
    <t>7/26/2021</t>
  </si>
  <si>
    <t>AMAZON,AMAZONDS,BLK01,CSNSTORES,HOUZZ,JCPENNEY01,KOHLDSN,MACY02,OVERSTOCK01,TGTDVS</t>
  </si>
  <si>
    <t>MP13-7396</t>
  </si>
  <si>
    <t>AMAZON,AMAZONDS,CSNSTORES,DESINC,HDDS,HOUZZ,JCPENNEY01,KOHLDSN,MACY02,NRTPORT,OVERSTOCK01,TGTDVS</t>
  </si>
  <si>
    <t>MP13-8289</t>
  </si>
  <si>
    <t>Caralie</t>
  </si>
  <si>
    <t>Evian</t>
  </si>
  <si>
    <t>Tulia</t>
  </si>
  <si>
    <t>4 Piece Seersucker Quilt Set with Throw Pillow</t>
  </si>
  <si>
    <t>PP001862;PF006062</t>
  </si>
  <si>
    <t>Farm House</t>
  </si>
  <si>
    <t>8/25/2023</t>
  </si>
  <si>
    <t>10/31/2024</t>
  </si>
  <si>
    <t>AMAZON,AMAZONDS,BLK01,CSNSTORES,JCPENNEY01,KOHLDSN,MACY02,NRTPORT,OLLIIX,OVERSTOCK01,TGTDVS</t>
  </si>
  <si>
    <t>MP13-8290</t>
  </si>
  <si>
    <t>AMAZON,AMAZONDS,BLK01,CSNSTORES,DESINC,JCPENNEY01,KOHLDSN,MACY02,NRTPORT,OVERSTOCK01,TGTDVS</t>
  </si>
  <si>
    <t>MP13-8205</t>
  </si>
  <si>
    <t>PP001862;PF005961</t>
  </si>
  <si>
    <t>5/11/2023</t>
  </si>
  <si>
    <t>AMAZON,BLK01,CSNSTORES,JCPENNEY01,KIRKLANDDS,KOHLDSN,MACY02,NRTPORT,OLLIIX,OVERSTOCK01,TGTDVS</t>
  </si>
  <si>
    <t>MP13-8206</t>
  </si>
  <si>
    <t>AMAZON,BLK01,CSNSTORES,DESINC,JCPENNEY01,KIRKLANDDS,KOHLDSN,MACY02,NRTPORT,OLLIIX,OVERSTOCK01,TGTDVS</t>
  </si>
  <si>
    <t>MP13-6872</t>
  </si>
  <si>
    <t>Dawn</t>
  </si>
  <si>
    <t>Vanessa</t>
  </si>
  <si>
    <t>Stella</t>
  </si>
  <si>
    <t>6 Piece Cotton Percale Quilt Set with Throw Pillows</t>
  </si>
  <si>
    <t>Blush</t>
  </si>
  <si>
    <t>PP000407;PF004981</t>
  </si>
  <si>
    <t>Pieced</t>
  </si>
  <si>
    <t>1/10/2020</t>
  </si>
  <si>
    <t>AMAZON,AMAZONDS,BEALLSDS,BLK01,CSNSTORES,HDDS,HSNDS,JCPENNEY01,KOHLDSN,MACY02,NRTPORT,OLLIIX,OVERSTOCK01,ROOMECOM,TGTDVS</t>
  </si>
  <si>
    <t>MP13-6873</t>
  </si>
  <si>
    <t>AMAZON,AMAZONDS,BLK01,CSNSTORES,HSNDS,JCPENNEY01,KOHLDSN,MACY02,NRTPORT,OVERSCONSIGN,OVERSTOCK01,TGTDVS</t>
  </si>
  <si>
    <t>MP13-8601</t>
  </si>
  <si>
    <t>Sage Green</t>
  </si>
  <si>
    <t>PP000407</t>
  </si>
  <si>
    <t>MP13-8602</t>
  </si>
  <si>
    <t>MP13-7283</t>
  </si>
  <si>
    <t>PP000407;PF005242</t>
  </si>
  <si>
    <t>11/12/2020</t>
  </si>
  <si>
    <t>AMAZON,AMAZONDS,BLK01,CSNSTORES,HDDS,JCPENNEY01,KOHLDSN,MACY02,NRTPORT,OVERSTOCK01,TGTDVS</t>
  </si>
  <si>
    <t>MP13-7284</t>
  </si>
  <si>
    <t>AMAZON,AMAZONDS,BLK01,CSNSTORES,HDDS,JCPENNEY01,KOHLDSN,MACY02,NRTPORT,OLLIIX,OVERSTOCK01,ROOMECOM,TGTDVS</t>
  </si>
  <si>
    <t>MP13-8077</t>
  </si>
  <si>
    <t>Pebble Beach</t>
  </si>
  <si>
    <t>Pacific Grove</t>
  </si>
  <si>
    <t>Ocean View</t>
  </si>
  <si>
    <t>6 Piece Cotton Sateen Quilt Set with Throw Pillows</t>
  </si>
  <si>
    <t>PP000484;PF005792</t>
  </si>
  <si>
    <t>9/19/2022</t>
  </si>
  <si>
    <t>12/20/2024</t>
  </si>
  <si>
    <t>AMAZONDS,BEALLSDS,BLK01,CSNSTORES,HDDS,JCPENNEY01,KOHLDSN,LOWESDS,OLLIIX,OVERSTOCK01,TGTDVS</t>
  </si>
  <si>
    <t>MP13-8078</t>
  </si>
  <si>
    <t>10/19/2022</t>
  </si>
  <si>
    <t>AMAZONDS,BEALLSDS,BLK01,CSNSTORES,DESINC,HDDS,JCPENNEY01,KOHLDSN,LOWESDS,OLLIIX,OVERSTOCK01,TGTDVS</t>
  </si>
  <si>
    <t>MP13-7217</t>
  </si>
  <si>
    <t>6 Piece Printed Herringbone Quilt Set with Throw Pillows</t>
  </si>
  <si>
    <t>PP001538;PF005193</t>
  </si>
  <si>
    <t>10/5/2020</t>
  </si>
  <si>
    <t>AMAZONDS,ASHFURNDS,BLK01,CSNSTORES,HDDS,JCPENNEY01,KOHLDSN,MACY02,OLLIIX,OVERSTOCK01,TGTDVS</t>
  </si>
  <si>
    <t>MP13-7218</t>
  </si>
  <si>
    <t>AMAZONDS,ASHFURNDS,BLK01,CSNSTORES,HDDS,HOUZZ,JCPENNEY01,KOHLDSN,MACY02,NRTPORT,OLLIIX,OVERSTOCK01,TGTDVS</t>
  </si>
  <si>
    <t>MP13-4675</t>
  </si>
  <si>
    <t>Red</t>
  </si>
  <si>
    <t>9/6/2017</t>
  </si>
  <si>
    <t>2/13/2018</t>
  </si>
  <si>
    <t>5/31/2018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</si>
  <si>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</si>
  <si>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</si>
  <si>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</si>
  <si>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</si>
  <si>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</si>
  <si>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</si>
  <si>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</si>
  <si>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3</t>
  </si>
  <si>
    <t>5/29/2024</t>
  </si>
  <si>
    <t>CSNSTORES,KOHLDSN,MACY02,OLLIIX,OVERSTOCK01,TGTDVS</t>
  </si>
  <si>
    <t>MP13-8471</t>
  </si>
  <si>
    <t>MP13-7958</t>
  </si>
  <si>
    <t>Vienna</t>
  </si>
  <si>
    <t>Marcella</t>
  </si>
  <si>
    <t>Adela</t>
  </si>
  <si>
    <t>PP001783;PF005736</t>
  </si>
  <si>
    <t>Damask</t>
  </si>
  <si>
    <t>Casual|Traditional</t>
  </si>
  <si>
    <t>8/15/2022</t>
  </si>
  <si>
    <t>BLK01,CSNSTORES,JCPENNEY01,KOHLDSN,MACY02,OLLIIX,OVERSTOCK01,TGTDVS</t>
  </si>
  <si>
    <t>MP13-7959</t>
  </si>
  <si>
    <t>CSNSTORES,JCPENNEY01,KOHLDSN,MACY02,OLLIIX,OVERSTOCK01,TGTDVS</t>
  </si>
  <si>
    <t>MP13-5578</t>
  </si>
  <si>
    <t>Indigo</t>
  </si>
  <si>
    <t>PF003377;PP000530</t>
  </si>
  <si>
    <t>2/15/2018</t>
  </si>
  <si>
    <t>AMAZON,AMAZONDS,BEALLSDS,CSNSTORES,JCPENNEY01,KOHLDSN,MACY02,OLLIIX,OVERSTOCK01,TGTDVS</t>
  </si>
  <si>
    <t>6/6/2018</t>
  </si>
  <si>
    <t>6/24/2021</t>
  </si>
  <si>
    <t>MP13-5579</t>
  </si>
  <si>
    <t>AMAZON,AMAZONDS,BLK01,CSNSTORES,HOUZZ,JCPENNEY01,KOHLDSN,MACY02,OLLIIX,OVERSTOCK01,TGTDVS</t>
  </si>
  <si>
    <t>9/11/2018</t>
  </si>
  <si>
    <t>MP13-1687</t>
  </si>
  <si>
    <t>Coverlet Mini Set</t>
  </si>
  <si>
    <t>Reversible Quilt Set</t>
  </si>
  <si>
    <t>PF002402</t>
  </si>
  <si>
    <t>AMAZON,AMAZONDS,BEALLSDS,BLK01,CSNSTORES,DESINC,HDDS,HSNDS,JCPENNEY01,KOHLDSN,MACY02,OLLIIX,TGTDVS,WALMARTDS</t>
  </si>
  <si>
    <t>4/18/2016</t>
  </si>
  <si>
    <t>MP13-482</t>
  </si>
  <si>
    <t>Seafoam</t>
  </si>
  <si>
    <t>PF002464;PP000488</t>
  </si>
  <si>
    <t>2</t>
  </si>
  <si>
    <t>AMAZON,AMAZONDS,BLK01,CSNSTORES,HDDS,JCPENNEY01,KOHLDSN,MACY02,TGTDVS,WALMARTDS</t>
  </si>
  <si>
    <t>2/17/2015</t>
  </si>
  <si>
    <t>MP13-155</t>
  </si>
  <si>
    <t>PF002453;PP000488</t>
  </si>
  <si>
    <t>AMAZONDS,ASHFURNDS,BLK01,CSNSTORES,HDDS,HSNDS,JCPENNEY01,KOHLDSN,MACY02,NRTPORT,OLLIIX,OVERSTOCK01,ROOMECOM,TGTDVS,WALMARTDS</t>
  </si>
  <si>
    <t>MP13-2580</t>
  </si>
  <si>
    <t>PF002475;PP000488</t>
  </si>
  <si>
    <t>AMAZON,AMAZONDS,BLK01,CSNSTORES,HDDS,HSNDS,JCPENNEY01,KOHLDSN,MACY02,OLLIIX,OVERSTOCK01,TGTDVS,WALMARTDS</t>
  </si>
  <si>
    <t>12/1/2016</t>
  </si>
  <si>
    <t>MP13-8478</t>
  </si>
  <si>
    <t>3 Piece Reversible Quilt Set</t>
  </si>
  <si>
    <t>Balsam Green</t>
  </si>
  <si>
    <t>PP000640</t>
  </si>
  <si>
    <t>7/18/2024</t>
  </si>
  <si>
    <t>AMAZON,AMAZONDS,CSNSTORES,JCPENNEY01,KOHLDSN,MACY02,TGTDVS</t>
  </si>
  <si>
    <t>MP13-8479</t>
  </si>
  <si>
    <t>7/17/2024</t>
  </si>
  <si>
    <t>AMAZON,AMAZONDS,CSNSTORES,DLCROSCILL,JCPENNEY01,KOHLDSN,MACY02,OVERSTOCK01,TGTDVS</t>
  </si>
  <si>
    <t>MP13-8482</t>
  </si>
  <si>
    <t>Clay Red</t>
  </si>
  <si>
    <t>AMAZON,AMAZONDS,CSNSTORES,DLCROSCILL,JCPENNEY01,KOHLDSN,MACY02,OVERSTOCK01</t>
  </si>
  <si>
    <t>MP13-8483</t>
  </si>
  <si>
    <t>AMAZON,AMAZONDS,CSNSTORES,JCPENNEY01,KOHLDSN,MACY02,OLLIIX,TGTDVS</t>
  </si>
  <si>
    <t>MP13-1037</t>
  </si>
  <si>
    <t>3 Piece Reversible Scalloped Edge Quilt Set</t>
  </si>
  <si>
    <t>PF002701;PP000525</t>
  </si>
  <si>
    <t>Transitional|Traditional</t>
  </si>
  <si>
    <t>11/15/2024</t>
  </si>
  <si>
    <t>AMAZON,AMAZONDS,BIGLOTSDS,BLK01,CSNSTORES,DESINC,JCPENNEY01,KOHLDSN,MACY02,NRTPORT,OLLIIX,OVERSTOCK01,ROOMECOM,TGTDVS,WALMARTDS,ZOLA</t>
  </si>
  <si>
    <t>3/3/2016</t>
  </si>
  <si>
    <t>MP13-8245</t>
  </si>
  <si>
    <t>Traditional|Transitional</t>
  </si>
  <si>
    <t>7/4/2023</t>
  </si>
  <si>
    <t>AMAZON,AMAZONDS,BLK01,CSNSTORES,HDDS,JCPENNEY01,KOHLDSN,MACY02,OLLIIX,OVERSTOCK01,TGTDVS</t>
  </si>
  <si>
    <t>MP13-8246</t>
  </si>
  <si>
    <t>AMAZON,AMAZONDS,BLK01,CSNSTORES,HDDS,JCPENNEY01,KOHLDSN,MACY02,NRTPORT,OLLIIX,OVERSTOCK01,TGTDVS</t>
  </si>
  <si>
    <t>MP13-8497</t>
  </si>
  <si>
    <t>9/5/2024</t>
  </si>
  <si>
    <t>AMAZON,AMAZONDS,CSNSTORES,JCPENNEY01,KOHLDSN,MACY02,OLLIIX,OVERSTOCK01,TGTDVS</t>
  </si>
  <si>
    <t>MP13-8498</t>
  </si>
  <si>
    <t>MP13-1238</t>
  </si>
  <si>
    <t>Keaton</t>
  </si>
  <si>
    <t>Jaxson</t>
  </si>
  <si>
    <t>Mitchell</t>
  </si>
  <si>
    <t>3 Piece Quilt Set</t>
  </si>
  <si>
    <t>PF003411</t>
  </si>
  <si>
    <t>Modern/Contemporary</t>
  </si>
  <si>
    <t>11/30/2024</t>
  </si>
  <si>
    <t>AAFESDS,AMERSIGNDS,ASHFURNDS,BIGLOTSDS,BLK01,CSNSTORES,JCPENNEY01,KOHLDSN,MACY02,OLLIIX,OVERSTOCK01,ROOMECOM,TGTDVS,WALMARTDS</t>
  </si>
  <si>
    <t>9/9/2015</t>
  </si>
  <si>
    <t>MP13-1239</t>
  </si>
  <si>
    <t>AMERSIGNDS,ASHFURNDS,BLK01,CSNSTORES,DESINC,JCPENNEY01,KOHLDSN,MACY02,OLLIIX,OVERSTOCK01,ROOMECOM,TGTDVS,WALMARTDS</t>
  </si>
  <si>
    <t>7/22/2015</t>
  </si>
  <si>
    <t>MP13-3457</t>
  </si>
  <si>
    <t>2 Piece Quilt Set</t>
  </si>
  <si>
    <t>PF003412</t>
  </si>
  <si>
    <t>MP13-3458</t>
  </si>
  <si>
    <t>AAFESDS,AMERSIGNDS,ASHFURNDS,BLK01,CSNSTORES,HSNDS,JCPENNEY01,KOHLDSN,MACY02,OLLIIX,OVERSTOCK01,TGTDVS,WALMARTDS</t>
  </si>
  <si>
    <t>4/18/2017</t>
  </si>
  <si>
    <t>MP13-3459</t>
  </si>
  <si>
    <t>ASHFURNDS,BIGLOTSDS,BLK01,CSNSTORES,JCPENNEY01,KOHLDSN,MACY02,OLLIIX,OVERSTOCK01,TGTDVS,WALMARTDS</t>
  </si>
  <si>
    <t>4/4/2017</t>
  </si>
  <si>
    <t>MP13-6115</t>
  </si>
  <si>
    <t>Teal</t>
  </si>
  <si>
    <t>PF004530</t>
  </si>
  <si>
    <t>12/12/2018</t>
  </si>
  <si>
    <t>BEALLSDS,CSNSTORES,HSNDS,JCPENNEY01,KOHLDSN,MACY02,OLLIIX,OVERSTOCK01,TGTDVS</t>
  </si>
  <si>
    <t>2/4/2019</t>
  </si>
  <si>
    <t>9/13/2019</t>
  </si>
  <si>
    <t>MP13-6116</t>
  </si>
  <si>
    <t>AAFESDS,ASHFURNDS,BEALLSDS,BLK01,CSNSTORES,DESINC,HSNDS,JCPENNEY01,KOHLDSN,MACY02,OLLIIX,OVERSTOCK01,TGTDVS,WALMARTDS</t>
  </si>
  <si>
    <t>4/29/2019</t>
  </si>
  <si>
    <t>MP13-6117</t>
  </si>
  <si>
    <t>BLK01,CSNSTORES,JCPENNEY01,KIRKLANDDS,KOHLDSN,MACY02,NRTPORT,OLLIIX,OVERSTOCK01,TGTDVS,WALMARTDS</t>
  </si>
  <si>
    <t>2/25/2019</t>
  </si>
  <si>
    <t>MP13-625</t>
  </si>
  <si>
    <t>PF003409</t>
  </si>
  <si>
    <t>AMERSIGNDS,BLK01,CSNSTORES,DESINC,JCPENNEY01,KOHLDSN,MACY02,OLLIIX,OVERSTOCK01,TGTDVS</t>
  </si>
  <si>
    <t>1/8/2015</t>
  </si>
  <si>
    <t>MP13-626</t>
  </si>
  <si>
    <t>AMERSIGNDS,ASHFURNDS,BLK01,CSNSTORES,DESINC,JCPENNEY01,KOHLDSN,MACY02,NRTPORT,OLLIIX,OVERSTOCK01,ROOMECOM,TGTDVS,WALMARTDS</t>
  </si>
  <si>
    <t>7/24/2015</t>
  </si>
  <si>
    <t>MP13-627</t>
  </si>
  <si>
    <t>AMERSIGNDS,ASHFURNDS,BIGLOTSDS,BLK01,CSNSTORES,DESINC,JCPENNEY01,KOHLDSN,MACY02,OLLIIX,OVERSTOCK01,ROOMECOM,TGTDVS</t>
  </si>
  <si>
    <t>MP13-6132</t>
  </si>
  <si>
    <t>1/4/2019</t>
  </si>
  <si>
    <t>ASHFURNDS,BLK01,CSNSTORES,HSNDS,JCPENNEY01,KOHLDSN,MACY02,OLLIIX,OVERSTOCK01,TGTDVS,WALMARTDS</t>
  </si>
  <si>
    <t>6/26/2019</t>
  </si>
  <si>
    <t>MP13-628</t>
  </si>
  <si>
    <t>Cream</t>
  </si>
  <si>
    <t>PF003410</t>
  </si>
  <si>
    <t>AMERSIGNDS,ASHFURNDS,CSNSTORES,JCPENNEY01,KOHLDSN,MACY02,OLLIIX,OVERSTOCK01,TGTDVS,WALMARTDS</t>
  </si>
  <si>
    <t>MP13-629</t>
  </si>
  <si>
    <t>1/1/2025</t>
  </si>
  <si>
    <t>AMERSIGNDS,ASHFURNDS,CSNSTORES,JCPENNEY01,KOHLDSN,MACY02,OLLIIX,OVERSTOCK01,ROOMECOM,TGTDVS</t>
  </si>
  <si>
    <t>1/19/2015</t>
  </si>
  <si>
    <t>MP13-630</t>
  </si>
  <si>
    <t>AMERSIGNDS,ASHFURNDS,CSNSTORES,DESINC,JCPENNEY01,KOHLDSN,MACY02,OLLIIX,OVERSTOCK01,ROOMECOM,TGTDVS</t>
  </si>
  <si>
    <t>MP13-5879</t>
  </si>
  <si>
    <t>Laetitia</t>
  </si>
  <si>
    <t>Virginia</t>
  </si>
  <si>
    <t>Cecily</t>
  </si>
  <si>
    <t>Tufted Cotton Chenille Medallion Fringe Coverlet Mini Set</t>
  </si>
  <si>
    <t>PF004301;PP000898</t>
  </si>
  <si>
    <t>Casual|BOHO</t>
  </si>
  <si>
    <t>5/29/2018</t>
  </si>
  <si>
    <t>AMAZON,AMAZONDS,BEALLSDS,BLK01,CSNSTORES,HOUZZ,JCPENNEY01,KOHLDSN,MACY02,NRTPORT,OLLIIX,OVERSTOCK01,TGTDVS,WALMARTDS</t>
  </si>
  <si>
    <t>12/3/2019</t>
  </si>
  <si>
    <t>1/13/2020</t>
  </si>
  <si>
    <t>MP13-5875</t>
  </si>
  <si>
    <t>PF004300;PP000898</t>
  </si>
  <si>
    <t>AMAZON,AMAZONDS,BEALLSDS,BLK01,CSNSTORES,HDDS,JCPENNEY01,KOHLDSN,MACY02,NRTPORT,OLLIIX,OVERSTOCK01,ROOMECOM,TGTDVS,WALMARTDS,ZOLA</t>
  </si>
  <si>
    <t>3/4/2020</t>
  </si>
  <si>
    <t>MP13-7118</t>
  </si>
  <si>
    <t>Taupe</t>
  </si>
  <si>
    <t>PP000898;PF005042</t>
  </si>
  <si>
    <t>3/17/2020</t>
  </si>
  <si>
    <t>MP13-7119</t>
  </si>
  <si>
    <t>AMAZON,AMAZONDS,BLK01,CSNSTORES,DESINC,HDDS,JCPENNEY01,KOHLDSN,MACY02,NRTPORT,OLLIIX,OVERSTOCK01,TGTDVS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</si>
  <si>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</si>
  <si>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</si>
  <si>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</si>
  <si>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</si>
  <si>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</si>
  <si>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</si>
  <si>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</si>
  <si>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4/9/2020</t>
  </si>
  <si>
    <t>AAFESDS,AMAZONDS,BLK01,CSNSTORES,DESINC,HDDS,HOUZZ,JCPENNEY01,KOHLDSN,OLLIIX,OVERSTOCK01,TGTDVS,WALMARTDS</t>
  </si>
  <si>
    <t>5/31/2020</t>
  </si>
  <si>
    <t>6/22/2020</t>
  </si>
  <si>
    <t>MP13-7145</t>
  </si>
  <si>
    <t>AMAZON,AMAZONDS,ASHFURNDS,BLK01,CSNSTORES,HDDS,JCPENNEY01,KOHLDSN,NRTPORT,TGTDVS,WALMARTDS</t>
  </si>
  <si>
    <t>3/29/2021</t>
  </si>
  <si>
    <t>MP13-8468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</si>
  <si>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</si>
  <si>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</si>
  <si>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</si>
  <si>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</si>
  <si>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</si>
  <si>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</si>
  <si>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5/18/2024</t>
  </si>
  <si>
    <t>AMAZON,CSNSTORES,KOHLDSN,MACY02,OVERSTOCK01,TGTDVS</t>
  </si>
  <si>
    <t>MP13-8469</t>
  </si>
  <si>
    <t>AMAZON,AMAZONDS,CSNSTORES,KOHLDSN,MACY02,OVERSTOCK01</t>
  </si>
  <si>
    <t>MP13-8112</t>
  </si>
  <si>
    <t>Taupe/Blue</t>
  </si>
  <si>
    <t>PP001818;PF005849</t>
  </si>
  <si>
    <t>10/24/2022</t>
  </si>
  <si>
    <t>AMAZON,AMAZONDS,ASHFURNDS,BLK01,CSNSTORES,DESINC,JCPENNEY01,KOHLDSN,MACY02,OLLIIX,OVERSTOCK01,TGTDVS</t>
  </si>
  <si>
    <t>MP13-8113</t>
  </si>
  <si>
    <t>AAFESDS,AMAZON,AMAZONDS,ASHFURNDS,BLK01,CSNSTORES,DESINC,JCPENNEY01,KOHLDSN,MACY02,OLLIIX,OVERSTOCK01,TGTDVS</t>
  </si>
  <si>
    <t>MP13-3307</t>
  </si>
  <si>
    <t>Harper</t>
  </si>
  <si>
    <t>Emery</t>
  </si>
  <si>
    <t>Mercer</t>
  </si>
  <si>
    <t>3 Piece Velvet Quilt Set</t>
  </si>
  <si>
    <t>PF002598</t>
  </si>
  <si>
    <t>Velvet</t>
  </si>
  <si>
    <t>Glam/Luxury</t>
  </si>
  <si>
    <t>AMAZON,AMAZONDS,AMERSIGNDS,BLK01,CSNSTORES,JCPENNEY01,KOHLDSN,MACY02,OLLIIX,OVERSTOCK01,ROOMECOM,TGTDVS</t>
  </si>
  <si>
    <t>6/7/2017</t>
  </si>
  <si>
    <t>MP13-8007</t>
  </si>
  <si>
    <t>Rust</t>
  </si>
  <si>
    <t>PP001790;PF005758</t>
  </si>
  <si>
    <t>8/29/2022</t>
  </si>
  <si>
    <t>AAFESDS,AMAZONDS,ASHFURNDS,CSNSTORES,DESINC,JCPENNEY01,KOHLDSN,MACY02,OLLIIX,OVERSTOCK01,TGTDVS</t>
  </si>
  <si>
    <t>MP13-8008</t>
  </si>
  <si>
    <t>AMAZONDS,ASHFURNDS,BLK01,CSNSTORES,DESINC,HOUZZ,JCPENNEY01,KOHLDSN,MACY02,OLLIIX,OVERSTOCK01,TGTDVS</t>
  </si>
  <si>
    <t>MP13-7524</t>
  </si>
  <si>
    <t>Green / Navy</t>
  </si>
  <si>
    <t>PP001028;PF005484</t>
  </si>
  <si>
    <t>6/5/2021</t>
  </si>
  <si>
    <t>MP13-7525</t>
  </si>
  <si>
    <t>6/3/2021</t>
  </si>
  <si>
    <t>AMAZON,AMAZONDS,ASHFURNDS,BLK01,CSNSTORES,JCPENNEY01,KOHLDSN,MACY02,OLLIIX,OVERSTOCK01,TGTDVS</t>
  </si>
  <si>
    <t>MP13-5320</t>
  </si>
  <si>
    <t>Bedspread</t>
  </si>
  <si>
    <t>3 Piece Tufted Cotton Chenille Bedspread Set</t>
  </si>
  <si>
    <t>BEALLSDS,BLK01,CSNSTORES,FINGERHUTDS,JCPENNEY01,KOHLDSN,MACY02,NRTPORT,OLLIIX,OVERSTOCK01,ROOMECOM,TGTDVS,WALMARTDS</t>
  </si>
  <si>
    <t>MP13-7124</t>
  </si>
  <si>
    <t xml:space="preserve">3 piece Tufted Cotton  bedspread  set</t>
  </si>
  <si>
    <t>PP000641;PF005044</t>
  </si>
  <si>
    <t>Cottage/Country|Farm House</t>
  </si>
  <si>
    <t>ASHFURNDS,BLK01,CSNSTORES,FINGERHUTDS,JCPENNEY01,KOHLDSN,MACY02,NRTPORT,OLLIIX,OVERSTOCK01,TGTDVS,WALMARTDS</t>
  </si>
  <si>
    <t>5/21/2020</t>
  </si>
  <si>
    <t>3/12/2021</t>
  </si>
  <si>
    <t>MP13-7125</t>
  </si>
  <si>
    <t>5/24/2020</t>
  </si>
  <si>
    <t>3/15/2021</t>
  </si>
  <si>
    <t>MP13-6497</t>
  </si>
  <si>
    <t>Reversible Bedspread Set</t>
  </si>
  <si>
    <t>Queen</t>
  </si>
  <si>
    <t>Mocha</t>
  </si>
  <si>
    <t>PP000488</t>
  </si>
  <si>
    <t>7/30/2019</t>
  </si>
  <si>
    <t>AMAZON,AMAZONDS,ASHFURNDS,BIGLOTSDS,BLK01,CSNSTORES,HOUZZ,JCPENNEY01,KOHLDSN,MACY02,OLLIIX,OVERSTOCK01,TGTDVS</t>
  </si>
  <si>
    <t>11/27/2019</t>
  </si>
  <si>
    <t>12/27/2019</t>
  </si>
  <si>
    <t>MP13-6498</t>
  </si>
  <si>
    <t>King</t>
  </si>
  <si>
    <t>AMAZON,AMAZONDS,ASHFURNDS,BEALLSDS,BIGLOTSDS,BLK01,CSNSTORES,JCPENNEY01,KOHLDSN,MACY02,OLLIIX,OVERSCONSIGN,OVERSTOCK01,TGTDVS,WALMARTDS</t>
  </si>
  <si>
    <t>MP13-6455</t>
  </si>
  <si>
    <t>Full</t>
  </si>
  <si>
    <t>Dark Grey</t>
  </si>
  <si>
    <t>7/9/2019</t>
  </si>
  <si>
    <t>AMAZON,AMAZONDS,CSNSTORES,HOUZZ,HSNDS,JCPENNEY01,KOHLDSN,MACY02,OVERSTOCK01,TGTDVS,WALMARTDS</t>
  </si>
  <si>
    <t>MP13-6129</t>
  </si>
  <si>
    <t>PF002486;PP000488</t>
  </si>
  <si>
    <t>12/17/2018</t>
  </si>
  <si>
    <t>AMAZONDS,ASHFURNDS,BIGLOTSDS,BLK01,CSNSTORES,JCPENNEY01,KOHLDSN,MACY02,OLLIIX,OVERSTOCK01,TGTDVS,WALMARTDS</t>
  </si>
  <si>
    <t>1/17/2019</t>
  </si>
  <si>
    <t>MP13-6131</t>
  </si>
  <si>
    <t>PF002402;PP000488</t>
  </si>
  <si>
    <t>AMAZON,AMAZONDS,ASHFURNDS,BLK01,CSNSTORES,HSNDS,JCPENNEY01,KOHLDSN,MACY02,OVERSCONSIGN,OVERSTOCK01,TGTDVS,WALMARTDS</t>
  </si>
  <si>
    <t>MP13-8480</t>
  </si>
  <si>
    <t>3 Piece Reversible Bedspread Set</t>
  </si>
  <si>
    <t>AMAZON,AMAZONDS,CSNSTORES,DESINC,JCPENNEY01,KOHLDSN,MACY02,OVERSTOCK01,TGTDVS</t>
  </si>
  <si>
    <t>MP13-8481</t>
  </si>
  <si>
    <t>MP13-8484</t>
  </si>
  <si>
    <t>AMAZON,AMAZONDS,CSNSTORES,JCPENNEY01,KOHLDSN,MACY02,OLLIIX,OVERSTOCK01</t>
  </si>
  <si>
    <t>MP13-8485</t>
  </si>
  <si>
    <t>AMAZON,CSNSTORES,JCPENNEY01,KOHLDSN,MACY02,OVERSTOCK01,TGTDVS</t>
  </si>
  <si>
    <t>MP13-2990</t>
  </si>
  <si>
    <t>PF002400</t>
  </si>
  <si>
    <t>5/18/2017</t>
  </si>
  <si>
    <t>AMAZON,AMAZONDS,BIGLOTSDS,BLK01,CSNSTORES,HOUZZ,JCPENNEY01,KOHLDSN,MACY02,OLLIIX,OVERSTOCK01,TGTDVS</t>
  </si>
  <si>
    <t>6/19/2017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</si>
  <si>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</si>
  <si>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</si>
  <si>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</si>
  <si>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</si>
  <si>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</si>
  <si>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</si>
  <si>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</si>
  <si>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AMAZON,AMAZONDS,BLK01,CSNSTORES,JCPENNEY01,KOHLDSN,MACY02,NRTPORT,OLLIIX,OVERSTOCK01,TGTDVS,WALMARTDS</t>
  </si>
  <si>
    <t>11/2/2017</t>
  </si>
  <si>
    <t>1/8/2018</t>
  </si>
  <si>
    <t>MP13-7966</t>
  </si>
  <si>
    <t>PP000487;PF005738</t>
  </si>
  <si>
    <t>7/8/2022</t>
  </si>
  <si>
    <t>AMAZONDS,BLK01,CSNSTORES,JCPENNEY01,KOHLDSN,MACY02,OVERSTOCK01,TGTDVS</t>
  </si>
  <si>
    <t>MP13-7967</t>
  </si>
  <si>
    <t>AMAZONDS,BLK01,CSNSTORES,JCPENNEY01,KOHLDSN,MACY02,NRTPORT,OVERSTOCK01,TGTDVS</t>
  </si>
  <si>
    <t>MP13-7960</t>
  </si>
  <si>
    <t>5 Piece Jacquard Bedspread Set with Throw Pillows</t>
  </si>
  <si>
    <t>PP000381;PF005740</t>
  </si>
  <si>
    <t>AMAZONDS,BLK01,CSNSTORES,HOUZZ,JCPENNEY01,KOHLDSN,MACY02,NRTPORT,OLLIIX,OVERSTOCK01,TGTDVS</t>
  </si>
  <si>
    <t>MP13-7961</t>
  </si>
  <si>
    <t>AMAZONDS,BLK01,CSNSTORES,JCPENNEY01,KOHLDSN,MACY02,NRTPORT,OLLIIX,OVERSTOCK01,TGTDVS</t>
  </si>
  <si>
    <t>MP13-7962</t>
  </si>
  <si>
    <t>Burgundy</t>
  </si>
  <si>
    <t>PP000381;PF005741</t>
  </si>
  <si>
    <t>7/28/2022</t>
  </si>
  <si>
    <t>11/21/2024</t>
  </si>
  <si>
    <t>MP13-7963</t>
  </si>
  <si>
    <t>7/22/2022</t>
  </si>
  <si>
    <t>AMAZONDS,BLK01,CSNSTORES,DESINC,JCPENNEY01,KOHLDSN,MACY02,OLLIIX,OVERSTOCK01,TGTDVS</t>
  </si>
  <si>
    <t>MP13-7964</t>
  </si>
  <si>
    <t>PP000381;PF005742</t>
  </si>
  <si>
    <t>AMAZONDS,BLK01,CSNSTORES,JCPENNEY01,KOHLDSN,MACY02,OLLIIX,OVERSTOCK01,TGTDVS</t>
  </si>
  <si>
    <t>MP13-7965</t>
  </si>
  <si>
    <t>AMAZONDS,BLK01,CSNSTORES,DESINC,JCPENNEY01,KOHLDSN,MACY02,NRTPORT,OLLIIX,OVERSTOCK01,TGTDVS</t>
  </si>
  <si>
    <t>MP13-8314</t>
  </si>
  <si>
    <t>PP001909;PF006091</t>
  </si>
  <si>
    <t>11/19/2023</t>
  </si>
  <si>
    <t>AMAZON,AMAZONDS,BLK01,CSNSTORES,JCPENNEY01,KOHLDSN,MACY02,OLLIIX,OVERSTOCK01,TGTDVS</t>
  </si>
  <si>
    <t>MP13-8315</t>
  </si>
  <si>
    <t>MP13-6474</t>
  </si>
  <si>
    <t>Fitted Bedspread</t>
  </si>
  <si>
    <t>3 Piece Split Corner Pleated Quilted Bedspread</t>
  </si>
  <si>
    <t>7/18/2019</t>
  </si>
  <si>
    <t>AMAZON,AMAZONDS,BLK01,CSNSTORES,JCPENNEY01,KOHLDSN,MACY02,OVERSTOCK01,TGTDVS,WALMARTDS</t>
  </si>
  <si>
    <t>12/12/2019</t>
  </si>
  <si>
    <t>1/24/2020</t>
  </si>
  <si>
    <t>MP13-6475</t>
  </si>
  <si>
    <t>3/9/2020</t>
  </si>
  <si>
    <t>MP13-6478</t>
  </si>
  <si>
    <t>AMAZON,AMAZONDS,ASHFURNDS,BLK01,CSNSTORES,DESINC,HSNDS,JCPENNEY01,KOHLDSN,MACY02,OLLIIX,OVERSTOCK01,TGTDVS,WALMARTDS</t>
  </si>
  <si>
    <t>1/6/2020</t>
  </si>
  <si>
    <t>MP13-6476</t>
  </si>
  <si>
    <t>AMAZONDS,ASHFURNDS,BLK01,CSNSTORES,DESINC,HSNDS,JCPENNEY01,KOHLDSN,MACY02,OLLIIX,OVERSTOCK01,TGTDVS,WALMARTDS</t>
  </si>
  <si>
    <t>1/2/2020</t>
  </si>
  <si>
    <t>MP13-5488</t>
  </si>
  <si>
    <t xml:space="preserve">4 Piece Cotton Reversible Tailored  Bedspread  Set</t>
  </si>
  <si>
    <t>PF004099;PP000746</t>
  </si>
  <si>
    <t>11/27/2017</t>
  </si>
  <si>
    <t>9/20/2018</t>
  </si>
  <si>
    <t>MP10-4344</t>
  </si>
  <si>
    <t>COMFORTER (SET)</t>
  </si>
  <si>
    <t>Comforter (Set)</t>
  </si>
  <si>
    <t>Donovan</t>
  </si>
  <si>
    <t>Blaine</t>
  </si>
  <si>
    <t>Perry</t>
  </si>
  <si>
    <t>7 Piece Jacquard Comforter Set with Throw Pillows</t>
  </si>
  <si>
    <t>PF002605</t>
  </si>
  <si>
    <t>6/2/2017</t>
  </si>
  <si>
    <t>AMAZON,AMAZONDS,BIGLOTSDS,BLK01,CSNSTORES,JCPENNEY01,KOHLDSN,MACY02,NRTPORT,OLLIIX,OVERSTOCK01,TGTDVS,WALMARTDS</t>
  </si>
  <si>
    <t>12/11/2017</t>
  </si>
  <si>
    <t>MP10-4345</t>
  </si>
  <si>
    <t>AMAZON,AMAZONDS,BIGLOTSDS,CSNSTORES,JCPENNEY01,KOHLDSN,MACY02,NRTPORT,OLLIIX,OVERSTOCK01,TGTDVS,WALMARTDS</t>
  </si>
  <si>
    <t>1/11/2018</t>
  </si>
  <si>
    <t>MP10-4346</t>
  </si>
  <si>
    <t>Cal King</t>
  </si>
  <si>
    <t>6/4/2018</t>
  </si>
  <si>
    <t>MP10-749</t>
  </si>
  <si>
    <t>PF002757;PP000411</t>
  </si>
  <si>
    <t>12/6/2024</t>
  </si>
  <si>
    <t>AAFESDS,AMAZON,AMAZONDS,BEALLSDS,BIGLOTSDS,BLK01,CSNSTORES,FINGERHUTDS,JCPENNEY01,KOHLDSN,MACY02,NRTPORT,OLLIIX,OVERSTOCK01,ROOMECOM,TGTDVS,WALMARTDS</t>
  </si>
  <si>
    <t>5/28/2015</t>
  </si>
  <si>
    <t>MP10-750</t>
  </si>
  <si>
    <t>AMAZON,BIGLOTSDS,BLK01,CSNSTORES,JCPENNEY01,KOHLDSN,MACY02,NRTPORT,OVERSTOCK01,ROOMECOM,TGTDVS,WALMARTDS</t>
  </si>
  <si>
    <t>6/22/2015</t>
  </si>
  <si>
    <t>MP10-6164</t>
  </si>
  <si>
    <t>Cassandra</t>
  </si>
  <si>
    <t>Gisele</t>
  </si>
  <si>
    <t>Maddy</t>
  </si>
  <si>
    <t>8 Piece Cotton Printed Comforter Set</t>
  </si>
  <si>
    <t>PF004581;PP001093</t>
  </si>
  <si>
    <t>8</t>
  </si>
  <si>
    <t>5/1/2019</t>
  </si>
  <si>
    <t>AMAZON,AMAZONDS,BEALLSDS,BLK01,CSNSTORES,FINGERHUTDS,HDDS,JCPENNEY01,KOHLDSN,MACY02,NRTPORT,OLLIIX,OVERSTOCK01,ROOMECOM,TGTDVS,WALMARTDS</t>
  </si>
  <si>
    <t>10/23/2019</t>
  </si>
  <si>
    <t>11/18/2019</t>
  </si>
  <si>
    <t>MP10-6165</t>
  </si>
  <si>
    <t>AMAZON,AMAZONDS,BLK01,CSNSTORES,FINGERHUTDS,HDDS,JCPENNEY01,KOHLDSN,MACY02,NRTPORT,OLLIIX,OVERSTOCK01,ROOMECOM,TGTDVS,WALMARTDS</t>
  </si>
  <si>
    <t>10/24/2019</t>
  </si>
  <si>
    <t>3/2/2020</t>
  </si>
  <si>
    <t>MP10-6166</t>
  </si>
  <si>
    <t>AMAZON,AMAZONDS,CSNSTORES,HDDS,JCPENNEY01,KOHLDSN,MACY02,NRTPORT,OLLIIX,OVERSTOCK01,TGTDVS,WALMARTDS</t>
  </si>
  <si>
    <t>4/16/2020</t>
  </si>
  <si>
    <t>MP10-7834</t>
  </si>
  <si>
    <t>PP001093;PF005653</t>
  </si>
  <si>
    <t>4/4/2022</t>
  </si>
  <si>
    <t>AMAZONDS,ASHFURNDS,CSNSTORES,HSNDS,JCPENNEY01,KOHLDSN,MACY02,OLLIIX,OVERSTOCK01,TGTDVS</t>
  </si>
  <si>
    <t>MP10-7835</t>
  </si>
  <si>
    <t>AMAZONDS,BLK01,CSNSTORES,HSNDS,JCPENNEY01,KOHLDSN,MACY02,OLLIIX,OVERSTOCK01,TGTDVS</t>
  </si>
  <si>
    <t>MP10-7836</t>
  </si>
  <si>
    <t>AMAZONDS,CSNSTORES,JCPENNEY01,KOHLDSN,MACY02,OLLIIX,OVERSTOCK01,TGTDVS</t>
  </si>
  <si>
    <t>MP10-302</t>
  </si>
  <si>
    <t>Palmer</t>
  </si>
  <si>
    <t>Teagan</t>
  </si>
  <si>
    <t>Dakota</t>
  </si>
  <si>
    <t>7 PC Pieced Faux Suede Comforter Set</t>
  </si>
  <si>
    <t>Natural</t>
  </si>
  <si>
    <t>PF002444</t>
  </si>
  <si>
    <t>AAFESDS,AMAZON,AMAZONDS,AMERSIGNDS,BLK01,CASTLEGATE,CSNSTORES,HDDS,JCPENNEY01,KOHLDSN,LOWESDS,MACY02,NRTPORT,OLLIIX,OVERSCONSIGN,OVERSTOCK01,ROOMECOM,TGTDVS,WALMARTDS</t>
  </si>
  <si>
    <t>7/28/2015</t>
  </si>
  <si>
    <t>MP10-303</t>
  </si>
  <si>
    <t>AMAZON,AMAZONDS,AMERSIGNDS,BLK01,CSNSTORES,DESINC,HDDS,JCPENNEY01,KOHLDSN,MACY02,NRTPORT,OLLIIX,OVERSTOCK01,ROOMECOM,TGTDVS,WALMARTDS</t>
  </si>
  <si>
    <t>1/22/2015</t>
  </si>
  <si>
    <t>MP10-2268</t>
  </si>
  <si>
    <t>PF002446</t>
  </si>
  <si>
    <t>AMAZON,AMAZONDS,BLK01,CSNSTORES,FINGERHUTDS,HOUZZ,JCPENNEY01,KOHLDSN,MACY02,NRTPORT,OLLIIX,OVERSTOCK01,ROOMECOM,TGTDVS,WALMARTDS</t>
  </si>
  <si>
    <t>12/5/2016</t>
  </si>
  <si>
    <t>8/8/2017</t>
  </si>
  <si>
    <t>MP10-424</t>
  </si>
  <si>
    <t>PF002441</t>
  </si>
  <si>
    <t>12/2/2024</t>
  </si>
  <si>
    <t>AAFESDS,AMAZON,AMAZONDS,AMERSIGNDS,BLK01,CSNSTORES,HDDS,JCPENNEY01,KOHLDSN,LOWESDS,MACY02,NRTPORT,OLLIIX,OVERSTOCK01,ROOMECOM,TGTDVS,WALMARTDS</t>
  </si>
  <si>
    <t>1/14/2015</t>
  </si>
  <si>
    <t>MP10-425</t>
  </si>
  <si>
    <t>AAFESDS,AMAZON,AMAZONDS,AMERSIGNDS,BLK01,CSNSTORES,HDDS,JCPENNEY01,KOHLDSN,LAMPDS,MACY02,NRTPORT,OVERSTOCK01,ROOMECOM,TGTDVS,WALMARTDS</t>
  </si>
  <si>
    <t>MP10-304</t>
  </si>
  <si>
    <t>Purple</t>
  </si>
  <si>
    <t>PF002443</t>
  </si>
  <si>
    <t>1/10/2025</t>
  </si>
  <si>
    <t>AAFESDS,AMAZON,AMAZONDS,AMERSIGNDS,BLK01,CSNSTORES,FINGERHUTDS,HDDS,HSNDS,JCPENNEY01,KOHLDSN,LAMPDS,LOWESDS,MACY02,NRTPORT,OLLIIX,OVERSTOCK01,ROOMECOM,TGTDVS,WALMARTDS</t>
  </si>
  <si>
    <t>MP10-305</t>
  </si>
  <si>
    <t>AAFESDS,AMAZON,AMAZONDS,AMERSIGNDS,BEALLSDS,BLK01,CSNSTORES,HDDS,HSNDS,JCPENNEY01,KOHLDSN,LOWESDS,MACY02,NRTPORT,OLLIIX,OVERSTOCK01,ROOMECOM,TGTDVS,WALMARTDS</t>
  </si>
  <si>
    <t>MP10-2265</t>
  </si>
  <si>
    <t>PF002445</t>
  </si>
  <si>
    <t>AMAZON,AMAZONDS,AMERSIGNDS,BLK01,CSNSTORES,DESINC,JCPENNEY01,KOHLDSN,MACY02,NRTPORT,OLLIIX,OVERSTOCK01,TGTDVS</t>
  </si>
  <si>
    <t>5/2/2017</t>
  </si>
  <si>
    <t>MP10-7488</t>
  </si>
  <si>
    <t>PP001625;PF005454</t>
  </si>
  <si>
    <t>5/20/2021</t>
  </si>
  <si>
    <t>AAFESDS,AMAZON,AMAZONDS,ASHFURNDS,BLK01,CSNSTORES,JCPENNEY01,KOHLDSN,MACY02,NRTPORT,OLLIIX,OVERSTOCK01,TGTDVS</t>
  </si>
  <si>
    <t>MP10-7489</t>
  </si>
  <si>
    <t>AMAZON,AMAZONDS,ASHFURNDS,BLK01,CSNSTORES,DESINC,JCPENNEY01,KOHLDSN,MACY02,NRTPORT,OLLIIX,OVERSCONSIGN,OVERSTOCK01,TGTDVS</t>
  </si>
  <si>
    <t>MP10-7490</t>
  </si>
  <si>
    <t>AMAZON,AMAZONDS,ASHFURNDS,CSNSTORES,DESINC,JCPENNEY01,KOHLDSN,MACY02,NRTPORT,OLLIIX,OVERSTOCK01,TGTDVS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</si>
  <si>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</si>
  <si>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</si>
  <si>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</si>
  <si>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</si>
  <si>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</si>
  <si>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</si>
  <si>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4/14/2017</t>
  </si>
  <si>
    <t>1/28/2025</t>
  </si>
  <si>
    <t>3/13/2018</t>
  </si>
  <si>
    <t>MP10-4324</t>
  </si>
  <si>
    <t>AMAZONDS,BEALLSDS,BLK01,CSNSTORES,JCPENNEY01,KOHLDSN,MACY02,NRTPORT,OVERSTOCK01,TGTDVS,WALMARTDS</t>
  </si>
  <si>
    <t>5/3/2018</t>
  </si>
  <si>
    <t>MP10-4025</t>
  </si>
  <si>
    <t>Palisades</t>
  </si>
  <si>
    <t>Hanover</t>
  </si>
  <si>
    <t>Overland</t>
  </si>
  <si>
    <t>7 Piece Faux Suede Comforter Set</t>
  </si>
  <si>
    <t>Brown</t>
  </si>
  <si>
    <t>PF002698</t>
  </si>
  <si>
    <t>AMAZON,AMAZONDS,CSNSTORES,FINGERHUTDS,JCPENNEY01,KOHLDSN,MACY02,NRTPORT,OLLIIX,OVERSCONSIGN,OVERSTOCK01,ROOMECOM,TGTDVS,WALMARTDS</t>
  </si>
  <si>
    <t>9/18/2017</t>
  </si>
  <si>
    <t>MP10-4026</t>
  </si>
  <si>
    <t>4/8/2017</t>
  </si>
  <si>
    <t>AMAZON,AMAZONDS,BEALLSDS,CSNSTORES,DESINC,FINGERHUTDS,JCPENNEY01,KOHLDSN,MACY02,NRTPORT,OLLIIX,OVERSTOCK01,ROOMECOM,TGTDVS,WALMARTDS</t>
  </si>
  <si>
    <t>MP10-185</t>
  </si>
  <si>
    <t>Coral</t>
  </si>
  <si>
    <t>PF002694</t>
  </si>
  <si>
    <t>AMAZON,AMAZONDS,BLK01,CSNSTORES,FINGERHUTDS,HSNDS,JCPENNEY01,KOHLDSN,MACY02,NRTPORT,OVERSTOCK01,ROOMECOM,TGTDVS,WALMARTDS</t>
  </si>
  <si>
    <t>MP10-186</t>
  </si>
  <si>
    <t>AMAZON,BLK01,CSNSTORES,HSNDS,JCPENNEY01,KOHLDSN,MACY02,NRTPORT,OLLIIX,OVERSTOCK01,TGTDVS,WALMARTDS</t>
  </si>
  <si>
    <t>1/9/2015</t>
  </si>
  <si>
    <t>MP10-7483</t>
  </si>
  <si>
    <t>PP000481;PF005455</t>
  </si>
  <si>
    <t>Suede</t>
  </si>
  <si>
    <t>7/5/2021</t>
  </si>
  <si>
    <t>12/9/2024</t>
  </si>
  <si>
    <t>AMAZON,AMAZONDS,ASHFURNDS,CSNSTORES,FINGERHUTDS,JCPENNEY01,KOHLDSN,MACY02,NRTPORT,OLLIIX,OVERSTOCK01,TGTDVS</t>
  </si>
  <si>
    <t>MP10-7484</t>
  </si>
  <si>
    <t>3/19/2025</t>
  </si>
  <si>
    <t>MP10-7485</t>
  </si>
  <si>
    <t>7/6/2021</t>
  </si>
  <si>
    <t>AMAZON,AMAZONDS,BLK01,CSNSTORES,DESINC,FINGERHUTDS,JCPENNEY01,KOHLDSN,MACY02,NRTPORT,OLLIIX,OVERSTOCK01,TGTDVS</t>
  </si>
  <si>
    <t>MP10-4669</t>
  </si>
  <si>
    <t>7 Piece Herringbone Comforter Set</t>
  </si>
  <si>
    <t>9/1/2017</t>
  </si>
  <si>
    <t>AMAZON,AMAZONDS,ASHFURNDS,BLK01,CSNSTORES,HDDS,JCPENNEY01,KOHLDSN,LAMPDS,MACY02,OLLIIX,OVERSTOCK01,TGTDVS,WALMARTDS</t>
  </si>
  <si>
    <t>3/1/2018</t>
  </si>
  <si>
    <t>MP10-4670</t>
  </si>
  <si>
    <t>AMAZON,AMAZONDS,BLK01,CSNSTORES,HDDS,JCPENNEY01,KOHLDSN,MACY02,NRTPORT,OLLIIX,OVERSTOCK01,TGTDVS,WALMARTDS</t>
  </si>
  <si>
    <t>7/23/2018</t>
  </si>
  <si>
    <t>MP10-4671</t>
  </si>
  <si>
    <t>AMAZONDS,CSNSTORES,KIRKLANDDS,KOHLDSN,LAMPDS,MACY02,OLLIIX,OVERSTOCK01,TGTDVS,WALMARTDS</t>
  </si>
  <si>
    <t>2/26/2018</t>
  </si>
  <si>
    <t>MP10-4677</t>
  </si>
  <si>
    <t>B+</t>
  </si>
  <si>
    <t>AMAZON,AMAZONDS,ASHFURNDS,CSNSTORES,HDDS,HSNDS,JCPENNEY01,KOHLDSN,MACY02,NRTPORT,OLLIIX,OVERSTOCK01,TGTDVS,WALMARTDS</t>
  </si>
  <si>
    <t>2/22/2018</t>
  </si>
  <si>
    <t>MP10-7212</t>
  </si>
  <si>
    <t>AMAZON,AMAZONDS,ASHFURNDS,CSNSTORES,DESINC,HDDS,JCPENNEY01,KOHLDSN,MACY02,NRTPORT,OLLIIX,OVERSTOCK01,TGTDVS</t>
  </si>
  <si>
    <t>MP10-7213</t>
  </si>
  <si>
    <t>AMAZON,AMAZONDS,ASHFURNDS,BLK01,CSNSTORES,HDDS,JCPENNEY01,KOHLDSN,MACY02,NRTPORT,OLLIIX,OVERSTOCK01,TGTDVS</t>
  </si>
  <si>
    <t>MP10-7214</t>
  </si>
  <si>
    <t>AMAZONDS,ASHFURNDS,CSNSTORES,HDDS,JCPENNEY01,KOHLDSN,MACY02,NRTPORT,OLLIIX,OVERSTOCK01,TGTDVS</t>
  </si>
  <si>
    <t>MP10-4882</t>
  </si>
  <si>
    <t>7 Piece Jacquard Comforter Set</t>
  </si>
  <si>
    <t>PF002677</t>
  </si>
  <si>
    <t>8/18/2017</t>
  </si>
  <si>
    <t>AMAZON,AMAZONDS,BLK01,CSNSTORES,DESINC,FINGERHUTDS,JCPENNEY01,KOHLDSN,MACY02,NRTPORT,OLLIIX,OVERSTOCK01,TGTDVS,WALMARTDS</t>
  </si>
  <si>
    <t>1/9/2018</t>
  </si>
  <si>
    <t>1/22/2018</t>
  </si>
  <si>
    <t>MP10-4883</t>
  </si>
  <si>
    <t>4/3/2018</t>
  </si>
  <si>
    <t>MP10-4884</t>
  </si>
  <si>
    <t>5/2/2018</t>
  </si>
  <si>
    <t>MP10-4534</t>
  </si>
  <si>
    <t>PF003397</t>
  </si>
  <si>
    <t>6/14/2017</t>
  </si>
  <si>
    <t>10/29/2024</t>
  </si>
  <si>
    <t>AMAZON,AMAZONDS,BLK01,CSNSTORES,DESINC,FINGERHUTDS,JCPENNEY01,KOHLDSN,NRTPORT,OLLIIX,OVERSTOCK01,ROOMECOM,TGTDVS,WALMARTDS</t>
  </si>
  <si>
    <t>12/21/2017</t>
  </si>
  <si>
    <t>MP10-4535</t>
  </si>
  <si>
    <t>12/18/2024</t>
  </si>
  <si>
    <t>AMAZON,AMAZONDS,BEALLSDS,BLK01,CSNSTORES,FINGERHUTDS,HSNDS,JCPENNEY01,KOHLDSN,NRTPORT,OLLIIX,OVERSTOCK01,TGTDVS,WALMARTDS</t>
  </si>
  <si>
    <t>2/12/2018</t>
  </si>
  <si>
    <t>MP10-6644</t>
  </si>
  <si>
    <t>Laurel</t>
  </si>
  <si>
    <t>Vivian</t>
  </si>
  <si>
    <t>Piedmont</t>
  </si>
  <si>
    <t>7 Piece Tufted Comforter Set</t>
  </si>
  <si>
    <t>PF002423;PP000440</t>
  </si>
  <si>
    <t>9/16/2019</t>
  </si>
  <si>
    <t>AMAZON,AMAZONDS,AMERSIGNDS,BIGLOTSDS,BLK01,CSNSTORES,DESINC,JCPENNEY01,KOHLDSN,MACY02,NRTPORT,OVERSTOCK01,ROOMECOM,TGTDVS,WALMARTDS</t>
  </si>
  <si>
    <t>7/22/2020</t>
  </si>
  <si>
    <t>MP10-5115</t>
  </si>
  <si>
    <t>9/28/2017</t>
  </si>
  <si>
    <t>AMAZON,AMAZONDS,AMERSIGNDS,ASHFURNDS,BIGLOTSDS,BLK01,CSNSTORES,JCPENNEY01,KOHLDSN,MACY02,NRTPORT,OVERSCONSIGN,OVERSTOCK01,TGTDVS,WALMARTDS</t>
  </si>
  <si>
    <t>MP10-659</t>
  </si>
  <si>
    <t>Plum</t>
  </si>
  <si>
    <t>PF002424;PP000440</t>
  </si>
  <si>
    <t>AMAZON,AMAZONDS,BLK01,CSNSTORES,DESINC,JCPENNEY01,KOHLDSN,MACY02,NRTPORT,OVERSTOCK01,TGTDVS,WALMARTDS</t>
  </si>
  <si>
    <t>MP10-256</t>
  </si>
  <si>
    <t>12/5/2024</t>
  </si>
  <si>
    <t>AMAZON,AMAZONDS,BLK01,CSNSTORES,DESINC,FINGERHUTDS,JCPENNEY01,KOHLDSN,MACY02,NRTPORT,OVERSTOCK01,TGTDVS,WALMARTDS</t>
  </si>
  <si>
    <t>1/6/2015</t>
  </si>
  <si>
    <t>MP10-2578</t>
  </si>
  <si>
    <t>PF002426;PP000440</t>
  </si>
  <si>
    <t>AAFESDS,BIGLOTSDS,BLK01,CSNSTORES,JCPENNEY01,KOHLDSN,MACY02,NRTPORT,OLLIIX,OVERSTOCK01,TGTDVS</t>
  </si>
  <si>
    <t>10/25/2016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</si>
  <si>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</si>
  <si>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</si>
  <si>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</si>
  <si>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</si>
  <si>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</si>
  <si>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</si>
  <si>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</si>
  <si>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5/3/2019</t>
  </si>
  <si>
    <t>1/14/2025</t>
  </si>
  <si>
    <t>AMAZON,AMAZONDS,AMERSIGNDS,BLK01,CSNSTORES,JCPENNEY01,KOHLDSN,LAMPDS,MACY02,NRTPORT,OLLIIX,OVERSTOCK01,ROOMECOM,TGTDVS,WALMARTDS</t>
  </si>
  <si>
    <t>1/28/2020</t>
  </si>
  <si>
    <t>MP10-5887</t>
  </si>
  <si>
    <t>Silver/Silver</t>
  </si>
  <si>
    <t>PF004304;PP000900</t>
  </si>
  <si>
    <t>5/1/2018</t>
  </si>
  <si>
    <t>AMAZON,AMAZONDS,AMERSIGNDS,BLK01,CSNSTORES,DESINC,HDDS,JCPENNEY01,KOHLDSN,MACY02,NRTPORT,OVERSTOCK01,ROOMECOM,TGTDVS,WALMARTDS</t>
  </si>
  <si>
    <t>8/13/2019</t>
  </si>
  <si>
    <t>11/15/2019</t>
  </si>
  <si>
    <t>MP10-6836</t>
  </si>
  <si>
    <t>Navy/Silver</t>
  </si>
  <si>
    <t>PP000900;PF004968</t>
  </si>
  <si>
    <t>12/17/2019</t>
  </si>
  <si>
    <t>AMAZON,AMAZONDS,BLK01,CSNSTORES,FINGERHUTDS,JCPENNEY01,KOHLDSN,LAMPDS,MACY02,NRTPORT,OLLIIX,OVERSTOCK01,TGTDVS,WALMARTDS,ZOLA</t>
  </si>
  <si>
    <t>2/12/2020</t>
  </si>
  <si>
    <t>MP10-6838</t>
  </si>
  <si>
    <t>3/6/2020</t>
  </si>
  <si>
    <t>MP10-8079</t>
  </si>
  <si>
    <t>Eilot</t>
  </si>
  <si>
    <t>Aqua/Silver</t>
  </si>
  <si>
    <t>PP000900;PF005801</t>
  </si>
  <si>
    <t>9/8/2022</t>
  </si>
  <si>
    <t>12/16/2024</t>
  </si>
  <si>
    <t>MP10-8080</t>
  </si>
  <si>
    <t>AMAZONDS,BLK01,CSNSTORES,JCPENNEY01,KOHLDSN,MACY02,NRTPORT,OLLIIX,OVERSCONSIGN,OVERSTOCK01,TGTDVS</t>
  </si>
  <si>
    <t>MP10-8081</t>
  </si>
  <si>
    <t>MP10-3396</t>
  </si>
  <si>
    <t>AMAZON,AMAZONDS,AMERSIGNDS,BLK01,CSNSTORES,DESINC,HOUZZ,JCPENNEY01,KOHLDSN,LAMPDS,MACY02,NRTPORT,OLLIIX,OVERSTOCK01,ROOMECOM,TGTDVS,WALMARTDS</t>
  </si>
  <si>
    <t>4/19/2017</t>
  </si>
  <si>
    <t>MP10-3398</t>
  </si>
  <si>
    <t>AMAZON,AMAZONDS,BLK01,CSNSTORES,HSNDS,JCPENNEY01,KOHLDSN,MACY02,NRTPORT,OLLIIX,OVERSTOCK01,ROOMECOM,TGTDVS,WALMARTDS</t>
  </si>
  <si>
    <t>4/23/2018</t>
  </si>
  <si>
    <t>MP10-7420</t>
  </si>
  <si>
    <t>6/29/2021</t>
  </si>
  <si>
    <t>AAFESDS,AMAZON,AMAZONDS,BLK01,CSNSTORES,JCPENNEY01,KOHLDSN,MACY02,NRTPORT,OLLIIX,OVERSTOCK01,TGTDVS</t>
  </si>
  <si>
    <t>MP10-7421</t>
  </si>
  <si>
    <t>MP10-7422</t>
  </si>
  <si>
    <t>AMAZON,AMAZONDS,BLK01,CSNSTORES,HOUZZ,JCPENNEY01,KOHLDSN,MACY02,NRTPORT,OLLIIX,OVERSTOCK01,TGTDVS</t>
  </si>
  <si>
    <t>MP10-7327</t>
  </si>
  <si>
    <t>PF005291;PP001573</t>
  </si>
  <si>
    <t>1/28/2021</t>
  </si>
  <si>
    <t>AAFESDS,AMAZON,AMAZONDS,CSNSTORES,HOUZZ,JCPENNEY01,KOHLDSN,MACY02,NRTPORT,OVERSTOCK01,TGTDVS</t>
  </si>
  <si>
    <t>MP10-7328</t>
  </si>
  <si>
    <t>AMAZON,AMAZONDS,CSNSTORES,JCPENNEY01,KOHLDSN,MACY02,NRTPORT,OLLIIX,OVERSTOCK01,TGTDVS</t>
  </si>
  <si>
    <t>MP10-7329</t>
  </si>
  <si>
    <t>AMAZONDS,CSNSTORES,JCPENNEY01,KOHLDSN,MACY02,NRTPORT,OLLIIX,OVERSTOCK01,TGTDVS</t>
  </si>
  <si>
    <t>MP10-2417</t>
  </si>
  <si>
    <t>7 Piece Comforter Set</t>
  </si>
  <si>
    <t>PF002753</t>
  </si>
  <si>
    <t>AMAZON,AMAZONDS,BLK01,CSNSTORES,JCPENNEY01,KOHLDSN,OVERSTOCK01,TGTDVS,WALMARTDS</t>
  </si>
  <si>
    <t>2/6/2017</t>
  </si>
  <si>
    <t>MP10-7392</t>
  </si>
  <si>
    <t>PP001609;PF005404</t>
  </si>
  <si>
    <t>5/10/2021</t>
  </si>
  <si>
    <t>AMAZON,AMAZONDS,BLK01,CSNSTORES,DESINC,JCPENNEY01,KOHLDSN,NRTPORT,OLLIIX,OVERSTOCK01,TGTDVS</t>
  </si>
  <si>
    <t>MP10-7393</t>
  </si>
  <si>
    <t>10/30/2024</t>
  </si>
  <si>
    <t>AMAZON,AMAZONDS,BLK01,CSNSTORES,JCPENNEY01,KOHLDSN,NRTPORT,OLLIIX,OVERSTOCK01,TGTDVS</t>
  </si>
  <si>
    <t>MP10-7394</t>
  </si>
  <si>
    <t>AMAZON,AMAZONDS,BLK01,CSNSTORES,JCPENNEY01,KOHLDSN,NRTPORT,OVERSTOCK01,TGTDVS</t>
  </si>
  <si>
    <t>MP10-949</t>
  </si>
  <si>
    <t>Blaire</t>
  </si>
  <si>
    <t>Anderson</t>
  </si>
  <si>
    <t>Burnett</t>
  </si>
  <si>
    <t>PF002701</t>
  </si>
  <si>
    <t>AMAZONDS,BIGLOTSDS,BLK01,CSNSTORES,JCPENNEY01,KOHLDSN,MACY02,NRTPORT,OLLIIX,OVERSTOCK01,TGTDVS,WALMARTDS</t>
  </si>
  <si>
    <t>MP10-1637</t>
  </si>
  <si>
    <t>Collins</t>
  </si>
  <si>
    <t>Saban</t>
  </si>
  <si>
    <t>Rodgers</t>
  </si>
  <si>
    <t>7 Piece Microsuede Comforter Set</t>
  </si>
  <si>
    <t>PF002736</t>
  </si>
  <si>
    <t>9/30/2016</t>
  </si>
  <si>
    <t>12/15/2016</t>
  </si>
  <si>
    <t>MP10-285</t>
  </si>
  <si>
    <t>Jackson Blocks</t>
  </si>
  <si>
    <t>Maddox</t>
  </si>
  <si>
    <t>PF002440</t>
  </si>
  <si>
    <t>7/20/2015</t>
  </si>
  <si>
    <t>MP10-637</t>
  </si>
  <si>
    <t>Serene</t>
  </si>
  <si>
    <t>Belle</t>
  </si>
  <si>
    <t>Monroe</t>
  </si>
  <si>
    <t>Embroidered 7 Piece Comforter Set</t>
  </si>
  <si>
    <t>PF003400;PP000505</t>
  </si>
  <si>
    <t>AMAZON,AMAZONDS,BIGLOTSDS,BLK01,CSNSTORES,HSNDS,JCPENNEY01,KOHLDSN,MACY02,NRTPORT,OLLIIX,OVERSTOCK01,ROOMECOM,TGTDVS,WALMARTDS</t>
  </si>
  <si>
    <t>1/12/2015</t>
  </si>
  <si>
    <t>MP10-307</t>
  </si>
  <si>
    <t>PF003399;PP000505</t>
  </si>
  <si>
    <t>11/5/2024</t>
  </si>
  <si>
    <t>AMAZON,AMAZONDS,BLK01,CSNSTORES,FINGERHUTDS,JCPENNEY01,KOHLDSN,MACY02,NRTPORT,OLLIIX,OVERSTOCK01,ROOMECOM,TGTDVS,WALMARTDS</t>
  </si>
  <si>
    <t>MP10-436</t>
  </si>
  <si>
    <t>Printed Cotton Sateen Comforter Set</t>
  </si>
  <si>
    <t>AMAZON,AMAZONDS,BLK01,CSNSTORES,DESINC,JCPENNEY01,KOHLDSN,MACY02,OVERSTOCK01,TGTDVS,WALMARTDS</t>
  </si>
  <si>
    <t>MP10-259</t>
  </si>
  <si>
    <t>AMAZON,AMAZONDS,CSNSTORES,JCPENNEY01,KOHLDSN,MACY02,OVERSTOCK01,TGTDVS,WALMARTDS</t>
  </si>
  <si>
    <t>MP10-932</t>
  </si>
  <si>
    <t>Trinity</t>
  </si>
  <si>
    <t>Channing</t>
  </si>
  <si>
    <t>Vargas</t>
  </si>
  <si>
    <t>7 Piece Polyester Charmeuse Comforter Set</t>
  </si>
  <si>
    <t>PF002690</t>
  </si>
  <si>
    <t>1/24/2025</t>
  </si>
  <si>
    <t>ASHFURNDS,BEALLSDS,BLK01,CSNSTORES,DESINC,HSNDS,JCPENNEY01,KOHLDSN,MACY02,OLLIIX,OVERSTOCK01,TGTDVS,WALMARTDS</t>
  </si>
  <si>
    <t>7/27/2015</t>
  </si>
  <si>
    <t>MP10-2529</t>
  </si>
  <si>
    <t>Celeste</t>
  </si>
  <si>
    <t>Isabella</t>
  </si>
  <si>
    <t>Alexis</t>
  </si>
  <si>
    <t>5 Piece Microfiber Ruffled Comforter Set</t>
  </si>
  <si>
    <t>PF002762</t>
  </si>
  <si>
    <t>AMAZON,AMAZONDS,ASHFURNDS,BLK01,CSNSTORES,HDDS,JCPENNEY01,KOHLDSN,MACY02,OLLIIX,OVERSTOCK01,ROOMECOM,TGTDVS,WALMARTDS</t>
  </si>
  <si>
    <t>10/26/2016</t>
  </si>
  <si>
    <t>MP10-350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</si>
  <si>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</si>
  <si>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</si>
  <si>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</si>
  <si>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</si>
  <si>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</si>
  <si>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</si>
  <si>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</si>
  <si>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BLK01,CSNSTORES,DESINC,JCPENNEY01,KOHLDSN,MACY02,NRTPORT,OLLIIX,OVERSCONSIGN,OVERSTOCK01,TGTDVS,WALMARTDS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</si>
  <si>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</si>
  <si>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</si>
  <si>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</si>
  <si>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</si>
  <si>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</si>
  <si>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</si>
  <si>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</si>
  <si>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MP10-8378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</si>
  <si>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</si>
  <si>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</si>
  <si>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</si>
  <si>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</si>
  <si>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</si>
  <si>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</si>
  <si>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</si>
  <si>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</si>
  <si>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</si>
  <si>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AMAZON,AMAZONDS,ASHFURNDS,BLK01,CSNSTORES,FINGERHUTDS,HSNDS,JCPENNEY01,KOHLDSN,MACY02,NRTPORT,OLLIIX,OVERSTOCK01,TGTDVS</t>
  </si>
  <si>
    <t>MP10-7383</t>
  </si>
  <si>
    <t>AMAZON,AMAZONDS,ASHFURNDS,BLK01,CSNSTORES,FINGERHUTDS,HSNDS,JCPENNEY01,KOHLDSN,MACY02,OLLIIX,OVERSTOCK01,TGTDVS</t>
  </si>
  <si>
    <t>MP10-7384</t>
  </si>
  <si>
    <t>AMAZON,AMAZONDS,ASHFURNDS,CSNSTORES,DESINC,FINGERHUTDS,HSNDS,JCPENNEY01,KOHLDSN,MACY02,NRTPORT,OLLIIX,OVERSTOCK01,TGTDVS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</si>
  <si>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</si>
  <si>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</si>
  <si>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</si>
  <si>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</si>
  <si>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</si>
  <si>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</si>
  <si>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</si>
  <si>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2/12/2025</t>
  </si>
  <si>
    <t>BLK01,CSNSTORES,JCPENNEY01,KOHLDSN,MACY02,OLLIIX,OVERSTOCK01</t>
  </si>
  <si>
    <t>MP10-8405</t>
  </si>
  <si>
    <t>BLK01,JCPENNEY01,KOHLDSN,MACY02,OLLIIX,OVERSTOCK01</t>
  </si>
  <si>
    <t>MP10-6434</t>
  </si>
  <si>
    <t>Boone</t>
  </si>
  <si>
    <t>Westbrook</t>
  </si>
  <si>
    <t>Powell</t>
  </si>
  <si>
    <t>Tan</t>
  </si>
  <si>
    <t>PF004738</t>
  </si>
  <si>
    <t>9/1/2019</t>
  </si>
  <si>
    <t>AAFESDS,AMAZON,AMAZONDS,AMERSIGNDS,ASHFURNDS,BLK01,FINGERHUTDS,JCPENNEY01,KOHLDSN,MACY02,NRTPORT,OLLIIX,OVERSTOCK01,ROOMECOM,TGTDVS</t>
  </si>
  <si>
    <t>MP10-6435</t>
  </si>
  <si>
    <t>AMAZON,AMAZONDS,AMERSIGNDS,ASHFURNDS,BLK01,CSNSTORES,FINGERHUTDS,JCPENNEY01,KIRKLANDDS,KOHLDSN,MACY02,NRTPORT,OLLIIX,OVERSTOCK01,ROOMECOM,TGTDVS</t>
  </si>
  <si>
    <t>MP10-6436</t>
  </si>
  <si>
    <t>AMAZON,AMAZONDS,AMERSIGNDS,ASHFURNDS,BLK01,CSNSTORES,FINGERHUTDS,JCPENNEY01,KOHLDSN,MACY02,NRTPORT,OLLIIX,OVERSTOCK01,ROOMECOM,TGTDVS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</si>
  <si>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</si>
  <si>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</si>
  <si>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</si>
  <si>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</si>
  <si>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</si>
  <si>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</si>
  <si>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12/14/2020</t>
  </si>
  <si>
    <t>AMAZON,AMAZONDS,ASHFURNDS,BLK01,CSNSTORES,HDDS,HSNDS,JCPENNEY01,KOHLDSN,LOWESDS,MACY02,NRTPORT,OLLIIX,OVERSTOCK01,TGTDVS</t>
  </si>
  <si>
    <t>MP10-7296</t>
  </si>
  <si>
    <t>AMAZON,AMAZONDS,ASHFURNDS,BLK01,CSNSTORES,HDDS,HSNDS,JCPENNEY01,KOHLDSN,LOWESDS,MACY02,OLLIIX,OVERSTOCK01,TGTDVS</t>
  </si>
  <si>
    <t>MP10-7297</t>
  </si>
  <si>
    <t>12/8/2024</t>
  </si>
  <si>
    <t>AMAZON,AMAZONDS,ASHFURNDS,BLK01,CSNSTORES,HDDS,HSNDS,JCPENNEY01,KOHLDSN,MACY02,OLLIIX,OVERSTOCK01,TGTDVS</t>
  </si>
  <si>
    <t>MP10-8287</t>
  </si>
  <si>
    <t>5 Piece Seersucker Comforter Set with Throw Pillows</t>
  </si>
  <si>
    <t>8/24/2023</t>
  </si>
  <si>
    <t>3/3/2025</t>
  </si>
  <si>
    <t>MP10-8288</t>
  </si>
  <si>
    <t>AMAZON,BLK01,CSNSTORES,JCPENNEY01,KOHLDSN,MACY02,NRTPORT,OLLIIX,OVERSTOCK01,TGTDVS</t>
  </si>
  <si>
    <t>MP10-8203</t>
  </si>
  <si>
    <t>PP001862;PF005960</t>
  </si>
  <si>
    <t>MP10-8204</t>
  </si>
  <si>
    <t>AMAZON,AMAZONDS,CSNSTORES,KOHLDSN,MACY02,NRTPORT,OVERSTOCK01,TGTDVS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</si>
  <si>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</si>
  <si>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</si>
  <si>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</si>
  <si>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</si>
  <si>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</si>
  <si>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</si>
  <si>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</si>
  <si>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KOHLDSN,MACY02,OVERSTOCK01,TGTDVS</t>
  </si>
  <si>
    <t>MP10-8487</t>
  </si>
  <si>
    <t>KOHLDSN,TGTDVS</t>
  </si>
  <si>
    <t>MP10-8488</t>
  </si>
  <si>
    <t>9/21/2024</t>
  </si>
  <si>
    <t>MP10-8489</t>
  </si>
  <si>
    <t>9/20/2024</t>
  </si>
  <si>
    <t>KOHLDSN,MACY02,OLLIIX</t>
  </si>
  <si>
    <t>MP10-8475</t>
  </si>
  <si>
    <t>Dallas</t>
  </si>
  <si>
    <t>Houston</t>
  </si>
  <si>
    <t>Caldwell</t>
  </si>
  <si>
    <t>7 Piece Micro Corduroy Comforter Set</t>
  </si>
  <si>
    <t>PP001978;PF006312</t>
  </si>
  <si>
    <t>9/13/2024</t>
  </si>
  <si>
    <t>BLK01,CSNSTORES,OVERSTOCK01,TGTDVS</t>
  </si>
  <si>
    <t>MP10-8476</t>
  </si>
  <si>
    <t>CSNSTORES,OVERSTOCK01,TGTDVS</t>
  </si>
  <si>
    <t>MP10-8477</t>
  </si>
  <si>
    <t>9/15/2024</t>
  </si>
  <si>
    <t>KOHLDSN,OVERSTOCK01</t>
  </si>
  <si>
    <t>MP10-8472</t>
  </si>
  <si>
    <t>PP001978;PF006313</t>
  </si>
  <si>
    <t>8/9/2024</t>
  </si>
  <si>
    <t>CSNSTORES,DESINC,KOHLDSN,OVERSTOCK01,TGTDVS</t>
  </si>
  <si>
    <t>MP10-8473</t>
  </si>
  <si>
    <t>MP10-8474</t>
  </si>
  <si>
    <t>CSNSTORES,DESINC,OLLIIX,OVERSTOCK01,TGTDVS</t>
  </si>
  <si>
    <t>MP10-6866</t>
  </si>
  <si>
    <t>9 Piece Cotton Percale Comforter Set</t>
  </si>
  <si>
    <t>9</t>
  </si>
  <si>
    <t>AMAZON,AMAZONDS,BLK01,CSNSTORES,JCPENNEY01,KOHLDSN,MACY02,NRTPORT,OVERSTOCK01,TGTDVS</t>
  </si>
  <si>
    <t>MP10-6867</t>
  </si>
  <si>
    <t>AMAZON,AMAZONDS,BLK01,CSNSTORES,HSNDS,JCPENNEY01,KOHLDSN,MACY02,NRTPORT,OLLIIX,OVERSTOCK01,TGTDVS</t>
  </si>
  <si>
    <t>MP10-6868</t>
  </si>
  <si>
    <t>MP10-8598</t>
  </si>
  <si>
    <t>MP10-8599</t>
  </si>
  <si>
    <t>MP10-8600</t>
  </si>
  <si>
    <t>MP10-7277</t>
  </si>
  <si>
    <t>PP000407;PF005240</t>
  </si>
  <si>
    <t>MP10-7278</t>
  </si>
  <si>
    <t>AMAZON,AMAZONDS,BLK01,CSNSTORES,DESINC,HSNDS,JCPENNEY01,KOHLDSN,MACY02,NRTPORT,OLLIIX,OVERSTOCK01,TGTDVS</t>
  </si>
  <si>
    <t>MP10-7279</t>
  </si>
  <si>
    <t>MP10-8466</t>
  </si>
  <si>
    <t>5 Piece Printed Seersucker Comforter Set with Throw Pillows</t>
  </si>
  <si>
    <t>AMAZON,AMAZONDS,CSNSTORES,JCPENNEY01,KOHLDSN,OVERSTOCK01,TGTDVS</t>
  </si>
  <si>
    <t>MP10-8467</t>
  </si>
  <si>
    <t>MP10-8267</t>
  </si>
  <si>
    <t>7/25/2023</t>
  </si>
  <si>
    <t>2/5/2025</t>
  </si>
  <si>
    <t>MP10-8268</t>
  </si>
  <si>
    <t>MP10-6567</t>
  </si>
  <si>
    <t>Genevieve</t>
  </si>
  <si>
    <t>Beverly</t>
  </si>
  <si>
    <t>Taupe/Brown</t>
  </si>
  <si>
    <t>PF004777</t>
  </si>
  <si>
    <t>8/15/2019</t>
  </si>
  <si>
    <t>AMAZONDS,ASHFURNDS,BIGLOTSDS,BLK01,CSNSTORES,FINGERHUTDS,HOUZZ,JCPENNEY01,KOHLDSN,MACY02,NRTPORT,OLLIIX,OVERSTOCK01,TGTDVS</t>
  </si>
  <si>
    <t>MP10-6568</t>
  </si>
  <si>
    <t>AAFESDS,AMAZON,AMAZONDS,ASHFURNDS,BIGLOTSDS,BLK01,CSNSTORES,DESINC,KOHLDSN,MACY02,NRTPORT,OLLIIX,OVERSTOCK01,TGTDVS</t>
  </si>
  <si>
    <t>MP10-6569</t>
  </si>
  <si>
    <t>AAFESDS,AMAZON,AMAZONDS,ASHFURNDS,BIGLOTSDS,BLK01,CSNSTORES,DESINC,FINGERHUTDS,JCPENNEY01,KOHLDSN,MACY02,NRTPORT,OLLIIX,OVERSTOCK01,TGTDVS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</si>
  <si>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</si>
  <si>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</si>
  <si>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</si>
  <si>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</si>
  <si>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</si>
  <si>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</si>
  <si>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</si>
  <si>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</si>
  <si>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MP10-8338</t>
  </si>
  <si>
    <t>1/31/2024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</si>
  <si>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</si>
  <si>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</si>
  <si>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</si>
  <si>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</si>
  <si>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</si>
  <si>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</si>
  <si>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</si>
  <si>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BLK01,CSNSTORES,JCPENNEY01,KOHLDSN,OLLIIX,OVERSTOCK01,TGTDVS</t>
  </si>
  <si>
    <t>MP10-8322</t>
  </si>
  <si>
    <t>MP10-8323</t>
  </si>
  <si>
    <t>1/8/2025</t>
  </si>
  <si>
    <t>MP10-8324</t>
  </si>
  <si>
    <t>Spice</t>
  </si>
  <si>
    <t>PP001911;PF006095</t>
  </si>
  <si>
    <t>1/26/2024</t>
  </si>
  <si>
    <t>MP10-8325</t>
  </si>
  <si>
    <t>BLK01,CSNSTORES,JCPENNEY01,KOHLDSN,OLLIIX,OVERSCONSIGN,OVERSTOCK01,TGTDVS</t>
  </si>
  <si>
    <t>MP10-8326</t>
  </si>
  <si>
    <t>BLK01,CSNSTORES,JCPENNEY01,KOHLDSN,MACY02,OLLIIX,OVERSCONSIGN,OVERSTOCK01,TGTDVS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</si>
  <si>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</si>
  <si>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</si>
  <si>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</si>
  <si>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</si>
  <si>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</si>
  <si>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</si>
  <si>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</si>
  <si>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CSNSTORES,KOHLDSN,MACY02,OVERSTOCK01</t>
  </si>
  <si>
    <t>MP10-8491</t>
  </si>
  <si>
    <t>CSNSTORES,KOHLDSN,MACY02,OVERSTOCK01,TGTDVS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</si>
  <si>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</si>
  <si>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</si>
  <si>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</si>
  <si>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</si>
  <si>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</si>
  <si>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</si>
  <si>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</si>
  <si>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1/7/2025</t>
  </si>
  <si>
    <t>MP10-8344</t>
  </si>
  <si>
    <t>MP10-8345</t>
  </si>
  <si>
    <t>1/13/2024</t>
  </si>
  <si>
    <t>MP10-8346</t>
  </si>
  <si>
    <t>PP001915;PF006121</t>
  </si>
  <si>
    <t>AMAZON,AMAZONDS,BLK01,CSNSTORES,DESINC,JCPENNEY01,KIRKLANDDS,KOHLDSN,NRTPORT,OLLIIX,OVERSTOCK01,TGTDVS</t>
  </si>
  <si>
    <t>MP10-8347</t>
  </si>
  <si>
    <t>AMAZON,AMAZONDS,BLK01,CSNSTORES,JCPENNEY01,KIRKLANDDS,KOHLDSN,MACY02,NRTPORT,OLLIIX,OVERSTOCK01,TGTDVS</t>
  </si>
  <si>
    <t>MP10-8348</t>
  </si>
  <si>
    <t>AMAZON,AMAZONDS,CSNSTORES,JCPENNEY01,KIRKLANDDS,KOHLDSN,MACY02,NRTPORT,OLLIIX,OVERSTOCK01,TGTDVS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</si>
  <si>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</si>
  <si>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</si>
  <si>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</si>
  <si>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</si>
  <si>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</si>
  <si>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</si>
  <si>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1/19/2024</t>
  </si>
  <si>
    <t>AMAZON,CSNSTORES,JCPENNEY01,KOHLDSN,MACY02,NRTPORT,OLLIIX,OVERSTOCK01,TGTDVS</t>
  </si>
  <si>
    <t>MP10-8354</t>
  </si>
  <si>
    <t>1/20/2024</t>
  </si>
  <si>
    <t>MP10-8351</t>
  </si>
  <si>
    <t>Silver</t>
  </si>
  <si>
    <t>PP001914;PF006118</t>
  </si>
  <si>
    <t>2/26/2025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</si>
  <si>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</si>
  <si>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</si>
  <si>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</si>
  <si>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</si>
  <si>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</si>
  <si>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</si>
  <si>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</si>
  <si>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</si>
  <si>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</si>
  <si>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AMAZON,BLK01,JCPENNEY01,KOHLDSN,MACY02,OVERSTOCK01,TGTDVS</t>
  </si>
  <si>
    <t>MP10-8407</t>
  </si>
  <si>
    <t>AMAZON,AMAZONDS,BLK01,CSNSTORES,JCPENNEY01,KOHLDSN,MACY02,OVERSTOCK01,TGTDVS</t>
  </si>
  <si>
    <t>MP10-8408</t>
  </si>
  <si>
    <t>PP001951;PF006216</t>
  </si>
  <si>
    <t>MP10-8409</t>
  </si>
  <si>
    <t>AMAZON,AMAZONDS,CSNSTORES,JCPENNEY01,KOHLDSN,MACY02,OVERSTOCK01</t>
  </si>
  <si>
    <t>MP10-8433</t>
  </si>
  <si>
    <t>Lori</t>
  </si>
  <si>
    <t>Tessa</t>
  </si>
  <si>
    <t>Black/Silver</t>
  </si>
  <si>
    <t>PP001956;PF006231</t>
  </si>
  <si>
    <t>6/7/2024</t>
  </si>
  <si>
    <t>MP10-8434</t>
  </si>
  <si>
    <t>AMAZON,AMAZONDS,BLK01,CSNSTORES,DESINC,JCPENNEY01,KOHLDSN,MACY02,OVERSTOCK01</t>
  </si>
  <si>
    <t>MP10-8435</t>
  </si>
  <si>
    <t>Teal/Silver</t>
  </si>
  <si>
    <t>PP001956;PF006232</t>
  </si>
  <si>
    <t>MP10-8436</t>
  </si>
  <si>
    <t>AMAZON,JCPENNEY01,KOHLDSN,MACY02,OVERSTOCK01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</si>
  <si>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</si>
  <si>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</si>
  <si>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</si>
  <si>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</si>
  <si>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</si>
  <si>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</si>
  <si>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</si>
  <si>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CSNSTORES,JCPENNEY01,KOHLDSN,MACY02,OVERSTOCK01,TGTDVS</t>
  </si>
  <si>
    <t>MP10-8411</t>
  </si>
  <si>
    <t>CSNSTORES,JCPENNEY01,KOHLDSN,MACY02,TGTDVS</t>
  </si>
  <si>
    <t>MP10-7946</t>
  </si>
  <si>
    <t>8 Piece Printed Seersucker Comforter and Quilt Set Collection</t>
  </si>
  <si>
    <t>PP001782;PF005731</t>
  </si>
  <si>
    <t>8/16/2022</t>
  </si>
  <si>
    <t>MP10-7947</t>
  </si>
  <si>
    <t>MP10-7942</t>
  </si>
  <si>
    <t>PP001782;PF005730</t>
  </si>
  <si>
    <t>AMAZONDS,CSNSTORES,HSNDS,JCPENNEY01,KOHLDSN,MACY02,OLLIIX,OVERSTOCK01,TGTDVS</t>
  </si>
  <si>
    <t>MP10-7943</t>
  </si>
  <si>
    <t>AMAZONDS,BLK01,CSNSTORES,HOUZZ,KOHLDSN,MACY02,OLLIIX,OVERSTOCK01,TGTDVS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</si>
  <si>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</si>
  <si>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</si>
  <si>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</si>
  <si>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</si>
  <si>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</si>
  <si>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</si>
  <si>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</si>
  <si>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</si>
  <si>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MP10-8072</t>
  </si>
  <si>
    <t>7 Piece Cotton Sateen Comforter Set</t>
  </si>
  <si>
    <t>PP000484;PF005791</t>
  </si>
  <si>
    <t>AMAZONDS,BEALLSDS,BLK01,CSNSTORES,DESINC,JCPENNEY01,KIRKLANDDS,KOHLDSN,OLLIIX,OVERSTOCK01,TGTDVS</t>
  </si>
  <si>
    <t>MP10-8073</t>
  </si>
  <si>
    <t>AMAZONDS,BEALLSDS,BLK01,CSNSTORES,DESINC,JCPENNEY01,KOHLDSN,OLLIIX,OVERSTOCK01,TGTDVS</t>
  </si>
  <si>
    <t>MP10-8074</t>
  </si>
  <si>
    <t>AMAZONDS,BEALLSDS,BLK01,CSNSTORES,JCPENNEY01,KOHLDSN,NRTPORT,OVERSTOCK01,TGTDVS</t>
  </si>
  <si>
    <t>MP10-8359</t>
  </si>
  <si>
    <t>Prairie</t>
  </si>
  <si>
    <t>Pampa</t>
  </si>
  <si>
    <t>Savanna</t>
  </si>
  <si>
    <t>PP001918;PF006128</t>
  </si>
  <si>
    <t>BLK01,CSNSTORES,DESINC,JCPENNEY01,KOHLDSN,MACY02,NRTPORT,OLLIIX,OVERSTOCK01,TGTDVS</t>
  </si>
  <si>
    <t>MP10-8360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</si>
  <si>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</si>
  <si>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</si>
  <si>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</si>
  <si>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</si>
  <si>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</si>
  <si>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</si>
  <si>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</si>
  <si>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</si>
  <si>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</si>
  <si>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</si>
  <si>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</si>
  <si>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</si>
  <si>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</si>
  <si>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</si>
  <si>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</si>
  <si>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</si>
  <si>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</si>
  <si>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</si>
  <si>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</si>
  <si>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MP10-7715</t>
  </si>
  <si>
    <t>MP10-7953</t>
  </si>
  <si>
    <t>7 Piece Cotton Printed Comforter Set</t>
  </si>
  <si>
    <t>PP001783;PF005735</t>
  </si>
  <si>
    <t>8/13/2022</t>
  </si>
  <si>
    <t>MP10-7954</t>
  </si>
  <si>
    <t>MP10-7955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</si>
  <si>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</si>
  <si>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</si>
  <si>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</si>
  <si>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</si>
  <si>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</si>
  <si>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</si>
  <si>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</si>
  <si>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</si>
  <si>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AMAZONDS,ASHFURNDS,BIGLOTSDS,BLK01,CSNSTORES,HDDS,JCPENNEY01,KOHLDSN,MACY02,NRTPORT,OLLIIX,OVERSTOCK01,TGTDVS</t>
  </si>
  <si>
    <t>MP10-7130</t>
  </si>
  <si>
    <t>AMAZON,AMAZONDS,ASHFURNDS,BIGLOTSDS,BLK01,CSNSTORES,HDDS,JCPENNEY01,KOHLDSN,MACY02,OLLIIX,OVERSTOCK01,TGTDVS</t>
  </si>
  <si>
    <t>MP10-7131</t>
  </si>
  <si>
    <t>AMAZON,AMAZONDS,BIGLOTSDS,BLK01,CSNSTORES,HDDS,HOUZZ,JCPENNEY01,KOHLDSN,MACY02,NRTPORT,OLLIIX,OVERSTOCK01,TGTDVS</t>
  </si>
  <si>
    <t>MP10-7085</t>
  </si>
  <si>
    <t>PP001162;PF005033</t>
  </si>
  <si>
    <t>1/15/2020</t>
  </si>
  <si>
    <t>1/22/2025</t>
  </si>
  <si>
    <t>AMAZON,ASHFURNDS,BIGLOTSDS,BLK01,CSNSTORES,JCPENNEY01,KOHLDSN,MACY02,NRTPORT,OLLIIX,OVERSTOCK01,TGTDVS</t>
  </si>
  <si>
    <t>MP10-7086</t>
  </si>
  <si>
    <t>AAFESDS,AMAZON,AMAZONDS,AMERSIGNDS,ASHFURNDS,BIGLOTSDS,BLK01,CSNSTORES,JCPENNEY01,KOHLDSN,MACY02,NRTPORT,OLLIIX,OVERSTOCK01,TGTDVS</t>
  </si>
  <si>
    <t>MP10-7087</t>
  </si>
  <si>
    <t>AAFESDS,AMAZONDS,ASHFURNDS,BLK01,CSNSTORES,DESINC,HOUZZ,JCPENNEY01,KOHLDSN,MACY02,NRTPORT,OLLIIX,OVERSTOCK01,TGTDVS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</si>
  <si>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</si>
  <si>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</si>
  <si>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</si>
  <si>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</si>
  <si>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</si>
  <si>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</si>
  <si>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</si>
  <si>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</si>
  <si>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</si>
  <si>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AMAZON,AMAZONDS,CSNSTORES,JCPENNEY01,KIRKLANDDS,KOHLDSN,MACY02,OLLIIX,OVERSTOCK01,TGTDVS</t>
  </si>
  <si>
    <t>MP10-8403</t>
  </si>
  <si>
    <t>MP10-4695</t>
  </si>
  <si>
    <t>BIAB</t>
  </si>
  <si>
    <t>12 Piece Comforter Set with Cotton Bed Sheets</t>
  </si>
  <si>
    <t>PF003394</t>
  </si>
  <si>
    <t>12</t>
  </si>
  <si>
    <t>AMAZON,AMAZONDS,BLK01,CSNSTORES,HOUZZ,JCPENNEY01,KOHLDSN,NRTPORT,OLLIIX,OVERSTOCK01,ROOMECOM,TGTDVS,WALMARTDS</t>
  </si>
  <si>
    <t>3/26/2018</t>
  </si>
  <si>
    <t>MP10-4696</t>
  </si>
  <si>
    <t>AMAZON,AMAZONDS,AMERSIGNDS,BEALLSDS,BLK01,CSNSTORES,DESINC,HOUZZ,JCPENNEY01,KOHLDSN,NRTPORT,OLLIIX,OVERSTOCK01,ROOMECOM,TGTDVS,WALMARTDS</t>
  </si>
  <si>
    <t>6/11/2018</t>
  </si>
  <si>
    <t>MP10-4697</t>
  </si>
  <si>
    <t>AMAZON,AMAZONDS,AMERSIGNDS,BLK01,CSNSTORES,DESINC,JCPENNEY01,KOHLDSN,NRTPORT,OLLIIX,OVERSTOCK01,TGTDVS,WALMARTDS</t>
  </si>
  <si>
    <t>3/30/2018</t>
  </si>
  <si>
    <t>MP10-2579</t>
  </si>
  <si>
    <t>PF003388;PP000381</t>
  </si>
  <si>
    <t>AMAZON,AMAZONDS,AMERSIGNDS,BLK01,CSNSTORES,JCPENNEY01,KOHLDSN,MACY02,OLLIIX,OVERSTOCK01,ROOMECOM,TGTDVS,WALMARTDS</t>
  </si>
  <si>
    <t>5/16/2017</t>
  </si>
  <si>
    <t>MP10-333</t>
  </si>
  <si>
    <t>AMAZON,AMAZONDS,BLK01,CSNSTORES,FINGERHUTDS,HDDS,JCPENNEY01,KOHLDSN,MACY02,NRTPORT,OLLIIX,OVERSTOCK01,TGTDVS,WALMARTDS</t>
  </si>
  <si>
    <t>2/3/2016</t>
  </si>
  <si>
    <t>MP10-334</t>
  </si>
  <si>
    <t>2/5/2016</t>
  </si>
  <si>
    <t>MP10-335</t>
  </si>
  <si>
    <t>2/17/2016</t>
  </si>
  <si>
    <t>MP10-8311</t>
  </si>
  <si>
    <t>AMAZON,AMAZONDS,BLK01,CSNSTORES,DESINC,JCPENNEY01,KOHLDSN,MACY02,OVERSTOCK01,TGTDVS</t>
  </si>
  <si>
    <t>MP10-8312</t>
  </si>
  <si>
    <t>MP10-8313</t>
  </si>
  <si>
    <t>MP10-7205</t>
  </si>
  <si>
    <t>Emilia</t>
  </si>
  <si>
    <t>Maisie</t>
  </si>
  <si>
    <t>Grace</t>
  </si>
  <si>
    <t>12 Piece Jacquard Comforter Set with Bed Sheets</t>
  </si>
  <si>
    <t>PP001528;PF005181</t>
  </si>
  <si>
    <t>8/8/2020</t>
  </si>
  <si>
    <t>11/28/2024</t>
  </si>
  <si>
    <t>AMAZON,AMAZONDS,AMERSIGNDS,BLK01,CSNSTORES,DESINC,JCPENNEY01,KOHLDSN,MACY02,NRTPORT,OLLIIX,OVERSCONSIGN,OVERSTOCK01,TGTDVS</t>
  </si>
  <si>
    <t>MP10-7206</t>
  </si>
  <si>
    <t>8/10/2020</t>
  </si>
  <si>
    <t>MP10-8437</t>
  </si>
  <si>
    <t>PP001528;PF006230</t>
  </si>
  <si>
    <t>5/31/2024</t>
  </si>
  <si>
    <t>3/5/2025</t>
  </si>
  <si>
    <t>MP10-8438</t>
  </si>
  <si>
    <t>BLK01,CSNSTORES,JCPENNEY01,KOHLDSN,MACY02,OVERSTOCK01</t>
  </si>
  <si>
    <t>MP10-8439</t>
  </si>
  <si>
    <t>BLK01,CSNSTORES,KOHLDSN,MACY02,OLLIIX,OVERSTOCK01</t>
  </si>
  <si>
    <t>MP10-1665</t>
  </si>
  <si>
    <t>Lavine</t>
  </si>
  <si>
    <t>Anouk</t>
  </si>
  <si>
    <t>Octavia</t>
  </si>
  <si>
    <t>PF002739;PP000441</t>
  </si>
  <si>
    <t>10/31/2016</t>
  </si>
  <si>
    <t>MP10-1666</t>
  </si>
  <si>
    <t>AMAZON,AMAZONDS,AMERSIGNDS,BLK01,CSNSTORES,JCPENNEY01,KOHLDSN,MACY02,NRTPORT,OLLIIX,OVERSTOCK01,ROOMECOM,TGTDVS</t>
  </si>
  <si>
    <t>12/19/2016</t>
  </si>
  <si>
    <t>MP10-1667</t>
  </si>
  <si>
    <t>MP10-6839</t>
  </si>
  <si>
    <t>Comforter Mini Set</t>
  </si>
  <si>
    <t>2 Piece Cotton Chenille Comforter Set</t>
  </si>
  <si>
    <t>BOHO|Casual</t>
  </si>
  <si>
    <t>12/19/2019</t>
  </si>
  <si>
    <t>MP10-5874</t>
  </si>
  <si>
    <t>3-Piece Tufted Cotton Chenille Medallion Comforter Set</t>
  </si>
  <si>
    <t>AMAZON,AMAZONDS,ASHFURNDS,BLK01,CSNSTORES,JCPENNEY01,KIRKLANDDS,KOHLDSN,MACY02,NRTPORT,OLLIIX,OVERSTOCK01,ROOMECOM,TGTDVS,WALMARTDS</t>
  </si>
  <si>
    <t>6/21/2019</t>
  </si>
  <si>
    <t>10/31/2019</t>
  </si>
  <si>
    <t>MP10-7114</t>
  </si>
  <si>
    <t>Tufted Cotton Chenille Medallion Comforter Set</t>
  </si>
  <si>
    <t>3/10/2020</t>
  </si>
  <si>
    <t>AMAZON,AMAZONDS,BLK01,CSNSTORES,HDDS,HSNDS,JCPENNEY01,KOHLDSN,MACY02,NRTPORT,OLLIIX,OVERSTOCK01,TGTDVS</t>
  </si>
  <si>
    <t>MP10-7115</t>
  </si>
  <si>
    <t>1/5/2025</t>
  </si>
  <si>
    <t>AMAZON,AMAZONDS,ASHFURNDS,BLK01,CSNSTORES,HDDS,HSNDS,JCPENNEY01,KOHLDSN,MACY02,NRTPORT,OLLIIX,OVERSTOCK01,TGTDVS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</si>
  <si>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</si>
  <si>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</si>
  <si>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</si>
  <si>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</si>
  <si>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</si>
  <si>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</si>
  <si>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</si>
  <si>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12/15/2024</t>
  </si>
  <si>
    <t>AMAZON,AMAZONDS,AMERSIGNDS,ASHFURNDS,BLK01,CSNSTORES,DESINC,JCPENNEY01,KOHLDSN,MACY02,OLLIIX,OVERSTOCK01,ROOMECOM,TGTDVS,WALMARTDS,ZOLA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</si>
  <si>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</si>
  <si>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</si>
  <si>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</si>
  <si>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</si>
  <si>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</si>
  <si>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AMAZON,AMAZONDS,BLK01,CSNSTORES,HDDS,JCPENNEY01,KOHLDSN,MACY02,NRTPORT,OLLIIX,OVERSTOCK01,TGTDVS,ZOLA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</si>
  <si>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</si>
  <si>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</si>
  <si>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</si>
  <si>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</si>
  <si>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</si>
  <si>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</si>
  <si>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</si>
  <si>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AMAZON,BLK01,CSNSTORES,DESINC,JCPENNEY01,KOHLDSN,MACY02,OLLIIX,OVERSTOCK01,TGTDVS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</si>
  <si>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</si>
  <si>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</si>
  <si>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</si>
  <si>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</si>
  <si>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</si>
  <si>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</si>
  <si>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</si>
  <si>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</si>
  <si>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</si>
  <si>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</si>
  <si>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</si>
  <si>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</si>
  <si>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</si>
  <si>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</si>
  <si>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</si>
  <si>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</si>
  <si>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</si>
  <si>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</si>
  <si>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</si>
  <si>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</si>
  <si>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AMAZON,AMAZONDS,KOHLDSN,NRTPORT,OVERSTOCK01,TGTDVS</t>
  </si>
  <si>
    <t>MP10-8398</t>
  </si>
  <si>
    <t>AMAZON,AMAZONDS,KOHLDSN,OVERSTOCK01</t>
  </si>
  <si>
    <t>MP10-8395</t>
  </si>
  <si>
    <t>PP001947;PF006205</t>
  </si>
  <si>
    <t>AMAZON,JCPENNEY01,KOHLDSN,OVERSTOCK01,TGTDVS</t>
  </si>
  <si>
    <t>MP10-8396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</si>
  <si>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</si>
  <si>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</si>
  <si>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</si>
  <si>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</si>
  <si>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</si>
  <si>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</si>
  <si>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</si>
  <si>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</si>
  <si>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</si>
  <si>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</si>
  <si>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</si>
  <si>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</si>
  <si>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</si>
  <si>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</si>
  <si>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</si>
  <si>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</si>
  <si>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Ivory</t>
  </si>
  <si>
    <t>PP001922;PF006138</t>
  </si>
  <si>
    <t>3/12/2024</t>
  </si>
  <si>
    <t>AMAZON,BLK01,CSNSTORES,DESINC,JCPENNEY01,KOHLDSN,MACY02,OVERSTOCK01,TGTDVS</t>
  </si>
  <si>
    <t>MP10-8376</t>
  </si>
  <si>
    <t>AMAZON,BLK01,CSNSTORES,JCPENNEY01,KOHLDSN,MACY02,OLLIIX,OVERSTOCK01,TGTDVS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</si>
  <si>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</si>
  <si>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</si>
  <si>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</si>
  <si>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</si>
  <si>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</si>
  <si>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</si>
  <si>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</si>
  <si>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</si>
  <si>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AMERSIGNDS,ASHFURNDS,CSNSTORES,DESINC,JCPENNEY01,KOHLDSN,MACY02,OLLIIX,OVERSTOCK01</t>
  </si>
  <si>
    <t>MP10-7824</t>
  </si>
  <si>
    <t>AMERSIGNDS,CSNSTORES,JCPENNEY01,KOHLDSN,MACY02,OLLIIX,OVERSTOCK01,TGTDVS</t>
  </si>
  <si>
    <t>MP10-7140</t>
  </si>
  <si>
    <t>3 Piece Tufted Cotton Chenille Comforter Set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</si>
  <si>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</si>
  <si>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</si>
  <si>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</si>
  <si>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</si>
  <si>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MP12-5980</t>
  </si>
  <si>
    <t>DUVET&amp;DUVET SET</t>
  </si>
  <si>
    <t>Duvet Mini Set</t>
  </si>
  <si>
    <t>3-Piece Tufted Cotton Chenille Medallion Duvet Cover Set</t>
  </si>
  <si>
    <t>4/19/2021</t>
  </si>
  <si>
    <t>MP12-5981</t>
  </si>
  <si>
    <t>4/17/2020</t>
  </si>
  <si>
    <t>MP12-5982</t>
  </si>
  <si>
    <t>PF004302;PP000898</t>
  </si>
  <si>
    <t>AMAZON,CSNSTORES,HSNDS,KOHLDSN,MACY02,OLLIIX,OVERSTOCK01,TGTDVS</t>
  </si>
  <si>
    <t>MP12-5983</t>
  </si>
  <si>
    <t>MP12-5978</t>
  </si>
  <si>
    <t>AMAZON,AMAZONDS,BLK01,CSNSTORES,JCPENNEY01,KOHLDSN,MACY02,OLLIIX,OVERSTOCK01,TGTDVS,ZOLA</t>
  </si>
  <si>
    <t>7/21/2019</t>
  </si>
  <si>
    <t>4/15/2021</t>
  </si>
  <si>
    <t>MP12-7116</t>
  </si>
  <si>
    <t>3 piece Tufted Cotton duvet cover set</t>
  </si>
  <si>
    <t>3/12/2020</t>
  </si>
  <si>
    <t>AMAZONDS,ASHFURNDS,BLK01,CSNSTORES,JCPENNEY01,KOHLDSN,MACY02,NRTPORT,OLLIIX,OVERSTOCK01,TGTDVS</t>
  </si>
  <si>
    <t>MP12-7117</t>
  </si>
  <si>
    <t>AMAZONDS,ASHFURNDS,BLK01,CSNSTORES,JCPENNEY01,KOHLDSN,MACY02,OLLIIX,OVERSTOCK01,TGTDVS</t>
  </si>
  <si>
    <t>MP12-6207</t>
  </si>
  <si>
    <t>3 Piece Tufted Cotton Chenille Damask Duvet Cover Set</t>
  </si>
  <si>
    <t>3/25/2019</t>
  </si>
  <si>
    <t>AMAZON,AMERSIGNDS,ASHFURNDS,CSNSTORES,JCPENNEY01,KOHLDSN,MACY02,NRTPORT,OLLIIX,OVERSTOCK01,ROOMECOM,TGTDVS,WALMARTDS</t>
  </si>
  <si>
    <t>10/22/2019</t>
  </si>
  <si>
    <t>12/4/2019</t>
  </si>
  <si>
    <t>MP12-6208</t>
  </si>
  <si>
    <t>AMAZON,AMAZONDS,AMERSIGNDS,ASHFURNDS,BLK01,CSNSTORES,HOUZZ,HSNDS,JCPENNEY01,KOHLDSN,MACY02,OLLIIX,OVERSCONSIGN,OVERSTOCK01,ROOMECOM,TGTDVS,WALMARTDS,ZOLA</t>
  </si>
  <si>
    <t>11/25/2019</t>
  </si>
  <si>
    <t>MP12-7104</t>
  </si>
  <si>
    <t>3 piece Tufted Cotton Chenille Damask Duvet Cover Set</t>
  </si>
  <si>
    <t>3/18/2020</t>
  </si>
  <si>
    <t>AMAZON,AMAZONDS,CSNSTORES,HDDS,JCPENNEY01,KOHLDSN,MACY02,OLLIIX,OVERSTOCK01,TGTDVS,ZOLA</t>
  </si>
  <si>
    <t>MP12-7105</t>
  </si>
  <si>
    <t>AMAZON,AMAZONDS,ASHFURNDS,BLK01,CSNSTORES,DESINC,HDDS,JCPENNEY01,KOHLDSN,MACY02,OLLIIX,OVERSTOCK01,TGTDVS,ZOLA</t>
  </si>
  <si>
    <t>MP12-7142</t>
  </si>
  <si>
    <t>3 Piece Tufted Cotton Chenille Duvet Cover Set</t>
  </si>
  <si>
    <t>PP001468;PF005062</t>
  </si>
  <si>
    <t>AMAZON,AMAZONDS,ASHFURNDS,BLK01,CSNSTORES,DESINC,JCPENNEY01,KOHLDSN,MACY02,NRTPORT,OLLIIX,OVERSTOCK01,TGTDVS,WALMARTDS</t>
  </si>
  <si>
    <t>6/29/2020</t>
  </si>
  <si>
    <t>MP12-7143</t>
  </si>
  <si>
    <t>6/8/2020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</si>
  <si>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</si>
  <si>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</si>
  <si>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</si>
  <si>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</si>
  <si>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</si>
  <si>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</si>
  <si>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</si>
  <si>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AMAZONDS,ASHFURNDS,BLK01,CSNSTORES,HOUZZ,JCPENNEY01,KOHLDSN,MACY02,OLLIIX,OVERSTOCK01,TGTDVS,WALMARTDS,ZOLA</t>
  </si>
  <si>
    <t>5/7/2021</t>
  </si>
  <si>
    <t>MP12-6167</t>
  </si>
  <si>
    <t>3 Piece Cotton Printed Duvet Cover Set</t>
  </si>
  <si>
    <t>4/1/2019</t>
  </si>
  <si>
    <t>AMAZON,AMAZONDS,BEALLSDS,BIGLOTSDS,BLK01,CSNSTORES,HSNDS,JCPENNEY01,KOHLDSN,MACY02,NRTPORT,OLLIIX,OVERSTOCK01,TGTDVS,WALMARTDS</t>
  </si>
  <si>
    <t>MP12-7837</t>
  </si>
  <si>
    <t>PP001093;PF005654</t>
  </si>
  <si>
    <t>2/24/2022</t>
  </si>
  <si>
    <t>MP12-7838</t>
  </si>
  <si>
    <t>AMAZONDS,ASHFURNDS,CSNSTORES,JCPENNEY01,KOHLDSN,MACY02,NRTPORT,OLLIIX,OVERSTOCK01,TGTDVS</t>
  </si>
  <si>
    <t>MP12-6394</t>
  </si>
  <si>
    <t>3 Piece Tufted Cotton Chenille Floral Duvet Cover Set</t>
  </si>
  <si>
    <t>Warm Grey/White</t>
  </si>
  <si>
    <t>PP001234;PF004710</t>
  </si>
  <si>
    <t>6/5/2019</t>
  </si>
  <si>
    <t>ASHFURNDS,BLK01,CSNSTORES,JCPENNEY01,KOHLDSN,MACY02,OLLIIX,OVERSTOCK01,TGTDVS,WALMARTDS</t>
  </si>
  <si>
    <t>3/31/2020</t>
  </si>
  <si>
    <t>MP12-6395</t>
  </si>
  <si>
    <t>5/7/2020</t>
  </si>
  <si>
    <t>MP12-7825</t>
  </si>
  <si>
    <t>PP001234;PF005648</t>
  </si>
  <si>
    <t>MP12-7826</t>
  </si>
  <si>
    <t>MP12-5626</t>
  </si>
  <si>
    <t>Finley</t>
  </si>
  <si>
    <t>Rianon</t>
  </si>
  <si>
    <t>Lucina</t>
  </si>
  <si>
    <t>3 Piece Cotton Waffle Weave Duvet Cover Set</t>
  </si>
  <si>
    <t>PP000854;PF004193</t>
  </si>
  <si>
    <t>4/24/2018</t>
  </si>
  <si>
    <t>AMERSIGNDS,ASHFURNDS,CSNSTORES,JCPENNEY01,KOHLDSN,OLLIIX,OVERSTOCK01,TGTDVS,WALMARTDS,ZOLA</t>
  </si>
  <si>
    <t>2/11/2019</t>
  </si>
  <si>
    <t>MP12-5627</t>
  </si>
  <si>
    <t>AMERSIGNDS,CSNSTORES,JCPENNEY01,KOHLDSN,OLLIIX,OVERSTOCK01,TGTDVS,ZOLA</t>
  </si>
  <si>
    <t>4/15/2019</t>
  </si>
  <si>
    <t>MP12-6224</t>
  </si>
  <si>
    <t>Bahari</t>
  </si>
  <si>
    <t>Osanna</t>
  </si>
  <si>
    <t>Ceiba</t>
  </si>
  <si>
    <t>3 Piece Tufted Cotton Chenille Palm Duvet Cover Set</t>
  </si>
  <si>
    <t>PF004613;PP001114</t>
  </si>
  <si>
    <t>11/13/2024</t>
  </si>
  <si>
    <t>AMAZONDS,AMERSIGNDS,CSNSTORES,HOUZZ,JCPENNEY01,KOHLDSN,MACY02,OLLIIX,OVERSTOCK01,TGTDVS</t>
  </si>
  <si>
    <t>4/6/2020</t>
  </si>
  <si>
    <t>MP12-8369</t>
  </si>
  <si>
    <t>3 Piece Floral Printed Cotton Duvet Cover Set</t>
  </si>
  <si>
    <t>BLK01,CSNSTORES,KOHLDSN,MACY02,NRTPORT,OLLIIX,OVERSTOCK01,TGTDVS</t>
  </si>
  <si>
    <t>MP12-8370</t>
  </si>
  <si>
    <t>CSNSTORES,DESINC,KOHLDSN,MACY02,OLLIIX,OVERSTOCK01,TGTDVS</t>
  </si>
  <si>
    <t>MP12-8357</t>
  </si>
  <si>
    <t>3 Piece Floral Cotton Duvet Cover Set</t>
  </si>
  <si>
    <t>AMAZON,CSNSTORES,JCPENNEY01,KOHLDSN,MACY02,OLLIIX,OVERSTOCK01,TGTDVS</t>
  </si>
  <si>
    <t>MP12-8358</t>
  </si>
  <si>
    <t>AMAZON,BLK01,CSNSTORES,JCPENNEY01,KOHLDSN,MACY02,OLLIIX,TGTDVS</t>
  </si>
  <si>
    <t>MP12-8492</t>
  </si>
  <si>
    <t>3 Piece Cotton Duvet Cover Set</t>
  </si>
  <si>
    <t>KOHLDSN,MACY02,OVERSTOCK01</t>
  </si>
  <si>
    <t>MP12-8493</t>
  </si>
  <si>
    <t>KOHLDSN,MACY02,OLLIIX,OVERSTOCK01,TGTDVS</t>
  </si>
  <si>
    <t>MP12-8412</t>
  </si>
  <si>
    <t>3 Piece Pintuck Duvet Cover Set</t>
  </si>
  <si>
    <t>MP12-8413</t>
  </si>
  <si>
    <t>BLK01,CSNSTORES,DESINC,JCPENNEY01,KOHLDSN,MACY02,OLLIIX,OVERSTOCK01,TGTDVS</t>
  </si>
  <si>
    <t>MP12-8318</t>
  </si>
  <si>
    <t>3 Piece Floral Printed Duvet Cover Set</t>
  </si>
  <si>
    <t>MP12-8319</t>
  </si>
  <si>
    <t>MP12-8373</t>
  </si>
  <si>
    <t>3 Piece Stripe Duvet Cover Set</t>
  </si>
  <si>
    <t>1/16/2025</t>
  </si>
  <si>
    <t>BLK01,CSNSTORES,KOHLDSN,OLLIIX,OVERSTOCK01,TGTDVS</t>
  </si>
  <si>
    <t>MP12-8374</t>
  </si>
  <si>
    <t>MP12-476</t>
  </si>
  <si>
    <t>Duvet&amp;Duvet Set</t>
  </si>
  <si>
    <t>6 Piece Printed Duvet Cover Set</t>
  </si>
  <si>
    <t>PF003375;PP000530</t>
  </si>
  <si>
    <t>AMAZON,BLK01,CSNSTORES,JCPENNEY01,KOHLDSN,MACY02,OLLIIX,OVERSTOCK01,TGTDVS,WALMARTDS</t>
  </si>
  <si>
    <t>MP12-477</t>
  </si>
  <si>
    <t>AMAZON,CSNSTORES,JCPENNEY01,KOHLDSN,MACY02,NRTPORT,OVERSTOCK01,TGTDVS,WALMARTDS</t>
  </si>
  <si>
    <t>MP12-3832</t>
  </si>
  <si>
    <t>PF003377</t>
  </si>
  <si>
    <t>AMAZON,AMAZONDS,BLK01,CSNSTORES,JCPENNEY01,KOHLDSN,MACY02,NRTPORT,OVERSTOCK01,ROOMECOM,TGTDVS,WALMARTDS</t>
  </si>
  <si>
    <t>10/8/2017</t>
  </si>
  <si>
    <t>MP12-3833</t>
  </si>
  <si>
    <t>5/17/2017</t>
  </si>
  <si>
    <t>2/14/2025</t>
  </si>
  <si>
    <t>AMAZON,AMAZONDS,BLK01,CSNSTORES,HSNDS,JCPENNEY01,KOHLDSN,MACY02,NRTPORT,OVERSTOCK01,ROOMECOM,TGTDVS,WALMARTDS</t>
  </si>
  <si>
    <t>4/25/2018</t>
  </si>
  <si>
    <t>MP12-7956</t>
  </si>
  <si>
    <t>PP001783;PF005737</t>
  </si>
  <si>
    <t>MP12-7957</t>
  </si>
  <si>
    <t>MP12-260</t>
  </si>
  <si>
    <t>AMAZON,AMAZONDS,CSNSTORES,DESINC,JCPENNEY01,KOHLDSN,MACY02,OLLIIX,OVERSTOCK01,TGTDVS,WALMARTDS</t>
  </si>
  <si>
    <t>MP12-261</t>
  </si>
  <si>
    <t>AMAZON,BLK01,CSNSTORES,JCPENNEY01,KOHLDSN,MACY02,NRTPORT,OLLIIX,OVERSTOCK01,TGTDVS,WALMARTDS</t>
  </si>
  <si>
    <t>MP12-2530</t>
  </si>
  <si>
    <t>4 Piece Microfiber 2-in-1 Duvet Set</t>
  </si>
  <si>
    <t>BLK01,CSNSTORES,DESINC,HOUZZ,JCPENNEY01,KOHLDSN,MACY02,NRTPORT,OLLIIX,OVERSTOCK01,TGTDVS,WALMARTDS</t>
  </si>
  <si>
    <t>11/29/2016</t>
  </si>
  <si>
    <t>MP12-2531</t>
  </si>
  <si>
    <t>ASHFURNDS,BLK01,CSNSTORES,DESINC,JCPENNEY01,KOHLDSN,MACY02,OLLIIX,OVERSCONSIGN,OVERSTOCK01,TGTDVS,WALMARTDS</t>
  </si>
  <si>
    <t>2/20/2017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</si>
  <si>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</si>
  <si>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</si>
  <si>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</si>
  <si>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</si>
  <si>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</si>
  <si>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</si>
  <si>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</si>
  <si>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BLK01,CSNSTORES,JCPENNEY01,KOHLDSN,MACY02,NRTPORT,OLLIIX,OVERSTOCK01,TGTDVS</t>
  </si>
  <si>
    <t>5/11/2017</t>
  </si>
  <si>
    <t>MP12-3737</t>
  </si>
  <si>
    <t>8/25/2017</t>
  </si>
  <si>
    <t>MP12-3053</t>
  </si>
  <si>
    <t>PF002681;PP000388</t>
  </si>
  <si>
    <t>5/9/2017</t>
  </si>
  <si>
    <t>MP12-3054</t>
  </si>
  <si>
    <t>AMAZON,AMAZONDS,CSNSTORES,JCPENNEY01,KOHLDSN,MACY02,NRTPORT,OVERSTOCK01,TGTDVS</t>
  </si>
  <si>
    <t>MP12-8339</t>
  </si>
  <si>
    <t>4 Piece Printed Duvet Cover Set with Throw Pillow</t>
  </si>
  <si>
    <t>AMAZON,CSNSTORES,KOHLDSN,OLLIIX,OVERSTOCK01,TGTDVS</t>
  </si>
  <si>
    <t>MP12-8340</t>
  </si>
  <si>
    <t>AMAZON,CSNSTORES,DESINC,KOHLDSN,MACY02,OLLIIX,OVERSTOCK01,TGTDVS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</si>
  <si>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</si>
  <si>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</si>
  <si>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</si>
  <si>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</si>
  <si>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</si>
  <si>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</si>
  <si>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</si>
  <si>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ASHFURNDS,BLK01,CSNSTORES,JCPENNEY01,KOHLDSN,MACY02,OLLIIX,OVERSTOCK01,TGTDVS,ZOLA</t>
  </si>
  <si>
    <t>7/23/2021</t>
  </si>
  <si>
    <t>MP12-6186</t>
  </si>
  <si>
    <t>ASHFURNDS,BEALLSDS,BLK01,CSNSTORES,JCPENNEY01,KOHLDSN,MACY02,OLLIIX,OVERSTOCK01,TGTDVS</t>
  </si>
  <si>
    <t>4/3/2020</t>
  </si>
  <si>
    <t>MP12-8075</t>
  </si>
  <si>
    <t>6 Piece Cotton Sateen Duvet Cover Set</t>
  </si>
  <si>
    <t>PP000484;PF005793</t>
  </si>
  <si>
    <t>MP12-8076</t>
  </si>
  <si>
    <t>MP12-2707</t>
  </si>
  <si>
    <t>PF002758;PP000484</t>
  </si>
  <si>
    <t>AMAZON,AMAZONDS,BLK01,CSNSTORES,KOHLDSN,MACY02,OLLIIX,OVERSTOCK01,TGTDVS</t>
  </si>
  <si>
    <t>MP12-2708</t>
  </si>
  <si>
    <t>1/4/2017</t>
  </si>
  <si>
    <t>MP12-7215</t>
  </si>
  <si>
    <t>6 Piece Herringbone Duvet Cover Set</t>
  </si>
  <si>
    <t>PP001539;PF005194</t>
  </si>
  <si>
    <t>AMAZONDS,ASHFURNDS,BLK01,CSNSTORES,DESINC,JCPENNEY01,KOHLDSN,MACY02,NRTPORT,OLLIIX,OVERSTOCK01,TGTDVS</t>
  </si>
  <si>
    <t>MP12-7216</t>
  </si>
  <si>
    <t>AMAZONDS,ASHFURNDS,CSNSTORES,DESINC,KOHLDSN,MACY02,OLLIIX,OVERSTOCK01,TGTDVS</t>
  </si>
  <si>
    <t>MP12-4672</t>
  </si>
  <si>
    <t>BLK01,CSNSTORES,JCPENNEY01,KIRKLANDDS,KOHLDSN,MACY02,OVERSTOCK01,TGTDVS</t>
  </si>
  <si>
    <t>MP12-4673</t>
  </si>
  <si>
    <t>BLK01,CSNSTORES,JCPENNEY01,KOHLDSN,MACY02,OVERSTOCK01,TGTDVS</t>
  </si>
  <si>
    <t>4/13/2018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</si>
  <si>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</si>
  <si>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</si>
  <si>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</si>
  <si>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</si>
  <si>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</si>
  <si>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</si>
  <si>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</si>
  <si>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AMAZON,AMAZONDS,BIGLOTSDS,BLK01,CSNSTORES,HSNDS,KIRKLANDDS,KOHLDSN,MACY02,OLLIIX,OVERSCONSIGN,OVERSTOCK01,ROOMECOM,TGTDVS,WALMARTDS,ZOLA</t>
  </si>
  <si>
    <t>2/22/2019</t>
  </si>
  <si>
    <t>MP50-8385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</si>
  <si>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</si>
  <si>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</si>
  <si>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</si>
  <si>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</si>
  <si>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5/24/2017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</si>
  <si>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</si>
  <si>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</si>
  <si>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</si>
  <si>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</si>
  <si>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</si>
  <si>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</si>
  <si>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</si>
  <si>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</si>
  <si>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AMAZON,AMAZONDS,CSNSTORES,DESINC,HOUZZ,JCPENNEY01,KOHLDSN,NRTPORT,OLLIIX,OVERSTOCK01,TGTDVS,WALMARTDS</t>
  </si>
  <si>
    <t>6/19/2018</t>
  </si>
  <si>
    <t>MPE10-812</t>
  </si>
  <si>
    <t>Madison Park Essentials</t>
  </si>
  <si>
    <t>RIAB</t>
  </si>
  <si>
    <t>Delaney</t>
  </si>
  <si>
    <t>Parker</t>
  </si>
  <si>
    <t>Emerson</t>
  </si>
  <si>
    <t>24 Piece Room In a Bag</t>
  </si>
  <si>
    <t>PP000639;PF004751</t>
  </si>
  <si>
    <t>24</t>
  </si>
  <si>
    <t>7/22/2019</t>
  </si>
  <si>
    <t>AAFESDS,AMAZON,AMAZONDS,BLK01,CSNSTORES,JCPENNEY01,KOHLDSN,MACY02,NRTPORT,OLLIIX,OVERSTOCK01,ROOMECOM,TGTDVS,WALMARTDS</t>
  </si>
  <si>
    <t>MPE10-814</t>
  </si>
  <si>
    <t>AMAZON,AMAZONDS,BLK01,CSNSTORES,JCPENNEY01,KOHLDSN,MACY02,NRTPORT,OLLIIX,OVERSTOCK01,ROOMECOM,TGTDVS,WALMARTDS</t>
  </si>
  <si>
    <t>5/15/2020</t>
  </si>
  <si>
    <t>MPE10-707</t>
  </si>
  <si>
    <t>PF004065;PP000639</t>
  </si>
  <si>
    <t>AAFESDS,AMAZON,AMAZONDS,BLK01,CSNSTORES,DESINC,FINGERHUTDS,JCPENNEY01,KOHLDSN,MACY02,NRTPORT,OLLIIX,OVERSTOCK01,TGTDVS,WALMARTDS</t>
  </si>
  <si>
    <t>3/19/2018</t>
  </si>
  <si>
    <t>5/7/2019</t>
  </si>
  <si>
    <t>MPE10-709</t>
  </si>
  <si>
    <t>AMAZON,AMAZONDS,BLK01,CSNSTORES,FINGERHUTDS,JCPENNEY01,KOHLDSN,MACY02,NRTPORT,OVERSTOCK01,TGTDVS,WALMARTDS</t>
  </si>
  <si>
    <t>3/10/2019</t>
  </si>
  <si>
    <t>MPE10-698</t>
  </si>
  <si>
    <t>Joella</t>
  </si>
  <si>
    <t>Loretta</t>
  </si>
  <si>
    <t>Emma</t>
  </si>
  <si>
    <t>PP000636;PF004062</t>
  </si>
  <si>
    <t>Glam/Luxury|Casual</t>
  </si>
  <si>
    <t>AAFESDS,AMAZON,AMAZONDS,BLK01,CSNSTORES,DESINC,FINGERHUTDS,JCPENNEY01,KOHLDSN,MACY02,NRTPORT,OLLIIX,OVERSTOCK01,ROOMECOM,TGTDVS,WALMARTDS</t>
  </si>
  <si>
    <t>8/13/2018</t>
  </si>
  <si>
    <t>MPE10-699</t>
  </si>
  <si>
    <t>24 Piece Room in a Bag</t>
  </si>
  <si>
    <t>AAFESDS,AMAZON,AMAZONDS,BLK01,CSNSTORES,FINGERHUTDS,JCPENNEY01,KOHLDSN,MACY02,NRTPORT,OLLIIX,OVERSTOCK01,ROOMECOM,TGTDVS,WALMARTDS</t>
  </si>
  <si>
    <t>7/24/2018</t>
  </si>
  <si>
    <t>MPE10-700</t>
  </si>
  <si>
    <t>AAFESDS,AMAZON,AMAZONDS,BLK01,CSNSTORES,FINGERHUTDS,JCPENNEY01,KOHLDSN,MACY02,NRTPORT,OVERSTOCK01,TGTDVS,WALMARTDS</t>
  </si>
  <si>
    <t>4/2/2018</t>
  </si>
  <si>
    <t>MPE10-765</t>
  </si>
  <si>
    <t>PP000636;PF004504</t>
  </si>
  <si>
    <t>Cottage/Country|Glam/Luxury</t>
  </si>
  <si>
    <t>11/20/2018</t>
  </si>
  <si>
    <t>AAFESDS,AMAZON,AMAZONDS,BLK01,CSNSTORES,DESINC,JCPENNEY01,KOHLDSN,MACY02,NRTPORT,OLLIIX,OVERSTOCK01,TGTDVS,WALMARTDS</t>
  </si>
  <si>
    <t>2/26/2019</t>
  </si>
  <si>
    <t>MPE10-767</t>
  </si>
  <si>
    <t>12/31/2019</t>
  </si>
  <si>
    <t>MPE10-476</t>
  </si>
  <si>
    <t>PF003692</t>
  </si>
  <si>
    <t>AMAZON,AMAZONDS,BLK01,CSNSTORES,FINGERHUTDS,HSNDS,JCPENNEY01,KOHLDSN,MACY02,NRTPORT,OLLIIX,OVERSCONSIGN,OVERSTOCK01,TGTDVS,WALMARTDS</t>
  </si>
  <si>
    <t>12/22/2017</t>
  </si>
  <si>
    <t>MPE10-479</t>
  </si>
  <si>
    <t>PF003691</t>
  </si>
  <si>
    <t>6/1/2017</t>
  </si>
  <si>
    <t>AAFESDS,AMAZON,AMAZONDS,AMERSIGNDS,BLK01,CSNSTORES,FINGERHUTDS,JCPENNEY01,KOHLDSN,MACY02,NRTPORT,OLLIIX,OVERSTOCK01,ROOMECOM,TGTDVS,WALMARTDS</t>
  </si>
  <si>
    <t>12/4/2017</t>
  </si>
  <si>
    <t>MPE10-480</t>
  </si>
  <si>
    <t>AAFESDS,AMAZON,AMAZONDS,BLK01,CSNSTORES,JCPENNEY01,KOHLDSN,MACY02,NRTPORT,OVERSCONSIGN,OVERSTOCK01,ROOMECOM,TGTDVS,WALMARTDS</t>
  </si>
  <si>
    <t>12/27/2017</t>
  </si>
  <si>
    <t>MPE10-481</t>
  </si>
  <si>
    <t>AAFESDS,AMAZON,AMAZONDS,AMERSIGNDS,BLK01,CSNSTORES,DESINC,FINGERHUTDS,JCPENNEY01,KOHLDSN,MACY02,NRTPORT,OVERSTOCK01,ROOMECOM,TGTDVS,WALMARTDS</t>
  </si>
  <si>
    <t>5/7/2018</t>
  </si>
  <si>
    <t>MPE10-810</t>
  </si>
  <si>
    <t>PP000636;PF004747</t>
  </si>
  <si>
    <t>7/12/2019</t>
  </si>
  <si>
    <t>AMAZON,BLK01,CSNSTORES,JCPENNEY01,KOHLDSN,MACY02,NRTPORT,OVERSTOCK01,TGTDVS</t>
  </si>
  <si>
    <t>MPE10-811</t>
  </si>
  <si>
    <t>AMAZON,BLK01,CSNSTORES,FINGERHUTDS,JCPENNEY01,MACY02,NRTPORT,OVERSTOCK01,TGTDVS</t>
  </si>
  <si>
    <t>MPE10-727</t>
  </si>
  <si>
    <t>Maible</t>
  </si>
  <si>
    <t>Calla</t>
  </si>
  <si>
    <t>7 Piece Comforter Set with Cotton Bed Sheets</t>
  </si>
  <si>
    <t>Twin</t>
  </si>
  <si>
    <t>PP000877;PF004250</t>
  </si>
  <si>
    <t>3/28/2018</t>
  </si>
  <si>
    <t>AMAZON,AMAZONDS,CSNSTORES,HSNDS,JCPENNEY01,KOHLDSN,MACY02,NRTPORT,OLLIIX,OVERSTOCK01,TGTDVS,WALMARTDS</t>
  </si>
  <si>
    <t>11/24/2019</t>
  </si>
  <si>
    <t>2/4/2020</t>
  </si>
  <si>
    <t>MPE10-728</t>
  </si>
  <si>
    <t>9 Piece Comforter Set with Cotton Bed Sheets</t>
  </si>
  <si>
    <t>AMAZON,AMAZONDS,BLK01,CSNSTORES,DESINC,FINGERHUTDS,HSNDS,JCPENNEY01,KOHLDSN,MACY02,NRTPORT,OLLIIX,OVERSTOCK01,TGTDVS,WALMARTDS</t>
  </si>
  <si>
    <t>6/3/2020</t>
  </si>
  <si>
    <t>MPE10-730</t>
  </si>
  <si>
    <t>AMAZON,BLK01,CSNSTORES,FINGERHUTDS,HSNDS,JCPENNEY01,KOHLDSN,MACY02,NRTPORT,OLLIIX,OVERSTOCK01,TGTDVS,WALMARTDS</t>
  </si>
  <si>
    <t>MPE10-731</t>
  </si>
  <si>
    <t>AMAZON,BLK01,CSNSTORES,DESINC,FINGERHUTDS,HSNDS,JCPENNEY01,KOHLDSN,MACY02,NRTPORT,OVERSTOCK01,ROOMECOM,TGTDVS</t>
  </si>
  <si>
    <t>3/16/2020</t>
  </si>
  <si>
    <t>MPE10-859</t>
  </si>
  <si>
    <t>Blush/Grey</t>
  </si>
  <si>
    <t>PF004932</t>
  </si>
  <si>
    <t>11/8/2019</t>
  </si>
  <si>
    <t>MPE10-860</t>
  </si>
  <si>
    <t>AMAZON,BLK01,CSNSTORES,DESINC,JCPENNEY01,KOHLDSN,MACY02,NRTPORT,OVERSTOCK01,TGTDVS,WALMARTDS</t>
  </si>
  <si>
    <t>7/16/2020</t>
  </si>
  <si>
    <t>MPE10-862</t>
  </si>
  <si>
    <t>AMAZON,AMAZONDS,BLK01,CSNSTORES,DESINC,HSNDS,JCPENNEY01,KOHLDSN,MACY02,NRTPORT,OLLIIX,OVERSTOCK01,TGTDVS,WALMARTDS</t>
  </si>
  <si>
    <t>MPE10-863</t>
  </si>
  <si>
    <t>AMAZON,AMAZONDS,BLK01,CSNSTORES,HSNDS,JCPENNEY01,KOHLDSN,MACY02,NRTPORT,OLLIIX,OVERSTOCK01,TGTDVS,WALMARTDS</t>
  </si>
  <si>
    <t>12/6/2020</t>
  </si>
  <si>
    <t>MPE10-732</t>
  </si>
  <si>
    <t>PP000877;PF004251</t>
  </si>
  <si>
    <t>AMAZON,AMAZONDS,BLK01,CSNSTORES,DESINC,HSNDS,JCPENNEY01,KOHLDSN,MACY02,OVERSTOCK01,TGTDVS,WALMARTDS</t>
  </si>
  <si>
    <t>6/1/2020</t>
  </si>
  <si>
    <t>MPE10-733</t>
  </si>
  <si>
    <t>AMAZON,AMAZONDS,BLK01,CSNSTORES,DESINC,FINGERHUTDS,HSNDS,JCPENNEY01,KOHLDSN,MACY02,OVERSTOCK01,ROOMECOM,TGTDVS,WALMARTDS</t>
  </si>
  <si>
    <t>MPE10-735</t>
  </si>
  <si>
    <t>AMAZON,BEALLSDS,BLK01,CSNSTORES,FINGERHUTDS,HSNDS,JCPENNEY01,KOHLDSN,MACY02,NRTPORT,OLLIIX,OVERSTOCK01,ROOMECOM,TGTDVS,WALMARTDS</t>
  </si>
  <si>
    <t>1/9/2020</t>
  </si>
  <si>
    <t>MPE10-736</t>
  </si>
  <si>
    <t>AMAZON,BLK01,CSNSTORES,DESINC,FINGERHUTDS,HSNDS,JCPENNEY01,KOHLDSN,MACY02,OLLIIX,OVERSTOCK01,WALMARTDS</t>
  </si>
  <si>
    <t>MPE10-005</t>
  </si>
  <si>
    <t>Knowles</t>
  </si>
  <si>
    <t>Glendale</t>
  </si>
  <si>
    <t>Cabrillo</t>
  </si>
  <si>
    <t>PF003651;PP000436</t>
  </si>
  <si>
    <t>AMAZON,AMAZONDS,ASHFURNDS,CSNSTORES,JCPENNEY01,KOHLDSN,MACY02,NRTPORT,OVERSTOCK01,TGTDVS</t>
  </si>
  <si>
    <t>5/26/2015</t>
  </si>
  <si>
    <t>MPE10-006</t>
  </si>
  <si>
    <t>MPE10-007</t>
  </si>
  <si>
    <t>AMAZON,AMAZONDS,ASHFURNDS,BLK01,CSNSTORES,JCPENNEY01,KOHLDSN,MACY02,NRTPORT,OVERSTOCK01,TGTDVS,WALMARTDS</t>
  </si>
  <si>
    <t>5/25/2015</t>
  </si>
  <si>
    <t>MPE10-008</t>
  </si>
  <si>
    <t>AMAZON,AMAZONDS,ASHFURNDS,BLK01,CSNSTORES,HSNDS,JCPENNEY01,KOHLDSN,MACY02,OLLIIX,OVERSTOCK01,TGTDVS,WALMARTDS</t>
  </si>
  <si>
    <t>MPE10-030</t>
  </si>
  <si>
    <t>AMAZON,AMAZONDS,ASHFURNDS,BLK01,CSNSTORES,HSNDS,JCPENNEY01,KOHLDSN,MACY02,OVERSTOCK01,TGTDVS</t>
  </si>
  <si>
    <t>6/4/2015</t>
  </si>
  <si>
    <t>MPE10-158</t>
  </si>
  <si>
    <t>PF003652</t>
  </si>
  <si>
    <t>AMAZON,AMAZONDS,CSNSTORES,JCPENNEY01,KOHLDSN,MACY02,NRTPORT,OVERSTOCK01,TGTDVS,WALMARTDS</t>
  </si>
  <si>
    <t>11/28/2016</t>
  </si>
  <si>
    <t>MPE10-159</t>
  </si>
  <si>
    <t>10/13/2016</t>
  </si>
  <si>
    <t>MPE10-160</t>
  </si>
  <si>
    <t>AMAZON,AMAZONDS,BLK01,CSNSTORES,HSNDS,JCPENNEY01,KOHLDSN,MACY02,OLLIIX,OVERSTOCK01,TGTDVS,WALMARTDS</t>
  </si>
  <si>
    <t>10/27/2016</t>
  </si>
  <si>
    <t>MPE10-161</t>
  </si>
  <si>
    <t>AMAZON,AMAZONDS,BLK01,CSNSTORES,HOUZZ,JCPENNEY01,KOHLDSN,MACY02,NRTPORT,OLLIIX,OVERSTOCK01,TGTDVS,WALMARTDS</t>
  </si>
  <si>
    <t>11/14/2016</t>
  </si>
  <si>
    <t>MPE10-162</t>
  </si>
  <si>
    <t>9/19/2016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</si>
  <si>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</si>
  <si>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</si>
  <si>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</si>
  <si>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</si>
  <si>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</si>
  <si>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</si>
  <si>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Transitional Modern</t>
  </si>
  <si>
    <t>11/26/2019</t>
  </si>
  <si>
    <t>AMAZON,AMAZONDS,ASHFURNDS,BIGLOTSDS,BLK01,CSNSTORES,HDDS,HSNDS,JCPENNEY01,KOHLDSN,MACY02,OLLIIX,OVERSTOCK01,ROOMECOM,TGTDVS,WALMARTDS</t>
  </si>
  <si>
    <t>9/23/2020</t>
  </si>
  <si>
    <t>MPE10-880</t>
  </si>
  <si>
    <t>Reversible 8 Piece Comforter Set with Bed Sheets</t>
  </si>
  <si>
    <t>12/5/2019</t>
  </si>
  <si>
    <t>AMAZON,AMAZONDS,ASHFURNDS,BEALLSDS,BIGLOTSDS,BLK01,CSNSTORES,HDDS,HSNDS,JCPENNEY01,KOHLDSN,LOWESDS,MACY02,NRTPORT,OLLIIX,OVERSTOCK01,ROOMECOM,TGTDVS,WALMARTDS</t>
  </si>
  <si>
    <t>4/26/2020</t>
  </si>
  <si>
    <t>MPE10-881</t>
  </si>
  <si>
    <t>AMAZON,AMAZONDS,ASHFURNDS,BIGLOTSDS,BLK01,CSNSTORES,HDDS,HSNDS,JCPENNEY01,KOHLDSN,LOWESDS,MACY02,OLLIIX,OVERSTOCK01,ROOMECOM,TGTDVS,WALMARTDS</t>
  </si>
  <si>
    <t>7/17/2020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</si>
  <si>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</si>
  <si>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</si>
  <si>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</si>
  <si>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</si>
  <si>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</si>
  <si>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</si>
  <si>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</si>
  <si>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</si>
  <si>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BLK01,CSNSTORES,FINGERHUTDS,JCPENNEY01,KOHLDSN,MACY02,NRTPORT,OLLIIX,OVERSTOCK01,TGTDVS,WALMARTDS</t>
  </si>
  <si>
    <t>9/14/2020</t>
  </si>
  <si>
    <t>MPE10-796</t>
  </si>
  <si>
    <t>BLK01,CSNSTORES,DESINC,FINGERHUTDS,JCPENNEY01,KOHLDSN,MACY02,OLLIIX,OVERSTOCK01,TGTDVS,WALMARTDS</t>
  </si>
  <si>
    <t>12/9/2019</t>
  </si>
  <si>
    <t>MPE10-797</t>
  </si>
  <si>
    <t>BLK01,CSNSTORES,DESINC,FINGERHUTDS,JCPENNEY01,KOHLDSN,MACY02,NRTPORT,OLLIIX,OVERSTOCK01,TGTDVS,WALMARTDS</t>
  </si>
  <si>
    <t>MPE10-376</t>
  </si>
  <si>
    <t>Lafael</t>
  </si>
  <si>
    <t>Eden</t>
  </si>
  <si>
    <t>Rowan</t>
  </si>
  <si>
    <t>PF003696</t>
  </si>
  <si>
    <t>9/3/2017</t>
  </si>
  <si>
    <t>10/9/2017</t>
  </si>
  <si>
    <t>MPE10-377</t>
  </si>
  <si>
    <t>9/29/2017</t>
  </si>
  <si>
    <t>MPE10-380</t>
  </si>
  <si>
    <t>AMAZON,CSNSTORES,HSNDS,JCPENNEY01,KOHLDSN,MACY02,OVERSTOCK01,TGTDVS,WALMARTDS</t>
  </si>
  <si>
    <t>10/10/2017</t>
  </si>
  <si>
    <t>MPE10-693</t>
  </si>
  <si>
    <t>Saben</t>
  </si>
  <si>
    <t>Barret</t>
  </si>
  <si>
    <t>Seth</t>
  </si>
  <si>
    <t>PP000497;PF004057</t>
  </si>
  <si>
    <t>10/18/2017</t>
  </si>
  <si>
    <t>7/18/2018</t>
  </si>
  <si>
    <t>MPE10-694</t>
  </si>
  <si>
    <t>AMAZON,AMAZONDS,BEALLSDS,CSNSTORES,JCPENNEY01,KOHLDSN,MACY02,OLLIIX,OVERSTOCK01,ROOMECOM,TGTDVS</t>
  </si>
  <si>
    <t>7/31/2018</t>
  </si>
  <si>
    <t>MPE10-696</t>
  </si>
  <si>
    <t>AMAZON,AMAZONDS,BEALLSDS,BLK01,CSNSTORES,FINGERHUTDS,JCPENNEY01,KOHLDSN,MACY02,NRTPORT,OLLIIX,OVERSTOCK01,ROOMECOM,TGTDVS,WALMARTDS</t>
  </si>
  <si>
    <t>7/17/2018</t>
  </si>
  <si>
    <t>MPE10-697</t>
  </si>
  <si>
    <t>AMAZON,AMAZONDS,CSNSTORES,DESINC,FINGERHUTDS,JCPENNEY01,KOHLDSN,MACY02,OLLIIX,OVERSTOCK01,ROOMECOM,TGTDVS,WALMARTDS</t>
  </si>
  <si>
    <t>7/5/2018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</si>
  <si>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</si>
  <si>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</si>
  <si>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</si>
  <si>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</si>
  <si>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</si>
  <si>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</si>
  <si>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</si>
  <si>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</si>
  <si>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AMAZON,AMAZONDS,CSNSTORES,KOHLDSN,MACY02,OVERSTOCK01,TGTDVS</t>
  </si>
  <si>
    <t>MPE10-1055</t>
  </si>
  <si>
    <t>MPE10-1056</t>
  </si>
  <si>
    <t>AMAZONDS,CSNSTORES,KOHLDSN,MACY02,OLLIIX,OVERSTOCK01,TGTDVS</t>
  </si>
  <si>
    <t>MPE10-1057</t>
  </si>
  <si>
    <t>CS10-1378</t>
  </si>
  <si>
    <t>PF005938;PP001856</t>
  </si>
  <si>
    <t>CS10-1379</t>
  </si>
  <si>
    <t>CS10-1380</t>
  </si>
  <si>
    <t>7/13/2021</t>
  </si>
  <si>
    <t>CS10-1381</t>
  </si>
  <si>
    <t>CS10-1382</t>
  </si>
  <si>
    <t>MPE10-1018</t>
  </si>
  <si>
    <t>Alice</t>
  </si>
  <si>
    <t>Robin</t>
  </si>
  <si>
    <t>Floral Comforter Set with Bed Sheets</t>
  </si>
  <si>
    <t>Mauve</t>
  </si>
  <si>
    <t>PP001866;PF005965</t>
  </si>
  <si>
    <t>5/5/2023</t>
  </si>
  <si>
    <t>AMAZON,ASHFURNDS,BLK01,CSNSTORES,DESINC,JCPENNEY01,KOHLDSN,MACY02,NRTPORT,OLLIIX,OVERSTOCK01,TGTDVS</t>
  </si>
  <si>
    <t>MPE10-1019</t>
  </si>
  <si>
    <t>MPE10-1020</t>
  </si>
  <si>
    <t>MPE10-1021</t>
  </si>
  <si>
    <t>AMAZON,ASHFURNDS,BLK01,CSNSTORES,DESINC,JCPENNEY01,KOHLDSN,MACY02,OLLIIX,OVERSTOCK01,TGTDVS</t>
  </si>
  <si>
    <t>MPE10-1022</t>
  </si>
  <si>
    <t>AMAZON,ASHFURNDS,BLK01,CSNSTORES,JCPENNEY01,KOHLDSN,MACY02,OVERSTOCK01,TGTDVS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</si>
  <si>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</si>
  <si>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</si>
  <si>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</si>
  <si>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</si>
  <si>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</si>
  <si>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</si>
  <si>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</si>
  <si>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</si>
  <si>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AMAZON,AMAZONDS,CSNSTORES,DESINC,JCPENNEY01,KOHLDSN,MACY02,NRTPORT,OLLIIX,OVERSTOCK01,TGTDVS</t>
  </si>
  <si>
    <t>MPE10-1032</t>
  </si>
  <si>
    <t>AMAZON,AMAZONDS,CSNSTORES,DESINC,JCPENNEY01,KOHLDSN,MACY02,NRTPORT,OVERSTOCK01,TGTDVS</t>
  </si>
  <si>
    <t>MPE10-1033</t>
  </si>
  <si>
    <t>MPE10-1034</t>
  </si>
  <si>
    <t>MPE10-1035</t>
  </si>
  <si>
    <t>AMAZON,BLK01,CSNSTORES,JCPENNEY01,KOHLDSN,OVERSTOCK01,TGTDVS</t>
  </si>
  <si>
    <t>MPE10-985</t>
  </si>
  <si>
    <t>Blue/Grey</t>
  </si>
  <si>
    <t>PF005879;PP001834</t>
  </si>
  <si>
    <t>11/14/2022</t>
  </si>
  <si>
    <t>AMAZON,AMAZONDS,ASHFURNDS,BIGLOTSDS,BLK01,CSNSTORES,FINGERHUTDS,JCPENNEY01,KOHLDSN,MACY02,NRTPORT,OLLIIX,OVERSTOCK01,TGTDVS</t>
  </si>
  <si>
    <t>MPE10-986</t>
  </si>
  <si>
    <t>AMAZON,AMAZONDS,ASHFURNDS,BIGLOTSDS,BLK01,CSNSTORES,DESINC,FINGERHUTDS,JCPENNEY01,KOHLDSN,MACY02,NRTPORT,OLLIIX,OVERSTOCK01,TGTDVS</t>
  </si>
  <si>
    <t>MPE10-987</t>
  </si>
  <si>
    <t>MPE10-988</t>
  </si>
  <si>
    <t>AMAZON,ASHFURNDS,BIGLOTSDS,CSNSTORES,DESINC,FINGERHUTDS,JCPENNEY01,KOHLDSN,MACY02,NRTPORT,OLLIIX,OVERSTOCK01,TGTDVS</t>
  </si>
  <si>
    <t>MPE10-989</t>
  </si>
  <si>
    <t>AMAZON,BIGLOTSDS,BLK01,CSNSTORES,DESINC,FINGERHUTDS,JCPENNEY01,KOHLDSN,MACY02,OLLIIX,OVERSTOCK01,TGTDVS</t>
  </si>
  <si>
    <t>MPE10-1073</t>
  </si>
  <si>
    <t>Coral/Grey</t>
  </si>
  <si>
    <t>PP001834;PF006310</t>
  </si>
  <si>
    <t>7/30/2024</t>
  </si>
  <si>
    <t>CSNSTORES,KOHLDSN,OLLIIX</t>
  </si>
  <si>
    <t>MPE10-1074</t>
  </si>
  <si>
    <t>6/5/2024</t>
  </si>
  <si>
    <t>CSNSTORES,KOHLDSN,OVERSTOCK01</t>
  </si>
  <si>
    <t>MPE10-1075</t>
  </si>
  <si>
    <t>MPE10-1076</t>
  </si>
  <si>
    <t>7/25/2024</t>
  </si>
  <si>
    <t>CSNSTORES,KOHLDSN,OVERSTOCK01,TGTDVS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</si>
  <si>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</si>
  <si>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</si>
  <si>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</si>
  <si>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</si>
  <si>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</si>
  <si>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</si>
  <si>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</si>
  <si>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</si>
  <si>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</si>
  <si>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</si>
  <si>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</si>
  <si>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</si>
  <si>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</si>
  <si>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</si>
  <si>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</si>
  <si>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MPE10-1058</t>
  </si>
  <si>
    <t>Luna</t>
  </si>
  <si>
    <t>Piper</t>
  </si>
  <si>
    <t>PF002742;PP001974</t>
  </si>
  <si>
    <t>7/26/2024</t>
  </si>
  <si>
    <t>AMAZON,KOHLDSN,OVERSTOCK01,TGTDVS</t>
  </si>
  <si>
    <t>MPE10-1059</t>
  </si>
  <si>
    <t>AMAZON,AMAZONDS,KOHLDSN,MACY02,OVERSTOCK01</t>
  </si>
  <si>
    <t>MPE10-1060</t>
  </si>
  <si>
    <t>6/4/2024</t>
  </si>
  <si>
    <t>AMAZON,KOHLDSN,MACY02,OVERSTOCK01,TGTDVS</t>
  </si>
  <si>
    <t>MPE10-1061</t>
  </si>
  <si>
    <t>MPE10-1062</t>
  </si>
  <si>
    <t>MPE10-1063</t>
  </si>
  <si>
    <t>PF002743;PP001974</t>
  </si>
  <si>
    <t>7/27/2024</t>
  </si>
  <si>
    <t>MPE10-1064</t>
  </si>
  <si>
    <t>AMAZON,KOHLDSN,MACY02,OVERSTOCK01</t>
  </si>
  <si>
    <t>MPE10-1065</t>
  </si>
  <si>
    <t>MPE10-1066</t>
  </si>
  <si>
    <t>MPE10-1067</t>
  </si>
  <si>
    <t>AMAZON,KOHLDSN,MACY02,TGTDVS</t>
  </si>
  <si>
    <t>MPE13-169</t>
  </si>
  <si>
    <t>8 Piece Quilt Set with Cotton Bed Sheets</t>
  </si>
  <si>
    <t>PF003676;PP000497</t>
  </si>
  <si>
    <t>AMAZONDS,ASHFURNDS,BLK01,CSNSTORES,JCPENNEY01,KOHLDSN,OVERSTOCK01,TGTDVS,WALMARTDS</t>
  </si>
  <si>
    <t>5/29/2017</t>
  </si>
  <si>
    <t>MPE13-171</t>
  </si>
  <si>
    <t>AMAZONDS,ASHFURNDS,BLK01,CSNSTORES,DESINC,HSNDS,JCPENNEY01,KOHLDSN,OLLIIX,OVERSTOCK01,TGTDVS,WALMARTDS</t>
  </si>
  <si>
    <t>MPE13-172</t>
  </si>
  <si>
    <t>AMAZON,AMAZONDS,ASHFURNDS,CSNSTORES,DESINC,JCPENNEY01,KOHLDSN,NRTPORT,OLLIIX,OVERSTOCK01,WALMARTDS</t>
  </si>
  <si>
    <t>11/23/2016</t>
  </si>
  <si>
    <t>MPE13-804</t>
  </si>
  <si>
    <t>6 Piece Quilt Set with Cotton Bed Sheets</t>
  </si>
  <si>
    <t>7/5/2019</t>
  </si>
  <si>
    <t>AMAZON,AMAZONDS,CSNSTORES,JCPENNEY01,KOHLDSN,NRTPORT,OLLIIX,OVERSTOCK01,TGTDVS</t>
  </si>
  <si>
    <t>5/11/2020</t>
  </si>
  <si>
    <t>MPE13-805</t>
  </si>
  <si>
    <t>AMAZON,AMAZONDS,BEALLSDS,CSNSTORES,JCPENNEY01,KOHLDSN,OLLIIX,OVERSTOCK01,TGTDVS</t>
  </si>
  <si>
    <t>2/6/2020</t>
  </si>
  <si>
    <t>MPE13-806</t>
  </si>
  <si>
    <t>AMAZON,AMAZONDS,BEALLSDS,CSNSTORES,JCPENNEY01,KOHLDSN,OLLIIX,OVERSTOCK01,TGTDVS,WALMARTDS</t>
  </si>
  <si>
    <t>2/28/2020</t>
  </si>
  <si>
    <t>MPE13-807</t>
  </si>
  <si>
    <t>AMAZON,AMAZONDS,CSNSTORES,JCPENNEY01,KOHLDSN,OLLIIX,OVERSTOCK01,TGTDVS</t>
  </si>
  <si>
    <t>1/14/2020</t>
  </si>
  <si>
    <t>MPE13-808</t>
  </si>
  <si>
    <t>AMAZON,AMAZONDS,BEALLSDS,BLK01,CSNSTORES,JCPENNEY01,KOHLDSN,OLLIIX,OVERSTOCK01</t>
  </si>
  <si>
    <t>3/13/2020</t>
  </si>
  <si>
    <t>MPE13-308</t>
  </si>
  <si>
    <t>PF003651</t>
  </si>
  <si>
    <t>BLK01,CSNSTORES,JCPENNEY01,KOHLDSN,MACY02,OVERSCONSIGN,OVERSTOCK01,TGTDVS,WALMARTDS</t>
  </si>
  <si>
    <t>9/24/2018</t>
  </si>
  <si>
    <t>MPE13-309</t>
  </si>
  <si>
    <t>MPE13-310</t>
  </si>
  <si>
    <t>10/2/2017</t>
  </si>
  <si>
    <t>MPE13-311</t>
  </si>
  <si>
    <t>ASHFURNDS,BEALLSDS,BLK01,CSNSTORES,JCPENNEY01,KOHLDSN,MACY02,OVERSTOCK01,TGTDVS,WALMARTDS</t>
  </si>
  <si>
    <t>2/20/2018</t>
  </si>
  <si>
    <t>5DS13-0166</t>
  </si>
  <si>
    <t>510 Design</t>
  </si>
  <si>
    <t>Oakley</t>
  </si>
  <si>
    <t>Hayley</t>
  </si>
  <si>
    <t>Glen</t>
  </si>
  <si>
    <t>PF004414;PP000972</t>
  </si>
  <si>
    <t>8/11/2018</t>
  </si>
  <si>
    <t>AMAZONDS,ASHFURNDS,BEALLSDS,BLK01,CSNSTORES,FINGERHUTDS,HSNDS,JCPENNEY01,KOHLDSN,MACY02,NRTPORT,OLLIIX,OVERSTOCK01,TGTDVS,WALMARTDS</t>
  </si>
  <si>
    <t>4/23/2019</t>
  </si>
  <si>
    <t>5DS13-0167</t>
  </si>
  <si>
    <t>AMAZON,AMAZONDS,ASHFURNDS,BEALLSDS,BLK01,CSNSTORES,FINGERHUTDS,HDDS,HOUZZ,HSNDS,JCPENNEY01,KOHLDSN,MACY02,NRTPORT,OLLIIX,OVERSTOCK01,ROOMECOM,TGTDVS,WALMARTDS</t>
  </si>
  <si>
    <t>2/13/2019</t>
  </si>
  <si>
    <t>5DS13-0170</t>
  </si>
  <si>
    <t>PF004416;PP000972</t>
  </si>
  <si>
    <t>AMAZON,AMAZONDS,ASHFURNDS,BEALLSDS,BLK01,CSNSTORES,FINGERHUTDS,HDDS,HSNDS,JCPENNEY01,KOHLDSN,MACY02,NRTPORT,OLLIIX,OVERSTOCK01,ROOMECOM,TGTDVS,WALMARTDS</t>
  </si>
  <si>
    <t>5/8/2019</t>
  </si>
  <si>
    <t>5DS13-0168</t>
  </si>
  <si>
    <t>PF004415;PP000972</t>
  </si>
  <si>
    <t>AMAZON,AMAZONDS,ASHFURNDS,BEALLSDS,BLK01,CSNSTORES,FINGERHUTDS,HSNDS,JCPENNEY01,KOHLDSN,MACY02,NRTPORT,OLLIIX,OVERSCONSIGN,OVERSTOCK01,TGTDVS,WALMARTDS</t>
  </si>
  <si>
    <t>8/20/2019</t>
  </si>
  <si>
    <t>5DS13-0290</t>
  </si>
  <si>
    <t>PP000972;PF006115</t>
  </si>
  <si>
    <t>2/6/2024</t>
  </si>
  <si>
    <t>5DS13-0291</t>
  </si>
  <si>
    <t>AMAZON,BLK01,CSNSTORES,HDDS,JCPENNEY01,KOHLDSN,MACY02,OVERSTOCK01,TGTDVS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</si>
  <si>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</si>
  <si>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</si>
  <si>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</si>
  <si>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</si>
  <si>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</si>
  <si>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</si>
  <si>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</si>
  <si>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</si>
  <si>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</si>
  <si>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ASHFURNDS,BEALLSDS,BIGLOTSDS,BLK01,CSNSTORES,JCPENNEY01,KIRKLANDDS,KOHLDSN,MACY02,OLLIIX,OVERSTOCK01,ROOMECOM,TGTDVS,WALMARTDS</t>
  </si>
  <si>
    <t>3/6/2018</t>
  </si>
  <si>
    <t>5DS13-0029</t>
  </si>
  <si>
    <t>BEALLSDS,BLK01,CSNSTORES,HDDS,JCPENNEY01,KIRKLANDDS,KOHLDSN,MACY02,OLLIIX,OVERSTOCK01,ROOMECOM,TGTDVS</t>
  </si>
  <si>
    <t>6/20/2018</t>
  </si>
  <si>
    <t>5DS13-0024</t>
  </si>
  <si>
    <t>PF004284;PP000894</t>
  </si>
  <si>
    <t>BIGLOTSDS,BLK01,CSNSTORES,HOUZZ,JCPENNEY01,KOHLDSN,MACY02,OLLIIX,OVERSTOCK01,TGTDVS</t>
  </si>
  <si>
    <t>6/25/2018</t>
  </si>
  <si>
    <t>5DS13-0032</t>
  </si>
  <si>
    <t>PF004288;PP000894</t>
  </si>
  <si>
    <t>BIGLOTSDS,BLK01,CSNSTORES,JCPENNEY01,KIRKLANDDS,KOHLDSN,MACY02,OLLIIX,OVERSTOCK01,TGTDVS</t>
  </si>
  <si>
    <t>5/21/2018</t>
  </si>
  <si>
    <t>5DS13-0033</t>
  </si>
  <si>
    <t>BLK01,CSNSTORES,HDDS,JCPENNEY01,KOHLDSN,MACY02,OLLIIX,OVERSTOCK01,TGTDVS</t>
  </si>
  <si>
    <t>5/16/2018</t>
  </si>
  <si>
    <t>5DS10-0050</t>
  </si>
  <si>
    <t>Shawnee</t>
  </si>
  <si>
    <t>Josefina</t>
  </si>
  <si>
    <t>Stacie</t>
  </si>
  <si>
    <t>8 Piece Comforter Set</t>
  </si>
  <si>
    <t>PF004214</t>
  </si>
  <si>
    <t>AAFESDS,AMAZON,AMAZONDS,AMERSIGNDS,BEALLSDS,BIGLOTSDS,CSNSTORES,FINGERHUTDS,HDDS,HSNDS,JCPENNEY01,KOHLDSN,LAMPDS,MACY02,NRTPORT,OLLIIX,OVERSTOCK01,ROOMECOM,TGTDVS,WALMARTDS</t>
  </si>
  <si>
    <t>4/17/2018</t>
  </si>
  <si>
    <t>5DS10-0052</t>
  </si>
  <si>
    <t>PF004214;PP001563;PP001733</t>
  </si>
  <si>
    <t>10/28/2024</t>
  </si>
  <si>
    <t>AMAZONDS,BEALLSDS,BLK01,CSNSTORES,HDDS,HSNDS,JCPENNEY01,KOHLDSN,MACY02,NRTPORT,OLLIIX,OVERSTOCK01,TGTDVS,WALMARTDS</t>
  </si>
  <si>
    <t>8/6/2018</t>
  </si>
  <si>
    <t>5DS10-0255</t>
  </si>
  <si>
    <t xml:space="preserve">8 Piece  Comforter Set</t>
  </si>
  <si>
    <t>PF005657;PP001733</t>
  </si>
  <si>
    <t>5/4/2022</t>
  </si>
  <si>
    <t>AMAZONDS,BIGLOTSDS,BLK01,CSNSTORES,HDDS,JCPENNEY01,KOHLDSN,MACY02,NRTPORT,OLLIIX,OVERSTOCK01,TGTDVS</t>
  </si>
  <si>
    <t>5DS10-0256</t>
  </si>
  <si>
    <t>AMAZONDS,BLK01,CSNSTORES,HDDS,JCPENNEY01,KOHLDSN,MACY02,NRTPORT,OLLIIX,OVERSTOCK01,TGTDVS</t>
  </si>
  <si>
    <t>5DS10-0257</t>
  </si>
  <si>
    <t>AMAZONDS,BLK01,CSNSTORES,HDDS,JCPENNEY01,KOHLDSN,MACY02,NRTPORT,OLLIIX,OVERSCONSIGN,OVERSTOCK01,TGTDVS</t>
  </si>
  <si>
    <t>5DS10-0222</t>
  </si>
  <si>
    <t>PF004917</t>
  </si>
  <si>
    <t>9/18/2019</t>
  </si>
  <si>
    <t>AAFESDS,AMAZON,BEALLSDS,BIGLOTSDS,BLK01,CSNSTORES,FINGERHUTDS,HDDS,JCPENNEY01,KOHLDSN,MACY02,NRTPORT,OLLIIX,OVERSTOCK01,TGTDVS</t>
  </si>
  <si>
    <t>Declined</t>
  </si>
  <si>
    <t>5DS10-0223</t>
  </si>
  <si>
    <t>AMAZON,BEALLSDS,BIGLOTSDS,BLK01,CSNSTORES,FINGERHUTDS,HDDS,JCPENNEY01,KOHLDSN,MACY02,NRTPORT,OLLIIX,OVERSTOCK01,TGTDVS</t>
  </si>
  <si>
    <t>5DS10-0224</t>
  </si>
  <si>
    <t>AMAZON,BLK01,CSNSTORES,HDDS,JCPENNEY01,KOHLDSN,MACY02,NRTPORT,OLLIIX,OVERSTOCK01,TGTDVS</t>
  </si>
  <si>
    <t>5DS10-0294</t>
  </si>
  <si>
    <t>Kingwood</t>
  </si>
  <si>
    <t>Elmore</t>
  </si>
  <si>
    <t>8 Piece Embroidered Comforter Set</t>
  </si>
  <si>
    <t>PP001776;PF006374</t>
  </si>
  <si>
    <t>8/29/2024</t>
  </si>
  <si>
    <t>AMAZON,CSNSTORES,KOHLDSN,MACY02,OVERSTOCK01</t>
  </si>
  <si>
    <t>5DS10-0295</t>
  </si>
  <si>
    <t>5DS10-0296</t>
  </si>
  <si>
    <t>AMAZON,AMAZONDS,CSNSTORES,KOHLDSN,MACY02,TGTDVS</t>
  </si>
  <si>
    <t>5DS10-0277</t>
  </si>
  <si>
    <t>PP001776;PF005725</t>
  </si>
  <si>
    <t>7/12/2022</t>
  </si>
  <si>
    <t>AAFESDS,AMAZON,AMAZONDS,BIGLOTSDS,BLK01,CSNSTORES,FINGERHUTDS,HDDS,JCPENNEY01,KOHLDSN,MACY02,NRTPORT,OLLIIX,OVERSTOCK01,TGTDVS</t>
  </si>
  <si>
    <t>5DS10-0278</t>
  </si>
  <si>
    <t>AAFESDS,AMAZON,AMAZONDS,BIGLOTSDS,BLK01,CSNSTORES,DESINC,FINGERHUTDS,HDDS,JCPENNEY01,KOHLDSN,MACY02,NRTPORT,OLLIIX,OVERSTOCK01,ROOMECOM,TGTDVS</t>
  </si>
  <si>
    <t>5DS10-0279</t>
  </si>
  <si>
    <t>AAFESDS,AMAZON,AMAZONDS,BIGLOTSDS,CSNSTORES,DESINC,FINGERHUTDS,HDDS,JCPENNEY01,KOHLDSN,MACY02,NRTPORT,OLLIIX,OVERSCONSIGN,OVERSTOCK01,TGTDVS</t>
  </si>
  <si>
    <t>5DS10-0280</t>
  </si>
  <si>
    <t>PP001776;PF005724</t>
  </si>
  <si>
    <t>AMAZONDS,BIGLOTSDS,BLK01,CSNSTORES,FINGERHUTDS,HDDS,JCPENNEY01,KOHLDSN,MACY02,NRTPORT,OLLIIX,OVERSTOCK01,TGTDVS</t>
  </si>
  <si>
    <t>5DS10-0281</t>
  </si>
  <si>
    <t>AMAZONDS,CSNSTORES,DESINC,FINGERHUTDS,HDDS,JCPENNEY01,KOHLDSN,MACY02,NRTPORT,OLLIIX,OVERSTOCK01,TGTDVS</t>
  </si>
  <si>
    <t>5DS10-0282</t>
  </si>
  <si>
    <t>AMAZONDS,BIGLOTSDS,BLK01,CSNSTORES,FINGERHUTDS,HDDS,JCPENNEY01,KOHLDSN,MACY02,NRTPORT,OVERSTOCK01,TGTDVS</t>
  </si>
  <si>
    <t>5DS10-0218</t>
  </si>
  <si>
    <t>Ramsey</t>
  </si>
  <si>
    <t>Lynda</t>
  </si>
  <si>
    <t>Casey</t>
  </si>
  <si>
    <t>Embroidered 8 Piece Comforter Set</t>
  </si>
  <si>
    <t>PF004870;PP001734</t>
  </si>
  <si>
    <t>8/22/2019</t>
  </si>
  <si>
    <t>AMAZON,AMAZONDS,BIGLOTSDS,BLK01,CSNSTORES,JCPENNEY01,KOHLDSN,MACY02,NRTPORT,OLLIIX,OVERSTOCK01,ROOMECOM,TGTDVS</t>
  </si>
  <si>
    <t>5DS10-0219</t>
  </si>
  <si>
    <t>AMAZON,AMAZONDS,BIGLOTSDS,BLK01,CSNSTORES,HDDS,JCPENNEY01,KOHLDSN,MACY02,NRTPORT,OLLIIX,OVERSTOCK01,ROOMECOM,TGTDVS</t>
  </si>
  <si>
    <t>5DS10-0220</t>
  </si>
  <si>
    <t>AMAZONDS,BLK01,CSNSTORES,HDDS,JCPENNEY01,KOHLDSN,MACY02,NRTPORT,OLLIIX,OVERSTOCK01,ROOMECOM,TGTDVS</t>
  </si>
  <si>
    <t>WR13-2947</t>
  </si>
  <si>
    <t>Woolrich</t>
  </si>
  <si>
    <t>Quilt</t>
  </si>
  <si>
    <t>Montana</t>
  </si>
  <si>
    <t>Printed Cotton Oversized Quilt Mini Set</t>
  </si>
  <si>
    <t>PP001497;PF005105</t>
  </si>
  <si>
    <t>6/26/2020</t>
  </si>
  <si>
    <t>AMAZON,AMAZONDS,BLK01,CSNSTORES,JCPENNEY01,KOHLDSN,MACY02,OLLIIX,OVERSCONSIGN,OVERSTOCK01,TGTDVS,WALMARTDS</t>
  </si>
  <si>
    <t>11/23/2021</t>
  </si>
  <si>
    <t>2/16/2022</t>
  </si>
  <si>
    <t>WR13-2948</t>
  </si>
  <si>
    <t>AAFESDS,AMAZON,AMAZONDS,ASHFURNDS,BLK01,CSNSTORES,HDDS,JCPENNEY01,KOHLDSN,MACY02,OLLIIX,OVERSTOCK01,TGTDVS,WALMARTDS</t>
  </si>
  <si>
    <t>12/7/2021</t>
  </si>
  <si>
    <t>WR14-1724</t>
  </si>
  <si>
    <t>Huntington</t>
  </si>
  <si>
    <t>100% Cotton Oversized Quilt Mini Set</t>
  </si>
  <si>
    <t>PF003308</t>
  </si>
  <si>
    <t>WR14-1725</t>
  </si>
  <si>
    <t>AMAZON,BLK01,CSNSTORES,HDDS,JCPENNEY01,KOHLDSN,MACY02,OLLIIX,OVERSTOCK01,TGTDVS</t>
  </si>
  <si>
    <t>WR13-3919</t>
  </si>
  <si>
    <t>Mill Creek</t>
  </si>
  <si>
    <t>Oversized Cotton Quilt Set</t>
  </si>
  <si>
    <t>PP000534;PF004793</t>
  </si>
  <si>
    <t>Patchwork</t>
  </si>
  <si>
    <t>7/18/2023</t>
  </si>
  <si>
    <t>AMAZON,AMAZONDS,CSNSTORES,HDDS,JCPENNEY01,KOHLDSN,MACY02,OLLIIX,OVERSTOCK01,TGTDVS</t>
  </si>
  <si>
    <t>WR13-2815</t>
  </si>
  <si>
    <t>8/30/2019</t>
  </si>
  <si>
    <t>AAFESDS,AMAZON,AMAZONDS,ASHFURNDS,BLK01,CSNSTORES,HSNDS,JCPENNEY01,KOHLDSN,MACY02,OLLIIX,OVERSTOCK01,TGTDVS</t>
  </si>
  <si>
    <t>WR13-2816</t>
  </si>
  <si>
    <t>WR13-3471</t>
  </si>
  <si>
    <t>Olsen</t>
  </si>
  <si>
    <t>Olsen 3 Piece Oversized Cotton Quilt Set</t>
  </si>
  <si>
    <t>PP001704;PF005621</t>
  </si>
  <si>
    <t>9/20/2021</t>
  </si>
  <si>
    <t>AAFESDS,AMAZON,AMAZONDS,ASHFURNDS,BLK01,CSNSTORES,DESINC,HDDS,JCPENNEY01,KOHLDSN,OLLIIX,OVERSTOCK01,TGTDVS</t>
  </si>
  <si>
    <t>WR13-3472</t>
  </si>
  <si>
    <t>AMAZON,AMAZONDS,ASHFURNDS,BLK01,CSNSTORES,HDDS,HOUZZ,JCPENNEY01,KOHLDSN,OLLIIX,OVERSTOCK01,TGTDVS</t>
  </si>
  <si>
    <t>WR13-3904</t>
  </si>
  <si>
    <t>PP001704;PF005929</t>
  </si>
  <si>
    <t>2/10/2023</t>
  </si>
  <si>
    <t>AMAZON,AMAZONDS,BLK01,CSNSTORES,DESINC,HDDS,JCPENNEY01,KOHLDSN,OLLIIX,OVERSTOCK01,TGTDVS</t>
  </si>
  <si>
    <t>WR13-3905</t>
  </si>
  <si>
    <t>AAFESDS,AMAZON,BLK01,CSNSTORES,HDDS,JCPENNEY01,KOHLDSN,OVERSTOCK01,TGTDVS</t>
  </si>
  <si>
    <t>WR13-3042</t>
  </si>
  <si>
    <t>Spruce Hill</t>
  </si>
  <si>
    <t>Oversized Cotton Quilt Mini Set</t>
  </si>
  <si>
    <t>PP001508;PF005120</t>
  </si>
  <si>
    <t>8/18/2020</t>
  </si>
  <si>
    <t>AMAZON,AMAZONDS,BLK01,CSNSTORES,DESINC,JCPENNEY01,KOHLDSN,OLLIIX,OVERSTOCK01,TGTDVS</t>
  </si>
  <si>
    <t>WR13-3043</t>
  </si>
  <si>
    <t>WR14-1730</t>
  </si>
  <si>
    <t>Sunset</t>
  </si>
  <si>
    <t>PF003308;PP000534</t>
  </si>
  <si>
    <t>AAFESDS,AMAZON,AMAZONDS,AMERSIGNDS,CSNSTORES,FINGERHUTDS,HDDS,HSNDS,JCPENNEY01,KOHLDSN,OLLIIX,OVERSTOCK01,TGTDVS</t>
  </si>
  <si>
    <t>WR14-1731</t>
  </si>
  <si>
    <t>AAFESDS,AMAZON,AMAZONDS,BLK01,CSNSTORES,FINGERHUTDS,HDDS,HSNDS,JCPENNEY01,KOHLDSN,OLLIIX,OVERSTOCK01,TGTDVS</t>
  </si>
  <si>
    <t>WR14-1785</t>
  </si>
  <si>
    <t>Quilt Mini Set</t>
  </si>
  <si>
    <t>AMAZON,AMAZONDS,BLK01,CSNSTORES,JCPENNEY01,KOHLDSN,OVERSTOCK01,TGTDVS</t>
  </si>
  <si>
    <t>WR14-1786</t>
  </si>
  <si>
    <t>AMAZON,AMAZONDS,BLK01,CSNSTORES,DESINC,HDDS,KOHLDSN,OLLIIX,OVERSTOCK01,TGTDVS</t>
  </si>
  <si>
    <t>WR14-1787</t>
  </si>
  <si>
    <t>AMAZON,AMAZONDS,BLK01,CSNSTORES,HDDS,JCPENNEY01,KOHLDSN,OLLIIX,OVERSTOCK01,TGTDVS</t>
  </si>
  <si>
    <t>WR14-1788</t>
  </si>
  <si>
    <t>AMAZON,AMAZONDS,BLK01,CSNSTORES,JCPENNEY01,KOHLDSN,OLLIIX,OVERSTOCK01,TGTDVS</t>
  </si>
  <si>
    <t>WR13-2523</t>
  </si>
  <si>
    <t>Tulsa</t>
  </si>
  <si>
    <t>Oversized Plaid Print Cotton Quilt Set</t>
  </si>
  <si>
    <t>Red/Grey</t>
  </si>
  <si>
    <t>PF004511;PP001031</t>
  </si>
  <si>
    <t>AMAZONDS,ASHFURNDS,BLK01,CSNSTORES,DESINC,FINGERHUTDS,HDDS,JCPENNEY01,KOHLDSN,OVERSTOCK01,TGTDVS</t>
  </si>
  <si>
    <t>WR13-2524</t>
  </si>
  <si>
    <t>AMAZON,AMAZONDS,ASHFURNDS,BLK01,CSNSTORES,FINGERHUTDS,HDDS,JCPENNEY01,KOHLDSN,OLLIIX,OVERSTOCK01,TGTDVS</t>
  </si>
  <si>
    <t>WR13-3918</t>
  </si>
  <si>
    <t>Winter Hills</t>
  </si>
  <si>
    <t>WR14-1728</t>
  </si>
  <si>
    <t>AMAZON,AMAZONDS,BLK01,CSNSTORES,DESINC,FINGERHUTDS,HDDS,JCPENNEY01,KOHLDSN,MACY02,OLLIIX,OVERSTOCK01,TGTDVS</t>
  </si>
  <si>
    <t>WR14-1729</t>
  </si>
  <si>
    <t>AAFESDS,AMAZON,AMAZONDS,BLK01,CSNSTORES,FINGERHUTDS,HDDS,JCPENNEY01,KOHLDSN,MACY02,OLLIIX,OVERSTOCK01,TGTDVS</t>
  </si>
  <si>
    <t>WR14-1726</t>
  </si>
  <si>
    <t>Winter Plains</t>
  </si>
  <si>
    <t>WR14-1727</t>
  </si>
  <si>
    <t>AAFESDS,AMAZON,AMAZONDS,BLK01,CSNSTORES,HDDS,JCPENNEY01,KOHLDSN,MACY02,OLLIIX,OVERSTOCK01,TGTDVS</t>
  </si>
  <si>
    <t>WR13-2121</t>
  </si>
  <si>
    <t>5 Piece Day Bed Cover Set</t>
  </si>
  <si>
    <t>9/7/2017</t>
  </si>
  <si>
    <t>AMAZON,AMAZONDS,ASHFURNDS,BLK01,CSNSTORES,HDDS,JCPENNEY01,KOHLDSN,OLLIIX,OVERSTOCK01,TGTDVS</t>
  </si>
  <si>
    <t>WR13-2122</t>
  </si>
  <si>
    <t>WR50-1782</t>
  </si>
  <si>
    <t>Quilted Throw</t>
  </si>
  <si>
    <t>AMAZON,AMAZONDS,BLK01,CSNSTORES,HDDS,JCPENNEY01,OLLIIX,OVERSTOCK01,TGTDVS,WALMARTDS</t>
  </si>
  <si>
    <t>12/2/2021</t>
  </si>
  <si>
    <t>WR50-1786</t>
  </si>
  <si>
    <t>AMAZON,AMAZONDS,BEALLSDS,BLK01,CSNSTORES,KOHLDSN,MACY02,OLLIIX,OVERSTOCK01,TGTDVS</t>
  </si>
  <si>
    <t>WR50-1784</t>
  </si>
  <si>
    <t>WR11-082</t>
  </si>
  <si>
    <t>Sham</t>
  </si>
  <si>
    <t>Hadley Plaid</t>
  </si>
  <si>
    <t>Euro sham</t>
  </si>
  <si>
    <t>Euro Sham</t>
  </si>
  <si>
    <t>PF003305</t>
  </si>
  <si>
    <t>AMAZON,AMAZONDS,BLK01,CSNSTORES,HDDS,KOHLDSN,OLLIIX,OVERSTOCK01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</si>
  <si>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</si>
  <si>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</si>
  <si>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</si>
  <si>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</si>
  <si>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</si>
  <si>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</si>
  <si>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</si>
  <si>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AMAZON,AMAZONDS,ASHFURNDS,BEALLSDS,CSNSTORES,FINGERHUTDS,HDDS,JCPENNEY01,KOHLDSN,OLLIIX,OVERSTOCK01,TGTDVS</t>
  </si>
  <si>
    <t>WR10-2179</t>
  </si>
  <si>
    <t>9/30/2017</t>
  </si>
  <si>
    <t>AMAZON,AMAZONDS,ASHFURNDS,BLK01,CSNSTORES,DESINC,FINGERHUTDS,HDDS,JCPENNEY01,KOHLDSN,LOWESDS,OLLIIX,OVERSTOCK01,TGTDVS</t>
  </si>
  <si>
    <t>WR10-2180</t>
  </si>
  <si>
    <t>AAFESDS,AMAZON,AMAZONDS,ASHFURNDS,BEALLSDS,BLK01,CSNSTORES,FINGERHUTDS,HDDS,JCPENNEY01,KOHLDSN,LOWESDS,OLLIIX,OVERSTOCK01,TGTDVS</t>
  </si>
  <si>
    <t>WR10-2181</t>
  </si>
  <si>
    <t>AMAZON,AMAZONDS,ASHFURNDS,CSNSTORES,DESINC,FINGERHUTDS,HDDS,JCPENNEY01,KOHLDSN,OLLIIX,OVERSTOCK01,TGTDVS</t>
  </si>
  <si>
    <t>WR10-079</t>
  </si>
  <si>
    <t>Oversized Cozy Spun Comforter Set</t>
  </si>
  <si>
    <t>AMAZON,AMAZONDS,ASHFURNDS,BLK01,CSNSTORES,HDDS,JCPENNEY01,KOHLDSN,OLLIIX,OVERSTOCK01</t>
  </si>
  <si>
    <t>WR10-080</t>
  </si>
  <si>
    <t>AMAZON,AMAZONDS,ASHFURNDS,BLK01,CSNSTORES,FINGERHUTDS,HDDS,JCPENNEY01,KOHLDSN,OLLIIX,OVERSCONSIGN,OVERSTOCK01</t>
  </si>
  <si>
    <t>WR10-081</t>
  </si>
  <si>
    <t>AAFESDS,AMAZON,AMAZONDS,BLK01,CSNSTORES,HDDS,JCPENNEY01,KOHLDSN,OVERSTOCK01</t>
  </si>
  <si>
    <t>WR10-2191</t>
  </si>
  <si>
    <t>Oversized Denim Comforter Set</t>
  </si>
  <si>
    <t>PF003316</t>
  </si>
  <si>
    <t>AMAZON,AMAZONDS,BLK01,CSNSTORES,FINGERHUTDS,HDDS,JCPENNEY01,KOHLDSN,MACY02,OLLIIX,OVERSTOCK01,TGTDVS</t>
  </si>
  <si>
    <t>WR10-2192</t>
  </si>
  <si>
    <t>AMAZON,AMAZONDS,CSNSTORES,HDDS,HOUZZ,JCPENNEY01,KOHLDSN,MACY02,OVERSTOCK01</t>
  </si>
  <si>
    <t>WR10-2193</t>
  </si>
  <si>
    <t>AAFESDS,AMAZON,AMAZONDS,BLK01,CSNSTORES,FINGERHUTDS,HDDS,JCPENNEY01,KOHLDSN,LOWESDS,MACY02,OLLIIX,OVERSTOCK01,ROOMECOM,TGTDVS</t>
  </si>
  <si>
    <t>WR10-2194</t>
  </si>
  <si>
    <t>AAFESDS,AMAZON,AMAZONDS,BEALLSDS,BLK01,CSNSTORES,DESINC,FINGERHUTDS,HDDS,JCPENNEY01,KOHLDSN,LOWESDS,MACY02,OLLIIX,OVERSTOCK01,TGTDVS</t>
  </si>
  <si>
    <t>WR10-3974</t>
  </si>
  <si>
    <t>Breckenridge</t>
  </si>
  <si>
    <t>Chenille Oversized Comforter Set</t>
  </si>
  <si>
    <t>PF006169</t>
  </si>
  <si>
    <t>2/28/2024</t>
  </si>
  <si>
    <t>AMAZON,CSNSTORES,JCPENNEY01,KOHLDSN,MACY02,NRTPORT,OVERSTOCK01,TGTDVS</t>
  </si>
  <si>
    <t>WR10-3975</t>
  </si>
  <si>
    <t>2/27/2024</t>
  </si>
  <si>
    <t>WR10-3976</t>
  </si>
  <si>
    <t>WR10-4042</t>
  </si>
  <si>
    <t>Lyon</t>
  </si>
  <si>
    <t>Waffle Washed Comforter Set</t>
  </si>
  <si>
    <t>Charcoal</t>
  </si>
  <si>
    <t>NEW</t>
  </si>
  <si>
    <t>3/8/2025</t>
  </si>
  <si>
    <t>Open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</si>
  <si>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</si>
  <si>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</si>
  <si>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</si>
  <si>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</si>
  <si>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</si>
  <si>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</si>
  <si>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</si>
  <si>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</si>
  <si>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</si>
  <si>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</si>
  <si>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</si>
  <si>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</si>
  <si>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</si>
  <si>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</si>
  <si>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</si>
  <si>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</si>
  <si>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</si>
  <si>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</si>
  <si>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</si>
  <si>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</si>
  <si>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</si>
  <si>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</si>
  <si>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</si>
  <si>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</si>
  <si>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</si>
  <si>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</si>
  <si>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</si>
  <si>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</si>
  <si>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10/4/2017</t>
  </si>
  <si>
    <t>ASHFURNDS,BLK01,CSNSTORES,HDDS,KOHLDSN,MACY02,OLLIIX,OVERSTOCK01,TGTDVS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</si>
  <si>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</si>
  <si>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</si>
  <si>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</si>
  <si>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</si>
  <si>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</si>
  <si>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</si>
  <si>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</si>
  <si>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</si>
  <si>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AMAZONDS,BLK01,CSNSTORES,JCPENNEY01,KOHLDSN,MACY02,OVERSTOCK01,TGTDVS,WALMARTDS</t>
  </si>
  <si>
    <t>1/30/2017</t>
  </si>
  <si>
    <t>MPP13-050</t>
  </si>
  <si>
    <t>4 Piece Cotton Quilt Set with Trhow Pillow</t>
  </si>
  <si>
    <t>CH10-012</t>
  </si>
  <si>
    <t xml:space="preserve">Chapel Hill </t>
  </si>
  <si>
    <t>Arlo</t>
  </si>
  <si>
    <t>PF006290</t>
  </si>
  <si>
    <t>7/16/2024</t>
  </si>
  <si>
    <t>Restricted</t>
  </si>
  <si>
    <t>CH10-014</t>
  </si>
  <si>
    <t>Oversized Cotton Matelasse Comforter Set</t>
  </si>
  <si>
    <t>PF006289</t>
  </si>
  <si>
    <t>9/12/2024</t>
  </si>
  <si>
    <t>BLK01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</si>
  <si>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</si>
  <si>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</si>
  <si>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</si>
  <si>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</si>
  <si>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</si>
  <si>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</si>
  <si>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</si>
  <si>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</si>
  <si>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</si>
  <si>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</si>
  <si>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</si>
  <si>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</si>
  <si>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</si>
  <si>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</si>
  <si>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CSNSTORES,JCPENNEY01,KIRKLANDDS,KOHLDSN,MACY02,OLLIIX,OVERSTOCK01,TGTDVS,ZOLA</t>
  </si>
  <si>
    <t>LCN10-0106</t>
  </si>
  <si>
    <t>AMERSIGNDS,BLK01,CSNSTORES,DESINC,JCPENNEY01,KIRKLANDDS,KOHLDSN,MACY02,OLLIIX,OVERSTOCK01,TGTDVS,ZOLA</t>
  </si>
  <si>
    <t>LCN12-0107</t>
  </si>
  <si>
    <t>3 Piece Organic Cotton Oversized Duvet Cover Set</t>
  </si>
  <si>
    <t>BLK01,CSNSTORES,HOUZZ,JCPENNEY01,KIRKLANDDS,KOHLDSN,MACY02,OLLIIX,OVERSTOCK01,TGTDVS,ZOLA</t>
  </si>
  <si>
    <t>LCN12-0108</t>
  </si>
  <si>
    <t>BLK01,CSNSTORES,JCPENNEY01,KIRKLANDDS,KOHLDSN,MACY02,OLLIIX,OVERSTOCK01,TGTDVS,ZOLA</t>
  </si>
  <si>
    <t>CCL10-0071</t>
  </si>
  <si>
    <t>Croscill Classics</t>
  </si>
  <si>
    <t>Gabrielle</t>
  </si>
  <si>
    <t>Comforter Set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</si>
  <si>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</si>
  <si>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</si>
  <si>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</si>
  <si>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</si>
  <si>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</si>
  <si>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</si>
  <si>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</si>
  <si>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</si>
  <si>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</si>
  <si>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</si>
  <si>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</si>
  <si>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AMAZON,AMAZONDS,BLK01,CSNSTORES,JCPENNEY01,KOHLDSN,OLLIIX,OVERSTOCK01</t>
  </si>
  <si>
    <t>JLA10-055</t>
  </si>
  <si>
    <t>10 Piece Jacquard Comforter Set</t>
  </si>
  <si>
    <t>10</t>
  </si>
  <si>
    <t>AMAZON,CSNSTORES,HOUZZ,JCPENNEY01,KOHLDSN,NRTPORT,OLLIIX,OVERSTOCK01</t>
  </si>
  <si>
    <t>FB13-1027</t>
  </si>
  <si>
    <t>Coverlet &amp; Bedspread</t>
  </si>
  <si>
    <t>Velvet Touch</t>
  </si>
  <si>
    <t>3 Piece Luxurious Oversized Quilt Set</t>
  </si>
  <si>
    <t>Linen</t>
  </si>
  <si>
    <t>PF003280</t>
  </si>
  <si>
    <t>BLK01,CSNSTORES,JCPENNEY01,KOHLDSN,MACY02,NRTPORT,OLLIIX,OVERSTOCK01</t>
  </si>
  <si>
    <t>FB13-1028</t>
  </si>
  <si>
    <t>AMERSIGNDS,BEALLSDS,BLK01,CSNSTORES,JCPENNEY01,KOHLDSN,MACY02,OLLIIX,OVERSTOCK01</t>
  </si>
  <si>
    <t>JLA13-499</t>
  </si>
  <si>
    <t>Peacock</t>
  </si>
  <si>
    <t>Close-out</t>
  </si>
  <si>
    <t>PF003273</t>
  </si>
  <si>
    <t>AMERSIGNDS,BLK01,CSNSTORES,JCPENNEY01,MACY02,OLLIIX,OVERSTOCK01</t>
  </si>
  <si>
    <t>JLA13-500</t>
  </si>
  <si>
    <t>BEALLSDS,BLK01,CSNSTORES,JCPENNEY01,KOHLDSN,MACY02,OLLIIX,OVERSTOCK01</t>
  </si>
  <si>
    <t>FB13-1148</t>
  </si>
  <si>
    <t>PF003287</t>
  </si>
  <si>
    <t>CSNSTORES,JCPENNEY01,MACY02,NRTPORT,OLLIIX,OVERSTOCK01</t>
  </si>
  <si>
    <t>FB13-1149</t>
  </si>
  <si>
    <t>CSNSTORES,JCPENNEY01,KOHLDSN,MACY02,OLLIIX,OVERSTOCK01</t>
  </si>
  <si>
    <t>FB41-1131</t>
  </si>
  <si>
    <t>VALANCE</t>
  </si>
  <si>
    <t>Valance</t>
  </si>
  <si>
    <t>Window Valance</t>
  </si>
  <si>
    <t>54x18"</t>
  </si>
  <si>
    <t>4/11/2017</t>
  </si>
  <si>
    <t>BLK01,CSNSTORES,JCPENNEY01,KOHLDSN,NRTPORT,OVERSTOCK01</t>
  </si>
  <si>
    <t>FB40-1129</t>
  </si>
  <si>
    <t>WINDOW PANEL</t>
  </si>
  <si>
    <t>Window Panel</t>
  </si>
  <si>
    <t>Curtain Panel</t>
  </si>
  <si>
    <t>54x84"</t>
  </si>
  <si>
    <t>CSNSTORES,JCPENNEY01,KOHLDSN,OVERSTOCK01</t>
  </si>
  <si>
    <t>HH11-399</t>
  </si>
  <si>
    <t>Harbor House</t>
  </si>
  <si>
    <t>Coastline</t>
  </si>
  <si>
    <t>PF003317</t>
  </si>
  <si>
    <t>AMAZON,AMAZONDS,BLK01,CSNSTORES,HDDS,KOHLDSN,MACY02,NRTPORT,OLLIIX,OVERSTOCK01</t>
  </si>
  <si>
    <t>HH11-705</t>
  </si>
  <si>
    <t>Crystal Beach</t>
  </si>
  <si>
    <t>PF003321</t>
  </si>
  <si>
    <t>1/15/2025</t>
  </si>
  <si>
    <t>AMAZON,AMAZONDS,CSNSTORES,HDDS,JCPENNEY01,KOHLDSN,MACY02,NRTPORT,OLLIIX,OVERSTOCK01</t>
  </si>
  <si>
    <t>HH11-1228A</t>
  </si>
  <si>
    <t>Maya Bay</t>
  </si>
  <si>
    <t>PF003324</t>
  </si>
  <si>
    <t>AMAZON,AMAZONDS,CSNSTORES,HDDS,JCPENNEY01,KOHLDSN,MACY02,OLLIIX,OVERSTOCK01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</si>
  <si>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</si>
  <si>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</si>
  <si>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</si>
  <si>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</si>
  <si>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</si>
  <si>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AMAZON,AMAZONDS,BEALLSDS,BLK01,CSNSTORES,JCPENNEY01,KOHLDSN,MACY02,NRTPORT,OLLIIX,OVERSTOCK01</t>
  </si>
  <si>
    <t>HH10-480</t>
  </si>
  <si>
    <t>Oversized Cotton Jacquard Comforter Set</t>
  </si>
  <si>
    <t>AMAZONDS,CSNSTORES,KOHLDSN,MACY02,NRTPORT,OLLIIX,OVERSTOCK01</t>
  </si>
  <si>
    <t>HH10-396</t>
  </si>
  <si>
    <t>AMAZON,AMAZONDS,BLK01,CSNSTORES,KOHLDSN,MACY02,OLLIIX,OVERSTOCK01</t>
  </si>
  <si>
    <t>HH10-397</t>
  </si>
  <si>
    <t>AMAZONDS,BEALLSDS,BLK01,CSNSTORES,DESINC,HDDS,KOHLDSN,MACY02,NRTPORT,OLLIIX,OVERSTOCK01</t>
  </si>
  <si>
    <t>HH10-398</t>
  </si>
  <si>
    <t>AMAZON,AMAZONDS,BEALLSDS,BLK01,CSNSTORES,HDDS,HOUZZ,KOHLDSN,MACY02,OLLIIX,OVERSTOCK01</t>
  </si>
  <si>
    <t>HH10-415</t>
  </si>
  <si>
    <t>AMAZON,AMAZONDS,CSNSTORES,KOHLDSN,MACY02,OLLIIX,OVERSTOCK01</t>
  </si>
  <si>
    <t>HH10-702</t>
  </si>
  <si>
    <t>AMAZON,AMAZONDS,CSNSTORES,HOUZZ,JCPENNEY01,KOHLDSN,MACY02,NRTPORT,OLLIIX,OVERSCONSIGN,OVERSTOCK01</t>
  </si>
  <si>
    <t>HH10-703</t>
  </si>
  <si>
    <t>AMAZONDS,CSNSTORES,HDDS,JCPENNEY01,KOHLDSN,MACY02,NRTPORT,OLLIIX,OVERSTOCK01</t>
  </si>
  <si>
    <t>HH10-704</t>
  </si>
  <si>
    <t>AMAZONDS,BLK01,CSNSTORES,HDDS,JCPENNEY01,KOHLDSN,NRTPORT,OLLIIX,OVERSTOCK01</t>
  </si>
  <si>
    <t>HH10-1683</t>
  </si>
  <si>
    <t>Hallie</t>
  </si>
  <si>
    <t>6 Piece Cotton Comforter Set</t>
  </si>
  <si>
    <t>PF004246</t>
  </si>
  <si>
    <t>AMAZON,AMAZONDS,BLK01,CSNSTORES,JCPENNEY01,MACY02,OVERSTOCK01</t>
  </si>
  <si>
    <t>HH10-1684</t>
  </si>
  <si>
    <t>AMAZON,AMERSIGNDS,BLK01,CSNSTORES,HSNDS,JCPENNEY01,KOHLDSN,MACY02,OLLIIX,OVERSTOCK01</t>
  </si>
  <si>
    <t>HH10-1685</t>
  </si>
  <si>
    <t>AMAZON,AMAZONDS,AMERSIGNDS,BLK01,CSNSTORES,HDDS,JCPENNEY01,KOHLDSN,MACY02,OLLIIX,OVERSTOCK01,ROOMECOM</t>
  </si>
  <si>
    <t>HH10-1686</t>
  </si>
  <si>
    <t>AMAZON,AMERSIGNDS,BLK01,CSNSTORES,HDDS,HSNDS,JCPENNEY01,KOHLDSN,MACY02,OLLIIX,OVERSTOCK01</t>
  </si>
  <si>
    <t>HH10-1875</t>
  </si>
  <si>
    <t>Herbal</t>
  </si>
  <si>
    <t>6 Piece Cotton Sateen Print Oversized Comforter Set</t>
  </si>
  <si>
    <t>Print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</si>
  <si>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</si>
  <si>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</si>
  <si>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</si>
  <si>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</si>
  <si>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</si>
  <si>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</si>
  <si>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</si>
  <si>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</si>
  <si>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9/8/2023</t>
  </si>
  <si>
    <t>AMAZON,BLK01,CSNSTORES,JCPENNEY01,KOHLDSN,MACY02,OLLIIX,OVERSTOCK01</t>
  </si>
  <si>
    <t>HH10-1852</t>
  </si>
  <si>
    <t>AMAZON,AMAZONDS,BLK01,CSNSTORES,DESINC,JCPENNEY01,KOHLDSN,MACY02,OLLIIX,OVERSTOCK01</t>
  </si>
  <si>
    <t>HH10-1853</t>
  </si>
  <si>
    <t>AMAZON,AMAZONDS,BLK01,CSNSTORES,JCPENNEY01,KOHLDSN,MACY02,OLLIIX,OVERSTOCK01</t>
  </si>
  <si>
    <t>HH10-1799</t>
  </si>
  <si>
    <t>Livia</t>
  </si>
  <si>
    <t>PP001574;PF005294</t>
  </si>
  <si>
    <t>Farmhouse</t>
  </si>
  <si>
    <t>1/8/2021</t>
  </si>
  <si>
    <t>3/12/2025</t>
  </si>
  <si>
    <t>AMAZON,BEALLSDS,BLK01,CSNSTORES,HDDS,JCPENNEY01,KOHLDSN,MACY02,OVERSTOCK01</t>
  </si>
  <si>
    <t>HH10-1800</t>
  </si>
  <si>
    <t>AMAZON,AMAZONDS,BEALLSDS,BLK01,CSNSTORES,HDDS,JCPENNEY01,KOHLDSN,MACY02,NRTPORT,OLLIIX,OVERSTOCK01</t>
  </si>
  <si>
    <t>HH10-1801</t>
  </si>
  <si>
    <t>AMAZON,BEALLSDS,BLK01,CSNSTORES,DESINC,HDDS,JCPENNEY01,KOHLDSN,MACY02,OLLIIX,OVERSTOCK01</t>
  </si>
  <si>
    <t>HH10-1802</t>
  </si>
  <si>
    <t>AMAZON,AMAZONDS,CSNSTORES,JCPENNEY01,KOHLDSN,MACY02,NRTPORT,OVERSTOCK01</t>
  </si>
  <si>
    <t>HH10-1618</t>
  </si>
  <si>
    <t>Lorelai</t>
  </si>
  <si>
    <t>Cotton Printed 6 Piece Comforter Set</t>
  </si>
  <si>
    <t>PF003337</t>
  </si>
  <si>
    <t>AMAZON,CSNSTORES,HSNDS,JCPENNEY01,KOHLDSN,MACY02,OLLIIX,OVERSTOCK01,ROOMECOM</t>
  </si>
  <si>
    <t>HH10-1619</t>
  </si>
  <si>
    <t>AMAZONDS,BLK01,CSNSTORES,HDDS,HSNDS,JCPENNEY01,KOHLDSN,MACY02,NRTPORT,OLLIIX,OVERSTOCK01,ROOMECOM</t>
  </si>
  <si>
    <t>HH10-1620</t>
  </si>
  <si>
    <t>AMAZONDS,BLK01,CSNSTORES,HDDS,JCPENNEY01,KOHLDSN,MACY02,OLLIIX,OVERSTOCK01</t>
  </si>
  <si>
    <t>HH10-1621</t>
  </si>
  <si>
    <t>HH10-1222</t>
  </si>
  <si>
    <t>AMAZON,AMAZONDS,CSNSTORES,HOUZZ,JCPENNEY01,KOHLDSN,MACY02,OLLIIX,OVERSTOCK01</t>
  </si>
  <si>
    <t>HH10-1223</t>
  </si>
  <si>
    <t>AMAZON,AMAZONDS,BLK01,CSNSTORES,HDDS,HOUZZ,HSNDS,JCPENNEY01,KOHLDSN,MACY02,OLLIIX,OVERSTOCK01,ROOMECOM</t>
  </si>
  <si>
    <t>HH10-1224</t>
  </si>
  <si>
    <t>AMAZON,BLK01,CSNSTORES,HDDS,JCPENNEY01,KOHLDSN,MACY02,NRTPORT,OLLIIX,OVERSTOCK01,ROOMECOM</t>
  </si>
  <si>
    <t>HH10-1225</t>
  </si>
  <si>
    <t>AMAZON,BEALLSDS,KOHLDSN,MACY02,OLLIIX,OVERSTOCK01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</si>
  <si>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</si>
  <si>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</si>
  <si>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</si>
  <si>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</si>
  <si>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</si>
  <si>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</si>
  <si>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</si>
  <si>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AMAZON,CSNSTORES,JCPENNEY01,KOHLDSN,MACY02,OVERSTOCK01</t>
  </si>
  <si>
    <t>HH10-1865</t>
  </si>
  <si>
    <t>HH10-1866</t>
  </si>
  <si>
    <t>AMAZON,AMAZONDS,CSNSTORES,DESINC,KOHLDSN,MACY02,OLLIIX,OVERSTOCK01</t>
  </si>
  <si>
    <t>HH10-1867</t>
  </si>
  <si>
    <t>HH10-1824</t>
  </si>
  <si>
    <t>White/Grey</t>
  </si>
  <si>
    <t>PF005694;PP001753</t>
  </si>
  <si>
    <t>12/6/2022</t>
  </si>
  <si>
    <t>AMAZON,AMERSIGNDS,CSNSTORES,JCPENNEY01,KOHLDSN,MACY02,NRTPORT,OLLIIX,OVERSTOCK01</t>
  </si>
  <si>
    <t>HH10-1825</t>
  </si>
  <si>
    <t>AMAZON,AMERSIGNDS,BLK01,CSNSTORES,JCPENNEY01,KOHLDSN,MACY02,OLLIIX,OVERSTOCK01</t>
  </si>
  <si>
    <t>HH10-1826</t>
  </si>
  <si>
    <t>AMAZON,AMAZONDS,AMERSIGNDS,BLK01,CSNSTORES,JCPENNEY01,KOHLDSN,MACY02,OLLIIX,OVERSTOCK01</t>
  </si>
  <si>
    <t>HH10-1827</t>
  </si>
  <si>
    <t>AMAZON,BLK01,CSNSTORES,DESINC,JCPENNEY01,KOHLDSN,MACY02,OVERSTOCK01,ROOMECOM</t>
  </si>
  <si>
    <t>HH10-1870</t>
  </si>
  <si>
    <t>Nile</t>
  </si>
  <si>
    <t>4 Piece Cotton Sateen With Embroidery Oversized Comforter Set</t>
  </si>
  <si>
    <t>HH10-1871</t>
  </si>
  <si>
    <t>HH10-1872</t>
  </si>
  <si>
    <t>HH10-1345</t>
  </si>
  <si>
    <t>Suzanna</t>
  </si>
  <si>
    <t>Comforter Mini set</t>
  </si>
  <si>
    <t>PF003327</t>
  </si>
  <si>
    <t>12/7/2024</t>
  </si>
  <si>
    <t>HH10-1346</t>
  </si>
  <si>
    <t>AMAZON,AMAZONDS,BEALLSDS,CSNSTORES,HOUZZ,JCPENNEY01,KOHLDSN,MACY02,NRTPORT,OLLIIX,OVERSTOCK01</t>
  </si>
  <si>
    <t>HH10-1646</t>
  </si>
  <si>
    <t>Cotton Comforter Mini Set</t>
  </si>
  <si>
    <t>PP000337</t>
  </si>
  <si>
    <t>10/6/2017</t>
  </si>
  <si>
    <t>12/3/2024</t>
  </si>
  <si>
    <t>AMAZON,AMAZONDS,AMERSIGNDS,CSNSTORES,JCPENNEY01,KOHLDSN,MACY02,NRTPORT,OLLIIX,OVERSTOCK01</t>
  </si>
  <si>
    <t>HH10-1647</t>
  </si>
  <si>
    <t>HH13-1547</t>
  </si>
  <si>
    <t>Seaside</t>
  </si>
  <si>
    <t>4 Piece Cotton Reversible Embroidered Quilt Set with Throw Pillow</t>
  </si>
  <si>
    <t>PF003330</t>
  </si>
  <si>
    <t>AMAZON,AMAZONDS,BLK01,CSNSTORES,HOUZZ,JCPENNEY01,KOHLDSN,MACY02,OLLIIX,OVERSTOCK01</t>
  </si>
  <si>
    <t>HH13-1548</t>
  </si>
  <si>
    <t>AMAZON,AMAZONDS,BLK01,CSNSTORES,JCPENNEY01,KOHLDSN,MACY02,OLLIIX,OVERSTOCK01,ROOMECOM</t>
  </si>
  <si>
    <t>HH13-1835</t>
  </si>
  <si>
    <t>PP001816;PF005828</t>
  </si>
  <si>
    <t>11/2/2022</t>
  </si>
  <si>
    <t>AMAZONDS,CSNSTORES,HDDS,JCPENNEY01,KOHLDSN,MACY02,OLLIIX,OVERSTOCK01</t>
  </si>
  <si>
    <t>HH13-1836</t>
  </si>
  <si>
    <t>HH12-1873</t>
  </si>
  <si>
    <t>3 Piece Cotton Sateen with Embroidery Duvet Set</t>
  </si>
  <si>
    <t>HH12-1874</t>
  </si>
  <si>
    <t>HH12-1691</t>
  </si>
  <si>
    <t>3 Piece Cotton Yarn Dyed Duvet Cover Set</t>
  </si>
  <si>
    <t>AMAZON,AMAZONDS,CSNSTORES,JCPENNEY01,KOHLDSN,MACY02,NRTPORT,OLLIIX,OVERSTOCK01</t>
  </si>
  <si>
    <t>HH12-1692</t>
  </si>
  <si>
    <t>AMAZON,AMAZONDS,BLK01,CSNSTORES,JCPENNEY01,KOHLDSN,MACY02,NRTPORT,OLLIIX,OVERSTOCK01,ROOMECOM</t>
  </si>
  <si>
    <t>HH12-1542</t>
  </si>
  <si>
    <t>Duvet Cover Mini Set</t>
  </si>
  <si>
    <t>AMAZONDS,BLK01,CSNSTORES,HDDS,KOHLDSN,MACY02,OLLIIX,OVERSTOCK01</t>
  </si>
  <si>
    <t>HH12-1543</t>
  </si>
  <si>
    <t>AMAZON,AMAZONDS,CSNSTORES,HDDS,KOHLDSN,MACY02,OLLIIX,OVERSTOCK01</t>
  </si>
  <si>
    <t>HH12-1687</t>
  </si>
  <si>
    <t>5 Piece Cotton Duvet Cover Set</t>
  </si>
  <si>
    <t>CSNSTORES,JCPENNEY01,KOHLDSN,MACY02,NRTPORT,OVERSTOCK01,ROOMECOM</t>
  </si>
  <si>
    <t>HH12-1688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</si>
  <si>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</si>
  <si>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</si>
  <si>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</si>
  <si>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</si>
  <si>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</si>
  <si>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</si>
  <si>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</si>
  <si>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</si>
  <si>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AMAZON,CSNSTORES,JCPENNEY01,KOHLDSN,MACY02,OLLIIX,OVERSTOCK01</t>
  </si>
  <si>
    <t>HH12-1803</t>
  </si>
  <si>
    <t>1/13/2021</t>
  </si>
  <si>
    <t>AMAZON,BLK01,CSNSTORES,KOHLDSN,MACY02,NRTPORT,OVERSTOCK01</t>
  </si>
  <si>
    <t>HH12-1804</t>
  </si>
  <si>
    <t>HH12-1622</t>
  </si>
  <si>
    <t>Cotton Printed 5 Piece Duvet Cover Set</t>
  </si>
  <si>
    <t>AMAZON,CSNSTORES,HDDS,JCPENNEY01,KOHLDSN,NRTPORT,OLLIIX,OVERSTOCK01</t>
  </si>
  <si>
    <t>HH12-1623</t>
  </si>
  <si>
    <t>AMAZON,AMAZONDS,CSNSTORES,DESINC,JCPENNEY01,KOHLDSN,OVERSTOCK01</t>
  </si>
  <si>
    <t>HH12-1226</t>
  </si>
  <si>
    <t>AMAZON,AMERSIGNDS,CSNSTORES,JCPENNEY01,KOHLDSN,MACY02,NRTPORT,OVERSTOCK01</t>
  </si>
  <si>
    <t>HH12-1227</t>
  </si>
  <si>
    <t>AMAZON,AMAZONDS,BLK01,CSNSTORES,HDDS,JCPENNEY01,KOHLDSN,MACY02,OLLIIX,OVERSTOCK01</t>
  </si>
  <si>
    <t>HH12-1868</t>
  </si>
  <si>
    <t>5 Piece Cotton Jaquard Duvet Set</t>
  </si>
  <si>
    <t>AMAZON,AMAZONDS,CSNSTORES,JCPENNEY01,MACY02,OLLIIX,OVERSTOCK01</t>
  </si>
  <si>
    <t>HH12-1869</t>
  </si>
  <si>
    <t>AMAZON,AMAZONDS,CSNSTORES,KOHLDSN,OLLIIX,OVERSTOCK01</t>
  </si>
  <si>
    <t>HH12-1828</t>
  </si>
  <si>
    <t>HH12-1829</t>
  </si>
  <si>
    <t>HH12-1347</t>
  </si>
  <si>
    <t>AMAZON,AMAZONDS,CSNSTORES,KOHLDSN,MACY02,NRTPORT,OVERSTOCK01</t>
  </si>
  <si>
    <t>HH12-1348</t>
  </si>
  <si>
    <t>AMAZON,AMAZONDS,BLK01,CSNSTORES,KOHLDSN,MACY02,NRTPORT,OVERSTOCK01</t>
  </si>
  <si>
    <t>HH12-1648</t>
  </si>
  <si>
    <t>Cotton Duvet Mini Set</t>
  </si>
  <si>
    <t>AMAZON,CSNSTORES,HOUZZ,KOHLDSN,MACY02,NRTPORT,OVERSTOCK01</t>
  </si>
  <si>
    <t>HH12-1649</t>
  </si>
  <si>
    <t xml:space="preserve">Cotton Duvet  Mini Set</t>
  </si>
  <si>
    <t>HH30-1694</t>
  </si>
  <si>
    <t>Embroidered Cotton Oblong Decorative Pillow</t>
  </si>
  <si>
    <t>12x20"</t>
  </si>
  <si>
    <t>PP000875</t>
  </si>
  <si>
    <t>AMAZON,BEALLSDS,BLK01,CSNSTORES,JCPENNEY01,KOHLDSN,MACY02,NRTPORT,OLLIIX,OVERSTOCK01</t>
  </si>
  <si>
    <t>HH30-1693</t>
  </si>
  <si>
    <t>Embroidered Cotton Square Decorative Pillow</t>
  </si>
  <si>
    <t>AMAZON,AMAZONDS,BEALLSDS,CSNSTORES,JCPENNEY01,KOHLDSN,MACY02,NRTPORT,OLLIIX,OVERSCONSIGN,OVERSTOCK01</t>
  </si>
  <si>
    <t>HH30-402A</t>
  </si>
  <si>
    <t>Oblong Pillow</t>
  </si>
  <si>
    <t>12x16"</t>
  </si>
  <si>
    <t>AMAZON,AMAZONDS,BEALLSDS,BLK01,CSNSTORES,HDDS,KOHLDSN,MACY02,NRTPORT,OLLIIX,OVERSTOCK01</t>
  </si>
  <si>
    <t>HH30-401A</t>
  </si>
  <si>
    <t>Square Pillow</t>
  </si>
  <si>
    <t>16x16"</t>
  </si>
  <si>
    <t>AMAZON,BLK01,CSNSTORES,HDDS,KOHLDSN,MACY02,OLLIIX,OVERSCONSIGN,OVERSTOCK01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</si>
  <si>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</si>
  <si>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</si>
  <si>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</si>
  <si>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</si>
  <si>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</si>
  <si>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</si>
  <si>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</si>
  <si>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AMAZON,AMAZONDS,CSNSTORES,DESINC,HDDS,JCPENNEY01,KOHLDSN,MACY02,OLLIIX,OVERSTOCK01</t>
  </si>
  <si>
    <t>HH30-1230A</t>
  </si>
  <si>
    <t>HH30-1229A</t>
  </si>
  <si>
    <t>AMAZON,AMAZONDS,BLK01,CSNSTORES,HDDS,JCPENNEY01,KOHLDSN,MACY02,NRTPORT,OLLIIX,OVERSTOCK01,ROOMECOM</t>
  </si>
  <si>
    <t>HH30-1650</t>
  </si>
  <si>
    <t>10/5/2017</t>
  </si>
  <si>
    <t>AMAZON,ASHFURNDS,BLK01,CSNSTORES,JCPENNEY01,KOHLDSN,MACY02,OLLIIX,OVERSTOCK01</t>
  </si>
  <si>
    <t>HH30-1651</t>
  </si>
  <si>
    <t>10/12/2017</t>
  </si>
  <si>
    <t>AMAZON,AMAZONDS,ASHFURNDS,BLK01,CSNSTORES,JCPENNEY01,KOHLDSN,MACY02,OLLIIX,OVERSTOCK01</t>
  </si>
  <si>
    <t>II11-593</t>
  </si>
  <si>
    <t>INK+IVY</t>
  </si>
  <si>
    <t>Camila</t>
  </si>
  <si>
    <t>Cotton Quilted Euro Sham</t>
  </si>
  <si>
    <t>PF003361;PP000437;PF005628</t>
  </si>
  <si>
    <t>AMAZON,AMAZONDS,CSNSTORES,HDDS,KIRKLANDDS,KOHLDSN,MACY02,OLLIIX,OVERSTOCK01,TGTDVS</t>
  </si>
  <si>
    <t>II11-930</t>
  </si>
  <si>
    <t>PP000362</t>
  </si>
  <si>
    <t>9/15/2017</t>
  </si>
  <si>
    <t>AMAZON,AMAZONDS,BLK01,CSNSTORES,HDDS,KIRKLANDDS,KOHLDSN,MACY02,OLLIIX,OVERSTOCK01,TGTDVS</t>
  </si>
  <si>
    <t>II11-1077</t>
  </si>
  <si>
    <t>PP000362;PP001094;PP001321;PF004815</t>
  </si>
  <si>
    <t>AMAZON,AMAZONDS,BLK01,CSNSTORES,DESINC,HDDS,JCPENNEY01,KOHLDSN,MACY02,OLLIIX,OVERSTOCK01,TGTDVS</t>
  </si>
  <si>
    <t>II11-229</t>
  </si>
  <si>
    <t>PF003342;PP000439;PP000478</t>
  </si>
  <si>
    <t>AMAZON,CSNSTORES,HDDS,KOHLDSN,MACY02,OLLIIX,OVERSTOCK01,TGTDVS</t>
  </si>
  <si>
    <t>II11-227</t>
  </si>
  <si>
    <t>PF003343;PP000454;PP000508</t>
  </si>
  <si>
    <t>AMAZON,AMAZONDS,BLK01,CSNSTORES,DESINC,HDDS,HSNDS,KIRKLANDDS,KOHLDSN,MACY02,OLLIIX,OVERSTOCK01,TGTDVS</t>
  </si>
  <si>
    <t>II11-550</t>
  </si>
  <si>
    <t>Isla</t>
  </si>
  <si>
    <t>Cotton Embroidered Euro Sham</t>
  </si>
  <si>
    <t>PF003356;PP000371;PP000486</t>
  </si>
  <si>
    <t>Vintage/Shabby Chic</t>
  </si>
  <si>
    <t>AMAZON,AMAZONDS,ASHFURNDS,BEALLSDS,BLK01,CSNSTORES,HOUZZ,HSNDS,JCPENNEY01,KOHLDSN,MACY02,OLLIIX,OVERSTOCK01,TGTDVS</t>
  </si>
  <si>
    <t>II10-781</t>
  </si>
  <si>
    <t>Alpine</t>
  </si>
  <si>
    <t>3 Piece Comforter Mini Set</t>
  </si>
  <si>
    <t>PF001637;PP000371</t>
  </si>
  <si>
    <t>Ikat</t>
  </si>
  <si>
    <t>AMAZON,AMAZONDS,CSNSTORES,FINGERHUTDS,JCPENNEY01,KOHLDSN,MACY02,OLLIIX,OVERSTOCK01,TGTDVS,ZOLA</t>
  </si>
  <si>
    <t>II10-782</t>
  </si>
  <si>
    <t>6/30/2017</t>
  </si>
  <si>
    <t>AMAZON,AMAZONDS,BLK01,CSNSTORES,FINGERHUTDS,JCPENNEY01,KOHLDSN,MACY02,NRTPORT,OLLIIX,OVERSTOCK01,ROOMECOM,TGTDVS,ZOLA</t>
  </si>
  <si>
    <t>II10-552</t>
  </si>
  <si>
    <t>PF001636;PP000371</t>
  </si>
  <si>
    <t>AMAZON,AMERSIGNDS,BEALLSDS,BLK01,CSNSTORES,FINGERHUTDS,JCPENNEY01,KOHLDSN,MACY02,OLLIIX,OVERSTOCK01,ROOMECOM,TGTDVS</t>
  </si>
  <si>
    <t>II10-553</t>
  </si>
  <si>
    <t>AMAZON,AMAZONDS,AMERSIGNDS,BEALLSDS,BLK01,CSNSTORES,FINGERHUTDS,JCPENNEY01,KOHLDSN,MACY02,NRTPORT,OLLIIX,OVERSTOCK01,ROOMECOM,TGTDVS,ZOLA</t>
  </si>
  <si>
    <t>II10-785</t>
  </si>
  <si>
    <t>PF001638;PP000371</t>
  </si>
  <si>
    <t>AMAZON,AMAZONDS,BLK01,CSNSTORES,FINGERHUTDS,JCPENNEY01,KOHLDSN,MACY02,OLLIIX,OVERSTOCK01,ROOMECOM,TGTDVS</t>
  </si>
  <si>
    <t>II10-786</t>
  </si>
  <si>
    <t>AMAZON,BLK01,CSNSTORES,FINGERHUTDS,HOUZZ,JCPENNEY01,KOHLDSN,MACY02,OLLIIX,OVERSTOCK01,TGTDVS,ZOLA</t>
  </si>
  <si>
    <t>II10-1112</t>
  </si>
  <si>
    <t>Arizona</t>
  </si>
  <si>
    <t>3 Piece Cotton Comforter Set</t>
  </si>
  <si>
    <t>PP001500;PF005109</t>
  </si>
  <si>
    <t>Global Inspired</t>
  </si>
  <si>
    <t>10/3/2020</t>
  </si>
  <si>
    <t>AMAZON,AMAZONDS,ASHFURNDS,BLK01,CSNSTORES,HSNDS,JCPENNEY01,KOHLDSN,MACY02,OLLIIX,OVERSTOCK01,TGTDVS</t>
  </si>
  <si>
    <t>II10-1113</t>
  </si>
  <si>
    <t>AMAZON,AMAZONDS,ASHFURNDS,CSNSTORES,HSNDS,JCPENNEY01,KOHLDSN,MACY02,NRTPORT,OLLIIX,OVERSTOCK01,ROOMECOM,TGTDVS</t>
  </si>
  <si>
    <t>II10-1330</t>
  </si>
  <si>
    <t>Cairo</t>
  </si>
  <si>
    <t>3 Piece Cotton Jacquard Comforter Set</t>
  </si>
  <si>
    <t>PF006275;PP001968</t>
  </si>
  <si>
    <t>7/24/2024</t>
  </si>
  <si>
    <t>II10-1331</t>
  </si>
  <si>
    <t>AMAZON,AMAZONDS,KOHLDSN,MACY02,OLLIIX,OVERSTOCK01,TGTDVS</t>
  </si>
  <si>
    <t>II10-1116</t>
  </si>
  <si>
    <t>Cody</t>
  </si>
  <si>
    <t>Gray/Yellow</t>
  </si>
  <si>
    <t>PP001505;PF005117</t>
  </si>
  <si>
    <t>10/21/2020</t>
  </si>
  <si>
    <t>AMAZON,ASHFURNDS,BLK01,CSNSTORES,HOUZZ,JCPENNEY01,KIRKLANDDS,KOHLDSN,MACY02,NRTPORT,OLLIIX,OVERSTOCK01,TGTDVS</t>
  </si>
  <si>
    <t>II10-1117</t>
  </si>
  <si>
    <t>AMAZON,AMAZONDS,ASHFURNDS,BLK01,CSNSTORES,DESINC,JCPENNEY01,KOHLDSN,MACY02,NRTPORT,OLLIIX,OVERSTOCK01,ROOMECOM,TGTDVS</t>
  </si>
  <si>
    <t>II10-1052</t>
  </si>
  <si>
    <t>Ellipse</t>
  </si>
  <si>
    <t>Cotton Jacquard Comforter Set</t>
  </si>
  <si>
    <t>PP001094;PF004582</t>
  </si>
  <si>
    <t>3/1/2019</t>
  </si>
  <si>
    <t>AMAZON,CSNSTORES,JCPENNEY01,KIRKLANDDS,KOHLDSN,MACY02,OLLIIX,OVERSTOCK01,ROOMECOM,TGTDVS,ZOLA</t>
  </si>
  <si>
    <t>II10-1053</t>
  </si>
  <si>
    <t>AMAZON,AMAZONDS,AMERSIGNDS,BLK01,CSNSTORES,JCPENNEY01,KIRKLANDDS,KOHLDSN,MACY02,OLLIIX,OVERSTOCK01,ROOMECOM,TGTDVS,ZOLA</t>
  </si>
  <si>
    <t>II10-1069</t>
  </si>
  <si>
    <t>PP001094;PF004766</t>
  </si>
  <si>
    <t>8/29/2019</t>
  </si>
  <si>
    <t>II10-1070</t>
  </si>
  <si>
    <t>8/28/2019</t>
  </si>
  <si>
    <t>BLK01,CSNSTORES,JCPENNEY01,KIRKLANDDS,KOHLDSN,MACY02,OLLIIX,OVERSTOCK01,TGTDVS</t>
  </si>
  <si>
    <t>II10-1089</t>
  </si>
  <si>
    <t>Imani</t>
  </si>
  <si>
    <t>Cotton Printed Comforter Set with Chenille</t>
  </si>
  <si>
    <t>PF005067</t>
  </si>
  <si>
    <t>Global</t>
  </si>
  <si>
    <t>AMAZON,AMAZONDS,AMERSIGNDS,ASHFURNDS,BEALLSDS,BLK01,CSNSTORES,JCPENNEY01,KOHLDSN,LAMPDS,MACY02,OLLIIX,OVERSTOCK01,ROOMECOM,TGTDVS,ZOLA</t>
  </si>
  <si>
    <t>II10-1090</t>
  </si>
  <si>
    <t>3/30/2020</t>
  </si>
  <si>
    <t>AMAZON,AMAZONDS,AMERSIGNDS,BLK01,CSNSTORES,JCPENNEY01,KIRKLANDDS,KOHLDSN,LAMPDS,MACY02,OLLIIX,OVERSTOCK01,ROOMECOM,TGTDVS,ZOLA</t>
  </si>
  <si>
    <t>II10-994</t>
  </si>
  <si>
    <t>PF004112</t>
  </si>
  <si>
    <t>12/26/2017</t>
  </si>
  <si>
    <t>AMAZON,AMAZONDS,ASHFURNDS,BLK01,CSNSTORES,HSNDS,JCPENNEY01,KIRKLANDDS,KOHLDSN,LOWESDS,MACY02,NRTPORT,OLLIIX,OVERSTOCK01,ROOMECOM,TGTDVS,ZOLA</t>
  </si>
  <si>
    <t>II10-995</t>
  </si>
  <si>
    <t>AMAZON,AMAZONDS,ASHFURNDS,BEALLSDS,BLK01,CSNSTORES,JCPENNEY01,KIRKLANDDS,KOHLDSN,LOWESDS,MACY02,NRTPORT,OLLIIX,OVERSTOCK01,ROOMECOM,TGTDVS,ZOLA</t>
  </si>
  <si>
    <t>II10-1346</t>
  </si>
  <si>
    <t>Sage/Ivory</t>
  </si>
  <si>
    <t>1/27/2025</t>
  </si>
  <si>
    <t>II10-1347</t>
  </si>
  <si>
    <t>II10-1274</t>
  </si>
  <si>
    <t>White/Navy</t>
  </si>
  <si>
    <t>PP000428;PF005760</t>
  </si>
  <si>
    <t>9/27/2022</t>
  </si>
  <si>
    <t>AMAZONDS,ASHFURNDS,BLK01,CSNSTORES,HOUZZ,JCPENNEY01,KOHLDSN,MACY02,NRTPORT,OLLIIX,OVERSTOCK01,TGTDVS,ZOLA</t>
  </si>
  <si>
    <t>II10-1275</t>
  </si>
  <si>
    <t>AMAZONDS,ASHFURNDS,BLK01,CSNSTORES,FINGERHUTDS,JCPENNEY01,KOHLDSN,MACY02,NRTPORT,OLLIIX,OVERSTOCK01,TGTDVS,ZOLA</t>
  </si>
  <si>
    <t>II10-1104</t>
  </si>
  <si>
    <t>Kara</t>
  </si>
  <si>
    <t>PP001486;PF005087</t>
  </si>
  <si>
    <t>4/7/2020</t>
  </si>
  <si>
    <t>AMAZON,AMAZONDS,BLK01,CSNSTORES,DESINC,HDDS,HSNDS,JCPENNEY01,KIRKLANDDS,KOHLDSN,MACY02,OLLIIX,OVERSTOCK01,TGTDVS,ZOLA</t>
  </si>
  <si>
    <t>II10-1105</t>
  </si>
  <si>
    <t>AMAZON,AMAZONDS,BLK01,CSNSTORES,HDDS,JCPENNEY01,KIRKLANDDS,KOHLDSN,MACY02,OLLIIX,OVERSTOCK01,TGTDVS,ZOLA</t>
  </si>
  <si>
    <t>II10-1270</t>
  </si>
  <si>
    <t>PP001486;PF005762</t>
  </si>
  <si>
    <t>8/23/2022</t>
  </si>
  <si>
    <t>AMAZONDS,CSNSTORES,HOUZZ,JCPENNEY01,KOHLDSN,MACY02,OLLIIX,OVERSTOCK01,TGTDVS,ZOLA</t>
  </si>
  <si>
    <t>II10-1271</t>
  </si>
  <si>
    <t>AMAZONDS,AMERSIGNDS,CSNSTORES,DESINC,JCPENNEY01,KOHLDSN,MACY02,OLLIIX,OVERSTOCK01,TGTDVS,ZOLA</t>
  </si>
  <si>
    <t>II10-1108</t>
  </si>
  <si>
    <t>Marta</t>
  </si>
  <si>
    <t>3 Piece Cotton and Flax Linen Blend Comforter Set</t>
  </si>
  <si>
    <t>PP001488;PF005094</t>
  </si>
  <si>
    <t>7/30/2020</t>
  </si>
  <si>
    <t>AMAZONDS,AMERSIGNDS,BLK01,CSNSTORES,FINGERHUTDS,HOUZZ,JCPENNEY01,KIRKLANDDS,KOHLDSN,MACY02,NRTPORT,OLLIIX,OVERSTOCK01,TGTDVS,ZOLA</t>
  </si>
  <si>
    <t>II10-1109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</si>
  <si>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</si>
  <si>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</si>
  <si>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</si>
  <si>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</si>
  <si>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</t>
  </si>
  <si>
    <t>II10-597</t>
  </si>
  <si>
    <t>AMAZON,AMAZONDS,ASHFURNDS,BLK01,CSNSTORES,HOUZZ,HSNDS,JCPENNEY01,KOHLDSN,MACY02,NRTPORT,OLLIIX,OVERSTOCK01,TGTDVS,ZOLA</t>
  </si>
  <si>
    <t>II10-1248</t>
  </si>
  <si>
    <t>Mila</t>
  </si>
  <si>
    <t>3 Piece Cotton Comforter Set with Chenille Tufting</t>
  </si>
  <si>
    <t>PP001321;PF005708</t>
  </si>
  <si>
    <t>5/5/2022</t>
  </si>
  <si>
    <t>II10-1249</t>
  </si>
  <si>
    <t>AMAZONDS,ASHFURNDS,CSNSTORES,DESINC,FINGERHUTDS,JCPENNEY01,KOHLDSN,MACY02,OVERSTOCK01,TGTDVS</t>
  </si>
  <si>
    <t>II10-1061</t>
  </si>
  <si>
    <t>PP001321;PF004763</t>
  </si>
  <si>
    <t>AMAZON,AMERSIGNDS,BLK01,CSNSTORES,FINGERHUTDS,HSNDS,JCPENNEY01,KIRKLANDDS,KOHLDSN,LAMPDS,MACY02,OLLIIX,OVERSTOCK01,TGTDVS,ZOLA</t>
  </si>
  <si>
    <t>II10-1062</t>
  </si>
  <si>
    <t>AMAZON,AMAZONDS,AMERSIGNDS,BLK01,CSNSTORES,JCPENNEY01,KOHLDSN,LAMPDS,MACY02,OLLIIX,OVERSTOCK01,ROOMECOM,TGTDVS,ZOLA</t>
  </si>
  <si>
    <t>II10-1124</t>
  </si>
  <si>
    <t>PP001321;PF005135</t>
  </si>
  <si>
    <t>AMAZON,AMAZONDS,CSNSTORES,HDDS,HSNDS,JCPENNEY01,KOHLDSN,MACY02,NRTPORT,OLLIIX,OVERSTOCK01,TGTDVS</t>
  </si>
  <si>
    <t>II10-1125</t>
  </si>
  <si>
    <t>AMAZON,AMAZONDS,CSNSTORES,HDDS,JCPENNEY01,KOHLDSN,LOWESDS,MACY02,OLLIIX,OVERSTOCK01,TGTDVS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</si>
  <si>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</si>
  <si>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</si>
  <si>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</si>
  <si>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</si>
  <si>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</si>
  <si>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</si>
  <si>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AMAZON,ASHFURNDS,CSNSTORES,DESINC,HOUZZ,JCPENNEY01,KOHLDSN,MACY02,OLLIIX,OVERSTOCK01,TGTDVS</t>
  </si>
  <si>
    <t>II10-1131</t>
  </si>
  <si>
    <t>AMAZON,AMAZONDS,ASHFURNDS,CSNSTORES,DESINC,JCPENNEY01,KIRKLANDDS,KOHLDSN,MACY02,OLLIIX,OVERSTOCK01,TGTDVS,ZOLA</t>
  </si>
  <si>
    <t>II10-1056</t>
  </si>
  <si>
    <t>Off White/Gray</t>
  </si>
  <si>
    <t>PP001095;PF004583</t>
  </si>
  <si>
    <t>BOHO</t>
  </si>
  <si>
    <t>2/27/2019</t>
  </si>
  <si>
    <t>2/18/2025</t>
  </si>
  <si>
    <t>AMAZON,AMAZONDS,AMERSIGNDS,BLK01,CSNSTORES,JCPENNEY01,KIRKLANDDS,KOHLDSN,MACY02,OLLIIX,OVERSTOCK01,TGTDVS,ZOLA</t>
  </si>
  <si>
    <t>II10-1057</t>
  </si>
  <si>
    <t>AMAZON,AMAZONDS,BEALLSDS,CSNSTORES,JCPENNEY01,KOHLDSN,MACY02,OLLIIX,OVERSTOCK01,ROOMECOM,TGTDVS,ZOLA</t>
  </si>
  <si>
    <t>II10-1100</t>
  </si>
  <si>
    <t>Rhea</t>
  </si>
  <si>
    <t>Cotton Jacquard Comforter Mini Set</t>
  </si>
  <si>
    <t>Grey/Black</t>
  </si>
  <si>
    <t>PF005086;PP001731</t>
  </si>
  <si>
    <t>AMAZON,AMAZONDS,AMERSIGNDS,CSNSTORES,JCPENNEY01,KOHLDSN,MACY02,OLLIIX,OVERSTOCK01,TGTDVS</t>
  </si>
  <si>
    <t>II10-1101</t>
  </si>
  <si>
    <t>AMAZON,AMAZONDS,BLK01,CSNSTORES,DESINC,FINGERHUTDS,JCPENNEY01,KOHLDSN,MACY02,OLLIIX,OVERSTOCK01,ROOMECOM,TGTDVS</t>
  </si>
  <si>
    <t>II10-1038</t>
  </si>
  <si>
    <t>Ivory/Charcoal</t>
  </si>
  <si>
    <t>PF004418;PP001731</t>
  </si>
  <si>
    <t>8/30/2018</t>
  </si>
  <si>
    <t>2/19/2025</t>
  </si>
  <si>
    <t>AMAZON,AMAZONDS,AMERSIGNDS,CSNSTORES,FINGERHUTDS,JCPENNEY01,KOHLDSN,LAMPDS,MACY02,OLLIIX,OVERSTOCK01,TGTDVS,ZOLA</t>
  </si>
  <si>
    <t>II10-1039</t>
  </si>
  <si>
    <t>AMAZON,AMAZONDS,AMERSIGNDS,BEALLSDS,CSNSTORES,DESINC,FINGERHUTDS,HSNDS,JCPENNEY01,KIRKLANDDS,KOHLDSN,LAMPDS,MACY02,OLLIIX,OVERSTOCK01,ROOMECOM,TGTDVS,ZOLA</t>
  </si>
  <si>
    <t>II10-1320</t>
  </si>
  <si>
    <t>Shay</t>
  </si>
  <si>
    <t>3 Piece Striped Cotton Comforter Set</t>
  </si>
  <si>
    <t>Sage</t>
  </si>
  <si>
    <t>PP001961;PF006245</t>
  </si>
  <si>
    <t>AMAZON,CSNSTORES,DESINC,JCPENNEY01,KOHLDSN,MACY02,OLLIIX,OVERSCONSIGN,OVERSTOCK01,TGTDVS,ZOLA</t>
  </si>
  <si>
    <t>II10-1321</t>
  </si>
  <si>
    <t>II10-1324</t>
  </si>
  <si>
    <t>PP001961;PF006246</t>
  </si>
  <si>
    <t>AMAZON,AMAZONDS,JCPENNEY01,KOHLDSN,MACY02,OLLIIX,OVERSTOCK01,TGTDVS,ZOLA</t>
  </si>
  <si>
    <t>II10-1325</t>
  </si>
  <si>
    <t>AMAZON,AMAZONDS,BLK01,JCPENNEY01,KOHLDSN,MACY02,OLLIIX,OVERSTOCK01,TGTDVS,ZOLA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</si>
  <si>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</si>
  <si>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</si>
  <si>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</si>
  <si>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</si>
  <si>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</si>
  <si>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AMAZON,AMAZONDS,CSNSTORES,DESINC,JCPENNEY01,KOHLDSN,MACY02,OLLIIX,OVERSTOCK01,TGTDVS,ZOLA</t>
  </si>
  <si>
    <t>II10-1312</t>
  </si>
  <si>
    <t>AMAZON,AMAZONDS,AMERSIGNDS,BLK01,CSNSTORES,JCPENNEY01,KOHLDSN,MACY02,NRTPORT,OLLIIX,OVERSTOCK01,TGTDVS,ZOLA</t>
  </si>
  <si>
    <t>II13-1042</t>
  </si>
  <si>
    <t>3 Piece Printed Cotton Quilt Set</t>
  </si>
  <si>
    <t>Farm House|Transitional</t>
  </si>
  <si>
    <t>11/18/2018</t>
  </si>
  <si>
    <t>AMAZON,AMAZONDS,BLK01,CSNSTORES,DESINC,HDDS,JCPENNEY01,KOHLDSN,MACY02,OVERSTOCK01,ROOMECOM,TGTDVS,ZOLA</t>
  </si>
  <si>
    <t>II13-1043</t>
  </si>
  <si>
    <t>AMAZON,AMAZONDS,BLK01,CSNSTORES,HDDS,JCPENNEY01,KOHLDSN,MACY02,NRTPORT,OVERSTOCK01,TGTDVS,ZOLA</t>
  </si>
  <si>
    <t>II13-1201</t>
  </si>
  <si>
    <t>Pomona</t>
  </si>
  <si>
    <t>3 Piece Embroidered Cotton Quilt Set</t>
  </si>
  <si>
    <t>PP000486;PF005524</t>
  </si>
  <si>
    <t>Chevron</t>
  </si>
  <si>
    <t>9/1/2021</t>
  </si>
  <si>
    <t>AMAZON,AMAZONDS,ASHFURNDS,CSNSTORES,DESINC,JCPENNEY01,KOHLDSN,MACY02,OLLIIX,OVERSTOCK01,TGTDVS</t>
  </si>
  <si>
    <t>II13-1202</t>
  </si>
  <si>
    <t>AMAZON,ASHFURNDS,CSNSTORES,HOUZZ,JCPENNEY01,KOHLDSN,MACY02,OLLIIX,OVERSTOCK01,TGTDVS</t>
  </si>
  <si>
    <t>II13-564</t>
  </si>
  <si>
    <t>PF001639;PP000486</t>
  </si>
  <si>
    <t>AMAZON,AMAZONDS,BEALLSDS,BLK01,CSNSTORES,JCPENNEY01,KOHLDSN,MACY02,OLLIIX,OVERSTOCK01,ROOMECOM,TGTDVS</t>
  </si>
  <si>
    <t>II13-565</t>
  </si>
  <si>
    <t>II12-783</t>
  </si>
  <si>
    <t>3 Piece Duvet Cover Mini Set</t>
  </si>
  <si>
    <t>AMAZON,CSNSTORES,JCPENNEY01,KOHLDSN,MACY02,OLLIIX,OVERSTOCK01,TGTDVS,ZOLA</t>
  </si>
  <si>
    <t>II12-784</t>
  </si>
  <si>
    <t>AMAZON,BLK01,CSNSTORES,JCPENNEY01,KOHLDSN,MACY02,NRTPORT,OLLIIX,OVERSTOCK01,TGTDVS,ZOLA</t>
  </si>
  <si>
    <t>II12-554</t>
  </si>
  <si>
    <t>II12-555</t>
  </si>
  <si>
    <t>II12-787</t>
  </si>
  <si>
    <t>II12-788</t>
  </si>
  <si>
    <t>II12-1114</t>
  </si>
  <si>
    <t>II12-1115</t>
  </si>
  <si>
    <t>II12-1332</t>
  </si>
  <si>
    <t>3 Piece Cotton Jacquard Duvet Set</t>
  </si>
  <si>
    <t>AMAZON,KOHLDSN,MACY02,OLLIIX,OVERSTOCK01,TGTDVS,ZOLA</t>
  </si>
  <si>
    <t>II12-1333</t>
  </si>
  <si>
    <t>AMAZON,BLK01,KOHLDSN,MACY02,OVERSTOCK01,TGTDVS</t>
  </si>
  <si>
    <t>II12-1118</t>
  </si>
  <si>
    <t>II12-1119</t>
  </si>
  <si>
    <t>II12-1054</t>
  </si>
  <si>
    <t>Cotton Jacquard Duvet Cover Set</t>
  </si>
  <si>
    <t>AMAZON,AMAZONDS,CSNSTORES,JCPENNEY01,KOHLDSN,MACY02,OLLIIX,OVERSTOCK01,TGTDVS,ZOLA</t>
  </si>
  <si>
    <t>II12-1055</t>
  </si>
  <si>
    <t>AMAZON,CSNSTORES,KOHLDSN,MACY02,OVERSCONSIGN,OVERSTOCK01,TGTDVS,ZOLA</t>
  </si>
  <si>
    <t>II12-1071</t>
  </si>
  <si>
    <t>CSNSTORES,JCPENNEY01,KOHLDSN,MACY02,OLLIIX,OVERSTOCK01,TGTDVS,ZOLA</t>
  </si>
  <si>
    <t>II12-1072</t>
  </si>
  <si>
    <t>BEALLSDS,CSNSTORES,JCPENNEY01,KOHLDSN,MACY02,OVERSTOCK01,TGTDVS,ZOLA</t>
  </si>
  <si>
    <t>II12-1091</t>
  </si>
  <si>
    <t>Cotton Printed Duvet Cover Set with Chenille</t>
  </si>
  <si>
    <t>4/23/2020</t>
  </si>
  <si>
    <t>AMAZON,AMAZONDS,BLK01,CSNSTORES,HSNDS,JCPENNEY01,KOHLDSN,MACY02,NRTPORT,OLLIIX,OVERSTOCK01,ROOMECOM,TGTDVS</t>
  </si>
  <si>
    <t>II12-1092</t>
  </si>
  <si>
    <t>AMAZON,AMAZONDS,AMERSIGNDS,ASHFURNDS,BLK01,CSNSTORES,HOUZZ,HSNDS,JCPENNEY01,KOHLDSN,MACY02,OLLIIX,OVERSTOCK01,TGTDVS</t>
  </si>
  <si>
    <t>II12-996</t>
  </si>
  <si>
    <t>AMAZON,AMERSIGNDS,BLK01,CSNSTORES,DESINC,HSNDS,JCPENNEY01,KOHLDSN,MACY02,OLLIIX,OVERSTOCK01,TGTDVS</t>
  </si>
  <si>
    <t>II12-997</t>
  </si>
  <si>
    <t>AMAZON,AMAZONDS,ASHFURNDS,CSNSTORES,JCPENNEY01,KOHLDSN,MACY02,NRTPORT,OLLIIX,OVERSTOCK01,ROOMECOM,TGTDVS,ZOLA</t>
  </si>
  <si>
    <t>II12-1348</t>
  </si>
  <si>
    <t>II12-1349</t>
  </si>
  <si>
    <t>II12-1276</t>
  </si>
  <si>
    <t>AMAZONDS,CSNSTORES,DESINC,JCPENNEY01,KOHLDSN,MACY02,OLLIIX,OVERSCONSIGN,OVERSTOCK01,TGTDVS,ZOLA</t>
  </si>
  <si>
    <t>II12-1277</t>
  </si>
  <si>
    <t>AMAZONDS,ASHFURNDS,CSNSTORES,JCPENNEY01,KOHLDSN,MACY02,NRTPORT,OLLIIX,OVERSTOCK01,TGTDVS,ZOLA</t>
  </si>
  <si>
    <t>II12-1106</t>
  </si>
  <si>
    <t>3 Piece Cotton Jacquard Duvet Cover Set</t>
  </si>
  <si>
    <t>II12-1107</t>
  </si>
  <si>
    <t>II12-1272</t>
  </si>
  <si>
    <t>AMAZONDS,CSNSTORES,JCPENNEY01,KOHLDSN,MACY02,NRTPORT,OVERSTOCK01,TGTDVS,ZOLA</t>
  </si>
  <si>
    <t>II12-1273</t>
  </si>
  <si>
    <t>AMAZONDS,CSNSTORES,JCPENNEY01,KOHLDSN,MACY02,OVERSTOCK01,TGTDVS,ZOLA</t>
  </si>
  <si>
    <t>II12-1110</t>
  </si>
  <si>
    <t>3 Piece Flax and Cotton Blended Duvet Cover Set</t>
  </si>
  <si>
    <t>7/31/2020</t>
  </si>
  <si>
    <t>II12-1111</t>
  </si>
  <si>
    <t>II12-598</t>
  </si>
  <si>
    <t>3 Piece Elastic Embroidered Cotton Duvet Cover Set</t>
  </si>
  <si>
    <t>AMAZONDS,BLK01,CSNSTORES,HOUZZ,JCPENNEY01,KOHLDSN,MACY02,OVERSTOCK01,TGTDVS</t>
  </si>
  <si>
    <t>II12-599</t>
  </si>
  <si>
    <t>AMAZON,BEALLSDS,BLK01,CSNSTORES,DESINC,HOUZZ,KOHLDSN,MACY02,OLLIIX,OVERSTOCK01,TGTDVS</t>
  </si>
  <si>
    <t>II12-1250</t>
  </si>
  <si>
    <t>3 Piece Cotton Duvet Cover Set with Chenille Tufting</t>
  </si>
  <si>
    <t>II12-1251</t>
  </si>
  <si>
    <t>II12-1063</t>
  </si>
  <si>
    <t>AMAZON,BLK01,CSNSTORES,JCPENNEY01,KOHLDSN,MACY02,OLLIIX,OVERSTOCK01,TGTDVS,ZOLA</t>
  </si>
  <si>
    <t>II12-1064</t>
  </si>
  <si>
    <t>AMAZON,AMAZONDS,BLK01,CSNSTORES,JCPENNEY01,KIRKLANDDS,KOHLDSN,MACY02,OLLIIX,OVERSTOCK01,TGTDVS,ZOLA</t>
  </si>
  <si>
    <t>II12-1126</t>
  </si>
  <si>
    <t>9/30/2020</t>
  </si>
  <si>
    <t>AMAZON,CSNSTORES,JCPENNEY01,KIRKLANDDS,KOHLDSN,MACY02,OLLIIX,OVERSTOCK01,TGTDVS,ZOLA</t>
  </si>
  <si>
    <t>II12-1127</t>
  </si>
  <si>
    <t>ASHFURNDS,CSNSTORES,JCPENNEY01,KIRKLANDDS,KOHLDSN,MACY02,OLLIIX,OVERSTOCK01,TGTDVS</t>
  </si>
  <si>
    <t>II12-1132</t>
  </si>
  <si>
    <t>Cotton Printed Duvet Cover Set with Trims</t>
  </si>
  <si>
    <t>II12-1133</t>
  </si>
  <si>
    <t>AMAZON,AMAZONDS,CSNSTORES,JCPENNEY01,KOHLDSN,MACY02,OVERSTOCK01,TGTDVS,ZOLA</t>
  </si>
  <si>
    <t>II12-1058</t>
  </si>
  <si>
    <t>AMAZON,AMAZONDS,ASHFURNDS,CSNSTORES,JCPENNEY01,KOHLDSN,MACY02,OLLIIX,OVERSTOCK01,TGTDVS,ZOLA</t>
  </si>
  <si>
    <t>II12-1059</t>
  </si>
  <si>
    <t>AMAZON,AMAZONDS,ASHFURNDS,CSNSTORES,DESINC,HOUZZ,JCPENNEY01,KOHLDSN,MACY02,OLLIIX,OVERSTOCK01,TGTDVS,ZOLA</t>
  </si>
  <si>
    <t>II12-1102</t>
  </si>
  <si>
    <t>Cotton Jacquard Duvet Cover Mini Set</t>
  </si>
  <si>
    <t>II12-1103</t>
  </si>
  <si>
    <t>II12-1040</t>
  </si>
  <si>
    <t>AMAZON,BLK01,CSNSTORES,JCPENNEY01,KOHLDSN,MACY02,OLLIIX,OVERSTOCK01,ROOMECOM,TGTDVS,ZOLA</t>
  </si>
  <si>
    <t>II12-1041</t>
  </si>
  <si>
    <t>AMAZON,CSNSTORES,JCPENNEY01,KOHLDSN,MACY02,OLLIIX,OVERSTOCK01,ROOMECOM,TGTDVS,ZOLA</t>
  </si>
  <si>
    <t>II12-1322</t>
  </si>
  <si>
    <t>3 Piece Striped Cotton Duvet Cover Set</t>
  </si>
  <si>
    <t>AMAZON,JCPENNEY01,KOHLDSN,MACY02,OLLIIX,OVERSTOCK01,TGTDVS</t>
  </si>
  <si>
    <t>II12-1323</t>
  </si>
  <si>
    <t>II12-1326</t>
  </si>
  <si>
    <t>AMAZON,KOHLDSN,MACY02,OLLIIX,OVERSTOCK01,TGTDVS</t>
  </si>
  <si>
    <t>II12-1327</t>
  </si>
  <si>
    <t>AMAZON,AMAZONDS,JCPENNEY01,KOHLDSN,MACY02,OLLIIX,OVERSTOCK01,TGTDVS</t>
  </si>
  <si>
    <t>II12-1313</t>
  </si>
  <si>
    <t>3 Piece Cotton Blend Chenille Duvet Cover Set</t>
  </si>
  <si>
    <t>II12-1314</t>
  </si>
  <si>
    <t>II30-609</t>
  </si>
  <si>
    <t>Cotton Embroidered Decorative Square Pillow</t>
  </si>
  <si>
    <t>20x20"</t>
  </si>
  <si>
    <t>PF003362;PP000451;PP000464;PF005628</t>
  </si>
  <si>
    <t>AMAZON,AMAZONDS,ASHFURNDS,BEALLSDS,CSNSTORES,DESINC,HSNDS,JCPENNEY01,KIRKLANDDS,KOHLDSN,LAMPDS,MACY02,OLLIIX,OVERSTOCK01,TGTDVS</t>
  </si>
  <si>
    <t>MPS10-341</t>
  </si>
  <si>
    <t>Madison Park Signature</t>
  </si>
  <si>
    <t>Barely There</t>
  </si>
  <si>
    <t>PF004048;PP000586</t>
  </si>
  <si>
    <t>10/25/2017</t>
  </si>
  <si>
    <t>AMAZON,AMAZONDS,AMERSIGNDS,CSNSTORES,JCPENNEY01,KOHLDSN,NRTPORT,OLLIIX,OVERSTOCK01,TGTDVS</t>
  </si>
  <si>
    <t>MPS10-342</t>
  </si>
  <si>
    <t>AMAZON,AMERSIGNDS,BLK01,CSNSTORES,DESINC,JCPENNEY01,KIRKLANDDS,KOHLDSN,LAMPDS,OLLIIX,OVERSTOCK01,ROOMECOM,TGTDVS</t>
  </si>
  <si>
    <t>MPS10-548</t>
  </si>
  <si>
    <t>Chapman</t>
  </si>
  <si>
    <t>Nuetual Ivory</t>
  </si>
  <si>
    <t>Other</t>
  </si>
  <si>
    <t>MPS10-549</t>
  </si>
  <si>
    <t>MPS10-207</t>
  </si>
  <si>
    <t>Chateau</t>
  </si>
  <si>
    <t>PF003291</t>
  </si>
  <si>
    <t>Cottage/Country|Traditional</t>
  </si>
  <si>
    <t>BLK01,CSNSTORES,JCPENNEY01,KOHLDSN,LAMPDS,MACY02,NRTPORT,OLLIIX,OVERSCONSIGN,OVERSTOCK01,ROOMECOM</t>
  </si>
  <si>
    <t>MPS10-208</t>
  </si>
  <si>
    <t>MPS10-596</t>
  </si>
  <si>
    <t>Contemporary</t>
  </si>
  <si>
    <t>Jacquard Oversized Duvet Style Comforter Set</t>
  </si>
  <si>
    <t>Gold</t>
  </si>
  <si>
    <t>MPS10-597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</si>
  <si>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</si>
  <si>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</si>
  <si>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</si>
  <si>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</si>
  <si>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</si>
  <si>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AMAZON,CSNSTORES,JCPENNEY01,KOHLDSN,OLLIIX,OVERSTOCK01</t>
  </si>
  <si>
    <t>MPS10-538</t>
  </si>
  <si>
    <t>AMAZON,AMAZONDS,CSNSTORES,DESINC,JCPENNEY01,KOHLDSN,OLLIIX,OVERSTOCK01</t>
  </si>
  <si>
    <t>MPS10-463</t>
  </si>
  <si>
    <t>PP001967;PF005183</t>
  </si>
  <si>
    <t>Farmhouse/Country/Cottage</t>
  </si>
  <si>
    <t>AMAZON,AMAZONDS,BLK01,CASTLEGATE,CSNSTORES,DESINC,JCPENNEY01,KOHLDSN,MACY02,NRTPORT,OLLIIX,OVERSCONSIGN,OVERSTOCK01,ROOMECOM,TGTDVS</t>
  </si>
  <si>
    <t>MPS10-464</t>
  </si>
  <si>
    <t>AMAZON,AMAZONDS,BLK01,CASTLEGATE,CSNSTORES,JCPENNEY01,KOHLDSN,MACY02,NRTPORT,OLLIIX,OVERSCONSIGN,OVERSTOCK01,ROOMECOM,TGTDVS</t>
  </si>
  <si>
    <t>MPS10-551</t>
  </si>
  <si>
    <t>MPS10-552</t>
  </si>
  <si>
    <t>MPS10-496</t>
  </si>
  <si>
    <t>PP001967;PF005935</t>
  </si>
  <si>
    <t>5/4/2023</t>
  </si>
  <si>
    <t>AMAZON,AMAZONDS,BLK01,CSNSTORES,JCPENNEY01,KOHLDSN,MACY02,NRTPORT,OLLIIX,OVERSCONSIGN,OVERSTOCK01,TGTDVS</t>
  </si>
  <si>
    <t>MPS10-497</t>
  </si>
  <si>
    <t>AMAZON,AMAZONDS,BLK01,CSNSTORES,JCPENNEY01,KOHLDSN,MACY02,NRTPORT,OLLIIX,OVERSCONSIGN,OVERSTOCK01,ROOMECOM,TGTDVS</t>
  </si>
  <si>
    <t>MPS10-312</t>
  </si>
  <si>
    <t>PF003303</t>
  </si>
  <si>
    <t>AMAZON,BLK01,CSNSTORES,JCPENNEY01,KOHLDSN,LAMPDS,MACY02,OLLIIX,OVERSCONSIGN,OVERSTOCK01</t>
  </si>
  <si>
    <t>MPS10-313</t>
  </si>
  <si>
    <t>AMAZON,AMAZONDS,BLK01,CSNSTORES,DESINC,JCPENNEY01,KOHLDSN,MACY02,NRTPORT,OLLIIX,OVERSTOCK01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</si>
  <si>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</si>
  <si>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</si>
  <si>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</si>
  <si>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</si>
  <si>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</si>
  <si>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</si>
  <si>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AMAZON,AMAZONDS,BLK01,CSNSTORES,JCPENNEY01,KOHLDSN,MACY02,NRTPORT,OLLIIX,OVERSTOCK01</t>
  </si>
  <si>
    <t>MPS10-485</t>
  </si>
  <si>
    <t>9 Piece Geometric Oversized Jacquard Comforter Set</t>
  </si>
  <si>
    <t>AMAZON,AMAZONDS,AMERSIGNDS,BLK01,CSNSTORES,DESINC,JCPENNEY01,KOHLDSN,MACY02,NRTPORT,OLLIIX,OVERSTOCK01,ZOLA</t>
  </si>
  <si>
    <t>MPS10-310</t>
  </si>
  <si>
    <t>Hollywood Glam</t>
  </si>
  <si>
    <t>PF003302</t>
  </si>
  <si>
    <t>Global Inspired|Modern/Contemporary</t>
  </si>
  <si>
    <t>AMAZON,AMAZONDS,ASHFURNDS,BLK01,CSNSTORES,JCPENNEY01,KOHLDSN,LAMPDS,MACY02,NRTPORT,OLLIIX,OVERSTOCK01</t>
  </si>
  <si>
    <t>MPS10-311</t>
  </si>
  <si>
    <t>AMAZON,AMERSIGNDS,ASHFURNDS,BEALLSDS,BLK01,CSNSTORES,HOUZZ,JCPENNEY01,KOHLDSN,LAMPDS,MACY02,NRTPORT,OLLIIX,OVERSTOCK01,ROOMECOM</t>
  </si>
  <si>
    <t>MPS10-598</t>
  </si>
  <si>
    <t>Javis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</si>
  <si>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</si>
  <si>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</si>
  <si>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</si>
  <si>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</si>
  <si>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</si>
  <si>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</si>
  <si>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</si>
  <si>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CSNSTORES,OLLIIX,OVERSTOCK01</t>
  </si>
  <si>
    <t>MPS10-524</t>
  </si>
  <si>
    <t>6/11/2024</t>
  </si>
  <si>
    <t>CSNSTORES,DESINC,OLLIIX,OVERSTOCK01</t>
  </si>
  <si>
    <t>MPS10-515</t>
  </si>
  <si>
    <t>Oasis</t>
  </si>
  <si>
    <t>Oversized Chenille Jacquard Striped Comforter Set with Euro Shams and Throw Pillows</t>
  </si>
  <si>
    <t>PF006076</t>
  </si>
  <si>
    <t>AMAZON,AMAZONDS,KOHLDSN,MACY02,OLLIIX,OVERSTOCK01</t>
  </si>
  <si>
    <t>MPS10-516</t>
  </si>
  <si>
    <t>10/22/2023</t>
  </si>
  <si>
    <t>CSNSTORES,KOHLDSN,MACY02,OLLIIX,OVERSTOCK01</t>
  </si>
  <si>
    <t>MPS10-521</t>
  </si>
  <si>
    <t>Pescal</t>
  </si>
  <si>
    <t>Oversized Velvet Comforter Set with Euro Shams and Throw Pillows</t>
  </si>
  <si>
    <t>Beige</t>
  </si>
  <si>
    <t>PP001955;PF006227</t>
  </si>
  <si>
    <t>AMAZON,CSNSTORES,OLLIIX</t>
  </si>
  <si>
    <t>MPS10-522</t>
  </si>
  <si>
    <t>AMAZON,AMAZONDS,OLLIIX,OVERSTOCK01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</si>
  <si>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</si>
  <si>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</si>
  <si>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</si>
  <si>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</si>
  <si>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</si>
  <si>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</si>
  <si>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</si>
  <si>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</si>
  <si>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</si>
  <si>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</si>
  <si>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</si>
  <si>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</si>
  <si>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</si>
  <si>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MPS10-257</t>
  </si>
  <si>
    <t>Shades of Grey</t>
  </si>
  <si>
    <t>PF003293</t>
  </si>
  <si>
    <t>AMAZON,AMAZONDS,BLK01,CSNSTORES,HSNDS,JCPENNEY01,KOHLDSN,LAMPDS,MACY02,NRTPORT,OLLIIX,OVERSTOCK01</t>
  </si>
  <si>
    <t>MPS10-258</t>
  </si>
  <si>
    <t>AMAZON,AMAZONDS,BLK01,CSNSTORES,HSNDS,JCPENNEY01,KOHLDSN,LAMPDS,MACY02,NRTPORT,OLLIIX,OVERSTOCK01,ROOMECOM</t>
  </si>
  <si>
    <t>MPS10-345</t>
  </si>
  <si>
    <t>Urban Cabin</t>
  </si>
  <si>
    <t>PF004061;PP001989</t>
  </si>
  <si>
    <t>11/30/2017</t>
  </si>
  <si>
    <t>2/11/2025</t>
  </si>
  <si>
    <t>AMAZON,AMAZONDS,BLK01,CSNSTORES,DESINC,HSNDS,JCPENNEY01,KOHLDSN,LAMPDS,MACY02,NRTPORT,OLLIIX,OVERSTOCK01,TGTDVS</t>
  </si>
  <si>
    <t>MPS10-346</t>
  </si>
  <si>
    <t>AMAZON,AMAZONDS,BLK01,CSNSTORES,DESINC,FINGERHUTDS,HOUZZ,JCPENNEY01,KOHLDSN,MACY02,OLLIIX,OVERSTOCK01,TGTDVS</t>
  </si>
  <si>
    <t>MPS10-544</t>
  </si>
  <si>
    <t>PP001989;PF006386</t>
  </si>
  <si>
    <t>MPS10-545</t>
  </si>
  <si>
    <t>CSNSTORES,KOHLDSN,OLLIIX,OVERSTOCK01</t>
  </si>
  <si>
    <t>MPS13-500</t>
  </si>
  <si>
    <t>4 Piece Oversized Reversible Matelasse Quilt Set with Throw Pillow</t>
  </si>
  <si>
    <t>PP001854;PF005936</t>
  </si>
  <si>
    <t>4/6/2023</t>
  </si>
  <si>
    <t>MPS13-501</t>
  </si>
  <si>
    <t>MPS13-274</t>
  </si>
  <si>
    <t>3 Piece Hand Quilted Cotton Quilt Set</t>
  </si>
  <si>
    <t>PF003298;PP000712</t>
  </si>
  <si>
    <t>4/15/2017</t>
  </si>
  <si>
    <t>BLK01,CSNSTORES,JCPENNEY01,KOHLDSN,MACY02,OLLIIX,OVERSTOCK01,ROOMECOM</t>
  </si>
  <si>
    <t>MPS13-275</t>
  </si>
  <si>
    <t>MPS13-272</t>
  </si>
  <si>
    <t>PF003297;PP000712</t>
  </si>
  <si>
    <t>BLK01,CSNSTORES,JCPENNEY01,KIRKLANDDS,KOHLDSN,MACY02,OLLIIX,OVERSTOCK01</t>
  </si>
  <si>
    <t>MPS13-273</t>
  </si>
  <si>
    <t>MPS13-270</t>
  </si>
  <si>
    <t>PF003296;PP000712</t>
  </si>
  <si>
    <t>BLK01,CSNSTORES,JCPENNEY01,KIRKLANDDS,KOHLDSN,MACY02,NRTPORT,OLLIIX,OVERSTOCK01</t>
  </si>
  <si>
    <t>MPS13-271</t>
  </si>
  <si>
    <t>NS11-3657</t>
  </si>
  <si>
    <t>N Natori</t>
  </si>
  <si>
    <t>Bed Skirt&amp;Sham</t>
  </si>
  <si>
    <t>Cocoon</t>
  </si>
  <si>
    <t>Quilt Top Euro Sham</t>
  </si>
  <si>
    <t>PP001696;PF005609</t>
  </si>
  <si>
    <t>11/2/2021</t>
  </si>
  <si>
    <t>ASHFURNDS,CSNSTORES,KOHLDSN,MACY02,NRTPORT,OLLIIX,OVERSTOCK01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</si>
  <si>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</si>
  <si>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</si>
  <si>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</si>
  <si>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</si>
  <si>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</si>
  <si>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</si>
  <si>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</si>
  <si>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</si>
  <si>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</si>
  <si>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</si>
  <si>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</si>
  <si>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AMAZON,ASHFURNDS,BLK01,CSNSTORES,HSNDS,JCPENNEY01,MACY02,OLLIIX,OVERSTOCK01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</si>
  <si>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</si>
  <si>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</si>
  <si>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</si>
  <si>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</si>
  <si>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</si>
  <si>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AMAZONDS,BLK01,CSNSTORES,JCPENNEY01,KOHLDSN,MACY02,NRTPORT,OLLIIX,OVERSCONSIGN,OVERSTOCK01</t>
  </si>
  <si>
    <t>NS10-3706</t>
  </si>
  <si>
    <t>AMAZONDS,BLK01,CSNSTORES,JCPENNEY01,KOHLDSN,MACY02,NRTPORT,OLLIIX,OVERSTOCK01</t>
  </si>
  <si>
    <t>NS10-1848</t>
  </si>
  <si>
    <t>PF002588</t>
  </si>
  <si>
    <t>NS10-1849</t>
  </si>
  <si>
    <t>CSNSTORES,JCPENNEY01,KOHLDSN,MACY02,OVERSTOCK01</t>
  </si>
  <si>
    <t>NS10-3249</t>
  </si>
  <si>
    <t>Cotton Blend Yarn Dyed 3 Piece Comforter Set</t>
  </si>
  <si>
    <t>AMERSIGNDS,ASHFURNDS,CSNSTORES,HSNDS,JCPENNEY01,KOHLDSN,MACY02,OLLIIX,OVERSTOCK01</t>
  </si>
  <si>
    <t>NS10-3250</t>
  </si>
  <si>
    <t>ASHFURNDS,BLK01,CSNSTORES,HSNDS,JCPENNEY01,KOHLDSN,MACY02,OLLIIX,OVERSTOCK01</t>
  </si>
  <si>
    <t>NS10-3243</t>
  </si>
  <si>
    <t>PP000991;PF004455</t>
  </si>
  <si>
    <t>AMERSIGNDS,ASHFURNDS,CSNSTORES,JCPENNEY01,KOHLDSN,MACY02,OLLIIX,OVERSTOCK01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</si>
  <si>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</si>
  <si>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</si>
  <si>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</si>
  <si>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</si>
  <si>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</si>
  <si>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</si>
  <si>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</si>
  <si>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1/3/2025</t>
  </si>
  <si>
    <t>AMAZON,AMAZONDS,ASHFURNDS,BLK01,CSNSTORES,HSNDS,JCPENNEY01,KOHLDSN,MACY02,OLLIIX,OVERSTOCK01</t>
  </si>
  <si>
    <t>NS10-3256</t>
  </si>
  <si>
    <t>AMAZON,AMAZONDS,CSNSTORES,HSNDS,JCPENNEY01,KOHLDSN,MACY02,NRTPORT,OLLIIX,OVERSTOCK01</t>
  </si>
  <si>
    <t>NS10-3653</t>
  </si>
  <si>
    <t>3 Piece Quilt Top Comforter Mini Set</t>
  </si>
  <si>
    <t>AMAZONDS,ASHFURNDS,BLK01,CSNSTORES,JCPENNEY01,KOHLDSN,MACY02,OLLIIX,OVERSTOCK01</t>
  </si>
  <si>
    <t>NS10-3654</t>
  </si>
  <si>
    <t>AMAZON,AMERSIGNDS,ASHFURNDS,BLK01,CSNSTORES,JCPENNEY01,KOHLDSN,MACY02,OLLIIX,OVERSTOCK01</t>
  </si>
  <si>
    <t>NS12-3707</t>
  </si>
  <si>
    <t>3 Piece Oversized Reversible Seersucker Duvet Cover Mini Set</t>
  </si>
  <si>
    <t>AMAZONDS,CSNSTORES,JCPENNEY01,KOHLDSN,MACY02,NRTPORT,OVERSTOCK01</t>
  </si>
  <si>
    <t>NS12-3708</t>
  </si>
  <si>
    <t>AMAZONDS,CSNSTORES,JCPENNEY01,KOHLDSN,MACY02,NRTPORT,OLLIIX,OVERSTOCK01</t>
  </si>
  <si>
    <t>NS12-3655</t>
  </si>
  <si>
    <t>3 Piece Quilt Top Duvet Cover Mini Set</t>
  </si>
  <si>
    <t>AMAZON,CSNSTORES,DESINC,JCPENNEY01,MACY02,OLLIIX,OVERSTOCK01</t>
  </si>
  <si>
    <t>NS12-3656</t>
  </si>
  <si>
    <t>ASHFURNDS,CSNSTORES,JCPENNEY01,KOHLDSN,MACY02,OLLIIX,OVERSTOCK01</t>
  </si>
  <si>
    <t>NS12-2005</t>
  </si>
  <si>
    <t>NS12-2006</t>
  </si>
  <si>
    <t>NS12-3251</t>
  </si>
  <si>
    <t>Cotton Blend Yarn Dyed 3 Piece Duvet Cover Set</t>
  </si>
  <si>
    <t>ASHFURNDS,BLK01,CSNSTORES,KOHLDSN,MACY02,OVERSTOCK01</t>
  </si>
  <si>
    <t>NS12-3252</t>
  </si>
  <si>
    <t>ASHFURNDS,BLK01,CSNSTORES,HSNDS,KOHLDSN,MACY02,OVERSTOCK01</t>
  </si>
  <si>
    <t>NS12-3245</t>
  </si>
  <si>
    <t>CSNSTORES,DESINC,JCPENNEY01,KOHLDSN,MACY02,OLLIIX,OVERSCONSIGN,OVERSTOCK01</t>
  </si>
  <si>
    <t>NS12-3246</t>
  </si>
  <si>
    <t>ASHFURNDS,BLK01,CSNSTORES,JCPENNEY01,KOHLDSN,MACY02,OLLIIX,OVERSTOCK01</t>
  </si>
  <si>
    <t>NS12-3257</t>
  </si>
  <si>
    <t>3 Piece Cotton Sateen Printed Duvet Cover Set</t>
  </si>
  <si>
    <t>NS12-3258</t>
  </si>
  <si>
    <t>AMAZON,AMAZONDS,BLK01,CSNSTORES,JCPENNEY01,KOHLDSN,MACY02,OVERSTOCK01</t>
  </si>
  <si>
    <t>NS30-3254</t>
  </si>
  <si>
    <t>PP000991</t>
  </si>
  <si>
    <t>AMAZONDS,BLK01,CSNSTORES,HSNDS,KOHLDSN,MACY02,NRTPORT,OLLIIX,OVERSTOCK01</t>
  </si>
  <si>
    <t>NS30-3248</t>
  </si>
  <si>
    <t>NS30-3259</t>
  </si>
  <si>
    <t>PP000992;PF004458</t>
  </si>
  <si>
    <t>AMAZON,AMAZONDS,CSNSTORES,HSNDS,JCPENNEY01,KOHLDSN,MACY02,NRTPORT,OVERSTOCK01</t>
  </si>
  <si>
    <t>AM10-0131</t>
  </si>
  <si>
    <t>Super Listing</t>
  </si>
  <si>
    <t>Blake</t>
  </si>
  <si>
    <t>Calvin</t>
  </si>
  <si>
    <t>Owain/Erik</t>
  </si>
  <si>
    <t>Stripe Textured Print Comforter Set</t>
  </si>
  <si>
    <t>Black/Grey</t>
  </si>
  <si>
    <t>PP001959;PF006237</t>
  </si>
  <si>
    <t>2/2/2024</t>
  </si>
  <si>
    <t>BLK01,CSNSTORES,HDDS,JCPENNEY01,KOHLDSN,MACY02,NRTPORT,OVERSTOCK01,TGTDVS</t>
  </si>
  <si>
    <t>AM10-0132</t>
  </si>
  <si>
    <t>BLK01,CSNSTORES,DESINC,HDDS,JCPENNEY01,KOHLDSN,MACY02,NRTPORT,OVERSTOCK01,TGTDVS</t>
  </si>
  <si>
    <t>AM10-0133</t>
  </si>
  <si>
    <t>3/9/2024</t>
  </si>
  <si>
    <t>AM10-0128</t>
  </si>
  <si>
    <t>Navy/Blue</t>
  </si>
  <si>
    <t>PP001959;PF006236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</si>
  <si>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</si>
  <si>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</si>
  <si>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</si>
  <si>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</si>
  <si>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</si>
  <si>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</si>
  <si>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</si>
  <si>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</si>
  <si>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9/29/2023</t>
  </si>
  <si>
    <t>AM10-0029</t>
  </si>
  <si>
    <t>AM10-0030</t>
  </si>
  <si>
    <t>11/4/2023</t>
  </si>
  <si>
    <t>AMAZON,BLK01,CSNSTORES,DESINC,HDDS,JCPENNEY01,KOHLDSN,MACY02,NRTPORT,OVERSTOCK01,TGTDVS</t>
  </si>
  <si>
    <t>AM10-0025</t>
  </si>
  <si>
    <t>PP001926;PF006147</t>
  </si>
  <si>
    <t>AMAZON,AMAZONDS,BLK01,CSNSTORES,DESINC,HDDS,JCPENNEY01,KOHLDSN,MACY02,NRTPORT,OVERSTOCK01,TGTDVS</t>
  </si>
  <si>
    <t>AM10-0026</t>
  </si>
  <si>
    <t>AM10-0027</t>
  </si>
  <si>
    <t>AMAZON,AMAZONDS,BLK01,CSNSTORES,DESINC,HDDS,JCPENNEY01,KOHLDSN,MACY02,NRTPORT,OVERSCONSIGN,OVERSTOCK01,TGTDVS</t>
  </si>
  <si>
    <t>AM10-0290</t>
  </si>
  <si>
    <t>Brick</t>
  </si>
  <si>
    <t>PP001926;PF006375</t>
  </si>
  <si>
    <t>AMAZON,AMAZONDS,HDDS,JCPENNEY01,KOHLDSN,MACY02,OVERSTOCK01</t>
  </si>
  <si>
    <t>AM10-0291</t>
  </si>
  <si>
    <t>AMAZON,AMAZONDS,BLK01,CSNSTORES,HDDS,JCPENNEY01,KOHLDSN,MACY02,OVERSTOCK01,TGTDVS</t>
  </si>
  <si>
    <t>AM10-0292</t>
  </si>
  <si>
    <t>AM10-0031</t>
  </si>
  <si>
    <t>PP001926;PF006149</t>
  </si>
  <si>
    <t>11/21/2023</t>
  </si>
  <si>
    <t>AM10-0032</t>
  </si>
  <si>
    <t>AM10-0033</t>
  </si>
  <si>
    <t>AM10-0296</t>
  </si>
  <si>
    <t>PP001926;PF006377</t>
  </si>
  <si>
    <t>AM10-0297</t>
  </si>
  <si>
    <t>AMAZON,AMAZONDS,BLK01,CSNSTORES,HDDS,JCPENNEY01,KOHLDSN,MACY02,OVERSTOCK01</t>
  </si>
  <si>
    <t>AM10-0298</t>
  </si>
  <si>
    <t>AM10-0293</t>
  </si>
  <si>
    <t>PP001926;PF006376</t>
  </si>
  <si>
    <t>CSNSTORES,HDDS,JCPENNEY01,KOHLDSN,OVERSTOCK01</t>
  </si>
  <si>
    <t>AM10-0294</t>
  </si>
  <si>
    <t>AMAZONDS,BLK01,CSNSTORES,HDDS,JCPENNEY01,KOHLDSN,MACY02,OVERSTOCK01</t>
  </si>
  <si>
    <t>AM10-0295</t>
  </si>
  <si>
    <t>AMAZON,AMAZONDS,CSNSTORES,HDDS,JCPENNEY01,KOHLDSN,MACY02,OVERSTOCK01</t>
  </si>
  <si>
    <t>AM10-0058</t>
  </si>
  <si>
    <t>Camden</t>
  </si>
  <si>
    <t>Leighton</t>
  </si>
  <si>
    <t>Chambray Print Solid Comforter Set</t>
  </si>
  <si>
    <t>PP001923;PF006139</t>
  </si>
  <si>
    <t>AM10-0059</t>
  </si>
  <si>
    <t>AM10-0060</t>
  </si>
  <si>
    <t>11/3/2023</t>
  </si>
  <si>
    <t>AM10-0067</t>
  </si>
  <si>
    <t>PP001923;PF006142</t>
  </si>
  <si>
    <t>AM10-0068</t>
  </si>
  <si>
    <t>AM10-0069</t>
  </si>
  <si>
    <t>AM10-0064</t>
  </si>
  <si>
    <t>PP001923;PF006141</t>
  </si>
  <si>
    <t>AMAZON,CSNSTORES,DESINC,HDDS,JCPENNEY01,KOHLDSN,MACY02,NRTPORT,OVERSTOCK01,TGTDVS</t>
  </si>
  <si>
    <t>AM10-0065</t>
  </si>
  <si>
    <t>AMAZON,BLK01,CSNSTORES,HDDS,JCPENNEY01,KOHLDSN,MACY02,NRTPORT,OVERSTOCK01,TGTDVS</t>
  </si>
  <si>
    <t>AM10-0066</t>
  </si>
  <si>
    <t>AMAZON,BLK01,CSNSTORES,HDDS,JCPENNEY01,KOHLDSN,MACY02,NRTPORT,OVERSCONSIGN,OVERSTOCK01,TGTDVS</t>
  </si>
  <si>
    <t>AM10-0061</t>
  </si>
  <si>
    <t>PP001923;PF006140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</si>
  <si>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</si>
  <si>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</si>
  <si>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</si>
  <si>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</si>
  <si>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</si>
  <si>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</si>
  <si>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</si>
  <si>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</si>
  <si>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</si>
  <si>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</si>
  <si>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</si>
  <si>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</si>
  <si>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</si>
  <si>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CSNSTORES,DESINC,HDDS,JCPENNEY01,KOHLDSN,MACY02,NRTPORT,OVERSTOCK01,TGTDVS</t>
  </si>
  <si>
    <t>AM10-0126</t>
  </si>
  <si>
    <t>AM10-0127</t>
  </si>
  <si>
    <t>3/13/2024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</si>
  <si>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</si>
  <si>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</si>
  <si>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</si>
  <si>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</si>
  <si>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</si>
  <si>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</si>
  <si>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</si>
  <si>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AMAZON,AMAZONDS,BLK01,CSNSTORES,DESINC,HDDS,JCPENNEY01,KIRKLANDDS,KOHLDSN,MACY02,NRTPORT,OVERSTOCK01,TGTDVS</t>
  </si>
  <si>
    <t>AM10-0011</t>
  </si>
  <si>
    <t>AM10-0012</t>
  </si>
  <si>
    <t>11/11/2023</t>
  </si>
  <si>
    <t>AM10-0016</t>
  </si>
  <si>
    <t>PP001928;PF006155</t>
  </si>
  <si>
    <t>11/28/2023</t>
  </si>
  <si>
    <t>AMAZON,AMAZONDS,CSNSTORES,DESINC,HDDS,JCPENNEY01,KIRKLANDDS,KOHLDSN,MACY02,NRTPORT,OVERSTOCK01,TGTDVS</t>
  </si>
  <si>
    <t>AM10-0017</t>
  </si>
  <si>
    <t>AMAZON,BLK01,CSNSTORES,DESINC,HDDS,JCPENNEY01,KIRKLANDDS,KOHLDSN,MACY02,NRTPORT,OVERSCONSIGN,OVERSTOCK01,TGTDVS</t>
  </si>
  <si>
    <t>AM10-0018</t>
  </si>
  <si>
    <t>AMAZON,AMAZONDS,BLK01,CSNSTORES,DESINC,HDDS,JCPENNEY01,KIRKLANDDS,KOHLDSN,MACY02,NRTPORT,OVERSCONSIGN,OVERSTOCK01,TGTDVS</t>
  </si>
  <si>
    <t>AM10-0013</t>
  </si>
  <si>
    <t>PP001928;PF006154</t>
  </si>
  <si>
    <t>10/27/2023</t>
  </si>
  <si>
    <t>AM10-0014</t>
  </si>
  <si>
    <t>11/2/2023</t>
  </si>
  <si>
    <t>AM10-0015</t>
  </si>
  <si>
    <t>AM10-0022</t>
  </si>
  <si>
    <t>PP001928;PF006156</t>
  </si>
  <si>
    <t>AM10-0023</t>
  </si>
  <si>
    <t>AM10-0024</t>
  </si>
  <si>
    <t>11/14/2023</t>
  </si>
  <si>
    <t>AM10-0176</t>
  </si>
  <si>
    <t>Miro</t>
  </si>
  <si>
    <t>Ayko</t>
  </si>
  <si>
    <t>Marty</t>
  </si>
  <si>
    <t>Soft Washed Color Block Comforter Set</t>
  </si>
  <si>
    <t>PP001980;PF006320</t>
  </si>
  <si>
    <t>Color Block</t>
  </si>
  <si>
    <t>4/30/2024</t>
  </si>
  <si>
    <t>HDDS,JCPENNEY01,KOHLDSN,MACY02,NRTPORT,OVERSTOCK01,TGTDVS</t>
  </si>
  <si>
    <t>AM10-0177</t>
  </si>
  <si>
    <t>BLK01,CSNSTORES,HDDS,JCPENNEY01,KOHLDSN,MACY02,NRTPORT,OVERSTOCK01</t>
  </si>
  <si>
    <t>AM10-0178</t>
  </si>
  <si>
    <t>CSNSTORES,HDDS,JCPENNEY01,KOHLDSN,MACY02,OVERSTOCK01</t>
  </si>
  <si>
    <t>AM10-0179</t>
  </si>
  <si>
    <t>PP001980;PF006321</t>
  </si>
  <si>
    <t>BLK01,CSNSTORES,HDDS,KOHLDSN,MACY02,OVERSTOCK01</t>
  </si>
  <si>
    <t>AM10-0180</t>
  </si>
  <si>
    <t>AM10-0181</t>
  </si>
  <si>
    <t>BLK01,CSNSTORES,HDDS,JCPENNEY01,KOHLDSN,MACY02,OVERSTOCK01</t>
  </si>
  <si>
    <t>AM10-0182</t>
  </si>
  <si>
    <t>Pink</t>
  </si>
  <si>
    <t>PP001980;PF006322</t>
  </si>
  <si>
    <t>AM10-0183</t>
  </si>
  <si>
    <t>CSNSTORES,HDDS,JCPENNEY01,KOHLDSN,MACY02,OVERSTOCK01,TGTDVS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</si>
  <si>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</si>
  <si>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</si>
  <si>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</si>
  <si>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</si>
  <si>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</si>
  <si>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</si>
  <si>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</si>
  <si>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5/7/2024</t>
  </si>
  <si>
    <t>AMAZON,AMAZONDS,BLK01,CSNSTORES,HDDS,JCPENNEY01,KIRKLANDDS,KOHLDSN,MACY02,OVERSTOCK01</t>
  </si>
  <si>
    <t>AM10-0186</t>
  </si>
  <si>
    <t>AMAZON,AMAZONDS,BLK01,CSNSTORES,DESINC,HDDS,JCPENNEY01,KIRKLANDDS,KOHLDSN,MACY02,OVERSTOCK01</t>
  </si>
  <si>
    <t>AM10-0187</t>
  </si>
  <si>
    <t>AM10-0188</t>
  </si>
  <si>
    <t>PP001981;PF006324</t>
  </si>
  <si>
    <t>AM10-0189</t>
  </si>
  <si>
    <t>2/4/2025</t>
  </si>
  <si>
    <t>AM10-0190</t>
  </si>
  <si>
    <t>AMAZON,AMAZONDS,BLK01,CSNSTORES,HDDS,JCPENNEY01,KIRKLANDDS,KOHLDSN,MACY02,NRTPORT,OVERSTOCK01</t>
  </si>
  <si>
    <t>AM10-0194</t>
  </si>
  <si>
    <t>PP001981;PF006326</t>
  </si>
  <si>
    <t>5/30/2024</t>
  </si>
  <si>
    <t>AM10-0195</t>
  </si>
  <si>
    <t>AMAZON,AMAZONDS,BLK01,CSNSTORES,DESINC,HDDS,JCPENNEY01,KIRKLANDDS,KOHLDSN,MACY02,NRTPORT,OVERSTOCK01</t>
  </si>
  <si>
    <t>AM10-0196</t>
  </si>
  <si>
    <t>AM10-0191</t>
  </si>
  <si>
    <t>PP001981;PF006325</t>
  </si>
  <si>
    <t>BLK01,CSNSTORES,HDDS,JCPENNEY01,KIRKLANDDS,KOHLDSN,MACY02,OVERSTOCK01</t>
  </si>
  <si>
    <t>AM10-0192</t>
  </si>
  <si>
    <t>AM10-0193</t>
  </si>
  <si>
    <t>BLK01,CSNSTORES,HDDS,JCPENNEY01,KIRKLANDDS,KOHLDSN,MACY02,OVERSCONSIGN,OVERSTOCK01</t>
  </si>
  <si>
    <t>AM10-0197</t>
  </si>
  <si>
    <t>PP001981;PF006327</t>
  </si>
  <si>
    <t>BLK01,CSNSTORES,DESINC,HDDS,JCPENNEY01,KIRKLANDDS,KOHLDSN,MACY02,OVERSTOCK01</t>
  </si>
  <si>
    <t>AM10-0198</t>
  </si>
  <si>
    <t>BLK01,CSNSTORES,DESINC,HDDS,JCPENNEY01,KIRKLANDDS,KOHLDSN,MACY02,OVERSTOCK01,TGTDVS</t>
  </si>
  <si>
    <t>AM10-0199</t>
  </si>
  <si>
    <t>BLK01,CSNSTORES,DESINC,HDDS,JCPENNEY01,KIRKLANDDS,KOHLDSN,MACY02,NRTPORT,OVERSTOCK01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</si>
  <si>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</si>
  <si>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</si>
  <si>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</si>
  <si>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</si>
  <si>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</si>
  <si>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</si>
  <si>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</si>
  <si>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</si>
  <si>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</si>
  <si>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AMAZON,AMAZONDS,BLK01,KOHLDSN,OVERSTOCK01</t>
  </si>
  <si>
    <t>AM10-0144</t>
  </si>
  <si>
    <t>AMAZON,AMAZONDS,BLK01,CSNSTORES,DESINC,HDDS,HHGLOBALTTS,JCPENNEY01,KOHLDSN,MACY02,NRTPORT,OVERSTOCK01,TGTDVS</t>
  </si>
  <si>
    <t>AM10-0145</t>
  </si>
  <si>
    <t>3/30/2024</t>
  </si>
  <si>
    <t>AMAZON,BLK01,CSNSTORES,DESINC,HDDS,HHGLOBALTTS,JCPENNEY01,KOHLDSN,MACY02,NRTPORT,OVERSTOCK01,TGTDVS</t>
  </si>
  <si>
    <t>AM10-0467</t>
  </si>
  <si>
    <t>BLK01,DESINC,KOHLDSN,NRTPORT,OVERSTOCK01</t>
  </si>
  <si>
    <t>AM10-0140</t>
  </si>
  <si>
    <t>PP001927;PF006243</t>
  </si>
  <si>
    <t>AM10-0464</t>
  </si>
  <si>
    <t>AMAZON,AMAZONDS,KOHLDSN,NRTPORT,OVERSTOCK01</t>
  </si>
  <si>
    <t>AM10-0141</t>
  </si>
  <si>
    <t>AMAZON,AMAZONDS,BLK01,CSNSTORES,DESINC,HDDS,HHGLOBALTTS,JCPENNEY01,KIRKLANDDS,KOHLDSN,MACY02,NRTPORT,OVERSTOCK01,TGTDVS</t>
  </si>
  <si>
    <t>AM10-0142</t>
  </si>
  <si>
    <t>AM10-0465</t>
  </si>
  <si>
    <t>AMAZON,AMAZONDS,BLK01,HDDS,KOHLDSN,NRTPORT,OVERSTOCK01,TGTDVS</t>
  </si>
  <si>
    <t>AM10-0137</t>
  </si>
  <si>
    <t>PP001927;PF006240</t>
  </si>
  <si>
    <t>AMAZON,AMAZONDS,CSNSTORES,HDDS,JCPENNEY01,KOHLDSN,MACY02,NRTPORT,OVERSTOCK01,TGTDVS</t>
  </si>
  <si>
    <t>AM10-0462</t>
  </si>
  <si>
    <t>9/14/2024</t>
  </si>
  <si>
    <t>AM10-0138</t>
  </si>
  <si>
    <t>AMAZON,AMAZONDS,BLK01,CSNSTORES,HDDS,HHGLOBALTTS,JCPENNEY01,KOHLDSN,MACY02,NRTPORT,OVERSTOCK01,TGTDVS</t>
  </si>
  <si>
    <t>AM10-0139</t>
  </si>
  <si>
    <t>AM10-0463</t>
  </si>
  <si>
    <t>AMAZON,AMAZONDS,KOHLDSN,NRTPORT</t>
  </si>
  <si>
    <t>AM10-0392</t>
  </si>
  <si>
    <t>Clay</t>
  </si>
  <si>
    <t>PP001927;PF006422</t>
  </si>
  <si>
    <t>8/16/2024</t>
  </si>
  <si>
    <t>AMAZON,AMAZONDS,CSNSTORES,KOHLDSN,NRTPORT,OVERSTOCK01,TGTDVS</t>
  </si>
  <si>
    <t>AM10-0452</t>
  </si>
  <si>
    <t>9/17/2024</t>
  </si>
  <si>
    <t>AMAZON,AMAZONDS,KOHLDSN,MACY02,NRTPORT,OVERSTOCK01,TGTDVS</t>
  </si>
  <si>
    <t>AM10-0393</t>
  </si>
  <si>
    <t>AMAZON,AMAZONDS,BLK01,CSNSTORES,HDDS,KOHLDSN,MACY02,NRTPORT,OVERSTOCK01</t>
  </si>
  <si>
    <t>AM10-0394</t>
  </si>
  <si>
    <t>AMAZON,AMAZONDS,BLK01,CSNSTORES,HDDS,KOHLDSN,MACY02,NRTPORT,OVERSTOCK01,TGTDVS</t>
  </si>
  <si>
    <t>AM10-0453</t>
  </si>
  <si>
    <t>AMAZON,AMAZONDS,BLK01,HDDS,KOHLDSN,MACY02,NRTPORT,OVERSTOCK01,TGTDVS</t>
  </si>
  <si>
    <t>AM10-0001</t>
  </si>
  <si>
    <t>PP001927;PF006150</t>
  </si>
  <si>
    <t>AM10-0468</t>
  </si>
  <si>
    <t>AM10-0002</t>
  </si>
  <si>
    <t>AM10-0003</t>
  </si>
  <si>
    <t>AM10-0469</t>
  </si>
  <si>
    <t>AMAZON,AMAZONDS,BLK01,DESINC,HDDS,KOHLDSN,NRTPORT,OVERSTOCK01</t>
  </si>
  <si>
    <t>AM10-0389</t>
  </si>
  <si>
    <t>PP001927;PF006420</t>
  </si>
  <si>
    <t>8/21/2024</t>
  </si>
  <si>
    <t>AMAZON,AMAZONDS,BLK01,CSNSTORES,KOHLDSN,MACY02,NRTPORT</t>
  </si>
  <si>
    <t>AM10-0450</t>
  </si>
  <si>
    <t>AMAZON,AMAZONDS,KOHLDSN,MACY02,NRTPORT</t>
  </si>
  <si>
    <t>AM10-0390</t>
  </si>
  <si>
    <t>AMAZON,AMAZONDS,BLK01,CSNSTORES,DESINC,HDDS,KOHLDSN,MACY02,NRTPORT,OVERSTOCK01,TGTDVS</t>
  </si>
  <si>
    <t>AM10-0391</t>
  </si>
  <si>
    <t>8/17/2024</t>
  </si>
  <si>
    <t>AMAZON,AMAZONDS,BLK01,CSNSTORES,KOHLDSN,MACY02,NRTPORT,OVERSTOCK01,TGTDVS</t>
  </si>
  <si>
    <t>AM10-0451</t>
  </si>
  <si>
    <t>AMAZON,AMAZONDS,BLK01,DESINC,KOHLDSN,MACY02,NRTPORT,OVERSTOCK01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</si>
  <si>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</si>
  <si>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</si>
  <si>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</si>
  <si>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</si>
  <si>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</si>
  <si>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</si>
  <si>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</si>
  <si>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AMAZON,AMAZONDS,BLK01,DESINC,KOHLDSN,MACY02,NRTPORT,OVERSTOCK01,TGTDVS</t>
  </si>
  <si>
    <t>AM10-0004</t>
  </si>
  <si>
    <t>PP001927;PF006151</t>
  </si>
  <si>
    <t>AM10-0470</t>
  </si>
  <si>
    <t>AM10-0005</t>
  </si>
  <si>
    <t>AM10-0006</t>
  </si>
  <si>
    <t>AM10-0471</t>
  </si>
  <si>
    <t>9/4/2024</t>
  </si>
  <si>
    <t>AMAZON,AMAZONDS,BLK01,DESINC,KOHLDSN,NRTPORT,OVERSTOCK01,TGTDVS</t>
  </si>
  <si>
    <t>AM10-0401</t>
  </si>
  <si>
    <t>Olive Green</t>
  </si>
  <si>
    <t>PP001927;PF006424</t>
  </si>
  <si>
    <t>AM10-0458</t>
  </si>
  <si>
    <t>AMAZON,AMAZONDS,KOHLDSN</t>
  </si>
  <si>
    <t>AM10-0402</t>
  </si>
  <si>
    <t>AM10-0403</t>
  </si>
  <si>
    <t>AM10-0459</t>
  </si>
  <si>
    <t>BLK01,DESINC,HDDS,KOHLDSN,MACY02,NRTPORT,OVERSTOCK01,TGTDVS</t>
  </si>
  <si>
    <t>AM10-0395</t>
  </si>
  <si>
    <t>PP001927;PF006421</t>
  </si>
  <si>
    <t>AM10-0454</t>
  </si>
  <si>
    <t>AM10-0396</t>
  </si>
  <si>
    <t>AMAZON,AMAZONDS,BLK01,CSNSTORES,KOHLDSN,NRTPORT,OVERSTOCK01,TGTDVS</t>
  </si>
  <si>
    <t>AM10-0397</t>
  </si>
  <si>
    <t>AMAZON,BLK01,CSNSTORES,DESINC,KOHLDSN,MACY02,NRTPORT,OVERSTOCK01</t>
  </si>
  <si>
    <t>AM10-0455</t>
  </si>
  <si>
    <t>AM10-0134</t>
  </si>
  <si>
    <t>PP001927;PF006242</t>
  </si>
  <si>
    <t>AM10-0460</t>
  </si>
  <si>
    <t>AMAZON,AMAZONDS,BLK01,KOHLDSN</t>
  </si>
  <si>
    <t>AM10-0135</t>
  </si>
  <si>
    <t>AM10-0136</t>
  </si>
  <si>
    <t>AM10-0461</t>
  </si>
  <si>
    <t>AM10-0386</t>
  </si>
  <si>
    <t>PP001927;PF006419</t>
  </si>
  <si>
    <t>AMAZON,CSNSTORES,KOHLDSN,MACY02,NRTPORT</t>
  </si>
  <si>
    <t>AM10-0448</t>
  </si>
  <si>
    <t>AMAZON,AMAZONDS,BLK01,KOHLDSN,MACY02</t>
  </si>
  <si>
    <t>AM10-0387</t>
  </si>
  <si>
    <t>AMAZON,AMAZONDS,BLK01,CSNSTORES,HDDS,KOHLDSN,MACY02,NRTPORT</t>
  </si>
  <si>
    <t>AM10-0388</t>
  </si>
  <si>
    <t>AM10-0449</t>
  </si>
  <si>
    <t>AMAZON,AMAZONDS,BLK01,KOHLDSN,MACY02,NRTPORT</t>
  </si>
  <si>
    <t>AM10-0007</t>
  </si>
  <si>
    <t>PP001927;PF006152</t>
  </si>
  <si>
    <t>AM10-0472</t>
  </si>
  <si>
    <t>AMAZON,AMAZONDS,HDDS,KOHLDSN,NRTPORT,OVERSTOCK01</t>
  </si>
  <si>
    <t>AM10-0008</t>
  </si>
  <si>
    <t>AMAZON,BLK01,CSNSTORES,HDDS,HHGLOBALTTS,JCPENNEY01,KIRKLANDDS,KOHLDSN,MACY02,NRTPORT,OVERSTOCK01,TGTDVS</t>
  </si>
  <si>
    <t>AM10-0009</t>
  </si>
  <si>
    <t>AM10-0473</t>
  </si>
  <si>
    <t>AM12-0043</t>
  </si>
  <si>
    <t>Waffle Weave Textured Duvet Cover Set</t>
  </si>
  <si>
    <t>AMAZON,AMAZONDS,CSNSTORES,DESINC,HDDS,JCPENNEY01,KOHLDSN,MACY02,OVERSTOCK01,TGTDVS</t>
  </si>
  <si>
    <t>AM12-0044</t>
  </si>
  <si>
    <t>AM12-0045</t>
  </si>
  <si>
    <t>11/10/2023</t>
  </si>
  <si>
    <t>AM12-0049</t>
  </si>
  <si>
    <t>AM12-0050</t>
  </si>
  <si>
    <t>AM12-0051</t>
  </si>
  <si>
    <t>AM12-0046</t>
  </si>
  <si>
    <t>AM12-0047</t>
  </si>
  <si>
    <t>AM12-0048</t>
  </si>
  <si>
    <t>AM12-0055</t>
  </si>
  <si>
    <t>AM12-0056</t>
  </si>
  <si>
    <t>AMAZON,AMAZONDS,BLK01,CSNSTORES,HDDS,JCPENNEY01,KOHLDSN,MACY02,NRTPORT,OVERSCONSIGN,OVERSTOCK01,TGTDVS</t>
  </si>
  <si>
    <t>AM12-0057</t>
  </si>
  <si>
    <t>AM12-0155</t>
  </si>
  <si>
    <t>Soft Washed Pleated Duvet Cover Set</t>
  </si>
  <si>
    <t>3/29/2024</t>
  </si>
  <si>
    <t>AM12-0446</t>
  </si>
  <si>
    <t>9/19/2024</t>
  </si>
  <si>
    <t>AM12-0156</t>
  </si>
  <si>
    <t>AM12-0157</t>
  </si>
  <si>
    <t>AM12-0447</t>
  </si>
  <si>
    <t>KOHLDSN,OVERSTOCK01,TGTDVS</t>
  </si>
  <si>
    <t>AM12-0152</t>
  </si>
  <si>
    <t>AM12-0444</t>
  </si>
  <si>
    <t>HDDS,KOHLDSN,OVERSTOCK01,TGTDVS</t>
  </si>
  <si>
    <t>AM12-0153</t>
  </si>
  <si>
    <t>AM12-0154</t>
  </si>
  <si>
    <t>AM12-0445</t>
  </si>
  <si>
    <t>AM12-0149</t>
  </si>
  <si>
    <t>AM12-0442</t>
  </si>
  <si>
    <t>AM12-0150</t>
  </si>
  <si>
    <t>AM12-0151</t>
  </si>
  <si>
    <t>AM12-0443</t>
  </si>
  <si>
    <t>KOHLDSN</t>
  </si>
  <si>
    <t>AM12-0410</t>
  </si>
  <si>
    <t>AM12-0432</t>
  </si>
  <si>
    <t>AMAZON,AMAZONDS,BLK01,KOHLDSN,OVERSTOCK01,TGTDVS</t>
  </si>
  <si>
    <t>AM12-0411</t>
  </si>
  <si>
    <t>AM12-0412</t>
  </si>
  <si>
    <t>AM12-0433</t>
  </si>
  <si>
    <t>AMAZON,AMAZONDS,BLK01,KOHLDSN,NRTPORT,OVERSTOCK01,TGTDVS</t>
  </si>
  <si>
    <t>AM12-0034</t>
  </si>
  <si>
    <t>AMAZON,AMAZONDS,CSNSTORES,HDDS,JCPENNEY01,KOHLDSN,MACY02,OVERSTOCK01,TGTDVS</t>
  </si>
  <si>
    <t>AM12-0422</t>
  </si>
  <si>
    <t>AM12-0035</t>
  </si>
  <si>
    <t>AM12-0036</t>
  </si>
  <si>
    <t>AM12-0423</t>
  </si>
  <si>
    <t>AM12-0407</t>
  </si>
  <si>
    <t>AMAZON,AMAZONDS,DESINC,KOHLDSN,MACY02</t>
  </si>
  <si>
    <t>AM12-0430</t>
  </si>
  <si>
    <t>AM12-0408</t>
  </si>
  <si>
    <t>AM12-0409</t>
  </si>
  <si>
    <t>AM12-0431</t>
  </si>
  <si>
    <t>AMAZON,AMAZONDS,BLK01,KOHLDSN,MACY02,NRTPORT,OVERSTOCK01,TGTDVS</t>
  </si>
  <si>
    <t>AM12-0416</t>
  </si>
  <si>
    <t>AM12-0436</t>
  </si>
  <si>
    <t>HDDS,KOHLDSN,TGTDVS</t>
  </si>
  <si>
    <t>AM12-0417</t>
  </si>
  <si>
    <t>AM12-0418</t>
  </si>
  <si>
    <t>AM12-0437</t>
  </si>
  <si>
    <t>AM12-0037</t>
  </si>
  <si>
    <t>AM12-0424</t>
  </si>
  <si>
    <t>AM12-0038</t>
  </si>
  <si>
    <t>AM12-0039</t>
  </si>
  <si>
    <t>AM12-0425</t>
  </si>
  <si>
    <t>AM12-0419</t>
  </si>
  <si>
    <t>AMAZON,AMAZONDS,BLK01,KOHLDSN,MACY02,NRTPORT,TGTDVS</t>
  </si>
  <si>
    <t>AM12-0438</t>
  </si>
  <si>
    <t>BLK01,KOHLDSN,NRTPORT,OVERSTOCK01,TGTDVS</t>
  </si>
  <si>
    <t>AM12-0420</t>
  </si>
  <si>
    <t>AM12-0421</t>
  </si>
  <si>
    <t>AM12-0439</t>
  </si>
  <si>
    <t>BLK01,KOHLDSN,MACY02,NRTPORT,OVERSTOCK01,TGTDVS</t>
  </si>
  <si>
    <t>AM12-0413</t>
  </si>
  <si>
    <t>AMAZON,AMAZONDS,KOHLDSN,MACY02,TGTDVS</t>
  </si>
  <si>
    <t>AM12-0434</t>
  </si>
  <si>
    <t>AM12-0414</t>
  </si>
  <si>
    <t>AM12-0415</t>
  </si>
  <si>
    <t>AMAZON,AMAZONDS,BLK01,CSNSTORES,HDDS,KOHLDSN,MACY02,OVERSTOCK01</t>
  </si>
  <si>
    <t>AM12-0435</t>
  </si>
  <si>
    <t>BLK01,KOHLDSN,MACY02,NRTPORT,OVERSTOCK01</t>
  </si>
  <si>
    <t>AM12-0146</t>
  </si>
  <si>
    <t>AMAZON,AMAZONDS,BLK01,CSNSTORES,DESINC,HDDS,JCPENNEY01,KOHLDSN,MACY02,OVERSTOCK01,TGTDVS</t>
  </si>
  <si>
    <t>AM12-0440</t>
  </si>
  <si>
    <t>HDDS,KOHLDSN,OVERSTOCK01</t>
  </si>
  <si>
    <t>AM12-0147</t>
  </si>
  <si>
    <t>AM12-0148</t>
  </si>
  <si>
    <t>AM12-0441</t>
  </si>
  <si>
    <t>BLK01,KOHLDSN,TGTDVS</t>
  </si>
  <si>
    <t>AM12-0404</t>
  </si>
  <si>
    <t>AM12-0428</t>
  </si>
  <si>
    <t>AM12-0405</t>
  </si>
  <si>
    <t>AMAZON,AMAZONDS,BLK01,CSNSTORES,HDDS,KOHLDSN,OVERSTOCK01,TGTDVS</t>
  </si>
  <si>
    <t>AM12-0406</t>
  </si>
  <si>
    <t>AMAZON,AMAZONDS,BLK01,CSNSTORES,KOHLDSN,MACY02,OVERSTOCK01,TGTDVS</t>
  </si>
  <si>
    <t>AM12-0429</t>
  </si>
  <si>
    <t>AMAZON,AMAZONDS,BLK01,HDDS,KOHLDSN,MACY02,TGTDVS</t>
  </si>
  <si>
    <t>AM12-0040</t>
  </si>
  <si>
    <t>AM12-0426</t>
  </si>
  <si>
    <t>AM12-0041</t>
  </si>
  <si>
    <t>AM12-0042</t>
  </si>
  <si>
    <t>AM12-0427</t>
  </si>
  <si>
    <t>AMAZON,AMAZONDS,DESINC,KOHLDSN,NRTPORT,OVERSTOCK01</t>
  </si>
  <si>
    <t>AM14-0365</t>
  </si>
  <si>
    <t>QUILT</t>
  </si>
  <si>
    <t>Waffle Weave Textured Quilt Set</t>
  </si>
  <si>
    <t>PP001928;PF006425</t>
  </si>
  <si>
    <t>AM14-0366</t>
  </si>
  <si>
    <t>6/18/2024</t>
  </si>
  <si>
    <t>AMAZON,CSNSTORES,JCPENNEY01,KOHLDSN,MACY02</t>
  </si>
  <si>
    <t>AM14-0367</t>
  </si>
  <si>
    <t>CSNSTORES,JCPENNEY01,KOHLDSN,MACY02,NRTPORT,TGTDVS</t>
  </si>
  <si>
    <t>AM14-0368</t>
  </si>
  <si>
    <t>PP001928;PF006426</t>
  </si>
  <si>
    <t>JCPENNEY01,KOHLDSN,MACY02</t>
  </si>
  <si>
    <t>AM14-0369</t>
  </si>
  <si>
    <t>HDDS,JCPENNEY01,KOHLDSN,MACY02</t>
  </si>
  <si>
    <t>AM14-0370</t>
  </si>
  <si>
    <t>BLK01,HDDS,JCPENNEY01,KOHLDSN,MACY02,TGTDVS</t>
  </si>
  <si>
    <t>AM14-0371</t>
  </si>
  <si>
    <t>PP001928;PF006427</t>
  </si>
  <si>
    <t>JCPENNEY01,KOHLDSN</t>
  </si>
  <si>
    <t>AM14-0372</t>
  </si>
  <si>
    <t>AMAZON,HDDS,JCPENNEY01,KOHLDSN,MACY02</t>
  </si>
  <si>
    <t>AM14-0373</t>
  </si>
  <si>
    <t>BLK01,CSNSTORES,JCPENNEY01,KOHLDSN,MACY02,NRTPORT,TGTDVS</t>
  </si>
  <si>
    <t>AM14-0374</t>
  </si>
  <si>
    <t>PP001928;PF006428</t>
  </si>
  <si>
    <t>AM14-0375</t>
  </si>
  <si>
    <t>JCPENNEY01,KOHLDSN,MACY02,TGTDVS</t>
  </si>
  <si>
    <t>AM14-0376</t>
  </si>
  <si>
    <t>MP04-0048</t>
  </si>
  <si>
    <t>APL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</si>
  <si>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</si>
  <si>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</si>
  <si>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</si>
  <si>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</si>
  <si>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</si>
  <si>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</si>
  <si>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</si>
  <si>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</si>
  <si>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</si>
  <si>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</si>
  <si>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</si>
  <si>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</si>
  <si>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</si>
  <si>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</si>
  <si>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</si>
  <si>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AMAZON,AMAZONDS,CSNSTORES,JCPENNEY01,KIRKLANDDS,KOHLDSN,LAMPDS,LOWESDS,MACY02,NRTPORT,OLLIIX,OVERSTOCK01,TGTDVS</t>
  </si>
  <si>
    <t>II167-905</t>
  </si>
  <si>
    <t>Wall Decor</t>
  </si>
  <si>
    <t>Savoy</t>
  </si>
  <si>
    <t>Distressed Black Metal Wall Decor</t>
  </si>
  <si>
    <t>PF003045</t>
  </si>
  <si>
    <t>Industrial</t>
  </si>
  <si>
    <t>12/14/2024</t>
  </si>
  <si>
    <t>AMAZON,AMAZONDS,ASHFURNDS,BLK01,CSNSTORES,DESINC,KIRKLANDDS,KOHLDSN,LAMPDS,OLLIIX,OVERSTOCK01,ROOMECOM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</si>
  <si>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</si>
  <si>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</si>
  <si>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</si>
  <si>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</si>
  <si>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</si>
  <si>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</si>
  <si>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</si>
  <si>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</si>
  <si>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</si>
  <si>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</si>
  <si>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</si>
  <si>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AMAZON,AMAZONDS,CSNSTORES,JCPENNEY01,KIRKLANDDS,KOHLDSN,OLLIIX,OVERSTOCK01,TGTDVS</t>
  </si>
  <si>
    <t>II95C-0142</t>
  </si>
  <si>
    <t>Celestial Orbit Navy</t>
  </si>
  <si>
    <t>Silver Foil Abstract 2-piece Canvas Wall Art Set</t>
  </si>
  <si>
    <t>PP000800</t>
  </si>
  <si>
    <t>AMAZON,AMAZONDS,AMERSIGNDS,ASHFURNDS,BLK01,CSNSTORES,DESINC,KIRKLANDDS,KOHLDSN,OLLIIX,ROOMECOM,TGTDVS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</si>
  <si>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</si>
  <si>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</si>
  <si>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</si>
  <si>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</si>
  <si>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</si>
  <si>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AMAZON,AMAZONDS,ASHFURNDS,CSNSTORES,JCPENNEY01,KIRKLANDDS,KOHLDSN,LOWESDS,OLLIIX,OVERSTOCK01,TGTDVS,ZOLA</t>
  </si>
  <si>
    <t>II95C-0072</t>
  </si>
  <si>
    <t>Two Black Dominos</t>
  </si>
  <si>
    <t>2-piece Canvas Wall Art Set</t>
  </si>
  <si>
    <t>PF001935</t>
  </si>
  <si>
    <t>Still Life</t>
  </si>
  <si>
    <t>AMAZON,AMAZONDS,AMERSIGNDS,ASHFURNDS,BLK01,KIRKLANDDS,KOHLDSN,LAMPDS,MACY02,NRTPORT,OLLIIX,OVERSTOCK01,ROOMECOM,TGTDVS</t>
  </si>
  <si>
    <t>II95F-0155</t>
  </si>
  <si>
    <t>DEC. MIRROR</t>
  </si>
  <si>
    <t>Decor Mirror</t>
  </si>
  <si>
    <t>Nova</t>
  </si>
  <si>
    <t>Natural Rattan Rectangle Wall Mirror</t>
  </si>
  <si>
    <t>8/29/2023</t>
  </si>
  <si>
    <t>AMAZON,AMAZONDS,CSNSTORES,DESINC,HDDS,HOUZZ,KIRKLANDDS,LAMPDS,MACY02,NRTPORT,OLLIIX,OVERSTOCK01,TGTDVS,ZOLA</t>
  </si>
  <si>
    <t>II95G-0156</t>
  </si>
  <si>
    <t>FRAMED GRAPHICS</t>
  </si>
  <si>
    <t>Framed Graphics</t>
  </si>
  <si>
    <t>Dreaming</t>
  </si>
  <si>
    <t>Abstract Landscape Diptych 2-Piece Framed Glass Wall Art Set</t>
  </si>
  <si>
    <t>Blue/Multi</t>
  </si>
  <si>
    <t>10/6/2023</t>
  </si>
  <si>
    <t>CSNSTORES,DESINC,KIRKLANDDS,KOHLDSN,MACY02,OLLIIX,OVERSTOCK01,TGTDVS,ZOLA</t>
  </si>
  <si>
    <t>ID95C-0027</t>
  </si>
  <si>
    <t xml:space="preserve">Intelligent Design </t>
  </si>
  <si>
    <t>Flight Time</t>
  </si>
  <si>
    <t>Triptych 3-piece Canvas Wall Art Set</t>
  </si>
  <si>
    <t>Novelty</t>
  </si>
  <si>
    <t>4/21/2017</t>
  </si>
  <si>
    <t>AMERSIGNDS,CSNSTORES,KIRKLANDDS,KOHLDSN,OLLIIX,OVERSTOCK01,ROOMECOM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</si>
  <si>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</si>
  <si>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</si>
  <si>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</si>
  <si>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</si>
  <si>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</si>
  <si>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</si>
  <si>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</si>
  <si>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</si>
  <si>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AMAZON,AMAZONDS,AMERSIGNDS,ASHFURNDS,BLK01,CSNSTORES,HDDS,KIRKLANDDS,KOHLDSN,LAMPDS,OLLIIX,OVERSTOCK01,ROOMECOM,TGTDVS,ZOLA</t>
  </si>
  <si>
    <t>MP95B-0217</t>
  </si>
  <si>
    <t>Perched Birds</t>
  </si>
  <si>
    <t>Hand Painted Wood Plank Panel Wall Decor</t>
  </si>
  <si>
    <t>AMAZON,AMERSIGNDS,BIGLOTSDS,BLK01,CSNSTORES,HOUZZ,KIRKLANDDS,KOHLDSN,LOWESDS,OLLIIX,OVERSTOCK01,ROOMECOM,TGTDVS</t>
  </si>
  <si>
    <t>MP95B-0319</t>
  </si>
  <si>
    <t>Radiant</t>
  </si>
  <si>
    <t>Half-moon 2-piece Metal Wall Decor Set</t>
  </si>
  <si>
    <t>10/31/2023</t>
  </si>
  <si>
    <t>AMAZON,AMAZONDS,CSNSTORES,MACY02,OLLIIX,OVERSTOCK01</t>
  </si>
  <si>
    <t>MP95B-0358</t>
  </si>
  <si>
    <t>Solana</t>
  </si>
  <si>
    <t>Framed Abstract Coastal Rice Shadowbox Wall Decor</t>
  </si>
  <si>
    <t>4/11/2024</t>
  </si>
  <si>
    <t>CSNSTORES,JCPENNEY01,KIRKLANDDS,NRTPORT,OLLIIX,OVERSTOCK01,TGTDVS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</si>
  <si>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</si>
  <si>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</si>
  <si>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</si>
  <si>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</si>
  <si>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</si>
  <si>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</si>
  <si>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AMAZON,AMAZONDS,AMERSIGNDS,BLK01,CSNSTORES,HOUZZ,JCPENNEY01,KIRKLANDDS,KOHLDSN,LAMPDS,OLLIIX,OVERSTOCK01,TGTDVS</t>
  </si>
  <si>
    <t>MP95B-0262</t>
  </si>
  <si>
    <t>Avant Garden</t>
  </si>
  <si>
    <t>Dried Flower 2-piece Shadow Box Wall Decor Set</t>
  </si>
  <si>
    <t>PF005412</t>
  </si>
  <si>
    <t>2/9/2021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</si>
  <si>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</si>
  <si>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</si>
  <si>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</si>
  <si>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</si>
  <si>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</si>
  <si>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</si>
  <si>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AMAZONDS,AMERSIGNDS,BEALLSDS,CSNSTORES,JCPENNEY01,KIRKLANDDS,KOHLDSN,LAMPDS,MACY02,NRTPORT,OLLIIX,OVERSTOCK01,TGTDVS,ZOLA</t>
  </si>
  <si>
    <t>MP95B-0295</t>
  </si>
  <si>
    <t>Framed Abstract Coastal Rice Paper 3-piece Shadowbox Wall Decor Set</t>
  </si>
  <si>
    <t>PP001738</t>
  </si>
  <si>
    <t>AMAZONDS,AMERSIGNDS,BLK01,CSNSTORES,DESINC,JCPENNEY01,KOHLDSN,LOWESDS,OLLIIX,OVERSTOCK01,TGTDVS,ZOLA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</si>
  <si>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</si>
  <si>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</si>
  <si>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</si>
  <si>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</si>
  <si>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</si>
  <si>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AMAZONDS,CSNSTORES,JCPENNEY01,KIRKLANDDS,KOHLDSN,LAMPDS,NRTPORT,OLLIIX,OVERSTOCK01,TGTDVS,ZOLA</t>
  </si>
  <si>
    <t>MP95B-0280</t>
  </si>
  <si>
    <t>Birch Palms</t>
  </si>
  <si>
    <t>Two-tone 2-piece Wood Panel Wall Decor Set</t>
  </si>
  <si>
    <t>Dark Brown</t>
  </si>
  <si>
    <t>PP001658</t>
  </si>
  <si>
    <t>9/15/2021</t>
  </si>
  <si>
    <t>1/20/2025</t>
  </si>
  <si>
    <t>AMAZON,AMAZONDS,AMERSIGNDS,BLK01,CSNSTORES,DESINC,HOUZZ,JCPENNEY01,KIRKLANDDS,KOHLDSN,LAMPDS,LOWESDS,MACY02,NRTPORT,OLLIIX,OVERSTOCK01,TGTDVS,ZOLA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</si>
  <si>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</si>
  <si>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</si>
  <si>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</si>
  <si>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</si>
  <si>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</si>
  <si>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</si>
  <si>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AMAZON,AMAZONDS,AMERSIGNDS,CSNSTORES,DESINC,JCPENNEY01,KIRKLANDDS,KOHLDSN,LAMPDS,NRTPORT,OLLIIX,OVERSTOCK01</t>
  </si>
  <si>
    <t>MP95B-0263</t>
  </si>
  <si>
    <t>Bronze</t>
  </si>
  <si>
    <t>AMAZONDS,AMERSIGNDS,CSNSTORES,DESINC,JCPENNEY01,KIRKLANDDS,KOHLDSN,LAMPDS,MACY02,NRTPORT,OLLIIX,OVERSTOCK01,TGTDVS</t>
  </si>
  <si>
    <t>MP95B-0230</t>
  </si>
  <si>
    <t>PP001413;PF004959</t>
  </si>
  <si>
    <t>10/2/2019</t>
  </si>
  <si>
    <t>AMAZONDS,AMERSIGNDS,BLK01,CSNSTORES,DESINC,JCPENNEY01,KIRKLANDDS,KOHLDSN,NRTPORT,OLLIIX,OVERSTOCK01,TGTDVS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</si>
  <si>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</si>
  <si>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</si>
  <si>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</si>
  <si>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</si>
  <si>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</si>
  <si>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AMAZON,AMAZONDS,CSNSTORES,DESINC,JCPENNEY01,KIRKLANDDS,KOHLDSN,LAMPDS,MACY02,NRTPORT,OLLIIX,TGTDVS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</si>
  <si>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</si>
  <si>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</si>
  <si>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</si>
  <si>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</si>
  <si>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</si>
  <si>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AMERSIGNDS,ASHFURNDS,CSNSTORES,DESINC,JCPENNEY01,KIRKLANDDS,KOHLDSN,OLLIIX,OVERSTOCK01,TGTDVS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</si>
  <si>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</si>
  <si>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</si>
  <si>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</si>
  <si>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</si>
  <si>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</si>
  <si>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AMAZONDS,AMERSIGNDS,CSNSTORES,DESINC,JCPENNEY01,KIRKLANDDS,KOHLDSN,LAMPDS,MACY02,NRTPORT,OLLIIX,OVERSTOCK01,TGTDVS,ZOLA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</si>
  <si>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</si>
  <si>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</si>
  <si>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</si>
  <si>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</si>
  <si>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</si>
  <si>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</si>
  <si>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AMERSIGNDS,ASHFURNDS,CSNSTORES,DESINC,JCPENNEY01,KOHLDSN,MACY02,NRTPORT,OLLIIX,OVERSTOCK01,ROOMECOM</t>
  </si>
  <si>
    <t>MP95B-0274</t>
  </si>
  <si>
    <t>Laurel Branches</t>
  </si>
  <si>
    <t>Laser Cut Tree Framed Panel Wall Decor</t>
  </si>
  <si>
    <t>PP001634</t>
  </si>
  <si>
    <t>9/18/2021</t>
  </si>
  <si>
    <t>AMAZON,AMAZONDS,AMERSIGNDS,BLK01,CSNSTORES,DESINC,JCPENNEY01,KIRKLANDDS,KOHLDSN,LAMPDS,NRTPORT,OLLIIX,OVERSTOCK01,ROOMECOM,TGTDVS,ZOLA</t>
  </si>
  <si>
    <t>MP95B-0275</t>
  </si>
  <si>
    <t>PP001635</t>
  </si>
  <si>
    <t>AMAZONDS,AMERSIGNDS,BLK01,CSNSTORES,DESINC,HOUZZ,JCPENNEY01,KIRKLANDDS,KOHLDSN,LAMPDS,MACY02,NRTPORT,OLLIIX,OVERSTOCK01,TGTDVS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</si>
  <si>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</si>
  <si>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</si>
  <si>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</si>
  <si>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</si>
  <si>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AMAZON,AMAZONDS,AMERSIGNDS,ASHFURNDS,CSNSTORES,DESINC,JCPENNEY01,KIRKLANDDS,KOHLDSN,LAMPDS,MACY02,OLLIIX,OVERSTOCK01,ROOMECOM,TGTDVS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</si>
  <si>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</si>
  <si>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</si>
  <si>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</si>
  <si>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AMAZON,AMAZONDS,AMERSIGNDS,BLK01,CSNSTORES,DESINC,HOUZZ,JCPENNEY01,KIRKLANDDS,KOHLDSN,LAMPDS,LOWESDS,MACY02,NRTPORT,OLLIIX,OVERSTOCK01,ROOMECOM,ZOLA</t>
  </si>
  <si>
    <t>MP167-0098</t>
  </si>
  <si>
    <t>Mandal Panel</t>
  </si>
  <si>
    <t>Two-tone Geometric 3-piece Wood Wall Decor Set</t>
  </si>
  <si>
    <t>PF003106</t>
  </si>
  <si>
    <t>8/2/2017</t>
  </si>
  <si>
    <t>AMAZON,AMERSIGNDS,ASHFURNDS,CSNSTORES,KIRKLANDDS,KOHLDSN,NRTPORT,OLLIIX,OVERSTOCK01,ROOMECOM,TGTDVS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</si>
  <si>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</si>
  <si>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</si>
  <si>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</si>
  <si>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</si>
  <si>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</si>
  <si>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</si>
  <si>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AMAZON,AMERSIGNDS,ASHFURNDS,BLK01,CSNSTORES,DESINC,HDDS,JCPENNEY01,KOHLDSN,LAMPDS,MACY02,OLLIIX,OVERSTOCK01,ROOMECOM,TGTDVS</t>
  </si>
  <si>
    <t>MP95B-0224</t>
  </si>
  <si>
    <t>Paper Cloaked Leaves</t>
  </si>
  <si>
    <t>Metal Framed Decor Panel</t>
  </si>
  <si>
    <t>AMAZON,AMERSIGNDS,CSNSTORES,JCPENNEY01,KIRKLANDDS,KOHLDSN,LAMPDS,OLLIIX,TGTDVS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</si>
  <si>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</si>
  <si>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</si>
  <si>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</si>
  <si>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</si>
  <si>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</si>
  <si>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</si>
  <si>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AMAZON,AMAZONDS,AMERSIGNDS,ASHFURNDS,BLK01,CSNSTORES,DESINC,HOUZZ,KIRKLANDDS,KOHLDSN,LAMPDS,MACY02,OLLIIX,OVERSTOCK01,ROOMECOM,TGTDVS</t>
  </si>
  <si>
    <t>MP95B-0277</t>
  </si>
  <si>
    <t>AMAZON,AMAZONDS,AMERSIGNDS,BLK01,CSNSTORES,DESINC,KIRKLANDDS,KOHLDSN,LAMPDS,MACY02,OLLIIX,OVERSTOCK01,TGTDVS</t>
  </si>
  <si>
    <t>MP95B-0296</t>
  </si>
  <si>
    <t>6/2/2022</t>
  </si>
  <si>
    <t>AMAZONDS,CSNSTORES,JCPENNEY01,KIRKLANDDS,KOHLDSN,LAMPDS,MACY02,OLLIIX,OVERSTOCK01,TGTDVS,ZOLA</t>
  </si>
  <si>
    <t>MP95C-0207</t>
  </si>
  <si>
    <t>Autumn Forest</t>
  </si>
  <si>
    <t>Triptych 3-piece Textured Canvas Wall Art Set</t>
  </si>
  <si>
    <t>Landscape</t>
  </si>
  <si>
    <t>4/17/2019</t>
  </si>
  <si>
    <t>AMAZON,AMAZONDS,AMERSIGNDS,CSNSTORES,KIRKLANDDS,KOHLDSN,MACY02,OLLIIX,OVERSTOCK01,TGTDVS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</si>
  <si>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</si>
  <si>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</si>
  <si>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</si>
  <si>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</si>
  <si>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</si>
  <si>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</si>
  <si>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AMAZON,AMAZONDS,AMERSIGNDS,CSNSTORES,DESINC,JCPENNEY01,KIRKLANDDS,KOHLDSN,MACY02,OLLIIX,OVERSTOCK01,ROOMECOM,TGTDVS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</si>
  <si>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</si>
  <si>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</si>
  <si>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</si>
  <si>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</si>
  <si>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</si>
  <si>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AMAZON,AMAZONDS,AMERSIGNDS,BLK01,CSNSTORES,DESINC,KIRKLANDDS,KOHLDSN,MACY02,OLLIIX,OVERSTOCK01,TGTDVS</t>
  </si>
  <si>
    <t>MP95C-0052</t>
  </si>
  <si>
    <t>PF001944</t>
  </si>
  <si>
    <t>AMAZON,AMAZONDS,AMERSIGNDS,ASHFURNDS,BLK01,CSNSTORES,KIRKLANDDS,KOHLDSN,LAMPDS,OLLIIX,OVERSTOCK01,ROOMECOM,TGTDVS</t>
  </si>
  <si>
    <t>MP95C-0041</t>
  </si>
  <si>
    <t>Forest Reflections</t>
  </si>
  <si>
    <t>PF001911</t>
  </si>
  <si>
    <t>AMAZON,AMAZONDS,AMERSIGNDS,ASHFURNDS,BEALLSDS,CSNSTORES,HOUZZ,KIRKLANDDS,KOHLDSN,OLLIIX,OVERSTOCK01,ROOMECOM,TGTDVS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</si>
  <si>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</si>
  <si>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</si>
  <si>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</si>
  <si>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</si>
  <si>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</si>
  <si>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</si>
  <si>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</si>
  <si>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AMAZON,AMERSIGNDS,CSNSTORES,KIRKLANDDS,KOHLDSN,LAMPDS,LOWESDS,MACY02,NRTPORT,OLLIIX,OVERSTOCK01,ROOMECOM,TGTDVS</t>
  </si>
  <si>
    <t>MP95C-0268</t>
  </si>
  <si>
    <t>PF005465</t>
  </si>
  <si>
    <t>4/23/2021</t>
  </si>
  <si>
    <t>AMAZON,AMAZONDS,AMERSIGNDS,CSNSTORES,DESINC,JCPENNEY01,KIRKLANDDS,KOHLDSN,LAMPDS,LOWESDS,MACY02,OLLIIX,OVERSTOCK01,ROOMECOM,TGTDVS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</si>
  <si>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</si>
  <si>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</si>
  <si>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</si>
  <si>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</si>
  <si>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</si>
  <si>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AMAZON,AMAZONDS,AMERSIGNDS,BEALLSDS,CSNSTORES,DESINC,KIRKLANDDS,KOHLDSN,LAMPDS,OLLIIX,ROOMECOM,TGTDVS</t>
  </si>
  <si>
    <t>MP95C-0269</t>
  </si>
  <si>
    <t>AMAZON,AMAZONDS,AMERSIGNDS,CSNSTORES,DESINC,JCPENNEY01,KIRKLANDDS,KOHLDSN,OLLIIX,OVERSTOCK01,ROOMECOM,TGTDVS</t>
  </si>
  <si>
    <t>MP95C-0158</t>
  </si>
  <si>
    <t>PP000926</t>
  </si>
  <si>
    <t>5/24/2018</t>
  </si>
  <si>
    <t>AMAZON,AMAZONDS,AMERSIGNDS,CSNSTORES,HOUZZ,KIRKLANDDS,KOHLDSN,LAMPDS,NRTPORT,OLLIIX,OVERSTOCK01</t>
  </si>
  <si>
    <t>MP95C-0284</t>
  </si>
  <si>
    <t>Moving Midas</t>
  </si>
  <si>
    <t>Gold Foil Abstract 2-piece Framed Canvas Wall Art Set</t>
  </si>
  <si>
    <t>PP001663</t>
  </si>
  <si>
    <t>6/2/2021</t>
  </si>
  <si>
    <t>AMAZON,AMERSIGNDS,CSNSTORES,JCPENNEY01,KIRKLANDDS,KOHLDSN,MACY02,NRTPORT,OLLIIX,OVERSTOCK01,ROOMECOM,TGTDVS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</si>
  <si>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</si>
  <si>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</si>
  <si>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</si>
  <si>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</si>
  <si>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</si>
  <si>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AMAZON,AMAZONDS,CSNSTORES,DESINC,JCPENNEY01,MACY02,OLLIIX,OVERSTOCK01,TGTDVS,ZOLA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</si>
  <si>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</si>
  <si>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</si>
  <si>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</si>
  <si>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</si>
  <si>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</si>
  <si>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AMAZON,AMAZONDS,AMERSIGNDS,CSNSTORES,KOHLDSN,LAMPDS,LOWESDS,MACY02,OLLIIX,OVERSTOCK01,ROOMECOM,TGTDVS</t>
  </si>
  <si>
    <t>MP95C-0197</t>
  </si>
  <si>
    <t>Winter Glaze</t>
  </si>
  <si>
    <t>Blue/White</t>
  </si>
  <si>
    <t>PP001172;PF004665</t>
  </si>
  <si>
    <t>2/21/2019</t>
  </si>
  <si>
    <t>AMAZON,AMAZONDS,AMERSIGNDS,CSNSTORES,KIRKLANDDS,KOHLDSN,OVERSTOCK01,ROOMECOM,TGTDVS,ZOLA</t>
  </si>
  <si>
    <t>MP95C-0103A</t>
  </si>
  <si>
    <t>Blue Bliss</t>
  </si>
  <si>
    <t>Abstract 5-piece Gallery Framed Canvas Wall Art Set</t>
  </si>
  <si>
    <t>PF002001</t>
  </si>
  <si>
    <t>AMAZON,AMAZONDS,ASHFURNDS,BEALLSDS,CSNSTORES,DESINC,HOUZZ,KIRKLANDDS,KOHLDSN,LAMPDS,LOWESDS,OLLIIX,ZOLA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</si>
  <si>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</si>
  <si>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</si>
  <si>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</si>
  <si>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</si>
  <si>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</si>
  <si>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</si>
  <si>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AMAZON,AMAZONDS,AMERSIGNDS,ASHFURNDS,CSNSTORES,DESINC,KIRKLANDDS,KOHLDSN,MACY02,OLLIIX,OVERSTOCK01,ROOMECOM</t>
  </si>
  <si>
    <t>MP95C-0133</t>
  </si>
  <si>
    <t>Blue Lagoon 2</t>
  </si>
  <si>
    <t>Abstract 2-piece Framed Canvas Wall Art Set</t>
  </si>
  <si>
    <t>PP000609</t>
  </si>
  <si>
    <t>AMAZON,AMAZONDS,AMERSIGNDS,ASHFURNDS,BEALLSDS,CSNSTORES,HDDS,KIRKLANDDS,KOHLDSN,NRTPORT,OLLIIX,OVERSTOCK01,TGTDVS</t>
  </si>
  <si>
    <t>MP95C-0062</t>
  </si>
  <si>
    <t>Ocean Seashells</t>
  </si>
  <si>
    <t>4-piece Framed Canvas Wall Art Set</t>
  </si>
  <si>
    <t>PF001950</t>
  </si>
  <si>
    <t>4/22/2017</t>
  </si>
  <si>
    <t>AMAZON,AMAZONDS,AMERSIGNDS,BEALLSDS,CSNSTORES,DESINC,KIRKLANDDS,KOHLDSN,LAMPDS,LOWESDS,MACY02,OLLIIX,TGTDVS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</si>
  <si>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</si>
  <si>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</si>
  <si>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</si>
  <si>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</si>
  <si>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</si>
  <si>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AMAZONDS,AMERSIGNDS,BEALLSDS,BLK01,CSNSTORES,JCPENNEY01,KIRKLANDDS,KOHLDSN,LOWESDS,MACY02,OLLIIX,OVERSTOCK01,TGTDVS,ZOLA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</si>
  <si>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</si>
  <si>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</si>
  <si>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</si>
  <si>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</si>
  <si>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</si>
  <si>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</si>
  <si>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</si>
  <si>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2/17/2025</t>
  </si>
  <si>
    <t>AMERSIGNDS,CSNSTORES,HDDS,JCPENNEY01,KOHLDSN,OLLIIX,OVERSTOCK01,TGTDVS,ZOLA</t>
  </si>
  <si>
    <t>MP95D-0239</t>
  </si>
  <si>
    <t>Natural/Grey</t>
  </si>
  <si>
    <t>PP001422;PF004974</t>
  </si>
  <si>
    <t>12/6/2019</t>
  </si>
  <si>
    <t>AMAZON,AMERSIGNDS,ASHFURNDS,BLK01,CSNSTORES,HDDS,HOUZZ,JCPENNEY01,KIRKLANDDS,KOHLDSN,LAMPDS,MACY02,OLLIIX,OVERSTOCK01,ZOLA</t>
  </si>
  <si>
    <t>MP95F-0315</t>
  </si>
  <si>
    <t>Adaline</t>
  </si>
  <si>
    <t>Arched Metal Floral Wall Mirror</t>
  </si>
  <si>
    <t>25.75"H</t>
  </si>
  <si>
    <t>6/20/2023</t>
  </si>
  <si>
    <t>AMAZON,CSNSTORES,DESINC,HDDS,JCPENNEY01,KIRKLANDDS,KOHLDSN,LAMPDS,MACY02,NRTPORT,OLLIIX,OVERSTOCK01,TGTDVS,ZOLA</t>
  </si>
  <si>
    <t>MP95F-0360</t>
  </si>
  <si>
    <t>29.75"H</t>
  </si>
  <si>
    <t>7/20/2024</t>
  </si>
  <si>
    <t>AMAZON,AMAZONDS,HDDS,KOHLDSN,OLLIIX,OVERSTOCK01</t>
  </si>
  <si>
    <t>MP95F-0318</t>
  </si>
  <si>
    <t>Adelaide</t>
  </si>
  <si>
    <t>Gold Scalloped Wood Wall Mirror</t>
  </si>
  <si>
    <t>AMAZON,AMAZONDS,CSNSTORES,DESINC,HDDS,HOUZZ,JCPENNEY01,KIRKLANDDS,KOHLDSN,LAMPDS,MACY02,OLLIIX,OVERSTOCK01,TGTDVS</t>
  </si>
  <si>
    <t>MP95F-0359</t>
  </si>
  <si>
    <t>Aurelia</t>
  </si>
  <si>
    <t>Rounded Rectangle Fluted Wall Mirror</t>
  </si>
  <si>
    <t>AMAZON,CSNSTORES,DESINC,KIRKLANDDS,LAMPDS,OLLIIX,OVERSTOCK01,TGTDVS</t>
  </si>
  <si>
    <t>MP95F-0320</t>
  </si>
  <si>
    <t>Lilbeth</t>
  </si>
  <si>
    <t>Beaded Arch Wall Decor Mirror</t>
  </si>
  <si>
    <t>AMAZON,AMAZONDS,CSNSTORES,DESINC,HDDS,HOUZZ,JCPENNEY01,KIRKLANDDS,KOHLDSN,LAMPDS,MACY02,OLLIIX,OVERSTOCK01,TGTDVS,ZOLA</t>
  </si>
  <si>
    <t>MP95F-0327</t>
  </si>
  <si>
    <t>Mia</t>
  </si>
  <si>
    <t>Gold Metal Arch Wall Mirror</t>
  </si>
  <si>
    <t>4/4/2024</t>
  </si>
  <si>
    <t>AMAZON,AMAZONDS,CSNSTORES,HDDS,JCPENNEY01,KIRKLANDDS,LAMPDS,NRTPORT,OLLIIX,OVERSTOCK01,TGTDVS</t>
  </si>
  <si>
    <t>MP95F-0267</t>
  </si>
  <si>
    <t>Mirrors</t>
  </si>
  <si>
    <t>Cove</t>
  </si>
  <si>
    <t>Natural Jute Rope Round Wall Mirror 26"</t>
  </si>
  <si>
    <t>PF005440</t>
  </si>
  <si>
    <t>AMAZONDS,AMERSIGNDS,CSNSTORES,DESINC,JCPENNEY01,KIRKLANDDS,KOHLDSN,LAMPDS,MACY02,OLLIIX,OVERSTOCK01,TGTDVS</t>
  </si>
  <si>
    <t>MP160-0181</t>
  </si>
  <si>
    <t>Fiore</t>
  </si>
  <si>
    <t>Sunburst Wall Decor Mirror 29.5"D</t>
  </si>
  <si>
    <t>29.5" Dia</t>
  </si>
  <si>
    <t>AMAZON,AMERSIGNDS,ASHFURNDS,CSNSTORES,DESINC,HDDS,HOUZZ,KOHLDSN,LAMPDS,MACY02,OLLIIX,OVERSTOCK01,ROOMECOM,TGTDVS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</si>
  <si>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</si>
  <si>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</si>
  <si>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</si>
  <si>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AMAZONDS,AMERSIGNDS,ASHFURNDS,BLK01,CSNSTORES,DESINC,HDDS,HOUZZ,KIRKLANDDS,KOHLDSN,LAMPDS,MACY02,NRTPORT,OLLIIX,OVERSTOCK01,ROOMECOM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</si>
  <si>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</si>
  <si>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</si>
  <si>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</si>
  <si>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</si>
  <si>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</si>
  <si>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</si>
  <si>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</si>
  <si>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</si>
  <si>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6/8/2017</t>
  </si>
  <si>
    <t>AMAZON,AMERSIGNDS,CSNSTORES,HOUZZ,KIRKLANDDS,LAMPDS,OLLIIX,OVERSTOCK01,ROOMECOM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</si>
  <si>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</si>
  <si>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</si>
  <si>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</si>
  <si>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</si>
  <si>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AMAZON,AMAZONDS,AMERSIGNDS,BLK01,CSNSTORES,DESINC,HDDS,HOUZZ,JCPENNEY01,KIRKLANDDS,KOHLDSN,LAMPDS,MACY02,OLLIIX,OVERSTOCK01,ROOMECOM,TGTDVS,ZOLA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</si>
  <si>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</si>
  <si>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</si>
  <si>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</si>
  <si>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</si>
  <si>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AMAZON,AMAZONDS,AMERSIGNDS,ASHFURNDS,BLK01,CSNSTORES,DESINC,HOUZZ,JCPENNEY01,KIRKLANDDS,KOHLDSN,LAMPDS,OLLIIX,OVERSTOCK01,TGTDVS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</si>
  <si>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</si>
  <si>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</si>
  <si>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</si>
  <si>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</si>
  <si>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</si>
  <si>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</si>
  <si>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AMAZONDS,AMERSIGNDS,ASHFURNDS,BLK01,CSNSTORES,DESINC,HDDS,JCPENNEY01,KIRKLANDDS,KOHLDSN,MACY02,OLLIIX,OVERSTOCK01,ROOMECOM,TGTDVS</t>
  </si>
  <si>
    <t>MP95G-0006</t>
  </si>
  <si>
    <t>Natural Agate Trio</t>
  </si>
  <si>
    <t>Real Stone Framed Glass and Double Matted Wall Art</t>
  </si>
  <si>
    <t>PF001834</t>
  </si>
  <si>
    <t>AMAZON,AMAZONDS,ASHFURNDS,BLK01,CSNSTORES,DESINC,HDDS,HOUZZ,KOHLDSN,MACY02,NRTPORT,OLLIIX,ROOMECOM,TGTDVS</t>
  </si>
  <si>
    <t>MP95G-0298</t>
  </si>
  <si>
    <t>Fair Florets</t>
  </si>
  <si>
    <t>3-piece Framed Glass Wall Art Set</t>
  </si>
  <si>
    <t>PP001778</t>
  </si>
  <si>
    <t>6/1/2022</t>
  </si>
  <si>
    <t>AMAZONDS,AMERSIGNDS,BLK01,CSNSTORES,DESINC,JCPENNEY01,KIRKLANDDS,KOHLDSN,LAMPDS,LOWESDS,MACY02,OLLIIX,TGTDVS,ZOLA</t>
  </si>
  <si>
    <t>MPS95A-0023</t>
  </si>
  <si>
    <t>Sunburst</t>
  </si>
  <si>
    <t>Hand Painted Dimensional Resin Wall Art</t>
  </si>
  <si>
    <t>30x30"</t>
  </si>
  <si>
    <t>PF002029</t>
  </si>
  <si>
    <t>10/13/2017</t>
  </si>
  <si>
    <t>AMAZONDS,AMERSIGNDS,CSNSTORES,HDDS,HOUZZ,KOHLDSN,LAMPDS,OLLIIX,ROOMECOM,TGTDVS</t>
  </si>
  <si>
    <t>MPS95A-0038</t>
  </si>
  <si>
    <t>PF005495</t>
  </si>
  <si>
    <t>AMAZON,AMAZONDS,AMERSIGNDS,CSNSTORES,JCPENNEY01,KIRKLANDDS,KOHLDSN,LAMPDS,OLLIIX,ROOMECOM,TGTDVS</t>
  </si>
  <si>
    <t>MPS95B-0040</t>
  </si>
  <si>
    <t>Hand Painted Triptych 3-piece Dimensional Resin Wall Art Set</t>
  </si>
  <si>
    <t>3-Piece</t>
  </si>
  <si>
    <t>AMAZONDS,AMERSIGNDS,BLK01,CSNSTORES,HOUZZ,JCPENNEY01,KIRKLANDDS,KOHLDSN,LAMPDS,MACY02,OLLIIX,OVERSTOCK01,TGTDVS,ZOLA</t>
  </si>
  <si>
    <t>MPS95F-0041</t>
  </si>
  <si>
    <t>Marlowe</t>
  </si>
  <si>
    <t>Gold Beaded Round Wall Mirror 3-piece set</t>
  </si>
  <si>
    <t>PP001618</t>
  </si>
  <si>
    <t>AMAZONDS,CSNSTORES,DESINC,HOUZZ,LAMPDS,OLLIIX,OVERSTOCK01,TGTDVS</t>
  </si>
  <si>
    <t>MPS95F-0036</t>
  </si>
  <si>
    <t>27" Medium Decorative Round Wall Mirror with Beaded Metal Frame</t>
  </si>
  <si>
    <t>27" Dia</t>
  </si>
  <si>
    <t>PF005436</t>
  </si>
  <si>
    <t>AMAZON,AMAZONDS,AMERSIGNDS,BLK01,CSNSTORES,DESINC,HDDS,HOUZZ,JCPENNEY01,KOHLDSN,OLLIIX,OVERSTOCK01,TGTDVS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</si>
  <si>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</si>
  <si>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</si>
  <si>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</si>
  <si>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</si>
  <si>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AMAZON,AMAZONDS,AMERSIGNDS,CSNSTORES,DESINC,HDDS,KIRKLANDDS,KOHLDSN,LAMPDS,OLLIIX,OVERSTOCK01,ROOMECOM,TGTDVS</t>
  </si>
  <si>
    <t>MPS95F-0034</t>
  </si>
  <si>
    <t>9/5/2020</t>
  </si>
  <si>
    <t>AMAZON,AMAZONDS,AMERSIGNDS,BLK01,CSNSTORES,DESINC,HDDS,HOUZZ,KIRKLANDDS,KOHLDSN,LAMPDS,OLLIIX,OVERSTOCK01,TGTDVS</t>
  </si>
  <si>
    <t>MPS160-279</t>
  </si>
  <si>
    <t>8/30/2017</t>
  </si>
  <si>
    <t>AMAZON,AMAZONDS,AMERSIGNDS,ASHFURNDS,CSNSTORES,DESINC,HDDS,HOUZZ,KOHLDSN,LAMPDS,OLLIIX,OVERSTOCK01,ROOMECOM,TGTDVS</t>
  </si>
  <si>
    <t>MPS95F-0035</t>
  </si>
  <si>
    <t>AMAZON,AMAZONDS,BLK01,CSNSTORES,DESINC,HDDS,HOUZZ,JCPENNEY01,KIRKLANDDS,KOHLDSN,LAMPDS,OLLIIX,ROOMECOM,TGTDVS</t>
  </si>
  <si>
    <t>MPS160-339</t>
  </si>
  <si>
    <t>11/6/2018</t>
  </si>
  <si>
    <t>AMAZON,AMAZONDS,AMERSIGNDS,ASHFURNDS,CSNSTORES,DESINC,HOUZZ,KOHLDSN,LAMPDS,OLLIIX,OVERSTOCK01,ROOMECOM,TGTDVS</t>
  </si>
  <si>
    <t>MPS95F-0042</t>
  </si>
  <si>
    <t>11/26/2022</t>
  </si>
  <si>
    <t>AMAZON,AMAZONDS,AMERSIGNDS,CSNSTORES,DESINC,HDDS,HOUZZ,KOHLDSN,OLLIIX,OVERSTOCK01,TGTDVS</t>
  </si>
  <si>
    <t>MPS95F-0043</t>
  </si>
  <si>
    <t>AMAZON,AMAZONDS,AMERSIGNDS,CSNSTORES,DESINC,HDDS,KOHLDSN,LAMPDS,OLLIIX,OVERSTOCK01,TGTDVS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</si>
  <si>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</si>
  <si>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</si>
  <si>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</si>
  <si>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</si>
  <si>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</si>
  <si>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</si>
  <si>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12/25/2024</t>
  </si>
  <si>
    <t>AMAZON,AMAZONDS,AMERSIGNDS,CSNSTORES,HDDS,KOHLDSN,LAMPDS,MACY02,NRTPORT,OLLIIX,OVERSTOCK01,ROOMECOM</t>
  </si>
  <si>
    <t>MPS162-347</t>
  </si>
  <si>
    <t>9/9/2019</t>
  </si>
  <si>
    <t>AMAZON,AMAZONDS,AMERSIGNDS,CSNSTORES,DESINC,HDDS,HOUZZ,KOHLDSN,LAMPDS,MACY02,NRTPORT,OLLIIX,OVERSTOCK01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</si>
  <si>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</si>
  <si>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</si>
  <si>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</si>
  <si>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</si>
  <si>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</si>
  <si>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</si>
  <si>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AMAZON,AMAZONDS,AMERSIGNDS,CSNSTORES,DESINC,HDDS,HOUZZ,KOHLDSN,LAMPDS,MACY02,OLLIIX,OVERSTOCK01,ROOMECOM</t>
  </si>
  <si>
    <t>MT95B-0064</t>
  </si>
  <si>
    <t>Martha Stewart</t>
  </si>
  <si>
    <t>Cerulean Stones</t>
  </si>
  <si>
    <t>Framed Blue Agate Shadowbox Wall Decor Panel</t>
  </si>
  <si>
    <t>PP001689</t>
  </si>
  <si>
    <t>MT Perry Street</t>
  </si>
  <si>
    <t>11/22/2021</t>
  </si>
  <si>
    <t>AMAZON,AMAZONDS,CSNSTORES,HDDS,HOUZZ,JCPENNEY01,KIRKLANDDS,KOHLDSN,LAMPDS,MACY02,OLLIIX,OVERSTOCK01,TGTDVS</t>
  </si>
  <si>
    <t>MT95B-0065</t>
  </si>
  <si>
    <t>Indigo Shells</t>
  </si>
  <si>
    <t>Framed Sea Urchin Shadow Box Wall Decor</t>
  </si>
  <si>
    <t>PP001690</t>
  </si>
  <si>
    <t>AMAZON,AMAZONDS,BLK01,CSNSTORES,DESINC,JCPENNEY01,KOHLDSN,LAMPDS,MACY02,OLLIIX,OVERSTOCK01,TGTDVS,ZOLA</t>
  </si>
  <si>
    <t>MT167-0023</t>
  </si>
  <si>
    <t>Faye</t>
  </si>
  <si>
    <t>Gold Foil Metal Ginkgo Leaf Wall Decor</t>
  </si>
  <si>
    <t>AMAZON,AMAZONDS,BLK01,CSNSTORES,DESINC,HOUZZ,JCPENNEY01,KOHLDSN,LAMPDS,MACY02,OLLIIX,OVERSTOCK01,ROOMECOM,ZOLA</t>
  </si>
  <si>
    <t>MT95B-0083</t>
  </si>
  <si>
    <t>Staggered Stones</t>
  </si>
  <si>
    <t>Blue Natural Agate Double Mat Shadow Box Wall Decor</t>
  </si>
  <si>
    <t>MT Lily Pond</t>
  </si>
  <si>
    <t>AMAZON,AMAZONDS,CSNSTORES,LAMPDS,OLLIIX,OVERSTOCK01,TGTDVS</t>
  </si>
  <si>
    <t>MT95B-0085</t>
  </si>
  <si>
    <t>Off-White Natural Agate Double Mat Shadow Box Wall Decor</t>
  </si>
  <si>
    <t>MT95C-0036A</t>
  </si>
  <si>
    <t>Blue Drift</t>
  </si>
  <si>
    <t>PF005355</t>
  </si>
  <si>
    <t>1/20/2021</t>
  </si>
  <si>
    <t>AMAZON,AMAZONDS,ASHFURNDS,CSNSTORES,DESINC,HDDS,HOUZZ,JCPENNEY01,KIRKLANDDS,KOHLDSN,OLLIIX,OVERSTOCK01,ROOMECOM,TGTDVS,ZOLA</t>
  </si>
  <si>
    <t>MT95C-0005</t>
  </si>
  <si>
    <t>French Herbarium</t>
  </si>
  <si>
    <t>2-piece Framed Canvas Wall Art Set</t>
  </si>
  <si>
    <t>MT Bedford</t>
  </si>
  <si>
    <t>6/12/2019</t>
  </si>
  <si>
    <t>AMAZON,ASHFURNDS,CSNSTORES,DESINC,JCPENNEY01,KIRKLANDDS,KOHLDSN,MACY02,OLLIIX,ROOMECOM,TGTDVS,ZOLA</t>
  </si>
  <si>
    <t>MT95C-0006</t>
  </si>
  <si>
    <t>Herbal Botany</t>
  </si>
  <si>
    <t>4-piece Botanical Illustration Framed Canvas Wall Art Set</t>
  </si>
  <si>
    <t>6/1/2019</t>
  </si>
  <si>
    <t>AMAZON,AMAZONDS,AMERSIGNDS,BLK01,CSNSTORES,DESINC,HDDS,HOUZZ,JCPENNEY01,KIRKLANDDS,KOHLDSN,MACY02,OLLIIX,OVERSTOCK01,ROOMECOM,TGTDVS,ZOLA</t>
  </si>
  <si>
    <t>MT95C-0024</t>
  </si>
  <si>
    <t>Lake Walk</t>
  </si>
  <si>
    <t>Abstract Landscape Framed Canvas Wall Art</t>
  </si>
  <si>
    <t>PP001443;PF005010</t>
  </si>
  <si>
    <t>AMAZON,AMAZONDS,BLK01,CSNSTORES,DESINC,HDDS,JCPENNEY01,KIRKLANDDS,KOHLDSN,MACY02,OLLIIX,OVERSTOCK01,ROOMECOM,ZOLA</t>
  </si>
  <si>
    <t>MT95C-0035</t>
  </si>
  <si>
    <t>Vista</t>
  </si>
  <si>
    <t>Abstract Landscape 5-piece Gallery Canvas Wall Art Set</t>
  </si>
  <si>
    <t>PF005278</t>
  </si>
  <si>
    <t>11/20/2020</t>
  </si>
  <si>
    <t>AMAZON,AMAZONDS,BLK01,CSNSTORES,DESINC,HDDS,JCPENNEY01,KIRKLANDDS,KOHLDSN,MACY02,OLLIIX,OVERSTOCK01,ROOMECOM,TGTDVS,ZOLA</t>
  </si>
  <si>
    <t>MT160-0021</t>
  </si>
  <si>
    <t>Gold Gingko Leaf Round Wall Mirror 30.5"</t>
  </si>
  <si>
    <t>7/9/2020</t>
  </si>
  <si>
    <t>AMAZON,AMAZONDS,AMERSIGNDS,ASHFURNDS,BLK01,CSNSTORES,DESINC,HDDS,HOUZZ,JCPENNEY01,KIRKLANDDS,KOHLDSN,LAMPDS,MACY02,OLLIIX,OVERSTOCK01,ROOMECOM,TGTDVS,ZOLA</t>
  </si>
  <si>
    <t>MT160-0011</t>
  </si>
  <si>
    <t>Katonah</t>
  </si>
  <si>
    <t>Black Round Wall Mirror 36"</t>
  </si>
  <si>
    <t>6/3/2019</t>
  </si>
  <si>
    <t>AMAZON,AMAZONDS,ASHFURNDS,BLK01,CSNSTORES,JCPENNEY01,KOHLDSN,OLLIIX,OVERSTOCK01</t>
  </si>
  <si>
    <t>MT95F-0078</t>
  </si>
  <si>
    <t>Natural Rattan Round Wall Mirror</t>
  </si>
  <si>
    <t>AMAZON,AMAZONDS,CSNSTORES,HDDS,HOUZZ,KIRKLANDDS,KOHLDSN,LAMPDS,MACY02,OLLIIX,OVERSTOCK01,TGTDVS</t>
  </si>
  <si>
    <t>MT95F-0088</t>
  </si>
  <si>
    <t>Naomi</t>
  </si>
  <si>
    <t>Rectangular Wood and Rattan Mirror</t>
  </si>
  <si>
    <t>AMAZON,CSNSTORES,KIRKLANDDS,TGTDVS</t>
  </si>
  <si>
    <t>MT95F-0089</t>
  </si>
  <si>
    <t>AMAZON,KIRKLANDDS,OLLIIX,TGTDVS</t>
  </si>
  <si>
    <t>MT95G-0029</t>
  </si>
  <si>
    <t>Across The Plains 1</t>
  </si>
  <si>
    <t>Framed Glass and Double Matted Abstract Landscape Wall Art</t>
  </si>
  <si>
    <t>PP001448;PF005015</t>
  </si>
  <si>
    <t>AMAZON,BLK01,CSNSTORES,DESINC,HDDS,JCPENNEY01,KIRKLANDDS,KOHLDSN,OLLIIX,TGTDVS,ZOLA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</si>
  <si>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</si>
  <si>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</si>
  <si>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</si>
  <si>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</si>
  <si>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AMAZONDS,BLK01,CSNSTORES,DESINC,JCPENNEY01,KIRKLANDDS,KOHLDSN,MACY02,OLLIIX,ROOMECOM,ZOLA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</si>
  <si>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</si>
  <si>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</si>
  <si>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</si>
  <si>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AMAZONDS,BLK01,CSNSTORES,DESINC,JCPENNEY01,KIRKLANDDS,KOHLDSN,OLLIIX,ZOLA</t>
  </si>
  <si>
    <t>MT95G-0086</t>
  </si>
  <si>
    <t>The Duel</t>
  </si>
  <si>
    <t>Cheetah Framed Graphic Wall Decor 2 Piece set</t>
  </si>
  <si>
    <t>AMAZON,AMAZONDS,CSNSTORES,HDDS,KIRKLANDDS,OLLIIX,OVERSTOCK01,TGTDVS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</si>
  <si>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</si>
  <si>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</si>
  <si>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</si>
  <si>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</si>
  <si>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</si>
  <si>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</si>
  <si>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</si>
  <si>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</si>
  <si>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</si>
  <si>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AAFESDS,AMAZON,AMAZONDS,BEALLSDS,BIGLOTSDS,BLK01,CSNSTORES,DESINC,FINGERHUTDS,HDDS,JCPENNEY01,KOHLDSN,MACY02,NRTPORT,OLLIIX,OVERSTOCK01,TGTDVS,WALMARTDS</t>
  </si>
  <si>
    <t>9/11/2016</t>
  </si>
  <si>
    <t>2/21/2017</t>
  </si>
  <si>
    <t>MP16-3145</t>
  </si>
  <si>
    <t>AAFESDS,AMAZON,AMAZONDS,BEALLSDS,BIGLOTSDS,BLK01,CSNSTORES,FINGERHUTDS,HDDS,HOUZZ,JCPENNEY01,KOHLDSN,MACY02,NRTPORT,OLLIIX,OVERSCONSIGN,OVERSTOCK01,TGTDVS,WALMARTDS</t>
  </si>
  <si>
    <t>MP16-3146</t>
  </si>
  <si>
    <t>AAFESDS,AMAZON,AMAZONDS,BIGLOTSDS,BLK01,CSNSTORES,FINGERHUTDS,HDDS,JCPENNEY01,KOHLDSN,MACY02,NRTPORT,OLLIIX,OVERSTOCK01,TGTDVS,WALMARTDS,ZOLA</t>
  </si>
  <si>
    <t>4/10/2017</t>
  </si>
  <si>
    <t>MP16-3147</t>
  </si>
  <si>
    <t>AAFESDS,AMAZONDS,BEALLSDS,BIGLOTSDS,BLK01,CSNSTORES,FINGERHUTDS,HDDS,JCPENNEY01,KOHLDSN,MACY02,NRTPORT,OLLIIX,OVERSTOCK01,TGTDVS,WALMARTDS,ZOLA</t>
  </si>
  <si>
    <t>1/31/2017</t>
  </si>
  <si>
    <t>MP16-3148</t>
  </si>
  <si>
    <t>AAFESDS,AMAZON,AMAZONDS,BEALLSDS,BIGLOTSDS,BLK01,CSNSTORES,FINGERHUTDS,HDDS,JCPENNEY01,KOHLDSN,MACY02,NRTPORT,OLLIIX,OVERSCONSIGN,OVERSTOCK01,TGTDVS,WALMARTDS,ZOLA</t>
  </si>
  <si>
    <t>2/13/2017</t>
  </si>
  <si>
    <t>MP16-3149</t>
  </si>
  <si>
    <t>AAFESDS,AMAZON,BIGLOTSDS,BLK01,CSNSTORES,FINGERHUTDS,HDDS,HOUZZ,JCPENNEY01,KOHLDSN,MACY02,NRTPORT,OLLIIX,OVERSTOCK01,TGTDVS,WALMARTDS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</si>
  <si>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</si>
  <si>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</si>
  <si>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</si>
  <si>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</si>
  <si>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</si>
  <si>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</si>
  <si>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AMAZON,AMAZONDS,BLK01,CSNSTORES,FINGERHUTDS,JCPENNEY01,KOHLDSN,MACY02,OLLIIX,OVERSTOCK01,TGTDVS,WALMARTDS</t>
  </si>
  <si>
    <t>BASI16-0032TXL</t>
  </si>
  <si>
    <t>AMAZON,AMAZONDS,BLK01,CSNSTORES,FINGERHUTDS,JCPENNEY01,KOHLDSN,MACY02,OLLIIX,OVERSTOCK01,WALMARTDS</t>
  </si>
  <si>
    <t>BASI16-0033</t>
  </si>
  <si>
    <t>AMAZON,AMAZONDS,BLK01,CSNSTORES,DESINC,FINGERHUTDS,JCPENNEY01,KOHLDSN,MACY02,OLLIIX,OVERSTOCK01,TGTDVS,WALMARTDS</t>
  </si>
  <si>
    <t>1/20/2015</t>
  </si>
  <si>
    <t>BASI16-0034</t>
  </si>
  <si>
    <t>AMAZON,AMAZONDS,BEALLSDS,BLK01,CSNSTORES,FINGERHUTDS,JCPENNEY01,KOHLDSN,MACY02,OLLIIX,OVERSTOCK01,TGTDVS,WALMARTDS</t>
  </si>
  <si>
    <t>MP51-5152</t>
  </si>
  <si>
    <t>BLANKET</t>
  </si>
  <si>
    <t>Filled Blanket</t>
  </si>
  <si>
    <t>Windom</t>
  </si>
  <si>
    <t>Prospect</t>
  </si>
  <si>
    <t>Lightweight Down Alternative Blanket with Satin Trim</t>
  </si>
  <si>
    <t>AAFESDS,AMAZON,AMAZONDS,BEALLSDS,BLK01,CSNSTORES,DESINC,FINGERHUTDS,HDDS,JCPENNEY01,KOHLDSN,MACY02,OLLIIX,OVERSTOCK01,TGTDVS,WALMARTDS</t>
  </si>
  <si>
    <t>11/28/2017</t>
  </si>
  <si>
    <t>MP51-6698</t>
  </si>
  <si>
    <t>PP001377;PF004892</t>
  </si>
  <si>
    <t>9/19/2019</t>
  </si>
  <si>
    <t>5/13/2021</t>
  </si>
  <si>
    <t>7/20/2021</t>
  </si>
  <si>
    <t>MP51-6699</t>
  </si>
  <si>
    <t>8/30/2021</t>
  </si>
  <si>
    <t>MP51-546</t>
  </si>
  <si>
    <t>PF002067</t>
  </si>
  <si>
    <t>AMAZON,AMAZONDS,BEALLSDS,BIGLOTSDS,BLK01,CSNSTORES,DESINC,HDDS,JCPENNEY01,KOHLDSN,MACY02,NRTPORT,OLLIIX,OVERSTOCK01,TGTDVS,WALMARTDS</t>
  </si>
  <si>
    <t>7/30/2015</t>
  </si>
  <si>
    <t>MP51-5154</t>
  </si>
  <si>
    <t>AMAZON,AMAZONDS,BIGLOTSDS,BLK01,CSNSTORES,HDDS,JCPENNEY01,KOHLDSN,MACY02,NRTPORT,OLLIIX,OVERSTOCK01,TGTDVS</t>
  </si>
  <si>
    <t>MP51-5156</t>
  </si>
  <si>
    <t>AMAZON,AMAZONDS,BIGLOTSDS,BLK01,CSNSTORES,DESINC,FINGERHUTDS,HDDS,JCPENNEY01,KOHLDSN,MACY02,NRTPORT,OLLIIX,OVERSTOCK01,TGTDVS,WALMARTDS</t>
  </si>
  <si>
    <t>11/24/2017</t>
  </si>
  <si>
    <t>MP51-541</t>
  </si>
  <si>
    <t>PF002065</t>
  </si>
  <si>
    <t>AMAZON,AMAZONDS,BIGLOTSDS,BLK01,CSNSTORES,DESINC,FINGERHUTDS,HDDS,JCPENNEY01,KOHLDSN,MACY02,OLLIIX,OVERSTOCK01,TGTDVS,WALMARTDS</t>
  </si>
  <si>
    <t>7/23/2015</t>
  </si>
  <si>
    <t>MP51-543</t>
  </si>
  <si>
    <t>AAFESDS,AMAZON,AMAZONDS,BLK01,CSNSTORES,DESINC,FINGERHUTDS,HDDS,HOUZZ,JCPENNEY01,KOHLDSN,MACY02,OLLIIX,OVERSCONSIGN,OVERSTOCK01,TGTDVS,WALMARTDS</t>
  </si>
  <si>
    <t>7/17/2015</t>
  </si>
  <si>
    <t>MP51-5148</t>
  </si>
  <si>
    <t>AMAZON,AMAZONDS,BIGLOTSDS,CSNSTORES,DESINC,HDDS,JCPENNEY01,KOHLDSN,MACY02,OLLIIX,OVERSCONSIGN,OVERSTOCK01,TGTDVS,WALMARTDS</t>
  </si>
  <si>
    <t>1/2/2018</t>
  </si>
  <si>
    <t>MP51-5150</t>
  </si>
  <si>
    <t>AAFESDS,AMAZON,AMAZONDS,BIGLOTSDS,BLK01,CSNSTORES,DESINC,FINGERHUTDS,HDDS,JCPENNEY01,KOHLDSN,MACY02,NRTPORT,OLLIIX,OVERSTOCK01,TGTDVS</t>
  </si>
  <si>
    <t>MP51-8500</t>
  </si>
  <si>
    <t>PP001377;PF006380</t>
  </si>
  <si>
    <t>MP51-8501</t>
  </si>
  <si>
    <t>AMAZON,AMAZONDS,CSNSTORES,DESINC,JCPENNEY01,KOHLDSN,MACY02,OLLIIX,OVERSTOCK01,TGTDVS</t>
  </si>
  <si>
    <t>MP51-8502</t>
  </si>
  <si>
    <t>MP51-8134</t>
  </si>
  <si>
    <t>PP001377;PF005883</t>
  </si>
  <si>
    <t>12/1/2022</t>
  </si>
  <si>
    <t>MP51-8135</t>
  </si>
  <si>
    <t>MP51-8136</t>
  </si>
  <si>
    <t>MP51-8646</t>
  </si>
  <si>
    <t>PF006380</t>
  </si>
  <si>
    <t>2/24/2025</t>
  </si>
  <si>
    <t>MP51-8647</t>
  </si>
  <si>
    <t>MP51-8648</t>
  </si>
  <si>
    <t>MP51-8649</t>
  </si>
  <si>
    <t>MP51-8650</t>
  </si>
  <si>
    <t>MP51-8651</t>
  </si>
  <si>
    <t>MP51-7661</t>
  </si>
  <si>
    <t>PP001377;PF005513</t>
  </si>
  <si>
    <t>7/7/2021</t>
  </si>
  <si>
    <t>AMAZON,AMAZONDS,BIGLOTSDS,BLK01,CSNSTORES,DESINC,JCPENNEY01,KOHLDSN,MACY02,OLLIIX,OVERSTOCK01,TGTDVS</t>
  </si>
  <si>
    <t>MP51-7662</t>
  </si>
  <si>
    <t>MP51-7663</t>
  </si>
  <si>
    <t>MP51-6374</t>
  </si>
  <si>
    <t>Coleman</t>
  </si>
  <si>
    <t>Campbell</t>
  </si>
  <si>
    <t>Reversible HeiQ Smart Temperature Down Alternative Blanket</t>
  </si>
  <si>
    <t>PP001231;PF004705</t>
  </si>
  <si>
    <t>7/10/2019</t>
  </si>
  <si>
    <t>11/11/2019</t>
  </si>
  <si>
    <t>MP51-6375</t>
  </si>
  <si>
    <t>8/20/2020</t>
  </si>
  <si>
    <t>MP51-6377</t>
  </si>
  <si>
    <t>PP001231;PF004706</t>
  </si>
  <si>
    <t>2/18/2021</t>
  </si>
  <si>
    <t>MP51-6378</t>
  </si>
  <si>
    <t>3/22/2020</t>
  </si>
  <si>
    <t>MP51-6379</t>
  </si>
  <si>
    <t>MP51-6380</t>
  </si>
  <si>
    <t>PP001231;PF004707</t>
  </si>
  <si>
    <t>1/8/2020</t>
  </si>
  <si>
    <t>MP51-6381</t>
  </si>
  <si>
    <t>12/20/2019</t>
  </si>
  <si>
    <t>MP51-6382</t>
  </si>
  <si>
    <t>5/3/2020</t>
  </si>
  <si>
    <t>MP51-8192</t>
  </si>
  <si>
    <t>PP001231;PF005947</t>
  </si>
  <si>
    <t>4/10/2023</t>
  </si>
  <si>
    <t>AMAZON,AMAZONDS,CSNSTORES,JCPENNEY01,KOHLDSN,MACY02,NRTPORT,OLLIIX,TGTDVS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</si>
  <si>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</si>
  <si>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</si>
  <si>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</si>
  <si>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</si>
  <si>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</si>
  <si>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</si>
  <si>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</si>
  <si>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MP51-2602</t>
  </si>
  <si>
    <t>Cambria</t>
  </si>
  <si>
    <t>Parkman</t>
  </si>
  <si>
    <t>Oversized Down Alternative Blanket with Satin Trim</t>
  </si>
  <si>
    <t>PF002156;PP000919</t>
  </si>
  <si>
    <t>AMAZON,AMAZONDS,BEALLSDS,BLK01,CSNSTORES,JCPENNEY01,KOHLDSN,MACY02,OLLIIX,OVERSTOCK01,TGTDVS,WALMARTDS</t>
  </si>
  <si>
    <t>10/21/2016</t>
  </si>
  <si>
    <t>MP51-7650</t>
  </si>
  <si>
    <t>PP000919;PF005512</t>
  </si>
  <si>
    <t>8/28/2021</t>
  </si>
  <si>
    <t>MP51-7651</t>
  </si>
  <si>
    <t>MP51-2599</t>
  </si>
  <si>
    <t>PF002155;PP000919</t>
  </si>
  <si>
    <t>1/9/2017</t>
  </si>
  <si>
    <t>MP51-7647</t>
  </si>
  <si>
    <t>Slate Blue</t>
  </si>
  <si>
    <t>PP000919;PF005511</t>
  </si>
  <si>
    <t>8/26/2021</t>
  </si>
  <si>
    <t>AAFESDS,AMAZON,AMAZONDS,BLK01,CSNSTORES,JCPENNEY01,KOHLDSN,MACY02,NRTPORT,OVERSTOCK01,TGTDVS</t>
  </si>
  <si>
    <t>MP51-7648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</si>
  <si>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</si>
  <si>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</si>
  <si>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</si>
  <si>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</si>
  <si>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</si>
  <si>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</si>
  <si>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AMAZON,AMAZONDS,BLK01,CSNSTORES,HOUZZ,HSNDS,JCPENNEY01,KOHLDSN,MACY02,OLLIIX,OVERSTOCK01,TGTDVS,ZOLA</t>
  </si>
  <si>
    <t>8/31/2015</t>
  </si>
  <si>
    <t>MP10-1247</t>
  </si>
  <si>
    <t>AMAZON,AMAZONDS,BLK01,CSNSTORES,JCPENNEY01,KOHLDSN,MACY02,OLLIIX,OVERSTOCK01,TGTDVS,WALMARTDS,ZOLA</t>
  </si>
  <si>
    <t>4/6/2015</t>
  </si>
  <si>
    <t>MP10-8361</t>
  </si>
  <si>
    <t>PP001919;PF006133</t>
  </si>
  <si>
    <t>MP10-8362</t>
  </si>
  <si>
    <t>MP10-8363</t>
  </si>
  <si>
    <t>MP10-8364</t>
  </si>
  <si>
    <t>PP001919;PF006134</t>
  </si>
  <si>
    <t>AMAZON,AMAZONDS,BLK01,JCPENNEY01,KOHLDSN,MACY02,OVERSTOCK01,TGTDVS</t>
  </si>
  <si>
    <t>MP10-8365</t>
  </si>
  <si>
    <t>MP10-8366</t>
  </si>
  <si>
    <t>MP10-8277</t>
  </si>
  <si>
    <t>Honeycomb Textured</t>
  </si>
  <si>
    <t>Oversized Down Alternative Comforter</t>
  </si>
  <si>
    <t>PP001896;PF006053</t>
  </si>
  <si>
    <t>BLK01,HDDS,JCPENNEY01,KOHLDSN,MACY02,OLLIIX,OVERSTOCK01,TGTDVS</t>
  </si>
  <si>
    <t>MP10-8278</t>
  </si>
  <si>
    <t>9/1/2023</t>
  </si>
  <si>
    <t>BLK01,HDDS,JCPENNEY01,KOHLDSN,MACY02,NRTPORT,OLLIIX,OVERSTOCK01,TGTDVS</t>
  </si>
  <si>
    <t>MP10-8279</t>
  </si>
  <si>
    <t>BLK01,HDDS,JCPENNEY01,KOHLDSN,MACY02,OLLIIX,OVERSTOCK01</t>
  </si>
  <si>
    <t>MP10-8444</t>
  </si>
  <si>
    <t>Stay Puffed</t>
  </si>
  <si>
    <t>Overfilled Down Alternative Comforter</t>
  </si>
  <si>
    <t>PP001902;PF006238</t>
  </si>
  <si>
    <t>AMAZON,AMAZONDS,CSNSTORES,KOHLDSN,MACY02,OLLIIX,OVERSTOCK01,TGTDVS</t>
  </si>
  <si>
    <t>MP10-8445</t>
  </si>
  <si>
    <t>MP10-8298</t>
  </si>
  <si>
    <t>PP001902;PF006069</t>
  </si>
  <si>
    <t>MP10-8299</t>
  </si>
  <si>
    <t>9/12/2023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</si>
  <si>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</si>
  <si>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</si>
  <si>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</si>
  <si>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</si>
  <si>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</si>
  <si>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</si>
  <si>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</si>
  <si>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</si>
  <si>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</si>
  <si>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AMAZON,CSNSTORES,KOHLDSN,MACY02,OLLIIX,OVERSTOCK01,TGTDVS</t>
  </si>
  <si>
    <t>MP21-8300</t>
  </si>
  <si>
    <t>BASI16-0417</t>
  </si>
  <si>
    <t>Sleep Philosophy</t>
  </si>
  <si>
    <t>Mattress Toppers</t>
  </si>
  <si>
    <t>3" Gel Memory Foam</t>
  </si>
  <si>
    <t>All Season Reversible Hypoallergenic Cooling Mattress Topper</t>
  </si>
  <si>
    <t>PF002106</t>
  </si>
  <si>
    <t>Foam</t>
  </si>
  <si>
    <t>AMAZON,BIGLOTSDS,BLK01,HSNDS,KOHLDSN,MACY02,OLLIIX,OVERSTOCK01,TGTDVS,WALMARTDS,ZOLA</t>
  </si>
  <si>
    <t>9/27/2016</t>
  </si>
  <si>
    <t>BASI16-0418</t>
  </si>
  <si>
    <t>AMAZON,AMAZONDS,BIGLOTSDS,BLK01,CSNSTORES,KOHLDSN,MACY02,OLLIIX,OVERSTOCK01,TGTDVS,WALMARTDS,ZOLA</t>
  </si>
  <si>
    <t>10/14/2016</t>
  </si>
  <si>
    <t>BASI16-0419</t>
  </si>
  <si>
    <t>AMAZON,BIGLOTSDS,BLK01,CSNSTORES,HSNDS,KOHLDSN,MACY02,OLLIIX,OVERSTOCK01,TGTDVS,WALMARTDS,ZOLA</t>
  </si>
  <si>
    <t>BASI16-0420</t>
  </si>
  <si>
    <t>BIGLOTSDS,BLK01,CSNSTORES,HSNDS,KOHLDSN,MACY02,OLLIIX,OVERSTOCK01,TGTDVS,WALMARTDS,ZOLA</t>
  </si>
  <si>
    <t>BASI16-0421</t>
  </si>
  <si>
    <t>AMAZON,BLK01,CSNSTORES,HSNDS,KOHLDSN,MACY02,OLLIIX,OVERSTOCK01,TGTDVS,WALMARTDS</t>
  </si>
  <si>
    <t>BASI16-0381</t>
  </si>
  <si>
    <t>1.5" Gel Memory Foam</t>
  </si>
  <si>
    <t>All Season Reversible Hypoallergenic 1.5" Cooling Mattress Topper</t>
  </si>
  <si>
    <t>PF002105</t>
  </si>
  <si>
    <t>AAFESDS,AMAZON,AMAZONDS,BLK01,CSNSTORES,JCPENNEY01,KOHLDSN,MACY02,OLLIIX,TGTDVS,WALMARTDS</t>
  </si>
  <si>
    <t>4/25/2017</t>
  </si>
  <si>
    <t>BASI16-0416</t>
  </si>
  <si>
    <t>AAFESDS,AMAZON,AMAZONDS,BLK01,JCPENNEY01,KOHLDSN,MACY02,OLLIIX,OVERSTOCK01,TGTDVS,WALMARTDS</t>
  </si>
  <si>
    <t>4/28/2017</t>
  </si>
  <si>
    <t>BASI16-0382</t>
  </si>
  <si>
    <t>AAFESDS,AMAZON,BLK01,JCPENNEY01,KOHLDSN,MACY02,OLLIIX,OVERSTOCK01,TGTDVS,WALMARTDS,ZOLA</t>
  </si>
  <si>
    <t>BASI16-0383</t>
  </si>
  <si>
    <t>AAFESDS,AMAZON,AMAZONDS,BLK01,CSNSTORES,HSNDS,JCPENNEY01,KOHLDSN,MACY02,NRTPORT,OLLIIX,TGTDVS,WALMARTDS,ZOLA</t>
  </si>
  <si>
    <t>11/7/2016</t>
  </si>
  <si>
    <t>BASI16-0384</t>
  </si>
  <si>
    <t>BASI16-0476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</si>
  <si>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</si>
  <si>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</si>
  <si>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</si>
  <si>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</si>
  <si>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AAFESDS,AMAZON,AMAZONDS,BLK01,CSNSTORES,DESINC,HDDS,JCPENNEY01,KOHLDSN,MACY02,OLLIIX,OVERSTOCK01,TGTDVS,WALMARTDS</t>
  </si>
  <si>
    <t>12/27/2016</t>
  </si>
  <si>
    <t>BASI16-0477</t>
  </si>
  <si>
    <t>AAFESDS,AMAZON,AMAZONDS,BLK01,CSNSTORES,HDDS,JCPENNEY01,KOHLDSN,MACY02,OLLIIX,OVERSTOCK01,TGTDVS,WALMARTDS</t>
  </si>
  <si>
    <t>BASI16-0478</t>
  </si>
  <si>
    <t>AAFESDS,AMAZON,BEALLSDS,BLK01,CSNSTORES,HDDS,HOUZZ,JCPENNEY01,KOHLDSN,MACY02,OLLIIX,TGTDVS,WALMARTDS,ZOLA</t>
  </si>
  <si>
    <t>1/17/2017</t>
  </si>
  <si>
    <t>BASI16-0479</t>
  </si>
  <si>
    <t>AAFESDS,BEALLSDS,BLK01,HDDS,JCPENNEY01,KOHLDSN,MACY02,OLLIIX,OVERSTOCK01,TGTDVS,ZOLA</t>
  </si>
  <si>
    <t>BASI16-0386</t>
  </si>
  <si>
    <t>2" Gel Memory Foam with 3M Cover</t>
  </si>
  <si>
    <t>Mattress Topper</t>
  </si>
  <si>
    <t>PF002107</t>
  </si>
  <si>
    <t>AAFESDS,KOHLDSN,OLLIIX,TGTDVS</t>
  </si>
  <si>
    <t>5/8/2017</t>
  </si>
  <si>
    <t>BASI16-0555</t>
  </si>
  <si>
    <t>2" Memory Foam Mattress Topper</t>
  </si>
  <si>
    <t>9/25/2018</t>
  </si>
  <si>
    <t>AAFESDS,CSNSTORES,JCPENNEY01,KOHLDSN,MACY02,OLLIIX,OVERSTOCK01</t>
  </si>
  <si>
    <t>3/4/2021</t>
  </si>
  <si>
    <t>BASI16-0387</t>
  </si>
  <si>
    <t>AAFESDS,CSNSTORES,JCPENNEY01,KOHLDSN,MACY02,OLLIIX,OVERSTOCK01,ZOLA</t>
  </si>
  <si>
    <t>8/23/2017</t>
  </si>
  <si>
    <t>BASI16-0388</t>
  </si>
  <si>
    <t>BLK01,CSNSTORES,JCPENNEY01,KOHLDSN,MACY02,OLLIIX,OVERSTOCK01,TGTDVS,ZOLA</t>
  </si>
  <si>
    <t>4/3/2017</t>
  </si>
  <si>
    <t>BASI16-0389</t>
  </si>
  <si>
    <t>AAFESDS,JCPENNEY01,KOHLDSN,MACY02,OLLIIX,OVERSTOCK01,TGTDVS,ZOLA</t>
  </si>
  <si>
    <t>12/23/2019</t>
  </si>
  <si>
    <t>BASI16-0391</t>
  </si>
  <si>
    <t>3" Gel Memory Foam with 3M Cover</t>
  </si>
  <si>
    <t>PF002108</t>
  </si>
  <si>
    <t>AAFESDS,AMAZON,JCPENNEY01,KOHLDSN,MACY02,OLLIIX,OVERSTOCK01,TGTDVS,ZOLA</t>
  </si>
  <si>
    <t>11/24/2016</t>
  </si>
  <si>
    <t>BASI16-0468</t>
  </si>
  <si>
    <t>AAFESDS,AMAZON,AMAZONDS,BLK01,CSNSTORES,DESINC,JCPENNEY01,KOHLDSN,MACY02,OLLIIX,OVERSTOCK01,TGTDVS</t>
  </si>
  <si>
    <t>7/9/2017</t>
  </si>
  <si>
    <t>8/2/2020</t>
  </si>
  <si>
    <t>BASI16-0392</t>
  </si>
  <si>
    <t>BASI16-0393</t>
  </si>
  <si>
    <t>AAFESDS,AMAZON,CSNSTORES,DESINC,JCPENNEY01,KOHLDSN,MACY02,OLLIIX,OVERSTOCK01,TGTDVS,ZOLA</t>
  </si>
  <si>
    <t>10/12/2016</t>
  </si>
  <si>
    <t>BASI16-0394</t>
  </si>
  <si>
    <t>AAFESDS,JCPENNEY01,MACY02,OLLIIX,OVERSTOCK01,TGTDVS,ZOLA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</si>
  <si>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</si>
  <si>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</si>
  <si>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</si>
  <si>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</si>
  <si>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</si>
  <si>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</si>
  <si>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BLK01,CSNSTORES,DESINC,HOUZZ,JCPENNEY01,KOHLDSN,MACY02,OLLIIX,OVERSTOCK01,TGTDVS,ZOLA</t>
  </si>
  <si>
    <t>12/3/2016</t>
  </si>
  <si>
    <t>BASI16-0452</t>
  </si>
  <si>
    <t>4/5/2017</t>
  </si>
  <si>
    <t>AMAZON,BLK01,CSNSTORES,DESINC,JCPENNEY01,KOHLDSN,MACY02,OLLIIX,OVERSCONSIGN,OVERSTOCK01,TGTDVS,ZOLA</t>
  </si>
  <si>
    <t>BASI16-0453</t>
  </si>
  <si>
    <t>AMAZON,AMAZONDS,BLK01,CSNSTORES,HOUZZ,JCPENNEY01,KOHLDSN,MACY02,OLLIIX,OVERSTOCK01,TGTDVS,ZOLA</t>
  </si>
  <si>
    <t>BASI16-0454</t>
  </si>
  <si>
    <t>AMAZON,BLK01,DESINC,JCPENNEY01,KOHLDSN,MACY02,OLLIIX,OVERSTOCK01,TGTDVS,ZOLA</t>
  </si>
  <si>
    <t>12/12/2016</t>
  </si>
  <si>
    <t>BASI16-0175</t>
  </si>
  <si>
    <t>Serenity</t>
  </si>
  <si>
    <t>Deep Pocket Waterproof Mattress Pad</t>
  </si>
  <si>
    <t>PF002392</t>
  </si>
  <si>
    <t>AAFESDS,BIGLOTSDS,BLK01,CSNSTORES,HDDS,JCPENNEY01,KOHLDSN,MACY02,OLLIIX,OVERSTOCK01,TGTDVS,WALMARTDS,ZOLA</t>
  </si>
  <si>
    <t>BASI16-0176</t>
  </si>
  <si>
    <t>AAFESDS,BIGLOTSDS,BLK01,CSNSTORES,DESINC,HDDS,JCPENNEY01,KOHLDSN,MACY02,OLLIIX,OVERSCONSIGN,OVERSTOCK01,TGTDVS,WALMARTDS</t>
  </si>
  <si>
    <t>4/9/2015</t>
  </si>
  <si>
    <t>BASI16-0177</t>
  </si>
  <si>
    <t>AAFESDS,BIGLOTSDS,BLK01,CSNSTORES,HDDS,JCPENNEY01,KOHLDSN,MACY02,OLLIIX,OVERSCONSIGN,OVERSTOCK01,TGTDVS,WALMARTDS,ZOLA</t>
  </si>
  <si>
    <t>BASI16-0178</t>
  </si>
  <si>
    <t>12/31/2024</t>
  </si>
  <si>
    <t>AAFESDS,BIGLOTSDS,BLK01,CSNSTORES,DESINC,HDDS,JCPENNEY01,KOHLDSN,MACY02,NRTPORT,OLLIIX,OVERSCONSIGN,OVERSTOCK01,TGTDVS,WALMARTDS,ZOLA</t>
  </si>
  <si>
    <t>4/10/2015</t>
  </si>
  <si>
    <t>BASI16-0179</t>
  </si>
  <si>
    <t>BASI16-0180</t>
  </si>
  <si>
    <t>AAFESDS,BIGLOTSDS,BLK01,CSNSTORES,DESINC,HDDS,JCPENNEY01,KOHLDSN,MACY02,OLLIIX,OVERSTOCK01,TGTDVS,WALMARTDS,ZOLA</t>
  </si>
  <si>
    <t>BASI16-0289</t>
  </si>
  <si>
    <t>Holden</t>
  </si>
  <si>
    <t>Amity</t>
  </si>
  <si>
    <t>Waterproof Sofa Bed Mattress Pad</t>
  </si>
  <si>
    <t>Queen 60x72"</t>
  </si>
  <si>
    <t>AMAZON,AMAZONDS,BIGLOTSDS,CSNSTORES,DESINC,HDDS,JCPENNEY01,KOHLDSN,MACY02,NRTPORT,OLLIIX,OVERSTOCK01,TGTDVS,WALMARTDS</t>
  </si>
  <si>
    <t>1/8/2016</t>
  </si>
  <si>
    <t>BASI16-0594</t>
  </si>
  <si>
    <t>All Natural</t>
  </si>
  <si>
    <t>Cotton Percale Quilted Mattress Pad</t>
  </si>
  <si>
    <t>PF002096;PP001901</t>
  </si>
  <si>
    <t>BASI16-0327</t>
  </si>
  <si>
    <t>PF002096</t>
  </si>
  <si>
    <t>AMAZON,AMAZONDS,BIGLOTSDS,BLK01,CSNSTORES,DESINC,HDDS,JCPENNEY01,KOHLDSN,MACY02,OLLIIX,OVERSTOCK01,TGTDVS,WALMARTDS</t>
  </si>
  <si>
    <t>4/11/2016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</si>
  <si>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</si>
  <si>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</si>
  <si>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</si>
  <si>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</si>
  <si>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</si>
  <si>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BIGLOTSDS,BLK01,CSNSTORES,JCPENNEY01,KOHLDSN,MACY02,NRTPORT,OLLIIX,TGTDVS,WALMARTDS,ZOLA</t>
  </si>
  <si>
    <t>BASI16-0237</t>
  </si>
  <si>
    <t>BIGLOTSDS,CSNSTORES,JCPENNEY01,KOHLDSN,MACY02,NRTPORT,OLLIIX,OVERSTOCK01,TGTDVS,WALMARTDS,ZOLA</t>
  </si>
  <si>
    <t>6/15/2015</t>
  </si>
  <si>
    <t>BASI16-0239</t>
  </si>
  <si>
    <t>BIGLOTSDS,BLK01,CSNSTORES,FINGERHUTDS,JCPENNEY01,KOHLDSN,MACY02,NRTPORT,OLLIIX,OVERSCONSIGN,OVERSTOCK01,TGTDVS,ZOLA</t>
  </si>
  <si>
    <t>BASI16-0240</t>
  </si>
  <si>
    <t>BIGLOTSDS,BLK01,CSNSTORES,FINGERHUTDS,JCPENNEY01,KOHLDSN,MACY02,NRTPORT,OLLIIX,OVERSTOCK01,TGTDVS,WALMARTDS,ZOLA</t>
  </si>
  <si>
    <t>10/3/2016</t>
  </si>
  <si>
    <t>BASI10-0293</t>
  </si>
  <si>
    <t>Warmer</t>
  </si>
  <si>
    <t>Cotton Down Alternative Featherless Comforter</t>
  </si>
  <si>
    <t>PF002093</t>
  </si>
  <si>
    <t>CSNSTORES,JCPENNEY01,KOHLDSN,MACY02,OLLIIX,OVERSTOCK01,TGTDVS,WALMARTDS</t>
  </si>
  <si>
    <t>6/27/2016</t>
  </si>
  <si>
    <t>BASI10-0294</t>
  </si>
  <si>
    <t>BLK01,DESINC,JCPENNEY01,KOHLDSN,MACY02,OLLIIX,OVERSTOCK01,TGTDVS</t>
  </si>
  <si>
    <t>1/7/2016</t>
  </si>
  <si>
    <t>BASI10-0295</t>
  </si>
  <si>
    <t>BLK01,JCPENNEY01,KOHLDSN,MACY02,OLLIIX,OVERSTOCK01,TGTDVS,WALMARTDS,ZOLA</t>
  </si>
  <si>
    <t>1/21/2016</t>
  </si>
  <si>
    <t>BASI10-0290</t>
  </si>
  <si>
    <t>Year Round Warmth</t>
  </si>
  <si>
    <t>11/15/2016</t>
  </si>
  <si>
    <t>BASI10-0291</t>
  </si>
  <si>
    <t>AMAZONDS,BLK01,CSNSTORES,JCPENNEY01,KOHLDSN,MACY02,OLLIIX,OVERSTOCK01</t>
  </si>
  <si>
    <t>12/30/2015</t>
  </si>
  <si>
    <t>BASI10-0292</t>
  </si>
  <si>
    <t>2/16/2016</t>
  </si>
  <si>
    <t>BASI10-0256</t>
  </si>
  <si>
    <t>Benton</t>
  </si>
  <si>
    <t>Canton</t>
  </si>
  <si>
    <t>All Season 2 in 1 Down Alternative Comforter</t>
  </si>
  <si>
    <t>PF002081</t>
  </si>
  <si>
    <t>BLK01,JCPENNEY01,KOHLDSN,MACY02,OLLIIX,OVERSTOCK01,TGTDVS,WALMARTDS</t>
  </si>
  <si>
    <t>10/5/2015</t>
  </si>
  <si>
    <t>BASI10-0257</t>
  </si>
  <si>
    <t>AMERSIGNDS,BLK01,CSNSTORES,JCPENNEY01,KOHLDSN,MACY02,OLLIIX,OVERSTOCK01,TGTDVS</t>
  </si>
  <si>
    <t>6/17/2015</t>
  </si>
  <si>
    <t>BASI10-0258</t>
  </si>
  <si>
    <t>AMERSIGNDS,BLK01,JCPENNEY01,KIRKLANDDS,KOHLDSN,MACY02,OLLIIX,OVERSTOCK01</t>
  </si>
  <si>
    <t>6/26/2015</t>
  </si>
  <si>
    <t>BASI10-0297</t>
  </si>
  <si>
    <t>Maximum Warmth</t>
  </si>
  <si>
    <t>4/19/2016</t>
  </si>
  <si>
    <t>BASI10-0298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</si>
  <si>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</si>
  <si>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</si>
  <si>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</si>
  <si>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</si>
  <si>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</si>
  <si>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</si>
  <si>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AMAZONDS,BLK01,CSNSTORES,JCPENNEY01,KOHLDSN,MACY02,NRTPORT,TGTDVS</t>
  </si>
  <si>
    <t>BASI10-0582</t>
  </si>
  <si>
    <t>BASI10-0583</t>
  </si>
  <si>
    <t>AMAZONDS,BLK01,CSNSTORES,DESINC,JCPENNEY01,KOHLDSN,MACY02,OLLIIX,OVERSTOCK01,TGTDVS,ZOLA</t>
  </si>
  <si>
    <t>BASI10-0314</t>
  </si>
  <si>
    <t>Protector</t>
  </si>
  <si>
    <t>Bed Guardian</t>
  </si>
  <si>
    <t>3M Scotchgard Comforter Protector</t>
  </si>
  <si>
    <t>PF002095</t>
  </si>
  <si>
    <t>AMAZON,AMAZONDS,CSNSTORES,KOHLDSN,MACY02,NRTPORT,OLLIIX,OVERSTOCK01,TGTDVS,WALMARTDS</t>
  </si>
  <si>
    <t>12/23/2015</t>
  </si>
  <si>
    <t>BASI51-0323</t>
  </si>
  <si>
    <t>Wonder Wool</t>
  </si>
  <si>
    <t>Down Alternative</t>
  </si>
  <si>
    <t>PF002094</t>
  </si>
  <si>
    <t>Wool</t>
  </si>
  <si>
    <t>AMAZON,AMAZONDS,CSNSTORES,HDDS,JCPENNEY01,KOHLDSN,MACY02,OLLIIX,OVERSTOCK01,TGTDVS,WALMARTDS</t>
  </si>
  <si>
    <t>10/20/2016</t>
  </si>
  <si>
    <t>BASI51-0324</t>
  </si>
  <si>
    <t>AMAZON,AMAZONDS,CSNSTORES,HDDS,JCPENNEY01,KOHLDSN,MACY02,NRTPORT,OLLIIX,OVERSTOCK01,WALMARTDS</t>
  </si>
  <si>
    <t>BASI30-0531</t>
  </si>
  <si>
    <t>Memory Foam</t>
  </si>
  <si>
    <t>Knee Pillow</t>
  </si>
  <si>
    <t>AMAZON,AMAZONDS,BEALLSDS,BLK01,CSNSTORES,JCPENNEY01,KOHLDSN,MACY02,NRTPORT,OLLIIX,OVERSTOCK01,TGTDVS,WALMARTDS,ZOLA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</si>
  <si>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</si>
  <si>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</si>
  <si>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</si>
  <si>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</si>
  <si>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</si>
  <si>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</si>
  <si>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BLK01,CSNSTORES,DESINC,JCPENNEY01,KOHLDSN,MACY02,NRTPORT,OLLIIX,OVERSTOCK01,ZOLA</t>
  </si>
  <si>
    <t>4/30/2020</t>
  </si>
  <si>
    <t>BASI30-0525</t>
  </si>
  <si>
    <t>BLK01,CSNSTORES,DESINC,HDDS,JCPENNEY01,KOHLDSN,MACY02,OLLIIX,OVERSTOCK01,ZOLA</t>
  </si>
  <si>
    <t>BASI30-0526</t>
  </si>
  <si>
    <t>Body Pillow</t>
  </si>
  <si>
    <t>BLK01,CSNSTORES,DESINC,HOUZZ,JCPENNEY01,KOHLDSN,MACY02,NRTPORT,OLLIIX,OVERSTOCK01,TGTDVS</t>
  </si>
  <si>
    <t>TN10-0348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</si>
  <si>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</si>
  <si>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</si>
  <si>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</si>
  <si>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</si>
  <si>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</si>
  <si>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7/13/2018</t>
  </si>
  <si>
    <t>BLK01,KOHLDSN,MACY02,OLLIIX,OVERSTOCK01,TGTDVS,WALMARTDS</t>
  </si>
  <si>
    <t>5/9/2022</t>
  </si>
  <si>
    <t>TN10-0539</t>
  </si>
  <si>
    <t>Heavy Warmth</t>
  </si>
  <si>
    <t>Goose Feather and Down Oversize Comforter</t>
  </si>
  <si>
    <t>PP001803;PF006107</t>
  </si>
  <si>
    <t>CSNSTORES,JCPENNEY01,KOHLDSN,MACY02,OLLIIX,TGTDVS</t>
  </si>
  <si>
    <t>TN10-0540</t>
  </si>
  <si>
    <t>TN10-0541</t>
  </si>
  <si>
    <t>TN10-0536</t>
  </si>
  <si>
    <t>PP001803;PF006106</t>
  </si>
  <si>
    <t>TN10-0537</t>
  </si>
  <si>
    <t>AMAZON,AMAZONDS,BLK01,CSNSTORES,JCPENNEY01,KOHLDSN,MACY02,TGTDVS</t>
  </si>
  <si>
    <t>TN10-0538</t>
  </si>
  <si>
    <t>TN10-0488</t>
  </si>
  <si>
    <t>PP001803;PF005794</t>
  </si>
  <si>
    <t>11/15/2022</t>
  </si>
  <si>
    <t>TN10-0489</t>
  </si>
  <si>
    <t>TN10-0490</t>
  </si>
  <si>
    <t>TN50-0482</t>
  </si>
  <si>
    <t>Hadly</t>
  </si>
  <si>
    <t>Wearable Multipurpose Throw</t>
  </si>
  <si>
    <t>62x68"</t>
  </si>
  <si>
    <t>PP001804;PF005795</t>
  </si>
  <si>
    <t>AMAZONDS,BLK01,KOHLDSN,MACY02,OLLIIX,OVERSTOCK01,TGTDVS</t>
  </si>
  <si>
    <t>TN50-0483</t>
  </si>
  <si>
    <t>PP001804;PF005796</t>
  </si>
  <si>
    <t>AMAZON,AMAZONDS,BLK01,CSNSTORES,KOHLDSN,MACY02,OLLIIX,TGTDVS</t>
  </si>
  <si>
    <t>TN50-0484</t>
  </si>
  <si>
    <t>PP001804;PF005797</t>
  </si>
  <si>
    <t>AMAZONDS,BLK01,KOHLDSN,MACY02,OLLIIX</t>
  </si>
  <si>
    <t>ID10-2313</t>
  </si>
  <si>
    <t>Dream Puff</t>
  </si>
  <si>
    <t>Down Alternative Comforter Set</t>
  </si>
  <si>
    <t>PP001937;PF006180</t>
  </si>
  <si>
    <t>AMAZON,KOHLDSN,OLLIIX,OVERSTOCK01,TGTDVS</t>
  </si>
  <si>
    <t>ID10-2314</t>
  </si>
  <si>
    <t>AMAZON,AMAZONDS,BLK01,DESINC,HDDS,KOHLDSN,MACY02,OLLIIX,TGTDVS</t>
  </si>
  <si>
    <t>ID10-2315</t>
  </si>
  <si>
    <t>ID10-2310</t>
  </si>
  <si>
    <t>PP001937;PF006179</t>
  </si>
  <si>
    <t>AMAZON,AMAZONDS,BLK01,KOHLDSN,MACY02,OLLIIX,OVERSTOCK01,TGTDVS</t>
  </si>
  <si>
    <t>ID10-2311</t>
  </si>
  <si>
    <t>AMAZON,BLK01,KOHLDSN,OLLIIX,TGTDVS</t>
  </si>
  <si>
    <t>ID10-2312</t>
  </si>
  <si>
    <t>AMAZON,BLK01,HDDS,KOHLDSN,MACY02,TGTDVS</t>
  </si>
  <si>
    <t>ID10-2307</t>
  </si>
  <si>
    <t>Rose</t>
  </si>
  <si>
    <t>PP001937;PF006178</t>
  </si>
  <si>
    <t>AMAZON,KOHLDSN,TGTDVS</t>
  </si>
  <si>
    <t>ID10-2308</t>
  </si>
  <si>
    <t>AMAZON,AMAZONDS,HDDS,KOHLDSN,OVERSTOCK01,TGTDVS</t>
  </si>
  <si>
    <t>ID10-2309</t>
  </si>
  <si>
    <t>ID10-2304</t>
  </si>
  <si>
    <t>PP001937;PF006177</t>
  </si>
  <si>
    <t>AMAZON,BLK01,HDDS,KOHLDSN,MACY02,OVERSTOCK01,TGTDVS</t>
  </si>
  <si>
    <t>ID10-2305</t>
  </si>
  <si>
    <t>ID10-2306</t>
  </si>
  <si>
    <t>AMAZON,HDDS,KOHLDSN,MACY02,OLLIIX,TGTDVS</t>
  </si>
  <si>
    <t>ID16-2316</t>
  </si>
  <si>
    <t>Overfilled Down Alternative Mattress Pad</t>
  </si>
  <si>
    <t>PP001938;PF006181</t>
  </si>
  <si>
    <t>3/27/2024</t>
  </si>
  <si>
    <t>AMAZON,AMAZONDS,BLK01,HDDS,JCPENNEY01,KOHLDSN,MACY02,NRTPORT,OLLIIX,OVERSTOCK01,TGTDVS</t>
  </si>
  <si>
    <t>ID16-2317</t>
  </si>
  <si>
    <t>AMAZON,BLK01,CSNSTORES,JCPENNEY01,KOHLDSN,NRTPORT,OLLIIX,TGTDVS</t>
  </si>
  <si>
    <t>ID16-2318</t>
  </si>
  <si>
    <t>AMAZON,AMAZONDS,BLK01,HDDS,JCPENNEY01,KOHLDSN,MACY02,NRTPORT,OLLIIX,TGTDVS</t>
  </si>
  <si>
    <t>ID16-2319</t>
  </si>
  <si>
    <t>AMAZON,AMAZONDS,BLK01,JCPENNEY01,KOHLDSN,MACY02,NRTPORT,OLLIIX,OVERSTOCK01,TGTDVS</t>
  </si>
  <si>
    <t>MPE10-1049</t>
  </si>
  <si>
    <t>Satin Luxury</t>
  </si>
  <si>
    <t>PP001952;PF006218</t>
  </si>
  <si>
    <t>Satin</t>
  </si>
  <si>
    <t>5/16/2024</t>
  </si>
  <si>
    <t>AMAZON,AMAZONDS,JCPENNEY01,KOHLDSN,MACY02,OVERSTOCK01,TGTDVS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</si>
  <si>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</si>
  <si>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</si>
  <si>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</si>
  <si>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</si>
  <si>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</si>
  <si>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</si>
  <si>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</si>
  <si>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</si>
  <si>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</si>
  <si>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</si>
  <si>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</si>
  <si>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</si>
  <si>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AMAZON,BLK01,CSNSTORES,DESINC,KOHLDSN,MACY02,NRTPORT,OLLIIX,OVERSTOCK01</t>
  </si>
  <si>
    <t>MPS10-507</t>
  </si>
  <si>
    <t>AMAZON,CSNSTORES,JCPENNEY01,KOHLDSN,MACY02,NRTPORT,OLLIIX,OVERSTOCK01</t>
  </si>
  <si>
    <t>MPS10-504</t>
  </si>
  <si>
    <t>PP001867;PF005967</t>
  </si>
  <si>
    <t>AMAZON,CSNSTORES,KOHLDSN,NRTPORT,OLLIIX,OVERSTOCK01</t>
  </si>
  <si>
    <t>MPS10-505</t>
  </si>
  <si>
    <t>AMAZON,CSNSTORES,JCPENNEY01,KOHLDSN,NRTPORT,OLLIIX,OVERSTOCK01</t>
  </si>
  <si>
    <t>MPS10-502</t>
  </si>
  <si>
    <t>White/White</t>
  </si>
  <si>
    <t>PP001867;PF005966</t>
  </si>
  <si>
    <t>MPS10-503</t>
  </si>
  <si>
    <t>AMAZON,BLK01,CSNSTORES,JCPENNEY01,KOHLDSN,MACY02,NRTPORT,OLLIIX,OVERSTOCK01</t>
  </si>
  <si>
    <t>MPS10-100</t>
  </si>
  <si>
    <t>1000 Thread Count Cotton Blend</t>
  </si>
  <si>
    <t>Diamond Quilting Down Alternative Comforter</t>
  </si>
  <si>
    <t>PF002112</t>
  </si>
  <si>
    <t>CVC</t>
  </si>
  <si>
    <t>BLK01,CSNSTORES,DESINC,JCPENNEY01,KOHLDSN,MACY02,OLLIIX,OVERSCONSIGN,OVERSTOCK01,TGTDVS,ZOLA</t>
  </si>
  <si>
    <t>MPS10-101</t>
  </si>
  <si>
    <t>BLK01,CSNSTORES,DESINC,FINGERHUTDS,JCPENNEY01,KOHLDSN,MACY02,NRTPORT,OLLIIX,OVERSTOCK01,TGTDVS,ZOLA</t>
  </si>
  <si>
    <t>MPS12-512</t>
  </si>
  <si>
    <t>100% Cotton Sateen Embroidered Duvet Cover Set</t>
  </si>
  <si>
    <t>PP001868;PF005971</t>
  </si>
  <si>
    <t>CSNSTORES,DESINC,JCPENNEY01,KOHLDSN,MACY02,NRTPORT,OLLIIX,OVERSTOCK01</t>
  </si>
  <si>
    <t>MPS12-513</t>
  </si>
  <si>
    <t>MPS12-510</t>
  </si>
  <si>
    <t>PP001868;PF005970</t>
  </si>
  <si>
    <t>CSNSTORES,JCPENNEY01,KOHLDSN,MACY02,NRTPORT,OLLIIX,OVERSTOCK01</t>
  </si>
  <si>
    <t>MPS12-511</t>
  </si>
  <si>
    <t>CSNSTORES,JCPENNEY01,KOHLDSN,MACY02,OLLIIX,OVERSCONSIGN,OVERSTOCK01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</si>
  <si>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</si>
  <si>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</si>
  <si>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</si>
  <si>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</si>
  <si>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</si>
  <si>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</si>
  <si>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</si>
  <si>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</si>
  <si>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</si>
  <si>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</si>
  <si>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</si>
  <si>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</si>
  <si>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</si>
  <si>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</si>
  <si>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</si>
  <si>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AMAZON,AMAZONDS,CSNSTORES,HDDS,KOHLDSN,MACY02,TGTDVS</t>
  </si>
  <si>
    <t>SI51-0012</t>
  </si>
  <si>
    <t>AMAZON,AMAZONDS,BLK01,HDDS,JCPENNEY01,KOHLDSN,MACY02,OVERSTOCK01,TGTDVS</t>
  </si>
  <si>
    <t>SI51-0013</t>
  </si>
  <si>
    <t>SI10-0018</t>
  </si>
  <si>
    <t>PP001962;PF006247</t>
  </si>
  <si>
    <t>7/3/2024</t>
  </si>
  <si>
    <t>AMAZON,AMAZONDS,CSNSTORES,HDDS,KOHLDSN,MACY02,OLLIIX,OVERSTOCK01,TGTDVS</t>
  </si>
  <si>
    <t>SI10-0019</t>
  </si>
  <si>
    <t>SI10-0020</t>
  </si>
  <si>
    <t>AMAZON,AMAZONDS,BLK01,HDDS,JCPENNEY01,KOHLDSN,MACY02,OLLIIX,OVERSTOCK01,TGTDVS</t>
  </si>
  <si>
    <t>SI16-0014</t>
  </si>
  <si>
    <t>Overfilled Deep Pocket Mattress Pad</t>
  </si>
  <si>
    <t>PP001963;PF006248</t>
  </si>
  <si>
    <t>7/2/2024</t>
  </si>
  <si>
    <t>AMAZON,AMAZONDS,BLK01,CSNSTORES,HDDS,KOHLDSN,OLLIIX</t>
  </si>
  <si>
    <t>SI16-0015</t>
  </si>
  <si>
    <t>AMAZON,AMAZONDS,BLK01,CSNSTORES,HDDS,JCPENNEY01,KOHLDSN,MACY02,OLLIIX</t>
  </si>
  <si>
    <t>SI16-0016</t>
  </si>
  <si>
    <t>SI16-0017</t>
  </si>
  <si>
    <t>AMAZON,AMAZONDS,BLK01,CSNSTORES,HDDS,KOHLDSN,MACY02,OLLIIX,OVERSTOCK01,TGTDVS</t>
  </si>
  <si>
    <t>SI50-0024</t>
  </si>
  <si>
    <t>Down Alternative Throw</t>
  </si>
  <si>
    <t>50x60"</t>
  </si>
  <si>
    <t>PP001964;PF006252</t>
  </si>
  <si>
    <t>AMAZON,AMAZONDS,BLK01,HDDS,KOHLDSN,MACY02,OLLIIX,OVERSTOCK01,TGTDVS</t>
  </si>
  <si>
    <t>SI50-0021</t>
  </si>
  <si>
    <t>PP001964;PF006249</t>
  </si>
  <si>
    <t>AMAZON,AMAZONDS,HDDS,KOHLDSN,MACY02,TGTDVS</t>
  </si>
  <si>
    <t>SI50-0023</t>
  </si>
  <si>
    <t>PP001964;PF006251</t>
  </si>
  <si>
    <t>AMAZON,AMAZONDS,BLK01,CSNSTORES,HDDS,KOHLDSN,MACY02,OLLIIX,TGTDVS</t>
  </si>
  <si>
    <t>SI50-0022</t>
  </si>
  <si>
    <t>PP001964;PF006250</t>
  </si>
  <si>
    <t>UH10-2506</t>
  </si>
  <si>
    <t>Urban Habitat</t>
  </si>
  <si>
    <t>Comfort Cool Jersey Knit</t>
  </si>
  <si>
    <t>PP001912;PF006110</t>
  </si>
  <si>
    <t>Jersey</t>
  </si>
  <si>
    <t>12/6/2023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</si>
  <si>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</si>
  <si>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</si>
  <si>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</si>
  <si>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</si>
  <si>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</si>
  <si>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</si>
  <si>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</si>
  <si>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</si>
  <si>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</si>
  <si>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</si>
  <si>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</si>
  <si>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MP70-2978</t>
  </si>
  <si>
    <t>BATH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</si>
  <si>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</si>
  <si>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</si>
  <si>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</si>
  <si>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</si>
  <si>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</si>
  <si>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</si>
  <si>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</si>
  <si>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PF002417;PP000373</t>
  </si>
  <si>
    <t>AAFESDS,AMAZON,AMAZONDS,BEALLSDS,CSNSTORES,DESINC,FINGERHUTDS,HDDS,JCPENNEY01,KIRKLANDDS,KOHLDSN,MACY02,NRTPORT,OLLIIX,OVERSCONSIGN,OVERSTOCK01,TGTDVS,WALMARTDS</t>
  </si>
  <si>
    <t>11/20/2016</t>
  </si>
  <si>
    <t>MP70-221</t>
  </si>
  <si>
    <t>PF001362;PP000524</t>
  </si>
  <si>
    <t>AMAZON,AMAZONDS,CSNSTORES,DESINC,HDDS,JCPENNEY01,KOHLDSN,MACY02,OLLIIX,TGTDVS</t>
  </si>
  <si>
    <t>5/19/2016</t>
  </si>
  <si>
    <t>MP70-4172</t>
  </si>
  <si>
    <t>Holly</t>
  </si>
  <si>
    <t>Sakura</t>
  </si>
  <si>
    <t>Cotton Shower Curtain</t>
  </si>
  <si>
    <t>PF002647;PP001841</t>
  </si>
  <si>
    <t>1/6/2025</t>
  </si>
  <si>
    <t>6/20/2017</t>
  </si>
  <si>
    <t>MP70-4982</t>
  </si>
  <si>
    <t>Spa Waffle</t>
  </si>
  <si>
    <t>Shower Curtain with 3M Treatment</t>
  </si>
  <si>
    <t>108x72"</t>
  </si>
  <si>
    <t>9/20/2017</t>
  </si>
  <si>
    <t>11/19/2024</t>
  </si>
  <si>
    <t>AMAZON,AMAZONDS,CSNSTORES,HDDS,JCPENNEY01,KOHLDSN,NRTPORT,OLLIIX,OVERSTOCK01,TGTDVS,WALMARTDS</t>
  </si>
  <si>
    <t>MP70-4981</t>
  </si>
  <si>
    <t>54x78"</t>
  </si>
  <si>
    <t>AAFESDS,AMAZON,AMAZONDS,CSNSTORES,HDDS,JCPENNEY01,KOHLDSN,OLLIIX,OVERSTOCK01,TGTDVS,WALMARTDS,ZOLA</t>
  </si>
  <si>
    <t>9/26/2017</t>
  </si>
  <si>
    <t>MP70-8547</t>
  </si>
  <si>
    <t>36x72''</t>
  </si>
  <si>
    <t>MP70-8548</t>
  </si>
  <si>
    <t>72x78"</t>
  </si>
  <si>
    <t>MP70-4987</t>
  </si>
  <si>
    <t>72x84"</t>
  </si>
  <si>
    <t>AAFESDS,AMAZON,AMAZONDS,CSNSTORES,DESINC,HDDS,HOUZZ,JCPENNEY01,KIRKLANDDS,KOHLDSN,MACY02,OLLIIX,OVERSTOCK01,TGTDVS,ZOLA</t>
  </si>
  <si>
    <t>MP70-8551</t>
  </si>
  <si>
    <t>MP70-8552</t>
  </si>
  <si>
    <t>MP70-8452</t>
  </si>
  <si>
    <t>PP000511;PF006256</t>
  </si>
  <si>
    <t>6/6/2024</t>
  </si>
  <si>
    <t>AMAZON,AMAZONDS,CSNSTORES,JCPENNEY01,KOHLDSN,MACY02,OVERSCONSIGN,OVERSTOCK01</t>
  </si>
  <si>
    <t>MP70-8555</t>
  </si>
  <si>
    <t>12/29/2024</t>
  </si>
  <si>
    <t>MP70-8553</t>
  </si>
  <si>
    <t>MP70-8554</t>
  </si>
  <si>
    <t>MP70-8560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</si>
  <si>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</si>
  <si>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</si>
  <si>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</si>
  <si>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</si>
  <si>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</si>
  <si>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</si>
  <si>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</si>
  <si>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</si>
  <si>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</si>
  <si>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</si>
  <si>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</si>
  <si>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MP70-8565</t>
  </si>
  <si>
    <t>MP70-8568</t>
  </si>
  <si>
    <t>MP70-8564</t>
  </si>
  <si>
    <t>MP70-8566</t>
  </si>
  <si>
    <t>MP70-8567</t>
  </si>
  <si>
    <t>MP70-4977</t>
  </si>
  <si>
    <t>AAFESDS,AMAZON,AMAZONDS,CSNSTORES,DESINC,HDDS,JCPENNEY01,KOHLDSN,MACY02,OLLIIX,OVERSTOCK01,TGTDVS,ZOLA</t>
  </si>
  <si>
    <t>MP70-8549</t>
  </si>
  <si>
    <t>MP70-8550</t>
  </si>
  <si>
    <t>MP70-845</t>
  </si>
  <si>
    <t>Jacquard Shower Curtain</t>
  </si>
  <si>
    <t>12/23/2024</t>
  </si>
  <si>
    <t>AMAZON,AMAZONDS,CSNSTORES,FINGERHUTDS,JCPENNEY01,KOHLDSN,MACY02,OLLIIX,OVERSTOCK01,TGTDVS,WALMARTDS</t>
  </si>
  <si>
    <t>MP70-3034</t>
  </si>
  <si>
    <t>PF003393;PP000381</t>
  </si>
  <si>
    <t>AMAZON,CSNSTORES,HDDS,JCPENNEY01,KOHLDSN,MACY02,NRTPORT,OVERSTOCK01,TGTDVS,WALMARTDS</t>
  </si>
  <si>
    <t>MP70-224</t>
  </si>
  <si>
    <t>Blue/Brown</t>
  </si>
  <si>
    <t>PF003389;PP000381</t>
  </si>
  <si>
    <t>AMAZON,AMAZONDS,CSNSTORES,DESINC,HDDS,HSNDS,JCPENNEY01,KOHLDSN,MACY02,NRTPORT,OLLIIX,OVERSTOCK01,TGTDVS,WALMARTDS</t>
  </si>
  <si>
    <t>12/22/2016</t>
  </si>
  <si>
    <t>MP70-8320</t>
  </si>
  <si>
    <t>PP000381;PF006093</t>
  </si>
  <si>
    <t>11/18/2023</t>
  </si>
  <si>
    <t>AMAZON,AMAZONDS,CSNSTORES,DESINC,HDDS,KOHLDSN,MACY02,OLLIIX,OVERSTOCK01,TGTDVS</t>
  </si>
  <si>
    <t>MP70-644</t>
  </si>
  <si>
    <t>Faux Silk Embroidered Floral Shower Curtain</t>
  </si>
  <si>
    <t>AAFESDS,AMAZON,AMAZONDS,BEALLSDS,CSNSTORES,DESINC,FINGERHUTDS,HDDS,HOUZZ,HSNDS,JCPENNEY01,KOHLDSN,MACY02,NRTPORT,OLLIIX,OVERSTOCK01,TGTDVS,WALMARTDS</t>
  </si>
  <si>
    <t>MP70-3453</t>
  </si>
  <si>
    <t>PF003402;PP000505</t>
  </si>
  <si>
    <t>AAFESDS,AMAZON,CSNSTORES,DESINC,HDDS,JCPENNEY01,KOHLDSN,MACY02,OLLIIX,OVERSTOCK01,TGTDVS,WALMARTDS</t>
  </si>
  <si>
    <t>MP70-1918</t>
  </si>
  <si>
    <t>MP70-4863</t>
  </si>
  <si>
    <t>PF003405;PP000505</t>
  </si>
  <si>
    <t>AMAZON,AMAZONDS,CSNSTORES,HDDS,JCPENNEY01,KOHLDSN,MACY02,NRTPORT,OVERSTOCK01,TGTDVS,WALMARTDS</t>
  </si>
  <si>
    <t>9/5/2017</t>
  </si>
  <si>
    <t>10/27/2017</t>
  </si>
  <si>
    <t>MP70-3452</t>
  </si>
  <si>
    <t>PF003404;PP000505</t>
  </si>
  <si>
    <t>AMAZON,AMAZONDS,CSNSTORES,HDDS,JCPENNEY01,KOHLDSN,MACY02,NRTPORT,OLLIIX,OVERSTOCK01,TGTDVS</t>
  </si>
  <si>
    <t>MP70-3039</t>
  </si>
  <si>
    <t>PF003392;PP000487</t>
  </si>
  <si>
    <t>5/12/2017</t>
  </si>
  <si>
    <t>1/16/2017</t>
  </si>
  <si>
    <t>MP70-3040</t>
  </si>
  <si>
    <t>AMAZON,AMAZONDS,CSNSTORES,HDDS,JCPENNEY01,KOHLDSN,MACY02,OVERSTOCK01,TGTDVS,WALMARTDS</t>
  </si>
  <si>
    <t>MP70-6631</t>
  </si>
  <si>
    <t>Vera</t>
  </si>
  <si>
    <t>Burnout Printed Shower Curtain</t>
  </si>
  <si>
    <t>PF004852;PP001360</t>
  </si>
  <si>
    <t>8/27/2019</t>
  </si>
  <si>
    <t>AMAZON,AMAZONDS,CSNSTORES,JCPENNEY01,KOHLDSN,MACY02,OLLIIX,OVERSTOCK01,TGTDVS,WALMARTDS,ZOLA</t>
  </si>
  <si>
    <t>5/5/2021</t>
  </si>
  <si>
    <t>6/11/2021</t>
  </si>
  <si>
    <t>MP70-6630</t>
  </si>
  <si>
    <t>PF004834;PP001360</t>
  </si>
  <si>
    <t>12/13/2021</t>
  </si>
  <si>
    <t>MP70-5669</t>
  </si>
  <si>
    <t>Jane</t>
  </si>
  <si>
    <t xml:space="preserve">100% Cotton  Floral Printed Shower Curtain</t>
  </si>
  <si>
    <t>2/28/2018</t>
  </si>
  <si>
    <t>AMAZON,AMAZONDS,CSNSTORES,DESINC,HDDS,JCPENNEY01,KOHLDSN,MACY02,OLLIIX,TGTDVS,WALMARTDS</t>
  </si>
  <si>
    <t>3/7/2018</t>
  </si>
  <si>
    <t>MP70-3467</t>
  </si>
  <si>
    <t>Anna</t>
  </si>
  <si>
    <t>Lydia</t>
  </si>
  <si>
    <t>Angie</t>
  </si>
  <si>
    <t>Sheer Shower Curtain</t>
  </si>
  <si>
    <t>PF001527</t>
  </si>
  <si>
    <t>AMAZON,AMAZONDS,CSNSTORES,HDDS,JCPENNEY01,KIRKLANDDS,KOHLDSN,MACY02,OLLIIX,OVERSTOCK01,TGTDVS,WALMARTDS</t>
  </si>
  <si>
    <t>MP70-6824A</t>
  </si>
  <si>
    <t>Eider</t>
  </si>
  <si>
    <t>Orinn</t>
  </si>
  <si>
    <t>Super Waffle Textured Solid Shower Curtain</t>
  </si>
  <si>
    <t>PF004964</t>
  </si>
  <si>
    <t>AAFESDS,AMAZON,AMAZONDS,CSNSTORES,DESINC,HDDS,HOUZZ,JCPENNEY01,KIRKLANDDS,KOHLDSN,MACY02,NRTPORT,OLLIIX,OVERSTOCK01,TGTDVS,WALMARTDS,ZOLA</t>
  </si>
  <si>
    <t>5/19/2021</t>
  </si>
  <si>
    <t>MP70-439</t>
  </si>
  <si>
    <t>Tufted Semi-Sheer Shower Curtain</t>
  </si>
  <si>
    <t>PF002430;PP000440</t>
  </si>
  <si>
    <t>AMAZON,CSNSTORES,HDDS,HSNDS,KOHLDSN,MACY02,NRTPORT,OLLIIX,OVERSTOCK01,WALMARTDS</t>
  </si>
  <si>
    <t>2/3/2017</t>
  </si>
  <si>
    <t>MP70-440</t>
  </si>
  <si>
    <t>AMAZON,AMAZONDS,CSNSTORES,DESINC,HDDS,HSNDS,KOHLDSN,MACY02,NRTPORT,OLLIIX,OVERSTOCK01,TGTDVS</t>
  </si>
  <si>
    <t>MP70-438</t>
  </si>
  <si>
    <t>PF002422;PP000440</t>
  </si>
  <si>
    <t>AMAZON,AMAZONDS,BEALLSDS,CSNSTORES,HDDS,HSNDS,JCPENNEY01,KOHLDSN,MACY02,NRTPORT,OLLIIX,OVERSTOCK01,TGTDVS</t>
  </si>
  <si>
    <t>MP70-6875</t>
  </si>
  <si>
    <t>AMAZON,AMAZONDS,CSNSTORES,DESINC,HDDS,JCPENNEY01,KOHLDSN,MACY02,OLLIIX,OVERSTOCK01,TGTDVS,WALMARTDS</t>
  </si>
  <si>
    <t>1/21/2020</t>
  </si>
  <si>
    <t>9/2/2020</t>
  </si>
  <si>
    <t>MP70-8085</t>
  </si>
  <si>
    <t>10/10/2022</t>
  </si>
  <si>
    <t>AMAZONDS,CSNSTORES,HDDS,JCPENNEY01,KOHLDSN,MACY02,OLLIIX,OVERSTOCK01,TGTDVS</t>
  </si>
  <si>
    <t>MP70-8084</t>
  </si>
  <si>
    <t>11/11/2022</t>
  </si>
  <si>
    <t>AMAZON,AMAZONDS,CSNSTORES,DESINC,HDDS,JCPENNEY01,KOHLDSN,MACY02,OLLIIX,OVERSTOCK01,TGTDVS</t>
  </si>
  <si>
    <t>MP70-3038</t>
  </si>
  <si>
    <t>PF003408;PP000407</t>
  </si>
  <si>
    <t>MP70-2493</t>
  </si>
  <si>
    <t>PF003403;PP000407</t>
  </si>
  <si>
    <t>12/26/2016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</si>
  <si>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</si>
  <si>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</si>
  <si>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</si>
  <si>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</si>
  <si>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</si>
  <si>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</si>
  <si>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</si>
  <si>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</si>
  <si>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AMAZON,AMAZONDS,CSNSTORES,FINGERHUTDS,HDDS,HOUZZ,JCPENNEY01,KOHLDSN,MACY02,OLLIIX,OVERSTOCK01,TGTDVS,WALMARTDS,ZOLA</t>
  </si>
  <si>
    <t>11/19/2019</t>
  </si>
  <si>
    <t>5/20/2020</t>
  </si>
  <si>
    <t>MP70-8448</t>
  </si>
  <si>
    <t>5/25/2024</t>
  </si>
  <si>
    <t>AMAZON,AMAZONDS,CSNSTORES,JCPENNEY01,KOHLDSN,OVERSTOCK01</t>
  </si>
  <si>
    <t>MP70-7541</t>
  </si>
  <si>
    <t>PP001339;PF005493</t>
  </si>
  <si>
    <t>5/25/2021</t>
  </si>
  <si>
    <t>AMAZON,CSNSTORES,DESINC,HDDS,JCPENNEY01,KOHLDSN,MACY02,OLLIIX,OVERSTOCK01,TGTDVS,ZOLA</t>
  </si>
  <si>
    <t>MP70-3651</t>
  </si>
  <si>
    <t>Hope</t>
  </si>
  <si>
    <t>Abby</t>
  </si>
  <si>
    <t>Ruffled Shower Curtain</t>
  </si>
  <si>
    <t>6/13/2017</t>
  </si>
  <si>
    <t>MP70-6598</t>
  </si>
  <si>
    <t>Sophie</t>
  </si>
  <si>
    <t>Lauren</t>
  </si>
  <si>
    <t>Ashley</t>
  </si>
  <si>
    <t>PF001530;PP001619</t>
  </si>
  <si>
    <t>Polka Dots</t>
  </si>
  <si>
    <t>8/7/2019</t>
  </si>
  <si>
    <t>AMAZON,AMAZONDS,CSNSTORES,HDDS,JCPENNEY01,KOHLDSN,MACY02,OLLIIX,OVERSTOCK01,TGTDVS,WALMARTDS,ZOLA</t>
  </si>
  <si>
    <t>4/20/2022</t>
  </si>
  <si>
    <t>MP70-7471</t>
  </si>
  <si>
    <t>PF005439;PP001619</t>
  </si>
  <si>
    <t>4/16/2021</t>
  </si>
  <si>
    <t>AMAZON,AMAZONDS,CSNSTORES,DESINC,HDDS,JCPENNEY01,KOHLDSN,MACY02,OLLIIX,OVERSTOCK01,TGTDVS,ZOLA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</si>
  <si>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</si>
  <si>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</si>
  <si>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</si>
  <si>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</si>
  <si>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</si>
  <si>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</si>
  <si>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AMAZON,AMAZONDS,CSNSTORES,HDDS,HOUZZ,JCPENNEY01,KOHLDSN,MACY02,OLLIIX,OVERSTOCK01,TGTDVS,WALMARTDS</t>
  </si>
  <si>
    <t>1/16/2020</t>
  </si>
  <si>
    <t>MP70-645</t>
  </si>
  <si>
    <t>AMAZON,AMAZONDS,BEALLSDS,CSNSTORES,HDDS,HOUZZ,HSNDS,JCPENNEY01,KOHLDSN,MACY02,OLLIIX,OVERSTOCK01,TGTDVS,WALMARTDS</t>
  </si>
  <si>
    <t>MP70-8328</t>
  </si>
  <si>
    <t>Bonnie</t>
  </si>
  <si>
    <t>Kairi</t>
  </si>
  <si>
    <t>Miley</t>
  </si>
  <si>
    <t>Printed Seersucker Shower Curtain</t>
  </si>
  <si>
    <t>PP001900;PF006064</t>
  </si>
  <si>
    <t>AMAZON,AMAZONDS,CSNSTORES,DESINC,KOHLDSN,OLLIIX,OVERSTOCK01,TGTDVS,ZOLA</t>
  </si>
  <si>
    <t>MP70-7842</t>
  </si>
  <si>
    <t>Printed Cotton Shower Curtain</t>
  </si>
  <si>
    <t>MP70-8302</t>
  </si>
  <si>
    <t>Embroidered Shower Curtain</t>
  </si>
  <si>
    <t>PP000411;PF006063</t>
  </si>
  <si>
    <t>MP70-7543</t>
  </si>
  <si>
    <t>PF002605;PP000411</t>
  </si>
  <si>
    <t>AMAZON,AMAZONDS,CSNSTORES,DESINC,HDDS,JCPENNEY01,KOHLDSN,MACY02,NRTPORT,OLLIIX,OVERSTOCK01,TGTDVS</t>
  </si>
  <si>
    <t>MP70-5636</t>
  </si>
  <si>
    <t>Finley 100% Cotton Waffle Weave Textured Shower Curtain</t>
  </si>
  <si>
    <t>AMAZON,CSNSTORES,DESINC,HDDS,JCPENNEY01,KIRKLANDDS,KOHLDSN,MACY02,NRTPORT,OLLIIX,OVERSTOCK01,TGTDVS</t>
  </si>
  <si>
    <t>1/8/2019</t>
  </si>
  <si>
    <t>MP70-8150</t>
  </si>
  <si>
    <t>Loleta</t>
  </si>
  <si>
    <t>Lian</t>
  </si>
  <si>
    <t>PP000879;PF005889</t>
  </si>
  <si>
    <t>12/8/2022</t>
  </si>
  <si>
    <t>AMAZONDS,CSNSTORES,DESINC,HDDS,HOUZZ,KOHLDSN,MACY02,OLLIIX,OVERSTOCK01,TGTDVS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</si>
  <si>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</si>
  <si>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</si>
  <si>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</si>
  <si>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</si>
  <si>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</si>
  <si>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</si>
  <si>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</si>
  <si>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</si>
  <si>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AMAZON,AMAZONDS,CSNSTORES,HDDS,HOUZZ,JCPENNEY01,KOHLDSN,MACY02,OLLIIX,OVERSTOCK01,TGTDVS</t>
  </si>
  <si>
    <t>MP70-6707</t>
  </si>
  <si>
    <t>AMAZON,AMAZONDS,CSNSTORES,HDDS,HOUZZ,JCPENNEY01,KOHLDSN,MACY02,NRTPORT,OLLIIX,OVERSTOCK01,TGTDVS</t>
  </si>
  <si>
    <t>MP70-8327</t>
  </si>
  <si>
    <t>Floral Printed Cotton Shower Curtain</t>
  </si>
  <si>
    <t>CSNSTORES,DESINC,HDDS,KOHLDSN,OLLIIX,OVERSTOCK01,TGTDVS</t>
  </si>
  <si>
    <t>MP70-7542</t>
  </si>
  <si>
    <t>Norah</t>
  </si>
  <si>
    <t>Quinn</t>
  </si>
  <si>
    <t>Bridget</t>
  </si>
  <si>
    <t>Printed Floral Cotton Shower Curtain</t>
  </si>
  <si>
    <t>PP001644;PF005496</t>
  </si>
  <si>
    <t>3/7/2025</t>
  </si>
  <si>
    <t>AMAZON,AMAZONDS,CSNSTORES,DESINC,HDDS,HOUZZ,JCPENNEY01,KOHLDSN,MACY02,OLLIIX,OVERSTOCK01,TGTDVS</t>
  </si>
  <si>
    <t>MP70-4246</t>
  </si>
  <si>
    <t>Quincy</t>
  </si>
  <si>
    <t>Pierce</t>
  </si>
  <si>
    <t>PF002722;PP001842</t>
  </si>
  <si>
    <t>AMAZON,BEALLSDS,CSNSTORES,DESINC,HDDS,JCPENNEY01,KOHLDSN,MACY02,OLLIIX,OVERSCONSIGN,OVERSTOCK01,TGTDVS</t>
  </si>
  <si>
    <t>MP72-6207</t>
  </si>
  <si>
    <t>BATH RUG</t>
  </si>
  <si>
    <t>Bath Rug</t>
  </si>
  <si>
    <t>Evan</t>
  </si>
  <si>
    <t>Ethan</t>
  </si>
  <si>
    <t>Jordan</t>
  </si>
  <si>
    <t>Cotton Tufted Bath Rug 20x30</t>
  </si>
  <si>
    <t>24x44"</t>
  </si>
  <si>
    <t>PP001165;PF004655</t>
  </si>
  <si>
    <t>4/7/2019</t>
  </si>
  <si>
    <t>12/7/2019</t>
  </si>
  <si>
    <t>MP72-6209</t>
  </si>
  <si>
    <t>Cotton Tufted Bath Rug 24x72</t>
  </si>
  <si>
    <t>24x72"</t>
  </si>
  <si>
    <t>AMAZON,AMAZONDS,CSNSTORES,HDDS,HOUZZ,JCPENNEY01,KIRKLANDDS,KOHLDSN,MACY02,OLLIIX,OVERSTOCK01,TGTDVS,WALMARTDS</t>
  </si>
  <si>
    <t>MP72-3611</t>
  </si>
  <si>
    <t>PF001521</t>
  </si>
  <si>
    <t>AAFESDS,AMAZON,AMAZONDS,CSNSTORES,HDDS,HOUZZ,JCPENNEY01,KOHLDSN,MACY02,OLLIIX,OVERSTOCK01,TGTDVS,WALMARTDS</t>
  </si>
  <si>
    <t>1/3/2017</t>
  </si>
  <si>
    <t>8/2/2018</t>
  </si>
  <si>
    <t>MP72-3612</t>
  </si>
  <si>
    <t>Cotton Tufted Bath Rug 24x40</t>
  </si>
  <si>
    <t>24x40"</t>
  </si>
  <si>
    <t>AMAZONDS,CSNSTORES,DESINC,HDDS,JCPENNEY01,KOHLDSN,MACY02,OLLIIX,OVERSTOCK01,TGTDVS,WALMARTDS</t>
  </si>
  <si>
    <t>1/7/2019</t>
  </si>
  <si>
    <t>MP72-3564</t>
  </si>
  <si>
    <t>PF001522</t>
  </si>
  <si>
    <t>3/28/2017</t>
  </si>
  <si>
    <t>MP72-3606</t>
  </si>
  <si>
    <t>PF001520</t>
  </si>
  <si>
    <t>7/14/2017</t>
  </si>
  <si>
    <t>MP72-7332</t>
  </si>
  <si>
    <t>PF005290</t>
  </si>
  <si>
    <t>2/4/2021</t>
  </si>
  <si>
    <t>MP72-7333</t>
  </si>
  <si>
    <t>AMAZON,AMAZONDS,CSNSTORES,DESINC,HDDS,JCPENNEY01,KOHLDSN,MACY02,OLLIIX,OVERSCONSIGN,OVERSTOCK01,TGTDVS</t>
  </si>
  <si>
    <t>MP72-7334</t>
  </si>
  <si>
    <t>MP72-5102</t>
  </si>
  <si>
    <t>Tufted Pearl Channel</t>
  </si>
  <si>
    <t>Rug</t>
  </si>
  <si>
    <t>17x24"</t>
  </si>
  <si>
    <t>Wheat</t>
  </si>
  <si>
    <t>9/23/2017</t>
  </si>
  <si>
    <t>AMAZON,AMAZONDS,CSNSTORES,HDDS,JCPENNEY01,KOHLDSN,MACY02,NRTPORT,OLLIIX,OVERSTOCK01,TGTDVS,WALMARTDS,ZOLA</t>
  </si>
  <si>
    <t>12/17/2017</t>
  </si>
  <si>
    <t>5/24/2019</t>
  </si>
  <si>
    <t>MP72-5103</t>
  </si>
  <si>
    <t>21x34"</t>
  </si>
  <si>
    <t>AMAZONDS,CSNSTORES,HDDS,HOUZZ,JCPENNEY01,KOHLDSN,MACY02,OLLIIX,OVERSTOCK01,TGTDVS,WALMARTDS,ZOLA</t>
  </si>
  <si>
    <t>MP72-5104</t>
  </si>
  <si>
    <t>24x58"</t>
  </si>
  <si>
    <t>AAFESDS,AMAZONDS,CSNSTORES,HDDS,HOUZZ,JCPENNEY01,KOHLDSN,MACY02,OLLIIX,OVERSTOCK01,TGTDVS,WALMARTDS,ZOLA</t>
  </si>
  <si>
    <t>MP72-5111</t>
  </si>
  <si>
    <t>3/8/2019</t>
  </si>
  <si>
    <t>MP72-5112</t>
  </si>
  <si>
    <t>CSNSTORES,HDDS,JCPENNEY01,KOHLDSN,MACY02,OVERSTOCK01,TGTDVS,WALMARTDS</t>
  </si>
  <si>
    <t>MP72-5113</t>
  </si>
  <si>
    <t>CSNSTORES,HDDS,JCPENNEY01,KOHLDSN,MACY02,OLLIIX,OVERSTOCK01,TGTDVS</t>
  </si>
  <si>
    <t>MP72-5105</t>
  </si>
  <si>
    <t>AMAZON,CSNSTORES,DESINC,HDDS,HOUZZ,JCPENNEY01,KOHLDSN,MACY02,OLLIIX,OVERSTOCK01,TGTDVS</t>
  </si>
  <si>
    <t>8/27/2020</t>
  </si>
  <si>
    <t>MP72-5106</t>
  </si>
  <si>
    <t>AMAZON,AMAZONDS,CSNSTORES,DESINC,HDDS,JCPENNEY01,KIRKLANDDS,KOHLDSN,MACY02,OLLIIX,OVERSTOCK01,TGTDVS,WALMARTDS</t>
  </si>
  <si>
    <t>MP72-8457</t>
  </si>
  <si>
    <t>6/20/2024</t>
  </si>
  <si>
    <t>MP72-8458</t>
  </si>
  <si>
    <t>MP72-8459</t>
  </si>
  <si>
    <t>MP72-5108</t>
  </si>
  <si>
    <t>10/1/2018</t>
  </si>
  <si>
    <t>MP72-5109</t>
  </si>
  <si>
    <t>8/3/2018</t>
  </si>
  <si>
    <t>MP72-5110</t>
  </si>
  <si>
    <t>AMAZONDS,CSNSTORES,HDDS,JCPENNEY01,KOHLDSN,MACY02,OVERSTOCK01,TGTDVS</t>
  </si>
  <si>
    <t>7/25/2018</t>
  </si>
  <si>
    <t>MP72-1487</t>
  </si>
  <si>
    <t>Spa Cotton</t>
  </si>
  <si>
    <t>Reversible Bath Rug</t>
  </si>
  <si>
    <t>PF001449;PP000511</t>
  </si>
  <si>
    <t>AAFESDS,AMAZON,AMAZONDS,BEALLSDS,CSNSTORES,DESINC,HDDS,JCPENNEY01,KIRKLANDDS,KOHLDSN,MACY02,OLLIIX,OVERSTOCK01,TGTDVS,WALMARTDS,ZOLA</t>
  </si>
  <si>
    <t>MP72-2491</t>
  </si>
  <si>
    <t>PF001449;PP000510</t>
  </si>
  <si>
    <t>AAFESDS,AMAZONDS,CSNSTORES,DESINC,HDDS,JCPENNEY01,KIRKLANDDS,KOHLDSN,MACY02,OLLIIX,OVERSTOCK01,TGTDVS,ZOLA</t>
  </si>
  <si>
    <t>MP72-1543</t>
  </si>
  <si>
    <t>27x45"</t>
  </si>
  <si>
    <t>AAFESDS,AMAZONDS,CSNSTORES,HDDS,JCPENNEY01,KIRKLANDDS,KOHLDSN,MACY02,OLLIIX,OVERSCONSIGN,OVERSTOCK01,TGTDVS,WALMARTDS</t>
  </si>
  <si>
    <t>MP72-1488</t>
  </si>
  <si>
    <t>PF001450;PP000511</t>
  </si>
  <si>
    <t>AMAZON,AMAZONDS,BEALLSDS,CSNSTORES,HDDS,JCPENNEY01,KOHLDSN,MACY02,OVERSTOCK01,TGTDVS,WALMARTDS,ZOLA</t>
  </si>
  <si>
    <t>MP72-2492</t>
  </si>
  <si>
    <t>AMAZON,AMAZONDS,CSNSTORES,HDDS,KOHLDSN,MACY02,OVERSTOCK01,TGTDVS,WALMARTDS</t>
  </si>
  <si>
    <t>MP72-6210</t>
  </si>
  <si>
    <t>PP000511;PF004656</t>
  </si>
  <si>
    <t>4/9/2019</t>
  </si>
  <si>
    <t>AMAZON,AMAZONDS,CSNSTORES,HDDS,HOUZZ,JCPENNEY01,KOHLDSN,MACY02,OLLIIX,OVERSTOCK01,TGTDVS,ZOLA</t>
  </si>
  <si>
    <t>9/23/2019</t>
  </si>
  <si>
    <t>MP72-6212</t>
  </si>
  <si>
    <t>AMAZONDS,CSNSTORES,HDDS,JCPENNEY01,KIRKLANDDS,KOHLDSN,MACY02,OLLIIX,OVERSTOCK01,TGTDVS</t>
  </si>
  <si>
    <t>10/15/2019</t>
  </si>
  <si>
    <t>MP72-1048</t>
  </si>
  <si>
    <t>Cotton Tufted Bath Rug</t>
  </si>
  <si>
    <t>PF001434;PP000524</t>
  </si>
  <si>
    <t>AMAZON,AMAZONDS,BEALLSDS,CSNSTORES,HDDS,JCPENNEY01,KOHLDSN,MACY02,OLLIIX,OVERSTOCK01,TGTDVS</t>
  </si>
  <si>
    <t>8/16/2017</t>
  </si>
  <si>
    <t>MP72-5075</t>
  </si>
  <si>
    <t>24x60"</t>
  </si>
  <si>
    <t>AMAZON,AMAZONDS,CSNSTORES,HDDS,JCPENNEY01,KIRKLANDDS,KOHLDSN,MACY02,OLLIIX,TGTDVS,WALMARTDS</t>
  </si>
  <si>
    <t>6/28/2018</t>
  </si>
  <si>
    <t>MP72-1541</t>
  </si>
  <si>
    <t>AMAZON,AMAZONDS,BEALLSDS,HDDS,JCPENNEY01,KOHLDSN,MACY02,OLLIIX,OVERSTOCK01,TGTDVS,WALMARTDS</t>
  </si>
  <si>
    <t>MP72-1558</t>
  </si>
  <si>
    <t>PF001435;PP000373</t>
  </si>
  <si>
    <t>AMAZON,AMAZONDS,CSNSTORES,FINGERHUTDS,HDDS,JCPENNEY01,KOHLDSN,MACY02,OLLIIX,OVERSTOCK01,TGTDVS</t>
  </si>
  <si>
    <t>MP72-1559</t>
  </si>
  <si>
    <t>AMAZONDS,CSNSTORES,FINGERHUTDS,HDDS,JCPENNEY01,KOHLDSN,MACY02,OLLIIX,OVERSTOCK01,TGTDVS</t>
  </si>
  <si>
    <t>11/25/2016</t>
  </si>
  <si>
    <t>MP72-6204</t>
  </si>
  <si>
    <t>PP000524;PF004654</t>
  </si>
  <si>
    <t>AMAZON,AMAZONDS,CSNSTORES,DESINC,HDDS,JCPENNEY01,KIRKLANDDS,KOHLDSN,MACY02,OLLIIX,TGTDVS</t>
  </si>
  <si>
    <t>8/2/2019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</si>
  <si>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</si>
  <si>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</si>
  <si>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</si>
  <si>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</si>
  <si>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</si>
  <si>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</si>
  <si>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</si>
  <si>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AMAZON,AMAZONDS,BEALLSDS,CSNSTORES,HDDS,HOUZZ,KOHLDSN,MACY02,OLLIIX,OVERSTOCK01,TGTDVS,WALMARTDS</t>
  </si>
  <si>
    <t>2/23/2018</t>
  </si>
  <si>
    <t>MP72-4431</t>
  </si>
  <si>
    <t>25"R</t>
  </si>
  <si>
    <t>AAFESDS,AMAZON,AMAZONDS,CSNSTORES,HDDS,HOUZZ,JCPENNEY01,KIRKLANDDS,KOHLDSN,MACY02,OLLIIX,OVERSTOCK01,TGTDVS,WALMARTDS</t>
  </si>
  <si>
    <t>6/8/2018</t>
  </si>
  <si>
    <t>MP72-4432</t>
  </si>
  <si>
    <t>PF004736</t>
  </si>
  <si>
    <t>7/28/2019</t>
  </si>
  <si>
    <t>8/31/2019</t>
  </si>
  <si>
    <t>MP72-5667</t>
  </si>
  <si>
    <t>Bittman</t>
  </si>
  <si>
    <t>Renu</t>
  </si>
  <si>
    <t>Reversible High Pile Tufted Microfiber Bath Rug</t>
  </si>
  <si>
    <t>PF004206;PP000860</t>
  </si>
  <si>
    <t>AMAZONDS,CSNSTORES,HOUZZ,JCPENNEY01,KOHLDSN,MACY02,OLLIIX,OVERSTOCK01,TGTDVS</t>
  </si>
  <si>
    <t>8/5/2019</t>
  </si>
  <si>
    <t>11/14/2019</t>
  </si>
  <si>
    <t>MP72-5668</t>
  </si>
  <si>
    <t>AMAZONDS,CSNSTORES,FINGERHUTDS,HDDS,HOUZZ,JCPENNEY01,KOHLDSN,MACY02,OLLIIX,OVERSTOCK01,TGTDVS,WALMARTDS</t>
  </si>
  <si>
    <t>MP72-5663</t>
  </si>
  <si>
    <t>PF004204;PP000860</t>
  </si>
  <si>
    <t>AMAZON,AMAZONDS,CSNSTORES,FINGERHUTDS,HDDS,HOUZZ,JCPENNEY01,KIRKLANDDS,KOHLDSN,MACY02,OLLIIX,OVERSTOCK01,TGTDVS,WALMARTDS</t>
  </si>
  <si>
    <t>2/18/2020</t>
  </si>
  <si>
    <t>MP72-5665</t>
  </si>
  <si>
    <t>PF004205;PP000860</t>
  </si>
  <si>
    <t>AMAZON,CSNSTORES,FINGERHUTDS,HDDS,HOUZZ,JCPENNEY01,KIRKLANDDS,KOHLDSN,MACY02,NRTPORT,OLLIIX,OVERSTOCK01,TGTDVS</t>
  </si>
  <si>
    <t>8/9/2019</t>
  </si>
  <si>
    <t>MP72-5826</t>
  </si>
  <si>
    <t>Lasso</t>
  </si>
  <si>
    <t>Copula</t>
  </si>
  <si>
    <t>Braide</t>
  </si>
  <si>
    <t>100% Cotton Chenille Chain Stitch Rug</t>
  </si>
  <si>
    <t>PP000880;PF004256</t>
  </si>
  <si>
    <t>5/15/2018</t>
  </si>
  <si>
    <t>AMAZON,CSNSTORES,HDDS,JCPENNEY01,KOHLDSN,MACY02,OLLIIX,TGTDVS,WALMARTDS</t>
  </si>
  <si>
    <t>7/16/2018</t>
  </si>
  <si>
    <t>11/1/2018</t>
  </si>
  <si>
    <t>MP72-5829</t>
  </si>
  <si>
    <t>PP000880;PF004257</t>
  </si>
  <si>
    <t>5/8/2018</t>
  </si>
  <si>
    <t>2/19/2019</t>
  </si>
  <si>
    <t>MP72-5830</t>
  </si>
  <si>
    <t>AMAZON,CSNSTORES,DESINC,HDDS,HOUZZ,JCPENNEY01,KIRKLANDDS,KOHLDSN,MACY02,OLLIIX,OVERSTOCK01,TGTDVS,WALMARTDS</t>
  </si>
  <si>
    <t>8/28/2018</t>
  </si>
  <si>
    <t>MP72-5843</t>
  </si>
  <si>
    <t>Reversible High Pile Tufted Bath Rug</t>
  </si>
  <si>
    <t>PP000384;PF004272</t>
  </si>
  <si>
    <t>4/10/2018</t>
  </si>
  <si>
    <t>AMAZON,AMAZONDS,BEALLSDS,BLK01,CSNSTORES,DESINC,HDDS,JCPENNEY01,KIRKLANDDS,KOHLDSN,MACY02,OLLIIX,OVERSTOCK01,TGTDVS</t>
  </si>
  <si>
    <t>2/12/2019</t>
  </si>
  <si>
    <t>MP72-8341</t>
  </si>
  <si>
    <t>PP001960;PF006244</t>
  </si>
  <si>
    <t>AMAZON,AMAZONDS,CSNSTORES,DESINC,HDDS,KIRKLANDDS,KOHLDSN,OLLIIX,OVERSTOCK01,TGTDVS,ZOLA</t>
  </si>
  <si>
    <t>MP72-8342</t>
  </si>
  <si>
    <t>AMAZON,AMAZONDS,CSNSTORES,DESINC,HDDS,KIRKLANDDS,KOHLDSN,OLLIIX,OVERSTOCK01,TGTDVS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</si>
  <si>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</si>
  <si>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</si>
  <si>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</si>
  <si>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</si>
  <si>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</si>
  <si>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</si>
  <si>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AMAZON,AMAZONDS,BEALLSDS,BLK01,CSNSTORES,JCPENNEY01,KOHLDSN,MACY02,NRTPORT,OLLIIX,OVERSTOCK01,WALMARTDS</t>
  </si>
  <si>
    <t>8/28/2017</t>
  </si>
  <si>
    <t>1/29/2018</t>
  </si>
  <si>
    <t>MP73-7450</t>
  </si>
  <si>
    <t>FASHION TOWEL</t>
  </si>
  <si>
    <t>Bath Towel</t>
  </si>
  <si>
    <t>6 Piece Jacquard Towel Set</t>
  </si>
  <si>
    <t>6-Piece</t>
  </si>
  <si>
    <t>PF005431;PP001616</t>
  </si>
  <si>
    <t>MP73-7451</t>
  </si>
  <si>
    <t>PF005432;PP001616</t>
  </si>
  <si>
    <t>MP73-7907</t>
  </si>
  <si>
    <t>Embroidered Cotton Jacquard 6 Piece Towel Set</t>
  </si>
  <si>
    <t>PP000505</t>
  </si>
  <si>
    <t>AAFESDS,AMAZONDS,BLK01,CSNSTORES,DESINC,HDDS,JCPENNEY01,KOHLDSN,MACY02,NRTPORT,OLLIIX,OVERSTOCK01,TGTDVS</t>
  </si>
  <si>
    <t>MP73-7820</t>
  </si>
  <si>
    <t>1/11/2022</t>
  </si>
  <si>
    <t>MP73-7906</t>
  </si>
  <si>
    <t>MPE70-872</t>
  </si>
  <si>
    <t>Botanical Printed Shower Curtain</t>
  </si>
  <si>
    <t>12/4/2024</t>
  </si>
  <si>
    <t>AMAZON,AMAZONDS,CSNSTORES,DESINC,JCPENNEY01,KIRKLANDDS,KOHLDSN,MACY02,OLLIIX,OVERSCONSIGN,OVERSTOCK01,TGTDVS,WALMARTDS</t>
  </si>
  <si>
    <t>2/14/2020</t>
  </si>
  <si>
    <t>MPE70-816</t>
  </si>
  <si>
    <t>Printed Floral Shower Curtain</t>
  </si>
  <si>
    <t>6/13/2019</t>
  </si>
  <si>
    <t>CSNSTORES,HDDS,JCPENNEY01,KOHLDSN,MACY02,NRTPORT,OLLIIX,OVERSTOCK01,TGTDVS,WALMARTDS</t>
  </si>
  <si>
    <t>8/1/2019</t>
  </si>
  <si>
    <t>11/20/2019</t>
  </si>
  <si>
    <t>MPE70-1029</t>
  </si>
  <si>
    <t>Stripe Print Shower Curtain</t>
  </si>
  <si>
    <t>AMAZON,AMAZONDS,CSNSTORES,DESINC,HDDS,KOHLDSN,NRTPORT,OLLIIX,OVERSTOCK01,TGTDVS</t>
  </si>
  <si>
    <t>MPE70-1030</t>
  </si>
  <si>
    <t>Taupe/Black</t>
  </si>
  <si>
    <t>AMAZON,AMAZONDS,CSNSTORES,DESINC,HDDS,KOHLDSN,OLLIIX,OVERSTOCK01,TGTDVS</t>
  </si>
  <si>
    <t>MPS72-166</t>
  </si>
  <si>
    <t>Marshmallow</t>
  </si>
  <si>
    <t>PF001510</t>
  </si>
  <si>
    <t>Luxury</t>
  </si>
  <si>
    <t>AMAZONDS,CSNSTORES,HDDS,JCPENNEY01,KIRKLANDDS,KOHLDSN,MACY02,OLLIIX,OVERSTOCK01,TGTDVS,WALMARTDS,ZOLA</t>
  </si>
  <si>
    <t>1/31/2019</t>
  </si>
  <si>
    <t>MPS72-167</t>
  </si>
  <si>
    <t>AAFESDS,AMAZONDS,CSNSTORES,DESINC,FINGERHUTDS,HDDS,JCPENNEY01,KIRKLANDDS,KOHLDSN,MACY02,OLLIIX,OVERSCONSIGN,OVERSTOCK01,TGTDVS,WALMARTDS,ZOLA</t>
  </si>
  <si>
    <t>MPS72-168</t>
  </si>
  <si>
    <t>AMAZON,AMAZONDS,CSNSTORES,DESINC,FINGERHUTDS,HDDS,JCPENNEY01,KIRKLANDDS,KOHLDSN,MACY02,OLLIIX,OVERSTOCK01,TGTDVS,WALMARTDS,ZOLA</t>
  </si>
  <si>
    <t>1/27/2017</t>
  </si>
  <si>
    <t>MPS72-171</t>
  </si>
  <si>
    <t>PF001511</t>
  </si>
  <si>
    <t>AAFESDS,AMAZON,AMAZONDS,CSNSTORES,FINGERHUTDS,HDDS,JCPENNEY01,KIRKLANDDS,KOHLDSN,MACY02,OLLIIX,OVERSTOCK01,TGTDVS,WALMARTDS,ZOLA</t>
  </si>
  <si>
    <t>9/17/2018</t>
  </si>
  <si>
    <t>MPS72-173</t>
  </si>
  <si>
    <t>Contour</t>
  </si>
  <si>
    <t>AAFESDS,AMAZON,AMAZONDS,CSNSTORES,DESINC,HDDS,JCPENNEY01,KIRKLANDDS,KOHLDSN,MACY02,OLLIIX,OVERSTOCK01,TGTDVS,WALMARTDS,ZOLA</t>
  </si>
  <si>
    <t>MPS72-384</t>
  </si>
  <si>
    <t>PF004336</t>
  </si>
  <si>
    <t>5/9/2018</t>
  </si>
  <si>
    <t>AAFESDS,AMAZON,AMAZONDS,CSNSTORES,HDDS,JCPENNEY01,KIRKLANDDS,KOHLDSN,MACY02,OLLIIX,OVERSCONSIGN,OVERSTOCK01,TGTDVS,WALMARTDS,ZOLA</t>
  </si>
  <si>
    <t>MPS72-385</t>
  </si>
  <si>
    <t>AMAZONDS,CSNSTORES,DESINC,HDDS,JCPENNEY01,KIRKLANDDS,KOHLDSN,MACY02,OLLIIX,OVERSTOCK01,TGTDVS,WALMARTDS,ZOLA</t>
  </si>
  <si>
    <t>MPS72-387</t>
  </si>
  <si>
    <t>AAFESDS,AMAZONDS,CSNSTORES,DESINC,HDDS,JCPENNEY01,KIRKLANDDS,KOHLDSN,MACY02,OLLIIX,OVERSCONSIGN,OVERSTOCK01,TGTDVS,ZOLA</t>
  </si>
  <si>
    <t>1/29/2020</t>
  </si>
  <si>
    <t>MPS72-478</t>
  </si>
  <si>
    <t>PP001623;PF005449</t>
  </si>
  <si>
    <t>5/24/2021</t>
  </si>
  <si>
    <t>AMAZON,AMAZONDS,BLK01,CSNSTORES,HDDS,HOUZZ,JCPENNEY01,KIRKLANDDS,KOHLDSN,MACY02,OLLIIX,OVERSTOCK01,TGTDVS,ZOLA</t>
  </si>
  <si>
    <t>MPS72-479</t>
  </si>
  <si>
    <t>MPS72-480</t>
  </si>
  <si>
    <t>AMAZON,CSNSTORES,HDDS,HOUZZ,JCPENNEY01,KOHLDSN,MACY02,OLLIIX,OVERSTOCK01,TGTDVS,ZOLA</t>
  </si>
  <si>
    <t>MPS72-481</t>
  </si>
  <si>
    <t>AMAZON,AMAZONDS,CSNSTORES,HDDS,JCPENNEY01,KIRKLANDDS,KOHLDSN,MACY02,OLLIIX,OVERSTOCK01,TGTDVS</t>
  </si>
  <si>
    <t>MPS72-164</t>
  </si>
  <si>
    <t>PF001509</t>
  </si>
  <si>
    <t>AAFESDS,AMAZON,AMAZONDS,CSNSTORES,DESINC,FINGERHUTDS,HDDS,JCPENNEY01,KIRKLANDDS,KOHLDSN,MACY02,OLLIIX,OVERSCONSIGN,OVERSTOCK01,TGTDVS,ZOLA</t>
  </si>
  <si>
    <t>MPS72-590</t>
  </si>
  <si>
    <t>Splendor</t>
  </si>
  <si>
    <t>100% Cotton Tufted 3000 GSM Reversible Bath Rug</t>
  </si>
  <si>
    <t>3/14/2025</t>
  </si>
  <si>
    <t>MPS72-593</t>
  </si>
  <si>
    <t>MPS72-592</t>
  </si>
  <si>
    <t>24x36"</t>
  </si>
  <si>
    <t>MPS72-594</t>
  </si>
  <si>
    <t>MPS72-595</t>
  </si>
  <si>
    <t>MPS72-591</t>
  </si>
  <si>
    <t>20x30"</t>
  </si>
  <si>
    <t>MPS72-573</t>
  </si>
  <si>
    <t>MPS72-576</t>
  </si>
  <si>
    <t>MPS72-519</t>
  </si>
  <si>
    <t>PP001359;PF006125</t>
  </si>
  <si>
    <t>12/21/2023</t>
  </si>
  <si>
    <t>AMAZON,AMAZONDS,CSNSTORES,HDDS,KOHLDSN,MACY02,OLLIIX,OVERSCONSIGN,OVERSTOCK01,TGTDVS,ZOLA</t>
  </si>
  <si>
    <t>MPS72-575</t>
  </si>
  <si>
    <t>MPS72-577</t>
  </si>
  <si>
    <t>MPS72-520</t>
  </si>
  <si>
    <t>AMAZON,AMAZONDS,CSNSTORES,DESINC,HDDS,KOHLDSN,MACY02,OLLIIX,OVERSTOCK01,TGTDVS,ZOLA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</si>
  <si>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</si>
  <si>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</si>
  <si>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</si>
  <si>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</si>
  <si>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</si>
  <si>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</si>
  <si>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</si>
  <si>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</si>
  <si>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</si>
  <si>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</si>
  <si>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</si>
  <si>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</si>
  <si>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</si>
  <si>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</si>
  <si>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</si>
  <si>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</si>
  <si>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</si>
  <si>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</si>
  <si>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</si>
  <si>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</si>
  <si>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</si>
  <si>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</si>
  <si>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</si>
  <si>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</si>
  <si>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</si>
  <si>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MPS72-474</t>
  </si>
  <si>
    <t>100% Cotton Tufted 3000GSM Reversible Bath Rug</t>
  </si>
  <si>
    <t>PP001359;PF005276</t>
  </si>
  <si>
    <t>1/4/2021</t>
  </si>
  <si>
    <t>AMAZON,AMAZONDS,CSNSTORES,DESINC,FINGERHUTDS,HDDS,JCPENNEY01,KIRKLANDDS,KOHLDSN,MACY02,OLLIIX,OVERSTOCK01,TGTDVS,ZOLA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</si>
  <si>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</si>
  <si>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</si>
  <si>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</si>
  <si>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</si>
  <si>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</si>
  <si>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</si>
  <si>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</si>
  <si>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</si>
  <si>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</si>
  <si>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</si>
  <si>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</si>
  <si>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</si>
  <si>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</si>
  <si>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UH70-2242</t>
  </si>
  <si>
    <t>Brooklyn</t>
  </si>
  <si>
    <t>Maize</t>
  </si>
  <si>
    <t>Kay</t>
  </si>
  <si>
    <t>Brooklyn Cotton Jacquard Pom Pom Shower Curtain</t>
  </si>
  <si>
    <t>70x72"</t>
  </si>
  <si>
    <t>PF002471;PP000834</t>
  </si>
  <si>
    <t>12/27/2018</t>
  </si>
  <si>
    <t>AMAZON,AMAZONDS,CSNSTORES,HDDS,JCPENNEY01,KOHLDSN,MACY02,OLLIIX,TGTDVS,WALMARTDS</t>
  </si>
  <si>
    <t>8/8/2019</t>
  </si>
  <si>
    <t>UH70-2312</t>
  </si>
  <si>
    <t>Cotton Jacquard Pom Pom Shower Curtain</t>
  </si>
  <si>
    <t>Indigo Blue</t>
  </si>
  <si>
    <t>PP000834;PF004684</t>
  </si>
  <si>
    <t>8/16/2021</t>
  </si>
  <si>
    <t>WR70-1815</t>
  </si>
  <si>
    <t>100% Cotton Shower Curtain</t>
  </si>
  <si>
    <t>11/14/2024</t>
  </si>
  <si>
    <t>AMAZON,AMAZONDS,CSNSTORES,HDDS,JCPENNEY01,KOHLDSN,OVERSTOCK01,TGTDVS,WALMARTDS</t>
  </si>
  <si>
    <t>11/19/2021</t>
  </si>
  <si>
    <t>1/18/2022</t>
  </si>
  <si>
    <t>WR70-3902</t>
  </si>
  <si>
    <t>Pieced Cotton Shower Curtain</t>
  </si>
  <si>
    <t>11/10/2022</t>
  </si>
  <si>
    <t>AMAZONDS,CSNSTORES,HDDS,JCPENNEY01,KOHLDSN,OLLIIX,OVERSTOCK01,TGTDVS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</si>
  <si>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</si>
  <si>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</si>
  <si>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</si>
  <si>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</si>
  <si>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</si>
  <si>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</si>
  <si>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</si>
  <si>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CSNSTORES,HDDS,HOUZZ,JCPENNEY01,KOHLDSN,MACY02,OLLIIX,OVERSTOCK01,TGTDVS,WALMARTDS</t>
  </si>
  <si>
    <t>1/23/2018</t>
  </si>
  <si>
    <t>ID70-1292</t>
  </si>
  <si>
    <t>Grey/Silver</t>
  </si>
  <si>
    <t>PF001695;PP000896</t>
  </si>
  <si>
    <t>AMAZON,AMAZONDS,BEALLSDS,CSNSTORES,DESINC,HDDS,JCPENNEY01,KOHLDSN,MACY02,OLLIIX,OVERSTOCK01,TGTDVS</t>
  </si>
  <si>
    <t>10/11/2017</t>
  </si>
  <si>
    <t>ID91-525</t>
  </si>
  <si>
    <t>Nadia</t>
  </si>
  <si>
    <t>Laila</t>
  </si>
  <si>
    <t>Darcy</t>
  </si>
  <si>
    <t>Cotton Jacquard Bath Towel 6 Piece Set</t>
  </si>
  <si>
    <t>PF001471;PP000465</t>
  </si>
  <si>
    <t>AMAZON,AMAZONDS,BEALLSDS,BLK01,CSNSTORES,HOUZZ,JCPENNEY01,KOHLDSN,MACY02,OLLIIX,OVERSTOCK01,TGTDVS,ZOLA</t>
  </si>
  <si>
    <t>3/1/2017</t>
  </si>
  <si>
    <t>5DS70-0231</t>
  </si>
  <si>
    <t>Donnell</t>
  </si>
  <si>
    <t>Shane</t>
  </si>
  <si>
    <t>Merissi</t>
  </si>
  <si>
    <t>Embroidered and Pieced Shower Curtain</t>
  </si>
  <si>
    <t>PP001563;PF005245</t>
  </si>
  <si>
    <t>5DS70-0251</t>
  </si>
  <si>
    <t>Printed and Embroidered Shower Curtain</t>
  </si>
  <si>
    <t>5DS70-0094</t>
  </si>
  <si>
    <t>PF004214;PP001733</t>
  </si>
  <si>
    <t>4/9/2018</t>
  </si>
  <si>
    <t>AAFESDS,AMAZON,AMAZONDS,BEALLSDS,CSNSTORES,DESINC,HDDS,JCPENNEY01,KOHLDSN,MACY02,OLLIIX,OVERSTOCK01,TGTDVS</t>
  </si>
  <si>
    <t>1/14/2019</t>
  </si>
  <si>
    <t>BR72-3766</t>
  </si>
  <si>
    <t>Beautyrest</t>
  </si>
  <si>
    <t>Plume</t>
  </si>
  <si>
    <t>Feather Touch Reversible Bath Rug</t>
  </si>
  <si>
    <t>PP001590;PF005340</t>
  </si>
  <si>
    <t>11/4/2022</t>
  </si>
  <si>
    <t>AMAZONDS,CSNSTORES,HDDS,JCPENNEY01,KOHLDSN,MACY02,OLLIIX,OVERSTOCK01,TGTDVS,ZOLA</t>
  </si>
  <si>
    <t>BR72-3767</t>
  </si>
  <si>
    <t>AMAZONDS,CSNSTORES,HDDS,HOUZZ,JCPENNEY01,KOHLDSN,MACY02,OLLIIX,OVERSTOCK01,TGTDVS,ZOLA</t>
  </si>
  <si>
    <t>BR72-3768</t>
  </si>
  <si>
    <t>BR72-3876</t>
  </si>
  <si>
    <t>PP001590;PF005337</t>
  </si>
  <si>
    <t>BR72-3877</t>
  </si>
  <si>
    <t>AMAZONDS,CSNSTORES,JCPENNEY01,KOHLDSN,MACY02,OLLIIX,OVERSTOCK01,TGTDVS,ZOLA</t>
  </si>
  <si>
    <t>BR72-3878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</si>
  <si>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</si>
  <si>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</si>
  <si>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</si>
  <si>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</si>
  <si>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</si>
  <si>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</si>
  <si>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</si>
  <si>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</si>
  <si>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</si>
  <si>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AMAZON,AMAZONDS,CSNSTORES,DESINC,KOHLDSN,MACY02,OVERSTOCK01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</si>
  <si>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</si>
  <si>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</si>
  <si>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</si>
  <si>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</si>
  <si>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</si>
  <si>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AMAZON,AMAZONDS,CSNSTORES,DESINC,HDDS,KIRKLANDDS,KOHLDSN,MACY02,NRTPORT,OLLIIX,OVERSTOCK01,TGTDVS,ZOLA</t>
  </si>
  <si>
    <t>II72-1226</t>
  </si>
  <si>
    <t>12/23/2021</t>
  </si>
  <si>
    <t>AMAZON,AMAZONDS,CSNSTORES,DESINC,HDDS,JCPENNEY01,KIRKLANDDS,KOHLDSN,MACY02,NRTPORT,OLLIIX,OVERSTOCK01,ZOLA</t>
  </si>
  <si>
    <t>II72-1291</t>
  </si>
  <si>
    <t>PP001715;PF005630</t>
  </si>
  <si>
    <t>9/26/2023</t>
  </si>
  <si>
    <t>AMAZON,AMAZONDS,CSNSTORES,DESINC,HDDS,KIRKLANDDS,KOHLDSN,MACY02,NRTPORT,OLLIIX,OVERSCONSIGN,OVERSTOCK01,TGTDVS,ZOLA</t>
  </si>
  <si>
    <t>II72-1227</t>
  </si>
  <si>
    <t>3/15/2022</t>
  </si>
  <si>
    <t>AMAZON,AMAZONDS,BLK01,CSNSTORES,DESINC,HDDS,JCPENNEY01,KIRKLANDDS,KOHLDSN,MACY02,NRTPORT,OLLIIX,OVERSCONSIGN,OVERSTOCK01,TGTDVS,ZOLA</t>
  </si>
  <si>
    <t>II70-779</t>
  </si>
  <si>
    <t>Cotton Printed Shower Curtain</t>
  </si>
  <si>
    <t>II70-541</t>
  </si>
  <si>
    <t>II70-1284</t>
  </si>
  <si>
    <t>Cotton Stripe Printed Shower Curtain with Tassel</t>
  </si>
  <si>
    <t>10/13/2022</t>
  </si>
  <si>
    <t>AMAZON,AMAZONDS,CSNSTORES,DESINC,HDDS,JCPENNEY01,KIRKLANDDS,KOHLDSN,NRTPORT,OLLIIX,OVERSTOCK01,TGTDVS,ZOLA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</si>
  <si>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</si>
  <si>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</si>
  <si>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</si>
  <si>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</si>
  <si>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AMAZON,AMAZONDS,CSNSTORES,DESINC,HDDS,JCPENNEY01,KIRKLANDDS,KOHLDSN,MACY02,OLLIIX,OVERSTOCK01,TGTDVS,ZOLA</t>
  </si>
  <si>
    <t>II70-1121</t>
  </si>
  <si>
    <t>PF004112;PP001556</t>
  </si>
  <si>
    <t>AMAZON,AMAZONDS,CSNSTORES,DESINC,HDDS,HOUZZ,JCPENNEY01,KIRKLANDDS,KOHLDSN,MACY02,NRTPORT,OLLIIX,OVERSTOCK01,TGTDVS,ZOLA</t>
  </si>
  <si>
    <t>II70-1319</t>
  </si>
  <si>
    <t>AMAZON,AMAZONDS,CSNSTORES,DESINC,HDDS,KOHLDSN,OLLIIX,OVERSCONSIGN,OVERSTOCK01,TGTDVS</t>
  </si>
  <si>
    <t>II70-1120</t>
  </si>
  <si>
    <t>Cotton Printed Shower Curtain with Trims</t>
  </si>
  <si>
    <t>6/30/2020</t>
  </si>
  <si>
    <t>AMAZON,CSNSTORES,DESINC,HDDS,JCPENNEY01,KIRKLANDDS,KOHLDSN,MACY02,OLLIIX,OVERSTOCK01,TGTDVS</t>
  </si>
  <si>
    <t>BR54-0525</t>
  </si>
  <si>
    <t>BLK</t>
  </si>
  <si>
    <t>ELECT BLANKET</t>
  </si>
  <si>
    <t>Electric Blanket</t>
  </si>
  <si>
    <t>Heated Plush</t>
  </si>
  <si>
    <t>Blanket</t>
  </si>
  <si>
    <t>PF003420</t>
  </si>
  <si>
    <t>AMAZON,AMAZONDS,BLK01,CSNSTORES,DESINC,FINGERHUTDS,KOHLDSN,MACY02,OVERSTOCK01,TGTDVS,WALMARTDS</t>
  </si>
  <si>
    <t>BR54-0526</t>
  </si>
  <si>
    <t>AMAZON,BLK01,CSNSTORES,FINGERHUTDS,KOHLDSN,MACY02,OVERSTOCK01,TGTDVS,WALMARTDS</t>
  </si>
  <si>
    <t>BR54-0527</t>
  </si>
  <si>
    <t>AMAZON,AMAZONDS,BEALLSDS,BLK01,CSNSTORES,FINGERHUTDS,HDDS,KOHLDSN,MACY02,OVERSTOCK01,TGTDVS,WALMARTDS</t>
  </si>
  <si>
    <t>11/4/2016</t>
  </si>
  <si>
    <t>BR54-0528</t>
  </si>
  <si>
    <t>BR54-0513</t>
  </si>
  <si>
    <t>PF003417</t>
  </si>
  <si>
    <t>AAFESDS,AMAZON,AMAZONDS,BLK01,FINGERHUTDS,HSNDS,KOHLDSN,MACY02,OLLIIX,OVERSTOCK01,WALMARTDS</t>
  </si>
  <si>
    <t>11/29/2017</t>
  </si>
  <si>
    <t>BR54-0515</t>
  </si>
  <si>
    <t>AAFESDS,AMAZON,AMAZONDS,BLK01,CSNSTORES,DESINC,FINGERHUTDS,HDDS,HSNDS,KOHLDSN,MACY02,NORDSTRACKDS,OLLIIX,OVERSTOCK01,TGTDVS,WALMARTDS</t>
  </si>
  <si>
    <t>BR54-0516</t>
  </si>
  <si>
    <t>AAFESDS,AMAZON,AMAZONDS,ASHFURNDS,BLK01,BLOOM02,CSNSTORES,DESINC,FINGERHUTDS,HDDS,KOHLDSN,MACY02,OLLIIX,OVERSTOCK01,TGTDVS,WALMARTDS</t>
  </si>
  <si>
    <t>BR54-0659</t>
  </si>
  <si>
    <t>Sapphire Blue</t>
  </si>
  <si>
    <t>PF003422</t>
  </si>
  <si>
    <t>AAFESDS,AMAZON,BLK01,CSNSTORES,DESINC,FINGERHUTDS,HDDS,KOHLDSN,MACY02,OVERSTOCK01,TGTDVS,WALMARTDS</t>
  </si>
  <si>
    <t>BR54-0660</t>
  </si>
  <si>
    <t>AAFESDS,AMAZON,AMAZONDS,BLK01,BLOOM02,CSNSTORES,DESINC,FINGERHUTDS,HSNDS,KOHLDSN,MACY02,NORDSTRACKDS,OVERSTOCK01,TGTDVS,WALMARTDS</t>
  </si>
  <si>
    <t>BR54-0661</t>
  </si>
  <si>
    <t>AMAZON,AMAZONDS,BLK01,BLOOM02,CSNSTORES,DESINC,FINGERHUTDS,HDDS,KOHLDSN,MACY02,NORDSTRACKDS,OLLIIX,OVERSTOCK01,TGTDVS,WALMARTDS</t>
  </si>
  <si>
    <t>BR54-0654</t>
  </si>
  <si>
    <t>Lavender</t>
  </si>
  <si>
    <t>PF003421</t>
  </si>
  <si>
    <t>AMAZON,BLK01,BLOOM02,CSNSTORES,KOHLDSN,MACY02,OLLIIX,WALMARTDS</t>
  </si>
  <si>
    <t>BR54-0655</t>
  </si>
  <si>
    <t>AAFESDS,AMAZON,AMAZONDS,BLK01,CSNSTORES,FINGERHUTDS,HDDS,KOHLDSN,OVERSTOCK01,TGTDVS,WALMARTDS</t>
  </si>
  <si>
    <t>BR54-0656</t>
  </si>
  <si>
    <t>AAFESDS,AMAZON,AMAZONDS,BLK01,CSNSTORES,FINGERHUTDS,HDDS,KOHLDSN,MACY02,OVERSTOCK01,TGTDVS,WALMARTDS</t>
  </si>
  <si>
    <t>BR54-0657</t>
  </si>
  <si>
    <t>AAFESDS,AMAZON,AMAZONDS,ASHFURNDS,BLK01,CSNSTORES,DESINC,FINGERHUTDS,HDDS,HSNDS,KOHLDSN,MACY02,OVERSTOCK01,TGTDVS,WALMARTDS</t>
  </si>
  <si>
    <t>11/16/2016</t>
  </si>
  <si>
    <t>BR54-0517</t>
  </si>
  <si>
    <t>PF003418</t>
  </si>
  <si>
    <t>AMAZON,AMAZONDS,BLK01,CSNSTORES,DESINC,HSNDS,KOHLDSN,MACY02,NORDSTRACKDS,OVERSTOCK01,WALMARTDS</t>
  </si>
  <si>
    <t>BR54-0518</t>
  </si>
  <si>
    <t>AMAZON,AMAZONDS,ASHFURNDS,BLK01,CSNSTORES,FINGERHUTDS,HDDS,KOHLDSN,MACY02,OVERSTOCK01,WALMARTDS</t>
  </si>
  <si>
    <t>BR54-0519</t>
  </si>
  <si>
    <t>AAFESDS,AMAZON,AMAZONDS,BLK01,CSNSTORES,DESINC,FINGERHUTDS,HDDS,HSNDS,KOHLDSN,MACY02,OLLIIX,OVERSTOCK01,TGTDVS,WALMARTDS</t>
  </si>
  <si>
    <t>BR54-0520</t>
  </si>
  <si>
    <t>AAFESDS,AMAZON,BLK01,BLOOM02,CSNSTORES,FINGERHUTDS,HDDS,KOHLDSN,MACY02,NORDSTRACKDS,OLLIIX,OVERSTOCK01,TGTDVS,WALMARTDS</t>
  </si>
  <si>
    <t>3/16/2017</t>
  </si>
  <si>
    <t>BR54-0521</t>
  </si>
  <si>
    <t>PF003419</t>
  </si>
  <si>
    <t>AAFESDS,AMAZON,BLK01,BLOOM02,CSNSTORES,KOHLDSN,MACY02,OLLIIX,OVERSTOCK01,TGTDVS,WALMARTDS</t>
  </si>
  <si>
    <t>BR54-0523</t>
  </si>
  <si>
    <t>AMAZON,AMAZONDS,BLK01,BLOOM02,CSNSTORES,FINGERHUTDS,HDDS,HOUZZ,KOHLDSN,MACY02,OLLIIX,OVERSTOCK01,TGTDVS,WALMARTDS</t>
  </si>
  <si>
    <t>BR54-0524</t>
  </si>
  <si>
    <t>AAFESDS,AMAZON,AMAZONDS,BLK01,BLOOM02,CSNSTORES,DESINC,FINGERHUTDS,HDDS,KOHLDSN,MACY02,NORDSTRACKDS,OLLIIX,OVERSTOCK01,TGTDVS,WALMARTDS</t>
  </si>
  <si>
    <t>BR54-0907</t>
  </si>
  <si>
    <t>PF004402</t>
  </si>
  <si>
    <t>AMAZON,AMAZONDS,BLK01,CSNSTORES,HDDS,KOHLDSN,MACY02,OVERSTOCK01,WALMARTDS</t>
  </si>
  <si>
    <t>BR54-0908</t>
  </si>
  <si>
    <t>AMAZON,AMAZONDS,ASHFURNDS,BLK01,CSNSTORES,HDDS,KOHLDSN,MACY02,NORDSTRACKDS,OVERSTOCK01,TGTDVS,WALMARTDS</t>
  </si>
  <si>
    <t>6/19/2019</t>
  </si>
  <si>
    <t>BR54-0909</t>
  </si>
  <si>
    <t>AMAZON,AMAZONDS,ASHFURNDS,BLK01,CSNSTORES,DESINC,HDDS,HSNDS,KOHLDSN,MACY02,NRTPORT,OVERSTOCK01,TGTDVS,WALMARTDS</t>
  </si>
  <si>
    <t>BR54-0910</t>
  </si>
  <si>
    <t>AMAZON,AMAZONDS,BLK01,CSNSTORES,DESINC,HDDS,HSNDS,KOHLDSN,MACY02,NRTPORT,OLLIIX,OVERSTOCK01,TGTDVS,WALMARTDS</t>
  </si>
  <si>
    <t>BR54-0903</t>
  </si>
  <si>
    <t>PF004401</t>
  </si>
  <si>
    <t>AMAZON,AMAZONDS,BLK01,BLOOM02,CSNSTORES,HDDS,KOHLDSN,MACY02,NRTPORT,OVERSTOCK01,TGTDVS,WALMARTDS</t>
  </si>
  <si>
    <t>10/9/2019</t>
  </si>
  <si>
    <t>BR54-0904</t>
  </si>
  <si>
    <t>AAFESDS,AMAZON,AMAZONDS,CSNSTORES,DESINC,KOHLDSN,MACY02,OVERSTOCK01,TGTDVS,WALMARTDS</t>
  </si>
  <si>
    <t>3/5/2019</t>
  </si>
  <si>
    <t>BR54-0905</t>
  </si>
  <si>
    <t>AMAZON,AMAZONDS,BLK01,CSNSTORES,HDDS,HOUZZ,KOHLDSN,MACY02,OVERSTOCK01,WALMARTDS</t>
  </si>
  <si>
    <t>5/6/2019</t>
  </si>
  <si>
    <t>BR54-0906</t>
  </si>
  <si>
    <t>AAFESDS,AMAZON,AMAZONDS,BLK01,CSNSTORES,DESINC,HDDS,KOHLDSN,MACY02,NRTPORT,OVERSTOCK01,TGTDVS,WALMARTDS</t>
  </si>
  <si>
    <t>2/28/2019</t>
  </si>
  <si>
    <t>3/18/2019</t>
  </si>
  <si>
    <t>BR54-1932</t>
  </si>
  <si>
    <t>PP001522;PF005167</t>
  </si>
  <si>
    <t>9/28/2020</t>
  </si>
  <si>
    <t>AMAZONDS,BLK01,CSNSTORES,FINGERHUTDS,KOHLDSN,MACY02,OVERSTOCK01,TGTDVS</t>
  </si>
  <si>
    <t>BR54-1933</t>
  </si>
  <si>
    <t>AMAZON,AMAZONDS,CSNSTORES,FINGERHUTDS,HDDS,KOHLDSN,MACY02,OLLIIX,OVERSTOCK01,TGTDVS</t>
  </si>
  <si>
    <t>BR54-1934</t>
  </si>
  <si>
    <t>9/16/2020</t>
  </si>
  <si>
    <t>AMAZONDS,BLK01,CSNSTORES,DESINC,FINGERHUTDS,HDDS,KOHLDSN,MACY02,OVERSTOCK01,TGTDVS</t>
  </si>
  <si>
    <t>BR54-1935</t>
  </si>
  <si>
    <t>AMAZON,AMAZONDS,BLK01,CSNSTORES,FINGERHUTDS,HDDS,KOHLDSN,MACY02,OLLIIX,OVERSTOCK01,TGTDVS</t>
  </si>
  <si>
    <t>BR54-1928</t>
  </si>
  <si>
    <t>PP001522;PF005166</t>
  </si>
  <si>
    <t>AMAZON,AMAZONDS,BLK01,FINGERHUTDS,KOHLDSN,MACY02,NORDSTRACKDS,OVERSTOCK01,TGTDVS</t>
  </si>
  <si>
    <t>BR54-1929</t>
  </si>
  <si>
    <t>AMAZON,AMAZONDS,ASHFURNDS,BLK01,CSNSTORES,DESINC,FINGERHUTDS,HDDS,KOHLDSN,MACY02,OVERSTOCK01,TGTDVS</t>
  </si>
  <si>
    <t>BR54-1930</t>
  </si>
  <si>
    <t>AMAZON,AMAZONDS,BLK01,CSNSTORES,FINGERHUTDS,KOHLDSN,MACY02,OVERSTOCK01,TGTDVS</t>
  </si>
  <si>
    <t>BR54-1931</t>
  </si>
  <si>
    <t>AMAZON,ASHFURNDS,BLK01,CSNSTORES,DESINC,FINGERHUTDS,HDDS,KOHLDSN,MACY02,OLLIIX,OVERSTOCK01,TGTDVS</t>
  </si>
  <si>
    <t>BR54-0183</t>
  </si>
  <si>
    <t>Electric Micro Fleece</t>
  </si>
  <si>
    <t>Heated Blanket</t>
  </si>
  <si>
    <t>PF003628</t>
  </si>
  <si>
    <t>Fleece</t>
  </si>
  <si>
    <t>10/17/2017</t>
  </si>
  <si>
    <t>AMAZON,AMAZONDS,BLK01,CSNSTORES,HDDS,KOHLDSN,MACY02,OVERSTOCK01,TGTDVS,WALMARTDS</t>
  </si>
  <si>
    <t>12/31/2015</t>
  </si>
  <si>
    <t>7/20/2019</t>
  </si>
  <si>
    <t>BR54-0184</t>
  </si>
  <si>
    <t>AAFESDS,AMAZON,CSNSTORES,HDDS,HSNDS,KOHLDSN,MACY02,OVERSTOCK01,TGTDVS,WALMARTDS</t>
  </si>
  <si>
    <t>3/30/2016</t>
  </si>
  <si>
    <t>BR54-0185</t>
  </si>
  <si>
    <t>AAFESDS,AMAZON,AMAZONDS,BLK01,CSNSTORES,HDDS,HSNDS,KOHLDSN,MACY02,OLLIIX,OVERSTOCK01,TGTDVS,WALMARTDS</t>
  </si>
  <si>
    <t>11/25/2015</t>
  </si>
  <si>
    <t>BR54-0186</t>
  </si>
  <si>
    <t>AAFESDS,AMAZON,AMAZONDS,BLK01,BLOOM02,CSNSTORES,KOHLDSN,MACY02,OLLIIX,OVERSTOCK01,TGTDVS,WALMARTDS</t>
  </si>
  <si>
    <t>BR54-0191</t>
  </si>
  <si>
    <t>PF003414</t>
  </si>
  <si>
    <t>AAFESDS,AMAZON,AMAZONDS,CSNSTORES,HDDS,KOHLDSN,MACY02,OVERSTOCK01,TGTDVS,WALMARTDS</t>
  </si>
  <si>
    <t>BR54-0192</t>
  </si>
  <si>
    <t>AMAZONDS,BLOOM02,CSNSTORES,HDDS,KOHLDSN,MACY02,OVERSTOCK01,TGTDVS,WALMARTDS</t>
  </si>
  <si>
    <t>6/16/2015</t>
  </si>
  <si>
    <t>BR54-0193</t>
  </si>
  <si>
    <t>AMAZON,AMAZONDS,BLK01,CSNSTORES,KOHLDSN,MACY02,OVERSTOCK01,TGTDVS,WALMARTDS</t>
  </si>
  <si>
    <t>4/17/2017</t>
  </si>
  <si>
    <t>BR54-0194</t>
  </si>
  <si>
    <t>AAFESDS,AMAZON,AMAZONDS,CSNSTORES,KOHLDSN,MACY02,OLLIIX,TGTDVS,WALMARTDS</t>
  </si>
  <si>
    <t>7/7/2015</t>
  </si>
  <si>
    <t>BR54-0187</t>
  </si>
  <si>
    <t>PF003639</t>
  </si>
  <si>
    <t>3/3/2015</t>
  </si>
  <si>
    <t>BR54-0188</t>
  </si>
  <si>
    <t>AAFESDS,AMAZON,BLK01,CSNSTORES,HDDS,HSNDS,KOHLDSN,MACY02,OLLIIX,OVERSTOCK01,TGTDVS,WALMARTDS</t>
  </si>
  <si>
    <t>2/10/2017</t>
  </si>
  <si>
    <t>BR54-0189</t>
  </si>
  <si>
    <t>AMAZON,AMAZONDS,BLK01,CSNSTORES,HDDS,KOHLDSN,MACY02,NORDSTRACKDS,OLLIIX,OVERSTOCK01,TGTDVS,WALMARTDS</t>
  </si>
  <si>
    <t>1/15/2015</t>
  </si>
  <si>
    <t>BR54-0190</t>
  </si>
  <si>
    <t>AAFESDS,AMAZON,BLK01,CSNSTORES,HDDS,KOHLDSN,MACY02,OVERSTOCK01,TGTDVS,WALMARTDS</t>
  </si>
  <si>
    <t>1/13/2015</t>
  </si>
  <si>
    <t>BR54-0175</t>
  </si>
  <si>
    <t>PF003606</t>
  </si>
  <si>
    <t>AAFESDS,AMAZON,AMAZONDS,ASHFURNDS,BLOOM02,CSNSTORES,HDDS,KOHLDSN,MACY02,NORDSTRACKDS,OVERSTOCK01,TGTDVS,WALMARTDS</t>
  </si>
  <si>
    <t>9/30/2015</t>
  </si>
  <si>
    <t>BR54-0177</t>
  </si>
  <si>
    <t>AAFESDS,AMAZON,AMAZONDS,BLK01,BLOOM02,CSNSTORES,HDDS,KOHLDSN,MACY02,NORDSTRACKDS,NRTPORT,OLLIIX,OVERSTOCK01,TGTDVS,WALMARTDS</t>
  </si>
  <si>
    <t>9/14/2015</t>
  </si>
  <si>
    <t>BR54-0178</t>
  </si>
  <si>
    <t>AMAZONDS,BLK01,BLOOM02,CSNSTORES,HDDS,KOHLDSN,MACY02,NORDSTRACKDS,OLLIIX,OVERSTOCK01,TGTDVS,WALMARTDS</t>
  </si>
  <si>
    <t>3/2/2015</t>
  </si>
  <si>
    <t>BR54-0411</t>
  </si>
  <si>
    <t>PF003425</t>
  </si>
  <si>
    <t>4/12/2017</t>
  </si>
  <si>
    <t>AAFESDS,AMAZON,BLOOM02,CSNSTORES,HDDS,HSNDS,KOHLDSN,MACY02,OLLIIX,OVERSTOCK01,TGTDVS</t>
  </si>
  <si>
    <t>BR54-0412</t>
  </si>
  <si>
    <t>AAFESDS,AMAZON,BLK01,CSNSTORES,HDDS,KOHLDSN,MACY02,OLLIIX,OVERSTOCK01,TGTDVS,WALMARTDS</t>
  </si>
  <si>
    <t>BR54-0414</t>
  </si>
  <si>
    <t>AAFESDS,AMAZONDS,BLK01,BLOOM02,CSNSTORES,HDDS,HSNDS,KOHLDSN,MACY02,OLLIIX,OVERSTOCK01,TGTDVS,WALMARTDS</t>
  </si>
  <si>
    <t>BR54-0179</t>
  </si>
  <si>
    <t>PF003617</t>
  </si>
  <si>
    <t>AAFESDS,AMAZON,AMAZONDS,BLOOM02,CSNSTORES,KOHLDSN,MACY02,OLLIIX,OVERSTOCK01,TGTDVS,WALMARTDS</t>
  </si>
  <si>
    <t>2/19/2015</t>
  </si>
  <si>
    <t>BR54-0180</t>
  </si>
  <si>
    <t>AMAZON,AMAZONDS,BLK01,CSNSTORES,KOHLDSN,MACY02,NORDSTRACKDS,OVERSTOCK01,WALMARTDS</t>
  </si>
  <si>
    <t>2/18/2016</t>
  </si>
  <si>
    <t>BR54-0181</t>
  </si>
  <si>
    <t>BR54-0182</t>
  </si>
  <si>
    <t>AAFESDS,AMAZONDS,BLK01,BLOOM02,CSNSTORES,HDDS,KOHLDSN,MACY02,OLLIIX,OVERSTOCK01,TGTDVS,WALMARTDS</t>
  </si>
  <si>
    <t>BR54-3258</t>
  </si>
  <si>
    <t>12/22/2021</t>
  </si>
  <si>
    <t>AAFESDS,AMAZON,AMAZONDS,CSNSTORES,KOHLDSN,MACY02,OVERSTOCK01,TGTDVS</t>
  </si>
  <si>
    <t>BR54-3259</t>
  </si>
  <si>
    <t>AAFESDS,AMAZON,AMAZONDS,BLK01,CSNSTORES,DESINC,HDDS,KOHLDSN,MACY02,OVERSTOCK01,TGTDVS</t>
  </si>
  <si>
    <t>BR54-3260</t>
  </si>
  <si>
    <t>AAFESDS,AMAZON,CSNSTORES,HDDS,KOHLDSN,MACY02,OVERSTOCK01,TGTDVS</t>
  </si>
  <si>
    <t>BR54-0386</t>
  </si>
  <si>
    <t>Heated Microlight to Berber</t>
  </si>
  <si>
    <t>Chocolate</t>
  </si>
  <si>
    <t>PF003603</t>
  </si>
  <si>
    <t>Berber</t>
  </si>
  <si>
    <t>AMAZON,AMAZONDS,BLK01,CSNSTORES,FINGERHUTDS,KOHLDSN,MACY02,TGTDVS,WALMARTDS</t>
  </si>
  <si>
    <t>BR54-0387</t>
  </si>
  <si>
    <t>AMAZON,AMAZONDS,CSNSTORES,FINGERHUTDS,HDDS,KOHLDSN,MACY02,OVERSTOCK01,WALMARTDS</t>
  </si>
  <si>
    <t>7/31/2015</t>
  </si>
  <si>
    <t>BR54-0388</t>
  </si>
  <si>
    <t>AMAZON,AMAZONDS,BLOOM02,CSNSTORES,FINGERHUTDS,HDDS,KOHLDSN,MACY02,TGTDVS,WALMARTDS</t>
  </si>
  <si>
    <t>11/30/2015</t>
  </si>
  <si>
    <t>BR54-0646</t>
  </si>
  <si>
    <t>PF003607</t>
  </si>
  <si>
    <t>AMAZON,AMAZONDS,CSNSTORES,FINGERHUTDS,KOHLDSN,MACY02,NORDSTRACKDS,OVERSTOCK01,TGTDVS</t>
  </si>
  <si>
    <t>10/19/2017</t>
  </si>
  <si>
    <t>BR54-0647</t>
  </si>
  <si>
    <t>AMAZON,AMAZONDS,BLK01,CSNSTORES,FINGERHUTDS,KOHLDSN,NORDSTRACKDS,OVERSTOCK01,WALMARTDS</t>
  </si>
  <si>
    <t>BR54-0648</t>
  </si>
  <si>
    <t>AMAZON,AMAZONDS,ASHFURNDS,BEALLSDS,BLK01,BLOOM02,CSNSTORES,FINGERHUTDS,HDDS,KOHLDSN,MACY02,OLLIIX,OVERSTOCK01,TGTDVS,WALMARTDS</t>
  </si>
  <si>
    <t>12/18/2016</t>
  </si>
  <si>
    <t>BR54-0649</t>
  </si>
  <si>
    <t>AMAZON,AMAZONDS,ASHFURNDS,BLK01,BLOOM02,CSNSTORES,FINGERHUTDS,HDDS,KOHLDSN,MACY02,OLLIIX,OVERSTOCK01,TGTDVS,WALMARTDS</t>
  </si>
  <si>
    <t>12/21/2016</t>
  </si>
  <si>
    <t>BR54-0390</t>
  </si>
  <si>
    <t>PF003604</t>
  </si>
  <si>
    <t>AMAZON,AMAZONDS,CSNSTORES,FINGERHUTDS,HDDS,KOHLDSN,MACY02,OLLIIX,OVERSTOCK01,TGTDVS,WALMARTDS</t>
  </si>
  <si>
    <t>BR54-0391</t>
  </si>
  <si>
    <t>AMAZON,AMAZONDS,FINGERHUTDS,HDDS,KOHLDSN,OLLIIX,TGTDVS,WALMARTDS</t>
  </si>
  <si>
    <t>11/2/2015</t>
  </si>
  <si>
    <t>BR54-0392</t>
  </si>
  <si>
    <t>4/20/2017</t>
  </si>
  <si>
    <t>AMAZON,BLK01,CSNSTORES,HDDS,KOHLDSN,MACY02,OLLIIX,OVERSTOCK01,TGTDVS,WALMARTDS</t>
  </si>
  <si>
    <t>11/12/2015</t>
  </si>
  <si>
    <t>BR54-0416</t>
  </si>
  <si>
    <t>PF003605</t>
  </si>
  <si>
    <t>AMAZON,BLK01,BLOOM02,CSNSTORES,KOHLDSN,MACY02,OLLIIX,TGTDVS,WALMARTDS</t>
  </si>
  <si>
    <t>BR54-0417</t>
  </si>
  <si>
    <t>AMAZON,BLOOM02,CSNSTORES,HDDS,KOHLDSN,MACY02,OLLIIX,OVERSTOCK01</t>
  </si>
  <si>
    <t>BR54-0419</t>
  </si>
  <si>
    <t>AMAZON,AMAZONDS,BLK01,BLOOM02,CSNSTORES,FINGERHUTDS,KOHLDSN,MACY02,OLLIIX,OVERSTOCK01,TGTDVS,WALMARTDS</t>
  </si>
  <si>
    <t>11/8/2016</t>
  </si>
  <si>
    <t>BR54-0377</t>
  </si>
  <si>
    <t>PF003601</t>
  </si>
  <si>
    <t>AMAZON,AMAZONDS,BLK01,CSNSTORES,HDDS,KOHLDSN,MACY02,WALMARTDS</t>
  </si>
  <si>
    <t>BR54-0379</t>
  </si>
  <si>
    <t>AMAZON,AMAZONDS,BLOOM02,CSNSTORES,FINGERHUTDS,HSNDS,KOHLDSN,MACY02,OLLIIX,OVERSTOCK01,TGTDVS,WALMARTDS</t>
  </si>
  <si>
    <t>10/21/2015</t>
  </si>
  <si>
    <t>BR54-0653</t>
  </si>
  <si>
    <t>PF003608</t>
  </si>
  <si>
    <t>AMAZON,AMAZONDS,BLK01,BLOOM02,CSNSTORES,DESINC,HDDS,KOHLDSN,MACY02,NORDSTRACKDS,OLLIIX,OVERSTOCK01,TGTDVS,WALMARTDS</t>
  </si>
  <si>
    <t>BR54-0383</t>
  </si>
  <si>
    <t>PF003602</t>
  </si>
  <si>
    <t>AMAZON,AMAZONDS,BLK01,CSNSTORES,HDDS,KOHLDSN,MACY02,OLLIIX,OVERSTOCK01,TGTDVS,WALMARTDS</t>
  </si>
  <si>
    <t>11/9/2015</t>
  </si>
  <si>
    <t>BR54-1941</t>
  </si>
  <si>
    <t>PP001523;PF005169</t>
  </si>
  <si>
    <t>AMAZON,AMAZONDS,CSNSTORES,FINGERHUTDS,HDDS,KOHLDSN,MACY02,NORDSTRACKDS,OLLIIX,OVERSTOCK01,TGTDVS</t>
  </si>
  <si>
    <t>BR54-1942</t>
  </si>
  <si>
    <t>BR54-1943</t>
  </si>
  <si>
    <t>BR54-4128</t>
  </si>
  <si>
    <t>Microplush</t>
  </si>
  <si>
    <t>Heated Blanket with Wifi Technology</t>
  </si>
  <si>
    <t>PP001882;PF006002</t>
  </si>
  <si>
    <t>9/9/2023</t>
  </si>
  <si>
    <t>AMAZON,CSNSTORES,HDDS,JCPENNEY01,KOHLDSN,MACY02,OLLIIX,OVERSTOCK01,TGTDVS</t>
  </si>
  <si>
    <t>BR54-4129</t>
  </si>
  <si>
    <t>BR54-4126</t>
  </si>
  <si>
    <t>PP001882;PF006001</t>
  </si>
  <si>
    <t>AMAZON,BLK01,CSNSTORES,HDDS,JCPENNEY01,KOHLDSN,OLLIIX,OVERSTOCK01,TGTDVS</t>
  </si>
  <si>
    <t>BR54-4127</t>
  </si>
  <si>
    <t>AMAZON,CSNSTORES,JCPENNEY01,KOHLDSN,MACY02,OLLIIX,TGTDVS</t>
  </si>
  <si>
    <t>BR54-4130</t>
  </si>
  <si>
    <t>PP001882;PF006003</t>
  </si>
  <si>
    <t>BR54-4131</t>
  </si>
  <si>
    <t>AMAZON,BLK01,JCPENNEY01,KOHLDSN,MACY02,OLLIIX,OVERSTOCK01,TGTDVS</t>
  </si>
  <si>
    <t>BR54-0538</t>
  </si>
  <si>
    <t>Electric Throw</t>
  </si>
  <si>
    <t>Heated Ogee</t>
  </si>
  <si>
    <t>Throw</t>
  </si>
  <si>
    <t>60x70"</t>
  </si>
  <si>
    <t>PF003424</t>
  </si>
  <si>
    <t>AMAZON,AMAZONDS,CSNSTORES,FINGERHUTDS,HDDS,HSNDS,KOHLDSN,MACY02,NORDSTRACKDS,OLLIIX,OVERSTOCK01,TGTDVS,WALMARTDS</t>
  </si>
  <si>
    <t>BR54-0541</t>
  </si>
  <si>
    <t>PF003428</t>
  </si>
  <si>
    <t>AMAZON,AMAZONDS,CSNSTORES,FINGERHUTDS,HDDS,KOHLDSN,MACY02,NORDSTRACKDS,OVERSTOCK01,TGTDVS,WALMARTDS</t>
  </si>
  <si>
    <t>BR54-0539</t>
  </si>
  <si>
    <t>PF003426</t>
  </si>
  <si>
    <t>AMAZON,AMAZONDS,BLK01,CSNSTORES,FINGERHUTDS,HDDS,KOHLDSN,MACY02,OVERSTOCK01,TGTDVS,WALMARTDS</t>
  </si>
  <si>
    <t>BR54-0664</t>
  </si>
  <si>
    <t>4/13/2017</t>
  </si>
  <si>
    <t>AMAZON,AMAZONDS,BEALLSDS,BLK01,CSNSTORES,HDDS,HSNDS,KOHLDSN,MACY02,NORDSTRACKDS,OLLIIX,OVERSTOCK01,TGTDVS,WALMARTDS</t>
  </si>
  <si>
    <t>BR54-0665</t>
  </si>
  <si>
    <t>10/28/2016</t>
  </si>
  <si>
    <t>BR54-0529</t>
  </si>
  <si>
    <t>AMAZON,AMAZONDS,BLK01,CSNSTORES,HDDS,HSNDS,KOHLDSN,MACY02,NORDSTRACKDS,OLLIIX,OVERSTOCK01,TGTDVS,WALMARTDS</t>
  </si>
  <si>
    <t>BR54-0531</t>
  </si>
  <si>
    <t>BR54-1923</t>
  </si>
  <si>
    <t>PF004401;PP001522</t>
  </si>
  <si>
    <t>AMAZON,AMAZONDS,BLK01,CSNSTORES,HDDS,KOHLDSN,MACY02,NORDSTRACKDS,OVERSTOCK01,TGTDVS</t>
  </si>
  <si>
    <t>BR54-1925</t>
  </si>
  <si>
    <t>BR54-1924</t>
  </si>
  <si>
    <t>AMAZON,AMAZONDS,BLK01,CSNSTORES,HDDS,KOHLDSN,MACY02,NORDSTRACKDS,OLLIIX,OVERSTOCK01,TGTDVS</t>
  </si>
  <si>
    <t>BR54-0310</t>
  </si>
  <si>
    <t>PF003571</t>
  </si>
  <si>
    <t>AMAZON,AMAZONDS,CSNSTORES,HDDS,HSNDS,KOHLDSN,MACY02,OLLIIX,OVERSTOCK01,TGTDVS,WALMARTDS</t>
  </si>
  <si>
    <t>BR54-0415</t>
  </si>
  <si>
    <t>PF003574</t>
  </si>
  <si>
    <t>AMAZON,AMAZONDS,BLK01,CSNSTORES,FINGERHUTDS,HDDS,HSNDS,KOHLDSN,MACY02,NORDSTRACKDS,TGTDVS,WALMARTDS,ZOLA</t>
  </si>
  <si>
    <t>BR54-0662</t>
  </si>
  <si>
    <t>PF003575</t>
  </si>
  <si>
    <t>AMAZON,CSNSTORES,HSNDS,KOHLDSN,MACY02,TGTDVS,WALMARTDS</t>
  </si>
  <si>
    <t>12/8/2016</t>
  </si>
  <si>
    <t>BR54-0663</t>
  </si>
  <si>
    <t>PF003576</t>
  </si>
  <si>
    <t>AMAZON,AMAZONDS,BLK01,CSNSTORES,FINGERHUTDS,HDDS,HSNDS,KOHLDSN,MACY02,NORDSTRACKDS,OVERSTOCK01,TGTDVS,WALMARTDS</t>
  </si>
  <si>
    <t>11/17/2016</t>
  </si>
  <si>
    <t>BR54-0309</t>
  </si>
  <si>
    <t>PF003570</t>
  </si>
  <si>
    <t>AMAZON,AMAZONDS,BLK01,CSNSTORES,FINGERHUTDS,HDDS,HSNDS,KOHLDSN,MACY02,NORDSTRACKDS,OLLIIX,OVERSTOCK01,TGTDVS</t>
  </si>
  <si>
    <t>BR54-1927</t>
  </si>
  <si>
    <t>AMAZON,AMAZONDS,BLK01,FINGERHUTDS,HDDS,KOHLDSN,MACY02,NORDSTRACKDS,OVERSTOCK01,TGTDVS</t>
  </si>
  <si>
    <t>BR54-1926</t>
  </si>
  <si>
    <t>PP001523;PF005168</t>
  </si>
  <si>
    <t>AMAZON,AMAZONDS,BLK01,CSNSTORES,FINGERHUTDS,HDDS,KOHLDSN,MACY02,NORDSTRACKDS,OVERSTOCK01,TGTDVS</t>
  </si>
  <si>
    <t>BR54-4697</t>
  </si>
  <si>
    <t>Zuri</t>
  </si>
  <si>
    <t>Marselle</t>
  </si>
  <si>
    <t>Oversized Faux Fur Heated Throw</t>
  </si>
  <si>
    <t>Black Texture</t>
  </si>
  <si>
    <t>PP000539;PF006353</t>
  </si>
  <si>
    <t>Faux Fur</t>
  </si>
  <si>
    <t>9/24/2024</t>
  </si>
  <si>
    <t>BR54-2863</t>
  </si>
  <si>
    <t>PP000539;PF004618</t>
  </si>
  <si>
    <t>7/16/2021</t>
  </si>
  <si>
    <t>AMAZON,BIGLOTSDS,BLK01,CSNSTORES,FINGERHUTDS,HDDS,JCPENNEY01,KIRKLANDDS,KOHLDSN,MACY02,NORDSTRACKDS,OVERSTOCK01,TGTDVS,ZOLA</t>
  </si>
  <si>
    <t>BR54-4699</t>
  </si>
  <si>
    <t>Brown Texture</t>
  </si>
  <si>
    <t>BR54-4181</t>
  </si>
  <si>
    <t>PP000539;PF006059</t>
  </si>
  <si>
    <t>11/7/2023</t>
  </si>
  <si>
    <t>AMAZON,HDDS,JCPENNEY01,KOHLDSN,MACY02,OLLIIX,OVERSTOCK01,TGTDVS</t>
  </si>
  <si>
    <t>BR54-0859</t>
  </si>
  <si>
    <t>PP000539;PF004296</t>
  </si>
  <si>
    <t>5/14/2018</t>
  </si>
  <si>
    <t>AMAZON,AMAZONDS,BIGLOTSDS,BLK01,CSNSTORES,DESINC,FINGERHUTDS,HDDS,JCPENNEY01,KIRKLANDDS,KOHLDSN,MACY02,OLLIIX,OVERSTOCK01,TGTDVS,ZOLA</t>
  </si>
  <si>
    <t>7/3/2019</t>
  </si>
  <si>
    <t>BR54-4182</t>
  </si>
  <si>
    <t>Grey Leopard</t>
  </si>
  <si>
    <t>PP000539;PF006060</t>
  </si>
  <si>
    <t>BR54-4698</t>
  </si>
  <si>
    <t>Grey Texture</t>
  </si>
  <si>
    <t>AMAZON,AMAZONDS,KOHLDSN,MACY02</t>
  </si>
  <si>
    <t>BR54-1370</t>
  </si>
  <si>
    <t>Grey/Blue</t>
  </si>
  <si>
    <t>PP001364;PF004861</t>
  </si>
  <si>
    <t>AMAZON,BIGLOTSDS,BLK01,CSNSTORES,FINGERHUTDS,HDDS,HSNDS,JCPENNEY01,KOHLDSN,MACY02,OLLIIX,OVERSTOCK01,TGTDVS</t>
  </si>
  <si>
    <t>BR54-4696</t>
  </si>
  <si>
    <t>Ivory Texture</t>
  </si>
  <si>
    <t>AMAZONDS,BLK01,KOHLDSN,MACY02,OVERSTOCK01,TGTDVS</t>
  </si>
  <si>
    <t>BR54-1371</t>
  </si>
  <si>
    <t>Natural Marble</t>
  </si>
  <si>
    <t>PP001364;PF004862</t>
  </si>
  <si>
    <t>10/8/2019</t>
  </si>
  <si>
    <t>AMAZON,AMAZONDS,BIGLOTSDS,CSNSTORES,FINGERHUTDS,HDDS,JCPENNEY01,KIRKLANDDS,KOHLDSN,MACY02,OLLIIX,OVERSTOCK01,TGTDVS,ZOLA</t>
  </si>
  <si>
    <t>BR54-0860</t>
  </si>
  <si>
    <t>PP000539;PF004297</t>
  </si>
  <si>
    <t>AMAZON,AMAZONDS,BLK01,CSNSTORES,FINGERHUTDS,HDDS,JCPENNEY01,KIRKLANDDS,KOHLDSN,MACY02,OLLIIX,OVERSTOCK01,TGTDVS,ZOLA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</si>
  <si>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</si>
  <si>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</si>
  <si>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</si>
  <si>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</si>
  <si>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</si>
  <si>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</si>
  <si>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AMAZON,AMAZONDS,ASHFURNDS,CSNSTORES,HDDS,HSNDS,JCPENNEY01,KOHLDSN,OVERSTOCK01,TGTDVS,WALMARTDS</t>
  </si>
  <si>
    <t>BR55-0671</t>
  </si>
  <si>
    <t>AMAZON,AMAZONDS,CSNSTORES,JCPENNEY01,KOHLDSN,MACY02,NORDSTRACKDS,OLLIIX,OVERSTOCK01,WALMARTDS</t>
  </si>
  <si>
    <t>2/9/2017</t>
  </si>
  <si>
    <t>BR55-0199</t>
  </si>
  <si>
    <t>AMAZON,BLK01,CSNSTORES,HSNDS,JCPENNEY01,KOHLDSN,MACY02,OLLIIX,OVERSTOCK01,WALMARTDS</t>
  </si>
  <si>
    <t>BR55-0200</t>
  </si>
  <si>
    <t>AMAZON,ASHFURNDS,BLK01,CSNSTORES,DESINC,HDDS,HSNDS,JCPENNEY01,KOHLDSN,MACY02,OLLIIX,OVERSTOCK01,TGTDVS,WALMARTDS</t>
  </si>
  <si>
    <t>BR55-0201</t>
  </si>
  <si>
    <t>AMAZON,ASHFURNDS,BLK01,CSNSTORES,HDDS,HSNDS,JCPENNEY01,KOHLDSN,MACY02,NORDSTRACKDS,OLLIIX,OVERSCONSIGN,OVERSTOCK01,TGTDVS,WALMARTDS</t>
  </si>
  <si>
    <t>BR55-0202</t>
  </si>
  <si>
    <t>AMAZON,HDDS,HSNDS,JCPENNEY01,KOHLDSN,MACY02,OLLIIX,OVERSTOCK01,TGTDVS,WALMARTDS</t>
  </si>
  <si>
    <t>BR55-0533</t>
  </si>
  <si>
    <t>Heated Microfiber</t>
  </si>
  <si>
    <t>Heated Mattress Pad with 3M Scotchgard</t>
  </si>
  <si>
    <t>PF003423</t>
  </si>
  <si>
    <t>AMAZON,ASHFURNDS,BLK01,CSNSTORES,HDDS,HSNDS,JCPENNEY01,KOHLDSN,MACY02,OLLIIX,OVERSTOCK01,TGTDVS,WALMARTDS</t>
  </si>
  <si>
    <t>12/28/2015</t>
  </si>
  <si>
    <t>BR55-0534</t>
  </si>
  <si>
    <t>AMAZON,AMAZONDS,ASHFURNDS,BLK01,CSNSTORES,HDDS,HOUZZ,HSNDS,JCPENNEY01,KOHLDSN,MACY02,OLLIIX,OVERSTOCK01,TGTDVS,WALMARTDS</t>
  </si>
  <si>
    <t>BR55-0535</t>
  </si>
  <si>
    <t>AMAZON,AMAZONDS,BLK01,CSNSTORES,HDDS,HSNDS,JCPENNEY01,KOHLDSN,MACY02,NORDSTRACKDS,OLLIIX,OVERSTOCK01,TGTDVS,WALMARTDS</t>
  </si>
  <si>
    <t>BR55-0536</t>
  </si>
  <si>
    <t>5/6/2017</t>
  </si>
  <si>
    <t>AMAZON,ASHFURNDS,BLK01,CSNSTORES,HDDS,JCPENNEY01,KOHLDSN,MACY02,OLLIIX,OVERSTOCK01,TGTDVS,WALMARTDS</t>
  </si>
  <si>
    <t>1/4/2016</t>
  </si>
  <si>
    <t>BR55-3064</t>
  </si>
  <si>
    <t>Cotton Deep Pocket Heated Mattress Pad-20 Heat Settings</t>
  </si>
  <si>
    <t>12/1/2021</t>
  </si>
  <si>
    <t>AMAZON,CSNSTORES,DESINC,JCPENNEY01,KOHLDSN,MACY02,OVERSTOCK01,TGTDVS</t>
  </si>
  <si>
    <t>BR55-3065</t>
  </si>
  <si>
    <t>AMAZON,BLK01,CSNSTORES,DESINC,HDDS,JCPENNEY01,KOHLDSN,MACY02,NORDSTRACKDS,OLLIIX,OVERSTOCK01,TGTDVS</t>
  </si>
  <si>
    <t>BR55-0900</t>
  </si>
  <si>
    <t>PF004400</t>
  </si>
  <si>
    <t>10/29/2018</t>
  </si>
  <si>
    <t>AMAZON,AMAZONDS,ASHFURNDS,BLK01,CSNSTORES,DESINC,HDDS,JCPENNEY01,KOHLDSN,MACY02,NORDSTRACKDS,OLLIIX,OVERSTOCK01,TGTDVS,WALMARTDS</t>
  </si>
  <si>
    <t>9/17/2019</t>
  </si>
  <si>
    <t>BR55-0901</t>
  </si>
  <si>
    <t>AMAZON,AMAZONDS,ASHFURNDS,BLK01,CSNSTORES,DESINC,HDDS,JCPENNEY01,KOHLDSN,MACY02,NORDSTRACKDS,OLLIIX,OVERSCONSIGN,OVERSTOCK01,TGTDVS,WALMARTDS</t>
  </si>
  <si>
    <t>BR55-4071</t>
  </si>
  <si>
    <t>Cool Touch</t>
  </si>
  <si>
    <t>PP001881;PF005998</t>
  </si>
  <si>
    <t>7/5/2023</t>
  </si>
  <si>
    <t>AMAZON,AMAZONDS,DESINC,JCPENNEY01,KOHLDSN,MACY02,OLLIIX,OVERSTOCK01,TGTDVS</t>
  </si>
  <si>
    <t>BR55-4072</t>
  </si>
  <si>
    <t>BR55-4073</t>
  </si>
  <si>
    <t>BR55-4074</t>
  </si>
  <si>
    <t>BR55-4075</t>
  </si>
  <si>
    <t>AMAZON,BLK01,CSNSTORES,DESINC,HDDS,JCPENNEY01,KOHLDSN,MACY02,OLLIIX,OVERSTOCK01,TGTDVS</t>
  </si>
  <si>
    <t>BR55-4076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</si>
  <si>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</si>
  <si>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</si>
  <si>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</si>
  <si>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</si>
  <si>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</si>
  <si>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</si>
  <si>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</si>
  <si>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</si>
  <si>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</si>
  <si>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</si>
  <si>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</si>
  <si>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</si>
  <si>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</si>
  <si>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</si>
  <si>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</si>
  <si>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</si>
  <si>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</si>
  <si>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</si>
  <si>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AMAZON,AMAZONDS,JCPENNEY01,KOHLDSN,MACY02,OLLIIX,TGTDVS</t>
  </si>
  <si>
    <t>BR51-4438</t>
  </si>
  <si>
    <t>BR51-4439</t>
  </si>
  <si>
    <t>BR51N-3831</t>
  </si>
  <si>
    <t>Waffle Weave</t>
  </si>
  <si>
    <t>Cotton Blanket</t>
  </si>
  <si>
    <t>PP001817;PF005834</t>
  </si>
  <si>
    <t>11/21/2022</t>
  </si>
  <si>
    <t>BR51N-3832</t>
  </si>
  <si>
    <t>BR51N-3833</t>
  </si>
  <si>
    <t>BR51N-3834</t>
  </si>
  <si>
    <t>PP001817;PF005835</t>
  </si>
  <si>
    <t>2/21/2025</t>
  </si>
  <si>
    <t>BR51N-3835</t>
  </si>
  <si>
    <t>11/23/2022</t>
  </si>
  <si>
    <t>AAFESDS,AMAZONDS,BLK01,CSNSTORES,JCPENNEY01,KOHLDSN,MACY02,OLLIIX,OVERSTOCK01,TGTDVS,ZOLA</t>
  </si>
  <si>
    <t>BR51N-3836</t>
  </si>
  <si>
    <t>AMAZONDS,BLK01,CSNSTORES,DESINC,HOUZZ,JCPENNEY01,KOHLDSN,MACY02,OLLIIX,OVERSTOCK01,TGTDVS,ZOLA</t>
  </si>
  <si>
    <t>BR51N-3828</t>
  </si>
  <si>
    <t>PP001817;PF005833</t>
  </si>
  <si>
    <t>BR51N-3829</t>
  </si>
  <si>
    <t>AMAZONDS,BLK01,CSNSTORES,HOUZZ,JCPENNEY01,KOHLDSN,MACY02,OLLIIX,OVERSTOCK01,TGTDVS,ZOLA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</si>
  <si>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</si>
  <si>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</si>
  <si>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</si>
  <si>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</si>
  <si>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</si>
  <si>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</si>
  <si>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</si>
  <si>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AAFESDS,AMAZONDS,BLK01,CSNSTORES,JCPENNEY01,KOHLDSN,MACY02,OLLIIX,OVERSTOCK01,TGTDVS</t>
  </si>
  <si>
    <t>BR51N-3838</t>
  </si>
  <si>
    <t>BR51N-3839</t>
  </si>
  <si>
    <t>AAFESDS,AMAZONDS,BLK01,CSNSTORES,DESINC,JCPENNEY01,KOHLDSN,MACY02,OLLIIX,OVERSTOCK01,TGTDVS,ZOLA</t>
  </si>
  <si>
    <t>BR51N-3822</t>
  </si>
  <si>
    <t>PP001817;PF005831</t>
  </si>
  <si>
    <t>BR51N-3823</t>
  </si>
  <si>
    <t>BR51N-3824</t>
  </si>
  <si>
    <t>AAFESDS,AMAZONDS,BLK01,CSNSTORES,DESINC,HOUZZ,JCPENNEY01,KOHLDSN,MACY02,OLLIIX,OVERSTOCK01,TGTDVS,ZOLA</t>
  </si>
  <si>
    <t>BL51N-0860</t>
  </si>
  <si>
    <t>Freshspun Basketweave</t>
  </si>
  <si>
    <t>PF003483</t>
  </si>
  <si>
    <t>AMAZON,AMAZONDS,ASHFURNDS,BLK01,CSNSTORES,JCPENNEY01,KOHLDSN,MACY02,OLLIIX,OVERSTOCK01,TGTDVS,WALMARTDS</t>
  </si>
  <si>
    <t>BL51N-0861</t>
  </si>
  <si>
    <t>AMAZON,AMAZONDS,BIGLOTSDS,BLK01,CSNSTORES,HSNDS,JCPENNEY01,KOHLDSN,MACY02,NRTPORT,OLLIIX,OVERSTOCK01,TGTDVS,WALMARTDS</t>
  </si>
  <si>
    <t>11/1/2016</t>
  </si>
  <si>
    <t>BL51N-0862</t>
  </si>
  <si>
    <t>AMAZON,AMAZONDS,ASHFURNDS,BEALLSDS,BIGLOTSDS,BLK01,CSNSTORES,DESINC,JCPENNEY01,KOHLDSN,MACY02,NRTPORT,OLLIIX,TGTDVS,WALMARTDS</t>
  </si>
  <si>
    <t>BL51N-0851</t>
  </si>
  <si>
    <t>PF003481</t>
  </si>
  <si>
    <t>AMAZON,AMAZONDS,ASHFURNDS,BEALLSDS,BIGLOTSDS,BLK01,CSNSTORES,JCPENNEY01,KOHLDSN,MACY02,OVERSTOCK01,TGTDVS,WALMARTDS</t>
  </si>
  <si>
    <t>11/2/2016</t>
  </si>
  <si>
    <t>BL51N-0852</t>
  </si>
  <si>
    <t>AMAZON,AMAZONDS,ASHFURNDS,BIGLOTSDS,BLK01,CSNSTORES,DESINC,HSNDS,JCPENNEY01,KOHLDSN,MACY02,OLLIIX,OVERSTOCK01,TGTDVS,WALMARTDS</t>
  </si>
  <si>
    <t>BL51N-0853</t>
  </si>
  <si>
    <t>AMAZON,AMAZONDS,BEALLSDS,BIGLOTSDS,CSNSTORES,HSNDS,JCPENNEY01,KOHLDSN,MACY02,OLLIIX,OVERSTOCK01,TGTDVS,WALMARTDS</t>
  </si>
  <si>
    <t>BL51N-0866</t>
  </si>
  <si>
    <t>PF003485</t>
  </si>
  <si>
    <t>AMAZON,AMAZONDS,BEALLSDS,BLK01,CSNSTORES,HSNDS,JCPENNEY01,KOHLDSN,MACY02,OVERSTOCK01,TGTDVS,WALMARTDS</t>
  </si>
  <si>
    <t>BL51N-0868</t>
  </si>
  <si>
    <t>AMAZON,AMAZONDS,ASHFURNDS,BEALLSDS,BLK01,CSNSTORES,HSNDS,JCPENNEY01,KOHLDSN,MACY02,OLLIIX,OVERSTOCK01,TGTDVS,WALMARTDS</t>
  </si>
  <si>
    <t>BL51N-0845</t>
  </si>
  <si>
    <t>PF003478</t>
  </si>
  <si>
    <t>AMAZON,AMAZONDS,BIGLOTSDS,BLK01,CSNSTORES,HSNDS,JCPENNEY01,KOHLDSN,MACY02,TGTDVS,WALMARTDS</t>
  </si>
  <si>
    <t>BL51N-0846</t>
  </si>
  <si>
    <t>AMAZON,AMAZONDS,BEALLSDS,BIGLOTSDS,BLK01,CSNSTORES,DESINC,HSNDS,JCPENNEY01,KOHLDSN,MACY02,NRTPORT,OLLIIX,OVERSTOCK01,TGTDVS,WALMARTDS</t>
  </si>
  <si>
    <t>BL51N-0847</t>
  </si>
  <si>
    <t>AMAZON,AMAZONDS,ASHFURNDS,BIGLOTSDS,BLK01,CSNSTORES,HSNDS,JCPENNEY01,KOHLDSN,MACY02,NRTPORT,OLLIIX,TGTDVS,WALMARTDS</t>
  </si>
  <si>
    <t>10/24/2016</t>
  </si>
  <si>
    <t>BL51N-0848</t>
  </si>
  <si>
    <t>PF003479</t>
  </si>
  <si>
    <t>AMAZON,AMAZONDS,BEALLSDS,BLK01,CSNSTORES,HSNDS,KOHLDSN,MACY02,OVERSTOCK01,TGTDVS,WALMARTDS</t>
  </si>
  <si>
    <t>BL51N-0849</t>
  </si>
  <si>
    <t>AMAZONDS,ASHFURNDS,BEALLSDS,BLK01,CSNSTORES,HOUZZ,HSNDS,JCPENNEY01,KOHLDSN,MACY02,OLLIIX,TGTDVS,WALMARTDS</t>
  </si>
  <si>
    <t>11/3/2016</t>
  </si>
  <si>
    <t>BL51N-0850</t>
  </si>
  <si>
    <t>AMAZON,AMAZONDS,ASHFURNDS,BLK01,CSNSTORES,HSNDS,JCPENNEY01,KOHLDSN,MACY02,OLLIIX,TGTDVS,WALMARTDS</t>
  </si>
  <si>
    <t>BL51N-0857</t>
  </si>
  <si>
    <t>PF003482</t>
  </si>
  <si>
    <t>AMAZON,AMAZONDS,BLK01,CSNSTORES,HSNDS,JCPENNEY01,KOHLDSN,MACY02,OLLIIX,TGTDVS,WALMARTDS</t>
  </si>
  <si>
    <t>BL51N-0859</t>
  </si>
  <si>
    <t>AMAZONDS,ASHFURNDS,BEALLSDS,BIGLOTSDS,BLK01,CSNSTORES,DESINC,HSNDS,JCPENNEY01,KOHLDSN,MACY02,NRTPORT,OLLIIX,OVERSTOCK01,TGTDVS,WALMARTDS</t>
  </si>
  <si>
    <t>MP51N-8382</t>
  </si>
  <si>
    <t>PP001933;PF006166</t>
  </si>
  <si>
    <t>2/14/2024</t>
  </si>
  <si>
    <t>AMAZON,CSNSTORES,KOHLDSN,MACY02,OLLIIX,TGTDVS</t>
  </si>
  <si>
    <t>MP51N-8383</t>
  </si>
  <si>
    <t>AMAZON,CSNSTORES,KOHLDSN,MACY02,NRTPORT,OLLIIX,OVERSTOCK01,TGTDVS</t>
  </si>
  <si>
    <t>MP51N-8384</t>
  </si>
  <si>
    <t>BL51N-0678</t>
  </si>
  <si>
    <t>Liquid Cotton</t>
  </si>
  <si>
    <t>PF003480</t>
  </si>
  <si>
    <t>AMAZON,AMAZONDS,ASHFURNDS,CSNSTORES,HDDS,JCPENNEY01,KOHLDSN,MACY02,OLLIIX,OVERSTOCK01,TGTDVS,WALMARTDS</t>
  </si>
  <si>
    <t>BL51N-0679</t>
  </si>
  <si>
    <t>3/9/2025</t>
  </si>
  <si>
    <t>AMAZON,AMAZONDS,BEALLSDS,BIGLOTSDS,CSNSTORES,HDDS,JCPENNEY01,KOHLDSN,MACY02,OLLIIX,OVERSTOCK01,TGTDVS,WALMARTDS,ZOLA</t>
  </si>
  <si>
    <t>10/1/2017</t>
  </si>
  <si>
    <t>BL51N-0680</t>
  </si>
  <si>
    <t>AAFESDS,AMAZON,AMAZONDS,BEALLSDS,BLK01,CSNSTORES,HDDS,JCPENNEY01,KOHLDSN,MACY02,OLLIIX,OVERSTOCK01,TGTDVS,WALMARTDS</t>
  </si>
  <si>
    <t>BL51N-0735</t>
  </si>
  <si>
    <t>PF003502</t>
  </si>
  <si>
    <t>AMAZON,AMAZONDS,BLK01,CSNSTORES,HDDS,JCPENNEY01,KOHLDSN,MACY02,OLLIIX,OVERSTOCK01,TGTDVS,WALMARTDS</t>
  </si>
  <si>
    <t>BL51N-0736</t>
  </si>
  <si>
    <t>AAFESDS,AMAZON,AMAZONDS,ASHFURNDS,BIGLOTSDS,BLK01,CSNSTORES,DESINC,HDDS,JCPENNEY01,KOHLDSN,MACY02,OLLIIX,OVERSTOCK01,TGTDVS,WALMARTDS,ZOLA</t>
  </si>
  <si>
    <t>8/21/2017</t>
  </si>
  <si>
    <t>BL51N-0737</t>
  </si>
  <si>
    <t>AAFESDS,AMAZON,AMAZONDS,ASHFURNDS,BEALLSDS,BIGLOTSDS,BLK01,CSNSTORES,JCPENNEY01,KOHLDSN,MACY02,OLLIIX,OVERSTOCK01,TGTDVS,WALMARTDS</t>
  </si>
  <si>
    <t>BL51N-0611</t>
  </si>
  <si>
    <t>PF003458</t>
  </si>
  <si>
    <t>AMAZON,AMAZONDS,ASHFURNDS,BIGLOTSDS,CSNSTORES,HDDS,JCPENNEY01,KOHLDSN,MACY02,OLLIIX,OVERSTOCK01,TGTDVS,WALMARTDS</t>
  </si>
  <si>
    <t>9/8/2017</t>
  </si>
  <si>
    <t>BL51N-0612</t>
  </si>
  <si>
    <t>AAFESDS,AMAZON,AMAZONDS,BEALLSDS,BIGLOTSDS,CSNSTORES,HDDS,HOUZZ,JCPENNEY01,KOHLDSN,MACY02,OLLIIX,OVERSTOCK01,TGTDVS,WALMARTDS,ZOLA</t>
  </si>
  <si>
    <t>BL51N-0613</t>
  </si>
  <si>
    <t>AAFESDS,AMAZON,AMAZONDS,BEALLSDS,CSNSTORES,HDDS,JCPENNEY01,KOHLDSN,MACY02,OLLIIX,OVERSTOCK01,TGTDVS,WALMARTDS</t>
  </si>
  <si>
    <t>BL51N-0608</t>
  </si>
  <si>
    <t>PF003447</t>
  </si>
  <si>
    <t>AMAZON,AMAZONDS,BIGLOTSDS,CSNSTORES,JCPENNEY01,KOHLDSN,MACY02,OLLIIX,OVERSCONSIGN,TGTDVS</t>
  </si>
  <si>
    <t>8/7/2017</t>
  </si>
  <si>
    <t>BL51N-0609</t>
  </si>
  <si>
    <t>AAFESDS,AMAZON,AMAZONDS,BLK01,CSNSTORES,JCPENNEY01,KOHLDSN,MACY02,OLLIIX,OVERSTOCK01,TGTDVS,WALMARTDS,ZOLA</t>
  </si>
  <si>
    <t>BL51N-0610</t>
  </si>
  <si>
    <t>AAFESDS,AMAZON,AMAZONDS,BIGLOTSDS,BLK01,CSNSTORES,HDDS,JCPENNEY01,KOHLDSN,MACY02,OLLIIX,OVERSTOCK01,TGTDVS,WALMARTDS</t>
  </si>
  <si>
    <t>9/22/2017</t>
  </si>
  <si>
    <t>BL51N-0733</t>
  </si>
  <si>
    <t>PF003491</t>
  </si>
  <si>
    <t>AAFESDS,AMAZON,AMAZONDS,BLK01,CSNSTORES,DESINC,HDDS,JCPENNEY01,KOHLDSN,MACY02,OLLIIX,OVERSTOCK01,TGTDVS,WALMARTDS,ZOLA</t>
  </si>
  <si>
    <t>8/22/2017</t>
  </si>
  <si>
    <t>BL51N-0734</t>
  </si>
  <si>
    <t>AMAZON,AMAZONDS,BIGLOTSDS,BLK01,CSNSTORES,JCPENNEY01,KOHLDSN,MACY02,OLLIIX,OVERSTOCK01,TGTDVS,WALMARTDS</t>
  </si>
  <si>
    <t>8/17/2017</t>
  </si>
  <si>
    <t>BL51N-0675</t>
  </si>
  <si>
    <t>PF003469</t>
  </si>
  <si>
    <t>AAFESDS,AMAZON,BIGLOTSDS,CSNSTORES,JCPENNEY01,KOHLDSN,MACY02,OLLIIX,OVERSTOCK01,TGTDVS,WALMARTDS</t>
  </si>
  <si>
    <t>BL51N-0676</t>
  </si>
  <si>
    <t>AMAZON,AMAZONDS,BIGLOTSDS,CSNSTORES,HDDS,JCPENNEY01,KIRKLANDDS,KOHLDSN,MACY02,OLLIIX,OVERSTOCK01,TGTDVS,WALMARTDS,ZOLA</t>
  </si>
  <si>
    <t>BL51N-0677</t>
  </si>
  <si>
    <t>AAFESDS,AMAZON,AMAZONDS,CSNSTORES,JCPENNEY01,KIRKLANDDS,KOHLDSN,MACY02,OLLIIX,OVERSTOCK01,TGTDVS,WALMARTDS</t>
  </si>
  <si>
    <t>10/16/2017</t>
  </si>
  <si>
    <t>MP51N-6025</t>
  </si>
  <si>
    <t>PF004447</t>
  </si>
  <si>
    <t>8/20/2018</t>
  </si>
  <si>
    <t>AAFESDS,AMAZONDS,CSNSTORES,HDDS,HSNDS,JCPENNEY01,KOHLDSN,MACY02,OLLIIX,OVERSTOCK01,TGTDVS</t>
  </si>
  <si>
    <t>MP51N-6026</t>
  </si>
  <si>
    <t>AAFESDS,AMAZON,AMAZONDS,BEALLSDS,CSNSTORES,HSNDS,JCPENNEY01,KOHLDSN,MACY02,OLLIIX,OVERSTOCK01,TGTDVS</t>
  </si>
  <si>
    <t>MP51N-6027</t>
  </si>
  <si>
    <t>MP51N-8379</t>
  </si>
  <si>
    <t>PP001934;PF006167</t>
  </si>
  <si>
    <t>AMAZON,CSNSTORES,HDDS,JCPENNEY01,KIRKLANDDS,KOHLDSN,MACY02,OVERSTOCK01,TGTDVS</t>
  </si>
  <si>
    <t>MP51N-8380</t>
  </si>
  <si>
    <t>MP51N-8381</t>
  </si>
  <si>
    <t>AMAZON,AMAZONDS,CSNSTORES,DESINC,JCPENNEY01,KIRKLANDDS,KOHLDSN,MACY02,OLLIIX,OVERSTOCK01,TGTDVS</t>
  </si>
  <si>
    <t>MP51N-6188</t>
  </si>
  <si>
    <t>Egyptian Cotton</t>
  </si>
  <si>
    <t>Light Blue</t>
  </si>
  <si>
    <t>PP001122;PF004624</t>
  </si>
  <si>
    <t>3/17/2019</t>
  </si>
  <si>
    <t>AAFESDS,AMAZON,AMAZONDS,ASHFURNDS,BLK01,CSNSTORES,HSNDS,JCPENNEY01,KOHLDSN,MACY02,OLLIIX,OVERSTOCK01,TGTDVS,WALMARTDS,ZOLA</t>
  </si>
  <si>
    <t>4/11/2019</t>
  </si>
  <si>
    <t>MP51N-5165</t>
  </si>
  <si>
    <t>AMAZON,AMAZONDS,ASHFURNDS,BLK01,CSNSTORES,HOUZZ,JCPENNEY01,KOHLDSN,MACY02,OLLIIX,OVERSTOCK01,TGTDVS,WALMARTDS</t>
  </si>
  <si>
    <t>MP51N-6431</t>
  </si>
  <si>
    <t>PP001122;PF004735</t>
  </si>
  <si>
    <t>AMAZON,AMAZONDS,CSNSTORES,HSNDS,JCPENNEY01,KOHLDSN,MACY02,OLLIIX,OVERSTOCK01,TGTDVS,WALMARTDS</t>
  </si>
  <si>
    <t>10/17/2019</t>
  </si>
  <si>
    <t>2/24/2020</t>
  </si>
  <si>
    <t>MP51N-6428</t>
  </si>
  <si>
    <t>PP001122;PF004734</t>
  </si>
  <si>
    <t>AAFESDS,AMAZON,AMAZONDS,BLK01,CSNSTORES,HSNDS,JCPENNEY01,KOHLDSN,MACY02,OLLIIX,OVERSTOCK01,TGTDVS</t>
  </si>
  <si>
    <t>MP51N-6429</t>
  </si>
  <si>
    <t>AAFESDS,AMAZON,AMAZONDS,ASHFURNDS,BLK01,CSNSTORES,DESINC,HOUZZ,HSNDS,JCPENNEY01,KOHLDSN,MACY02,OLLIIX,OVERSTOCK01,TGTDVS,WALMARTDS,ZOLA</t>
  </si>
  <si>
    <t>MP51N-6430</t>
  </si>
  <si>
    <t>AAFESDS,AMAZON,AMAZONDS,ASHFURNDS,BIGLOTSDS,BLK01,CSNSTORES,DESINC,HOUZZ,HSNDS,JCPENNEY01,KOHLDSN,MACY02,OLLIIX,OVERSTOCK01,TGTDVS,ZOLA</t>
  </si>
  <si>
    <t>MP51N-6363</t>
  </si>
  <si>
    <t>PP001228;PF004700</t>
  </si>
  <si>
    <t>4/25/2019</t>
  </si>
  <si>
    <t>AMAZON,AMAZONDS,BIGLOTSDS,BLK01,CSNSTORES,DESINC,HSNDS,JCPENNEY01,KOHLDSN,MACY02,OLLIIX,OVERSTOCK01,TGTDVS,WALMARTDS</t>
  </si>
  <si>
    <t>MP51N-5168</t>
  </si>
  <si>
    <t>AMAZON,AMAZONDS,CSNSTORES,HSNDS,JCPENNEY01,KOHLDSN,MACY02,OLLIIX,OVERSTOCK01,TGTDVS</t>
  </si>
  <si>
    <t>MP51N-5169</t>
  </si>
  <si>
    <t>AMAZON,AMAZONDS,ASHFURNDS,BLK01,CSNSTORES,DESINC,HSNDS,JCPENNEY01,KOHLDSN,MACY02,OLLIIX,OVERSCONSIGN,OVERSTOCK01,TGTDVS,ZOLA</t>
  </si>
  <si>
    <t>MP51N-5170</t>
  </si>
  <si>
    <t>AMAZON,AMAZONDS,ASHFURNDS,BLK01,CSNSTORES,DESINC,HSNDS,JCPENNEY01,KOHLDSN,MACY02,OLLIIX,OVERSTOCK01,TGTDVS,ZOLA</t>
  </si>
  <si>
    <t>2/5/2018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</si>
  <si>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</si>
  <si>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</si>
  <si>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</si>
  <si>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</si>
  <si>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</si>
  <si>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</si>
  <si>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</si>
  <si>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</si>
  <si>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</si>
  <si>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AMAZON,JCPENNEY01,KOHLDSN,MACY02,OVERSTOCK01,TGTDVS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</si>
  <si>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</si>
  <si>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</si>
  <si>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</si>
  <si>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</si>
  <si>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</si>
  <si>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</si>
  <si>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</si>
  <si>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</si>
  <si>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</si>
  <si>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</si>
  <si>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</si>
  <si>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</si>
  <si>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</si>
  <si>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</si>
  <si>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</si>
  <si>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</si>
  <si>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</si>
  <si>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</si>
  <si>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AMAZON,AMAZONDS,ASHFURNDS,CSNSTORES,JCPENNEY01,KOHLDSN,MACY02,OLLIIX,OVERSTOCK01,TGTDVS,WALMARTDS</t>
  </si>
  <si>
    <t>MP10-5058</t>
  </si>
  <si>
    <t>AMAZON,AMAZONDS,ASHFURNDS,BLK01,CSNSTORES,KOHLDSN,MACY02,NRTPORT,OLLIIX,OVERSTOCK01,TGTDVS,WALMARTDS</t>
  </si>
  <si>
    <t>MP10-5059</t>
  </si>
  <si>
    <t>AMAZON,AMAZONDS,BLK01,CSNSTORES,HOUZZ,KOHLDSN,MACY02,OLLIIX,OVERSTOCK01,TGTDVS,WALMARTDS</t>
  </si>
  <si>
    <t>MP10-5060</t>
  </si>
  <si>
    <t>PF002188</t>
  </si>
  <si>
    <t>3/5/2018</t>
  </si>
  <si>
    <t>MP10-5061</t>
  </si>
  <si>
    <t>AMAZON,AMAZONDS,BLK01,CSNSTORES,KOHLDSN,MACY02,NRTPORT,OLLIIX,OVERSTOCK01,TGTDVS,WALMARTDS</t>
  </si>
  <si>
    <t>3/2/2018</t>
  </si>
  <si>
    <t>MP10-5062</t>
  </si>
  <si>
    <t>AMAZON,BLK01,CSNSTORES,KOHLDSN,MACY02,NRTPORT,OLLIIX,OVERSTOCK01,TGTDVS,WALMARTDS</t>
  </si>
  <si>
    <t>MP10-6013</t>
  </si>
  <si>
    <t>PF004440</t>
  </si>
  <si>
    <t>9/12/2018</t>
  </si>
  <si>
    <t>ASHFURNDS,CSNSTORES,KOHLDSN,MACY02,OLLIIX,TGTDVS,WALMARTDS</t>
  </si>
  <si>
    <t>4/27/2019</t>
  </si>
  <si>
    <t>7/8/2019</t>
  </si>
  <si>
    <t>MP10-6014</t>
  </si>
  <si>
    <t>BLK01,CSNSTORES,KOHLDSN,MACY02,OLLIIX,TGTDVS,WALMARTDS</t>
  </si>
  <si>
    <t>MP10-7635</t>
  </si>
  <si>
    <t>PF005508;PP001650</t>
  </si>
  <si>
    <t>MP10-7636</t>
  </si>
  <si>
    <t>MP10-3064</t>
  </si>
  <si>
    <t>Duke</t>
  </si>
  <si>
    <t>York</t>
  </si>
  <si>
    <t>Faux Fur Comforter Mini Set</t>
  </si>
  <si>
    <t>PF002122;PP000412</t>
  </si>
  <si>
    <t>AMAZONDS,ASHFURNDS,BEALLSDS,BLK01,CSNSTORES,DESINC,FINGERHUTDS,JCPENNEY01,KOHLDSN,MACY02,NRTPORT,OLLIIX,OVERSTOCK01,TGTDVS,WALMARTDS</t>
  </si>
  <si>
    <t>9/26/2016</t>
  </si>
  <si>
    <t>MP10-3068</t>
  </si>
  <si>
    <t>PF002124;PP000412</t>
  </si>
  <si>
    <t>AMAZON,AMAZONDS,ASHFURNDS,BLK01,CSNSTORES,DESINC,FINGERHUTDS,JCPENNEY01,KOHLDSN,MACY02,NRTPORT,OLLIIX,OVERSTOCK01,TGTDVS,WALMARTDS</t>
  </si>
  <si>
    <t>MP10-3067</t>
  </si>
  <si>
    <t>Champagne</t>
  </si>
  <si>
    <t>PF002123;PP000412</t>
  </si>
  <si>
    <t>AMAZONDS,ASHFURNDS,BLK01,CSNSTORES,DESINC,FINGERHUTDS,HDDS,JCPENNEY01,KOHLDSN,MACY02,NRTPORT,OLLIIX,OVERSTOCK01,TGTDVS,WALMARTDS</t>
  </si>
  <si>
    <t>MP10-3070</t>
  </si>
  <si>
    <t>PF002125;PP000412</t>
  </si>
  <si>
    <t>AMAZON,AMAZONDS,ASHFURNDS,BLK01,CSNSTORES,DESINC,FINGERHUTDS,HDDS,JCPENNEY01,KOHLDSN,MACY02,NRTPORT,OLLIIX,OVERSTOCK01,TGTDVS,WALMARTDS</t>
  </si>
  <si>
    <t>MP10-7632</t>
  </si>
  <si>
    <t>PP000412;PF004332</t>
  </si>
  <si>
    <t>8/4/2021</t>
  </si>
  <si>
    <t>AMAZONDS,CSNSTORES,FINGERHUTDS,JCPENNEY01,KOHLDSN,MACY02,OVERSTOCK01,TGTDVS</t>
  </si>
  <si>
    <t>MP10-7633</t>
  </si>
  <si>
    <t>AMAZONDS,CSNSTORES,DESINC,FINGERHUTDS,HDDS,JCPENNEY01,KOHLDSN,MACY02,NRTPORT,OVERSTOCK01,TGTDVS</t>
  </si>
  <si>
    <t>MP10-8213</t>
  </si>
  <si>
    <t>Blair</t>
  </si>
  <si>
    <t>Ruched Fur Down Alternative Comforter Set</t>
  </si>
  <si>
    <t>PP001807;PF006000</t>
  </si>
  <si>
    <t>MP10-8214</t>
  </si>
  <si>
    <t>AMAZON,BLK01,CSNSTORES,HOUZZ,JCPENNEY01,KOHLDSN,MACY02,NRTPORT,OVERSTOCK01,TGTDVS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</si>
  <si>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</si>
  <si>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</si>
  <si>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</si>
  <si>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</si>
  <si>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</si>
  <si>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</si>
  <si>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</si>
  <si>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MP10-8544</t>
  </si>
  <si>
    <t>Gia</t>
  </si>
  <si>
    <t>Margot</t>
  </si>
  <si>
    <t>Solid Faux Fur Comforter Mini Set</t>
  </si>
  <si>
    <t>PP001110;PF006430</t>
  </si>
  <si>
    <t>MP10-8545</t>
  </si>
  <si>
    <t>MP10-8546</t>
  </si>
  <si>
    <t>MP10-6210</t>
  </si>
  <si>
    <t>Back Print Long Fur Comforter Mini Set</t>
  </si>
  <si>
    <t>Blush/White</t>
  </si>
  <si>
    <t>PP001110;PF004609</t>
  </si>
  <si>
    <t>5/15/2019</t>
  </si>
  <si>
    <t>AMAZON,AMAZONDS,ASHFURNDS,BLK01,CSNSTORES,JCPENNEY01,KOHLDSN,MACY02,NRTPORT,OLLIIX,OVERSTOCK01,TGTDVS</t>
  </si>
  <si>
    <t>5/23/2019</t>
  </si>
  <si>
    <t>10/10/2019</t>
  </si>
  <si>
    <t>MP10-6211</t>
  </si>
  <si>
    <t>5/27/2019</t>
  </si>
  <si>
    <t>1/3/2020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</si>
  <si>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</si>
  <si>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</si>
  <si>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</si>
  <si>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</si>
  <si>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</si>
  <si>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</si>
  <si>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</si>
  <si>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</si>
  <si>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</si>
  <si>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</si>
  <si>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</si>
  <si>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</si>
  <si>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</si>
  <si>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PP001895;PF006045</t>
  </si>
  <si>
    <t>7/19/2023</t>
  </si>
  <si>
    <t>MP10-8265</t>
  </si>
  <si>
    <t>MP10-8266</t>
  </si>
  <si>
    <t>MP10-8442</t>
  </si>
  <si>
    <t>Jasmine</t>
  </si>
  <si>
    <t>3 Piece Faux Fur Comforter Set</t>
  </si>
  <si>
    <t>PP001941;PF006188</t>
  </si>
  <si>
    <t>8/3/2024</t>
  </si>
  <si>
    <t>1/12/2025</t>
  </si>
  <si>
    <t>MP10-8443</t>
  </si>
  <si>
    <t>8/2/2024</t>
  </si>
  <si>
    <t>AMAZON,AMAZONDS,HDDS,KOHLDSN,MACY02,OLLIIX,OVERSTOCK01,TGTDVS</t>
  </si>
  <si>
    <t>MP10-8440</t>
  </si>
  <si>
    <t>PP001941;PF006187</t>
  </si>
  <si>
    <t>MP10-8441</t>
  </si>
  <si>
    <t>BASI10-0421</t>
  </si>
  <si>
    <t>Williams</t>
  </si>
  <si>
    <t>Plush Down Alternative Comforter Set</t>
  </si>
  <si>
    <t>PF002130;PP000483</t>
  </si>
  <si>
    <t>ASHFURNDS,BLK01,CSNSTORES,JCPENNEY01,KOHLDSN,MACY02,NRTPORT,OLLIIX,OVERSTOCK01,TGTDVS</t>
  </si>
  <si>
    <t>BASI10-0422</t>
  </si>
  <si>
    <t>BEALLSDS,BLK01,CSNSTORES,HOUZZ,JCPENNEY01,KOHLDSN,MACY02,NRTPORT,OLLIIX,OVERSTOCK01,TGTDVS</t>
  </si>
  <si>
    <t>9/15/2016</t>
  </si>
  <si>
    <t>BASI10-0418</t>
  </si>
  <si>
    <t>PF002129;PP000483</t>
  </si>
  <si>
    <t>10/7/2016</t>
  </si>
  <si>
    <t>BASI10-0419</t>
  </si>
  <si>
    <t>CSNSTORES,JCPENNEY01,KOHLDSN,MACY02,NRTPORT,OLLIIX,OVERSTOCK01,TGTDVS</t>
  </si>
  <si>
    <t>BASI10-0424</t>
  </si>
  <si>
    <t>PF002131;PP000483</t>
  </si>
  <si>
    <t>10/6/2016</t>
  </si>
  <si>
    <t>BASI10-0425</t>
  </si>
  <si>
    <t>MP10-8399</t>
  </si>
  <si>
    <t>Riordan</t>
  </si>
  <si>
    <t>Ellis</t>
  </si>
  <si>
    <t>Waffle Knit Chenille Comforter Set</t>
  </si>
  <si>
    <t>PP001944;PF006196</t>
  </si>
  <si>
    <t>Chenille</t>
  </si>
  <si>
    <t>2/25/2025</t>
  </si>
  <si>
    <t>KOHLDSN,OLLIIX,TGTDVS</t>
  </si>
  <si>
    <t>MP10-8400</t>
  </si>
  <si>
    <t>MP10-8401</t>
  </si>
  <si>
    <t>MP10-8429</t>
  </si>
  <si>
    <t>Wynne</t>
  </si>
  <si>
    <t>Dawson</t>
  </si>
  <si>
    <t>PP001954;PF006225</t>
  </si>
  <si>
    <t>AMAZON,KOHLDSN,MACY02</t>
  </si>
  <si>
    <t>MP10-8430</t>
  </si>
  <si>
    <t>MP10-8431</t>
  </si>
  <si>
    <t>AMAZON,AMAZONDS,BLK01,MACY02</t>
  </si>
  <si>
    <t>MP10-3074</t>
  </si>
  <si>
    <t>4PC Faux Fur Comforter Set</t>
  </si>
  <si>
    <t>PF002117;PP000539</t>
  </si>
  <si>
    <t>Modern/Contemporary|Transitional</t>
  </si>
  <si>
    <t>AMAZON,AMAZONDS,ASHFURNDS,BIGLOTSDS,DESINC,FINGERHUTDS,HDDS,HOUZZ,HSNDS,JCPENNEY01,KOHLDSN,MACY02,NRTPORT,OLLIIX,OVERSTOCK01,TGTDVS,WALMARTDS</t>
  </si>
  <si>
    <t>MP10-6294</t>
  </si>
  <si>
    <t>PP000539;PF004643</t>
  </si>
  <si>
    <t>AMAZON,AMAZONDS,ASHFURNDS,CSNSTORES,FINGERHUTDS,HDDS,JCPENNEY01,KOHLDSN,MACY02,OVERSTOCK01,TGTDVS</t>
  </si>
  <si>
    <t>MP10-6295</t>
  </si>
  <si>
    <t>AMAZON,AMAZONDS,ASHFURNDS,BIGLOTSDS,BLK01,CSNSTORES,FINGERHUTDS,HDDS,JCPENNEY01,KOHLDSN,MACY02,NRTPORT,OLLIIX,OVERSTOCK01,TGTDVS</t>
  </si>
  <si>
    <t>MP10-3076</t>
  </si>
  <si>
    <t>PF002118;PP000539</t>
  </si>
  <si>
    <t>AMAZON,AMAZONDS,BIGLOTSDS,BLK01,CSNSTORES,FINGERHUTDS,HDDS,HSNDS,JCPENNEY01,KOHLDSN,MACY02,NRTPORT,OLLIIX,OVERSTOCK01,TGTDVS</t>
  </si>
  <si>
    <t>10/10/2016</t>
  </si>
  <si>
    <t>MP10-3077</t>
  </si>
  <si>
    <t>AMAZON,AMAZONDS,ASHFURNDS,BIGLOTSDS,BLK01,CSNSTORES,FINGERHUTDS,HDDS,HSNDS,JCPENNEY01,KOHLDSN,MACY02,NRTPORT,OLLIIX,OVERSTOCK01,TGTDVS</t>
  </si>
  <si>
    <t>10/17/2016</t>
  </si>
  <si>
    <t>MP10-6296</t>
  </si>
  <si>
    <t>Snow Leopard</t>
  </si>
  <si>
    <t>PP000539;PF004644</t>
  </si>
  <si>
    <t>AMAZON,AMAZONDS,ASHFURNDS,BIGLOTSDS,BLK01,CSNSTORES,FINGERHUTDS,HDDS,JCPENNEY01,KOHLDSN,MACY02,NRTPORT,OVERSTOCK01,TGTDVS</t>
  </si>
  <si>
    <t>MP10-6297</t>
  </si>
  <si>
    <t>MP10-3072</t>
  </si>
  <si>
    <t>PF002116;PP000539</t>
  </si>
  <si>
    <t>AMAZON,BIGLOTSDS,CSNSTORES,FINGERHUTDS,HDDS,JCPENNEY01,KOHLDSN,MACY02,NRTPORT,OLLIIX,OVERSTOCK01,TGTDVS</t>
  </si>
  <si>
    <t>MP10-3073</t>
  </si>
  <si>
    <t>AMAZON,BLK01,CSNSTORES,DESINC,FINGERHUTDS,JCPENNEY01,KOHLDSN,MACY02,NRTPORT,OLLIIX,OVERSTOCK01,TGTDVS</t>
  </si>
  <si>
    <t>MP50N-5511</t>
  </si>
  <si>
    <t>Chloe</t>
  </si>
  <si>
    <t>100% Cotton Tufted Chenille Lightweight Throw With Fringe Tassel 50" x 60"</t>
  </si>
  <si>
    <t>PP000792</t>
  </si>
  <si>
    <t>1/15/2018</t>
  </si>
  <si>
    <t>AMAZON,AMAZONDS,ASHFURNDS,BEALLSDS,BLK01,CSNSTORES,JCPENNEY01,KOHLDSN,MACY02,NRTPORT,OLLIIX,OVERSTOCK01,TGTDVS,WALMARTDS</t>
  </si>
  <si>
    <t>4/1/2018</t>
  </si>
  <si>
    <t>4/30/2018</t>
  </si>
  <si>
    <t>MP50N-5512</t>
  </si>
  <si>
    <t>AMAZON,AMAZONDS,ASHFURNDS,BEALLSDS,CSNSTORES,DESINC,JCPENNEY01,KOHLDSN,MACY02,OLLIIX,OVERSTOCK01,TGTDVS,WALMARTDS</t>
  </si>
  <si>
    <t>MP50-6136</t>
  </si>
  <si>
    <t>Chunky Double Knit</t>
  </si>
  <si>
    <t>Hand Made Chunky Double Knit Throw Blanket</t>
  </si>
  <si>
    <t>PP001056</t>
  </si>
  <si>
    <t>Acrylic</t>
  </si>
  <si>
    <t>1/18/2019</t>
  </si>
  <si>
    <t>11/23/2024</t>
  </si>
  <si>
    <t>AMAZON,AMAZONDS,AMERSIGNDS,ASHFURNDS,CSNSTORES,FINGERHUTDS,HDDS,HSNDS,JCPENNEY01,KIRKLANDDS,KOHLDSN,MACY02,NRTPORT,OLLIIX,OVERSTOCK01,TGTDVS,WALMARTDS,ZOLA</t>
  </si>
  <si>
    <t>1/7/2021</t>
  </si>
  <si>
    <t>MP50-7315</t>
  </si>
  <si>
    <t>AMAZONDS,ASHFURNDS,BLK01,CSNSTORES,FINGERHUTDS,HDDS,JCPENNEY01,KIRKLANDDS,KOHLDSN,MACY02,NRTPORT,OLLIIX,OVERSTOCK01,TGTDVS,ZOLA</t>
  </si>
  <si>
    <t>MP50-7316</t>
  </si>
  <si>
    <t>AMAZON,AMAZONDS,ASHFURNDS,BIGLOTSDS,BLK01,CSNSTORES,FINGERHUTDS,HDDS,HOUZZ,JCPENNEY01,KIRKLANDDS,KOHLDSN,MACY02,NRTPORT,OLLIIX,OVERSCONSIGN,OVERSTOCK01,TGTDVS,ZOLA</t>
  </si>
  <si>
    <t>MP50-8216</t>
  </si>
  <si>
    <t>PP001056;PF005979</t>
  </si>
  <si>
    <t>AMAZON,AMAZONDS,BLK01,CSNSTORES,HDDS,JCPENNEY01,KOHLDSN,MACY02,OLLIIX,OVERSTOCK01,TGTDVS,ZOLA</t>
  </si>
  <si>
    <t>MP50-8217</t>
  </si>
  <si>
    <t>PP001056;PF005980</t>
  </si>
  <si>
    <t>AMAZON,BLK01,CSNSTORES,HDDS,JCPENNEY01,KOHLDSN,MACY02,NRTPORT,OLLIIX,OVERSTOCK01,TGTDVS,ZOLA</t>
  </si>
  <si>
    <t>MP50-8116</t>
  </si>
  <si>
    <t>PP001056;PF005868</t>
  </si>
  <si>
    <t>AMAZON,AMAZONDS,CSNSTORES,DESINC,HDDS,JCPENNEY01,KOHLDSN,MACY02,NRTPORT,OLLIIX,OVERSTOCK01,TGTDVS,ZOLA</t>
  </si>
  <si>
    <t>MP50-8215</t>
  </si>
  <si>
    <t>PP001056;PF005978</t>
  </si>
  <si>
    <t>AMAZON,BLK01,CSNSTORES,HDDS,JCPENNEY01,KOHLDSN,MACY02,OLLIIX,OVERSTOCK01,TGTDVS,ZOLA</t>
  </si>
  <si>
    <t>MP50-7675</t>
  </si>
  <si>
    <t>Chenille Chunky Knit</t>
  </si>
  <si>
    <t>PP001875;PF005563</t>
  </si>
  <si>
    <t>AMAZON,AMAZONDS,BLK01,CSNSTORES,FINGERHUTDS,JCPENNEY01,KOHLDSN,MACY02,OLLIIX,OVERSTOCK01,TGTDVS,ZOLA</t>
  </si>
  <si>
    <t>MP50-8236</t>
  </si>
  <si>
    <t>PP001875;PF005974</t>
  </si>
  <si>
    <t>7/24/2023</t>
  </si>
  <si>
    <t>AMAZON,BLK01,CSNSTORES,DESINC,JCPENNEY01,KOHLDSN,MACY02,NRTPORT,OLLIIX,OVERSTOCK01,TGTDVS,ZOLA</t>
  </si>
  <si>
    <t>MP50-7674</t>
  </si>
  <si>
    <t>PP001875;PF005562</t>
  </si>
  <si>
    <t>AMAZON,AMAZONDS,BIGLOTSDS,BLK01,CSNSTORES,FINGERHUTDS,JCPENNEY01,KOHLDSN,MACY02,OLLIIX,TGTDVS,ZOLA</t>
  </si>
  <si>
    <t>MP50-7673</t>
  </si>
  <si>
    <t>PP001875;PF005561</t>
  </si>
  <si>
    <t>AMAZON,AMAZONDS,BLK01,CSNSTORES,DESINC,FINGERHUTDS,JCPENNEY01,KOHLDSN,MACY02,OLLIIX,OVERSTOCK01,TGTDVS,ZOLA</t>
  </si>
  <si>
    <t>MP50-8238</t>
  </si>
  <si>
    <t>PP001875;PF005976</t>
  </si>
  <si>
    <t>MP50-8237</t>
  </si>
  <si>
    <t>PP001875;PF005975</t>
  </si>
  <si>
    <t>MP50-8239</t>
  </si>
  <si>
    <t>PP001875;PF005977</t>
  </si>
  <si>
    <t>MP50-3509</t>
  </si>
  <si>
    <t>Ogee</t>
  </si>
  <si>
    <t>Oversized Throw</t>
  </si>
  <si>
    <t>PF003637;PP000475</t>
  </si>
  <si>
    <t>AMAZON,AMAZONDS,ASHFURNDS,BLK01,CSNSTORES,FINGERHUTDS,HSNDS,JCPENNEY01,KOHLDSN,MACY02,NRTPORT,OLLIIX,TGTDVS</t>
  </si>
  <si>
    <t>MP50-1731</t>
  </si>
  <si>
    <t>PF003634;PP000475</t>
  </si>
  <si>
    <t>AMAZON,AMAZONDS,ASHFURNDS,CSNSTORES,FINGERHUTDS,HOUZZ,HSNDS,JCPENNEY01,KOHLDSN,MACY02,NRTPORT,OLLIIX,OVERSTOCK01,TGTDVS</t>
  </si>
  <si>
    <t>MP50-8272</t>
  </si>
  <si>
    <t>Waffle Knit Chenille Throw</t>
  </si>
  <si>
    <t>PP001876;PF005987</t>
  </si>
  <si>
    <t>AMAZON,BLK01,CSNSTORES,KOHLDSN,MACY02,OLLIIX,OVERSTOCK01,TGTDVS</t>
  </si>
  <si>
    <t>MP50-8273</t>
  </si>
  <si>
    <t>PP001876;PF005988</t>
  </si>
  <si>
    <t>9/13/2023</t>
  </si>
  <si>
    <t>MP50-8271</t>
  </si>
  <si>
    <t>PP001876;PF005986</t>
  </si>
  <si>
    <t>AMAZON,AMAZONDS,BLK01,CSNSTORES,DESINC,KOHLDSN,MACY02,OLLIIX,OVERSTOCK01,TGTDVS</t>
  </si>
  <si>
    <t>MP50-8270</t>
  </si>
  <si>
    <t>PP001876;PF005985</t>
  </si>
  <si>
    <t>AMAZON,AMAZONDS,BLK01,CSNSTORES,DESINC,KOHLDSN,OLLIIX,OVERSTOCK01,TGTDVS</t>
  </si>
  <si>
    <t>MP50-4877</t>
  </si>
  <si>
    <t>Ruched Fur</t>
  </si>
  <si>
    <t>PP000496</t>
  </si>
  <si>
    <t>AMAZON,AMAZONDS,BEALLSDS,BLK01,CSNSTORES,HSNDS,JCPENNEY01,KOHLDSN,MACY02,NRTPORT,OLLIIX,OVERSTOCK01,TGTDVS</t>
  </si>
  <si>
    <t>9/27/2017</t>
  </si>
  <si>
    <t>MP50-7821</t>
  </si>
  <si>
    <t>PP000496;PF005642</t>
  </si>
  <si>
    <t>1/27/2022</t>
  </si>
  <si>
    <t>AMAZONDS,BLK01,CSNSTORES,JCPENNEY01,KOHLDSN,NRTPORT,OLLIIX,OVERSTOCK01,TGTDVS</t>
  </si>
  <si>
    <t>MP50-4878</t>
  </si>
  <si>
    <t>AMAZON,AMAZONDS,ASHFURNDS,BLK01,CSNSTORES,HSNDS,JCPENNEY01,KIRKLANDDS,KOHLDSN,MACY02,NRTPORT,OLLIIX,OVERSTOCK01,TGTDVS</t>
  </si>
  <si>
    <t>MP50-3090</t>
  </si>
  <si>
    <t>PF003435;PP000496</t>
  </si>
  <si>
    <t>AMAZON,AMAZONDS,ASHFURNDS,BLK01,CSNSTORES,FINGERHUTDS,HSNDS,JCPENNEY01,KIRKLANDDS,KOHLDSN,MACY02,OLLIIX,OVERSTOCK01,TGTDVS</t>
  </si>
  <si>
    <t>11/30/2016</t>
  </si>
  <si>
    <t>MP50-3091</t>
  </si>
  <si>
    <t>PF003437;PP000496</t>
  </si>
  <si>
    <t>MP50-4876</t>
  </si>
  <si>
    <t>11/21/2017</t>
  </si>
  <si>
    <t>MP50-8106</t>
  </si>
  <si>
    <t>Silver Grey</t>
  </si>
  <si>
    <t>PP000496;PF005810</t>
  </si>
  <si>
    <t>AMAZONDS,BLK01,CSNSTORES,JCPENNEY01,KOHLDSN,MACY02,NRTPORT,OLLIIX,OVERSTOCK01,TGTDVS,ZOLA</t>
  </si>
  <si>
    <t>MP50-8107</t>
  </si>
  <si>
    <t>PP000496;PF005811</t>
  </si>
  <si>
    <t>AMAZONDS,BLK01,CSNSTORES,JCPENNEY01,KOHLDSN,MACY02,OLLIIX,OVERSTOCK01,TGTDVS,ZOLA</t>
  </si>
  <si>
    <t>MP50-3093</t>
  </si>
  <si>
    <t>PF003438;PP000496</t>
  </si>
  <si>
    <t>AMAZON,AMAZONDS,ASHFURNDS,BLK01,CSNSTORES,HOUZZ,HSNDS,JCPENNEY01,KIRKLANDDS,KOHLDSN,MACY02,OLLIIX,OVERSTOCK01,TGTDVS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</si>
  <si>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</si>
  <si>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</si>
  <si>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</si>
  <si>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</si>
  <si>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</si>
  <si>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</si>
  <si>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ASHFURNDS,CSNSTORES,HSNDS,JCPENNEY01,KOHLDSN,MACY02,OLLIIX,OVERSTOCK01,TGTDVS</t>
  </si>
  <si>
    <t>MP50-4906</t>
  </si>
  <si>
    <t>PF003527</t>
  </si>
  <si>
    <t>AMERSIGNDS,ASHFURNDS,BLK01,CSNSTORES,FINGERHUTDS,HSNDS,JCPENNEY01,KOHLDSN,MACY02,NRTPORT,OLLIIX,OVERSTOCK01,TGTDVS</t>
  </si>
  <si>
    <t>MP50-4907</t>
  </si>
  <si>
    <t>PF003528</t>
  </si>
  <si>
    <t>AMERSIGNDS,ASHFURNDS,BEALLSDS,BLK01,CSNSTORES,DESINC,FINGERHUTDS,HSNDS,JCPENNEY01,KOHLDSN,MACY02,OLLIIX,OVERSCONSIGN,OVERSTOCK01,TGTDVS</t>
  </si>
  <si>
    <t>MP50-8256</t>
  </si>
  <si>
    <t>Vivienne</t>
  </si>
  <si>
    <t>Camille</t>
  </si>
  <si>
    <t>Faux Fur Throw</t>
  </si>
  <si>
    <t>PP001889;PF006021</t>
  </si>
  <si>
    <t>12/19/2023</t>
  </si>
  <si>
    <t>MP50-8255</t>
  </si>
  <si>
    <t>PP001889;PF006020</t>
  </si>
  <si>
    <t>8/1/2023</t>
  </si>
  <si>
    <t>BASI50-0427</t>
  </si>
  <si>
    <t>Oversized Plush Down Alternative Filled Throw</t>
  </si>
  <si>
    <t>BASI50-0426</t>
  </si>
  <si>
    <t>BLK01,CSNSTORES,JCPENNEY01,KOHLDSN,MACY02,OLLIIX,TGTDVS,WALMARTDS</t>
  </si>
  <si>
    <t>BASI50-0428</t>
  </si>
  <si>
    <t>BEALLSDS,CSNSTORES,JCPENNEY01,KOHLDSN,MACY02,OLLIIX,OVERSTOCK01,TGTDVS,WALMARTDS</t>
  </si>
  <si>
    <t>BASI50-0429</t>
  </si>
  <si>
    <t>PF002132</t>
  </si>
  <si>
    <t>BLK01,CSNSTORES,JCPENNEY01,KOHLDSN,MACY02,OLLIIX,OVERSTOCK01,TGTDVS,WALMARTDS,ZOLA</t>
  </si>
  <si>
    <t>BASI50-0413</t>
  </si>
  <si>
    <t>Arctic</t>
  </si>
  <si>
    <t>Polar</t>
  </si>
  <si>
    <t>Ultra Plush Down Alternative Throw</t>
  </si>
  <si>
    <t>PF002120;PP000376</t>
  </si>
  <si>
    <t>BIGLOTSDS,CSNSTORES,DESINC,JCPENNEY01,KOHLDSN,MACY02,OLLIIX,OVERSTOCK01,TGTDVS,WALMARTDS</t>
  </si>
  <si>
    <t>BASI50-0415</t>
  </si>
  <si>
    <t>PF002121;PP000376</t>
  </si>
  <si>
    <t>12/16/2016</t>
  </si>
  <si>
    <t>BASI50-0414</t>
  </si>
  <si>
    <t>BIGLOTSDS,CSNSTORES,JCPENNEY01,KOHLDSN,MACY02,OLLIIX,TGTDVS</t>
  </si>
  <si>
    <t>MP30-6234</t>
  </si>
  <si>
    <t>Faux Fur Square Pillow</t>
  </si>
  <si>
    <t>PP000539;PF004399</t>
  </si>
  <si>
    <t>6/17/2019</t>
  </si>
  <si>
    <t>AMAZONDS,ASHFURNDS,FINGERHUTDS,HSNDS,JCPENNEY01,KIRKLANDDS,KOHLDSN,MACY02,OLLIIX,OVERSTOCK01,TGTDVS,WALMARTDS</t>
  </si>
  <si>
    <t>MP30-6236</t>
  </si>
  <si>
    <t>3/28/2019</t>
  </si>
  <si>
    <t>AMAZON,AMAZONDS,CSNSTORES,FINGERHUTDS,HSNDS,JCPENNEY01,KOHLDSN,MACY02,NRTPORT,OLLIIX,OVERSTOCK01,TGTDVS,WALMARTDS</t>
  </si>
  <si>
    <t>11/12/2019</t>
  </si>
  <si>
    <t>MP30-1914</t>
  </si>
  <si>
    <t>AMAZONDS,ASHFURNDS,BLK01,CSNSTORES,DESINC,FINGERHUTDS,JCPENNEY01,KOHLDSN,MACY02,OLLIIX,OVERSTOCK01,TGTDVS,WALMARTDS</t>
  </si>
  <si>
    <t>MP30-2831</t>
  </si>
  <si>
    <t>AMAZON,AMAZONDS,ASHFURNDS,CSNSTORES,FINGERHUTDS,HOUZZ,JCPENNEY01,KIRKLANDDS,KOHLDSN,MACY02,OLLIIX,OVERSTOCK01,TGTDVS,WALMARTDS</t>
  </si>
  <si>
    <t>11/21/2016</t>
  </si>
  <si>
    <t>MP30-3000</t>
  </si>
  <si>
    <t>PF003567;PP000412</t>
  </si>
  <si>
    <t>ASHFURNDS,CSNSTORES,FINGERHUTDS,JCPENNEY01,KOHLDSN,MACY02,OLLIIX,OVERSTOCK01,TGTDVS,WALMARTDS</t>
  </si>
  <si>
    <t>MP30-2997</t>
  </si>
  <si>
    <t>PF003536;PP000412</t>
  </si>
  <si>
    <t>ASHFURNDS,CSNSTORES,FINGERHUTDS,HDDS,JCPENNEY01,KOHLDSN,MACY02,NRTPORT,OLLIIX,OVERSCONSIGN,TGTDVS,WALMARTDS</t>
  </si>
  <si>
    <t>11/10/2016</t>
  </si>
  <si>
    <t>MP30-4963</t>
  </si>
  <si>
    <t>PF003568</t>
  </si>
  <si>
    <t>ASHFURNDS,CSNSTORES,JCPENNEY01,KOHLDSN,MACY02,OLLIIX,OVERSTOCK01,TGTDVS,WALMARTDS</t>
  </si>
  <si>
    <t>MP30-5785</t>
  </si>
  <si>
    <t>BLK01,CSNSTORES,FINGERHUTDS,JCPENNEY01,KOHLDSN,MACY02,OLLIIX,OVERSTOCK01,TGTDVS</t>
  </si>
  <si>
    <t>MP12-7513</t>
  </si>
  <si>
    <t>Adelyn</t>
  </si>
  <si>
    <t>Back Print Brushed Fur Duvet Cover Set</t>
  </si>
  <si>
    <t>PF002183;PP001640</t>
  </si>
  <si>
    <t>8/25/2021</t>
  </si>
  <si>
    <t>JCPENNEY01,KOHLDSN,MACY02,OVERSTOCK01,TGTDVS,ZOLA</t>
  </si>
  <si>
    <t>MP12-7514</t>
  </si>
  <si>
    <t>8/27/2021</t>
  </si>
  <si>
    <t>BLK01,CSNSTORES,JCPENNEY01,KOHLDSN,MACY02,NRTPORT,OLLIIX,OVERSTOCK01,TGTDVS,ZOLA</t>
  </si>
  <si>
    <t>MP12-7516</t>
  </si>
  <si>
    <t>Embroidered Medallion Faux Fur Ultra Plush Duvet Cover Set</t>
  </si>
  <si>
    <t>PF002189;PP001639</t>
  </si>
  <si>
    <t>6/26/2021</t>
  </si>
  <si>
    <t>MP12-7517</t>
  </si>
  <si>
    <t>BLK01,CSNSTORES,HDDS,JCPENNEY01,KOHLDSN,MACY02,OLLIIX,OVERSTOCK01,TGTDVS,ZOLA</t>
  </si>
  <si>
    <t>ST55-0114</t>
  </si>
  <si>
    <t>Serta</t>
  </si>
  <si>
    <t>Waterproof</t>
  </si>
  <si>
    <t>2/16/2021</t>
  </si>
  <si>
    <t>BLK01,CSNSTORES,DESINC,FINGERHUTDS,JCPENNEY01,KOHLDSN,OLLIIX,OVERSTOCK01,TGTDVS,WALMARTDS</t>
  </si>
  <si>
    <t>11/4/2021</t>
  </si>
  <si>
    <t>ST55-0115</t>
  </si>
  <si>
    <t>BLK01,CSNSTORES,DESINC,FINGERHUTDS,JCPENNEY01,KOHLDSN,MACY02,OVERSTOCK01,TGTDVS,WALMARTDS</t>
  </si>
  <si>
    <t>11/15/2021</t>
  </si>
  <si>
    <t>ST55-0116</t>
  </si>
  <si>
    <t>11/17/2021</t>
  </si>
  <si>
    <t>ST55-0117</t>
  </si>
  <si>
    <t>ST55-0118</t>
  </si>
  <si>
    <t>ST55-0119</t>
  </si>
  <si>
    <t>BLK01,CSNSTORES,DESINC,FINGERHUTDS,JCPENNEY01,KOHLDSN,MACY02,OLLIIX,OVERSTOCK01,WALMARTDS</t>
  </si>
  <si>
    <t>11/29/2021</t>
  </si>
  <si>
    <t>ST55-0183</t>
  </si>
  <si>
    <t>PP001879;PF005996</t>
  </si>
  <si>
    <t>6/28/2023</t>
  </si>
  <si>
    <t>BLK01,CSNSTORES,DESINC,HDDS,JCPENNEY01,KOHLDSN,MACY02,OLLIIX,OVERSTOCK01,TGTDVS</t>
  </si>
  <si>
    <t>ST55-0184</t>
  </si>
  <si>
    <t>6/28/2021</t>
  </si>
  <si>
    <t>BLK01,CSNSTORES,DESINC,FINGERHUTDS,HDDS,JCPENNEY01,KOHLDSN,MACY02,NRTPORT,OLLIIX,OVERSTOCK01,TGTDVS,WALMARTDS</t>
  </si>
  <si>
    <t>8/3/2022</t>
  </si>
  <si>
    <t>ST55-0185</t>
  </si>
  <si>
    <t>BLK01,CSNSTORES,DESINC,FINGERHUTDS,HDDS,JCPENNEY01,KOHLDSN,MACY02,OLLIIX,OVERSCONSIGN,OVERSTOCK01,TGTDVS,WALMARTDS</t>
  </si>
  <si>
    <t>ST55-0186</t>
  </si>
  <si>
    <t>BLK01,CSNSTORES,DESINC,FINGERHUTDS,HDDS,JCPENNEY01,KOHLDSN,MACY02,OLLIIX,OVERSTOCK01,TGTDVS,WALMARTDS</t>
  </si>
  <si>
    <t>11/30/2021</t>
  </si>
  <si>
    <t>9/6/2022</t>
  </si>
  <si>
    <t>ST55-0187</t>
  </si>
  <si>
    <t>BLK01,CSNSTORES,DESINC,FINGERHUTDS,HDDS,JCPENNEY01,KOHLDSN,MACY02,OVERSTOCK01,TGTDVS,WALMARTDS</t>
  </si>
  <si>
    <t>8/26/2022</t>
  </si>
  <si>
    <t>ST55-0266</t>
  </si>
  <si>
    <t>Microfiber Heated</t>
  </si>
  <si>
    <t>PP001880;PF005997</t>
  </si>
  <si>
    <t>ST55-0267</t>
  </si>
  <si>
    <t>ST55-0268</t>
  </si>
  <si>
    <t>ST55-0269</t>
  </si>
  <si>
    <t>BLK01,CSNSTORES,DESINC,HDDS,JCPENNEY01,KOHLDSN,MACY02,OLLIIX,OVERSTOCK01</t>
  </si>
  <si>
    <t>ST55-0270</t>
  </si>
  <si>
    <t>ST55-0271</t>
  </si>
  <si>
    <t>BLK01,CSNSTORES,HDDS,JCPENNEY01,KOHLDSN,MACY02,OLLIIX,OVERSTOCK01</t>
  </si>
  <si>
    <t>ST54-0091</t>
  </si>
  <si>
    <t>Plush Heated</t>
  </si>
  <si>
    <t>BLK01,CSNSTORES,DESINC,FINGERHUTDS,JCPENNEY01,KOHLDSN,MACY02,OVERSTOCK01,TGTDVS</t>
  </si>
  <si>
    <t>ST54-0092</t>
  </si>
  <si>
    <t>8/11/2022</t>
  </si>
  <si>
    <t>ST54-0093</t>
  </si>
  <si>
    <t>12/3/2021</t>
  </si>
  <si>
    <t>ST54-0083</t>
  </si>
  <si>
    <t>ST54-0084</t>
  </si>
  <si>
    <t>4/7/2022</t>
  </si>
  <si>
    <t>ST54-0085</t>
  </si>
  <si>
    <t>7/1/2022</t>
  </si>
  <si>
    <t>ST54-0087</t>
  </si>
  <si>
    <t>CSNSTORES,FINGERHUTDS,JCPENNEY01,KOHLDSN,MACY02,OVERSTOCK01</t>
  </si>
  <si>
    <t>ST54-0088</t>
  </si>
  <si>
    <t>BLK01,CSNSTORES,FINGERHUTDS,JCPENNEY01,KOHLDSN,MACY02,OVERSTOCK01,TGTDVS,WALMARTDS</t>
  </si>
  <si>
    <t>ST54-0089</t>
  </si>
  <si>
    <t>8/10/2022</t>
  </si>
  <si>
    <t>ST54-0126</t>
  </si>
  <si>
    <t>6/25/2021</t>
  </si>
  <si>
    <t>BLK01,CSNSTORES,DESINC,JCPENNEY01,KOHLDSN,MACY02,OVERSTOCK01,TGTDVS,WALMARTDS</t>
  </si>
  <si>
    <t>ST54-0127</t>
  </si>
  <si>
    <t>BLK01,CSNSTORES,FINGERHUTDS,JCPENNEY01,KOHLDSN,MACY02,OVERSTOCK01,TGTDVS</t>
  </si>
  <si>
    <t>12/12/2021</t>
  </si>
  <si>
    <t>ST54-0128</t>
  </si>
  <si>
    <t>12/10/2021</t>
  </si>
  <si>
    <t>ST54-0095</t>
  </si>
  <si>
    <t>CSNSTORES,FINGERHUTDS,JCPENNEY01,KOHLDSN,MACY02,OVERSTOCK01,TGTDVS</t>
  </si>
  <si>
    <t>ST54-0096</t>
  </si>
  <si>
    <t>BLK01,CSNSTORES,FINGERHUTDS,JCPENNEY01,KOHLDSN,MACY02,OVERSTOCK01,WALMARTDS</t>
  </si>
  <si>
    <t>11/26/2021</t>
  </si>
  <si>
    <t>ST54-0097</t>
  </si>
  <si>
    <t>CSNSTORES,DESINC,FINGERHUTDS,JCPENNEY01,KOHLDSN,MACY02,OVERSTOCK01</t>
  </si>
  <si>
    <t>11/14/2021</t>
  </si>
  <si>
    <t>ST54-0130</t>
  </si>
  <si>
    <t>ST54-0131</t>
  </si>
  <si>
    <t>BLK01,CSNSTORES,FINGERHUTDS,JCPENNEY01,KOHLDSN,MACY02,OVERSTOCK01</t>
  </si>
  <si>
    <t>ST54-0132</t>
  </si>
  <si>
    <t>BLK01,CSNSTORES,DESINC,FINGERHUTDS,JCPENNEY01,KOHLDSN,MACY02,OVERSTOCK01</t>
  </si>
  <si>
    <t>ST54-0102</t>
  </si>
  <si>
    <t>Fleece to Sherpa</t>
  </si>
  <si>
    <t>1/16/2022</t>
  </si>
  <si>
    <t>8/6/2022</t>
  </si>
  <si>
    <t>ST54-0103</t>
  </si>
  <si>
    <t>6/4/2022</t>
  </si>
  <si>
    <t>8/2/2022</t>
  </si>
  <si>
    <t>ST54-0104</t>
  </si>
  <si>
    <t>11/16/2021</t>
  </si>
  <si>
    <t>ST54-0105</t>
  </si>
  <si>
    <t>ST54-0098</t>
  </si>
  <si>
    <t>BLK01,CSNSTORES,DESINC,FINGERHUTDS,HDDS,JCPENNEY01,KOHLDSN,MACY02,OLLIIX,OVERSTOCK01,TGTDVS</t>
  </si>
  <si>
    <t>8/9/2022</t>
  </si>
  <si>
    <t>ST54-0099</t>
  </si>
  <si>
    <t>BLK01,CSNSTORES,FINGERHUTDS,HDDS,JCPENNEY01,KOHLDSN,MACY02,OLLIIX,OVERSTOCK01,TGTDVS,WALMARTDS</t>
  </si>
  <si>
    <t>7/6/2022</t>
  </si>
  <si>
    <t>8/24/2022</t>
  </si>
  <si>
    <t>ST54-0100</t>
  </si>
  <si>
    <t>BLK01,CSNSTORES,DESINC,FINGERHUTDS,JCPENNEY01,KOHLDSN,MACY02,OLLIIX,OVERSCONSIGN,OVERSTOCK01,WALMARTDS</t>
  </si>
  <si>
    <t>6/21/2022</t>
  </si>
  <si>
    <t>ST54-0101</t>
  </si>
  <si>
    <t>ST54-0141</t>
  </si>
  <si>
    <t>7/9/2021</t>
  </si>
  <si>
    <t>DESINC,FINGERHUTDS,JCPENNEY01,KOHLDSN,MACY02,OLLIIX,OVERSTOCK01</t>
  </si>
  <si>
    <t>9/14/2022</t>
  </si>
  <si>
    <t>ST54-0142</t>
  </si>
  <si>
    <t>11/18/2021</t>
  </si>
  <si>
    <t>ST54-0143</t>
  </si>
  <si>
    <t>ST54-0144</t>
  </si>
  <si>
    <t>BLK01,CSNSTORES,DESINC,FINGERHUTDS,JCPENNEY01,KOHLDSN,MACY02,OLLIIX,OVERSTOCK01,TGTDVS</t>
  </si>
  <si>
    <t>9/9/2022</t>
  </si>
  <si>
    <t>ST54-0137</t>
  </si>
  <si>
    <t>BLK01,CSNSTORES,DESINC,FINGERHUTDS,JCPENNEY01,KOHLDSN,MACY02,OLLIIX,OVERSTOCK01</t>
  </si>
  <si>
    <t>ST54-0138</t>
  </si>
  <si>
    <t>BLK01,FINGERHUTDS,JCPENNEY01,KOHLDSN,MACY02,OLLIIX,OVERSTOCK01,TGTDVS,WALMARTDS</t>
  </si>
  <si>
    <t>ST54-0139</t>
  </si>
  <si>
    <t>ST54-0140</t>
  </si>
  <si>
    <t>6/19/2024</t>
  </si>
  <si>
    <t>ST54-0110</t>
  </si>
  <si>
    <t>BLK01,FINGERHUTDS,JCPENNEY01,KOHLDSN,MACY02,OLLIIX,OVERSTOCK01,TGTDVS</t>
  </si>
  <si>
    <t>8/30/2022</t>
  </si>
  <si>
    <t>ST54-0111</t>
  </si>
  <si>
    <t>BLK01,FINGERHUTDS,HDDS,JCPENNEY01,KOHLDSN,MACY02,OLLIIX,OVERSTOCK01,TGTDVS,WALMARTDS</t>
  </si>
  <si>
    <t>9/26/2022</t>
  </si>
  <si>
    <t>ST54-0112</t>
  </si>
  <si>
    <t>ST54-0113</t>
  </si>
  <si>
    <t>BLK01,CSNSTORES,DESINC,FINGERHUTDS,HDDS,JCPENNEY01,KOHLDSN,MACY02,OVERSTOCK01,WALMARTDS</t>
  </si>
  <si>
    <t>ST54-0133</t>
  </si>
  <si>
    <t>ST54-0134</t>
  </si>
  <si>
    <t>BLK01,CSNSTORES,FINGERHUTDS,HDDS,JCPENNEY01,KOHLDSN,MACY02,OLLIIX,OVERSTOCK01,WALMARTDS</t>
  </si>
  <si>
    <t>ST54-0135</t>
  </si>
  <si>
    <t>6/3/2022</t>
  </si>
  <si>
    <t>ST54-0136</t>
  </si>
  <si>
    <t>ST54-0106</t>
  </si>
  <si>
    <t>ST54-0107</t>
  </si>
  <si>
    <t>7/18/2022</t>
  </si>
  <si>
    <t>ST54-0108</t>
  </si>
  <si>
    <t>ST54-0290</t>
  </si>
  <si>
    <t>Corded Plush</t>
  </si>
  <si>
    <t>PP001892;PF006035</t>
  </si>
  <si>
    <t>ST54-0291</t>
  </si>
  <si>
    <t>9/21/2023</t>
  </si>
  <si>
    <t>BLK01,CSNSTORES,DESINC,JCPENNEY01,KOHLDSN,MACY02,OVERSTOCK01</t>
  </si>
  <si>
    <t>ST54-0292</t>
  </si>
  <si>
    <t>BLK01,JCPENNEY01,KOHLDSN,MACY02,OVERSTOCK01</t>
  </si>
  <si>
    <t>ST54-0293</t>
  </si>
  <si>
    <t>BLK01,CSNSTORES,JCPENNEY01,KOHLDSN,MACY02</t>
  </si>
  <si>
    <t>ST54-0294</t>
  </si>
  <si>
    <t>PP001892;PF006036</t>
  </si>
  <si>
    <t>BLK01,DESINC,JCPENNEY01,KOHLDSN,MACY02,OLLIIX,TGTDVS</t>
  </si>
  <si>
    <t>ST54-0295</t>
  </si>
  <si>
    <t>BLK01,CSNSTORES,DESINC,JCPENNEY01,KOHLDSN,MACY02,OVERSTOCK01,TGTDVS</t>
  </si>
  <si>
    <t>ST54-0296</t>
  </si>
  <si>
    <t>ST54-0297</t>
  </si>
  <si>
    <t>ST54-0286</t>
  </si>
  <si>
    <t>PP001892;PF006034</t>
  </si>
  <si>
    <t>ST54-0287</t>
  </si>
  <si>
    <t>CSNSTORES,DESINC,JCPENNEY01,KOHLDSN,MACY02,OVERSTOCK01</t>
  </si>
  <si>
    <t>ST54-0288</t>
  </si>
  <si>
    <t>CSNSTORES,DESINC,JCPENNEY01,KOHLDSN,MACY02,OVERSTOCK01,TGTDVS</t>
  </si>
  <si>
    <t>ST54-0289</t>
  </si>
  <si>
    <t>ST54-0282</t>
  </si>
  <si>
    <t>PP001892;PF006033</t>
  </si>
  <si>
    <t>ST54-0283</t>
  </si>
  <si>
    <t>CSNSTORES,DESINC,JCPENNEY01,KOHLDSN,MACY02,OLLIIX,OVERSTOCK01,TGTDVS</t>
  </si>
  <si>
    <t>ST54-0284</t>
  </si>
  <si>
    <t>BLK01,CSNSTORES,DESINC,JCPENNEY01,KOHLDSN,MACY02,OLLIIX,OVERSTOCK01</t>
  </si>
  <si>
    <t>ST54-0285</t>
  </si>
  <si>
    <t>ST54-3579</t>
  </si>
  <si>
    <t>Dream Soft Heated</t>
  </si>
  <si>
    <t>PP001983;PF006359</t>
  </si>
  <si>
    <t>10/16/2024</t>
  </si>
  <si>
    <t>MACY02</t>
  </si>
  <si>
    <t>ST54-3580</t>
  </si>
  <si>
    <t>ST54-3581</t>
  </si>
  <si>
    <t>KOHLDSN,MACY02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</si>
  <si>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</si>
  <si>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</si>
  <si>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</si>
  <si>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</si>
  <si>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</si>
  <si>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</si>
  <si>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</si>
  <si>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</si>
  <si>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</si>
  <si>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</si>
  <si>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</si>
  <si>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</si>
  <si>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</si>
  <si>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</si>
  <si>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</si>
  <si>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</si>
  <si>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</si>
  <si>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</si>
  <si>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</si>
  <si>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</si>
  <si>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CSNSTORES,KOHLDSN</t>
  </si>
  <si>
    <t>ST54-3589</t>
  </si>
  <si>
    <t>ST54-3590</t>
  </si>
  <si>
    <t>ST54-0151</t>
  </si>
  <si>
    <t>Malea Heated</t>
  </si>
  <si>
    <t>Leena Heated</t>
  </si>
  <si>
    <t>Shaggy Faux Fur Heated Throw</t>
  </si>
  <si>
    <t>CSNSTORES,HDDS,HSNDS,JCPENNEY01,KIRKLANDDS,KOHLDSN,MACY02,OLLIIX,OVERSTOCK01,TGTDVS,WALMARTDS</t>
  </si>
  <si>
    <t>12/6/2021</t>
  </si>
  <si>
    <t>ST54-0152</t>
  </si>
  <si>
    <t>BLK01,CSNSTORES,FINGERHUTDS,HDDS,HSNDS,JCPENNEY01,KOHLDSN,MACY02,OLLIIX,OVERSTOCK01,TGTDVS,WALMARTDS</t>
  </si>
  <si>
    <t>ST54-0153</t>
  </si>
  <si>
    <t>BLK01,CSNSTORES,FINGERHUTDS,HSNDS,JCPENNEY01,KIRKLANDDS,KOHLDSN,MACY02,OLLIIX,OVERSTOCK01,TGTDVS</t>
  </si>
  <si>
    <t>ST54-0150</t>
  </si>
  <si>
    <t>CSNSTORES,DESINC,FINGERHUTDS,HSNDS,JCPENNEY01,KOHLDSN,MACY02,OLLIIX,OVERSTOCK01,TGTDVS</t>
  </si>
  <si>
    <t>ST54-0074</t>
  </si>
  <si>
    <t>12/20/2021</t>
  </si>
  <si>
    <t>ST54-0076</t>
  </si>
  <si>
    <t>ST54-0077</t>
  </si>
  <si>
    <t>BLK01,CSNSTORES,FINGERHUTDS,HDDS,JCPENNEY01,KOHLDSN,MACY02,OLLIIX,OVERSTOCK01,TGTDVS</t>
  </si>
  <si>
    <t>ST54-0124</t>
  </si>
  <si>
    <t>Heated Throw</t>
  </si>
  <si>
    <t>BLK01,CSNSTORES,FINGERHUTDS,JCPENNEY01,KOHLDSN,MACY02,OLLIIX,OVERSTOCK01,TGTDVS,WALMARTDS</t>
  </si>
  <si>
    <t>ST54-0079</t>
  </si>
  <si>
    <t>6/29/2022</t>
  </si>
  <si>
    <t>ST54-0081</t>
  </si>
  <si>
    <t>ST54-0080</t>
  </si>
  <si>
    <t>11/30/2022</t>
  </si>
  <si>
    <t>ST54-0123</t>
  </si>
  <si>
    <t>ID51-1087</t>
  </si>
  <si>
    <t>Microlight Plush</t>
  </si>
  <si>
    <t>Oversized Blanket</t>
  </si>
  <si>
    <t>PF003476</t>
  </si>
  <si>
    <t>AMAZON,AMAZONDS,ASHFURNDS,BEALLSDS,BLK01,CSNSTORES,DESINC,FINGERHUTDS,JCPENNEY01,KOHLDSN,MACY02,NRTPORT,TGTDVS,WALMARTDS</t>
  </si>
  <si>
    <t>9/4/2017</t>
  </si>
  <si>
    <t>ID51-1088</t>
  </si>
  <si>
    <t>AMAZON,AMAZONDS,ASHFURNDS,BEALLSDS,CSNSTORES,DESINC,FINGERHUTDS,JCPENNEY01,KOHLDSN,MACY02,NRTPORT,OLLIIX,OVERSTOCK01,TGTDVS,WALMARTDS</t>
  </si>
  <si>
    <t>ID51-822</t>
  </si>
  <si>
    <t>PF003474</t>
  </si>
  <si>
    <t>AMAZON,AMAZONDS,BEALLSDS,BLK01,CSNSTORES,DESINC,FINGERHUTDS,JCPENNEY01,KOHLDSN,MACY02,OVERSTOCK01,TGTDVS,WALMARTDS</t>
  </si>
  <si>
    <t>ID51-823</t>
  </si>
  <si>
    <t>AMAZON,AMAZONDS,ASHFURNDS,BEALLSDS,BLK01,CSNSTORES,DESINC,FINGERHUTDS,JCPENNEY01,KOHLDSN,MACY02,NRTPORT,OLLIIX,OVERSTOCK01,TGTDVS,WALMARTDS</t>
  </si>
  <si>
    <t>ID51-827</t>
  </si>
  <si>
    <t>PF003473</t>
  </si>
  <si>
    <t>AMAZON,AMAZONDS,ASHFURNDS,BEALLSDS,BLK01,CSNSTORES,FINGERHUTDS,JCPENNEY01,KOHLDSN,MACY02,OLLIIX,OVERSTOCK01,TGTDVS,WALMARTDS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</si>
  <si>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</si>
  <si>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</si>
  <si>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</si>
  <si>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AMAZON,AMAZONDS,ASHFURNDS,BLK01,CSNSTORES,DESINC,FINGERHUTDS,JCPENNEY01,KIRKLANDDS,KOHLDSN,MACY02,NRTPORT,OLLIIX,OVERSTOCK01,TGTDVS,WALMARTDS</t>
  </si>
  <si>
    <t>ID51-825</t>
  </si>
  <si>
    <t>PF003472</t>
  </si>
  <si>
    <t>10/18/2016</t>
  </si>
  <si>
    <t>ID51-826</t>
  </si>
  <si>
    <t>AMAZONDS,ASHFURNDS,BLK01,CSNSTORES,DESINC,FINGERHUTDS,JCPENNEY01,KOHLDSN,MACY02,NRTPORT,OLLIIX,OVERSTOCK01,TGTDVS,WALMARTDS</t>
  </si>
  <si>
    <t>ID51-1308</t>
  </si>
  <si>
    <t>8/31/2017</t>
  </si>
  <si>
    <t>AMAZON,AMAZONDS,ASHFURNDS,BLK01,CSNSTORES,JCPENNEY01,KOHLDSN,MACY02,OVERSTOCK01,TGTDVS,WALMARTDS</t>
  </si>
  <si>
    <t>10/26/2017</t>
  </si>
  <si>
    <t>ID51-1310</t>
  </si>
  <si>
    <t>AMAZONDS,BEALLSDS,BLK01,CSNSTORES,DESINC,FINGERHUTDS,JCPENNEY01,KOHLDSN,MACY02,OLLIIX,TGTDVS,WALMARTDS</t>
  </si>
  <si>
    <t>10/30/2017</t>
  </si>
  <si>
    <t>ID10-2149</t>
  </si>
  <si>
    <t>Ombre Shaggy Long Fur Comforter Mini Set</t>
  </si>
  <si>
    <t>PP001784;PF005745</t>
  </si>
  <si>
    <t>ID10-2150</t>
  </si>
  <si>
    <t>AMAZON,CSNSTORES,DESINC,FINGERHUTDS,HDDS,JCPENNEY01,KOHLDSN,MACY02,NRTPORT,OLLIIX,OVERSTOCK01,TGTDVS</t>
  </si>
  <si>
    <t>ID10-2151</t>
  </si>
  <si>
    <t>AMAZONDS,BLK01,CSNSTORES,FINGERHUTDS,HDDS,JCPENNEY01,KOHLDSN,MACY02,NRTPORT,OLLIIX,OVERSTOCK01,TGTDVS</t>
  </si>
  <si>
    <t>ID10-2143</t>
  </si>
  <si>
    <t>PP001784;PF005743</t>
  </si>
  <si>
    <t>AMAZON,AMAZONDS,CSNSTORES,FINGERHUTDS,JCPENNEY01,KOHLDSN,MACY02,NRTPORT,OLLIIX,OVERSTOCK01,TGTDVS</t>
  </si>
  <si>
    <t>ID10-2144</t>
  </si>
  <si>
    <t>ID10-2145</t>
  </si>
  <si>
    <t>AMAZONDS,CSNSTORES,FINGERHUTDS,HDDS,JCPENNEY01,KOHLDSN,MACY02,NRTPORT,OVERSTOCK01,TGTDVS</t>
  </si>
  <si>
    <t>ID10-2146</t>
  </si>
  <si>
    <t>PP001784;PF005744</t>
  </si>
  <si>
    <t>AMAZONDS,BLK01,CSNSTORES,FINGERHUTDS,HDDS,JCPENNEY01,KOHLDSN,MACY02,NRTPORT,OVERSTOCK01,TGTDVS</t>
  </si>
  <si>
    <t>ID10-2147</t>
  </si>
  <si>
    <t>AMAZON,CSNSTORES,FINGERHUTDS,HDDS,JCPENNEY01,KOHLDSN,MACY02,NRTPORT,OVERSTOCK01,TGTDVS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</si>
  <si>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</si>
  <si>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</si>
  <si>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</si>
  <si>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</si>
  <si>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</si>
  <si>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</si>
  <si>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</si>
  <si>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</si>
  <si>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</si>
  <si>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</si>
  <si>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AMAZONDS,BLK01,CSNSTORES,DESINC,FINGERHUTDS,HSNDS,JCPENNEY01,KOHLDSN,MACY02,NRTPORT,OLLIIX,OVERSTOCK01,TGTDVS</t>
  </si>
  <si>
    <t>ID10-2043</t>
  </si>
  <si>
    <t>AMAZONDS,CSNSTORES,DESINC,FINGERHUTDS,HSNDS,JCPENNEY01,KOHLDSN,MACY02,NRTPORT,OLLIIX,OVERSTOCK01,TGTDVS</t>
  </si>
  <si>
    <t>ID10-2044</t>
  </si>
  <si>
    <t>ID10-1920</t>
  </si>
  <si>
    <t>PP001109;PF005257</t>
  </si>
  <si>
    <t>9/17/2020</t>
  </si>
  <si>
    <t>AMAZON,AMAZONDS,ASHFURNDS,BLK01,CSNSTORES,FINGERHUTDS,HDDS,HSNDS,JCPENNEY01,KOHLDSN,MACY02,NRTPORT,OLLIIX,OVERSTOCK01,TGTDVS</t>
  </si>
  <si>
    <t>ID10-1921</t>
  </si>
  <si>
    <t>AMAZON,AMAZONDS,ASHFURNDS,BLK01,CSNSTORES,DESINC,FINGERHUTDS,HDDS,HSNDS,JCPENNEY01,KOHLDSN,MACY02,NRTPORT,OLLIIX,OVERSTOCK01,TGTDVS</t>
  </si>
  <si>
    <t>ID10-1922</t>
  </si>
  <si>
    <t>ID10-2234</t>
  </si>
  <si>
    <t>PP001109;PF006032</t>
  </si>
  <si>
    <t>8/3/2023</t>
  </si>
  <si>
    <t>ID10-2235</t>
  </si>
  <si>
    <t>ID10-2236</t>
  </si>
  <si>
    <t>AMAZON,CSNSTORES,DESINC,JCPENNEY01,KOHLDSN,MACY02,NRTPORT,OLLIIX,OVERSTOCK01,TGTDVS</t>
  </si>
  <si>
    <t>ID10-1823</t>
  </si>
  <si>
    <t>PP001109;PF004986</t>
  </si>
  <si>
    <t>11/7/2019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</si>
  <si>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</si>
  <si>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</si>
  <si>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</si>
  <si>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</si>
  <si>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</si>
  <si>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</si>
  <si>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</si>
  <si>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</si>
  <si>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</si>
  <si>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</si>
  <si>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</si>
  <si>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AMAZON,AMAZONDS,CSNSTORES,HDDS,JCPENNEY01,KOHLDSN,MACY02,TGTDVS</t>
  </si>
  <si>
    <t>ID10-2441</t>
  </si>
  <si>
    <t>ID10-2442</t>
  </si>
  <si>
    <t>ID10-2339</t>
  </si>
  <si>
    <t>Velvet Dream Puff</t>
  </si>
  <si>
    <t>2 Piece Comforter Set</t>
  </si>
  <si>
    <t>PP001942;PF006190</t>
  </si>
  <si>
    <t>AMAZON,AMAZONDS,CSNSTORES,JCPENNEY01,KOHLDSN,TGTDVS</t>
  </si>
  <si>
    <t>ID10-2340</t>
  </si>
  <si>
    <t>3 Piece Comforter Set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</si>
  <si>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</si>
  <si>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</si>
  <si>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</si>
  <si>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</si>
  <si>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</si>
  <si>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</si>
  <si>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</si>
  <si>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</si>
  <si>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</si>
  <si>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</si>
  <si>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</si>
  <si>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CSNSTORES,KOHLDSN,MACY02,NRTPORT,OLLIIX,OVERSTOCK01,TGTDVS</t>
  </si>
  <si>
    <t>ID12-2040</t>
  </si>
  <si>
    <t>CSNSTORES,HDDS,JCPENNEY01,KOHLDSN,MACY02,NRTPORT,OVERSTOCK01,TGTDVS</t>
  </si>
  <si>
    <t>ID12-2041</t>
  </si>
  <si>
    <t>ID12-1929</t>
  </si>
  <si>
    <t>AMAZON,ASHFURNDS,BLK01,CSNSTORES,HDDS,JCPENNEY01,KOHLDSN,MACY02,NRTPORT,OLLIIX,TGTDVS</t>
  </si>
  <si>
    <t>ID12-1930</t>
  </si>
  <si>
    <t>ID12-1931</t>
  </si>
  <si>
    <t>AMAZON,ASHFURNDS,CSNSTORES,HDDS,JCPENNEY01,KOHLDSN,MACY02,NRTPORT,OLLIIX,OVERSTOCK01,TGTDVS</t>
  </si>
  <si>
    <t>ID12-1926</t>
  </si>
  <si>
    <t>PP001109;PF004607</t>
  </si>
  <si>
    <t>ID12-1927</t>
  </si>
  <si>
    <t>ID12-1928</t>
  </si>
  <si>
    <t>BLK01,CSNSTORES,HDDS,JCPENNEY01,KOHLDSN,MACY02,OVERSTOCK01,TGTDVS</t>
  </si>
  <si>
    <t>ID12-1923</t>
  </si>
  <si>
    <t>PP001109;PF004608</t>
  </si>
  <si>
    <t>ID12-1924</t>
  </si>
  <si>
    <t>AMAZON,AMAZONDS,ASHFURNDS,BLK01,CSNSTORES,HDDS,JCPENNEY01,KOHLDSN,MACY02,OVERSTOCK01,TGTDVS</t>
  </si>
  <si>
    <t>ID12-1925</t>
  </si>
  <si>
    <t>AMAZON,AMAZONDS,ASHFURNDS,BLK01,CSNSTORES,HDDS,JCPENNEY01,KOHLDSN,MACY02,NRTPORT,OVERSTOCK01,TGTDVS</t>
  </si>
  <si>
    <t>WR54-1739</t>
  </si>
  <si>
    <t>Heated Plush to Berber</t>
  </si>
  <si>
    <t>PF003613</t>
  </si>
  <si>
    <t>AMAZON,CSNSTORES,JCPENNEY01,KOHLDSN,MACY02,OVERSTOCK01,WALMARTDS</t>
  </si>
  <si>
    <t>WR54-1740</t>
  </si>
  <si>
    <t>CSNSTORES,HDDS,JCPENNEY01,KOHLDSN,OVERSTOCK01,TGTDVS</t>
  </si>
  <si>
    <t>8/31/2022</t>
  </si>
  <si>
    <t>WR54-1741</t>
  </si>
  <si>
    <t>AMAZON,BLK01,CSNSTORES,FINGERHUTDS,HDDS,HSNDS,JCPENNEY01,KOHLDSN,MACY02,OVERSTOCK01,WALMARTDS</t>
  </si>
  <si>
    <t>WR54-1742</t>
  </si>
  <si>
    <t>AMAZON,AMAZONDS,BLK01,CSNSTORES,FINGERHUTDS,HDDS,HSNDS,JCPENNEY01,KOHLDSN,MACY02,OVERSTOCK01,TGTDVS,WALMARTDS</t>
  </si>
  <si>
    <t>11/17/2022</t>
  </si>
  <si>
    <t>WR54-1747</t>
  </si>
  <si>
    <t>PF003610</t>
  </si>
  <si>
    <t>AMAZON,AMAZONDS,CSNSTORES,JCPENNEY01,KOHLDSN,MACY02,OVERSTOCK01,WALMARTDS</t>
  </si>
  <si>
    <t>2/21/2022</t>
  </si>
  <si>
    <t>WR54-1748</t>
  </si>
  <si>
    <t>AMAZON,AMAZONDS,CSNSTORES,HDDS,JCPENNEY01,KOHLDSN,MACY02,OVERSTOCK01,WALMARTDS</t>
  </si>
  <si>
    <t>2/8/2022</t>
  </si>
  <si>
    <t>1/28/2022</t>
  </si>
  <si>
    <t>WR54-1749</t>
  </si>
  <si>
    <t>AMAZON,AMAZONDS,CSNSTORES,HDDS,JCPENNEY01,KOHLDSN,MACY02,OLLIIX,OVERSTOCK01,WALMARTDS</t>
  </si>
  <si>
    <t>11/22/2022</t>
  </si>
  <si>
    <t>WR54-1750</t>
  </si>
  <si>
    <t>AMAZON,BLK01,CSNSTORES,FINGERHUTDS,JCPENNEY01,KOHLDSN,MACY02,OVERSTOCK01,WALMARTDS</t>
  </si>
  <si>
    <t>WR54-1759</t>
  </si>
  <si>
    <t>PF003614</t>
  </si>
  <si>
    <t>AMAZON,CSNSTORES,FINGERHUTDS,HDDS,JCPENNEY01,KOHLDSN,OVERSTOCK01,TGTDVS,WALMARTDS</t>
  </si>
  <si>
    <t>10/12/2022</t>
  </si>
  <si>
    <t>WR54-1760</t>
  </si>
  <si>
    <t>AMAZON,BLK01,CSNSTORES,FINGERHUTDS,HDDS,KOHLDSN,MACY02,OVERSTOCK01,WALMARTDS</t>
  </si>
  <si>
    <t>WR54-1761</t>
  </si>
  <si>
    <t>AMAZON,BLK01,FINGERHUTDS,JCPENNEY01,KOHLDSN,OVERSTOCK01,TGTDVS,WALMARTDS</t>
  </si>
  <si>
    <t>7/11/2022</t>
  </si>
  <si>
    <t>WR54-1762</t>
  </si>
  <si>
    <t>AMAZON,CSNSTORES,FINGERHUTDS,JCPENNEY01,KOHLDSN,OVERSTOCK01,WALMARTDS</t>
  </si>
  <si>
    <t>7/5/2022</t>
  </si>
  <si>
    <t>4/26/2023</t>
  </si>
  <si>
    <t>WR54-1743</t>
  </si>
  <si>
    <t>PF003609</t>
  </si>
  <si>
    <t>AMAZON,AMAZONDS,HDDS,JCPENNEY01,KOHLDSN,MACY02,OVERSTOCK01,WALMARTDS</t>
  </si>
  <si>
    <t>3/21/2023</t>
  </si>
  <si>
    <t>WR54-1744</t>
  </si>
  <si>
    <t>BLK01,CSNSTORES,FINGERHUTDS,HDDS,HSNDS,JCPENNEY01,KOHLDSN,WALMARTDS</t>
  </si>
  <si>
    <t>10/9/2023</t>
  </si>
  <si>
    <t>WR54-1745</t>
  </si>
  <si>
    <t>AMAZON,BLK01,CSNSTORES,FINGERHUTDS,JCPENNEY01,KOHLDSN,MACY02,OVERSTOCK01,TGTDVS,WALMARTDS</t>
  </si>
  <si>
    <t>WR54-1746</t>
  </si>
  <si>
    <t>JCPENNEY01,KOHLDSN,MACY02,OVERSTOCK01,WALMARTDS</t>
  </si>
  <si>
    <t>10/17/2022</t>
  </si>
  <si>
    <t>WR54-1755</t>
  </si>
  <si>
    <t>Garnet</t>
  </si>
  <si>
    <t>PF003612</t>
  </si>
  <si>
    <t>AMAZONDS,JCPENNEY01,KOHLDSN,MACY02,OVERSTOCK01</t>
  </si>
  <si>
    <t>WR54-1756</t>
  </si>
  <si>
    <t>AMAZONDS,BLK01,CSNSTORES,FINGERHUTDS,HDDS,JCPENNEY01,KOHLDSN,MACY02,OVERSTOCK01</t>
  </si>
  <si>
    <t>WR54-1758</t>
  </si>
  <si>
    <t>AMAZON,ASHFURNDS,BLK01,FINGERHUTDS,HDDS,JCPENNEY01,KOHLDSN,OLLIIX,OVERSTOCK01,WALMARTDS</t>
  </si>
  <si>
    <t>WR54-1763</t>
  </si>
  <si>
    <t>PF003615</t>
  </si>
  <si>
    <t>WR54-1764</t>
  </si>
  <si>
    <t>AMAZON,CSNSTORES,HDDS,HSNDS,KOHLDSN,MACY02,OVERSTOCK01</t>
  </si>
  <si>
    <t>WR54-1765</t>
  </si>
  <si>
    <t>WR54-1766</t>
  </si>
  <si>
    <t>WR54-2388</t>
  </si>
  <si>
    <t>Ridley</t>
  </si>
  <si>
    <t>Oversized Plaid Print Faux Mink to Berber Heated Throw</t>
  </si>
  <si>
    <t>PF002056</t>
  </si>
  <si>
    <t>10/16/2018</t>
  </si>
  <si>
    <t>BLK01,CSNSTORES,HSNDS,JCPENNEY01,KOHLDSN,MACY02,NORDSTRACKDS,OLLIIX,OVERSTOCK01,TGTDVS,WALMARTDS</t>
  </si>
  <si>
    <t>WR54-1775</t>
  </si>
  <si>
    <t>Oversized Mink to Berber Heated Throw</t>
  </si>
  <si>
    <t>PF003452</t>
  </si>
  <si>
    <t>BLK01,CSNSTORES,JCPENNEY01,KOHLDSN,MACY02,OLLIIX,OVERSTOCK01,WALMARTDS</t>
  </si>
  <si>
    <t>2/7/2022</t>
  </si>
  <si>
    <t>WR54-1774</t>
  </si>
  <si>
    <t>PF003451</t>
  </si>
  <si>
    <t>1/7/2022</t>
  </si>
  <si>
    <t>WR54-1771</t>
  </si>
  <si>
    <t>PF003580</t>
  </si>
  <si>
    <t>AMAZON,AMAZONDS,CSNSTORES,FINGERHUTDS,HDDS,JCPENNEY01,KOHLDSN,MACY02,OVERSTOCK01,TGTDVS,WALMARTDS</t>
  </si>
  <si>
    <t>12/9/2021</t>
  </si>
  <si>
    <t>WR54-1767</t>
  </si>
  <si>
    <t>PF003581</t>
  </si>
  <si>
    <t>AMAZON,CSNSTORES,FINGERHUTDS,HDDS,JCPENNEY01,KOHLDSN,MACY02,OLLIIX,OVERSTOCK01,TGTDVS</t>
  </si>
  <si>
    <t>2/10/2022</t>
  </si>
  <si>
    <t>WR54-1776</t>
  </si>
  <si>
    <t>PF003453</t>
  </si>
  <si>
    <t>BLK01,CSNSTORES,HDDS,HSNDS,JCPENNEY01,KOHLDSN,OLLIIX,OVERSTOCK01,WALMARTDS</t>
  </si>
  <si>
    <t>12/8/2021</t>
  </si>
  <si>
    <t>3/21/2022</t>
  </si>
  <si>
    <t>WR54-1777</t>
  </si>
  <si>
    <t>PF003454</t>
  </si>
  <si>
    <t>1/14/2022</t>
  </si>
  <si>
    <t>5/25/2022</t>
  </si>
  <si>
    <t>WR54-1894</t>
  </si>
  <si>
    <t>PF003455</t>
  </si>
  <si>
    <t>BLK01,CSNSTORES,JCPENNEY01,KOHLDSN,MACY02,NORDSTRACKDS,OLLIIX,OVERSTOCK01</t>
  </si>
  <si>
    <t>12/17/2021</t>
  </si>
  <si>
    <t>5/3/2022</t>
  </si>
  <si>
    <t>WR54-3252</t>
  </si>
  <si>
    <t>Linden</t>
  </si>
  <si>
    <t>PP001629;PF005471</t>
  </si>
  <si>
    <t>7/30/2021</t>
  </si>
  <si>
    <t>AMAZON,BLK01,CSNSTORES,HDDS,JCPENNEY01,KOHLDSN,MACY02,NORDSTRACKDS,OVERSTOCK01,TGTDVS</t>
  </si>
  <si>
    <t>WR54-3251</t>
  </si>
  <si>
    <t>PP001629;PF005470</t>
  </si>
  <si>
    <t>AMAZON,BLK01,CSNSTORES,JCPENNEY01,KOHLDSN,MACY02,OVERSTOCK01,TGTDVS</t>
  </si>
  <si>
    <t>WR51-2214</t>
  </si>
  <si>
    <t>Burlington</t>
  </si>
  <si>
    <t>Berber Blanket</t>
  </si>
  <si>
    <t>12/29/2021</t>
  </si>
  <si>
    <t>8/25/2022</t>
  </si>
  <si>
    <t>WR51-2215</t>
  </si>
  <si>
    <t>AMAZON,AMAZONDS,BLK01,CSNSTORES,FINGERHUTDS,HDDS,HOUZZ,JCPENNEY01,KOHLDSN,MACY02,OLLIIX,OVERSTOCK01,TGTDVS,WALMARTDS</t>
  </si>
  <si>
    <t>1/3/2022</t>
  </si>
  <si>
    <t>WR51-2216</t>
  </si>
  <si>
    <t>AMAZONDS,BLK01,CSNSTORES,JCPENNEY01,KOHLDSN,MACY02,OLLIIX,OVERSTOCK01,TGTDVS,WALMARTDS</t>
  </si>
  <si>
    <t>12/30/2021</t>
  </si>
  <si>
    <t>WR51-2218</t>
  </si>
  <si>
    <t>AMAZON,AMAZONDS,ASHFURNDS,BEALLSDS,BLK01,CSNSTORES,DESINC,FINGERHUTDS,JCPENNEY01,KOHLDSN,MACY02,OLLIIX,OVERSCONSIGN,OVERSTOCK01,TGTDVS,WALMARTDS</t>
  </si>
  <si>
    <t>WR51-2219</t>
  </si>
  <si>
    <t>AMAZON,AMAZONDS,ASHFURNDS,BLK01,CSNSTORES,DESINC,FINGERHUTDS,JCPENNEY01,KOHLDSN,MACY02,OLLIIX,OVERSTOCK01,TGTDVS,WALMARTDS</t>
  </si>
  <si>
    <t>WR51-2548</t>
  </si>
  <si>
    <t>PP001175;PF004668</t>
  </si>
  <si>
    <t>AMAZON,AMAZONDS,BLK01,CSNSTORES,DESINC,HDDS,HSNDS,JCPENNEY01,KOHLDSN,MACY02,OVERSTOCK01,TGTDVS,WALMARTDS</t>
  </si>
  <si>
    <t>2/2/2022</t>
  </si>
  <si>
    <t>WR51-2211</t>
  </si>
  <si>
    <t>AMAZON,AMAZONDS,BEALLSDS,BLK01,CSNSTORES,FINGERHUTDS,JCPENNEY01,KOHLDSN,MACY02,OVERSTOCK01,TGTDVS,WALMARTDS</t>
  </si>
  <si>
    <t>5/19/2022</t>
  </si>
  <si>
    <t>WR51-2212</t>
  </si>
  <si>
    <t>AMAZON,AMAZONDS,ASHFURNDS,BEALLSDS,BLK01,CSNSTORES,FINGERHUTDS,HDDS,HSNDS,JCPENNEY01,KOHLDSN,MACY02,OVERSTOCK01,TGTDVS,WALMARTDS</t>
  </si>
  <si>
    <t>1/17/2022</t>
  </si>
  <si>
    <t>WR51-2213</t>
  </si>
  <si>
    <t>AMAZON,AMAZONDS,ASHFURNDS,BEALLSDS,BLK01,CSNSTORES,HDDS,HSNDS,JCPENNEY01,KOHLDSN,MACY02,OVERSTOCK01,TGTDVS,WALMARTDS</t>
  </si>
  <si>
    <t>WR51-2208</t>
  </si>
  <si>
    <t>AMAZON,AMAZONDS,BLK01,CSNSTORES,DESINC,HDDS,JCPENNEY01,KOHLDSN,MACY02,OVERSTOCK01,TGTDVS,WALMARTDS</t>
  </si>
  <si>
    <t>12/4/2021</t>
  </si>
  <si>
    <t>4/17/2023</t>
  </si>
  <si>
    <t>WR51-2209</t>
  </si>
  <si>
    <t>AMAZON,AMAZONDS,BLK01,CSNSTORES,DESINC,FINGERHUTDS,HDDS,JCPENNEY01,KOHLDSN,MACY02,OLLIIX,OVERSTOCK01,TGTDVS,WALMARTDS</t>
  </si>
  <si>
    <t>11/28/2021</t>
  </si>
  <si>
    <t>WR51-3913</t>
  </si>
  <si>
    <t>PP001175;PF005983</t>
  </si>
  <si>
    <t>5/18/2023</t>
  </si>
  <si>
    <t>WR51-3914</t>
  </si>
  <si>
    <t>AMAZON,AMAZONDS,BLK01,CSNSTORES,DESINC,FINGERHUTDS,JCPENNEY01,KOHLDSN,MACY02,OVERSTOCK01,TGTDVS</t>
  </si>
  <si>
    <t>WR51-3915</t>
  </si>
  <si>
    <t>AMAZON,CSNSTORES,DESINC,FINGERHUTDS,JCPENNEY01,KOHLDSN,MACY02,OVERSTOCK01,TGTDVS</t>
  </si>
  <si>
    <t>WR51-3907</t>
  </si>
  <si>
    <t>PP001175;PF005981</t>
  </si>
  <si>
    <t>WR51-3908</t>
  </si>
  <si>
    <t>AMAZON,AMAZONDS,BLK01,CSNSTORES,DESINC,FINGERHUTDS,JCPENNEY01,KOHLDSN,MACY02,OLLIIX,OVERSTOCK01,TGTDVS</t>
  </si>
  <si>
    <t>WR51-3909</t>
  </si>
  <si>
    <t>AMAZON,BLK01,CSNSTORES,DESINC,FINGERHUTDS,JCPENNEY01,KOHLDSN,MACY02,OVERSTOCK01,TGTDVS</t>
  </si>
  <si>
    <t>WR51-3910</t>
  </si>
  <si>
    <t>PP001175;PF005982</t>
  </si>
  <si>
    <t>AMAZON,AMAZONDS,CSNSTORES,FINGERHUTDS,JCPENNEY01,KOHLDSN,MACY02,OLLIIX,OVERSTOCK01,TGTDVS</t>
  </si>
  <si>
    <t>WR51-3911</t>
  </si>
  <si>
    <t>WR51-3912</t>
  </si>
  <si>
    <t>WR10-2480</t>
  </si>
  <si>
    <t>Flint</t>
  </si>
  <si>
    <t>CozySpun Down Alternative Comforter Mini Set</t>
  </si>
  <si>
    <t>PP001005;PF004483</t>
  </si>
  <si>
    <t>11/7/2018</t>
  </si>
  <si>
    <t>3/8/2022</t>
  </si>
  <si>
    <t>WR10-2481</t>
  </si>
  <si>
    <t>3/14/2022</t>
  </si>
  <si>
    <t>WR10-2482</t>
  </si>
  <si>
    <t>PF004456;PF004483</t>
  </si>
  <si>
    <t>WR10-1054</t>
  </si>
  <si>
    <t>White River</t>
  </si>
  <si>
    <t>Down Alternative Comforter Mini Set</t>
  </si>
  <si>
    <t>PF002049</t>
  </si>
  <si>
    <t>WR10-1055</t>
  </si>
  <si>
    <t>AMAZONDS,ASHFURNDS,BLK01,CSNSTORES,HDDS,HSNDS,JCPENNEY01,KOHLDSN,MACY02,OLLIIX,OVERSTOCK01,TGTDVS,WALMARTDS</t>
  </si>
  <si>
    <t>2/3/2022</t>
  </si>
  <si>
    <t>WR10-1056</t>
  </si>
  <si>
    <t>AMAZON,AMAZONDS,ASHFURNDS,BLK01,CSNSTORES,HDDS,HSNDS,JCPENNEY01,KOHLDSN,MACY02,OLLIIX,OVERSTOCK01,WALMARTDS</t>
  </si>
  <si>
    <t>WR10-1511</t>
  </si>
  <si>
    <t>Woodsman</t>
  </si>
  <si>
    <t>Softspun Down Alternative Comforter Mini Set</t>
  </si>
  <si>
    <t>PF002052</t>
  </si>
  <si>
    <t>AMAZONDS,ASHFURNDS,CSNSTORES,HDDS,JCPENNEY01,KOHLDSN,MACY02,TGTDVS</t>
  </si>
  <si>
    <t>WR10-1512</t>
  </si>
  <si>
    <t>WR10-1513</t>
  </si>
  <si>
    <t>WR10-1057</t>
  </si>
  <si>
    <t>Lumberjack</t>
  </si>
  <si>
    <t>Classic Quilting Soft and Cozy Microfiber Solid Reverse Down Alternative Comforter Set</t>
  </si>
  <si>
    <t>PF002050</t>
  </si>
  <si>
    <t>AMAZONDS,BLK01,CSNSTORES,HDDS,HSNDS,KOHLDSN,MACY02,OLLIIX,OVERSTOCK01,TGTDVS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</si>
  <si>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</si>
  <si>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</si>
  <si>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</si>
  <si>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AMAZON,AMAZONDS,BLK01,CSNSTORES,HDDS,HSNDS,KOHLDSN,MACY02,OLLIIX,OVERSTOCK01</t>
  </si>
  <si>
    <t>WR10-3857</t>
  </si>
  <si>
    <t>Tunbridge</t>
  </si>
  <si>
    <t>Print Sherpa Comforter Set</t>
  </si>
  <si>
    <t>PF005751;PP001788</t>
  </si>
  <si>
    <t>AMAZONDS,CSNSTORES,JCPENNEY01,KOHLDSN,MACY02,OLLIIX,OVERSTOCK01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</si>
  <si>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</si>
  <si>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</si>
  <si>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</si>
  <si>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</si>
  <si>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</si>
  <si>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</si>
  <si>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</si>
  <si>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AMAZON,AMAZONDS,BLK01,CSNSTORES,FINGERHUTDS,HDDS,HOUZZ,KOHLDSN,MACY02,OLLIIX,OVERSTOCK01,TGTDVS</t>
  </si>
  <si>
    <t>WR10-3106</t>
  </si>
  <si>
    <t>AMAZON,AMAZONDS,CSNSTORES,DESINC,FINGERHUTDS,KOHLDSN,MACY02,OLLIIX,OVERSTOCK01,TGTDVS</t>
  </si>
  <si>
    <t>WR10-2884</t>
  </si>
  <si>
    <t>Brown/Ivory</t>
  </si>
  <si>
    <t>PP001363;PF004860</t>
  </si>
  <si>
    <t>WR10-2885</t>
  </si>
  <si>
    <t>AMAZON,AMAZONDS,CSNSTORES,FINGERHUTDS,HDDS,KOHLDSN,MACY02,OVERSTOCK01</t>
  </si>
  <si>
    <t>WR10-2887</t>
  </si>
  <si>
    <t>Charcoal/Ivory</t>
  </si>
  <si>
    <t>AMAZON,AMAZONDS,CSNSTORES,FINGERHUTDS,HDDS,KOHLDSN,MACY02,OVERSTOCK01,TGTDVS</t>
  </si>
  <si>
    <t>WR10-2888</t>
  </si>
  <si>
    <t>10/18/2019</t>
  </si>
  <si>
    <t>AMAZON,AMAZONDS,BLK01,CSNSTORES,HDDS,KOHLDSN,MACY02,OVERSTOCK01,TGTDVS</t>
  </si>
  <si>
    <t>WR10-3886</t>
  </si>
  <si>
    <t>PP001363;PF005807</t>
  </si>
  <si>
    <t>WR10-3887</t>
  </si>
  <si>
    <t>WR10-2062</t>
  </si>
  <si>
    <t>Grey/Ivory</t>
  </si>
  <si>
    <t>PF002182</t>
  </si>
  <si>
    <t>AMAZON,AMAZONDS,BLK01,CSNSTORES,DESINC,HSNDS,KOHLDSN,MACY02,OVERSTOCK01,TGTDVS</t>
  </si>
  <si>
    <t>WR10-2063</t>
  </si>
  <si>
    <t>AMAZON,BLK01,CSNSTORES,HSNDS,KOHLDSN,MACY02,OVERSTOCK01,TGTDVS</t>
  </si>
  <si>
    <t>WR10-2414</t>
  </si>
  <si>
    <t>Navy/Ivory</t>
  </si>
  <si>
    <t>10/31/2018</t>
  </si>
  <si>
    <t>AMAZON,AMAZONDS,BLK01,CSNSTORES,HSNDS,KOHLDSN,MACY02,OVERSTOCK01,TGTDVS</t>
  </si>
  <si>
    <t>WR10-2415</t>
  </si>
  <si>
    <t>AMAZON,AMAZONDS,BLK01,CSNSTORES,DESINC,FINGERHUTDS,HSNDS,KOHLDSN,MACY02,OLLIIX,OVERSTOCK01,TGTDVS</t>
  </si>
  <si>
    <t>WR10-3102</t>
  </si>
  <si>
    <t>Red Plaid</t>
  </si>
  <si>
    <t>PP001363;PF005164</t>
  </si>
  <si>
    <t>AMAZONDS,ASHFURNDS,BLK01,CSNSTORES,KOHLDSN,MACY02,OLLIIX,OVERSTOCK01,TGTDVS</t>
  </si>
  <si>
    <t>WR10-3103</t>
  </si>
  <si>
    <t>AMAZON,AMAZONDS,BLK01,CSNSTORES,FINGERHUTDS,KOHLDSN,MACY02,OLLIIX,OVERSTOCK01,TGTDVS</t>
  </si>
  <si>
    <t>WR10-2065</t>
  </si>
  <si>
    <t>PF002181</t>
  </si>
  <si>
    <t>AMAZONDS,CSNSTORES,FINGERHUTDS,HSNDS,KOHLDSN,MACY02,OVERSTOCK01,TGTDVS</t>
  </si>
  <si>
    <t>WR10-2066</t>
  </si>
  <si>
    <t>CSNSTORES,FINGERHUTDS,HSNDS,KOHLDSN,MACY02,OLLIIX,OVERSTOCK01,TGTDVS</t>
  </si>
  <si>
    <t>WR10-3099</t>
  </si>
  <si>
    <t>Red/Black Buffalo Check</t>
  </si>
  <si>
    <t>PP001363;PF005152</t>
  </si>
  <si>
    <t>8/4/2020</t>
  </si>
  <si>
    <t>AMAZON,AMAZONDS,ASHFURNDS,BLK01,CSNSTORES,FINGERHUTDS,KOHLDSN,MACY02,OLLIIX,OVERSTOCK01,TGTDVS</t>
  </si>
  <si>
    <t>WR10-3100</t>
  </si>
  <si>
    <t>WR10-3327</t>
  </si>
  <si>
    <t>Tan Plaid</t>
  </si>
  <si>
    <t>PP001363;PF005525</t>
  </si>
  <si>
    <t>AMAZON,AMAZONDS,FINGERHUTDS,KOHLDSN,MACY02,OLLIIX,OVERSTOCK01,TGTDVS</t>
  </si>
  <si>
    <t>WR10-3328</t>
  </si>
  <si>
    <t>AMAZONDS,CSNSTORES,FINGERHUTDS,KOHLDSN,MACY02,OVERSTOCK01</t>
  </si>
  <si>
    <t>WR10-2417</t>
  </si>
  <si>
    <t>Taupe/Ivory</t>
  </si>
  <si>
    <t>AMAZON,AMAZONDS,CSNSTORES,FINGERHUTDS,KOHLDSN,MACY02,OLLIIX,OVERSTOCK01,TGTDVS</t>
  </si>
  <si>
    <t>WR10-2418</t>
  </si>
  <si>
    <t>AMAZON,AMAZONDS,CSNSTORES,DESINC,FINGERHUTDS,HDDS,HSNDS,KOHLDSN,MACY02,OLLIIX,OVERSTOCK01,TGTDVS</t>
  </si>
  <si>
    <t>WR13-3324</t>
  </si>
  <si>
    <t>Sierra</t>
  </si>
  <si>
    <t>Oversized Print Plush Quilt Set</t>
  </si>
  <si>
    <t>Tan/Black</t>
  </si>
  <si>
    <t>PP001652;PF005521</t>
  </si>
  <si>
    <t>Southwest</t>
  </si>
  <si>
    <t>WR13-3325</t>
  </si>
  <si>
    <t>AMAZON,AMAZONDS,BLK01,CSNSTORES,HDDS,JCPENNEY01,KOHLDSN,MACY02,OLLIIX,OVERSCONSIGN,OVERSTOCK01</t>
  </si>
  <si>
    <t>WR50-3967</t>
  </si>
  <si>
    <t>Bloomington</t>
  </si>
  <si>
    <t>Faux Mohair to Sherpa Throw</t>
  </si>
  <si>
    <t>PP001878;PF005992</t>
  </si>
  <si>
    <t>AMAZON,AMAZONDS,BLK01,CSNSTORES,HDDS,KOHLDSN,MACY02,NRTPORT,OLLIIX,OVERSTOCK01,TGTDVS</t>
  </si>
  <si>
    <t>WR50-3970</t>
  </si>
  <si>
    <t>PP001878;PF005995</t>
  </si>
  <si>
    <t>12/10/2024</t>
  </si>
  <si>
    <t>AMAZON,BLK01,CSNSTORES,HDDS,KOHLDSN,MACY02,OLLIIX,OVERSTOCK01,TGTDVS</t>
  </si>
  <si>
    <t>MPE10-598</t>
  </si>
  <si>
    <t>Parkston</t>
  </si>
  <si>
    <t>Hartford</t>
  </si>
  <si>
    <t>3M Scotchgard Down Alternative All Season Comforter Set</t>
  </si>
  <si>
    <t>PF002084</t>
  </si>
  <si>
    <t>AMAZON,AMAZONDS,CSNSTORES,HSNDS,JCPENNEY01,KOHLDSN,MACY02,NRTPORT,TGTDVS,WALMARTDS</t>
  </si>
  <si>
    <t>11/13/2017</t>
  </si>
  <si>
    <t>MPE10-948</t>
  </si>
  <si>
    <t>PP001340;PF005481</t>
  </si>
  <si>
    <t>7/10/2021</t>
  </si>
  <si>
    <t>MPE10-949</t>
  </si>
  <si>
    <t>MPE10-950</t>
  </si>
  <si>
    <t>MPE10-945</t>
  </si>
  <si>
    <t>PP001340;PF005480</t>
  </si>
  <si>
    <t>AMAZONDS,CSNSTORES,DESINC,JCPENNEY01,KOHLDSN,MACY02,NRTPORT,OVERSTOCK01,TGTDVS</t>
  </si>
  <si>
    <t>MPE10-946</t>
  </si>
  <si>
    <t>MPE10-947</t>
  </si>
  <si>
    <t>MPE10-614</t>
  </si>
  <si>
    <t>Larkspur</t>
  </si>
  <si>
    <t>Windsor</t>
  </si>
  <si>
    <t>3M Scotchgard Diamond Quilting Reversible Down Alternative Comforter Set</t>
  </si>
  <si>
    <t>Charcoal/Grey</t>
  </si>
  <si>
    <t>PF002064</t>
  </si>
  <si>
    <t>ASHFURNDS,BLK01,CSNSTORES,FINGERHUTDS,JCPENNEY01,KOHLDSN,MACY02,OLLIIX,TGTDVS,WALMARTDS</t>
  </si>
  <si>
    <t>MPE10-615</t>
  </si>
  <si>
    <t>ASHFURNDS,BEALLSDS,BLK01,CSNSTORES,FINGERHUTDS,JCPENNEY01,KOHLDSN,MACY02,OLLIIX,OVERSTOCK01,TGTDVS,WALMARTDS</t>
  </si>
  <si>
    <t>MPE10-616</t>
  </si>
  <si>
    <t>5/13/2018</t>
  </si>
  <si>
    <t>BASI10-0201</t>
  </si>
  <si>
    <t>PF002061</t>
  </si>
  <si>
    <t>CSNSTORES,FINGERHUTDS,JCPENNEY01,KOHLDSN,MACY02,NRTPORT,OLLIIX,OVERSTOCK01,TGTDVS,WALMARTDS</t>
  </si>
  <si>
    <t>BASI10-0202</t>
  </si>
  <si>
    <t>ASHFURNDS,BLK01,CSNSTORES,FINGERHUTDS,JCPENNEY01,KOHLDSN,MACY02,OLLIIX,OVERSTOCK01,TGTDVS,WALMARTDS</t>
  </si>
  <si>
    <t>1/7/2015</t>
  </si>
  <si>
    <t>BASI10-0203</t>
  </si>
  <si>
    <t>ASHFURNDS,BEALLSDS,BLK01,CSNSTORES,FINGERHUTDS,HDDS,JCPENNEY01,KOHLDSN,MACY02,OLLIIX,OVERSTOCK01,TGTDVS</t>
  </si>
  <si>
    <t>1/26/2015</t>
  </si>
  <si>
    <t>BASI10-0281</t>
  </si>
  <si>
    <t>Black/Black</t>
  </si>
  <si>
    <t>PF002062</t>
  </si>
  <si>
    <t>BLK01,CSNSTORES,DESINC,FINGERHUTDS,JCPENNEY01,KOHLDSN,MACY02,OLLIIX,TGTDVS</t>
  </si>
  <si>
    <t>BASI10-0282</t>
  </si>
  <si>
    <t>BLK01,CSNSTORES,FINGERHUTDS,HDDS,JCPENNEY01,KOHLDSN,MACY02,NRTPORT,OLLIIX,OVERSTOCK01,TGTDVS</t>
  </si>
  <si>
    <t>BASI10-0283</t>
  </si>
  <si>
    <t>ASHFURNDS,BLK01,CSNSTORES,FINGERHUTDS,JCPENNEY01,KOHLDSN,MACY02,NRTPORT,OLLIIX,OVERSTOCK01,TGTDVS</t>
  </si>
  <si>
    <t>LCN51N-0027</t>
  </si>
  <si>
    <t>Gauze</t>
  </si>
  <si>
    <t>100% Cotton Lightweight Blanket</t>
  </si>
  <si>
    <t>PP001581;PF005314</t>
  </si>
  <si>
    <t>1/15/2021</t>
  </si>
  <si>
    <t>AMAZONDS,BLK01,CSNSTORES,HDDS,JCPENNEY01,KOHLDSN,MACY02,OLLIIX,OVERSTOCK01,TGTDVS,ZOLA</t>
  </si>
  <si>
    <t>LCN51N-0028</t>
  </si>
  <si>
    <t>AMAZONDS,BLK01,CSNSTORES,HDDS,JCPENNEY01,KIRKLANDDS,KOHLDSN,MACY02,OLLIIX,OVERSTOCK01,TGTDVS,ZOLA</t>
  </si>
  <si>
    <t>LCN51N-0024</t>
  </si>
  <si>
    <t>PP001581;PF005313</t>
  </si>
  <si>
    <t>AMAZONDS,BLK01,CSNSTORES,DESINC,HDDS,JCPENNEY01,KIRKLANDDS,KOHLDSN,MACY02,OLLIIX,OVERSTOCK01,TGTDVS,ZOLA</t>
  </si>
  <si>
    <t>LCN51N-0025</t>
  </si>
  <si>
    <t>CSP51N-1530</t>
  </si>
  <si>
    <t>PP001581;PF006165</t>
  </si>
  <si>
    <t>2/13/2024</t>
  </si>
  <si>
    <t>CSP51N-1531</t>
  </si>
  <si>
    <t>AMAZON,CSNSTORES,HDDS,JCPENNEY01,KOHLDSN,MACY02,OLLIIX,OVERSTOCK01,TGTDVS,ZOLA</t>
  </si>
  <si>
    <t>LCN51N-0030</t>
  </si>
  <si>
    <t>PP001581;PF005315</t>
  </si>
  <si>
    <t>AMAZONDS,BLK01,CSNSTORES,JCPENNEY01,KIRKLANDDS,KOHLDSN,MACY02,OLLIIX,OVERSTOCK01,TGTDVS,ZOLA</t>
  </si>
  <si>
    <t>LCN51N-0031</t>
  </si>
  <si>
    <t>AMAZONDS,BLK01,CSNSTORES,JCPENNEY01,KOHLDSN,MACY02,OLLIIX,OVERSCONSIGN,OVERSTOCK01,TGTDVS,ZOLA</t>
  </si>
  <si>
    <t>II51-1135</t>
  </si>
  <si>
    <t>Bree Knit</t>
  </si>
  <si>
    <t>PP001571;PF005282</t>
  </si>
  <si>
    <t>1/16/2021</t>
  </si>
  <si>
    <t>AMAZON,AMAZONDS,ASHFURNDS,CSNSTORES,HDDS,JCPENNEY01,KOHLDSN,MACY02,NRTPORT,TGTDVS</t>
  </si>
  <si>
    <t>II51-1136</t>
  </si>
  <si>
    <t>AMAZON,AMAZONDS,CSNSTORES,HDDS,JCPENNEY01,KIRKLANDDS,KOHLDSN,MACY02,OLLIIX,TGTDVS</t>
  </si>
  <si>
    <t>II51-1137</t>
  </si>
  <si>
    <t>AMAZON,AMAZONDS,ASHFURNDS,CSNSTORES,JCPENNEY01,KIRKLANDDS,KOHLDSN,MACY02,OLLIIX,OVERSTOCK01,TGTDVS</t>
  </si>
  <si>
    <t>II51-1142</t>
  </si>
  <si>
    <t>PP001571;PF005283</t>
  </si>
  <si>
    <t>AMAZON,AMAZONDS,CSNSTORES,HDDS,JCPENNEY01,KIRKLANDDS,KOHLDSN,MACY02,TGTDVS</t>
  </si>
  <si>
    <t>II51-1143</t>
  </si>
  <si>
    <t>AMAZON,ASHFURNDS,BLK01,CSNSTORES,HDDS,JCPENNEY01,KIRKLANDDS,KOHLDSN,MACY02,NRTPORT,OLLIIX,TGTDVS</t>
  </si>
  <si>
    <t>II51-1144</t>
  </si>
  <si>
    <t>II51-724</t>
  </si>
  <si>
    <t>PF003487</t>
  </si>
  <si>
    <t>AMAZON,BLK01,CSNSTORES,HDDS,KOHLDSN,MACY02,OLLIIX,TGTDVS</t>
  </si>
  <si>
    <t>II51-725</t>
  </si>
  <si>
    <t>II51-726</t>
  </si>
  <si>
    <t>II51-1308</t>
  </si>
  <si>
    <t>PP001571;PF006066</t>
  </si>
  <si>
    <t>10/12/2023</t>
  </si>
  <si>
    <t>II51-1309</t>
  </si>
  <si>
    <t>II51-1310</t>
  </si>
  <si>
    <t>II30-1148</t>
  </si>
  <si>
    <t>Pillowcase</t>
  </si>
  <si>
    <t>Oblong Pillow Cover</t>
  </si>
  <si>
    <t>II30-1146</t>
  </si>
  <si>
    <t>Square Pillow Cover</t>
  </si>
  <si>
    <t>II30-1147</t>
  </si>
  <si>
    <t>Euro Pillow Cover</t>
  </si>
  <si>
    <t>AMAZON,AMAZONDS,CSNSTORES,DESINC,JCPENNEY01,KOHLDSN,OLLIIX,OVERSTOCK01,TGTDVS</t>
  </si>
  <si>
    <t>II30-740</t>
  </si>
  <si>
    <t>II30-737</t>
  </si>
  <si>
    <t>AMAZONDS,JCPENNEY01,KOHLDSN,MACY02,OVERSTOCK01,TGTDVS</t>
  </si>
  <si>
    <t>II30-871</t>
  </si>
  <si>
    <t>II21-1302</t>
  </si>
  <si>
    <t>CSNSTORES,KOHLDSN,OLLIIX,OVERSTOCK01,TGTDVS</t>
  </si>
  <si>
    <t>II21-1299</t>
  </si>
  <si>
    <t>AMAZON,AMAZONDS,CSNSTORES,KOHLDSN,OLLIIX,OVERSTOCK01,TGTDVS</t>
  </si>
  <si>
    <t>II21-1305</t>
  </si>
  <si>
    <t>AMAZONDS,CSNSTORES,KOHLDSN,OLLIIX,OVERSTOCK01,TGTDVS</t>
  </si>
  <si>
    <t>II50-1298</t>
  </si>
  <si>
    <t>PP001571;PF006068</t>
  </si>
  <si>
    <t>II50-1297</t>
  </si>
  <si>
    <t>PP001571;PF006067</t>
  </si>
  <si>
    <t>AMAZON,AMAZONDS,CSNSTORES,DESINC,JCPENNEY01,KOHLDSN,NRTPORT,OLLIIX,OVERSTOCK01,TGTDVS</t>
  </si>
  <si>
    <t>II50-1138</t>
  </si>
  <si>
    <t>II50-1145</t>
  </si>
  <si>
    <t>AMAZON,AMAZONDS,CSNSTORES,DESINC,JCPENNEY01,KIRKLANDDS,KOHLDSN,MACY02,NRTPORT,OLLIIX,OVERSTOCK01,TGTDVS</t>
  </si>
  <si>
    <t>II50-734</t>
  </si>
  <si>
    <t>AMAZON,AMAZONDS,BEALLSDS,CSNSTORES,DESINC,JCPENNEY01,KOHLDSN,MACY02,OLLIIX,OVERSTOCK01,TGTDVS</t>
  </si>
  <si>
    <t>II50-1296</t>
  </si>
  <si>
    <t>II50-239</t>
  </si>
  <si>
    <t>Stockholm</t>
  </si>
  <si>
    <t>Halmstad</t>
  </si>
  <si>
    <t>Color Block Faux Cashmere Throw</t>
  </si>
  <si>
    <t>PF003433</t>
  </si>
  <si>
    <t>ASHFURNDS,BLK01,CSNSTORES,JCPENNEY01,KOHLDSN,MACY02,OLLIIX,OVERSTOCK01,TGTDVS</t>
  </si>
  <si>
    <t>II50-1031</t>
  </si>
  <si>
    <t>PP000943</t>
  </si>
  <si>
    <t>6/27/2018</t>
  </si>
  <si>
    <t>AMERSIGNDS,ASHFURNDS,BLK01,CSNSTORES,JCPENNEY01,KOHLDSN,MACY02,OLLIIX,OVERSTOCK01,TGTDVS</t>
  </si>
  <si>
    <t>II50-238</t>
  </si>
  <si>
    <t>PF003432</t>
  </si>
  <si>
    <t>ASHFURNDS,CSNSTORES,JCPENNEY01,KOHLDSN,MACY02,OLLIIX,OVERSTOCK01,TGTDVS</t>
  </si>
  <si>
    <t>II50-240</t>
  </si>
  <si>
    <t>PF003434</t>
  </si>
  <si>
    <t>BEALLSDS,BLK01,CSNSTORES,JCPENNEY01,KIRKLANDDS,KOHLDSN,MACY02,OLLIIX,OVERSTOCK01,TGTDVS</t>
  </si>
  <si>
    <t>SI55-0058</t>
  </si>
  <si>
    <t>Embossed Microfiber</t>
  </si>
  <si>
    <t>PP001984;PF006362</t>
  </si>
  <si>
    <t>SI55-0059</t>
  </si>
  <si>
    <t>AMAZONDS,HDDS,KOHLDSN,MACY02</t>
  </si>
  <si>
    <t>SI55-0060</t>
  </si>
  <si>
    <t>AMAZONDS,BLK01,HDDS,KOHLDSN,OVERSTOCK01</t>
  </si>
  <si>
    <t>SI55-0061</t>
  </si>
  <si>
    <t>AMAZONDS,CSNSTORES,HDDS,KOHLDSN,MACY02,TGTDVS</t>
  </si>
  <si>
    <t>SI55-0062</t>
  </si>
  <si>
    <t>AMAZONDS,CSNSTORES,KOHLDSN,TGTDVS</t>
  </si>
  <si>
    <t>SI55-0063</t>
  </si>
  <si>
    <t>SI54-0067</t>
  </si>
  <si>
    <t>Amira</t>
  </si>
  <si>
    <t>Arden</t>
  </si>
  <si>
    <t>Dream Soft Heated Throw</t>
  </si>
  <si>
    <t>PP001985;PF006366</t>
  </si>
  <si>
    <t>AMAZONDS,KOHLDSN,TGTDVS</t>
  </si>
  <si>
    <t>SI54-0070</t>
  </si>
  <si>
    <t>Blue Geo</t>
  </si>
  <si>
    <t>PP001985;PF006369</t>
  </si>
  <si>
    <t>AMAZONDS,KOHLDSN,MACY02</t>
  </si>
  <si>
    <t>SI54-0066</t>
  </si>
  <si>
    <t>PP001985;PF006365</t>
  </si>
  <si>
    <t>AMAZONDS,BLK01,KOHLDSN,OVERSTOCK01</t>
  </si>
  <si>
    <t>SI54-0068</t>
  </si>
  <si>
    <t>Brown Geo</t>
  </si>
  <si>
    <t>PP001985;PF006367</t>
  </si>
  <si>
    <t>SI54-0065</t>
  </si>
  <si>
    <t>PP001985;PF006364</t>
  </si>
  <si>
    <t>AMAZONDS,KOHLDSN,OVERSTOCK01,TGTDVS</t>
  </si>
  <si>
    <t>SI54-0069</t>
  </si>
  <si>
    <t>Grey Geo</t>
  </si>
  <si>
    <t>PP001985;PF006368</t>
  </si>
  <si>
    <t>SI54-0064</t>
  </si>
  <si>
    <t>PP001985;PF006363</t>
  </si>
  <si>
    <t>AMAZON,AMAZONDS,BLK01,KOHLDSN,TGTDVS</t>
  </si>
  <si>
    <t>AM51-0514</t>
  </si>
  <si>
    <t>Bamboo Cotton Rayon</t>
  </si>
  <si>
    <t>Bamboo Cotton Rayon Blanket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</si>
  <si>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</si>
  <si>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</si>
  <si>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</si>
  <si>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</si>
  <si>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</si>
  <si>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</si>
  <si>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</si>
  <si>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</si>
  <si>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</si>
  <si>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</si>
  <si>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</si>
  <si>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</si>
  <si>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</si>
  <si>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</si>
  <si>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</si>
  <si>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</si>
  <si>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</si>
  <si>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</si>
  <si>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</si>
  <si>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</si>
  <si>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</si>
  <si>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</si>
  <si>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</si>
  <si>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</si>
  <si>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</si>
  <si>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</si>
  <si>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BLK01,CSNSTORES,HDDS,JCPENNEY01,KOHLDSN,MACY02,TGTDVS</t>
  </si>
  <si>
    <t>AM10-0284</t>
  </si>
  <si>
    <t>AM10-0285</t>
  </si>
  <si>
    <t>AM10-0383</t>
  </si>
  <si>
    <t>Blue Ombre</t>
  </si>
  <si>
    <t>AM10-0384</t>
  </si>
  <si>
    <t>AMAZON,AMAZONDS,BLK01,CSNSTORES,DESINC,HDDS,JCPENNEY01,KOHLDSN,MACY02,NRTPORT,TGTDVS</t>
  </si>
  <si>
    <t>AM10-0385</t>
  </si>
  <si>
    <t>AM10-0377</t>
  </si>
  <si>
    <t>Blush Ombre</t>
  </si>
  <si>
    <t>AM10-0378</t>
  </si>
  <si>
    <t>AM10-0379</t>
  </si>
  <si>
    <t>AMAZON,AMAZONDS,BLK01,CSNSTORES,HDDS,JCPENNEY01,KOHLDSN,MACY02,TGTDVS</t>
  </si>
  <si>
    <t>AM10-0277</t>
  </si>
  <si>
    <t>PP001997;PF006413</t>
  </si>
  <si>
    <t>AMAZON,AMAZONDS,CSNSTORES,HDDS,JCPENNEY01,KOHLDSN,MACY02,NRTPORT,TGTDVS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</si>
  <si>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</si>
  <si>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</si>
  <si>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</si>
  <si>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</si>
  <si>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</si>
  <si>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</si>
  <si>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</si>
  <si>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</si>
  <si>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AMAZON,AMAZONDS,BLK01,JCPENNEY01,KOHLDSN,MACY02,OVERSTOCK01</t>
  </si>
  <si>
    <t>AM10-0381</t>
  </si>
  <si>
    <t>AMAZON,AMAZONDS,BLK01,CSNSTORES,HDDS,JCPENNEY01,KOHLDSN,MACY02,NRTPORT,TGTDVS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</si>
  <si>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</si>
  <si>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</si>
  <si>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</si>
  <si>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</si>
  <si>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</si>
  <si>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</si>
  <si>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</si>
  <si>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AMAZON,AMAZONDS,BLK01,CSNSTORES,DESINC,JCPENNEY01,KOHLDSN,MACY02,TGTDVS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</si>
  <si>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</si>
  <si>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</si>
  <si>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</si>
  <si>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</si>
  <si>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</si>
  <si>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</si>
  <si>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</si>
  <si>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</si>
  <si>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</si>
  <si>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</si>
  <si>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</si>
  <si>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</si>
  <si>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AMAZON,CSNSTORES,HDDS,JCPENNEY01,KOHLDSN,MACY02,NRTPORT</t>
  </si>
  <si>
    <t>AM10-0272</t>
  </si>
  <si>
    <t>AM10-0273</t>
  </si>
  <si>
    <t>AMAZON,AMAZONDS,BLK01,CSNSTORES,DESINC,HDDS,JCPENNEY01,KOHLDSN,MACY02,TGTDVS</t>
  </si>
  <si>
    <t>AM10-0268</t>
  </si>
  <si>
    <t>PP001996;PF006410</t>
  </si>
  <si>
    <t>AMAZON,BLK01,CSNSTORES,JCPENNEY01,KOHLDSN,MACY02</t>
  </si>
  <si>
    <t>AM10-0269</t>
  </si>
  <si>
    <t>AM10-0270</t>
  </si>
  <si>
    <t>AM10-0265</t>
  </si>
  <si>
    <t>PP001996;PF006409</t>
  </si>
  <si>
    <t>AM10-0266</t>
  </si>
  <si>
    <t>AM10-0267</t>
  </si>
  <si>
    <t>TN51-0554</t>
  </si>
  <si>
    <t>Microfleece</t>
  </si>
  <si>
    <t>PP001936;PF006176</t>
  </si>
  <si>
    <t>7/9/2024</t>
  </si>
  <si>
    <t>AMAZON,AMAZONDS,KOHLDSN,MACY02,OLLIIX,TGTDVS</t>
  </si>
  <si>
    <t>TN51-0555</t>
  </si>
  <si>
    <t>7/6/2024</t>
  </si>
  <si>
    <t>AMAZON,AMAZONDS,KOHLDSN,MACY02,OVERSTOCK01,TGTDVS</t>
  </si>
  <si>
    <t>TN51-0556</t>
  </si>
  <si>
    <t>TN51-0548</t>
  </si>
  <si>
    <t>PP001936;PF006174</t>
  </si>
  <si>
    <t>AMAZON,AMAZONDS,DESINC,KOHLDSN,MACY02,TGTDVS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</si>
  <si>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</si>
  <si>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</si>
  <si>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</si>
  <si>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</si>
  <si>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</si>
  <si>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</si>
  <si>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</si>
  <si>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</si>
  <si>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</si>
  <si>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</si>
  <si>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TN54-0495</t>
  </si>
  <si>
    <t>Sherpa</t>
  </si>
  <si>
    <t>PP001893;PF006038</t>
  </si>
  <si>
    <t>TN54-0496</t>
  </si>
  <si>
    <t>TN54-0497</t>
  </si>
  <si>
    <t>AMAZON,BLK01,CSNSTORES,JCPENNEY01,KOHLDSN,MACY02,OVERSTOCK01</t>
  </si>
  <si>
    <t>TN54-0498</t>
  </si>
  <si>
    <t>TN54-0503</t>
  </si>
  <si>
    <t>PP001893;PF006040</t>
  </si>
  <si>
    <t>AMAZON,BLK01,JCPENNEY01,KOHLDSN,MACY02,OVERSTOCK01</t>
  </si>
  <si>
    <t>TN54-0504</t>
  </si>
  <si>
    <t>TN54-0505</t>
  </si>
  <si>
    <t>AMAZON,JCPENNEY01,KOHLDSN,MACY02,TGTDVS</t>
  </si>
  <si>
    <t>TN54-0506</t>
  </si>
  <si>
    <t>TN54-0499</t>
  </si>
  <si>
    <t>PP001893;PF006039</t>
  </si>
  <si>
    <t>TN54-0500</t>
  </si>
  <si>
    <t>AMAZON,BLK01,CSNSTORES,HDDS,JCPENNEY01,KOHLDSN,MACY02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</si>
  <si>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</si>
  <si>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</si>
  <si>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</si>
  <si>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</si>
  <si>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</si>
  <si>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</si>
  <si>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</si>
  <si>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</si>
  <si>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</si>
  <si>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</si>
  <si>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</si>
  <si>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</si>
  <si>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</si>
  <si>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</si>
  <si>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JCPENNEY01,KOHLDSN,MACY02,OVERSTOCK01,TGTDVS</t>
  </si>
  <si>
    <t>5DS105-0051</t>
  </si>
  <si>
    <t>FUR</t>
  </si>
  <si>
    <t>ACCENT BENCH</t>
  </si>
  <si>
    <t>Storage Bench</t>
  </si>
  <si>
    <t>Upholstered Storage Bench</t>
  </si>
  <si>
    <t>ROOMECOM</t>
  </si>
  <si>
    <t>5DS105-0052</t>
  </si>
  <si>
    <t>DESINC,KOHLDSN,OVERSTOCK01,ROOMECOM</t>
  </si>
  <si>
    <t>5DS105-0050</t>
  </si>
  <si>
    <t>KOHLDSN,OVERSTOCK01,ROOMECOM</t>
  </si>
  <si>
    <t>5DS105-0036</t>
  </si>
  <si>
    <t>Flip-top Upholstered Storage Bench</t>
  </si>
  <si>
    <t>AMAZONDS,CSNSTORES,HDDS,KOHLDSN,TGTDVS</t>
  </si>
  <si>
    <t>5DS105-0053</t>
  </si>
  <si>
    <t>Light Grey 2</t>
  </si>
  <si>
    <t>7/31/2024</t>
  </si>
  <si>
    <t>5DS105-0043</t>
  </si>
  <si>
    <t>Light Taupe</t>
  </si>
  <si>
    <t>CSNSTORES,DESINC,KOHLDSN,OVERSTOCK01,ROOMECOM</t>
  </si>
  <si>
    <t>5DS100-0040</t>
  </si>
  <si>
    <t>ACCENT CHAIR</t>
  </si>
  <si>
    <t>Arm Chair</t>
  </si>
  <si>
    <t>Dani</t>
  </si>
  <si>
    <t>Tufted back Accent Chair</t>
  </si>
  <si>
    <t>HDDS,JCPENNEY01,KOHLDSN,TGTDVS</t>
  </si>
  <si>
    <t>5DS100-0039</t>
  </si>
  <si>
    <t>Denim Blue</t>
  </si>
  <si>
    <t>CSNSTORES,JCPENNEY01</t>
  </si>
  <si>
    <t>5DS100-0038</t>
  </si>
  <si>
    <t>Grey 2</t>
  </si>
  <si>
    <t>2/24/2024</t>
  </si>
  <si>
    <t>5DS100-0037</t>
  </si>
  <si>
    <t>Juno</t>
  </si>
  <si>
    <t>Upholstered Accent Armchair</t>
  </si>
  <si>
    <t>CSNSTORES,HDDS,JCPENNEY01,KOHLDSN</t>
  </si>
  <si>
    <t>5DS100-0054</t>
  </si>
  <si>
    <t>HOUZZ,KOHLDSN,OVERSTOCK01,ROOMECOM</t>
  </si>
  <si>
    <t>5DS100-0033</t>
  </si>
  <si>
    <t>Paula</t>
  </si>
  <si>
    <t>Slipcover Accent Armchair</t>
  </si>
  <si>
    <t>AMERSIGNDS,CSNSTORES,HDDS,JCPENNEY01,KOHLDSN,OVERSTOCK01,TGTDVS</t>
  </si>
  <si>
    <t>5DS100-0035</t>
  </si>
  <si>
    <t>CSNSTORES,DESINC,HDDS,KIRKLANDDS,KOHLDSN,OVERSTOCK01,TGTDVS</t>
  </si>
  <si>
    <t>5DS100-0041</t>
  </si>
  <si>
    <t>5DS104-0049</t>
  </si>
  <si>
    <t>BAR STOOL</t>
  </si>
  <si>
    <t>Counter Stool</t>
  </si>
  <si>
    <t>Upholstered Counter Stool with Nailhead Trim Set of 2</t>
  </si>
  <si>
    <t>5DS104-0048</t>
  </si>
  <si>
    <t>OVERSTOCK01,ROOMECOM</t>
  </si>
  <si>
    <t>5DS104-0047</t>
  </si>
  <si>
    <t>5DS108-0046</t>
  </si>
  <si>
    <t>DINING CHAIR</t>
  </si>
  <si>
    <t>Dining Chair</t>
  </si>
  <si>
    <t>Upholstered Dining Chair with Nailhead Trim Set of 2</t>
  </si>
  <si>
    <t>OVERSTOCK01</t>
  </si>
  <si>
    <t>5DS108-0045</t>
  </si>
  <si>
    <t>CSNSTORES</t>
  </si>
  <si>
    <t>5DS108-0044</t>
  </si>
  <si>
    <t>5DS108-0053</t>
  </si>
  <si>
    <t>Everly</t>
  </si>
  <si>
    <t>Upholstered Channel-back Dining Chair Set of 2</t>
  </si>
  <si>
    <t>7/23/2024</t>
  </si>
  <si>
    <t>5DS108-0042</t>
  </si>
  <si>
    <t>5/8/2024</t>
  </si>
  <si>
    <t>II105-0401</t>
  </si>
  <si>
    <t>Bench</t>
  </si>
  <si>
    <t>Accent Bench</t>
  </si>
  <si>
    <t>AMERSIGNDS,ASHFURNDS,CSNSTORES,HOUZZ,JCPENNEY01,KIRKLANDDS,KOHLDSN,LAMPDS,MACY02F,OLLIIX,OVERSTOCK01,ROOMECOM,TGTDVS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</si>
  <si>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</si>
  <si>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</si>
  <si>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</si>
  <si>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</si>
  <si>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</si>
  <si>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AMAZONDS,AMERSIGNDS,CSNSTORES,HDDS,HOUZZ,KOHLDSN,MACY02F,OLLIIX,OVERSTOCK01,ROOMECOM</t>
  </si>
  <si>
    <t>II105-0562</t>
  </si>
  <si>
    <t>Steve</t>
  </si>
  <si>
    <t>Boucle Waterfall Bench</t>
  </si>
  <si>
    <t>42"W</t>
  </si>
  <si>
    <t>3/1/2024</t>
  </si>
  <si>
    <t>CSNSTORES,HDDS,KOHLDSN,OLLIIX,OVERSTOCK01</t>
  </si>
  <si>
    <t>II105-0567</t>
  </si>
  <si>
    <t>52"W</t>
  </si>
  <si>
    <t>II105-0524</t>
  </si>
  <si>
    <t>PP001874</t>
  </si>
  <si>
    <t>6/13/2023</t>
  </si>
  <si>
    <t>AMAZONDS,AMERSIGNDS,CSNSTORES,HDDS,HOUZZ,KIRKLANDDS,KOHLDSN,LAMPDS,MACY02F,NRTPORT,OLLIIX,OVERSTOCK01,ZOLA</t>
  </si>
  <si>
    <t>II105-0569</t>
  </si>
  <si>
    <t>5/1/2024</t>
  </si>
  <si>
    <t>CSNSTORES,HDDS,KOHLDSN,LAMPDS,OLLIIX,OVERSTOCK01</t>
  </si>
  <si>
    <t>II105-0595</t>
  </si>
  <si>
    <t>II105-0596</t>
  </si>
  <si>
    <t>II105-0546</t>
  </si>
  <si>
    <t>Arcadia</t>
  </si>
  <si>
    <t>Accent Bench with Storage and Upholstered Cushion</t>
  </si>
  <si>
    <t>Walnut Brown</t>
  </si>
  <si>
    <t>10/7/2023</t>
  </si>
  <si>
    <t>AMAZONDS,CSNSTORES,DESINC,HDDS,HOUZZ,KIRKLANDDS,KOHLDSN,MACY02F,OLLIIX,OVERSTOCK01,TGTDVS,ZOLA</t>
  </si>
  <si>
    <t>II105-0592</t>
  </si>
  <si>
    <t>Bailey</t>
  </si>
  <si>
    <t>Boucle Flip Top Storage Bench</t>
  </si>
  <si>
    <t>II105-0593</t>
  </si>
  <si>
    <t>CSNSTORES,DESINC,KOHLDSN,OLLIIX,OVERSTOCK01,ROOMECOM</t>
  </si>
  <si>
    <t>II105-0594</t>
  </si>
  <si>
    <t>CSNSTORES,KOHLDSN,OLLIIX,OVERSTOCK01,ROOMECOM</t>
  </si>
  <si>
    <t>II105-0525</t>
  </si>
  <si>
    <t>6/8/2023</t>
  </si>
  <si>
    <t>AMAZONDS,AMERSIGNDS,CSNSTORES,HDDS,HOUZZ,KIRKLANDDS,KOHLDSN,LAMPDS,MACY02F,OLLIIX,OVERSCONSIGN,OVERSTOCK01,TGTDVS,ZOLA</t>
  </si>
  <si>
    <t>IIF18-0054</t>
  </si>
  <si>
    <t>Crackle</t>
  </si>
  <si>
    <t>Accent Chair</t>
  </si>
  <si>
    <t>PF000207;PP000022</t>
  </si>
  <si>
    <t>AMERSIGNDS,CSNSTORES,HDDS,HOUZZ,LAMPDS,OLLIIX,OVERSTOCK01,ROOMECOM,TGTDVS</t>
  </si>
  <si>
    <t>II100-0168</t>
  </si>
  <si>
    <t>PF000129;PP000022</t>
  </si>
  <si>
    <t>1/19/2025</t>
  </si>
  <si>
    <t>CSNSTORES,HDDS,LAMPDS,MACY02F,OLLIIX,OVERSTOCK01</t>
  </si>
  <si>
    <t>II100-0048</t>
  </si>
  <si>
    <t>Easton</t>
  </si>
  <si>
    <t>Low Profile Accent Chair</t>
  </si>
  <si>
    <t>Taupe/Natural</t>
  </si>
  <si>
    <t>PF000111;PP000027</t>
  </si>
  <si>
    <t>AMERSIGNDS,ASHFURNDS,CSNSTORES,HDDS,HOUZZ,JCPENNEY01,LAMPDS,MACY02F,OLLIIX,OVERSTOCK01,ROOMECOM,TGTDVS</t>
  </si>
  <si>
    <t>II100-0360</t>
  </si>
  <si>
    <t>Kelly</t>
  </si>
  <si>
    <t>Light Brown</t>
  </si>
  <si>
    <t>2/2/2025</t>
  </si>
  <si>
    <t>AMAZONDS,AMERSIGNDS,ASHFURNDS,CSNSTORES,HDDS,HOUZZ,KIRKLANDDS,KOHLDSN,LAMPDS,MACY02F,OLLIIX,OVERSTOCK01,ROOMECOM,TGTDVS,ZOLA</t>
  </si>
  <si>
    <t>II110-0455</t>
  </si>
  <si>
    <t>Newport</t>
  </si>
  <si>
    <t>Newport Wide Mid-Century Modern Lounge Chair</t>
  </si>
  <si>
    <t>8/10/2021</t>
  </si>
  <si>
    <t>AMAZONDS,AMERSIGNDS,ASHFURNDS,CSNSTORES,HDDS,KOHLDSN,LAMPDS,MACY02F,OLLIIX,OVERSTOCK01,ROOMECOM,TGTDVS,ZOLA</t>
  </si>
  <si>
    <t>II100-0063</t>
  </si>
  <si>
    <t>PF000835;PP000045</t>
  </si>
  <si>
    <t>11/20/2024</t>
  </si>
  <si>
    <t>AMERSIGNDS,ASHFURNDS,CASTLEGATE,CSNSTORES,HDDS,KIRKLANDDS,KOHLDSN,OLLIIX,OVERSTOCK01,ROOMECOM</t>
  </si>
  <si>
    <t>II110-0391</t>
  </si>
  <si>
    <t>10/7/2019</t>
  </si>
  <si>
    <t>AMERSIGNDS,ASHFURNDS,CASTLEGATE,CSNSTORES,KOHLDSN,MACY02F,OLLIIX,ROOMECOM,ZOLA</t>
  </si>
  <si>
    <t>II100-0382</t>
  </si>
  <si>
    <t>ASHFURNDS,CASTLEGATE,CSNSTORES,HDDS,KOHLDSN,MACY02F,OLLIIX,OVERSTOCK01,ROOMECOM</t>
  </si>
  <si>
    <t>II110-0388</t>
  </si>
  <si>
    <t>ASHFURNDS,CASTLEGATE,KOHLDSN,MACY02F,OLLIIX,OVERSTOCK01,ROOMECOM,ZOLA</t>
  </si>
  <si>
    <t>IIF18-0015</t>
  </si>
  <si>
    <t>Pale Green</t>
  </si>
  <si>
    <t>PF000954;PP000045</t>
  </si>
  <si>
    <t>ASHFURNDS,CSNSTORES,HDDS,KOHLDSN,OLLIIX,OVERSTOCK01,ROOMECOM</t>
  </si>
  <si>
    <t>II100-0468</t>
  </si>
  <si>
    <t>AMAZONDS,ASHFURNDS,CASTLEGATE,CSNSTORES,HDDS,HOUZZ,KIRKLANDDS,KOHLDSN,LAMPDS,MACY02F,OLLIIX,OVERSTOCK01,ROOMECOM,TGTDVS,ZOLA</t>
  </si>
  <si>
    <t>II110-0522</t>
  </si>
  <si>
    <t>Novak</t>
  </si>
  <si>
    <t>Novak Mid-Century Modern Accent Armchair</t>
  </si>
  <si>
    <t>4/7/2023</t>
  </si>
  <si>
    <t>AMERSIGNDS,CSNSTORES,HOUZZ,KIRKLANDDS,KOHLDSN,MACY02F,OLLIIX,OVERSTOCK01,TGTDVS</t>
  </si>
  <si>
    <t>II100-0435</t>
  </si>
  <si>
    <t>12/1/2020</t>
  </si>
  <si>
    <t>CSNSTORES,HDDS,HOUZZ,MACY02F,OLLIIX,OVERSTOCK01</t>
  </si>
  <si>
    <t>II110-0397</t>
  </si>
  <si>
    <t>AAFESDS,CASTLEGATE,CSNSTORES,HDDS,HOUZZ,JCPENNEY01,KOHLDSN,LAMPDS,MACY02F,OLLIIX,OVERSTOCK01,TGTDVS,ZOLA</t>
  </si>
  <si>
    <t>IIF18-0049</t>
  </si>
  <si>
    <t>PF000206</t>
  </si>
  <si>
    <t>AAFESDS,ASHFURNDS,CASTLEGATE,CSNSTORES,HDDS,HOUZZ,KIRKLANDDS,LAMPDS,MACY02F,OLLIIX,OVERSTOCK01,ROOMECOM,TGTDVS</t>
  </si>
  <si>
    <t>II100-0434</t>
  </si>
  <si>
    <t>AMERSIGNDS,CSNSTORES,HDDS,HOUZZ,LAMPDS,MACY02F,OLLIIX,OVERSTOCK01,TGTDVS</t>
  </si>
  <si>
    <t>II100-0088</t>
  </si>
  <si>
    <t>Rocket</t>
  </si>
  <si>
    <t>Lounge Chair</t>
  </si>
  <si>
    <t>Blue/Pecan</t>
  </si>
  <si>
    <t>PF000121;PP000049</t>
  </si>
  <si>
    <t>AMAZON,AMAZONDS,CASTLEGATE,CSNSTORES,HDDS,JCPENNEY01,MACY02F,OLLIIX,OVERSTOCK01</t>
  </si>
  <si>
    <t>II110-0396</t>
  </si>
  <si>
    <t>AMAZONDS,CSNSTORES,HDDS,KIRKLANDDS,MACY02F,OLLIIX,OVERSTOCK01,TGTDVS</t>
  </si>
  <si>
    <t>FPF18-0350</t>
  </si>
  <si>
    <t>PF000010;PP000049</t>
  </si>
  <si>
    <t>CSNSTORES,KIRKLANDDS,KOHLDSN,MACY02F,OLLIIX,OVERSTOCK01,ROOMECOM</t>
  </si>
  <si>
    <t>IIF18-0058</t>
  </si>
  <si>
    <t>PF000209;PP000049</t>
  </si>
  <si>
    <t>1/25/2025</t>
  </si>
  <si>
    <t>AMAZONDS,ASHFURNDS,CASTLEGATE,CSNSTORES,HDDS,KIRKLANDDS,MACY02F,OLLIIX,OVERSTOCK01,TGTDVS</t>
  </si>
  <si>
    <t>II100-0267</t>
  </si>
  <si>
    <t>Shasta</t>
  </si>
  <si>
    <t>PP000646</t>
  </si>
  <si>
    <t>ASHFURNDS,BLK01,CSNSTORES,HDDS,KIRKLANDDS,KOHLDSN,MACY02F,OLLIIX,OVERSTOCK01</t>
  </si>
  <si>
    <t>II100-0324</t>
  </si>
  <si>
    <t>Sonia</t>
  </si>
  <si>
    <t>Camel</t>
  </si>
  <si>
    <t>1/12/2018</t>
  </si>
  <si>
    <t>1/26/2025</t>
  </si>
  <si>
    <t>ASHFURNDS,CSNSTORES,HDDS,KOHLDSN,MACY02F,OLLIIX,OVERSTOCK01,ROOMECOM,TGTDVS</t>
  </si>
  <si>
    <t>II100-0357</t>
  </si>
  <si>
    <t>Armless Chair</t>
  </si>
  <si>
    <t>Noe</t>
  </si>
  <si>
    <t>6/1/2018</t>
  </si>
  <si>
    <t>ASHFURNDS,CSNSTORES,HDDS,KOHLDSN,LAMPDS,MACY02F,OLLIIX</t>
  </si>
  <si>
    <t>IIF17-0082</t>
  </si>
  <si>
    <t>ACCENT TABLE</t>
  </si>
  <si>
    <t>Side Table</t>
  </si>
  <si>
    <t>30" Pedestal</t>
  </si>
  <si>
    <t>PP000039</t>
  </si>
  <si>
    <t>CSNSTORES,KOHLDSN,LAMPDS,MACY02F,OLLIIX,OVERSTOCK01</t>
  </si>
  <si>
    <t>FPF17-0324</t>
  </si>
  <si>
    <t>Wynn</t>
  </si>
  <si>
    <t>Pull Up Table</t>
  </si>
  <si>
    <t>Pecan</t>
  </si>
  <si>
    <t>PF000580;PP000066</t>
  </si>
  <si>
    <t>AMAZONDS,AMERSIGNDS,BLK01,CSNSTORES,DESINC,HDDS,KOHLDSN,LAMPDS,MACY02F,OLLIIX,OVERSTOCK01,ROOMECOM,ZOLA</t>
  </si>
  <si>
    <t>II104-0224</t>
  </si>
  <si>
    <t>Boomerang</t>
  </si>
  <si>
    <t>PP000013</t>
  </si>
  <si>
    <t>12/28/2017</t>
  </si>
  <si>
    <t>ASHFURNDS,CSNSTORES,HDDS,HOUZZ,KIRKLANDDS,KOHLDSN,LAMPDS,MACY02F,OLLIIX,OVERSTOCK01,TGTDVS</t>
  </si>
  <si>
    <t>II104-0480</t>
  </si>
  <si>
    <t>1/13/2023</t>
  </si>
  <si>
    <t>AMERSIGNDS,ASHFURNDS,CSNSTORES,HDDS,KIRKLANDDS,KOHLDSN,LAMPDS,OLLIIX,OVERSTOCK01,TGTDVS</t>
  </si>
  <si>
    <t>IIF20-0050</t>
  </si>
  <si>
    <t>PF000225;PP000022</t>
  </si>
  <si>
    <t>ASHFURNDS,CSNSTORES,HDDS,HOUZZ,KIRKLANDDS,KOHLDSN,MACY02F,OLLIIX,OVERSTOCK01,ROOMECOM,TGTDVS</t>
  </si>
  <si>
    <t>FPF20-0312</t>
  </si>
  <si>
    <t>Lancaster</t>
  </si>
  <si>
    <t>Counter Stool with Back</t>
  </si>
  <si>
    <t>PF000784;PP000034</t>
  </si>
  <si>
    <t>BLK01,CSNSTORES,DESINC,HDDS,HOUZZ,KOHLDSN,LAMPDS,MACY02F,OLLIIX,OVERSTOCK01</t>
  </si>
  <si>
    <t>II104-0490</t>
  </si>
  <si>
    <t>Backless Upholstered Counter Stool 26"H</t>
  </si>
  <si>
    <t>1/10/2023</t>
  </si>
  <si>
    <t>AMERSIGNDS,CSNSTORES,DESINC,HDDS,HOUZZ,JCPENNEY01,KIRKLANDDS,KOHLDSN,LAMPDS,MACY02F,OLLIIX,OVERSTOCK01,TGTDVS</t>
  </si>
  <si>
    <t>II104-0511</t>
  </si>
  <si>
    <t>Oslo</t>
  </si>
  <si>
    <t>Faux Leather Woven Counter Stool 24"H</t>
  </si>
  <si>
    <t>4/27/2023</t>
  </si>
  <si>
    <t>CSNSTORES,HDDS,HOUZZ,JCPENNEY01,KIRKLANDDS,KOHLDSN,MACY02F,OLLIIX,OVERSTOCK01</t>
  </si>
  <si>
    <t>FPF20-0338</t>
  </si>
  <si>
    <t>Tacoma</t>
  </si>
  <si>
    <t>24" Counter stool</t>
  </si>
  <si>
    <t>PF000794;PP000055</t>
  </si>
  <si>
    <t>CSNSTORES,HDDS,KIRKLANDDS,MACY02F,OLLIIX,OVERSTOCK01,TGTDVS</t>
  </si>
  <si>
    <t>II101-0120</t>
  </si>
  <si>
    <t>TRESTLE</t>
  </si>
  <si>
    <t>Reclaimed Brown/ Gun Metal</t>
  </si>
  <si>
    <t>PF000846;PP000060</t>
  </si>
  <si>
    <t>1/30/2025</t>
  </si>
  <si>
    <t>AMAZONDS,CSNSTORES,DESINC,HDDS,KOHLDSN,LAMPDS,OLLIIX,OVERSTOCK01,ROOMECOM,ZOLA</t>
  </si>
  <si>
    <t>II104-0576</t>
  </si>
  <si>
    <t>Swivel Counter Stool</t>
  </si>
  <si>
    <t>Micah</t>
  </si>
  <si>
    <t>Woven Rattan Back Swivel Counter Stool</t>
  </si>
  <si>
    <t>OLLIIX,OVERSTOCK01</t>
  </si>
  <si>
    <t>II104-0370</t>
  </si>
  <si>
    <t>Oaktown</t>
  </si>
  <si>
    <t>Cream/Reclaimed Grey</t>
  </si>
  <si>
    <t>CSNSTORES,DESINC,HDDS,HOUZZ,KOHLDSN,MACY02F,OLLIIX,OVERSTOCK01,ROOMECOM,TGTDVS</t>
  </si>
  <si>
    <t>II115-0577</t>
  </si>
  <si>
    <t>BED</t>
  </si>
  <si>
    <t>Bed</t>
  </si>
  <si>
    <t>Clark</t>
  </si>
  <si>
    <t>Platform Bed frame with Live-Edge Headboard and Built-in Nightstands/Drawers</t>
  </si>
  <si>
    <t>IIF19-0031</t>
  </si>
  <si>
    <t>Bed with 2 Nightstands</t>
  </si>
  <si>
    <t>PP000018</t>
  </si>
  <si>
    <t>8/5/2017</t>
  </si>
  <si>
    <t>CSNSTORES,HOUZZ,OLLIIX,OVERSTOCK01</t>
  </si>
  <si>
    <t>II105-0313</t>
  </si>
  <si>
    <t>DINING BENCH</t>
  </si>
  <si>
    <t>Sonoma</t>
  </si>
  <si>
    <t>Dining Bench</t>
  </si>
  <si>
    <t>CSNSTORES,HDDS,KIRKLANDDS,KOHLDSN,MACY02F,OLLIIX,OVERSTOCK01,TGTDVS</t>
  </si>
  <si>
    <t>IIF20-0040</t>
  </si>
  <si>
    <t>Dining Chair (Set of 2)</t>
  </si>
  <si>
    <t>PF000220;PP000013</t>
  </si>
  <si>
    <t>ASHFURNDS,CSNSTORES,HDDS,HOUZZ,JCPENNEY01,KIRKLANDDS,KOHLDSN,LAMPDS,MACY02F,OLLIIX,OVERSTOCK01,TGTDVS</t>
  </si>
  <si>
    <t>II108-0223</t>
  </si>
  <si>
    <t>11/14/2017</t>
  </si>
  <si>
    <t>IIF20-0057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</si>
  <si>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</si>
  <si>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</si>
  <si>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</si>
  <si>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</si>
  <si>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</si>
  <si>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</si>
  <si>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2/27/2025</t>
  </si>
  <si>
    <t>CSNSTORES,HDDS,KIRKLANDDS,KOHLDSN,MACY02F,OLLIIX,OVERSTOCK01,ZOLA</t>
  </si>
  <si>
    <t>II108-0508</t>
  </si>
  <si>
    <t>Armless Dining Chair Set of 2</t>
  </si>
  <si>
    <t>1/9/2023</t>
  </si>
  <si>
    <t>2/16/2025</t>
  </si>
  <si>
    <t>AMERSIGNDS,CSNSTORES,HDDS,KIRKLANDDS,KOHLDSN,MACY02F,OLLIIX,OVERSTOCK01,TGTDVS</t>
  </si>
  <si>
    <t>II108-0364</t>
  </si>
  <si>
    <t>CASTLEGATE,CSNSTORES,HDDS,JCPENNEY01,KIRKLANDDS,KOHLDSN,MACY02F,OLLIIX,OVERSTOCK01,ROOMECOM,TGTDVS</t>
  </si>
  <si>
    <t>FPF20-0377</t>
  </si>
  <si>
    <t>PF000795;PP000034</t>
  </si>
  <si>
    <t>CSNSTORES,HDDS,KOHLDSN,LAMPDS,OLLIIX,OVERSTOCK01,TGTDVS</t>
  </si>
  <si>
    <t>II108-0371</t>
  </si>
  <si>
    <t>Nola</t>
  </si>
  <si>
    <t>Dining Side Chair (Set of 2)</t>
  </si>
  <si>
    <t>6/29/2018</t>
  </si>
  <si>
    <t>AMERSIGNDS,BLK01,CSNSTORES,DESINC,HDDS,KIRKLANDDS,KOHLDSN,MACY02F,OLLIIX,OVERSTOCK01,TGTDVS</t>
  </si>
  <si>
    <t>II108-0479</t>
  </si>
  <si>
    <t>AMERSIGNDS,CSNSTORES,HDDS,HOUZZ,KIRKLANDDS,KOHLDSN,LAMPDS,OLLIIX,OVERSTOCK01,TGTDVS,ZOLA</t>
  </si>
  <si>
    <t>II100-0117</t>
  </si>
  <si>
    <t>Orange/Dark Brown</t>
  </si>
  <si>
    <t>PF000127</t>
  </si>
  <si>
    <t>AMERSIGNDS,CSNSTORES,HDDS,HOUZZ,JCPENNEY01,KOHLDSN,MACY02F,OLLIIX,OVERSTOCK01,TGTDVS</t>
  </si>
  <si>
    <t>II108-0317</t>
  </si>
  <si>
    <t>Oliver</t>
  </si>
  <si>
    <t>Dining Side Chair(Set of 2pcs)</t>
  </si>
  <si>
    <t>BLK01,CSNSTORES,HDDS,KIRKLANDDS,KOHLDSN,MACY02F,OLLIIX,OVERSTOCK01,ROOMECOM,TGTDVS</t>
  </si>
  <si>
    <t>II108-0314</t>
  </si>
  <si>
    <t xml:space="preserve">Dining  Side Chair(Set of 2pcs)</t>
  </si>
  <si>
    <t>AMERSIGNDS,CSNSTORES,HDDS,KIRKLANDDS,MACY02F,OLLIIX,OVERSTOCK01,TGTDVS</t>
  </si>
  <si>
    <t>II108-0450</t>
  </si>
  <si>
    <t>5/4/2021</t>
  </si>
  <si>
    <t>CSNSTORES,JCPENNEY01,KIRKLANDDS,KOHLDSN,LAMPDS,MACY02F,OLLIIX,OVERSTOCK01</t>
  </si>
  <si>
    <t>II121-0499</t>
  </si>
  <si>
    <t>DINING TABLE</t>
  </si>
  <si>
    <t>Dining Table</t>
  </si>
  <si>
    <t>Kennedy</t>
  </si>
  <si>
    <t>44" Round Dining Table</t>
  </si>
  <si>
    <t>12/2/2022</t>
  </si>
  <si>
    <t>AMERSIGNDS,CSNSTORES,HDDS,KIRKLANDDS,LAMPDS,OLLIIX,OVERSTOCK01,TGTDVS</t>
  </si>
  <si>
    <t>II121-0036</t>
  </si>
  <si>
    <t>Round Dining/Gathering Table</t>
  </si>
  <si>
    <t>Amber/Graphite</t>
  </si>
  <si>
    <t>PF000886;PP000034</t>
  </si>
  <si>
    <t>CSNSTORES,HDDS,HOUZZ,KOHLDSN,OLLIIX,OVERSTOCK01</t>
  </si>
  <si>
    <t>II121-0039</t>
  </si>
  <si>
    <t>Round Bar Table</t>
  </si>
  <si>
    <t>PF000887;PP000048</t>
  </si>
  <si>
    <t>CASTLEGATE,HOUZZ,KOHLDSN,OLLIIX,ROOMECOM,TGTDVS</t>
  </si>
  <si>
    <t>II121-0311</t>
  </si>
  <si>
    <t>Rectangle Dining Table</t>
  </si>
  <si>
    <t>AMERSIGNDS,CASTLEGATE,CSNSTORES,HDDS,KIRKLANDDS,LAMPDS,OLLIIX,OVERSTOCK01,TGTDVS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</si>
  <si>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</si>
  <si>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</si>
  <si>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</si>
  <si>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</si>
  <si>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</si>
  <si>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</si>
  <si>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AMERSIGNDS,ASHFURNDS,CSNSTORES,MACY02F,OLLIIX,OVERSTOCK01,ROOMECOM</t>
  </si>
  <si>
    <t>II103-0498</t>
  </si>
  <si>
    <t>MOTION</t>
  </si>
  <si>
    <t>Swivel</t>
  </si>
  <si>
    <t>Bonn</t>
  </si>
  <si>
    <t>Upholstered 360 Degree Swivel Chair</t>
  </si>
  <si>
    <t>2/22/2023</t>
  </si>
  <si>
    <t>AMERSIGNDS,CSNSTORES,KIRKLANDDS,KOHLDSN,MACY02F,OLLIIX,OVERSTOCK01,TGTDVS,ZOLA</t>
  </si>
  <si>
    <t>II103-0564</t>
  </si>
  <si>
    <t>CSNSTORES,HDDS,OLLIIX,OVERSTOCK01,TGTDVS</t>
  </si>
  <si>
    <t>II103-0563</t>
  </si>
  <si>
    <t>HDDS,JCPENNEY01,KOHLDSN,OLLIIX,OVERSTOCK01,TGTDVS</t>
  </si>
  <si>
    <t>II103-0578</t>
  </si>
  <si>
    <t>Jessel</t>
  </si>
  <si>
    <t>Shearling Sherpa Swivel Chair with Wood Base</t>
  </si>
  <si>
    <t>OLLIIX</t>
  </si>
  <si>
    <t>II103-0579</t>
  </si>
  <si>
    <t>II136-0554</t>
  </si>
  <si>
    <t>NIGHTSTAND</t>
  </si>
  <si>
    <t>Nightstand</t>
  </si>
  <si>
    <t>Jameson</t>
  </si>
  <si>
    <t>Modern One Drawer Waterfall Nightstand</t>
  </si>
  <si>
    <t>12/29/2023</t>
  </si>
  <si>
    <t>AMERSIGNDS,CSNSTORES,HDDS,KIRKLANDDS,MACY02F,OLLIIX,OVERSTOCK01,TGTDVS,ZOLA</t>
  </si>
  <si>
    <t>IIF17-0010</t>
  </si>
  <si>
    <t>OCCASIONL TABLE</t>
  </si>
  <si>
    <t>Coffee Table</t>
  </si>
  <si>
    <t>Blaze</t>
  </si>
  <si>
    <t>Triangle Wood Coffee table</t>
  </si>
  <si>
    <t>PF000934;PP000012</t>
  </si>
  <si>
    <t>AAFESDS,AMAZONDS,AMERSIGNDS,CSNSTORES,HDDS,HOUZZ,KIRKLANDDS,KOHLDSN,MACY02F,OLLIIX,OVERSTOCK01,ROOMECOM,TGTDVS,ZOLA</t>
  </si>
  <si>
    <t>II120-0427</t>
  </si>
  <si>
    <t>9/24/2020</t>
  </si>
  <si>
    <t>AAFESDS,AMAZONDS,AMERSIGNDS,BLK01,CSNSTORES,HDDS,HOUZZ,JCPENNEY01,KIRKLANDDS,KOHLDSN,LAMPDS,MACY02F,OLLIIX,OVERSTOCK01,ROOMECOM,TGTDVS</t>
  </si>
  <si>
    <t>II120-0553</t>
  </si>
  <si>
    <t>Fluted Hexagon Coffee Table</t>
  </si>
  <si>
    <t>10/10/2023</t>
  </si>
  <si>
    <t>AMERSIGNDS,CSNSTORES,HDDS,KIRKLANDDS,KOHLDSN,MACY02F,OLLIIX,OVERSTOCK01,TGTDVS,ZOLA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</si>
  <si>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</si>
  <si>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</si>
  <si>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</si>
  <si>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</si>
  <si>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</si>
  <si>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</si>
  <si>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</si>
  <si>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</si>
  <si>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</si>
  <si>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IIF17-0045</t>
  </si>
  <si>
    <t>Coffee Table with Tempered Glass</t>
  </si>
  <si>
    <t>PF000178;PP000049</t>
  </si>
  <si>
    <t>AMERSIGNDS,CSNSTORES,HDDS,HOUZZ,KOHLDSN,LAMPDS,MACY02F,OLLIIX,OVERSTOCK01,ROOMECOM,TGTDVS</t>
  </si>
  <si>
    <t>II120-0566</t>
  </si>
  <si>
    <t>Skye</t>
  </si>
  <si>
    <t>Round Coffee Table with Shelf</t>
  </si>
  <si>
    <t>4/20/2024</t>
  </si>
  <si>
    <t>CSNSTORES,HDDS,OLLIIX,OVERSTOCK01</t>
  </si>
  <si>
    <t>II120-0241</t>
  </si>
  <si>
    <t>PF004043</t>
  </si>
  <si>
    <t>1/31/2018</t>
  </si>
  <si>
    <t>AMAZONDS,AMERSIGNDS,ASHFURNDS,CSNSTORES,HDDS,HOUZZ,KOHLDSN,LAMPDS,MACY02F,OLLIIX,OVERSTOCK01,ROOMECOM,TGTDVS,ZOLA</t>
  </si>
  <si>
    <t>II120-0574</t>
  </si>
  <si>
    <t>Console Table</t>
  </si>
  <si>
    <t>Faux White Marble Console Table with Reeded Wooden Pillar Legs</t>
  </si>
  <si>
    <t>FPF20-0322</t>
  </si>
  <si>
    <t>Monterey</t>
  </si>
  <si>
    <t>64" Console Table</t>
  </si>
  <si>
    <t>64"W</t>
  </si>
  <si>
    <t>PF000791;PP000043</t>
  </si>
  <si>
    <t>CSNSTORES,DESINC,HDDS,LAMPDS,OLLIIX,OVERSTOCK01,ROOMECOM</t>
  </si>
  <si>
    <t>II120-0509</t>
  </si>
  <si>
    <t>54" Console table</t>
  </si>
  <si>
    <t>54"W</t>
  </si>
  <si>
    <t>2/24/2023</t>
  </si>
  <si>
    <t>AMAZONDS,AMERSIGNDS,CSNSTORES,HDDS,KIRKLANDDS,LAMPDS,MACY02F,OLLIIX,OVERSTOCK01,TGTDVS</t>
  </si>
  <si>
    <t>II120-0459</t>
  </si>
  <si>
    <t>AMAZONDS,AMERSIGNDS,CSNSTORES,HDDS,JCPENNEY01,KIRKLANDDS,LAMPDS,OLLIIX,OVERSTOCK01,TGTDVS</t>
  </si>
  <si>
    <t>II120-0575</t>
  </si>
  <si>
    <t>FPF17-0296</t>
  </si>
  <si>
    <t>Triangle Wood Side Table</t>
  </si>
  <si>
    <t>PF000578;PP000012</t>
  </si>
  <si>
    <t>AAFESDS,AMAZONDS,AMERSIGNDS,ASHFURNDS,CSNSTORES,DESINC,HDDS,HOUZZ,JCPENNEY01,KIRKLANDDS,KOHLDSN,MACY02F,OLLIIX,OVERSTOCK01,ROOMECOM,TGTDVS,ZOLA</t>
  </si>
  <si>
    <t>II120-0428</t>
  </si>
  <si>
    <t>AAFESDS,AMAZONDS,AMERSIGNDS,CSNSTORES,DESINC,HDDS,HOUZZ,JCPENNEY01,KIRKLANDDS,KOHLDSN,LAMPDS,MACY02F,OLLIIX,OVERSTOCK01,ROOMECOM,TGTDVS</t>
  </si>
  <si>
    <t>MP105-1185</t>
  </si>
  <si>
    <t>Bradford</t>
  </si>
  <si>
    <t>Julie</t>
  </si>
  <si>
    <t>Upholstered Accent Bench</t>
  </si>
  <si>
    <t>12/12/2022</t>
  </si>
  <si>
    <t>AMERSIGNDS,CSNSTORES,HDDS,HOUZZ,JCPENNEY01,KIRKLANDDS,KOHLDSN,LAMPDS,MACY02F,OLLIIX,OVERSTOCK01,TGTDVS</t>
  </si>
  <si>
    <t>MP105-1087</t>
  </si>
  <si>
    <t>Farrah</t>
  </si>
  <si>
    <t>Lovisa</t>
  </si>
  <si>
    <t>Lianna</t>
  </si>
  <si>
    <t>12/30/2020</t>
  </si>
  <si>
    <t>AMAZONDS,ASHFURNDS,CSNSTORES,HDDS,JCPENNEY01,KIRKLANDDS,KOHLDSN,LAMPDS,MACY02F,OLLIIX,OVERSTOCK01,ROOMECOM,TGTDVS</t>
  </si>
  <si>
    <t>MP105-1049</t>
  </si>
  <si>
    <t>Welburn</t>
  </si>
  <si>
    <t>Antonio</t>
  </si>
  <si>
    <t>Madera</t>
  </si>
  <si>
    <t>Welburn 49.5" Upholstered Bench with Back &amp; Wood Legs</t>
  </si>
  <si>
    <t>10/8/2020</t>
  </si>
  <si>
    <t>AMAZONDS,AMERSIGNDS,CSNSTORES,HDDS,HOUZZ,JCPENNEY01,KIRKLANDDS,KOHLDSN,LAMPDS,MACY02F,OLLIIX,OVERSTOCK01,ROOMECOM,TGTDVS</t>
  </si>
  <si>
    <t>MP105-1267</t>
  </si>
  <si>
    <t>PP000673</t>
  </si>
  <si>
    <t>10/5/2024</t>
  </si>
  <si>
    <t>MP105-0471</t>
  </si>
  <si>
    <t>PP000350</t>
  </si>
  <si>
    <t>AAFESDS,AMAZON,AMAZONDS,AMERSIGNDS,ASHFURNDS,BLK01,CASTLEGATE,HDDS,KIRKLANDDS,KOHLDSN,LAMPDS,MACY02F,OLLIIX,OVERSTOCK01,ROOMECOM,TGTDVS</t>
  </si>
  <si>
    <t>MP105-0827</t>
  </si>
  <si>
    <t>5/31/2019</t>
  </si>
  <si>
    <t>AMAZONDS,AMERSIGNDS,CASTLEGATE,HDDS,HOUZZ,KIRKLANDDS,KOHLDSN,MACY02F,OLLIIX,OVERSTOCK01,ROOMECOM,TGTDVS</t>
  </si>
  <si>
    <t>MP105-0543</t>
  </si>
  <si>
    <t>AAFESDS,AMAZONDS,AMERSIGNDS,ASHFURNDS,CASTLEGATE,CSNSTORES,HDDS,HOUZZ,KIRKLANDDS,KOHLDSN,LAMPDS,MACY02F,OLLIIX,OVERSTOCK01,ROOMECOM,TGTDVS</t>
  </si>
  <si>
    <t>MP105-0999</t>
  </si>
  <si>
    <t>Taupe Multi</t>
  </si>
  <si>
    <t>6/25/2020</t>
  </si>
  <si>
    <t>AMAZONDS,AMERSIGNDS,ASHFURNDS,CSNSTORES,HDDS,HOUZZ,JCPENNEY01,KIRKLANDDS,KOHLDSN,LAMPDS,MACY02F,OLLIIX,OVERSTOCK01,ROOMECOM,TGTDVS</t>
  </si>
  <si>
    <t>MP105-0189</t>
  </si>
  <si>
    <t>Ashcroft</t>
  </si>
  <si>
    <t>Jayden</t>
  </si>
  <si>
    <t>Soft Close Storage Bench</t>
  </si>
  <si>
    <t>Grey Multi</t>
  </si>
  <si>
    <t>PF001127</t>
  </si>
  <si>
    <t>MP105-0998</t>
  </si>
  <si>
    <t>6/24/2020</t>
  </si>
  <si>
    <t>AMERSIGNDS,CSNSTORES,HDDS,HOUZZ,KIRKLANDDS,KOHLDSN,LAMPDS,MACY02F,OLLIIX,OVERSTOCK01,ROOMECOM,TGTDVS</t>
  </si>
  <si>
    <t>FPF18-0524</t>
  </si>
  <si>
    <t>Gillian</t>
  </si>
  <si>
    <t>Payden</t>
  </si>
  <si>
    <t>Averly</t>
  </si>
  <si>
    <t>PF000767;PP000164</t>
  </si>
  <si>
    <t>AMAZONDS,AMERSIGNDS,CSNSTORES,HDDS,HOUZZ,KIRKLANDDS,KOHLDSN,LAMPDS,MACY02F,OLLIIX,OVERSTOCK01,ROOMECOM,TGTDVS,ZOLA</t>
  </si>
  <si>
    <t>MP105-1222</t>
  </si>
  <si>
    <t>Ivan</t>
  </si>
  <si>
    <t>Stanton</t>
  </si>
  <si>
    <t>Leland</t>
  </si>
  <si>
    <t>Accent Bench with Lower Shelf</t>
  </si>
  <si>
    <t>AMERSIGNDS,CSNSTORES,HDDS,KIRKLANDDS,KOHLDSN,LAMPDS,MACY02F,OLLIIX,OVERSTOCK01,TGTDVS,ZOLA</t>
  </si>
  <si>
    <t>FUR105-0041</t>
  </si>
  <si>
    <t>Shandra</t>
  </si>
  <si>
    <t>Sasha</t>
  </si>
  <si>
    <t>Selah</t>
  </si>
  <si>
    <t>Tufted Top Soft Close Storage Bench</t>
  </si>
  <si>
    <t>PF000817;PP000259</t>
  </si>
  <si>
    <t>12/13/2024</t>
  </si>
  <si>
    <t>AMERSIGNDS,ASHFURNDS,CSNSTORES,HDDS,KIRKLANDDS,KOHLDSN,LAMPDS,MACY02F,OLLIIX,OVERSTOCK01,ROOMECOM,TGTDVS</t>
  </si>
  <si>
    <t>FUR105-0052</t>
  </si>
  <si>
    <t>PF000819;PP000259</t>
  </si>
  <si>
    <t>AMERSIGNDS,ASHFURNDS,BLK01,CSNSTORES,HDDS,HOUZZ,KIRKLANDDS,KOHLDSN,LAMPDS,MACY02F,OLLIIX,OVERSTOCK01,ROOMECOM,TGTDVS</t>
  </si>
  <si>
    <t>FPF18-0487</t>
  </si>
  <si>
    <t>PF000739;PP000259</t>
  </si>
  <si>
    <t>AAFESDS,AMAZONDS,AMERSIGNDS,ASHFURNDS,BLK01,CSNSTORES,HDDS,HOUZZ,KIRKLANDDS,KOHLDSN,LAMPDS,MACY02F,OLLIIX,OVERSTOCK01,ROOMECOM,TGTDVS</t>
  </si>
  <si>
    <t>MP105-1122</t>
  </si>
  <si>
    <t>AMAZONDS,AMERSIGNDS,BLK01,CSNSTORES,HDDS,HOUZZ,JCPENNEY01,KIRKLANDDS,KOHLDSN,LAMPDS,OLLIIX,OVERSTOCK01,TGTDVS</t>
  </si>
  <si>
    <t>FPF18-0143</t>
  </si>
  <si>
    <t>PF000611;PP000259</t>
  </si>
  <si>
    <t>AMAZONDS,AMERSIGNDS,ASHFURNDS,CSNSTORES,HDDS,KIRKLANDDS,KOHLDSN,MACY02F,OLLIIX,OVERSTOCK01,ROOMECOM,TGTDVS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</si>
  <si>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</si>
  <si>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</si>
  <si>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</si>
  <si>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FUR105-0042</t>
  </si>
  <si>
    <t>Shandra II</t>
  </si>
  <si>
    <t>Tahlia</t>
  </si>
  <si>
    <t>PF000818;PP000260</t>
  </si>
  <si>
    <t>2/13/2025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</si>
  <si>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</si>
  <si>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</si>
  <si>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</si>
  <si>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</si>
  <si>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</si>
  <si>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</si>
  <si>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ASHFURNDS,CASTLEGATE,CSNSTORES,HDDS,HOUZZ,KOHLDSN,MACY02F,OLLIIX,OVERSTOCK01,ROOMECOM,TGTDVS</t>
  </si>
  <si>
    <t>MP100-0018</t>
  </si>
  <si>
    <t>Grey/White</t>
  </si>
  <si>
    <t>PF001029;PP000082</t>
  </si>
  <si>
    <t>ASHFURNDS,CSNSTORES,HDDS,HOUZZ,KOHLDSN,LAMPDS,MACY02F,OLLIIX,OVERSTOCK01,ROOMECOM</t>
  </si>
  <si>
    <t>MP100-0983</t>
  </si>
  <si>
    <t>AMAZONDS,CSNSTORES,HDDS,JCPENNEY01,KOHLDSN,LAMPDS,MACY02F,OLLIIX,OVERSTOCK01,TGTDVS</t>
  </si>
  <si>
    <t>FPF18-0428</t>
  </si>
  <si>
    <t>PF000708;PP000082</t>
  </si>
  <si>
    <t>AMERSIGNDS,ASHFURNDS,CSNSTORES,HDDS,HOUZZ,JCPENNEY01,KOHLDSN,LAMPDS,MACY02F,OLLIIX,OVERSTOCK01,ROOMECOM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</si>
  <si>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</si>
  <si>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</si>
  <si>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</si>
  <si>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</si>
  <si>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</si>
  <si>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</si>
  <si>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</si>
  <si>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AMERSIGNDS,ASHFURNDS,BLK01,CSNSTORES,HDDS,JCPENNEY01,KOHLDSN,LAMPDS,MACY02F,OLLIIX,OVERSTOCK01,ROOMECOM</t>
  </si>
  <si>
    <t>FPF18-0151</t>
  </si>
  <si>
    <t>Barton</t>
  </si>
  <si>
    <t>Weston</t>
  </si>
  <si>
    <t>Colette</t>
  </si>
  <si>
    <t>Wing Chair</t>
  </si>
  <si>
    <t>PF000615;PP000093</t>
  </si>
  <si>
    <t>CSNSTORES,HDDS,MACY02F,ROOMECOM</t>
  </si>
  <si>
    <t>FPF18-0078</t>
  </si>
  <si>
    <t>PF000593;PP000093</t>
  </si>
  <si>
    <t>CSNSTORES,KOHLDSN,MACY02F,OLLIIX,OVERSTOCK01,ROOMECOM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</si>
  <si>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</si>
  <si>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</si>
  <si>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</si>
  <si>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</si>
  <si>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</si>
  <si>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</si>
  <si>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AMAZONDS,AMERSIGNDS,BLK01,CSNSTORES,HDDS,HOUZZ,KIRKLANDDS,LAMPDS,MACY02F,OLLIIX,OVERSTOCK01,ROOMECOM</t>
  </si>
  <si>
    <t>MP100-0991</t>
  </si>
  <si>
    <t>Brooke</t>
  </si>
  <si>
    <t>Miri</t>
  </si>
  <si>
    <t>Annie</t>
  </si>
  <si>
    <t>Tight Back Club Chair</t>
  </si>
  <si>
    <t>AMAZONDS,AMERSIGNDS,ASHFURNDS,CSNSTORES,HDDS,JCPENNEY01,KIRKLANDDS,KOHLDSN,MACY02F,OLLIIX,OVERSTOCK01</t>
  </si>
  <si>
    <t>FPF18-0486</t>
  </si>
  <si>
    <t>PF000738;PP000105</t>
  </si>
  <si>
    <t>AMERSIGNDS,ASHFURNDS,CASTLEGATE,HDDS,JCPENNEY01,KIRKLANDDS,KOHLDSN,OLLIIX,OVERSTOCK01,ROOMECOM,TGTDVS</t>
  </si>
  <si>
    <t>MP100-1011</t>
  </si>
  <si>
    <t>Clearwater</t>
  </si>
  <si>
    <t>Blakeley</t>
  </si>
  <si>
    <t>Daire</t>
  </si>
  <si>
    <t>AMAZONDS,CSNSTORES,HDDS,HOUZZ,KIRKLANDDS,LAMPDS,MACY02F,OLLIIX,OVERSTOCK01,TGTDVS</t>
  </si>
  <si>
    <t>MP100-0465</t>
  </si>
  <si>
    <t>Halford</t>
  </si>
  <si>
    <t>Donner</t>
  </si>
  <si>
    <t>PP000344</t>
  </si>
  <si>
    <t>AMAZONDS,CSNSTORES,HOUZZ,KOHLDSN,LAMPDS,MACY02F,OLLIIX,OVERSTOCK01,ROOMECOM,TGTDVS</t>
  </si>
  <si>
    <t>FPF18-0160</t>
  </si>
  <si>
    <t>Colton</t>
  </si>
  <si>
    <t>Charlie</t>
  </si>
  <si>
    <t>Track Arm Club Chair</t>
  </si>
  <si>
    <t>PF000621;PP000128</t>
  </si>
  <si>
    <t>AMERSIGNDS,ASHFURNDS,CSNSTORES,KIRKLANDDS,MACY02F,OLLIIX</t>
  </si>
  <si>
    <t>MCC100-0001</t>
  </si>
  <si>
    <t>PF001017;PP000128</t>
  </si>
  <si>
    <t>ASHFURNDS,CSNSTORES,HOUZZ,KOHLDSN,LAMPDS,MACY02F,OLLIIX,OVERSTOCK01,ROOMECOM</t>
  </si>
  <si>
    <t>MP100-1174</t>
  </si>
  <si>
    <t>Diedra</t>
  </si>
  <si>
    <t>Paulie</t>
  </si>
  <si>
    <t>2/23/2022</t>
  </si>
  <si>
    <t>ASHFURNDS,CSNSTORES,HDDS,KOHLDSN,LAMPDS,MACY02F,OLLIIX,OVERSTOCK01,TGTDVS</t>
  </si>
  <si>
    <t>MP100-0386</t>
  </si>
  <si>
    <t>Cane Armchair</t>
  </si>
  <si>
    <t>Cream/Reclaimed Natural</t>
  </si>
  <si>
    <t>PF000276</t>
  </si>
  <si>
    <t>AMERSIGNDS,BLK01,CSNSTORES,HDDS,KIRKLANDDS,LAMPDS,MACY02F,OLLIIX,OVERSTOCK01,ROOMECOM,TGTDVS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</si>
  <si>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</si>
  <si>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</si>
  <si>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</si>
  <si>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</si>
  <si>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</si>
  <si>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</si>
  <si>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</si>
  <si>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</si>
  <si>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2/15/2022</t>
  </si>
  <si>
    <t>AMAZONDS,CSNSTORES,HDDS,JCPENNEY01,KIRKLANDDS,KOHLDSN,MACY02F,OLLIIX,OVERSTOCK01,TGTDVS</t>
  </si>
  <si>
    <t>MP100-0785</t>
  </si>
  <si>
    <t>Light Grey/Camel Oak</t>
  </si>
  <si>
    <t>3/7/2019</t>
  </si>
  <si>
    <t>AMAZONDS,BLK01,CSNSTORES,HDDS,KOHLDSN,LAMPDS,OLLIIX,OVERSTOCK01,ROOMECOM,TGTDVS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</si>
  <si>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</si>
  <si>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</si>
  <si>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</si>
  <si>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</si>
  <si>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</si>
  <si>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</si>
  <si>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AMERSIGNDS,ASHFURNDS,CSNSTORES,KIRKLANDDS,MACY02F,OLLIIX,OVERSTOCK01,ROOMECOM</t>
  </si>
  <si>
    <t>FPF18-0401</t>
  </si>
  <si>
    <t>Isa</t>
  </si>
  <si>
    <t>Lilith</t>
  </si>
  <si>
    <t>Button Tufted Wing Chair</t>
  </si>
  <si>
    <t>PF000692;PP000170</t>
  </si>
  <si>
    <t>AMERSIGNDS,CSNSTORES,HOUZZ,KOHLDSN,MACY02F,OLLIIX,OVERSTOCK01,ROOMECOM,TGTDVS</t>
  </si>
  <si>
    <t>FPF18-0403</t>
  </si>
  <si>
    <t>PF000694;PP000170</t>
  </si>
  <si>
    <t>CSNSTORES,HDDS,KOHLDSN,LAMPDS,MACY02F,OLLIIX,OVERSTOCK01,TGTDVS</t>
  </si>
  <si>
    <t>MP100-0618</t>
  </si>
  <si>
    <t>Heston</t>
  </si>
  <si>
    <t>Lea</t>
  </si>
  <si>
    <t>Kileen</t>
  </si>
  <si>
    <t>1/17/2018</t>
  </si>
  <si>
    <t>ASHFURNDS,CSNSTORES,HDDS,KIRKLANDDS,LAMPDS,MACY02F,OLLIIX,OVERSTOCK01</t>
  </si>
  <si>
    <t>FPF18-0501</t>
  </si>
  <si>
    <t>Camel Back Exposed Wood Chair</t>
  </si>
  <si>
    <t>PF000021;PP000216</t>
  </si>
  <si>
    <t>AMERSIGNDS,CSNSTORES,HOUZZ,KOHLDSN,LAMPDS,MACY02F,OLLIIX,OVERSTOCK01,ROOMECOM</t>
  </si>
  <si>
    <t>MP100-0808</t>
  </si>
  <si>
    <t>PP000216</t>
  </si>
  <si>
    <t>5/13/2019</t>
  </si>
  <si>
    <t>AMAZONDS,AMERSIGNDS,CSNSTORES,HDDS,HOUZZ,KIRKLANDDS,KOHLDSN,MACY02F,OLLIIX,OVERSTOCK01,ROOMECOM,TGTDVS</t>
  </si>
  <si>
    <t>MP100-1203</t>
  </si>
  <si>
    <t>Odessa</t>
  </si>
  <si>
    <t>Gilman</t>
  </si>
  <si>
    <t>Leanne</t>
  </si>
  <si>
    <t>AMERSIGNDS,CSNSTORES,HDDS,HOUZZ,KIRKLANDDS,KOHLDSN,LAMPDS,MACY02F,OLLIIX,OVERSTOCK01,TGTDVS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</si>
  <si>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</si>
  <si>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</si>
  <si>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</si>
  <si>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</si>
  <si>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</si>
  <si>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</si>
  <si>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</si>
  <si>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ASHFURNDS,CSNSTORES,HDDS,LAMPDS,MACY02F,OLLIIX,ROOMECOM</t>
  </si>
  <si>
    <t>FPF18-0218</t>
  </si>
  <si>
    <t>PF000650;PP000226</t>
  </si>
  <si>
    <t>ASHFURNDS,CSNSTORES,HDDS,KIRKLANDDS,LAMPDS,OLLIIX,OVERSTOCK01,ROOMECOM</t>
  </si>
  <si>
    <t>MP100-0441</t>
  </si>
  <si>
    <t>Nicoli</t>
  </si>
  <si>
    <t>PF001083</t>
  </si>
  <si>
    <t>7/26/2017</t>
  </si>
  <si>
    <t>ASHFURNDS,CSNSTORES,HOUZZ,KIRKLANDDS,KOHLDSN,LAMPDS,MACY02F,OLLIIX,OVERSTOCK01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</si>
  <si>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</si>
  <si>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</si>
  <si>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</si>
  <si>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</si>
  <si>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</si>
  <si>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</si>
  <si>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</si>
  <si>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AMAZONDS,AMERSIGNDS,ASHFURNDS,CASTLEGATE,CSNSTORES,HDDS,HOUZZ,KIRKLANDDS,KOHLDSN,MACY02F,OLLIIX,OVERSTOCK01,ROOMECOM,TGTDVS</t>
  </si>
  <si>
    <t>MP100-0891</t>
  </si>
  <si>
    <t>Dusty Blue</t>
  </si>
  <si>
    <t>PP000233</t>
  </si>
  <si>
    <t>7/6/2019</t>
  </si>
  <si>
    <t>AMERSIGNDS,ASHFURNDS,CASTLEGATE,CSNSTORES,HDDS,HOUZZ,LAMPDS,MACY02F,OLLIIX,OVERSTOCK01</t>
  </si>
  <si>
    <t>FPF18-0513</t>
  </si>
  <si>
    <t>PF000757;PP000233</t>
  </si>
  <si>
    <t>MP100-1121</t>
  </si>
  <si>
    <t>AMAZONDS,AMERSIGNDS,ASHFURNDS,CASTLEGATE,CSNSTORES,HDDS,KIRKLANDDS,KOHLDSN,LAMPDS,MACY02F,OLLIIX,OVERSTOCK01,TGTDVS</t>
  </si>
  <si>
    <t>FPF18-0512</t>
  </si>
  <si>
    <t>PF000756;PP000233</t>
  </si>
  <si>
    <t>AMERSIGNDS,ASHFURNDS,CSNSTORES,HDDS,KIRKLANDDS,KOHLDSN,MACY02F,OLLIIX,OVERSTOCK01,ROOMECOM</t>
  </si>
  <si>
    <t>FPF18-0416</t>
  </si>
  <si>
    <t>Erika</t>
  </si>
  <si>
    <t>Bree</t>
  </si>
  <si>
    <t>Laura</t>
  </si>
  <si>
    <t>PF000700;PP000154</t>
  </si>
  <si>
    <t>AMAZON,AMAZONDS,AMERSIGNDS,ASHFURNDS,CSNSTORES,HDDS,HOUZZ,KOHLDSN,LAMPDS,MACY02F,OLLIIX,OVERSTOCK01,ROOMECOM,TGTDVS</t>
  </si>
  <si>
    <t>FPF18-0052</t>
  </si>
  <si>
    <t>Hayden</t>
  </si>
  <si>
    <t>Alex</t>
  </si>
  <si>
    <t>Karly</t>
  </si>
  <si>
    <t>Slipper Accent Chair</t>
  </si>
  <si>
    <t>PF000591;PP000174</t>
  </si>
  <si>
    <t>AMAZONDS,AMERSIGNDS,CSNSTORES,HDDS,KOHLDSN,MACY02F,OLLIIX,OVERSTOCK01,TGTDVS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</si>
  <si>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</si>
  <si>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</si>
  <si>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</si>
  <si>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</si>
  <si>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</si>
  <si>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</si>
  <si>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ASHFURNDS,CSNSTORES,HDDS,MACY02F,OLLIIX,OVERSTOCK01,ROOMECOM</t>
  </si>
  <si>
    <t>FPF18-0040</t>
  </si>
  <si>
    <t>PF000587;PP000176</t>
  </si>
  <si>
    <t>AMERSIGNDS,ASHFURNDS,CSNSTORES,HDDS,MACY02F,OLLIIX,OVERSTOCK01,ROOMECOM</t>
  </si>
  <si>
    <t>FPF18-0106</t>
  </si>
  <si>
    <t>PF000601;PP000176</t>
  </si>
  <si>
    <t>ASHFURNDS,CSNSTORES,HDDS,MACY02F,OLLIIX,OVERSTOCK01</t>
  </si>
  <si>
    <t>FPF18-0226</t>
  </si>
  <si>
    <t>Korey</t>
  </si>
  <si>
    <t>Remy</t>
  </si>
  <si>
    <t>Channel Back Slipper Chair</t>
  </si>
  <si>
    <t>PF000658;PP000189</t>
  </si>
  <si>
    <t>AMAZONDS,AMERSIGNDS,ASHFURNDS,CSNSTORES,HDDS,KOHLDSN,LAMPDS,MACY02F,OLLIIX,ROOMECOM,TGTDVS</t>
  </si>
  <si>
    <t>MP130-0156</t>
  </si>
  <si>
    <t>ACCENT CHEST</t>
  </si>
  <si>
    <t>Cabinet</t>
  </si>
  <si>
    <t>Driscoll</t>
  </si>
  <si>
    <t>Wyatt</t>
  </si>
  <si>
    <t>Grayson</t>
  </si>
  <si>
    <t>2-Door Cabinet</t>
  </si>
  <si>
    <t>Reclaimed Natural</t>
  </si>
  <si>
    <t>PF000438</t>
  </si>
  <si>
    <t>12/27/2024</t>
  </si>
  <si>
    <t>ASHFURNDS,CASTLEGATE,CSNSTORES,HDDS,HOUZZ,KIRKLANDDS,KOHLDSN,LAMPDS,MACY02F,OLLIIX,OVERSTOCK01,ROOMECOM,TGTDVS</t>
  </si>
  <si>
    <t>MP130-0945</t>
  </si>
  <si>
    <t>Hanley</t>
  </si>
  <si>
    <t>Eddy</t>
  </si>
  <si>
    <t>Folsom</t>
  </si>
  <si>
    <t>2 Doors Accent Cabinet</t>
  </si>
  <si>
    <t>1/31/2020</t>
  </si>
  <si>
    <t>ASHFURNDS,CASTLEGATE,CSNSTORES,HOUZZ,JCPENNEY01,KIRKLANDDS,KOHLDSN,OLLIIX,OVERSTOCK01,ROOMECOM,ZOLA</t>
  </si>
  <si>
    <t>MP130-1207</t>
  </si>
  <si>
    <t>Paige</t>
  </si>
  <si>
    <t>Phinney</t>
  </si>
  <si>
    <t>Devin</t>
  </si>
  <si>
    <t>2-Door Accent Cabinet with Adjustable Shelves</t>
  </si>
  <si>
    <t>AMAZONDS,AMERSIGNDS,CSNSTORES,HDDS,HOUZZ,KIRKLANDDS,KOHLDSN,LAMPDS,OLLIIX,OVERSTOCK01,TGTDVS</t>
  </si>
  <si>
    <t>MP130-1036</t>
  </si>
  <si>
    <t>Nora</t>
  </si>
  <si>
    <t>Addison</t>
  </si>
  <si>
    <t>Accent Chest</t>
  </si>
  <si>
    <t>CSNSTORES,HDDS,HOUZZ,KIRKLANDDS,KOHLDSN,OLLIIX,OVERSTOCK01,TGTDVS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</si>
  <si>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</si>
  <si>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</si>
  <si>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</si>
  <si>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</si>
  <si>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</si>
  <si>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</si>
  <si>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AMERSIGNDS,CSNSTORES,HOUZZ,KOHLDSN,LAMPDS,MACY02F,OLLIIX,OVERSTOCK01,ROOMECOM,TGTDVS</t>
  </si>
  <si>
    <t>FPF17-0390</t>
  </si>
  <si>
    <t>PF000559;PP000278</t>
  </si>
  <si>
    <t>CSNSTORES,HDDS,HOUZZ,KIRKLANDDS,KOHLDSN,LAMPDS,MACY02F,OLLIIX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</si>
  <si>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</si>
  <si>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</si>
  <si>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</si>
  <si>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</si>
  <si>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</si>
  <si>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</si>
  <si>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</si>
  <si>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AMERSIGNDS,CSNSTORES,HDDS,HOUZZ,KOHLDSN,LAMPDS,MACY02F,OLLIIX,OVERSTOCK01,ROOMECOM</t>
  </si>
  <si>
    <t>MP120-0427</t>
  </si>
  <si>
    <t>Lexi</t>
  </si>
  <si>
    <t>Hemlock</t>
  </si>
  <si>
    <t>Wesley</t>
  </si>
  <si>
    <t>PF000422</t>
  </si>
  <si>
    <t>AMERSIGNDS,CSNSTORES,DESINC,HDDS,KIRKLANDDS,KOHLDSN,LAMPDS,MACY02F,OLLIIX,OVERSTOCK01,ROOMECOM,TGTDVS</t>
  </si>
  <si>
    <t>MP120-0597</t>
  </si>
  <si>
    <t>Sophia</t>
  </si>
  <si>
    <t>Venice</t>
  </si>
  <si>
    <t>Wilton</t>
  </si>
  <si>
    <t>PP000728</t>
  </si>
  <si>
    <t>MP120-0428</t>
  </si>
  <si>
    <t>Valentina</t>
  </si>
  <si>
    <t>Ortega</t>
  </si>
  <si>
    <t>Dorado</t>
  </si>
  <si>
    <t>PF000424</t>
  </si>
  <si>
    <t>AMERSIGNDS,CSNSTORES,HDDS,MACY02F,OLLIIX,OVERSTOCK01</t>
  </si>
  <si>
    <t>MP104-0062</t>
  </si>
  <si>
    <t>Bar Stool</t>
  </si>
  <si>
    <t>Colfax</t>
  </si>
  <si>
    <t>Weldon</t>
  </si>
  <si>
    <t>Lorsted</t>
  </si>
  <si>
    <t>30-Inch Bar Stool</t>
  </si>
  <si>
    <t>PF000305;PP000127</t>
  </si>
  <si>
    <t>CSNSTORES,HDDS,HOUZZ,KIRKLANDDS,KOHLDSN,MACY02F,OLLIIX,OVERSTOCK01,ROOMECOM,TGTDVS</t>
  </si>
  <si>
    <t>FPF20-0401</t>
  </si>
  <si>
    <t>Belfast</t>
  </si>
  <si>
    <t>Nomad</t>
  </si>
  <si>
    <t>Westly</t>
  </si>
  <si>
    <t>Saddle Counter Stool</t>
  </si>
  <si>
    <t>PF000797;PP000095</t>
  </si>
  <si>
    <t>AMAZON,AMAZONDS,CSNSTORES,HDDS,KOHLDSN,LAMPDS,MACY02F,OLLIIX,OVERSTOCK01,ROOMECOM,TGTDVS</t>
  </si>
  <si>
    <t>FUR101-0037</t>
  </si>
  <si>
    <t>PF000812;PP000095</t>
  </si>
  <si>
    <t>AMAZON,AMAZONDS,AMERSIGNDS,BEALLSDS,BLK01,CSNSTORES,HDDS,KOHLDSN,LAMPDS,OLLIIX,OVERSTOCK01,ROOMECOM,TGTDVS</t>
  </si>
  <si>
    <t>FUR101-0039</t>
  </si>
  <si>
    <t>PF000814;PP000095</t>
  </si>
  <si>
    <t>AMAZONDS,AMERSIGNDS,CSNSTORES,HDDS,HOUZZ,KOHLDSN,LAMPDS,MACY02F,OLLIIX,OVERSTOCK01,ROOMECOM,TGTDVS</t>
  </si>
  <si>
    <t>MP104-1238</t>
  </si>
  <si>
    <t>Bryce</t>
  </si>
  <si>
    <t>Robertson</t>
  </si>
  <si>
    <t>Thornton</t>
  </si>
  <si>
    <t>26"H Upholstered Counter Stool with Metal Base</t>
  </si>
  <si>
    <t>10/4/2023</t>
  </si>
  <si>
    <t>AMAZONDS,AMERSIGNDS,CSNSTORES,HDDS,KIRKLANDDS,KOHLDSN,OLLIIX,OVERSTOCK01,TGTDVS,ZOLA</t>
  </si>
  <si>
    <t>FPF20-0552</t>
  </si>
  <si>
    <t>Amory</t>
  </si>
  <si>
    <t>PF000081;PP000108</t>
  </si>
  <si>
    <t>MP104-0762</t>
  </si>
  <si>
    <t>Christine</t>
  </si>
  <si>
    <t>Davisina</t>
  </si>
  <si>
    <t>Sugar</t>
  </si>
  <si>
    <t>Counterstool</t>
  </si>
  <si>
    <t>3/4/2019</t>
  </si>
  <si>
    <t>AMERSIGNDS,CSNSTORES,HDDS,HOUZZ,KOHLDSN,MACY02F,OLLIIX,OVERSTOCK01,ROOMECOM,TGTDVS</t>
  </si>
  <si>
    <t>MP104-1239</t>
  </si>
  <si>
    <t>Cane Back Counter Stool</t>
  </si>
  <si>
    <t>10/13/2023</t>
  </si>
  <si>
    <t>AMERSIGNDS,CSNSTORES,HDDS,HOUZZ,JCPENNEY01,KIRKLANDDS,KOHLDSN,MACY02F,OLLIIX,OVERSTOCK01,TGTDVS</t>
  </si>
  <si>
    <t>MP104-1110</t>
  </si>
  <si>
    <t>Hermosa</t>
  </si>
  <si>
    <t>Carmel</t>
  </si>
  <si>
    <t>Rosita</t>
  </si>
  <si>
    <t>Woven Counter Stool 25"</t>
  </si>
  <si>
    <t>9/6/2021</t>
  </si>
  <si>
    <t>AMAZONDS,CSNSTORES,DESINC,HDDS,HOUZZ,JCPENNEY01,KIRKLANDDS,KOHLDSN,OLLIIX,OVERSTOCK01,ROOMECOM</t>
  </si>
  <si>
    <t>MP104-1247</t>
  </si>
  <si>
    <t>Maison</t>
  </si>
  <si>
    <t>Marc</t>
  </si>
  <si>
    <t>Eugene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</si>
  <si>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</si>
  <si>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</si>
  <si>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</si>
  <si>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</si>
  <si>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</si>
  <si>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</si>
  <si>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AMERSIGNDS,CSNSTORES,DESINC,HOUZZ,KIRKLANDDS,KOHLDSN,LAMPDS,OLLIIX,OVERSTOCK01,ROOMECOM,TGTDVS</t>
  </si>
  <si>
    <t>MP104-0810</t>
  </si>
  <si>
    <t>Tuscan</t>
  </si>
  <si>
    <t>Wheatley</t>
  </si>
  <si>
    <t>Muriel</t>
  </si>
  <si>
    <t>PP001129</t>
  </si>
  <si>
    <t>CSNSTORES,HDDS,HOUZZ,KOHLDSN,LAMPDS,MACY02F,OLLIIX,OVERSTOCK01</t>
  </si>
  <si>
    <t>MP104-0512</t>
  </si>
  <si>
    <t>Carson</t>
  </si>
  <si>
    <t>Fillmore</t>
  </si>
  <si>
    <t>Troy</t>
  </si>
  <si>
    <t>Counter Stool With Swivel Seat</t>
  </si>
  <si>
    <t>PP000620</t>
  </si>
  <si>
    <t>CASTLEGATE,CSNSTORES,HDDS,HOUZZ,KIRKLANDDS,LAMPDS,MACY02F,OLLIIX,OVERSTOCK01,TGTDVS</t>
  </si>
  <si>
    <t>MP104-0986</t>
  </si>
  <si>
    <t>Counter Stool with Swivel Seat</t>
  </si>
  <si>
    <t>6/15/2020</t>
  </si>
  <si>
    <t>CASTLEGATE,JCPENNEY01,KOHLDSN,LAMPDS,MACY02F,OLLIIX,OVERSTOCK01</t>
  </si>
  <si>
    <t>MP104-1153</t>
  </si>
  <si>
    <t>1/24/2022</t>
  </si>
  <si>
    <t>CSNSTORES,HDDS,KOHLDSN,LAMPDS,MACY02F,OLLIIX,OVERSTOCK01</t>
  </si>
  <si>
    <t>MP104-1105</t>
  </si>
  <si>
    <t>Emmett</t>
  </si>
  <si>
    <t>Janet</t>
  </si>
  <si>
    <t>Cheryl</t>
  </si>
  <si>
    <t>25.75" Swivel Counter Stool</t>
  </si>
  <si>
    <t>5/18/2021</t>
  </si>
  <si>
    <t>AMAZONDS,ASHFURNDS,CSNSTORES,HDDS,HOUZZ,JCPENNEY01,KIRKLANDDS,LAMPDS,MACY02F,OLLIIX,OVERSTOCK01,ROOMECOM,TGTDVS</t>
  </si>
  <si>
    <t>MP104-1119</t>
  </si>
  <si>
    <t>10/13/2021</t>
  </si>
  <si>
    <t>AMAZONDS,AMERSIGNDS,CSNSTORES,HDDS,HOUZZ,KIRKLANDDS,KOHLDSN,LAMPDS,MACY02F,OLLIIX,OVERSTOCK01</t>
  </si>
  <si>
    <t>MP104-0943</t>
  </si>
  <si>
    <t>AMAZONDS,CSNSTORES,HDDS,HOUZZ,JCPENNEY01,KOHLDSN,LAMPDS,MACY02F,OLLIIX,OVERSTOCK01,ROOMECOM,TGTDVS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</si>
  <si>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</si>
  <si>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</si>
  <si>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</si>
  <si>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</si>
  <si>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AMAZONDS,AMERSIGNDS,CSNSTORES,HOUZZ,KOHLDSN,MACY02F,OLLIIX,OVERSTOCK01,TGTDVS,ZOLA</t>
  </si>
  <si>
    <t>MP104-1074</t>
  </si>
  <si>
    <t>Jillian</t>
  </si>
  <si>
    <t>Marshall</t>
  </si>
  <si>
    <t>Ellery</t>
  </si>
  <si>
    <t>12/15/2020</t>
  </si>
  <si>
    <t>AMAZONDS,AMERSIGNDS,CSNSTORES,HDDS,HOUZZ,KIRKLANDDS,KOHLDSN,LAMPDS,MACY02F,OLLIIX,OVERSTOCK01,TGTDVS</t>
  </si>
  <si>
    <t>MP104-0577</t>
  </si>
  <si>
    <t>Onyx</t>
  </si>
  <si>
    <t>Boyle</t>
  </si>
  <si>
    <t>Grattan</t>
  </si>
  <si>
    <t>Upholstered 360 Degree Swivel Counter Stool 26" H</t>
  </si>
  <si>
    <t>CSNSTORES,KOHLDSN,LAMPDS,OLLIIX,OVERSTOCK01,ROOMECOM,TGTDVS</t>
  </si>
  <si>
    <t>MP104-1146</t>
  </si>
  <si>
    <t>Pearce</t>
  </si>
  <si>
    <t>Walsh</t>
  </si>
  <si>
    <t>Howard</t>
  </si>
  <si>
    <t>Pearce Swivel Upholstered Counter Stool with Solid Wood Legs &amp; Metal Footrest</t>
  </si>
  <si>
    <t>AMERSIGNDS,CSNSTORES,JCPENNEY01,KOHLDSN,LAMPDS,MACY02F,OLLIIX,OVERSTOCK01,TGTDVS</t>
  </si>
  <si>
    <t>MP104-0515</t>
  </si>
  <si>
    <t>PP000623</t>
  </si>
  <si>
    <t>1/20/2018</t>
  </si>
  <si>
    <t>AMERSIGNDS,CASTLEGATE,HDDS,KOHLDSN,LAMPDS,OLLIIX,OVERSTOCK01,ROOMECOM,TGTDVS</t>
  </si>
  <si>
    <t>MP104-0988</t>
  </si>
  <si>
    <t>AMERSIGNDS,CASTLEGATE,CSNSTORES,HOUZZ,KOHLDSN,LAMPDS,MACY02F,OLLIIX,OVERSTOCK01,ROOMECOM,TGTDVS</t>
  </si>
  <si>
    <t>MP115-1240</t>
  </si>
  <si>
    <t>Baylor</t>
  </si>
  <si>
    <t>Cheshire</t>
  </si>
  <si>
    <t>Lotte</t>
  </si>
  <si>
    <t>Canopy Bed Queen</t>
  </si>
  <si>
    <t>10/19/2023</t>
  </si>
  <si>
    <t>AMERSIGNDS,CSNSTORES,KOHLDSN,OLLIIX,OVERSTOCK01</t>
  </si>
  <si>
    <t>MP131-1061</t>
  </si>
  <si>
    <t>BOOKCASE/SHELF</t>
  </si>
  <si>
    <t>Shelving</t>
  </si>
  <si>
    <t>Avalon</t>
  </si>
  <si>
    <t>Avenu</t>
  </si>
  <si>
    <t>Shelf / Bookcase</t>
  </si>
  <si>
    <t>Off-White/Natural</t>
  </si>
  <si>
    <t>12/22/2020</t>
  </si>
  <si>
    <t>CSNSTORES,HDDS,HOUZZ,KIRKLANDDS,LAMPDS,MACY02F,OLLIIX,OVERSTOCK01</t>
  </si>
  <si>
    <t>MP138-0128</t>
  </si>
  <si>
    <t>Off-White/Pecan</t>
  </si>
  <si>
    <t>PF001180;PP000227</t>
  </si>
  <si>
    <t>ASHFURNDS,CASTLEGATE,CSNSTORES,HDDS,KIRKLANDDS,LAMPDS,OLLIIX,OVERSTOCK01,ROOMECOM,TGTDVS</t>
  </si>
  <si>
    <t>MP122-0097</t>
  </si>
  <si>
    <t>DESK</t>
  </si>
  <si>
    <t>Desk</t>
  </si>
  <si>
    <t>PF001174;PP000227</t>
  </si>
  <si>
    <t>MP108-0767</t>
  </si>
  <si>
    <t>Angelica</t>
  </si>
  <si>
    <t>Jenn</t>
  </si>
  <si>
    <t>Shin</t>
  </si>
  <si>
    <t>Arm Dining Chair (set of 2)</t>
  </si>
  <si>
    <t>2/5/2019</t>
  </si>
  <si>
    <t>CSNSTORES,HDDS,HOUZZ,KOHLDSN,LAMPDS,MACY02F,OLLIIX,OVERSTOCK01,TGTDVS</t>
  </si>
  <si>
    <t>MP100-0152</t>
  </si>
  <si>
    <t>Bexley</t>
  </si>
  <si>
    <t>Larkin</t>
  </si>
  <si>
    <t>Oda</t>
  </si>
  <si>
    <t>Rounded Back Dining Chair</t>
  </si>
  <si>
    <t>PF001053;PP000096</t>
  </si>
  <si>
    <t>CSNSTORES,HOUZZ,KIRKLANDDS,KOHLDSN,LAMPDS,MACY02F,OLLIIX,ROOMECOM,TGTDVS</t>
  </si>
  <si>
    <t>MP108-0513</t>
  </si>
  <si>
    <t>Braiden</t>
  </si>
  <si>
    <t>Quimby</t>
  </si>
  <si>
    <t>Dining Chair (set of 2)</t>
  </si>
  <si>
    <t>PP000621</t>
  </si>
  <si>
    <t>AMAZONDS,CSNSTORES,HOUZZ,JCPENNEY01,MACY02F,OLLIIX,OVERSTOCK01</t>
  </si>
  <si>
    <t>MP100-0038</t>
  </si>
  <si>
    <t>Brody</t>
  </si>
  <si>
    <t>Victor</t>
  </si>
  <si>
    <t>Taye</t>
  </si>
  <si>
    <t>Wing Dining Chair (Set of 2)</t>
  </si>
  <si>
    <t>PF000259;PP000104</t>
  </si>
  <si>
    <t>CSNSTORES,HDDS,HOUZZ,JCPENNEY01,KIRKLANDDS,KOHLDSN,LAMPDS,MACY02F,OLLIIX,OVERSTOCK01,ROOMECOM</t>
  </si>
  <si>
    <t>MP108-0788</t>
  </si>
  <si>
    <t>4/4/2019</t>
  </si>
  <si>
    <t>AMAZONDS,AMERSIGNDS,ASHFURNDS,CSNSTORES,DESINC,HDDS,HOUZZ,KIRKLANDDS,KOHLDSN,MACY02F,OLLIIX,OVERSTOCK01,TGTDVS,ZOLA</t>
  </si>
  <si>
    <t>MP108-0956</t>
  </si>
  <si>
    <t>AMAZONDS,CSNSTORES,HOUZZ,JCPENNEY01,KOHLDSN,MACY02F,OLLIIX,OVERSTOCK01,TGTDVS</t>
  </si>
  <si>
    <t>MP108-1060</t>
  </si>
  <si>
    <t>Canteberry</t>
  </si>
  <si>
    <t>Ashe</t>
  </si>
  <si>
    <t>Ensley</t>
  </si>
  <si>
    <t>CSNSTORES,HDDS,KIRKLANDDS,KOHLDSN,MACY02F,OLLIIX,OVERSTOCK01,ROOMECOM,ZOLA</t>
  </si>
  <si>
    <t>MP108-0642</t>
  </si>
  <si>
    <t>Captiva</t>
  </si>
  <si>
    <t>Hastings</t>
  </si>
  <si>
    <t>12/15/2017</t>
  </si>
  <si>
    <t>AMERSIGNDS,HDDS,HOUZZ,KIRKLANDDS,KOHLDSN,LAMPDS,MACY02F,OLLIIX,OVERSTOCK01</t>
  </si>
  <si>
    <t>MP108-0511</t>
  </si>
  <si>
    <t>Upholstered Wingback Dining Chair</t>
  </si>
  <si>
    <t>CASTLEGATE,HDDS,HOUZZ,LAMPDS,MACY02F,OLLIIX,OVERSTOCK01,TGTDVS</t>
  </si>
  <si>
    <t>MP100-0042</t>
  </si>
  <si>
    <t>Parler</t>
  </si>
  <si>
    <t>Bracken</t>
  </si>
  <si>
    <t>Arm Dining Chair</t>
  </si>
  <si>
    <t>PF000261;PP000141</t>
  </si>
  <si>
    <t>CSNSTORES,HDDS,HOUZZ,JCPENNEY01,KIRKLANDDS,KOHLDSN,LAMPDS,MACY02F,OLLIIX,OVERSTOCK01,ROOMECOM,TGTDVS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</si>
  <si>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</si>
  <si>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</si>
  <si>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</si>
  <si>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</si>
  <si>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</si>
  <si>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CSNSTORES,HOUZZ,JCPENNEY01,KIRKLANDDS,KOHLDSN,LAMPDS,MACY02F,OLLIIX,OVERSTOCK01,TGTDVS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</si>
  <si>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</si>
  <si>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</si>
  <si>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</si>
  <si>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</si>
  <si>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</si>
  <si>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</si>
  <si>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MP108-0766</t>
  </si>
  <si>
    <t>Rika</t>
  </si>
  <si>
    <t>Regina</t>
  </si>
  <si>
    <t>Rain</t>
  </si>
  <si>
    <t>High Back Dining Armchair (Set of 2)</t>
  </si>
  <si>
    <t>MP108-1244</t>
  </si>
  <si>
    <t>Motion Dining Chair</t>
  </si>
  <si>
    <t>Elaine</t>
  </si>
  <si>
    <t>Hamilton</t>
  </si>
  <si>
    <t>Skirted Dining Arm Chair with Casters</t>
  </si>
  <si>
    <t>CSNSTORES,HDDS,LAMPDS,OLLIIX,OVERSTOCK01,TGTDVS</t>
  </si>
  <si>
    <t>MP108-1243</t>
  </si>
  <si>
    <t>MP108-1205</t>
  </si>
  <si>
    <t>AMAZONDS,CSNSTORES,HDDS,KIRKLANDDS,LAMPDS,OLLIIX,OVERSTOCK01,TGTDVS</t>
  </si>
  <si>
    <t>MP108-1254</t>
  </si>
  <si>
    <t>Salma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</si>
  <si>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</si>
  <si>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</si>
  <si>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</si>
  <si>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</si>
  <si>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</si>
  <si>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</si>
  <si>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</si>
  <si>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11/3/2024</t>
  </si>
  <si>
    <t>CSNSTORES,KOHLDSN,LAMPDS,MACY02F,OLLIIX,OVERSTOCK01,ZOLA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</si>
  <si>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</si>
  <si>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</si>
  <si>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</si>
  <si>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</si>
  <si>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</si>
  <si>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</si>
  <si>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</si>
  <si>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AMAZONDS,ASHFURNDS,CASTLEGATE,HDDS,KOHLDSN,MACY02F,OLLIIX,OVERSTOCK01</t>
  </si>
  <si>
    <t>MP116-0357</t>
  </si>
  <si>
    <t>PF001140;PP000077</t>
  </si>
  <si>
    <t>5/25/2017</t>
  </si>
  <si>
    <t>AMAZONDS,ASHFURNDS,CASTLEGATE,CSNSTORES,HDDS,KIRKLANDDS,KOHLDSN,LAMPDS,MACY02F,OLLIIX,OVERSTOCK01,ZOLA</t>
  </si>
  <si>
    <t>MP116-1142</t>
  </si>
  <si>
    <t>1/12/2022</t>
  </si>
  <si>
    <t>AMAZONDS,CSNSTORES,JCPENNEY01,KIRKLANDDS,MACY02F,OLLIIX,OVERSTOCK01</t>
  </si>
  <si>
    <t>MP116-0353</t>
  </si>
  <si>
    <t>Nadine</t>
  </si>
  <si>
    <t>Augusta</t>
  </si>
  <si>
    <t>Iverson</t>
  </si>
  <si>
    <t>PF001136;PP000221</t>
  </si>
  <si>
    <t>ASHFURNDS,CSNSTORES,HDDS,JCPENNEY01,KIRKLANDDS,MACY02F,OLLIIX,OVERSTOCK01,TGTDVS</t>
  </si>
  <si>
    <t>MP116-0354</t>
  </si>
  <si>
    <t>PF001137;PP000221</t>
  </si>
  <si>
    <t>ASHFURNDS,CSNSTORES,HDDS,KIRKLANDDS,KOHLDSN,LAMPDS,OLLIIX,OVERSTOCK01,TGTDVS,ZOLA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</si>
  <si>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</si>
  <si>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</si>
  <si>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</si>
  <si>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</si>
  <si>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</si>
  <si>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</si>
  <si>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</si>
  <si>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AMAZONDS,AMERSIGNDS,ASHFURNDS,CSNSTORES,HDDS,HOUZZ,KOHLDSN,MACY02F,OLLIIX,OVERSTOCK01,ROOMECOM</t>
  </si>
  <si>
    <t>MP103-1106</t>
  </si>
  <si>
    <t>Manual Recliner</t>
  </si>
  <si>
    <t>Aidan</t>
  </si>
  <si>
    <t>Jetta</t>
  </si>
  <si>
    <t>Zak</t>
  </si>
  <si>
    <t>Recliner</t>
  </si>
  <si>
    <t>4/26/2021</t>
  </si>
  <si>
    <t>AMAZONDS,AMERSIGNDS,ASHFURNDS,BLK01,CSNSTORES,HDDS,KOHLDSN,LAMPDS,MACY02F,OLLIIX,OVERSTOCK01,TGTDVS</t>
  </si>
  <si>
    <t>MP103-0609</t>
  </si>
  <si>
    <t>Push Back Recliner</t>
  </si>
  <si>
    <t>PP000737</t>
  </si>
  <si>
    <t>AMAZONDS,AMERSIGNDS,ASHFURNDS,BLK01,CSNSTORES,HDDS,KIRKLANDDS,KOHLDSN,LAMPDS,MACY02F,OLLIIX,OVERSTOCK01,ROOMECOM,TGTDVS,ZOLA</t>
  </si>
  <si>
    <t>MP103-0610</t>
  </si>
  <si>
    <t>Kirby</t>
  </si>
  <si>
    <t>Oscar</t>
  </si>
  <si>
    <t>Docker</t>
  </si>
  <si>
    <t>PP000738</t>
  </si>
  <si>
    <t>AMAZONDS,AMERSIGNDS,ASHFURNDS,CSNSTORES,HDDS,KIRKLANDDS,KOHLDSN,LAMPDS,MACY02F,OLLIIX,OVERSTOCK01</t>
  </si>
  <si>
    <t>MP103-1051</t>
  </si>
  <si>
    <t>Navy Multi</t>
  </si>
  <si>
    <t>11/25/2020</t>
  </si>
  <si>
    <t>AMAZONDS,AMERSIGNDS,ASHFURNDS,CSNSTORES,HDDS,JCPENNEY01,KIRKLANDDS,KOHLDSN,LAMPDS,OLLIIX,OVERSTOCK01,ROOMECOM</t>
  </si>
  <si>
    <t>MP103-1245</t>
  </si>
  <si>
    <t>Ashton</t>
  </si>
  <si>
    <t>Upholstered Swivel Chair with Wood Base</t>
  </si>
  <si>
    <t>MP103-1246</t>
  </si>
  <si>
    <t>MP103-0985</t>
  </si>
  <si>
    <t>Brianne</t>
  </si>
  <si>
    <t>Betty</t>
  </si>
  <si>
    <t>Wide Seat Swivel Arm Chair</t>
  </si>
  <si>
    <t>AMAZONDS,AMERSIGNDS,CSNSTORES,HDDS,KIRKLANDDS,KOHLDSN,LAMPDS,MACY02F,OLLIIX,OVERSTOCK01,ROOMECOM</t>
  </si>
  <si>
    <t>MP103-0241</t>
  </si>
  <si>
    <t>PF001101</t>
  </si>
  <si>
    <t>AMAZONDS,AMERSIGNDS,CSNSTORES,HOUZZ,KOHLDSN,LAMPDS,MACY02F,OLLIIX,OVERSTOCK01,TGTDVS</t>
  </si>
  <si>
    <t>MP103-0697</t>
  </si>
  <si>
    <t>12/11/2024</t>
  </si>
  <si>
    <t>AMERSIGNDS,CASTLEGATE,CSNSTORES,HDDS,HOUZZ,KIRKLANDDS,KOHLDSN,LAMPDS,MACY02F,OLLIIX,OVERSTOCK01,TGTDVS</t>
  </si>
  <si>
    <t>MP103-1072</t>
  </si>
  <si>
    <t>Gayla</t>
  </si>
  <si>
    <t>Galva</t>
  </si>
  <si>
    <t>3/31/2021</t>
  </si>
  <si>
    <t>AMAZONDS,CSNSTORES,HOUZZ,JCPENNEY01,KIRKLANDDS,KOHLDSN,LAMPDS,MACY02F,OLLIIX,OVERSTOCK01,TGTDVS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</si>
  <si>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</si>
  <si>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</si>
  <si>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</si>
  <si>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</si>
  <si>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</si>
  <si>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</si>
  <si>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</si>
  <si>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4/27/2021</t>
  </si>
  <si>
    <t>AMAZONDS,AMERSIGNDS,ASHFURNDS,CSNSTORES,HDDS,LAMPDS,MACY02F,OLLIIX,TGTDVS</t>
  </si>
  <si>
    <t>MP103-0482</t>
  </si>
  <si>
    <t>AMERSIGNDS,ASHFURNDS,CASTLEGATE,KIRKLANDDS,KOHLDSN,LAMPDS,MACY02F,OLLIIX,OVERSTOCK01,ROOMECOM,TGTDVS</t>
  </si>
  <si>
    <t>MP103-0243</t>
  </si>
  <si>
    <t>Deanna</t>
  </si>
  <si>
    <t>Morton</t>
  </si>
  <si>
    <t>Sparta</t>
  </si>
  <si>
    <t>Upholstered Swivel Accent Chair</t>
  </si>
  <si>
    <t>PF001103</t>
  </si>
  <si>
    <t>12/22/2024</t>
  </si>
  <si>
    <t>MP103-0287</t>
  </si>
  <si>
    <t>Harris</t>
  </si>
  <si>
    <t>Lois</t>
  </si>
  <si>
    <t>Sidney</t>
  </si>
  <si>
    <t>Swivel Chair</t>
  </si>
  <si>
    <t>PF001115;PP000172</t>
  </si>
  <si>
    <t>CASTLEGATE,HDDS,HOUZZ,KOHLDSN,MACY02F,OLLIIX,OVERSTOCK01</t>
  </si>
  <si>
    <t>MP103-0702</t>
  </si>
  <si>
    <t>Chenille Swivel Chair</t>
  </si>
  <si>
    <t>Dusty Aqua</t>
  </si>
  <si>
    <t>AMERSIGNDS,CSNSTORES,HDDS,HOUZZ,KIRKLANDDS,OLLIIX,OVERSTOCK01</t>
  </si>
  <si>
    <t>MP103-0240</t>
  </si>
  <si>
    <t>PF001100;PP000172</t>
  </si>
  <si>
    <t>AMERSIGNDS,ASHFURNDS,CSNSTORES,HDDS,HOUZZ,KOHLDSN,OVERSTOCK01</t>
  </si>
  <si>
    <t>MP103-1103</t>
  </si>
  <si>
    <t>Tyler</t>
  </si>
  <si>
    <t>Memo</t>
  </si>
  <si>
    <t>Tyler Upholstered Swivel Barrel Chair with Nailheads</t>
  </si>
  <si>
    <t>2/17/2021</t>
  </si>
  <si>
    <t>AMAZONDS,AMERSIGNDS,ASHFURNDS,CSNSTORES,JCPENNEY01,KIRKLANDDS,KOHLDSN,MACY02F,OLLIIX,OVERSTOCK01,TGTDVS</t>
  </si>
  <si>
    <t>MP103-0481</t>
  </si>
  <si>
    <t>MP103-1071</t>
  </si>
  <si>
    <t>AMAZONDS,AMERSIGNDS,ASHFURNDS,CSNSTORES,HDDS,JCPENNEY01,KOHLDSN,LAMPDS,MACY02F,OLLIIX,OVERSTOCK01,TGTDVS</t>
  </si>
  <si>
    <t>MP103-0236</t>
  </si>
  <si>
    <t>Natural Multi</t>
  </si>
  <si>
    <t>PF001096;PP000273</t>
  </si>
  <si>
    <t>AMAZONDS,AMERSIGNDS,ASHFURNDS,CASTLEGATE,CSNSTORES,HDDS,JCPENNEY01,KIRKLANDDS,KOHLDSN,MACY02F,OLLIIX,OVERSTOCK01,ROOMECOM,TGTDVS</t>
  </si>
  <si>
    <t>MP103-0706</t>
  </si>
  <si>
    <t>Teal Multi</t>
  </si>
  <si>
    <t>AMAZONDS,ASHFURNDS,CASTLEGATE,CSNSTORES,HDDS,HOUZZ,KOHLDSN,MACY02F,OLLIIX,OVERSTOCK01,ROOMECOM,TGTDVS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</si>
  <si>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</si>
  <si>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</si>
  <si>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</si>
  <si>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</si>
  <si>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</si>
  <si>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</si>
  <si>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</si>
  <si>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AMERSIGNDS,ASHFURNDS,CSNSTORES,KIRKLANDDS,KOHLDSN,MACY02F,OLLIIX,OVERSTOCK01</t>
  </si>
  <si>
    <t>MP103-0602</t>
  </si>
  <si>
    <t>Augustine</t>
  </si>
  <si>
    <t>Caddy</t>
  </si>
  <si>
    <t>Bewick</t>
  </si>
  <si>
    <t>Swivel Glider Chair</t>
  </si>
  <si>
    <t>PP000730</t>
  </si>
  <si>
    <t>CSNSTORES,HOUZZ,KIRKLANDDS,LAMPDS,OLLIIX</t>
  </si>
  <si>
    <t>MP103-0937</t>
  </si>
  <si>
    <t>Justin</t>
  </si>
  <si>
    <t>Felton</t>
  </si>
  <si>
    <t>AMAZONDS,ASHFURNDS,CSNSTORES,HDDS,JCPENNEY01,KIRKLANDDS,KOHLDSN,LAMPDS,MACY02F,OLLIIX,OVERSTOCK01,TGTDVS</t>
  </si>
  <si>
    <t>MP120-1097</t>
  </si>
  <si>
    <t>Beaumont</t>
  </si>
  <si>
    <t>Beauchamp</t>
  </si>
  <si>
    <t>Blandford</t>
  </si>
  <si>
    <t>White/Natural</t>
  </si>
  <si>
    <t>3/2/2021</t>
  </si>
  <si>
    <t>AMERSIGNDS,CSNSTORES,HDDS,HOUZZ,JCPENNEY01,KIRKLANDDS,KOHLDSN,LAMPDS,MACY02F,OLLIIX,OVERSTOCK01,ROOMECOM,TGTDVS,ZOLA</t>
  </si>
  <si>
    <t>MP120-1129</t>
  </si>
  <si>
    <t>Off-White/Black</t>
  </si>
  <si>
    <t>2/4/2022</t>
  </si>
  <si>
    <t>AMAZONDS,AMERSIGNDS,ASHFURNDS,CSNSTORES,MACY02F,OLLIIX,OVERSTOCK01,ZOLA</t>
  </si>
  <si>
    <t>MP120-1063</t>
  </si>
  <si>
    <t>AMERSIGNDS,ASHFURNDS,CASTLEGATE,CSNSTORES,HDDS,JCPENNEY01,LAMPDS,MACY02F,OLLIIX,OVERSTOCK01,ROOMECOM,TGTDVS</t>
  </si>
  <si>
    <t>MP120-0094</t>
  </si>
  <si>
    <t>PF001168;PP000227</t>
  </si>
  <si>
    <t>AMAZONDS,AMERSIGNDS,ASHFURNDS,CASTLEGATE,CSNSTORES,HDDS,HOUZZ,KIRKLANDDS,KOHLDSN,LAMPDS,MACY02F,OLLIIX,OVERSTOCK01,ROOMECOM,TGTDVS</t>
  </si>
  <si>
    <t>MP120-1065</t>
  </si>
  <si>
    <t>Console</t>
  </si>
  <si>
    <t>AMAZONDS,AMERSIGNDS,ASHFURNDS,CSNSTORES,LAMPDS,MACY02F,OLLIIX,OVERSTOCK01,ROOMECOM,TGTDVS</t>
  </si>
  <si>
    <t>MP120-0096</t>
  </si>
  <si>
    <t>PF001170;PP000227</t>
  </si>
  <si>
    <t>AMAZONDS,ASHFURNDS,CSNSTORES,HOUZZ,KOHLDSN,LAMPDS,MACY02F,OLLIIX,OVERSTOCK01,ROOMECOM,TGTDVS</t>
  </si>
  <si>
    <t>MP120-1098</t>
  </si>
  <si>
    <t>End Table</t>
  </si>
  <si>
    <t>AMAZONDS,AMERSIGNDS,ASHFURNDS,CSNSTORES,JCPENNEY01,KOHLDSN,LAMPDS,MACY02F,OLLIIX,OVERSTOCK01,TGTDVS</t>
  </si>
  <si>
    <t>MP120-1064</t>
  </si>
  <si>
    <t>AMAZONDS,AMERSIGNDS,ASHFURNDS,CSNSTORES,KOHLDSN,MACY02F,NRTPORT,OLLIIX,OVERSTOCK01,ROOMECOM</t>
  </si>
  <si>
    <t>MP120-0095</t>
  </si>
  <si>
    <t>PF001169;PP000227</t>
  </si>
  <si>
    <t>AMAZON,AMAZONDS,AMERSIGNDS,ASHFURNDS,CASTLEGATE,CSNSTORES,HDDS,HOUZZ,KIRKLANDDS,KOHLDSN,LAMPDS,MACY02F,OLLIIX,OVERSTOCK01,ROOMECOM,TGTDVS</t>
  </si>
  <si>
    <t>MP101-1214</t>
  </si>
  <si>
    <t>OTTOMAN</t>
  </si>
  <si>
    <t>Cocktail Ottoman</t>
  </si>
  <si>
    <t>Harriet</t>
  </si>
  <si>
    <t>Madrona</t>
  </si>
  <si>
    <t>Loring</t>
  </si>
  <si>
    <t>Upholstered Round Cocktail Ottoman with Metal Base 34" Dia</t>
  </si>
  <si>
    <t>1/3/2023</t>
  </si>
  <si>
    <t>ASHFURNDS,CSNSTORES,HDDS,KIRKLANDDS,KOHLDSN,OLLIIX,OVERSTOCK01,TGTDVS</t>
  </si>
  <si>
    <t>FPF18-0200</t>
  </si>
  <si>
    <t>Lindsey</t>
  </si>
  <si>
    <t>Kylie</t>
  </si>
  <si>
    <t>Tufted Square Cocktail Ottoman</t>
  </si>
  <si>
    <t>PF000637;PP000193</t>
  </si>
  <si>
    <t>AMAZONDS,AMERSIGNDS,CASTLEGATE,CSNSTORES,MACY02F,OLLIIX,OVERSTOCK01,ROOMECOM,TGTDVS</t>
  </si>
  <si>
    <t>MP101-1002</t>
  </si>
  <si>
    <t>Ottoman</t>
  </si>
  <si>
    <t>Della</t>
  </si>
  <si>
    <t>Lucas</t>
  </si>
  <si>
    <t>Isaac</t>
  </si>
  <si>
    <t>Soft Close Storage Ottoman</t>
  </si>
  <si>
    <t>9/1/2020</t>
  </si>
  <si>
    <t>3/13/2025</t>
  </si>
  <si>
    <t>AMAZONDS,AMERSIGNDS,CSNSTORES,HOUZZ,KIRKLANDDS,KOHLDSN,LAMPDS,MACY02F,OLLIIX,OVERSTOCK01,ROOMECOM,TGTDVS</t>
  </si>
  <si>
    <t>FPF18-0255</t>
  </si>
  <si>
    <t>PF000679;PP000088</t>
  </si>
  <si>
    <t>AMERSIGNDS,BLK01,CSNSTORES,HDDS,KIRKLANDDS,KOHLDSN,LAMPDS,MACY02F,OLLIIX,OVERSTOCK01,TGTDVS,ZOLA</t>
  </si>
  <si>
    <t>MP101-0199</t>
  </si>
  <si>
    <t>Ferris</t>
  </si>
  <si>
    <t>Aberdeen</t>
  </si>
  <si>
    <t>Oval Ottoman</t>
  </si>
  <si>
    <t>PF001087</t>
  </si>
  <si>
    <t>CASTLEGATE,CSNSTORES,KIRKLANDDS,MACY02F,OLLIIX,OVERSTOCK01,ZOLA</t>
  </si>
  <si>
    <t>MP101-0712</t>
  </si>
  <si>
    <t>CASTLEGATE,CSNSTORES,DESINC,HDDS,KIRKLANDDS,LAMPDS,MACY02F,OLLIIX,OVERSTOCK01,ZOLA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</si>
  <si>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</si>
  <si>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</si>
  <si>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</si>
  <si>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</si>
  <si>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</si>
  <si>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</si>
  <si>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</si>
  <si>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</si>
  <si>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AMERSIGNDS,CSNSTORES,HDDS,JCPENNEY01,LAMPDS,OLLIIX,OVERSTOCK01,ZOLA</t>
  </si>
  <si>
    <t>MPS130-0299</t>
  </si>
  <si>
    <t>2 Drawer Accent Chest</t>
  </si>
  <si>
    <t>Antique Cream</t>
  </si>
  <si>
    <t>8/20/2021</t>
  </si>
  <si>
    <t>CSNSTORES,KIRKLANDDS,KOHLDSN,LAMPDS,MACY02F,OLLIIX,OVERSTOCK01</t>
  </si>
  <si>
    <t>MPS130-0293</t>
  </si>
  <si>
    <t>Morocco Brown</t>
  </si>
  <si>
    <t>9/15/2020</t>
  </si>
  <si>
    <t>AMAZONDS,AMERSIGNDS,BLK01,CSNSTORES,JCPENNEY01,KIRKLANDDS,KOHLDSN,MACY02F,NRTPORT,OLLIIX,OVERSTOCK01</t>
  </si>
  <si>
    <t>MPS130-0306</t>
  </si>
  <si>
    <t>MPS135-0049</t>
  </si>
  <si>
    <t>BAR CART</t>
  </si>
  <si>
    <t>Bar Cart</t>
  </si>
  <si>
    <t>Antique Gold</t>
  </si>
  <si>
    <t>PF000513;PP000303</t>
  </si>
  <si>
    <t>AMERSIGNDS,CSNSTORES,HOUZZ,KOHLDSN,LAMPDS,MACY02F,OLLIIX,OVERSTOCK01,TGTDVS,ZOLA</t>
  </si>
  <si>
    <t>MPS115-0287</t>
  </si>
  <si>
    <t>9/25/2020</t>
  </si>
  <si>
    <t>11/10/2024</t>
  </si>
  <si>
    <t>MPS115-0058</t>
  </si>
  <si>
    <t>PP000288</t>
  </si>
  <si>
    <t>MPS115-0304</t>
  </si>
  <si>
    <t>MPS115-0308</t>
  </si>
  <si>
    <t>CSNSTORES,OLLIIX</t>
  </si>
  <si>
    <t>MPS108-0152</t>
  </si>
  <si>
    <t>Hutton</t>
  </si>
  <si>
    <t>Dining Side Chair (set of 2)</t>
  </si>
  <si>
    <t>CSNSTORES,HDDS,HOUZZ,KOHLDSN,MACY02F,OLLIIX,OVERSTOCK01,TGTDVS</t>
  </si>
  <si>
    <t>MPS100-0042</t>
  </si>
  <si>
    <t>Marie</t>
  </si>
  <si>
    <t>Beige/Light Natural</t>
  </si>
  <si>
    <t>PF001222;PP000305</t>
  </si>
  <si>
    <t>AMERSIGNDS,CSNSTORES,HDDS,JCPENNEY01,KIRKLANDDS,KOHLDSN,MACY02F,OLLIIX,OVERSTOCK01,TGTDVS</t>
  </si>
  <si>
    <t>MPS108-0302</t>
  </si>
  <si>
    <t>Ultra</t>
  </si>
  <si>
    <t>Set of 2</t>
  </si>
  <si>
    <t>CSNSTORES,HDDS,KIRKLANDDS,KOHLDSN,LAMPDS,MACY02F,OLLIIX,OVERSTOCK01,TGTDVS</t>
  </si>
  <si>
    <t>MPS108-0286</t>
  </si>
  <si>
    <t>MPS108-0156</t>
  </si>
  <si>
    <t>10/23/2017</t>
  </si>
  <si>
    <t>2/15/2025</t>
  </si>
  <si>
    <t>AMAZONDS,AMERSIGNDS,BLK01,CASTLEGATE,CSNSTORES,HOUZZ,KIRKLANDDS,KOHLDSN,LAMPDS,MACY02F,OLLIIX,OVERSTOCK01</t>
  </si>
  <si>
    <t>MPS108-0296</t>
  </si>
  <si>
    <t>Light Green Multi</t>
  </si>
  <si>
    <t>12/31/2020</t>
  </si>
  <si>
    <t>CSNSTORES,HDDS,KIRKLANDDS,KOHLDSN,MACY02F,OVERSTOCK01</t>
  </si>
  <si>
    <t>MPS121-0295</t>
  </si>
  <si>
    <t>Helena</t>
  </si>
  <si>
    <t>Round Dining Table</t>
  </si>
  <si>
    <t>CASTLEGATE,CSNSTORES,HDDS,HOUZZ,KIRKLANDDS,KOHLDSN,LAMPDS,OLLIIX,TGTDVS</t>
  </si>
  <si>
    <t>MPS121-0113</t>
  </si>
  <si>
    <t>PF001280;PP000300</t>
  </si>
  <si>
    <t>AMERSIGNDS,CSNSTORES,HDDS,HOUZZ,KIRKLANDDS,KOHLDSN,LAMPDS,OLLIIX,TGTDVS</t>
  </si>
  <si>
    <t>MPS137-0004</t>
  </si>
  <si>
    <t>DRESSER/CHEST</t>
  </si>
  <si>
    <t>Dresser</t>
  </si>
  <si>
    <t>Small Dresser</t>
  </si>
  <si>
    <t>Light Natural</t>
  </si>
  <si>
    <t>PF001290;PP000311</t>
  </si>
  <si>
    <t>AMERSIGNDS,CSNSTORES,HDDS,HOUZZ,KIRKLANDDS,KOHLDSN,LAMPDS,OLLIIX,ROOMECOM</t>
  </si>
  <si>
    <t>MPS136-0288</t>
  </si>
  <si>
    <t>AMERSIGNDS,CSNSTORES,HDDS,JCPENNEY01,KIRKLANDDS,KOHLDSN,LAMPDS,MACY02F,OLLIIX,OVERSTOCK01,ROOMECOM,TGTDVS</t>
  </si>
  <si>
    <t>MPS136-0060</t>
  </si>
  <si>
    <t>PF001288;PP000288</t>
  </si>
  <si>
    <t>AMERSIGNDS,CSNSTORES,HDDS,KOHLDSN,LAMPDS,MACY02F,OLLIIX,OVERSTOCK01,TGTDVS</t>
  </si>
  <si>
    <t>MPS136-0305</t>
  </si>
  <si>
    <t>MPS136-0181</t>
  </si>
  <si>
    <t>Bedside Table</t>
  </si>
  <si>
    <t>1/10/2018</t>
  </si>
  <si>
    <t>BLK01,CSNSTORES,HDDS,KOHLDSN,LAMPDS,MACY02F,OLLIIX,OVERSTOCK01,TGTDVS</t>
  </si>
  <si>
    <t>MPS136-0003</t>
  </si>
  <si>
    <t>PF001286;PP000311</t>
  </si>
  <si>
    <t>CSNSTORES,HDDS,HOUZZ,KIRKLANDDS,KOHLDSN,LAMPDS,MACY02F,OLLIIX,OVERSTOCK01,TGTDVS</t>
  </si>
  <si>
    <t>MPS120-0123</t>
  </si>
  <si>
    <t>Bordeaux</t>
  </si>
  <si>
    <t>White/Gold</t>
  </si>
  <si>
    <t>PF000504;PP000290</t>
  </si>
  <si>
    <t>AMERSIGNDS,ASHFURNDS,CSNSTORES,KOHLDSN,MACY02F,OLLIIX,ROOMECOM,TGTDVS</t>
  </si>
  <si>
    <t>MPS120-0050</t>
  </si>
  <si>
    <t>Rectangle Coffee Table</t>
  </si>
  <si>
    <t>PF000486;PP000307</t>
  </si>
  <si>
    <t>ASHFURNDS,CSNSTORES,HDDS,KIRKLANDDS,KOHLDSN,LAMPDS,OLLIIX,OVERSTOCK01,ROOMECOM,TGTDVS</t>
  </si>
  <si>
    <t>MPS120-0125</t>
  </si>
  <si>
    <t>PF000506;PP000290</t>
  </si>
  <si>
    <t>AMERSIGNDS,ASHFURNDS,CSNSTORES,KOHLDSN,LAMPDS,MACY02F,OLLIIX,OVERSTOCK01,ROOMECOM,TGTDVS</t>
  </si>
  <si>
    <t>MPS120-0124</t>
  </si>
  <si>
    <t>PF000505;PP000290</t>
  </si>
  <si>
    <t>AMERSIGNDS,CSNSTORES,HOUZZ,KOHLDSN,MACY02F,OLLIIX,OVERSTOCK01,ROOMECOM</t>
  </si>
  <si>
    <t>MT105-0159</t>
  </si>
  <si>
    <t>6/9/2023</t>
  </si>
  <si>
    <t>AMAZONDS,CSNSTORES,HOUZZ,MACY02F,OLLIIX,OVERSTOCK01,TGTDVS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</si>
  <si>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</si>
  <si>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</si>
  <si>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</si>
  <si>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</si>
  <si>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</t>
  </si>
  <si>
    <t>MT100-0155</t>
  </si>
  <si>
    <t>Arm Accent Chair</t>
  </si>
  <si>
    <t>7/14/2022</t>
  </si>
  <si>
    <t>AMAZONDS,ASHFURNDS,CSNSTORES,MACY02F,OLLIIX,TGTDVS</t>
  </si>
  <si>
    <t>MT100-0053</t>
  </si>
  <si>
    <t>PP001261</t>
  </si>
  <si>
    <t>AMAZONDS,ASHFURNDS,CSNSTORES,JCPENNEY01,LAMPDS,MACY02F,OLLIIX,OVERSTOCK01</t>
  </si>
  <si>
    <t>MT100-0001</t>
  </si>
  <si>
    <t>Decker</t>
  </si>
  <si>
    <t>Accent Armchair</t>
  </si>
  <si>
    <t>PP001268</t>
  </si>
  <si>
    <t>CSNSTORES,KIRKLANDDS,LAMPDS,MACY02F,OLLIIX,OVERSTOCK01,ROOMECOM,ZOLA</t>
  </si>
  <si>
    <t>MT100-0106</t>
  </si>
  <si>
    <t>8/29/2020</t>
  </si>
  <si>
    <t>AMAZONDS,CSNSTORES,KIRKLANDDS,KOHLDSN,MACY02F,OLLIIX,OVERSTOCK01</t>
  </si>
  <si>
    <t>MT100-1190</t>
  </si>
  <si>
    <t>Fayette</t>
  </si>
  <si>
    <t>Tufted Accent Arm Chair</t>
  </si>
  <si>
    <t>10/21/2023</t>
  </si>
  <si>
    <t>AMAZONDS,CSNSTORES,KIRKLANDDS,MACY02F,OLLIIX,OVERSTOCK01</t>
  </si>
  <si>
    <t>MT100-0018</t>
  </si>
  <si>
    <t>PP001282</t>
  </si>
  <si>
    <t>7/31/2019</t>
  </si>
  <si>
    <t>AMAZON,AMAZONDS,ASHFURNDS,CSNSTORES,HOUZZ,KIRKLANDDS,KOHLDSN,MACY02F,OLLIIX,OVERSTOCK01,ROOMECOM,TGTDVS,ZOLA</t>
  </si>
  <si>
    <t>MT100-0136</t>
  </si>
  <si>
    <t>12/29/2020</t>
  </si>
  <si>
    <t>AMAZONDS,ASHFURNDS,CSNSTORES,KOHLDSN,MACY02F,OLLIIX,OVERSTOCK01</t>
  </si>
  <si>
    <t>MT100-0123</t>
  </si>
  <si>
    <t>Jayco</t>
  </si>
  <si>
    <t>AMAZONDS,ASHFURNDS,CSNSTORES,HOUZZ,JCPENNEY01,KOHLDSN,MACY02F,OLLIIX,OVERSTOCK01,ROOMECOM,TGTDVS</t>
  </si>
  <si>
    <t>MT100-1203</t>
  </si>
  <si>
    <t>Cane Accent Chair with Removable Back Cushion</t>
  </si>
  <si>
    <t>AMAZONDS,CSNSTORES,OLLIIX,OVERSTOCK01</t>
  </si>
  <si>
    <t>MT100-1204</t>
  </si>
  <si>
    <t>Philippe</t>
  </si>
  <si>
    <t>Morocco Brown/Taupe</t>
  </si>
  <si>
    <t>AMAZONDS,CSNSTORES,OLLIIX</t>
  </si>
  <si>
    <t>MT100-0176</t>
  </si>
  <si>
    <t>Whitney</t>
  </si>
  <si>
    <t>AMAZONDS,CSNSTORES,MACY02F,OLLIIX,OVERSTOCK01</t>
  </si>
  <si>
    <t>MT130-1212</t>
  </si>
  <si>
    <t>Ayanna</t>
  </si>
  <si>
    <t>Accent Cabinet with Lower Shelf</t>
  </si>
  <si>
    <t>Reclaimed Wheat</t>
  </si>
  <si>
    <t>CSNSTORES,JCPENNEY01,OLLIIX,OVERSTOCK01</t>
  </si>
  <si>
    <t>MT130-1211</t>
  </si>
  <si>
    <t>Salina</t>
  </si>
  <si>
    <t>Woven Cane Accent Cabinet</t>
  </si>
  <si>
    <t>Toasted Almond</t>
  </si>
  <si>
    <t>4/10/2024</t>
  </si>
  <si>
    <t>MT104-0141</t>
  </si>
  <si>
    <t>25" Upholstered Counter Stool</t>
  </si>
  <si>
    <t>5/17/2022</t>
  </si>
  <si>
    <t>AMAZONDS,CSNSTORES,JCPENNEY01,KOHLDSN,MACY02F,OLLIIX,OVERSTOCK01,TGTDVS</t>
  </si>
  <si>
    <t>MT104-0169</t>
  </si>
  <si>
    <t>Playa</t>
  </si>
  <si>
    <t>Handcrafted Rattan Counter Stool 25" H</t>
  </si>
  <si>
    <t>2/23/2023</t>
  </si>
  <si>
    <t>AMAZONDS,CSNSTORES,HOUZZ,KOHLDSN,MACY02F,OLLIIX,OVERSTOCK01,TGTDVS</t>
  </si>
  <si>
    <t>MT104-1194</t>
  </si>
  <si>
    <t>Natural Whitewash</t>
  </si>
  <si>
    <t>11/16/2023</t>
  </si>
  <si>
    <t>MT115-1206</t>
  </si>
  <si>
    <t>Kenna</t>
  </si>
  <si>
    <t>Dark Coffee</t>
  </si>
  <si>
    <t>MT115-1210</t>
  </si>
  <si>
    <t>Woven Cane Queen Platform Bed</t>
  </si>
  <si>
    <t>11/17/2024</t>
  </si>
  <si>
    <t>AMAZONDS,CSNSTORES,OLLIIX,OVERSTOCK01,ROOMECOM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</si>
  <si>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</si>
  <si>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</si>
  <si>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</si>
  <si>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</si>
  <si>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</si>
  <si>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</si>
  <si>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</si>
  <si>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</si>
  <si>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AMAZONDS,CSNSTORES,KOHLDSN,MACY02F,OLLIIX,OVERSTOCK01</t>
  </si>
  <si>
    <t>MT108-0093</t>
  </si>
  <si>
    <t>Holls</t>
  </si>
  <si>
    <t>3/24/2020</t>
  </si>
  <si>
    <t>MT108-0154</t>
  </si>
  <si>
    <t>Upholstered Dining chair Set of 2</t>
  </si>
  <si>
    <t>5/18/2022</t>
  </si>
  <si>
    <t>MT108-0079</t>
  </si>
  <si>
    <t>MT121-1195</t>
  </si>
  <si>
    <t>Parsons Dining Table</t>
  </si>
  <si>
    <t>1/9/2024</t>
  </si>
  <si>
    <t>AMAZONDS,CSNSTORES,OLLIIX,OVERSTOCK01,TGTDVS</t>
  </si>
  <si>
    <t>MT106-1205</t>
  </si>
  <si>
    <t>AMAZONDS,CSNSTORES,OLLIIX,ROOMECOM</t>
  </si>
  <si>
    <t>MT103-0132</t>
  </si>
  <si>
    <t>2/12/2021</t>
  </si>
  <si>
    <t>AMAZONDS,CSNSTORES,KIRKLANDDS,KOHLDSN,MACY02F,OLLIIX,OVERSTOCK01,TGTDVS</t>
  </si>
  <si>
    <t>MT103-1208</t>
  </si>
  <si>
    <t>Swivel Armchair</t>
  </si>
  <si>
    <t>MT103-1199</t>
  </si>
  <si>
    <t>London</t>
  </si>
  <si>
    <t>London Upholstered Skirted Swivel Armchair with Lumbar Pillow</t>
  </si>
  <si>
    <t>Beige Multi</t>
  </si>
  <si>
    <t>1/16/2024</t>
  </si>
  <si>
    <t>MT103-1196</t>
  </si>
  <si>
    <t>AMAZONDS,CSNSTORES,KOHLDSN,OVERSTOCK01,TGTDVS</t>
  </si>
  <si>
    <t>MT103-0170</t>
  </si>
  <si>
    <t>12/14/2022</t>
  </si>
  <si>
    <t>AMAZONDS,CASTLEGATE,CSNSTORES,KOHLDSN,OLLIIX,OVERSTOCK01,TGTDVS</t>
  </si>
  <si>
    <t>MT103-1198</t>
  </si>
  <si>
    <t>Tan Multi</t>
  </si>
  <si>
    <t>12/1/2023</t>
  </si>
  <si>
    <t>MT136-1207</t>
  </si>
  <si>
    <t>MT136-1209</t>
  </si>
  <si>
    <t>Woven Cane Nightstand</t>
  </si>
  <si>
    <t>AMAZONDS,CSNSTORES,DESINC,OLLIIX,OVERSTOCK01</t>
  </si>
  <si>
    <t>MT120-0129</t>
  </si>
  <si>
    <t>Belden</t>
  </si>
  <si>
    <t>Castered Coffee Table</t>
  </si>
  <si>
    <t>3/22/2021</t>
  </si>
  <si>
    <t>CSNSTORES,JCPENNEY01,KIRKLANDDS,KOHLDSN,LAMPDS,OLLIIX,OVERSTOCK01,TGTDVS</t>
  </si>
  <si>
    <t>MT120-1202</t>
  </si>
  <si>
    <t>3/21/2024</t>
  </si>
  <si>
    <t>AMAZONDS,CSNSTORES,KOHLDSN,LAMPDS,OLLIIX,OVERSTOCK01</t>
  </si>
  <si>
    <t>MT120-0150</t>
  </si>
  <si>
    <t>Sadie</t>
  </si>
  <si>
    <t>Round Coffee table</t>
  </si>
  <si>
    <t>2/17/2022</t>
  </si>
  <si>
    <t>AMAZONDS,CSNSTORES,JCPENNEY01,KIRKLANDDS,KOHLDSN,MACY02F,OLLIIX,OVERSTOCK01,TGTDVS,ZOLA</t>
  </si>
  <si>
    <t>MT120-1193</t>
  </si>
  <si>
    <t>Crestview</t>
  </si>
  <si>
    <t>Storage Console Table 36"W</t>
  </si>
  <si>
    <t>36"W x 14"D x 32"H</t>
  </si>
  <si>
    <t>AMAZONDS,CSNSTORES,KOHLDSN,OLLIIX,OVERSTOCK01</t>
  </si>
  <si>
    <t>MT120-0167</t>
  </si>
  <si>
    <t>Storage Console Table 31"W</t>
  </si>
  <si>
    <t>31"W x 14"D x 30"H</t>
  </si>
  <si>
    <t>AMAZONDS,CSNSTORES,DESINC,KIRKLANDDS,KOHLDSN,LAMPDS,MACY02F,OLLIIX,OVERSTOCK01,TGTDVS</t>
  </si>
  <si>
    <t>MT120-1191</t>
  </si>
  <si>
    <t>Fluted 2-drawer Storage Console Table</t>
  </si>
  <si>
    <t>10/28/2023</t>
  </si>
  <si>
    <t>AMAZONDS,CSNSTORES,MACY02F,OLLIIX,OVERSTOCK01,TGTDVS,ZOLA</t>
  </si>
  <si>
    <t>MT120-1201</t>
  </si>
  <si>
    <t>2 Door Storage Console Table</t>
  </si>
  <si>
    <t>2/23/2024</t>
  </si>
  <si>
    <t>AMAZONDS,CSNSTORES,KIRKLANDDS,OLLIIX,OVERSTOCK01</t>
  </si>
  <si>
    <t>MT120-0023</t>
  </si>
  <si>
    <t>Fatima</t>
  </si>
  <si>
    <t>Round Accent Table</t>
  </si>
  <si>
    <t>PP001286</t>
  </si>
  <si>
    <t>AMAZON,AMAZONDS,CSNSTORES,KIRKLANDDS,KOHLDSN,LAMPDS,MACY02F,OLLIIX,OVERSTOCK01,TGTDVS</t>
  </si>
  <si>
    <t>MT120-0024</t>
  </si>
  <si>
    <t>Harley</t>
  </si>
  <si>
    <t>PP001287</t>
  </si>
  <si>
    <t>AMAZONDS,CSNSTORES,KIRKLANDDS,KOHLDSN,LAMPDS,MACY02F,OLLIIX,OVERSTOCK01,ROOMECOM,TGTDVS,ZOLA</t>
  </si>
  <si>
    <t>MT101-0135</t>
  </si>
  <si>
    <t>Cedric</t>
  </si>
  <si>
    <t>Accent Ottoman</t>
  </si>
  <si>
    <t>2/1/2021</t>
  </si>
  <si>
    <t>AMAZONDS,CSNSTORES,JCPENNEY01,KIRKLANDDS,MACY02F,OLLIIX,OVERSTOCK01,TGTDVS</t>
  </si>
  <si>
    <t>MT101-0011</t>
  </si>
  <si>
    <t>PP001277</t>
  </si>
  <si>
    <t>AMAZON,AMAZONDS,CSNSTORES,HOUZZ,JCPENNEY01,OLLIIX,OVERSTOCK01,ROOMECOM,ZOLA</t>
  </si>
  <si>
    <t>MT101-0013</t>
  </si>
  <si>
    <t>Ellen</t>
  </si>
  <si>
    <t>PP001279</t>
  </si>
  <si>
    <t>6/22/2019</t>
  </si>
  <si>
    <t>AMAZONDS,CSNSTORES,HOUZZ,JCPENNEY01,KOHLDSN,MACY02F,OLLIIX,OVERSTOCK01,TGTDVS,ZOLA</t>
  </si>
  <si>
    <t>MT101-0146</t>
  </si>
  <si>
    <t>Terri</t>
  </si>
  <si>
    <t>Skirted Tufted 32" Round Ottoman</t>
  </si>
  <si>
    <t>1/19/2022</t>
  </si>
  <si>
    <t>AMAZONDS,BLK01,CSNSTORES,KOHLDSN,OLLIIX,OVERSTOCK01,TGTDVS</t>
  </si>
  <si>
    <t>MT101-0179</t>
  </si>
  <si>
    <t>FB154-1164</t>
  </si>
  <si>
    <t>LGT</t>
  </si>
  <si>
    <t>LGT-FLOOR LAMPS</t>
  </si>
  <si>
    <t>Floor Lamps</t>
  </si>
  <si>
    <t>Aster</t>
  </si>
  <si>
    <t>Angular Arched Metal Floor Lamp</t>
  </si>
  <si>
    <t>AMAZON,AMAZONDS,AMERSIGNDS,CSNSTORES,HDDS,JCPENNEY01,KIRKLANDDS,KOHLDSN,OLLIIX,OVERSTOCK01,ROOMECOM,TGTDVS,ZOLA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</si>
  <si>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</si>
  <si>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</si>
  <si>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</si>
  <si>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</si>
  <si>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</si>
  <si>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</si>
  <si>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AMERSIGNDS,CSNSTORES,JCPENNEY01,OLLIIX,OVERSTOCK01,ROOMECOM</t>
  </si>
  <si>
    <t>MP153-0204</t>
  </si>
  <si>
    <t>LGT-TABLE LAMPS</t>
  </si>
  <si>
    <t>Table Task Lamps</t>
  </si>
  <si>
    <t>Geometric Glass Table Lamp</t>
  </si>
  <si>
    <t>10/3/2019</t>
  </si>
  <si>
    <t>AMAZONDS,AMERSIGNDS,CSNSTORES,DESINC,HOUZZ,JCPENNEY01,KIRKLANDDS,KOHLDSN,MACY02,OLLIIX,OVERSTOCK01,ROOMECOM,TGTDVS</t>
  </si>
  <si>
    <t>UH153-0057</t>
  </si>
  <si>
    <t>Borel</t>
  </si>
  <si>
    <t>Ombre Glass Table Lamp</t>
  </si>
  <si>
    <t>AMERSIGNDS,CSNSTORES,HDDS,HOUZZ,JCPENNEY01,KOHLDSN,MACY02,OLLIIX,OVERSTOCK01,ROOMECOM,TGTDVS</t>
  </si>
  <si>
    <t>UH153-0099</t>
  </si>
  <si>
    <t>1/19/2021</t>
  </si>
  <si>
    <t>AMAZON,AMERSIGNDS,ASHFURNDS,CSNSTORES,HDDS,JCPENNEY01,KIRKLANDDS,KOHLDSN,OLLIIX,OVERSTOCK01,ROOMECOM,TGTDVS</t>
  </si>
  <si>
    <t>FB153-1158</t>
  </si>
  <si>
    <t>Celine</t>
  </si>
  <si>
    <t>Textured Ceramic Table Lamp</t>
  </si>
  <si>
    <t>10/18/2021</t>
  </si>
  <si>
    <t>CSNSTORES,JCPENNEY01,KOHLDSN,OLLIIX,OVERSTOCK01,ROOMECOM,TGTDVS</t>
  </si>
  <si>
    <t>5DS153-0053</t>
  </si>
  <si>
    <t>Chique</t>
  </si>
  <si>
    <t>Tap-Control and Dimmable Accent Table Lamp with Power Outlet</t>
  </si>
  <si>
    <t>CSNSTORES,DESINC,KOHLDSN,OLLIIX,OVERSTOCK01</t>
  </si>
  <si>
    <t>5DS153-1157</t>
  </si>
  <si>
    <t>Clarity</t>
  </si>
  <si>
    <t>Glass Cylinder Table Lamp Set of 2</t>
  </si>
  <si>
    <t>2/6/2021</t>
  </si>
  <si>
    <t>5DS153-0001</t>
  </si>
  <si>
    <t>AMERSIGNDS,CSNSTORES,HDDS,JCPENNEY01,KOHLDSN,OLLIIX,OVERSTOCK01,ROOMECOM,TGTDVS</t>
  </si>
  <si>
    <t>5DS153-0031</t>
  </si>
  <si>
    <t>Cortina</t>
  </si>
  <si>
    <t>Ombre Glass Table Lamp, Set of 2</t>
  </si>
  <si>
    <t>11/12/2018</t>
  </si>
  <si>
    <t>AMAZON,AMAZONDS,AMERSIGNDS,CSNSTORES,HDDS,HOUZZ,JCPENNEY01,KIRKLANDDS,KOHLDSN,OLLIIX,OVERSTOCK01,ROOMECOM,TGTDVS</t>
  </si>
  <si>
    <t>5DS153-0008</t>
  </si>
  <si>
    <t>Covey</t>
  </si>
  <si>
    <t>Curved Glass Table Lamp, Set of 2</t>
  </si>
  <si>
    <t>AMERSIGNDS,CSNSTORES,HOUZZ,JCPENNEY01,KIRKLANDDS,KOHLDSN,MACY02,NRTPORT,OLLIIX,OVERSTOCK01,ROOMECOM,TGTDVS</t>
  </si>
  <si>
    <t>5DS153-0029</t>
  </si>
  <si>
    <t>Driggs</t>
  </si>
  <si>
    <t>Ceramic Textured Table Lamp</t>
  </si>
  <si>
    <t>Ivory/Grey</t>
  </si>
  <si>
    <t>AMERSIGNDS,CSNSTORES,DESINC,HDDS,HOUZZ,JCPENNEY01,KIRKLANDDS,KOHLDSN,OLLIIX,OVERSTOCK01,ROOMECOM,TGTDVS</t>
  </si>
  <si>
    <t>5DS153-0018</t>
  </si>
  <si>
    <t>AMERSIGNDS,CSNSTORES,DESINC,JCPENNEY01,KIRKLANDDS,OLLIIX,OVERSTOCK01,ROOMECOM,TGTDVS</t>
  </si>
  <si>
    <t>5DS153-0014</t>
  </si>
  <si>
    <t>AMERSIGNDS,CSNSTORES,DESINC,HDDS,HOUZZ,JCPENNEY01,KIRKLANDDS,KOHLDSN,MACY02,NRTPORT,OLLIIX,OVERSTOCK01,ROOMECOM,TGTDVS</t>
  </si>
  <si>
    <t>5DS153-0019</t>
  </si>
  <si>
    <t>AMERSIGNDS,CSNSTORES,JCPENNEY01,KIRKLANDDS,OLLIIX,OVERSTOCK01,ROOMECOM,TGTDVS</t>
  </si>
  <si>
    <t>5DS153-0020</t>
  </si>
  <si>
    <t>AMERSIGNDS,CSNSTORES,JCPENNEY01,KOHLDSN,OLLIIX,OVERSTOCK01,ROOMECOM,TGTDVS</t>
  </si>
  <si>
    <t>5DS153-0030</t>
  </si>
  <si>
    <t>Gypsy</t>
  </si>
  <si>
    <t>Embossed Boho Table Lamp</t>
  </si>
  <si>
    <t>12/7/2018</t>
  </si>
  <si>
    <t>AMAZONDS,AMERSIGNDS,CSNSTORES,JCPENNEY01,KIRKLANDDS,KOHLDSN,OLLIIX,OVERSTOCK01,ROOMECOM,TGTDVS</t>
  </si>
  <si>
    <t>5DS153-0021</t>
  </si>
  <si>
    <t>Angular Glass Table Lamp, Set of 2</t>
  </si>
  <si>
    <t>10/17/2018</t>
  </si>
  <si>
    <t>AMERSIGNDS,CSNSTORES,JCPENNEY01,KIRKLANDDS,KOHLDSN,OLLIIX,OVERSTOCK01,ROOMECOM,TGTDVS</t>
  </si>
  <si>
    <t>5DS153-0047</t>
  </si>
  <si>
    <t>Liora</t>
  </si>
  <si>
    <t>2-Tone Ceramic Table Lamp Set of 2</t>
  </si>
  <si>
    <t>Sage Green/Gold</t>
  </si>
  <si>
    <t>1/21/2024</t>
  </si>
  <si>
    <t>5DS153-0048</t>
  </si>
  <si>
    <t>White/Silver</t>
  </si>
  <si>
    <t>AMERSIGNDS,CSNSTORES,JCPENNEY01,KOHLDSN,NRTPORT,OLLIIX,ROOMECOM</t>
  </si>
  <si>
    <t>FB153-1189</t>
  </si>
  <si>
    <t>Lysandria</t>
  </si>
  <si>
    <t>Glass Table Lamp</t>
  </si>
  <si>
    <t>5DS153-0039</t>
  </si>
  <si>
    <t>Macey</t>
  </si>
  <si>
    <t>Geometric Ceramic Table Lamp</t>
  </si>
  <si>
    <t>AMERSIGNDS,CSNSTORES,HDDS,JCPENNEY01,KOHLDSN,MACY02,OLLIIX,OVERSTOCK01,ROOMECOM,TGTDVS</t>
  </si>
  <si>
    <t>FB153-1181</t>
  </si>
  <si>
    <t>Maelle</t>
  </si>
  <si>
    <t>Blue Aqua Swirl Blown Glass Table Lamp</t>
  </si>
  <si>
    <t>CSNSTORES,HDDS,KOHLDSN,MACY02,OLLIIX,OVERSTOCK01</t>
  </si>
  <si>
    <t>5DS153-0052</t>
  </si>
  <si>
    <t>Neonova</t>
  </si>
  <si>
    <t>5DS153-0051</t>
  </si>
  <si>
    <t>1/2/2025</t>
  </si>
  <si>
    <t>5DS153-0037</t>
  </si>
  <si>
    <t>Nicolo</t>
  </si>
  <si>
    <t>AMERSIGNDS,HDDS,JCPENNEY01,KOHLDSN,OLLIIX,OVERSTOCK01,ROOMECOM,TGTDVS</t>
  </si>
  <si>
    <t>5DS153-0017</t>
  </si>
  <si>
    <t>Saxony</t>
  </si>
  <si>
    <t>Metallic Glass Table Lamp</t>
  </si>
  <si>
    <t>9/26/2018</t>
  </si>
  <si>
    <t>AMERSIGNDS,CSNSTORES,HDDS,HOUZZ,KIRKLANDDS,KOHLDSN,OLLIIX,OVERSTOCK01,ROOMECOM,TGTDVS</t>
  </si>
  <si>
    <t>FB153-1187</t>
  </si>
  <si>
    <t>Zazie</t>
  </si>
  <si>
    <t>Ceramic Genie Table Lamp</t>
  </si>
  <si>
    <t>CSNSTORES,KIRKLANDDS,KOHLDSN,OLLIIX,TGTDVS</t>
  </si>
  <si>
    <t>FB153-1186</t>
  </si>
  <si>
    <t>CSNSTORES,HDDS,KOHLDSN,OLLIIX,OVERSTOCK01,TGTDVS</t>
  </si>
  <si>
    <t>FB153-1185</t>
  </si>
  <si>
    <t>KIRKLANDDS,OLLIIX,TGTDVS</t>
  </si>
  <si>
    <t>FB153-1182</t>
  </si>
  <si>
    <t>Zirconia</t>
  </si>
  <si>
    <t>Faceted Blue Glass Table Lamp</t>
  </si>
  <si>
    <t>CSNSTORES,JCPENNEY01,KIRKLANDDS,KOHLDSN,NRTPORT,OLLIIX,OVERSTOCK01,TGTDVS</t>
  </si>
  <si>
    <t>FB153-1184</t>
  </si>
  <si>
    <t>Faceted Brown Glass Table Lamp</t>
  </si>
  <si>
    <t>CSNSTORES,JCPENNEY01,KIRKLANDDS,KOHLDSN,OLLIIX,OVERSTOCK01,TGTDVS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</si>
  <si>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</si>
  <si>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</si>
  <si>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</si>
  <si>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</si>
  <si>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</si>
  <si>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</si>
  <si>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AMAZON,AMAZONDS,AMERSIGNDS,CSNSTORES,DESINC,HDDS,HOUZZ,JCPENNEY01,KIRKLANDDS,KOHLDSN,MACY02,OLLIIX,OVERSTOCK01,ROOMECOM,TGTDVS</t>
  </si>
  <si>
    <t>MT150-0080</t>
  </si>
  <si>
    <t>LGT-CHANDELIERS</t>
  </si>
  <si>
    <t>Chandeliers</t>
  </si>
  <si>
    <t>Elegenza</t>
  </si>
  <si>
    <t>6-light Chandelier with Fabric Drum Shades</t>
  </si>
  <si>
    <t>Nature</t>
  </si>
  <si>
    <t>MT150-0079</t>
  </si>
  <si>
    <t>Chrome</t>
  </si>
  <si>
    <t>FB150-1190</t>
  </si>
  <si>
    <t>Opulentia</t>
  </si>
  <si>
    <t>9-light Round Tiered Chandelier with Textured Glass Shades</t>
  </si>
  <si>
    <t>Antique Brass</t>
  </si>
  <si>
    <t>9/26/2024</t>
  </si>
  <si>
    <t>FB150-1153</t>
  </si>
  <si>
    <t>Presidio</t>
  </si>
  <si>
    <t>Presidio 5-Light Dimmable Chandelier with Drum-shaped Fabric Shade &amp; Adjustable Height</t>
  </si>
  <si>
    <t>Gold/Black</t>
  </si>
  <si>
    <t>AMAZONDS,AMERSIGNDS,CSNSTORES,HOUZZ,KIRKLANDDS,KOHLDSN,LAMPDS,OLLIIX,OVERSTOCK01,ROOMECOM,TGTDVS,ZOLA</t>
  </si>
  <si>
    <t>MPS150-0067</t>
  </si>
  <si>
    <t>PF003212</t>
  </si>
  <si>
    <t>AMAZON,AMAZONDS,CSNSTORES,HOUZZ,KOHLDSN,LAMPDS,MACY02,OLLIIX,OVERSTOCK01,ROOMECOM,TGTDVS</t>
  </si>
  <si>
    <t>MPS150-0107</t>
  </si>
  <si>
    <t>Silver/White</t>
  </si>
  <si>
    <t>AMAZONDS,CSNSTORES,HOUZZ,JCPENNEY01,LAMPDS,OLLIIX,OVERSTOCK01,TGTDVS</t>
  </si>
  <si>
    <t>MPS153-0025</t>
  </si>
  <si>
    <t>Rectangular Ceramic Table Lamp</t>
  </si>
  <si>
    <t>PF002829</t>
  </si>
  <si>
    <t>AMERSIGNDS,CSNSTORES,HOUZZ,KOHLDSN,OLLIIX</t>
  </si>
  <si>
    <t>MP150-0194</t>
  </si>
  <si>
    <t>Brighton</t>
  </si>
  <si>
    <t>6-Light Farmhouse Metal Chandelier</t>
  </si>
  <si>
    <t>Matte Black</t>
  </si>
  <si>
    <t>3/26/2019</t>
  </si>
  <si>
    <t>AMAZON,AMERSIGNDS,CSNSTORES,HDDS,HOUZZ,KOHLDSN,LAMPDS,MACY02,OLLIIX,OVERSTOCK01,ROOMECOM,TGTDVS</t>
  </si>
  <si>
    <t>FB150-1191</t>
  </si>
  <si>
    <t>Curiana</t>
  </si>
  <si>
    <t>5-light Linear Chandelier with Textured Glass Shades</t>
  </si>
  <si>
    <t>MPS150-0093</t>
  </si>
  <si>
    <t>Layered Capiz Chandelier</t>
  </si>
  <si>
    <t>12/9/2017</t>
  </si>
  <si>
    <t>AMAZON,AMAZONDS,AMERSIGNDS,CSNSTORES,HOUZZ,JCPENNEY01,KIRKLANDDS,KOHLDSN,LAMPDS,MACY02,NRTPORT,OLLIIX,OVERSTOCK01,ROOMECOM,TGTDVS</t>
  </si>
  <si>
    <t>II150-0008</t>
  </si>
  <si>
    <t>12-Light Chandelier with Oversized Globe Bulbs</t>
  </si>
  <si>
    <t>PF002784</t>
  </si>
  <si>
    <t>AMERSIGNDS,CSNSTORES,HOUZZ,KOHLDSN,LAMPDS,OLLIIX,OVERSTOCK01</t>
  </si>
  <si>
    <t>UH154-0051</t>
  </si>
  <si>
    <t>Alta</t>
  </si>
  <si>
    <t>3-Light Metal Floor Lamp</t>
  </si>
  <si>
    <t>AMERSIGNDS,CSNSTORES,DESINC,HDDS,MACY02,OLLIIX,OVERSTOCK01,ROOMECOM,TGTDVS</t>
  </si>
  <si>
    <t>MP154-0200</t>
  </si>
  <si>
    <t>Auburn</t>
  </si>
  <si>
    <t>Arched Floor Lamp with Marble Base</t>
  </si>
  <si>
    <t>10/14/2019</t>
  </si>
  <si>
    <t>AMAZONDS,ASHFURNDS,CSNSTORES,HOUZZ,JCPENNEY01,KOHLDSN,OLLIIX,OVERSTOCK01,ROOMECOM,TGTDVS,ZOLA</t>
  </si>
  <si>
    <t>FB154-1165</t>
  </si>
  <si>
    <t>Bellow</t>
  </si>
  <si>
    <t>Uplight Floor Lamp with Mercury Glass Shade</t>
  </si>
  <si>
    <t>AMERSIGNDS,CSNSTORES,HDDS,JCPENNEY01,KIRKLANDDS,KOHLDSN,MACY02,OLLIIX,OVERSTOCK01,ROOMECOM,TGTDVS,ZOLA</t>
  </si>
  <si>
    <t>II154-0157</t>
  </si>
  <si>
    <t>Brillora</t>
  </si>
  <si>
    <t>Floor lamp</t>
  </si>
  <si>
    <t>Gold/Marble</t>
  </si>
  <si>
    <t>KOHLDSN,OLLIIX</t>
  </si>
  <si>
    <t>MPS154-0087</t>
  </si>
  <si>
    <t>Holloway</t>
  </si>
  <si>
    <t>3-Globe Light Floor Lamp with Marble Base</t>
  </si>
  <si>
    <t>AMERSIGNDS,CSNSTORES,KOHLDSN,MACY02,OLLIIX,OVERSTOCK01,TGTDVS</t>
  </si>
  <si>
    <t>II154-0158</t>
  </si>
  <si>
    <t>Laguna</t>
  </si>
  <si>
    <t>Rattan Weave Shade Floor Lamp</t>
  </si>
  <si>
    <t>Gold/Natural</t>
  </si>
  <si>
    <t>II152-0142</t>
  </si>
  <si>
    <t>LGT-FLUSHMOUNTS</t>
  </si>
  <si>
    <t>Flushmounts</t>
  </si>
  <si>
    <t>Mililani</t>
  </si>
  <si>
    <t>Boho Bamboo Flush Mount Ceiling Light</t>
  </si>
  <si>
    <t>CSNSTORES,HDDS,KOHLDSN,MACY02,OLLIIX,OVERSTOCK01,ROOMECOM,TGTDVS</t>
  </si>
  <si>
    <t>MP151-0198</t>
  </si>
  <si>
    <t>LGT-PENDANTS</t>
  </si>
  <si>
    <t>Pendants</t>
  </si>
  <si>
    <t>Auburn Bell Shaped Hanging Glass Pendant Light</t>
  </si>
  <si>
    <t>Dia.9"</t>
  </si>
  <si>
    <t>Bronze/Clear</t>
  </si>
  <si>
    <t>AMAZONDS,CSNSTORES,HDDS,HOUZZ,KIRKLANDDS,KOHLDSN,LAMPDS,OLLIIX,OVERSTOCK01,TGTDVS</t>
  </si>
  <si>
    <t>FB151-1188</t>
  </si>
  <si>
    <t>Gold/Amber</t>
  </si>
  <si>
    <t>AMAZON,AMAZONDS,CSNSTORES,KOHLDSN,OVERSTOCK01</t>
  </si>
  <si>
    <t>FB151-1171</t>
  </si>
  <si>
    <t>Gold/Blue</t>
  </si>
  <si>
    <t>9/7/2022</t>
  </si>
  <si>
    <t>AMAZONDS,CSNSTORES,HDDS,HOUZZ,JCPENNEY01,KOHLDSN,OLLIIX,OVERSTOCK01,ROOMECOM,TGTDVS</t>
  </si>
  <si>
    <t>FB151-1179</t>
  </si>
  <si>
    <t>Bell Shaped Glass Pendant</t>
  </si>
  <si>
    <t>Dia.13"</t>
  </si>
  <si>
    <t>Gold/Clear</t>
  </si>
  <si>
    <t>AMAZON,AMAZONDS,CSNSTORES,HDDS,KOHLDSN,OVERSTOCK01,TGTDVS</t>
  </si>
  <si>
    <t>MP151-0123</t>
  </si>
  <si>
    <t>PF002875</t>
  </si>
  <si>
    <t>AMAZON,AMERSIGNDS,CSNSTORES,HDDS,HOUZZ,KIRKLANDDS,KOHLDSN,LAMPDS,MACY02,OLLIIX,OVERSTOCK01,ROOMECOM,TGTDVS,ZOLA</t>
  </si>
  <si>
    <t>MP151-0199</t>
  </si>
  <si>
    <t>Silver/Clear</t>
  </si>
  <si>
    <t>AMAZONDS,CSNSTORES,HDDS,HOUZZ,KIRKLANDDS,KOHLDSN,LAMPDS,MACY02,OLLIIX,OVERSTOCK01,ROOMECOM,TGTDVS</t>
  </si>
  <si>
    <t>FB155-1176</t>
  </si>
  <si>
    <t>Dove</t>
  </si>
  <si>
    <t>Double Tube 2-Light Wall Sconce</t>
  </si>
  <si>
    <t>Frosted glass/gold</t>
  </si>
  <si>
    <t>8/9/2023</t>
  </si>
  <si>
    <t>II155-0145</t>
  </si>
  <si>
    <t>Rattan Weave Shade Wall Sconce</t>
  </si>
  <si>
    <t>AMAZON,AMAZONDS,CSNSTORES,HDDS,HOUZZ,JCPENNEY01,KOHLDSN,OLLIIX,OVERSTOCK01,TGTDVS,ZOLA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</si>
  <si>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</si>
  <si>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</si>
  <si>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</si>
  <si>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</si>
  <si>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</si>
  <si>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</si>
  <si>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</si>
  <si>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CSNSTORES,DESINC,JCPENNEY01,KOHLDSN,MACY02,OLLIIX,OVERSTOCK01,ROOMECOM,TGTDVS</t>
  </si>
  <si>
    <t>II153-0156</t>
  </si>
  <si>
    <t>Alarid</t>
  </si>
  <si>
    <t>16" Ceramic Table Lamp</t>
  </si>
  <si>
    <t>DESINC,KIRKLANDDS,KOHLDSN,OLLIIX</t>
  </si>
  <si>
    <t>II153-0108</t>
  </si>
  <si>
    <t>Anzio</t>
  </si>
  <si>
    <t>Ceramic Table Lamp</t>
  </si>
  <si>
    <t>AMERSIGNDS,CSNSTORES,HOUZZ,JCPENNEY01,KIRKLANDDS,KOHLDSN,MACY02,OLLIIX,TGTDVS</t>
  </si>
  <si>
    <t>II153-0159</t>
  </si>
  <si>
    <t>Aquaviva</t>
  </si>
  <si>
    <t xml:space="preserve">Aquaviva </t>
  </si>
  <si>
    <t>Confetti Glass Table Lamp</t>
  </si>
  <si>
    <t>Artisan</t>
  </si>
  <si>
    <t>KOHLDSN,OLLIIX,OVERSTOCK01</t>
  </si>
  <si>
    <t>II153-0147</t>
  </si>
  <si>
    <t>Bromley</t>
  </si>
  <si>
    <t>Two Tone Pull-chain Table Lamp</t>
  </si>
  <si>
    <t>Gold/Brown</t>
  </si>
  <si>
    <t>AMAZON,AMAZONDS,AMERSIGNDS,CSNSTORES,HDDS,JCPENNEY01,KOHLDSN,MACY02,OLLIIX,OVERSTOCK01,ROOMECOM,TGTDVS,ZOLA</t>
  </si>
  <si>
    <t>II153-0148</t>
  </si>
  <si>
    <t>Bryson</t>
  </si>
  <si>
    <t>Dome-Shaped 2-Light Metal Table Lamp</t>
  </si>
  <si>
    <t>AMAZON,AMAZONDS,AMERSIGNDS,CSNSTORES,HDDS,JCPENNEY01,KIRKLANDDS,KOHLDSN,MACY02,OLLIIX,OVERSTOCK01,ROOMECOM,TGTDVS,ZOLA</t>
  </si>
  <si>
    <t>II153-0006</t>
  </si>
  <si>
    <t>Chrislie</t>
  </si>
  <si>
    <t>Triangular Table Lamp</t>
  </si>
  <si>
    <t>PF002782</t>
  </si>
  <si>
    <t>AMAZONDS,AMERSIGNDS,ASHFURNDS,CSNSTORES,HDDS,HOUZZ,KOHLDSN,MACY02,OLLIIX,OVERSTOCK01,ROOMECOM,TGTDVS,ZOLA</t>
  </si>
  <si>
    <t>II153-0023</t>
  </si>
  <si>
    <t>PF002798</t>
  </si>
  <si>
    <t>AMAZONDS,AMERSIGNDS,CSNSTORES,HDDS,HOUZZ,KIRKLANDDS,KOHLDSN,MACY02,OLLIIX,ROOMECOM,TGTDVS</t>
  </si>
  <si>
    <t>II153-0154</t>
  </si>
  <si>
    <t>Elixir</t>
  </si>
  <si>
    <t>Gold Hourglass Metal Table Lamp</t>
  </si>
  <si>
    <t>II153-0161</t>
  </si>
  <si>
    <t>Ethra</t>
  </si>
  <si>
    <t>DESINC,KOHLDSN</t>
  </si>
  <si>
    <t>II153-0107</t>
  </si>
  <si>
    <t>Ceramic Table Lamp with Handles</t>
  </si>
  <si>
    <t>CSNSTORES,HDDS,JCPENNEY01,KIRKLANDDS,KOHLDSN,MACY02,OLLIIX,TGTDVS</t>
  </si>
  <si>
    <t>MPS153-0079</t>
  </si>
  <si>
    <t>Fulton</t>
  </si>
  <si>
    <t>Concrete Table Lamp</t>
  </si>
  <si>
    <t>Gold/Grey/Black</t>
  </si>
  <si>
    <t>PF003223</t>
  </si>
  <si>
    <t>10/20/2017</t>
  </si>
  <si>
    <t>AMAZONDS,AMERSIGNDS,CSNSTORES,HDDS,HOUZZ,KIRKLANDDS,MACY02,OLLIIX,OVERSTOCK01,ROOMECOM,TGTDVS</t>
  </si>
  <si>
    <t>II153-0146</t>
  </si>
  <si>
    <t>Grace Ivy</t>
  </si>
  <si>
    <t>Textured Dot Table Lamp</t>
  </si>
  <si>
    <t>AMAZON,AMAZONDS,AMERSIGNDS,CSNSTORES,HDDS,HOUZZ,JCPENNEY01,KOHLDSN,OLLIIX,OVERSTOCK01,ROOMECOM,TGTDVS,ZOLA</t>
  </si>
  <si>
    <t>MPS153-0086</t>
  </si>
  <si>
    <t>Marble Base Table Lamp</t>
  </si>
  <si>
    <t>II153-0106</t>
  </si>
  <si>
    <t>Jayda</t>
  </si>
  <si>
    <t>AMERSIGNDS,CSNSTORES,HDDS,JCPENNEY01,KIRKLANDDS,KOHLDSN,OLLIIX,OVERSTOCK01,ROOMECOM,TGTDVS</t>
  </si>
  <si>
    <t>II153-0152</t>
  </si>
  <si>
    <t>Rattan Weave Shade Table Lamp</t>
  </si>
  <si>
    <t>1/24/2024</t>
  </si>
  <si>
    <t>AMAZON,AMERSIGNDS,CSNSTORES,HDDS,KOHLDSN,OLLIIX,OVERSTOCK01,TGTDVS,ZOLA</t>
  </si>
  <si>
    <t>5DS153-0050</t>
  </si>
  <si>
    <t>Lumivive</t>
  </si>
  <si>
    <t>17" Mercury Glass Table Lamp</t>
  </si>
  <si>
    <t>AMERSIGNDS,CSNSTORES,DESINC,HDDS,KOHLDSN,MACY02,OLLIIX,OVERSTOCK01,ROOMECOM,TGTDVS,ZOLA</t>
  </si>
  <si>
    <t>MP153-0179</t>
  </si>
  <si>
    <t>Macon</t>
  </si>
  <si>
    <t>Glass Cylinder Table Lamp</t>
  </si>
  <si>
    <t>Clear</t>
  </si>
  <si>
    <t>AMERSIGNDS,CSNSTORES,HOUZZ,KOHLDSN,OLLIIX,OVERSTOCK01,TGTDVS</t>
  </si>
  <si>
    <t>MP153-0144</t>
  </si>
  <si>
    <t>Prague</t>
  </si>
  <si>
    <t>Alabaster Table Lamp</t>
  </si>
  <si>
    <t>PF003238</t>
  </si>
  <si>
    <t>AMERSIGNDS,CSNSTORES,DESINC,HDDS,HOUZZ,KOHLDSN,OLLIIX,OVERSTOCK01,ROOMECOM,TGTDVS</t>
  </si>
  <si>
    <t>MP153-0001</t>
  </si>
  <si>
    <t>Tate</t>
  </si>
  <si>
    <t>Boho Textured Ceramic Table Lamp</t>
  </si>
  <si>
    <t>PF002834</t>
  </si>
  <si>
    <t>AMAZON,AMERSIGNDS,CSNSTORES,JCPENNEY01,KIRKLANDDS,KOHLDSN,OLLIIX,OVERSTOCK01,TGTDVS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</si>
  <si>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</si>
  <si>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</si>
  <si>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</si>
  <si>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</si>
  <si>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</si>
  <si>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</si>
  <si>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3/7/2022</t>
  </si>
  <si>
    <t>AMERSIGNDS,CSNSTORES,HDDS,JCPENNEY01,KIRKLANDDS,KOHLDSN,OLLIIX,OVERSTOCK01,ROOMECOM,TGTDVS,ZOLA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</si>
  <si>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</si>
  <si>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</si>
  <si>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</si>
  <si>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</si>
  <si>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</si>
  <si>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</si>
  <si>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</si>
  <si>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OLLIIX,TGTDVS</t>
  </si>
  <si>
    <t>MT154-0070</t>
  </si>
  <si>
    <t>Aelorian</t>
  </si>
  <si>
    <t>Floor Lamp 59"H</t>
  </si>
  <si>
    <t>6/26/2023</t>
  </si>
  <si>
    <t>AMAZON,AMAZONDS,CSNSTORES,HDDS,JCPENNEY01,KOHLDSN,MACY02,OLLIIX,OVERSTOCK01,ROOMECOM,TGTDVS,ZOLA</t>
  </si>
  <si>
    <t>MT154-0036</t>
  </si>
  <si>
    <t>Hunts</t>
  </si>
  <si>
    <t>Metal Floor Lamp</t>
  </si>
  <si>
    <t>AMAZONDS,CSNSTORES,DESINC,HDDS,HOUZZ,JCPENNEY01,KOHLDSN,OLLIIX,OVERSTOCK01,ROOMECOM,TGTDVS,ZOLA</t>
  </si>
  <si>
    <t>MT153-0078</t>
  </si>
  <si>
    <t>Table Lamp 28"H</t>
  </si>
  <si>
    <t>AMAZON,AMAZONDS,HDDS,KOHLDSN,OLLIIX,OVERSTOCK01,TGTDVS</t>
  </si>
  <si>
    <t>MT153-0049</t>
  </si>
  <si>
    <t>Athena</t>
  </si>
  <si>
    <t>AMAZON,AMAZONDS,CSNSTORES,JCPENNEY01,KOHLDSN,OLLIIX,OVERSTOCK01,ROOMECOM,TGTDVS</t>
  </si>
  <si>
    <t>MT153-0051</t>
  </si>
  <si>
    <t>Ribbed Ceramic Table Lamp</t>
  </si>
  <si>
    <t>10/25/2021</t>
  </si>
  <si>
    <t>MT153-0072</t>
  </si>
  <si>
    <t>Hawley</t>
  </si>
  <si>
    <t>Faux Leather Table Lamp</t>
  </si>
  <si>
    <t>11/15/2023</t>
  </si>
  <si>
    <t>AMAZON,AMAZONDS,CSNSTORES,HDDS,JCPENNEY01,KOHLDSN,OLLIIX,ROOMECOM,TGTDVS</t>
  </si>
  <si>
    <t>MT153-0015</t>
  </si>
  <si>
    <t>Jemma</t>
  </si>
  <si>
    <t>6/2/2019</t>
  </si>
  <si>
    <t>MT153-0077</t>
  </si>
  <si>
    <t>Mystique</t>
  </si>
  <si>
    <t>Blue Ceramic Ginger Jar Table Lamp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</si>
  <si>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</si>
  <si>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</si>
  <si>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</si>
  <si>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</si>
  <si>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</si>
  <si>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</si>
  <si>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</si>
  <si>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N/A</t>
  </si>
  <si>
    <t>8/17/2023</t>
  </si>
  <si>
    <t>AMAZON,AMAZONDS</t>
  </si>
  <si>
    <t>PET66PT6022</t>
  </si>
  <si>
    <t>Dino Rubber Toy 2PK</t>
  </si>
  <si>
    <t>Citron/Orange</t>
  </si>
  <si>
    <t>3/31/2023</t>
  </si>
  <si>
    <t>AMAZONDS,OVERSTOCK01</t>
  </si>
  <si>
    <t>PET66PT6025-SM</t>
  </si>
  <si>
    <t>Kettlebell Rubber Toy SM</t>
  </si>
  <si>
    <t>AMAZON,OVERSTOCK01</t>
  </si>
  <si>
    <t>PET66PT6023</t>
  </si>
  <si>
    <t>Dumbbell Rubber Toy 2PK</t>
  </si>
  <si>
    <t>Pink/Orange</t>
  </si>
  <si>
    <t>AMAZON,AMAZONDS,OVERSTOCK01</t>
  </si>
  <si>
    <t>PET66PT6195</t>
  </si>
  <si>
    <t>Hedgehog with tennis ball</t>
  </si>
  <si>
    <t>Rose Red Hedgehog</t>
  </si>
  <si>
    <t>AMAZON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</si>
  <si>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</si>
  <si>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</si>
  <si>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</si>
  <si>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</si>
  <si>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</si>
  <si>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</si>
  <si>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</si>
  <si>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</si>
  <si>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</si>
  <si>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</si>
  <si>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</si>
  <si>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</si>
  <si>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AMAZONDS</t>
  </si>
  <si>
    <t>PET63PC6183-MD</t>
  </si>
  <si>
    <t>PETB</t>
  </si>
  <si>
    <t>PET BEDS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</si>
  <si>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</si>
  <si>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</si>
  <si>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</si>
  <si>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</si>
  <si>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</si>
  <si>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</si>
  <si>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</si>
  <si>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</si>
  <si>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AMAZON,AMAZONDS,CSNSTORES,DESINC,KOHLDSN,OVERSTOCK01</t>
  </si>
  <si>
    <t>PET63PC6183-XL</t>
  </si>
  <si>
    <t>XLarge All Foam Pet Couch</t>
  </si>
  <si>
    <t>XL</t>
  </si>
  <si>
    <t>PET63PC6184-MD</t>
  </si>
  <si>
    <t>PET63PC6184-LG</t>
  </si>
  <si>
    <t>PET63PC6184-XL</t>
  </si>
  <si>
    <t>AMAZON,CSNSTORES,KOHLDSN,OVERSTOCK01</t>
  </si>
  <si>
    <t>PET63PC6185-MD</t>
  </si>
  <si>
    <t>PET63PC6185-LG</t>
  </si>
  <si>
    <t>PET63PC6185-XL</t>
  </si>
  <si>
    <t>PET63OP6011</t>
  </si>
  <si>
    <t>Copper</t>
  </si>
  <si>
    <t>Ortho Napper</t>
  </si>
  <si>
    <t>AMAZON,AMAZONDS,CSNSTORES,DESINC</t>
  </si>
  <si>
    <t>PET63PT6028</t>
  </si>
  <si>
    <t>Geo</t>
  </si>
  <si>
    <t>Pet Throw</t>
  </si>
  <si>
    <t>Navy/Grey</t>
  </si>
  <si>
    <t>PET63PC5690</t>
  </si>
  <si>
    <t>Modern Couch</t>
  </si>
  <si>
    <t>25"x20"+5.5"(2.5+3")</t>
  </si>
  <si>
    <t>9/23/2021</t>
  </si>
  <si>
    <t>AMAZON,CHEWYDS</t>
  </si>
  <si>
    <t>PET63PC5691</t>
  </si>
  <si>
    <t>36"x28"+9"(4+5")</t>
  </si>
  <si>
    <t>AMAZONDS,CHEWYDS</t>
  </si>
  <si>
    <t>PET63PC5692</t>
  </si>
  <si>
    <t>44"x34"+10"(4+6")</t>
  </si>
  <si>
    <t>AMAZON,AMAZONDS,CSNSTORES</t>
  </si>
  <si>
    <t>PET63HD5681</t>
  </si>
  <si>
    <t>Hooded Round Bed</t>
  </si>
  <si>
    <t>D23+6"</t>
  </si>
  <si>
    <t>9/17/2021</t>
  </si>
  <si>
    <t>PET63HD5680</t>
  </si>
  <si>
    <t>AMAZON,AMAZONDS,CHEWYDS</t>
  </si>
  <si>
    <t>PET63HM6012</t>
  </si>
  <si>
    <t>Nala</t>
  </si>
  <si>
    <t>Hide Mat SM</t>
  </si>
  <si>
    <t>AMAZON,AMAZONDS,CSNSTORES,OLLIIX,OVERSTOCK01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</si>
  <si>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</si>
  <si>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</si>
  <si>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</si>
  <si>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</si>
  <si>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</si>
  <si>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</si>
  <si>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</si>
  <si>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</si>
  <si>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</si>
  <si>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</si>
  <si>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</si>
  <si>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</si>
  <si>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</si>
  <si>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</si>
  <si>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</si>
  <si>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</si>
  <si>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</si>
  <si>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</si>
  <si>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</si>
  <si>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</si>
  <si>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</si>
  <si>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TN20-0081</t>
  </si>
  <si>
    <t>SHET</t>
  </si>
  <si>
    <t>SHEET/SHEET SET</t>
  </si>
  <si>
    <t>Sheet/Sheet Set</t>
  </si>
  <si>
    <t>Cozy Cotton Flannel</t>
  </si>
  <si>
    <t>Printed Sheet Set</t>
  </si>
  <si>
    <t>Blue Plaid</t>
  </si>
  <si>
    <t>PF002280</t>
  </si>
  <si>
    <t>Flannel</t>
  </si>
  <si>
    <t>AMAZON,AMAZONDS,BLK01,FINGERHUTDS,JCPENNEY01,KOHLDSN,MACY02,OLLIIX,OVERSTOCK01,TGTDVS,WALMARTDS</t>
  </si>
  <si>
    <t>TN20-0212</t>
  </si>
  <si>
    <t>12/5/2017</t>
  </si>
  <si>
    <t>TN20-0083</t>
  </si>
  <si>
    <t>TN20-0084</t>
  </si>
  <si>
    <t>12/29/2017</t>
  </si>
  <si>
    <t>TN20-0085</t>
  </si>
  <si>
    <t>AMAZON,AMAZONDS,CSNSTORES,DESINC,JCPENNEY01,KOHLDSN,MACY02,NRTPORT,OVERSTOCK01,TGTDVS,WALMARTDS</t>
  </si>
  <si>
    <t>TN20-0239</t>
  </si>
  <si>
    <t>PF002291</t>
  </si>
  <si>
    <t>AMAZON,AMAZONDS,CSNSTORES,DESINC,FINGERHUTDS,JCPENNEY01,KOHLDSN,MACY02,OVERSTOCK01,TGTDVS,WALMARTDS</t>
  </si>
  <si>
    <t>TN20-0240</t>
  </si>
  <si>
    <t>AMAZON,AMAZONDS,BLK01,CSNSTORES,FINGERHUTDS,JCPENNEY01,KOHLDSN,MACY02,TGTDVS,WALMARTDS</t>
  </si>
  <si>
    <t>10/26/2018</t>
  </si>
  <si>
    <t>TN20-0241</t>
  </si>
  <si>
    <t>AMAZON,AMAZONDS,CSNSTORES,JCPENNEY01,KOHLDSN,MACY02,OLLIIX,OVERSTOCK01,TGTDVS,WALMARTDS</t>
  </si>
  <si>
    <t>TN20-0242</t>
  </si>
  <si>
    <t>11/10/2017</t>
  </si>
  <si>
    <t>TN20-0243</t>
  </si>
  <si>
    <t>TN20-0244</t>
  </si>
  <si>
    <t>AMAZON,BLK01,JCPENNEY01,KOHLDSN,MACY02,TGTDVS</t>
  </si>
  <si>
    <t>11/19/2018</t>
  </si>
  <si>
    <t>TN20-0383</t>
  </si>
  <si>
    <t>Blue Forest</t>
  </si>
  <si>
    <t>PP000954;PF004392</t>
  </si>
  <si>
    <t>8/29/2018</t>
  </si>
  <si>
    <t>1/17/2025</t>
  </si>
  <si>
    <t>AMAZON,AMAZONDS,CSNSTORES,FINGERHUTDS,JCPENNEY01,KOHLDSN,MACY02,OVERSTOCK01,WALMARTDS</t>
  </si>
  <si>
    <t>1/12/2020</t>
  </si>
  <si>
    <t>TN20-0385</t>
  </si>
  <si>
    <t>AMAZON,AMAZONDS,CSNSTORES,FINGERHUTDS,JCPENNEY01,KOHLDSN,MACY02,OLLIIX,TGTDVS,WALMARTDS</t>
  </si>
  <si>
    <t>4/13/2020</t>
  </si>
  <si>
    <t>TN20-0386</t>
  </si>
  <si>
    <t>AMAZON,AMAZONDS,HSNDS,JCPENNEY01,KOHLDSN,MACY02,NRTPORT,OLLIIX,OVERSTOCK01,TGTDVS,WALMARTDS</t>
  </si>
  <si>
    <t>3/26/2020</t>
  </si>
  <si>
    <t>TN20-0387</t>
  </si>
  <si>
    <t>AMAZON,CSNSTORES,FINGERHUTDS,HSNDS,JCPENNEY01,KOHLDSN,MACY02,OLLIIX,OVERSTOCK01,WALMARTDS</t>
  </si>
  <si>
    <t>TN20-0121</t>
  </si>
  <si>
    <t>Blue Solid</t>
  </si>
  <si>
    <t>PF002288</t>
  </si>
  <si>
    <t>AMAZON,AMAZONDS,BLK01,CSNSTORES,FINGERHUTDS,JCPENNEY01,KOHLDSN,MACY02,OVERSTOCK01,WALMARTDS</t>
  </si>
  <si>
    <t>TN20-0122</t>
  </si>
  <si>
    <t>AMAZON,AMAZONDS,CSNSTORES,JCPENNEY01,KOHLDSN,MACY02,WALMARTDS</t>
  </si>
  <si>
    <t>11/16/2017</t>
  </si>
  <si>
    <t>TN20-0123</t>
  </si>
  <si>
    <t>AMAZON,AMAZONDS,BLK01,CSNSTORES,FINGERHUTDS,JCPENNEY01,KOHLDSN,MACY02,NRTPORT,OLLIIX,OVERSTOCK01,WALMARTDS</t>
  </si>
  <si>
    <t>TN20-0124</t>
  </si>
  <si>
    <t>AMAZON,BLK01,CSNSTORES,FINGERHUTDS,JCPENNEY01,KOHLDSN,MACY02,TGTDVS,WALMARTDS</t>
  </si>
  <si>
    <t>8/27/2018</t>
  </si>
  <si>
    <t>TN20-0245</t>
  </si>
  <si>
    <t>PF002292</t>
  </si>
  <si>
    <t>AMAZON,AMAZONDS,FINGERHUTDS,JCPENNEY01,KOHLDSN,MACY02,OLLIIX,TGTDVS,WALMARTDS</t>
  </si>
  <si>
    <t>10/22/2018</t>
  </si>
  <si>
    <t>TN20-0246</t>
  </si>
  <si>
    <t>AMAZON,AMAZONDS,BLK01,CSNSTORES,FINGERHUTDS,JCPENNEY01,KOHLDSN,MACY02,OVERSTOCK01,TGTDVS,WALMARTDS</t>
  </si>
  <si>
    <t>TN20-0247</t>
  </si>
  <si>
    <t>AMAZON,AMAZONDS,BLK01,FINGERHUTDS,JCPENNEY01,KOHLDSN,MACY02,OLLIIX,OVERSTOCK01,TGTDVS</t>
  </si>
  <si>
    <t>TN20-0248</t>
  </si>
  <si>
    <t>AMAZONDS,BLK01,CSNSTORES,FINGERHUTDS,JCPENNEY01,KOHLDSN,MACY02,NRTPORT,OLLIIX,OVERSTOCK01,TGTDVS,WALMARTDS</t>
  </si>
  <si>
    <t>11/2/2018</t>
  </si>
  <si>
    <t>TN20-0249</t>
  </si>
  <si>
    <t>11/26/2018</t>
  </si>
  <si>
    <t>TN20-0365</t>
  </si>
  <si>
    <t>Grey Penguins</t>
  </si>
  <si>
    <t>PP000954;PF004389</t>
  </si>
  <si>
    <t>11/21/2020</t>
  </si>
  <si>
    <t>TN20-0367</t>
  </si>
  <si>
    <t>AMAZON,AMAZONDS,CSNSTORES,FINGERHUTDS,JCPENNEY01,KOHLDSN,MACY02,OVERSTOCK01,TGTDVS,WALMARTDS</t>
  </si>
  <si>
    <t>11/18/2020</t>
  </si>
  <si>
    <t>TN20-0368</t>
  </si>
  <si>
    <t>AMAZON,AMAZONDS,BLK01,JCPENNEY01,KOHLDSN,MACY02,OLLIIX,OVERSTOCK01,TGTDVS,WALMARTDS</t>
  </si>
  <si>
    <t>TN20-0369</t>
  </si>
  <si>
    <t>AMAZON,AMAZONDS,BLK01,FINGERHUTDS,JCPENNEY01,KOHLDSN,MACY02,NRTPORT,OLLIIX,OVERSTOCK01,TGTDVS,WALMARTDS</t>
  </si>
  <si>
    <t>4/24/2020</t>
  </si>
  <si>
    <t>TN20-0406</t>
  </si>
  <si>
    <t>Seafoam Llama</t>
  </si>
  <si>
    <t>PP000954;PF004713</t>
  </si>
  <si>
    <t>7/25/2019</t>
  </si>
  <si>
    <t>AMAZON,AMAZONDS,CSNSTORES,JCPENNEY01,KOHLDSN,MACY02,TGTDVS,WALMARTDS</t>
  </si>
  <si>
    <t>2/17/2020</t>
  </si>
  <si>
    <t>TN20-0407</t>
  </si>
  <si>
    <t>AMAZON,AMAZONDS,BLK01,CSNSTORES,FINGERHUTDS,JCPENNEY01,KOHLDSN,MACY02,OLLIIX,TGTDVS,WALMARTDS</t>
  </si>
  <si>
    <t>TN20-0408</t>
  </si>
  <si>
    <t>AMAZON,AMAZONDS,BLK01,FINGERHUTDS,JCPENNEY01,KOHLDSN,MACY02,NRTPORT,WALMARTDS</t>
  </si>
  <si>
    <t>1/26/2020</t>
  </si>
  <si>
    <t>9/7/2020</t>
  </si>
  <si>
    <t>TN20-0409</t>
  </si>
  <si>
    <t>AMAZON,AMAZONDS,CSNSTORES,FINGERHUTDS,JCPENNEY01,KOHLDSN,MACY02,TGTDVS,WALMARTDS</t>
  </si>
  <si>
    <t>9/30/2021</t>
  </si>
  <si>
    <t>TN20-0106</t>
  </si>
  <si>
    <t>Grey Solid</t>
  </si>
  <si>
    <t>PF002287</t>
  </si>
  <si>
    <t>AMAZON,AMAZONDS,CSNSTORES,FINGERHUTDS,JCPENNEY01,KOHLDSN,MACY02,WALMARTDS</t>
  </si>
  <si>
    <t>TN20-0107</t>
  </si>
  <si>
    <t>AMAZON,AMAZONDS,JCPENNEY01,KOHLDSN,MACY02,OVERSTOCK01,WALMARTDS</t>
  </si>
  <si>
    <t>10/10/2018</t>
  </si>
  <si>
    <t>TN20-0108</t>
  </si>
  <si>
    <t>AMAZONDS,BLK01,CSNSTORES,FINGERHUTDS,JCPENNEY01,KOHLDSN,MACY02,NRTPORT,OVERSTOCK01,WALMARTDS</t>
  </si>
  <si>
    <t>TN20-0110</t>
  </si>
  <si>
    <t>TN20-0066</t>
  </si>
  <si>
    <t>Pink/Grey Snowflakes</t>
  </si>
  <si>
    <t>PF002277</t>
  </si>
  <si>
    <t>AMAZON,AMAZONDS,CSNSTORES,DESINC,FINGERHUTDS,JCPENNEY01,KOHLDSN,MACY02,TGTDVS,WALMARTDS</t>
  </si>
  <si>
    <t>TN20-0209</t>
  </si>
  <si>
    <t>11/9/2017</t>
  </si>
  <si>
    <t>TN20-0067</t>
  </si>
  <si>
    <t>11/15/2017</t>
  </si>
  <si>
    <t>TN20-0068</t>
  </si>
  <si>
    <t>TN20-0069</t>
  </si>
  <si>
    <t>AMAZON,AMAZONDS,CSNSTORES,JCPENNEY01,KOHLDSN,MACY02,NRTPORT,TGTDVS,WALMARTDS</t>
  </si>
  <si>
    <t>12/10/2017</t>
  </si>
  <si>
    <t>TN20-0373</t>
  </si>
  <si>
    <t>Multi Sloth</t>
  </si>
  <si>
    <t>PP000954;PF004391</t>
  </si>
  <si>
    <t>8/7/2018</t>
  </si>
  <si>
    <t>AMAZON,AMAZONDS,CSNSTORES,FINGERHUTDS,JCPENNEY01,KOHLDSN,MACY02,NRTPORT,OVERSTOCK01,TGTDVS,WALMARTDS</t>
  </si>
  <si>
    <t>2/27/2020</t>
  </si>
  <si>
    <t>8/17/2020</t>
  </si>
  <si>
    <t>TN20-0374</t>
  </si>
  <si>
    <t>AMAZONDS,BLK01,CSNSTORES,JCPENNEY01,KOHLDSN,MACY02,NRTPORT,OLLIIX,OVERSTOCK01,TGTDVS,WALMARTDS</t>
  </si>
  <si>
    <t>11/13/2020</t>
  </si>
  <si>
    <t>TN20-0375</t>
  </si>
  <si>
    <t>AMAZON,AMAZONDS,BLK01,CSNSTORES,FINGERHUTDS,KOHLDSN,MACY02,OLLIIX,TGTDVS,WALMARTDS</t>
  </si>
  <si>
    <t>4/4/2021</t>
  </si>
  <si>
    <t>TN20-0377</t>
  </si>
  <si>
    <t>Grey Dogs</t>
  </si>
  <si>
    <t>PP000954;PF004390</t>
  </si>
  <si>
    <t>AMAZON,AMAZONDS,JCPENNEY01,KOHLDSN,MACY02,NRTPORT,OLLIIX,OVERSTOCK01,TGTDVS,WALMARTDS</t>
  </si>
  <si>
    <t>1/17/2020</t>
  </si>
  <si>
    <t>TN20-0379</t>
  </si>
  <si>
    <t>AMAZON,AMAZONDS,BLK01,FINGERHUTDS,KOHLDSN,MACY02,OLLIIX,TGTDVS,WALMARTDS</t>
  </si>
  <si>
    <t>2/11/2020</t>
  </si>
  <si>
    <t>TN20-0380</t>
  </si>
  <si>
    <t>AMAZON,AMAZONDS,CSNSTORES,JCPENNEY01,KOHLDSN,MACY02,NRTPORT,OLLIIX,OVERSTOCK01,TGTDVS,WALMARTDS</t>
  </si>
  <si>
    <t>4/14/2020</t>
  </si>
  <si>
    <t>TN20-0381</t>
  </si>
  <si>
    <t>AMAZONDS,FINGERHUTDS,KOHLDSN,MACY02,OLLIIX,WALMARTDS</t>
  </si>
  <si>
    <t>4/10/2020</t>
  </si>
  <si>
    <t>TN20-0064</t>
  </si>
  <si>
    <t>Tan/Blue Snowflakes</t>
  </si>
  <si>
    <t>PF002276</t>
  </si>
  <si>
    <t>AMAZON,CSNSTORES,FINGERHUTDS,JCPENNEY01,KOHLDSN,MACY02,OLLIIX,OVERSTOCK01,WALMARTDS</t>
  </si>
  <si>
    <t>TN20-0251</t>
  </si>
  <si>
    <t>Multi Leaves</t>
  </si>
  <si>
    <t>PF002294</t>
  </si>
  <si>
    <t>AMAZON,AMAZONDS,CSNSTORES,DESINC,JCPENNEY01,KOHLDSN,MACY02,OLLIIX,OVERSTOCK01,WALMARTDS</t>
  </si>
  <si>
    <t>TN20-0252</t>
  </si>
  <si>
    <t>AMAZON,AMAZONDS,CSNSTORES,FINGERHUTDS,JCPENNEY01,KOHLDSN,MACY02,NRTPORT,TGTDVS,WALMARTDS</t>
  </si>
  <si>
    <t>TN20-0253</t>
  </si>
  <si>
    <t>AMAZON,AMAZONDS,BLK01,CSNSTORES,FINGERHUTDS,JCPENNEY01,KOHLDSN,MACY02,NRTPORT,OLLIIX,TGTDVS,WALMARTDS</t>
  </si>
  <si>
    <t>TN20-0254</t>
  </si>
  <si>
    <t>TN20-0255</t>
  </si>
  <si>
    <t>TN20-0256</t>
  </si>
  <si>
    <t>1/25/2018</t>
  </si>
  <si>
    <t>TN20-0111</t>
  </si>
  <si>
    <t>Ivory Solid</t>
  </si>
  <si>
    <t>PF002286</t>
  </si>
  <si>
    <t>AMAZON,AMAZONDS,BLK01,FINGERHUTDS,JCPENNEY01,KOHLDSN,MACY02,OLLIIX,WALMARTDS</t>
  </si>
  <si>
    <t>TN20-0112</t>
  </si>
  <si>
    <t>TN20-0113</t>
  </si>
  <si>
    <t>TN20-0114</t>
  </si>
  <si>
    <t>TN20-0115</t>
  </si>
  <si>
    <t>AMAZON,AMAZONDS,JCPENNEY01,KOHLDSN,MACY02,OVERSTOCK01</t>
  </si>
  <si>
    <t>TN20-0275</t>
  </si>
  <si>
    <t>Pink Plaid</t>
  </si>
  <si>
    <t>PF002297</t>
  </si>
  <si>
    <t>AMAZON,AMAZONDS,BLK01,CSNSTORES,FINGERHUTDS,KOHLDSN,MACY02,OLLIIX,TGTDVS</t>
  </si>
  <si>
    <t>TN20-0276</t>
  </si>
  <si>
    <t>AMAZON,AMAZONDS,FINGERHUTDS,JCPENNEY01,KOHLDSN,MACY02,OVERSTOCK01,TGTDVS,WALMARTDS</t>
  </si>
  <si>
    <t>9/4/2018</t>
  </si>
  <si>
    <t>TN20-0277</t>
  </si>
  <si>
    <t>AMAZON,AMAZONDS,CSNSTORES,FINGERHUTDS,JCPENNEY01,KOHLDSN,MACY02,TGTDVS</t>
  </si>
  <si>
    <t>12/13/2017</t>
  </si>
  <si>
    <t>TN20-0278</t>
  </si>
  <si>
    <t>12/6/2017</t>
  </si>
  <si>
    <t>TN20-0279</t>
  </si>
  <si>
    <t>9/19/2018</t>
  </si>
  <si>
    <t>TN20-0263</t>
  </si>
  <si>
    <t>Blue Polar Bears</t>
  </si>
  <si>
    <t>PF002295</t>
  </si>
  <si>
    <t>AMAZON,AMAZONDS,HSNDS,JCPENNEY01,KOHLDSN,MACY02,NRTPORT,OLLIIX,WALMARTDS</t>
  </si>
  <si>
    <t>TN20-0264</t>
  </si>
  <si>
    <t>AMAZON,AMAZONDS,BLK01,CSNSTORES,DESINC,JCPENNEY01,KOHLDSN,MACY02,NRTPORT,OVERSTOCK01</t>
  </si>
  <si>
    <t>TN20-0266</t>
  </si>
  <si>
    <t>AMAZON,AMAZONDS,BLK01,CSNSTORES,DESINC,HSNDS,JCPENNEY01,KOHLDSN,MACY02,NRTPORT,OLLIIX,OVERSTOCK01</t>
  </si>
  <si>
    <t>11/17/2017</t>
  </si>
  <si>
    <t>TN20-0267</t>
  </si>
  <si>
    <t>AMAZON,AMAZONDS,BLK01,CSNSTORES,FINGERHUTDS,HSNDS,KOHLDSN,MACY02,NRTPORT,OLLIIX</t>
  </si>
  <si>
    <t>TN20-0359</t>
  </si>
  <si>
    <t>Aqua Dots</t>
  </si>
  <si>
    <t>PP000954;PF004388</t>
  </si>
  <si>
    <t>4/20/2020</t>
  </si>
  <si>
    <t>TN20-0363</t>
  </si>
  <si>
    <t>TN20-0210</t>
  </si>
  <si>
    <t>PF002278</t>
  </si>
  <si>
    <t>AMAZON,AMAZONDS,BLK01,CSNSTORES,DESINC,FINGERHUTDS,JCPENNEY01,KOHLDSN,MACY02,OVERSTOCK01,TGTDVS,WALMARTDS</t>
  </si>
  <si>
    <t>TN20-0074</t>
  </si>
  <si>
    <t>TN20-0075</t>
  </si>
  <si>
    <t>5/5/2017</t>
  </si>
  <si>
    <t>AMAZON,AMAZONDS,BLK01,CSNSTORES,JCPENNEY01,KOHLDSN,MACY02,WALMARTDS</t>
  </si>
  <si>
    <t>TN20-0076</t>
  </si>
  <si>
    <t>PF002279</t>
  </si>
  <si>
    <t>TN20-0211</t>
  </si>
  <si>
    <t>TN20-0079</t>
  </si>
  <si>
    <t>AMAZON,BLK01,CSNSTORES,FINGERHUTDS,JCPENNEY01,KOHLDSN,MACY02,NRTPORT,OLLIIX,TGTDVS,WALMARTDS</t>
  </si>
  <si>
    <t>TN20-0080</t>
  </si>
  <si>
    <t>AMAZON,CSNSTORES,JCPENNEY01,KOHLDSN,MACY02,OVERSTOCK01,TGTDVS,WALMARTDS</t>
  </si>
  <si>
    <t>12/10/2018</t>
  </si>
  <si>
    <t>TN20-0222</t>
  </si>
  <si>
    <t>Aqua French Bulldog</t>
  </si>
  <si>
    <t>PF002289</t>
  </si>
  <si>
    <t>AMAZON,AMAZONDS,CSNSTORES,DESINC,FINGERHUTDS,JCPENNEY01,KOHLDSN,MACY02,TGTDVS</t>
  </si>
  <si>
    <t>11/27/2018</t>
  </si>
  <si>
    <t>TN20-0223</t>
  </si>
  <si>
    <t>AMAZON,AMAZONDS,CSNSTORES,DESINC,FINGERHUTDS,JCPENNEY01,KOHLDSN,MACY02,OVERSTOCK01,TGTDVS</t>
  </si>
  <si>
    <t>TN20-0224</t>
  </si>
  <si>
    <t>AMAZON,AMAZONDS,BLK01,CSNSTORES,DESINC,JCPENNEY01,KOHLDSN,MACY02,NRTPORT,WALMARTDS</t>
  </si>
  <si>
    <t>TN20-0225</t>
  </si>
  <si>
    <t>AMAZON,AMAZONDS,DESINC,FINGERHUTDS,JCPENNEY01,KOHLDSN,MACY02,OVERSTOCK01,TGTDVS</t>
  </si>
  <si>
    <t>TN20-0226</t>
  </si>
  <si>
    <t>AMAZON,AMAZONDS,BLK01,KOHLDSN,MACY02,NRTPORT,WALMARTDS</t>
  </si>
  <si>
    <t>TN20-0415</t>
  </si>
  <si>
    <t>Blush Dots</t>
  </si>
  <si>
    <t>PP000954;PF004715</t>
  </si>
  <si>
    <t>3/3/2020</t>
  </si>
  <si>
    <t>TN20-0417</t>
  </si>
  <si>
    <t>8/21/2020</t>
  </si>
  <si>
    <t>TN20-0418</t>
  </si>
  <si>
    <t>TN20-0419</t>
  </si>
  <si>
    <t>AMAZON,AMAZONDS,BLK01,JCPENNEY01,KOHLDSN,MACY02,TGTDVS,WALMARTDS</t>
  </si>
  <si>
    <t>TN20-0227</t>
  </si>
  <si>
    <t>Pink French Bulldog</t>
  </si>
  <si>
    <t>PF002290</t>
  </si>
  <si>
    <t>TN20-0228</t>
  </si>
  <si>
    <t>AMAZON,AMAZONDS,BLK01,DESINC,JCPENNEY01,KOHLDSN,MACY02,TGTDVS</t>
  </si>
  <si>
    <t>TN20-0229</t>
  </si>
  <si>
    <t>AMAZON,AMAZONDS,JCPENNEY01,KOHLDSN,MACY02,OVERSTOCK01,TGTDVS,WALMARTDS</t>
  </si>
  <si>
    <t>TN20-0231</t>
  </si>
  <si>
    <t>AMAZON,AMAZONDS,BLK01,CSNSTORES,FINGERHUTDS,JCPENNEY01,KOHLDSN,MACY02,NRTPORT,OLLIIX,TGTDVS</t>
  </si>
  <si>
    <t>TN20-0269</t>
  </si>
  <si>
    <t>Multi Forest Animals</t>
  </si>
  <si>
    <t>PF002296</t>
  </si>
  <si>
    <t>TN20-0270</t>
  </si>
  <si>
    <t>AMAZON,AMAZONDS,CSNSTORES,JCPENNEY01,KOHLDSN,MACY02,OLLIIX,OVERSTOCK01,WALMARTDS</t>
  </si>
  <si>
    <t>TN20-0271</t>
  </si>
  <si>
    <t>TN20-0272</t>
  </si>
  <si>
    <t>AMAZON,AMAZONDS,BLK01,CSNSTORES,JCPENNEY01,KOHLDSN,MACY02,OLLIIX,TGTDVS,WALMARTDS</t>
  </si>
  <si>
    <t>TN20-0273</t>
  </si>
  <si>
    <t>AMAZON,AMAZONDS,BLK01,CSNSTORES,FINGERHUTDS,JCPENNEY01,KOHLDSN,MACY02</t>
  </si>
  <si>
    <t>TN20-0411</t>
  </si>
  <si>
    <t>PP000954;PF004714</t>
  </si>
  <si>
    <t>AMAZON,AMAZONDS,BLK01,FINGERHUTDS,JCPENNEY01,KOHLDSN,MACY02,OVERSTOCK01,TGTDVS</t>
  </si>
  <si>
    <t>9/21/2020</t>
  </si>
  <si>
    <t>TN20-0412</t>
  </si>
  <si>
    <t>AMAZON,AMAZONDS,BLK01,JCPENNEY01,KOHLDSN,MACY02,NRTPORT,TGTDVS,WALMARTDS</t>
  </si>
  <si>
    <t>9/18/2020</t>
  </si>
  <si>
    <t>TN20-0413</t>
  </si>
  <si>
    <t>AMAZON,AMAZONDS,BLK01,CSNSTORES,FINGERHUTDS,KOHLDSN,MACY02,NRTPORT,OLLIIX,OVERSTOCK01,TGTDVS,WALMARTDS</t>
  </si>
  <si>
    <t>2/10/2020</t>
  </si>
  <si>
    <t>TN20-0414</t>
  </si>
  <si>
    <t>AMAZON,BLK01,FINGERHUTDS,JCPENNEY01,KOHLDSN,MACY02,OLLIIX,OVERSTOCK01,TGTDVS,WALMARTDS</t>
  </si>
  <si>
    <t>4/15/2020</t>
  </si>
  <si>
    <t>TN20-0355</t>
  </si>
  <si>
    <t>Grey Dots</t>
  </si>
  <si>
    <t>PP000954;PF004387</t>
  </si>
  <si>
    <t>TN20-0356</t>
  </si>
  <si>
    <t>TN20-0357</t>
  </si>
  <si>
    <t>AMAZON,AMAZONDS,JCPENNEY01,KOHLDSN,MACY02,NRTPORT,OLLIIX,TGTDVS,WALMARTDS</t>
  </si>
  <si>
    <t>TN20-0116</t>
  </si>
  <si>
    <t>Tan Solid</t>
  </si>
  <si>
    <t>PF002285</t>
  </si>
  <si>
    <t>AMAZON,AMAZONDS,BLK01,JCPENNEY01,KOHLDSN,MACY02,OLLIIX,OVERSTOCK01,WALMARTDS</t>
  </si>
  <si>
    <t>TN20-0117</t>
  </si>
  <si>
    <t>TN20-0118</t>
  </si>
  <si>
    <t>AMAZON,AMAZONDS,BLK01,CSNSTORES,JCPENNEY01,KOHLDSN,MACY02,OVERSTOCK01,WALMARTDS</t>
  </si>
  <si>
    <t>TN20-0119</t>
  </si>
  <si>
    <t>AMAZON,BLK01,CSNSTORES,DESINC,JCPENNEY01,KOHLDSN,MACY02,TGTDVS</t>
  </si>
  <si>
    <t>TN20-0120</t>
  </si>
  <si>
    <t>TN20-0569</t>
  </si>
  <si>
    <t>Gray Herringbone Check</t>
  </si>
  <si>
    <t>PP000954;PF006338</t>
  </si>
  <si>
    <t>Gingham</t>
  </si>
  <si>
    <t>TN20-0570</t>
  </si>
  <si>
    <t>TN20-0571</t>
  </si>
  <si>
    <t>AMAZON,AMAZONDS,CSNSTORES,OLLIIX,TGTDVS</t>
  </si>
  <si>
    <t>TN20-0572</t>
  </si>
  <si>
    <t>AMAZON,AMAZONDS,JCPENNEY01,NRTPORT,OLLIIX,TGTDVS</t>
  </si>
  <si>
    <t>TN20-0573</t>
  </si>
  <si>
    <t>TN20-0574</t>
  </si>
  <si>
    <t>TN20-0510</t>
  </si>
  <si>
    <t>Gray Skiers</t>
  </si>
  <si>
    <t>PP000954;PF006047</t>
  </si>
  <si>
    <t>8/30/2023</t>
  </si>
  <si>
    <t>AMAZON,AMAZONDS,BLK01,CSNSTORES,JCPENNEY01,MACY02,OVERSTOCK01,TGTDVS</t>
  </si>
  <si>
    <t>TN20-0511</t>
  </si>
  <si>
    <t>AMAZON,AMAZONDS,CSNSTORES,JCPENNEY01,MACY02,NRTPORT,OVERSTOCK01,TGTDVS</t>
  </si>
  <si>
    <t>TN20-0512</t>
  </si>
  <si>
    <t>AMAZON,AMAZONDS,DESINC,KOHLDSN,MACY02,OVERSTOCK01,TGTDVS</t>
  </si>
  <si>
    <t>TN20-0513</t>
  </si>
  <si>
    <t>TN20-0514</t>
  </si>
  <si>
    <t>AMAZON,AMAZONDS,KOHLDSN,MACY02,NRTPORT,OLLIIX,TGTDVS</t>
  </si>
  <si>
    <t>TN20-0515</t>
  </si>
  <si>
    <t>TN20-0516</t>
  </si>
  <si>
    <t>Gray/Taupe Nordic</t>
  </si>
  <si>
    <t>PP000954;PF006048</t>
  </si>
  <si>
    <t>8/19/2023</t>
  </si>
  <si>
    <t>AMAZON,AMAZONDS,DESINC,JCPENNEY01,KOHLDSN,MACY02,NRTPORT,OVERSTOCK01,TGTDVS</t>
  </si>
  <si>
    <t>TN20-0517</t>
  </si>
  <si>
    <t>AMAZON,AMAZONDS,JCPENNEY01,MACY02,TGTDVS</t>
  </si>
  <si>
    <t>TN20-0518</t>
  </si>
  <si>
    <t>TN20-0519</t>
  </si>
  <si>
    <t>8/22/2023</t>
  </si>
  <si>
    <t>AMAZON,AMAZONDS,JCPENNEY01,KOHLDSN,MACY02,NRTPORT,OLLIIX</t>
  </si>
  <si>
    <t>TN20-0520</t>
  </si>
  <si>
    <t>AMAZON,CSNSTORES,DESINC,JCPENNEY01,MACY02,OLLIIX,OVERSTOCK01,TGTDVS</t>
  </si>
  <si>
    <t>TN20-0521</t>
  </si>
  <si>
    <t>AMAZON,AMAZONDS,BLK01,CSNSTORES,DESINC,MACY02,OVERSTOCK01,TGTDVS</t>
  </si>
  <si>
    <t>TN20-0557</t>
  </si>
  <si>
    <t>Tan Woodland Winter</t>
  </si>
  <si>
    <t>PP000954;PF006336</t>
  </si>
  <si>
    <t>TN20-0558</t>
  </si>
  <si>
    <t>TN20-0559</t>
  </si>
  <si>
    <t>TN20-0560</t>
  </si>
  <si>
    <t>AMAZON,AMAZONDS,CSNSTORES,HDDS,JCPENNEY01,MACY02,NRTPORT,OLLIIX,OVERSTOCK01,TGTDVS</t>
  </si>
  <si>
    <t>TN20-0561</t>
  </si>
  <si>
    <t>TN20-0562</t>
  </si>
  <si>
    <t>AMAZON,AMAZONDS,JCPENNEY01,MACY02,NRTPORT,TGTDVS</t>
  </si>
  <si>
    <t>TN20-0563</t>
  </si>
  <si>
    <t>White Village Print</t>
  </si>
  <si>
    <t>PP000954;PF006337</t>
  </si>
  <si>
    <t>TN20-0564</t>
  </si>
  <si>
    <t>AMAZON,AMAZONDS,MACY02,NRTPORT,TGTDVS</t>
  </si>
  <si>
    <t>TN20-0565</t>
  </si>
  <si>
    <t>AMAZON,AMAZONDS,KOHLDSN,MACY02,NRTPORT,TGTDVS</t>
  </si>
  <si>
    <t>TN20-0566</t>
  </si>
  <si>
    <t>AMAZONDS,OLLIIX</t>
  </si>
  <si>
    <t>TN20-0567</t>
  </si>
  <si>
    <t>TN20-0568</t>
  </si>
  <si>
    <t>SHET20-996</t>
  </si>
  <si>
    <t>Micro Fleece</t>
  </si>
  <si>
    <t>Sheet Set</t>
  </si>
  <si>
    <t>Grey Plaid</t>
  </si>
  <si>
    <t>PF002215</t>
  </si>
  <si>
    <t>AMAZON,AMAZONDS,CSNSTORES,KOHLDSN,MACY02,OLLIIX,OVERSTOCK01,WALMARTDS</t>
  </si>
  <si>
    <t>SHET20-997</t>
  </si>
  <si>
    <t>AMAZON,AMAZONDS,BLK01,CSNSTORES,KOHLDSN,MACY02,OVERSTOCK01</t>
  </si>
  <si>
    <t>SHET20-998</t>
  </si>
  <si>
    <t>AMAZON,AMAZONDS,BLK01,CSNSTORES,DESINC,JCPENNEY01,KOHLDSN,MACY02,OLLIIX,OVERSTOCK01,WALMARTDS</t>
  </si>
  <si>
    <t>PC20-124</t>
  </si>
  <si>
    <t>PF001746</t>
  </si>
  <si>
    <t>AMAZON,AMAZONDS,CSNSTORES,KOHLDSN,MACY02,WALMARTDS</t>
  </si>
  <si>
    <t>11/9/2016</t>
  </si>
  <si>
    <t>SHET20-747</t>
  </si>
  <si>
    <t>AMAZON,DESINC,FINGERHUTDS,HSNDS,JCPENNEY01,KOHLDSN,MACY02,OVERSTOCK01</t>
  </si>
  <si>
    <t>PC20-125</t>
  </si>
  <si>
    <t>AMAZON,AMAZONDS,CSNSTORES,HSNDS,JCPENNEY01,KOHLDSN,MACY02,OVERSTOCK01</t>
  </si>
  <si>
    <t>PC20-126</t>
  </si>
  <si>
    <t>AMAZON,AMAZONDS,BLK01,CSNSTORES,DESINC,FINGERHUTDS,HSNDS,JCPENNEY01,KOHLDSN,MACY02,OLLIIX,OVERSTOCK01,TGTDVS,WALMARTDS</t>
  </si>
  <si>
    <t>SHET20-748</t>
  </si>
  <si>
    <t>PC20-005</t>
  </si>
  <si>
    <t>PF001735</t>
  </si>
  <si>
    <t>AMAZON,AMAZONDS,CSNSTORES,DESINC,JCPENNEY01,KOHLDSN,MACY02,OLLIIX,TGTDVS,WALMARTDS</t>
  </si>
  <si>
    <t>SHET20-743</t>
  </si>
  <si>
    <t>AMAZON,AMAZONDS,CSNSTORES,KOHLDSN,MACY02,OVERSTOCK01,TGTDVS,WALMARTDS</t>
  </si>
  <si>
    <t>PC20-006</t>
  </si>
  <si>
    <t>AMAZON,AMAZONDS,CSNSTORES,DESINC,JCPENNEY01,KOHLDSN,MACY02,OVERSTOCK01,WALMARTDS</t>
  </si>
  <si>
    <t>PC20-007</t>
  </si>
  <si>
    <t>AMAZON,AMAZONDS,BLK01,CSNSTORES,DESINC,FINGERHUTDS,JCPENNEY01,KOHLDSN,MACY02,OLLIIX,OVERSTOCK01</t>
  </si>
  <si>
    <t>10/19/2016</t>
  </si>
  <si>
    <t>PC20-008</t>
  </si>
  <si>
    <t>SHET20-744</t>
  </si>
  <si>
    <t>SHET20-526</t>
  </si>
  <si>
    <t>PF001774</t>
  </si>
  <si>
    <t>SHET20-735</t>
  </si>
  <si>
    <t>SHET20-527</t>
  </si>
  <si>
    <t>AMAZON,BLK01,CSNSTORES,KOHLDSN,MACY02,OLLIIX,OVERSTOCK01</t>
  </si>
  <si>
    <t>SHET20-528</t>
  </si>
  <si>
    <t>AMAZON,AMAZONDS,BLK01,CSNSTORES,DESINC,FINGERHUTDS,JCPENNEY01,KOHLDSN,MACY02,OLLIIX,OVERSCONSIGN,OVERSTOCK01,TGTDVS,WALMARTDS</t>
  </si>
  <si>
    <t>SHET20-529</t>
  </si>
  <si>
    <t>AMAZON,AMAZONDS,BLK01,CSNSTORES,DESINC,FINGERHUTDS,JCPENNEY01,KOHLDSN,MACY02,NRTPORT,OLLIIX,OVERSTOCK01,WALMARTDS</t>
  </si>
  <si>
    <t>SHET20-736</t>
  </si>
  <si>
    <t>AMAZON,AMAZONDS,FINGERHUTDS,JCPENNEY01,KOHLDSN,MACY02,OLLIIX,OVERSTOCK01</t>
  </si>
  <si>
    <t>PC20-009</t>
  </si>
  <si>
    <t>PF001563</t>
  </si>
  <si>
    <t>SHET20-745</t>
  </si>
  <si>
    <t>PC20-010</t>
  </si>
  <si>
    <t>AMAZONDS,BLK01,CSNSTORES,JCPENNEY01,KOHLDSN,MACY02,OLLIIX,OVERSTOCK01,WALMARTDS</t>
  </si>
  <si>
    <t>PC20-011</t>
  </si>
  <si>
    <t>PC20-012</t>
  </si>
  <si>
    <t>SHET20-746</t>
  </si>
  <si>
    <t>SHET20-741</t>
  </si>
  <si>
    <t>PF001674</t>
  </si>
  <si>
    <t>PC20-002</t>
  </si>
  <si>
    <t>AMAZON,AMAZONDS,BLK01,CSNSTORES,FINGERHUTDS,JCPENNEY01,KOHLDSN,MACY02,OLLIIX,WALMARTDS</t>
  </si>
  <si>
    <t>PC20-003</t>
  </si>
  <si>
    <t>AMAZON,AMAZONDS,BLK01,CSNSTORES,DESINC,FINGERHUTDS,HSNDS,JCPENNEY01,KOHLDSN,MACY02,OLLIIX,OVERSTOCK01</t>
  </si>
  <si>
    <t>PC20-004</t>
  </si>
  <si>
    <t>SHET20-742</t>
  </si>
  <si>
    <t>AMAZON,AMAZONDS,CSNSTORES,FINGERHUTDS,JCPENNEY01,KOHLDSN,MACY02,OVERSTOCK01</t>
  </si>
  <si>
    <t>SHET20-796</t>
  </si>
  <si>
    <t>PF001777</t>
  </si>
  <si>
    <t>AMAZONDS,CSNSTORES,DESINC,JCPENNEY01,KOHLDSN,MACY02,OVERSTOCK01,TGTDVS</t>
  </si>
  <si>
    <t>12/6/2016</t>
  </si>
  <si>
    <t>SHET20-793</t>
  </si>
  <si>
    <t>AMAZON,BLK01,CSNSTORES,FINGERHUTDS,JCPENNEY01,KOHLDSN,MACY02,NRTPORT,OVERSTOCK01,WALMARTDS</t>
  </si>
  <si>
    <t>SHET20-794</t>
  </si>
  <si>
    <t>SHET20-797</t>
  </si>
  <si>
    <t>AMAZON,AMAZONDS,FINGERHUTDS,HSNDS,JCPENNEY01,KOHLDSN,MACY02,OVERSTOCK01</t>
  </si>
  <si>
    <t>SHET20-530</t>
  </si>
  <si>
    <t>PF001775</t>
  </si>
  <si>
    <t>SHET20-737</t>
  </si>
  <si>
    <t>AMAZON,AMAZONDS,CSNSTORES,FINGERHUTDS,JCPENNEY01,KOHLDSN,MACY02</t>
  </si>
  <si>
    <t>SHET20-533</t>
  </si>
  <si>
    <t>AMAZON,AMAZONDS,BLK01,CSNSTORES,JCPENNEY01,KOHLDSN,MACY02,OLLIIX,OVERSTOCK01,WALMARTDS</t>
  </si>
  <si>
    <t>SHET20-738</t>
  </si>
  <si>
    <t>AMAZON,AMAZONDS,BLK01,CSNSTORES,JCPENNEY01,KOHLDSN,MACY02</t>
  </si>
  <si>
    <t>SHET20-534</t>
  </si>
  <si>
    <t>PF001776</t>
  </si>
  <si>
    <t>SHET20-739</t>
  </si>
  <si>
    <t>SHET20-535</t>
  </si>
  <si>
    <t>AMAZON,CSNSTORES,KOHLDSN,MACY02,OLLIIX</t>
  </si>
  <si>
    <t>SHET20-536</t>
  </si>
  <si>
    <t>SHET20-537</t>
  </si>
  <si>
    <t>SHET20-740</t>
  </si>
  <si>
    <t>AMAZON,JCPENNEY01,KOHLDSN,MACY02,OLLIIX</t>
  </si>
  <si>
    <t>TN20-0589</t>
  </si>
  <si>
    <t>PP001622;PF006393</t>
  </si>
  <si>
    <t>8/31/2024</t>
  </si>
  <si>
    <t>TN20-0590</t>
  </si>
  <si>
    <t>AMAZON,JCPENNEY01,KOHLDSN,MACY02</t>
  </si>
  <si>
    <t>TN20-0591</t>
  </si>
  <si>
    <t>TN20-0592</t>
  </si>
  <si>
    <t>JCPENNEY01,KOHLDSN,MACY02,OLLIIX,OVERSTOCK01,TGTDVS</t>
  </si>
  <si>
    <t>TN20-0593</t>
  </si>
  <si>
    <t>TN20-0594</t>
  </si>
  <si>
    <t>CSNSTORES,KOHLDSN,TGTDVS</t>
  </si>
  <si>
    <t>TN20-0460</t>
  </si>
  <si>
    <t>PP001622;PF005448</t>
  </si>
  <si>
    <t>5/27/2021</t>
  </si>
  <si>
    <t>TN20-0461</t>
  </si>
  <si>
    <t>TN20-0462</t>
  </si>
  <si>
    <t>TN20-0463</t>
  </si>
  <si>
    <t>TN20-0464</t>
  </si>
  <si>
    <t>AMAZON,AMAZONDS,BLK01,JCPENNEY01,KOHLDSN,MACY02,OLLIIX</t>
  </si>
  <si>
    <t>TN20-0465</t>
  </si>
  <si>
    <t>AMAZON,FINGERHUTDS,KOHLDSN,MACY02,OVERSTOCK01</t>
  </si>
  <si>
    <t>TN20-0522</t>
  </si>
  <si>
    <t>PP001622;PF006086</t>
  </si>
  <si>
    <t>10/26/2023</t>
  </si>
  <si>
    <t>TN20-0523</t>
  </si>
  <si>
    <t>TN20-0524</t>
  </si>
  <si>
    <t>TN20-0525</t>
  </si>
  <si>
    <t>TN20-0526</t>
  </si>
  <si>
    <t>TN20-0527</t>
  </si>
  <si>
    <t>AMAZON,AMAZONDS,KOHLDSN,TGTDVS</t>
  </si>
  <si>
    <t>TN20-0528</t>
  </si>
  <si>
    <t>PP001622;PF006087</t>
  </si>
  <si>
    <t>10/25/2023</t>
  </si>
  <si>
    <t>TN20-0529</t>
  </si>
  <si>
    <t>AMAZON,CSNSTORES,JCPENNEY01,KOHLDSN,TGTDVS</t>
  </si>
  <si>
    <t>TN20-0530</t>
  </si>
  <si>
    <t>TN20-0531</t>
  </si>
  <si>
    <t>AMAZON,CSNSTORES,JCPENNEY01,KOHLDSN,OVERSTOCK01,TGTDVS</t>
  </si>
  <si>
    <t>TN20-0532</t>
  </si>
  <si>
    <t>Grey Snowflake</t>
  </si>
  <si>
    <t>PP001622;PF006088</t>
  </si>
  <si>
    <t>TN20-0533</t>
  </si>
  <si>
    <t>TN20-0534</t>
  </si>
  <si>
    <t>TN20-0535</t>
  </si>
  <si>
    <t>TN20-0448</t>
  </si>
  <si>
    <t>PP001622;PF005446</t>
  </si>
  <si>
    <t>AMAZON,CSNSTORES,FINGERHUTDS,JCPENNEY01,KOHLDSN,MACY02,OLLIIX,OVERSTOCK01,TGTDVS</t>
  </si>
  <si>
    <t>TN20-0449</t>
  </si>
  <si>
    <t>AMAZON,AMAZONDS,CSNSTORES,JCPENNEY01,KOHLDSN,MACY02,OLLIIX,OVERSCONSIGN,OVERSTOCK01,TGTDVS</t>
  </si>
  <si>
    <t>TN20-0450</t>
  </si>
  <si>
    <t>5/28/2021</t>
  </si>
  <si>
    <t>TN20-0451</t>
  </si>
  <si>
    <t>AMAZON,AMAZONDS,CSNSTORES,DESINC,FINGERHUTDS,JCPENNEY01,KOHLDSN,MACY02,OLLIIX,OVERSTOCK01,TGTDVS</t>
  </si>
  <si>
    <t>TN20-0452</t>
  </si>
  <si>
    <t>AMAZON,CSNSTORES,DESINC,JCPENNEY01,KOHLDSN,MACY02,OLLIIX,OVERSTOCK01,TGTDVS</t>
  </si>
  <si>
    <t>TN20-0453</t>
  </si>
  <si>
    <t>AMAZON,CSNSTORES,JCPENNEY01,KOHLDSN,MACY02,TGTDVS</t>
  </si>
  <si>
    <t>BL20-0445</t>
  </si>
  <si>
    <t>Soloft Plush</t>
  </si>
  <si>
    <t>Micro Plush Sheet Set</t>
  </si>
  <si>
    <t>PF001663</t>
  </si>
  <si>
    <t>AMAZON,AMAZONDS,KOHLDSN,MACY02,NRTPORT,WALMARTDS</t>
  </si>
  <si>
    <t>BL20-0446</t>
  </si>
  <si>
    <t>AMAZON,AMAZONDS,KOHLDSN,MACY02,OLLIIX,OVERSTOCK01,WALMARTDS</t>
  </si>
  <si>
    <t>BL20-0447</t>
  </si>
  <si>
    <t>AMAZONDS,CSNSTORES,DESINC,KOHLDSN,MACY02,NRTPORT,OLLIIX,OVERSTOCK01</t>
  </si>
  <si>
    <t>BL20-0869</t>
  </si>
  <si>
    <t>PF001719</t>
  </si>
  <si>
    <t>AMAZON,AMAZONDS,JCPENNEY01,KOHLDSN,MACY02,NRTPORT</t>
  </si>
  <si>
    <t>BL20-0870</t>
  </si>
  <si>
    <t>2/7/2017</t>
  </si>
  <si>
    <t>BL20-0871</t>
  </si>
  <si>
    <t>3/6/2017</t>
  </si>
  <si>
    <t>BL20-0872</t>
  </si>
  <si>
    <t>AMAZON,AMAZONDS,CSNSTORES,DESINC,JCPENNEY01,KOHLDSN,MACY02,NRTPORT,OLLIIX,OVERSTOCK01</t>
  </si>
  <si>
    <t>2/8/2017</t>
  </si>
  <si>
    <t>BL20-0601</t>
  </si>
  <si>
    <t>PF001708</t>
  </si>
  <si>
    <t>AMAZON,AMAZONDS,CSNSTORES,DESINC,JCPENNEY01,KOHLDSN,MACY02,OLLIIX,OVERSTOCK01</t>
  </si>
  <si>
    <t>BL20-0602</t>
  </si>
  <si>
    <t>AMAZON,AMAZONDS,JCPENNEY01,KOHLDSN,MACY02,NRTPORT,OVERSTOCK01,WALMARTDS</t>
  </si>
  <si>
    <t>11/19/2015</t>
  </si>
  <si>
    <t>BL20-0603</t>
  </si>
  <si>
    <t>AMAZONDS,BLK01,CSNSTORES,DESINC,KOHLDSN,MACY02,NRTPORT,OLLIIX,OVERSTOCK01</t>
  </si>
  <si>
    <t>BL20-0604</t>
  </si>
  <si>
    <t>AMAZON,AMAZONDS,BEALLSDS,CSNSTORES,KOHLDSN,MACY02,NRTPORT,OLLIIX,OVERSCONSIGN</t>
  </si>
  <si>
    <t>12/21/2015</t>
  </si>
  <si>
    <t>BL20-0453</t>
  </si>
  <si>
    <t>PF001697</t>
  </si>
  <si>
    <t>AMAZONDS,CSNSTORES,JCPENNEY01,KOHLDSN,MACY02,NRTPORT</t>
  </si>
  <si>
    <t>BL20-0454</t>
  </si>
  <si>
    <t>BL20-0455</t>
  </si>
  <si>
    <t>AMAZONDS,BEALLSDS,DESINC,JCPENNEY01,KOHLDSN,MACY02,NRTPORT,OLLIIX,OVERSTOCK01</t>
  </si>
  <si>
    <t>BL20-0456</t>
  </si>
  <si>
    <t>AMAZON,AMAZONDS,BLK01,CSNSTORES,JCPENNEY01,KOHLDSN,MACY02,NRTPORT,OLLIIX</t>
  </si>
  <si>
    <t>BL20-0449</t>
  </si>
  <si>
    <t>PF001675</t>
  </si>
  <si>
    <t>AMAZON,AMAZONDS,BLK01,CSNSTORES,KOHLDSN,MACY02</t>
  </si>
  <si>
    <t>BL20-0450</t>
  </si>
  <si>
    <t>AMAZON,AMAZONDS,CSNSTORES,KOHLDSN,MACY02,NRTPORT,OLLIIX</t>
  </si>
  <si>
    <t>1/15/2016</t>
  </si>
  <si>
    <t>BL20-0452</t>
  </si>
  <si>
    <t>AMAZON,AMAZONDS,BEALLSDS,CSNSTORES,DESINC,KOHLDSN,MACY02,NRTPORT,OLLIIX,OVERSTOCK01</t>
  </si>
  <si>
    <t>TN20-0581</t>
  </si>
  <si>
    <t>PP001621;PF006391</t>
  </si>
  <si>
    <t>AMAZONDS,KOHLDSN,MACY02,OLLIIX</t>
  </si>
  <si>
    <t>TN20-0582</t>
  </si>
  <si>
    <t>AMAZON,KOHLDSN,MACY02,OLLIIX,OVERSTOCK01</t>
  </si>
  <si>
    <t>TN20-0583</t>
  </si>
  <si>
    <t>TN20-0584</t>
  </si>
  <si>
    <t>AMAZONDS,KOHLDSN,MACY02,OLLIIX,OVERSTOCK01</t>
  </si>
  <si>
    <t>BL20-0457</t>
  </si>
  <si>
    <t>PF001686</t>
  </si>
  <si>
    <t>AMAZONDS,CSNSTORES,DESINC,JCPENNEY01,KOHLDSN,MACY02,OLLIIX</t>
  </si>
  <si>
    <t>BL20-0458</t>
  </si>
  <si>
    <t>BL20-0460</t>
  </si>
  <si>
    <t>AMAZON,AMAZONDS,BLK01,CSNSTORES,DESINC,JCPENNEY01,KOHLDSN,MACY02,OLLIIX</t>
  </si>
  <si>
    <t>TN20-0585</t>
  </si>
  <si>
    <t>PP001621;PF006392</t>
  </si>
  <si>
    <t>TN20-0586</t>
  </si>
  <si>
    <t>TN20-0587</t>
  </si>
  <si>
    <t>AMAZONDS,CSNSTORES,KOHLDSN,MACY02,OLLIIX,OVERSTOCK01</t>
  </si>
  <si>
    <t>TN20-0588</t>
  </si>
  <si>
    <t>DESINC,JCPENNEY01,KOHLDSN,MACY02,OLLIIX</t>
  </si>
  <si>
    <t>BR20-0986</t>
  </si>
  <si>
    <t>600 Thread Count</t>
  </si>
  <si>
    <t>Cooling Cotton Blend 4 PC Sheet Set</t>
  </si>
  <si>
    <t>PP001188;PF004693</t>
  </si>
  <si>
    <t>5/14/2019</t>
  </si>
  <si>
    <t>AAFESDS,AMAZON,AMAZONDS,BEALLSDS,BLK01,CSNSTORES,DESINC,FINGERHUTDS,HDDS,JCPENNEY01,KOHLDSN,MACY02,NORDSTRACKDS,NRTPORT,OLLIIX,OVERSTOCK01,TGTDVS,WALMARTDS</t>
  </si>
  <si>
    <t>11/30/2019</t>
  </si>
  <si>
    <t>BR20-0987</t>
  </si>
  <si>
    <t>AAFESDS,AMAZON,BEALLSDS,BLK01,CSNSTORES,DESINC,FINGERHUTDS,HDDS,JCPENNEY01,KOHLDSN,MACY02,NORDSTRACKDS,NRTPORT,OLLIIX,OVERSTOCK01,TGTDVS,WALMARTDS</t>
  </si>
  <si>
    <t>BR20-0988</t>
  </si>
  <si>
    <t>AAFESDS,AMAZON,AMAZONDS,BEALLSDS,BLK01,CSNSTORES,DESINC,FINGERHUTDS,HDDS,JCPENNEY01,KOHLDSN,MACY02,NORDSTRACKDS,NRTPORT,OLLIIX,OVERSCONSIGN,OVERSTOCK01,TGTDVS,WALMARTDS</t>
  </si>
  <si>
    <t>BR20-0989</t>
  </si>
  <si>
    <t>AAFESDS,AMAZON,AMAZONDS,BLK01,CSNSTORES,FINGERHUTDS,HDDS,JCPENNEY01,KOHLDSN,MACY02,NORDSTRACKDS,NRTPORT,OLLIIX,OVERSTOCK01,TGTDVS,WALMARTDS</t>
  </si>
  <si>
    <t>8/12/2019</t>
  </si>
  <si>
    <t>BR20-1002</t>
  </si>
  <si>
    <t>PP001188;PF004697</t>
  </si>
  <si>
    <t>AAFESDS,AMAZON,AMAZONDS,BLK01,CSNSTORES,FINGERHUTDS,JCPENNEY01,KOHLDSN,MACY02,NRTPORT,OLLIIX,OVERSTOCK01,TGTDVS,WALMARTDS</t>
  </si>
  <si>
    <t>BR20-1003</t>
  </si>
  <si>
    <t>AAFESDS,AMAZON,BEALLSDS,BLK01,CSNSTORES,DESINC,FINGERHUTDS,HDDS,JCPENNEY01,KOHLDSN,MACY02,NRTPORT,OLLIIX,OVERSTOCK01,TGTDVS,WALMARTDS</t>
  </si>
  <si>
    <t>BR20-1004</t>
  </si>
  <si>
    <t>AAFESDS,AMAZON,AMAZONDS,BEALLSDS,BLK01,CSNSTORES,FINGERHUTDS,HDDS,JCPENNEY01,KOHLDSN,MACY02,NORDSTRACKDS,NRTPORT,OLLIIX,OVERSTOCK01,TGTDVS,WALMARTDS</t>
  </si>
  <si>
    <t>BR20-1005</t>
  </si>
  <si>
    <t>AAFESDS,AMAZONDS,BLK01,CSNSTORES,DESINC,FINGERHUTDS,HDDS,JCPENNEY01,KOHLDSN,MACY02,OVERSTOCK01,TGTDVS,WALMARTDS</t>
  </si>
  <si>
    <t>BR20-0998</t>
  </si>
  <si>
    <t>PP001188;PF004696</t>
  </si>
  <si>
    <t>AAFESDS,AMAZON,AMAZONDS,BLK01,CSNSTORES,DESINC,FINGERHUTDS,JCPENNEY01,KOHLDSN,MACY02,OVERSTOCK01,TGTDVS,WALMARTDS</t>
  </si>
  <si>
    <t>BR20-0999</t>
  </si>
  <si>
    <t>AAFESDS,AMAZONDS,BEALLSDS,BLK01,CSNSTORES,DESINC,FINGERHUTDS,HDDS,HOUZZ,JCPENNEY01,KOHLDSN,MACY02,NORDSTRACKDS,NRTPORT,OLLIIX,OVERSTOCK01,TGTDVS,WALMARTDS</t>
  </si>
  <si>
    <t>7/19/2019</t>
  </si>
  <si>
    <t>BR20-1000</t>
  </si>
  <si>
    <t>AAFESDS,AMAZON,AMAZONDS,BEALLSDS,BLK01,CSNSTORES,DESINC,FINGERHUTDS,HDDS,JCPENNEY01,KOHLDSN,MACY02,NRTPORT,OLLIIX,OVERSTOCK01,TGTDVS,WALMARTDS</t>
  </si>
  <si>
    <t>BR20-1001</t>
  </si>
  <si>
    <t>AAFESDS,AMAZON,AMAZONDS,BLK01,CSNSTORES,DESINC,FINGERHUTDS,HDDS,JCPENNEY01,KOHLDSN,MACY02,NORDSTRACKDS,NRTPORT,OVERSTOCK01,TGTDVS,WALMARTDS</t>
  </si>
  <si>
    <t>BR20-0994</t>
  </si>
  <si>
    <t>PP001188;PF004695</t>
  </si>
  <si>
    <t>AAFESDS,AMAZON,BLK01,CSNSTORES,FINGERHUTDS,HDDS,JCPENNEY01,KOHLDSN,MACY02,NORDSTRACKDS,OVERSTOCK01,TGTDVS,WALMARTDS</t>
  </si>
  <si>
    <t>12/2/2019</t>
  </si>
  <si>
    <t>BR20-0995</t>
  </si>
  <si>
    <t>AAFESDS,AMAZON,AMAZONDS,BEALLSDS,BLK01,CSNSTORES,DESINC,FINGERHUTDS,HDDS,JCPENNEY01,KIRKLANDDS,KOHLDSN,MACY02,NRTPORT,OLLIIX,OVERSTOCK01,TGTDVS,WALMARTDS</t>
  </si>
  <si>
    <t>7/1/2019</t>
  </si>
  <si>
    <t>BR20-0996</t>
  </si>
  <si>
    <t>AAFESDS,AMAZON,AMAZONDS,BLK01,CSNSTORES,FINGERHUTDS,JCPENNEY01,KOHLDSN,MACY02,NORDSTRACKDS,NRTPORT,OLLIIX,OVERSTOCK01,TGTDVS,WALMARTDS</t>
  </si>
  <si>
    <t>9/12/2019</t>
  </si>
  <si>
    <t>BR20-0997</t>
  </si>
  <si>
    <t>AAFESDS,AMAZON,AMAZONDS,BLK01,CSNSTORES,DESINC,FINGERHUTDS,HDDS,JCPENNEY01,KOHLDSN,MACY02,NORDSTRACKDS,OLLIIX,OVERSTOCK01,TGTDVS,WALMARTDS</t>
  </si>
  <si>
    <t>BR20-1911</t>
  </si>
  <si>
    <t>PP001188;PF005144</t>
  </si>
  <si>
    <t>AAFESDS,BLK01,CSNSTORES,DESINC,FINGERHUTDS,JCPENNEY01,KOHLDSN,MACY02,NORDSTRACKDS,NRTPORT,OVERSTOCK01,TGTDVS,WALMARTDS</t>
  </si>
  <si>
    <t>6/18/2021</t>
  </si>
  <si>
    <t>7/14/2021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</si>
  <si>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</si>
  <si>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</si>
  <si>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</si>
  <si>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</si>
  <si>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</si>
  <si>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BLK01,CSNSTORES,FINGERHUTDS,HDDS,JCPENNEY01,KOHLDSN,MACY02,NORDSTRACKDS,NRTPORT,OLLIIX,OVERSTOCK01,TGTDVS,WALMARTDS</t>
  </si>
  <si>
    <t>8/23/2021</t>
  </si>
  <si>
    <t>BR20-1007</t>
  </si>
  <si>
    <t>PP001188;PF004698</t>
  </si>
  <si>
    <t>AAFESDS,AMAZON,AMAZONDS,BLK01,CSNSTORES,DESINC,FINGERHUTDS,HDDS,JCPENNEY01,KIRKLANDDS,KOHLDSN,MACY02,NORDSTRACKDS,NRTPORT,OLLIIX,OVERSTOCK01,TGTDVS,WALMARTDS</t>
  </si>
  <si>
    <t>BR20-1008</t>
  </si>
  <si>
    <t>AAFESDS,AMAZON,BEALLSDS,BLK01,CSNSTORES,DESINC,FINGERHUTDS,HDDS,HOUZZ,JCPENNEY01,KOHLDSN,MACY02,NORDSTRACKDS,NRTPORT,OLLIIX,OVERSTOCK01,TGTDVS,WALMARTDS</t>
  </si>
  <si>
    <t>BR20-1009</t>
  </si>
  <si>
    <t>AAFESDS,AMAZON,AMAZONDS,BEALLSDS,BLK01,CSNSTORES,DESINC,FINGERHUTDS,HDDS,JCPENNEY01,KOHLDSN,MACY02,NORDSTRACKDS,NRTPORT,OVERSCONSIGN,OVERSTOCK01,TGTDVS,WALMARTDS</t>
  </si>
  <si>
    <t>4/12/2020</t>
  </si>
  <si>
    <t>BR20-1915</t>
  </si>
  <si>
    <t>PP001188;PF005145</t>
  </si>
  <si>
    <t>BLK01,CSNSTORES,DESINC,FINGERHUTDS,HDDS,JCPENNEY01,KOHLDSN,MACY02,NORDSTRACKDS,NRTPORT,OLLIIX,OVERSTOCK01,WALMARTDS</t>
  </si>
  <si>
    <t>8/19/2021</t>
  </si>
  <si>
    <t>BR20-1916</t>
  </si>
  <si>
    <t>AAFESDS,BLK01,CSNSTORES,DESINC,FINGERHUTDS,HDDS,HOUZZ,JCPENNEY01,KOHLDSN,MACY02,NORDSTRACKDS,NRTPORT,OLLIIX,OVERSTOCK01,WALMARTDS</t>
  </si>
  <si>
    <t>BR20-1917</t>
  </si>
  <si>
    <t>AAFESDS,BLK01,CSNSTORES,DESINC,FINGERHUTDS,JCPENNEY01,KOHLDSN,MACY02,NORDSTRACKDS,OLLIIX,OVERSTOCK01,WALMARTDS</t>
  </si>
  <si>
    <t>BR20-1918</t>
  </si>
  <si>
    <t>10/15/2021</t>
  </si>
  <si>
    <t>BR20-0990</t>
  </si>
  <si>
    <t>PP001188;PF004694</t>
  </si>
  <si>
    <t>12/8/2019</t>
  </si>
  <si>
    <t>BR20-0991</t>
  </si>
  <si>
    <t>AAFESDS,AMAZONDS,BLK01,CSNSTORES,DESINC,FINGERHUTDS,HDDS,JCPENNEY01,KIRKLANDDS,KOHLDSN,MACY02,NORDSTRACKDS,NRTPORT,OLLIIX,OVERSTOCK01,TGTDVS,WALMARTDS</t>
  </si>
  <si>
    <t>BR20-0992</t>
  </si>
  <si>
    <t>AAFESDS,AMAZON,AMAZONDS,BEALLSDS,BLK01,CSNSTORES,FINGERHUTDS,HDDS,JCPENNEY01,KIRKLANDDS,KOHLDSN,MACY02,NORDSTRACKDS,NRTPORT,OLLIIX,OVERSTOCK01,TGTDVS,WALMARTDS</t>
  </si>
  <si>
    <t>BR20-0993</t>
  </si>
  <si>
    <t>AAFESDS,AMAZON,AMAZONDS,BLK01,CSNSTORES,DESINC,FINGERHUTDS,JCPENNEY01,KOHLDSN,MACY02,NORDSTRACKDS,OVERSTOCK01,TGTDVS</t>
  </si>
  <si>
    <t>9/30/2019</t>
  </si>
  <si>
    <t>BR20-1919</t>
  </si>
  <si>
    <t>PP001188;PF005146</t>
  </si>
  <si>
    <t>AAFESDS,BLK01,CSNSTORES,DESINC,FINGERHUTDS,HDDS,JCPENNEY01,KOHLDSN,MACY02,NORDSTRACKDS,NRTPORT,OVERSTOCK01,TGTDVS,WALMARTDS</t>
  </si>
  <si>
    <t>BR20-1920</t>
  </si>
  <si>
    <t>AAFESDS,BLK01,CSNSTORES,DESINC,FINGERHUTDS,HDDS,HOUZZ,JCPENNEY01,KOHLDSN,MACY02,NRTPORT,OLLIIX,OVERSTOCK01,TGTDVS</t>
  </si>
  <si>
    <t>BR20-1921</t>
  </si>
  <si>
    <t>BLK01,CSNSTORES,DESINC,FINGERHUTDS,HOUZZ,JCPENNEY01,KOHLDSN,MACY02,NORDSTRACKDS,NRTPORT,OLLIIX,OVERSTOCK01,TGTDVS,WALMARTDS</t>
  </si>
  <si>
    <t>7/1/2021</t>
  </si>
  <si>
    <t>BR20-1922</t>
  </si>
  <si>
    <t>BLK01,CSNSTORES,DESINC,FINGERHUTDS,HDDS,JCPENNEY01,KOHLDSN,MACY02,NORDSTRACKDS,OVERSTOCK01,TGTDVS,WALMARTDS</t>
  </si>
  <si>
    <t>BR20-4700</t>
  </si>
  <si>
    <t>PP001188;PF006417</t>
  </si>
  <si>
    <t>11/2/2024</t>
  </si>
  <si>
    <t>BR20-4701</t>
  </si>
  <si>
    <t>BR20-4702</t>
  </si>
  <si>
    <t>BR20-4703</t>
  </si>
  <si>
    <t>BR20-1868</t>
  </si>
  <si>
    <t>1000 Thread Count</t>
  </si>
  <si>
    <t>HeiQ Smart Temperature Cotton Blend 4 PC Sheet Set</t>
  </si>
  <si>
    <t>PP001511;PF005128</t>
  </si>
  <si>
    <t>10/16/2020</t>
  </si>
  <si>
    <t>BR20-1869</t>
  </si>
  <si>
    <t>AAFESDS,AMAZON,AMAZONDS,BLK01,CSNSTORES,DESINC,FINGERHUTDS,HDDS,JCPENNEY01,KOHLDSN,MACY02,NRTPORT,OLLIIX,OVERSTOCK01,TGTDVS,WALMARTDS</t>
  </si>
  <si>
    <t>7/2/2021</t>
  </si>
  <si>
    <t>BR20-1870</t>
  </si>
  <si>
    <t>AAFESDS,AMAZON,AMAZONDS,BLK01,CSNSTORES,FINGERHUTDS,HDDS,JCPENNEY01,KOHLDSN,MACY02,NORDSTRACKDS,NRTPORT,OVERSTOCK01,WALMARTDS</t>
  </si>
  <si>
    <t>BR20-1879</t>
  </si>
  <si>
    <t>PP001511;PF005131</t>
  </si>
  <si>
    <t>BR20-1880</t>
  </si>
  <si>
    <t>AAFESDS,AMAZON,BLK01,CSNSTORES,DESINC,FINGERHUTDS,HDDS,JCPENNEY01,KOHLDSN,MACY02,NORDSTRACKDS,NRTPORT,OLLIIX,OVERSCONSIGN,OVERSTOCK01,TGTDVS,WALMARTDS</t>
  </si>
  <si>
    <t>BR20-1881</t>
  </si>
  <si>
    <t>AAFESDS,AMAZON,AMAZONDS,BLK01,CSNSTORES,FINGERHUTDS,HDDS,JCPENNEY01,KOHLDSN,MACY02,NORDSTRACKDS,NRTPORT,OLLIIX,OVERSCONSIGN,OVERSTOCK01,TGTDVS,WALMARTDS</t>
  </si>
  <si>
    <t>BR20-1882</t>
  </si>
  <si>
    <t>AMAZON,AMAZONDS,BEALLSDS,BLK01,CSNSTORES,DESINC,FINGERHUTDS,HDDS,JCPENNEY01,KOHLDSN,MACY02,NRTPORT,OLLIIX,OVERSTOCK01,WALMARTDS</t>
  </si>
  <si>
    <t>BR20-1875</t>
  </si>
  <si>
    <t>PP001511;PF005130</t>
  </si>
  <si>
    <t>AAFESDS,AMAZON,AMAZONDS,BLK01,CSNSTORES,FINGERHUTDS,HDDS,JCPENNEY01,KOHLDSN,MACY02,NORDSTRACKDS,NRTPORT,OVERSTOCK01,TGTDVS,WALMARTDS</t>
  </si>
  <si>
    <t>9/29/2021</t>
  </si>
  <si>
    <t>BR20-1876</t>
  </si>
  <si>
    <t>BR20-1877</t>
  </si>
  <si>
    <t>AAFESDS,AMAZON,BLK01,CSNSTORES,DESINC,FINGERHUTDS,HDDS,JCPENNEY01,KOHLDSN,MACY02,NRTPORT,OLLIIX,OVERSTOCK01,TGTDVS,WALMARTDS</t>
  </si>
  <si>
    <t>BR20-1878</t>
  </si>
  <si>
    <t>AAFESDS,AMAZON,AMAZONDS,BLK01,CSNSTORES,DESINC,FINGERHUTDS,HDDS,JCPENNEY01,KOHLDSN,MACY02,NORDSTRACKDS,NRTPORT,OVERSTOCK01,WALMARTDS</t>
  </si>
  <si>
    <t>BR20-1887</t>
  </si>
  <si>
    <t>PP001511;PF005133</t>
  </si>
  <si>
    <t>AAFESDS,AMAZON,BEALLSDS,BLK01,CSNSTORES,FINGERHUTDS,HDDS,JCPENNEY01,KOHLDSN,MACY02,NORDSTRACKDS,OLLIIX,OVERSTOCK01,TGTDVS,WALMARTDS</t>
  </si>
  <si>
    <t>7/4/2022</t>
  </si>
  <si>
    <t>BR20-1888</t>
  </si>
  <si>
    <t>AAFESDS,AMAZON,BEALLSDS,BLK01,CSNSTORES,DESINC,FINGERHUTDS,HDDS,JCPENNEY01,KOHLDSN,MACY02,NORDSTRACKDS,NRTPORT,OLLIIX,OVERSCONSIGN,OVERSTOCK01,TGTDVS,WALMARTDS</t>
  </si>
  <si>
    <t>6/30/2021</t>
  </si>
  <si>
    <t>BR20-1889</t>
  </si>
  <si>
    <t>AAFESDS,AMAZON,AMAZONDS,BLK01,CSNSTORES,DESINC,FINGERHUTDS,HDDS,JCPENNEY01,KOHLDSN,MACY02,NORDSTRACKDS,NRTPORT,OLLIIX,OVERSCONSIGN,OVERSTOCK01,TGTDVS,WALMARTDS</t>
  </si>
  <si>
    <t>8/18/2021</t>
  </si>
  <si>
    <t>BR20-1890</t>
  </si>
  <si>
    <t>BR20-1883</t>
  </si>
  <si>
    <t>PP001511;PF005132</t>
  </si>
  <si>
    <t>AAFESDS,AMAZON,BLK01,CSNSTORES,DESINC,FINGERHUTDS,HDDS,JCPENNEY01,KOHLDSN,MACY02,NORDSTRACKDS,NRTPORT,OVERSCONSIGN,OVERSTOCK01,TGTDVS,WALMARTDS</t>
  </si>
  <si>
    <t>BR20-1884</t>
  </si>
  <si>
    <t>BR20-1885</t>
  </si>
  <si>
    <t>BR20-1886</t>
  </si>
  <si>
    <t>AAFESDS,AMAZON,BEALLSDS,BLK01,CSNSTORES,DESINC,FINGERHUTDS,HDDS,JCPENNEY01,KOHLDSN,MACY02,NORDSTRACKDS,NRTPORT,OVERSTOCK01,WALMARTDS</t>
  </si>
  <si>
    <t>BR20-1871</t>
  </si>
  <si>
    <t>PP001511;PF005129</t>
  </si>
  <si>
    <t>AAFESDS,AMAZON,BLK01,CSNSTORES,FINGERHUTDS,HDDS,JCPENNEY01,KOHLDSN,MACY02,NORDSTRACKDS,NRTPORT,OLLIIX,OVERSTOCK01,TGTDVS</t>
  </si>
  <si>
    <t>BR20-1872</t>
  </si>
  <si>
    <t>AAFESDS,AMAZON,BEALLSDS,BLK01,CSNSTORES,DESINC,FINGERHUTDS,HDDS,JCPENNEY01,KOHLDSN,MACY02,NORDSTRACKDS,NRTPORT,OLLIIX,OVERSCONSIGN,OVERSTOCK01,TGTDVS</t>
  </si>
  <si>
    <t>7/12/2021</t>
  </si>
  <si>
    <t>BR20-1873</t>
  </si>
  <si>
    <t>AAFESDS,AMAZON,BEALLSDS,BLK01,CSNSTORES,DESINC,FINGERHUTDS,HDDS,JCPENNEY01,KOHLDSN,MACY02,NORDSTRACKDS,NRTPORT,OVERSTOCK01,TGTDVS,WALMARTDS</t>
  </si>
  <si>
    <t>BR20-1874</t>
  </si>
  <si>
    <t>8/12/2021</t>
  </si>
  <si>
    <t>BR20-1857</t>
  </si>
  <si>
    <t>Oversized Cotton Flannel</t>
  </si>
  <si>
    <t>4 Piece Sheet Set</t>
  </si>
  <si>
    <t>Beige Windowpane</t>
  </si>
  <si>
    <t>PP001510;PF005125</t>
  </si>
  <si>
    <t>AMAZONDS,BLK01,CSNSTORES,DESINC,HDDS,JCPENNEY01,KOHLDSN,MACY02,NORDSTRACKDS,OLLIIX,OVERSTOCK01,TGTDVS</t>
  </si>
  <si>
    <t>BR20-1858</t>
  </si>
  <si>
    <t>BR20-1859</t>
  </si>
  <si>
    <t>BR20-4171</t>
  </si>
  <si>
    <t>Beige/White Stripes</t>
  </si>
  <si>
    <t>PP001510;PF006052</t>
  </si>
  <si>
    <t>HDDS,JCPENNEY01,MACY02,OLLIIX,OVERSTOCK01,TGTDVS</t>
  </si>
  <si>
    <t>BR20-4172</t>
  </si>
  <si>
    <t>AMAZON,CSNSTORES,DESINC,HDDS,JCPENNEY01,MACY02,OLLIIX,OVERSTOCK01,TGTDVS</t>
  </si>
  <si>
    <t>BR20-4173</t>
  </si>
  <si>
    <t>BR20-4174</t>
  </si>
  <si>
    <t>AMAZON,CSNSTORES,HDDS,JCPENNEY01,KOHLDSN,MACY02,OVERSTOCK01,TGTDVS</t>
  </si>
  <si>
    <t>BR20-4668</t>
  </si>
  <si>
    <t>Black Snowflakes</t>
  </si>
  <si>
    <t>PP001510;PF006333</t>
  </si>
  <si>
    <t>BR20-4669</t>
  </si>
  <si>
    <t>AMAZON,AMAZONDS,CSNSTORES,JCPENNEY01,KOHLDSN,MACY02</t>
  </si>
  <si>
    <t>BR20-4670</t>
  </si>
  <si>
    <t>BR20-4671</t>
  </si>
  <si>
    <t>BR20-1861</t>
  </si>
  <si>
    <t>Grey Petals</t>
  </si>
  <si>
    <t>PP001510;PF005127</t>
  </si>
  <si>
    <t>AMAZONDS,BLK01,CSNSTORES,DESINC,HDDS,JCPENNEY01,KOHLDSN,MACY02,NORDSTRACKDS</t>
  </si>
  <si>
    <t>BR20-1862</t>
  </si>
  <si>
    <t>AMAZONDS,CSNSTORES,DESINC,HDDS,JCPENNEY01,KOHLDSN,MACY02,OVERSTOCK01</t>
  </si>
  <si>
    <t>BR20-1863</t>
  </si>
  <si>
    <t>AMAZONDS,CSNSTORES,JCPENNEY01,KOHLDSN,MACY02,NORDSTRACKDS,OVERSTOCK01</t>
  </si>
  <si>
    <t>BR20-1853</t>
  </si>
  <si>
    <t>Grey Windowpane</t>
  </si>
  <si>
    <t>PP001510;PF005123</t>
  </si>
  <si>
    <t>AMAZONDS,BLK01,CSNSTORES,FINGERHUTDS,HDDS,JCPENNEY01,KOHLDSN,MACY02,NORDSTRACKDS,OVERSTOCK01,TGTDVS</t>
  </si>
  <si>
    <t>BR20-1854</t>
  </si>
  <si>
    <t>AMAZONDS,BLK01,CSNSTORES,DESINC,HDDS,JCPENNEY01,KOHLDSN,MACY02,OLLIIX,TGTDVS</t>
  </si>
  <si>
    <t>BR20-1855</t>
  </si>
  <si>
    <t>AMAZONDS,CSNSTORES,DESINC,HDDS,JCPENNEY01,KOHLDSN,MACY02,OVERSTOCK01,TGTDVS</t>
  </si>
  <si>
    <t>BR20-1849</t>
  </si>
  <si>
    <t>PP001510;PF005126</t>
  </si>
  <si>
    <t>AMAZONDS,BLK01,CSNSTORES,DESINC,FINGERHUTDS,HDDS,JCPENNEY01,KOHLDSN,MACY02,NORDSTRACKDS,OLLIIX,OVERSTOCK01,TGTDVS</t>
  </si>
  <si>
    <t>BR20-1850</t>
  </si>
  <si>
    <t>AMAZONDS,BLK01,CSNSTORES,HDDS,JCPENNEY01,KOHLDSN,MACY02,NORDSTRACKDS,OLLIIX,OVERSTOCK01,TGTDVS</t>
  </si>
  <si>
    <t>BR20-1851</t>
  </si>
  <si>
    <t>AMAZONDS,BLK01,CSNSTORES,HDDS,JCPENNEY01,KOHLDSN,MACY02,TGTDVS</t>
  </si>
  <si>
    <t>BR20-4672</t>
  </si>
  <si>
    <t>Rust Floral</t>
  </si>
  <si>
    <t>PP001510;PF006334</t>
  </si>
  <si>
    <t>BR20-4673</t>
  </si>
  <si>
    <t>BR20-4674</t>
  </si>
  <si>
    <t>CSNSTORES,HDDS,JCPENNEY01,KOHLDSN,MACY02</t>
  </si>
  <si>
    <t>BR20-4675</t>
  </si>
  <si>
    <t>CSNSTORES,JCPENNEY01,MACY02,TGTDVS</t>
  </si>
  <si>
    <t>BR20-4676</t>
  </si>
  <si>
    <t>Sage Winter Fauna</t>
  </si>
  <si>
    <t>PP001510;PF006335</t>
  </si>
  <si>
    <t>BR20-4677</t>
  </si>
  <si>
    <t>BR20-4678</t>
  </si>
  <si>
    <t>AMAZON,CSNSTORES,HDDS,JCPENNEY01,KOHLDSN,MACY02,TGTDVS</t>
  </si>
  <si>
    <t>BR20-4679</t>
  </si>
  <si>
    <t>BR20-1845</t>
  </si>
  <si>
    <t>Seafoam Solid</t>
  </si>
  <si>
    <t>PP001510;PF005124</t>
  </si>
  <si>
    <t>AMAZONDS,BLK01,CSNSTORES,FINGERHUTDS,HDDS,JCPENNEY01,KOHLDSN,MACY02,OVERSTOCK01,TGTDVS</t>
  </si>
  <si>
    <t>BR20-1846</t>
  </si>
  <si>
    <t>AMAZONDS,BLK01,CSNSTORES,JCPENNEY01,KOHLDSN,MACY02,TGTDVS</t>
  </si>
  <si>
    <t>BR20-1847</t>
  </si>
  <si>
    <t>CSNSTORES,JCPENNEY01,KOHLDSN,MACY02,NORDSTRACKDS,TGTDVS</t>
  </si>
  <si>
    <t>BR20-4167</t>
  </si>
  <si>
    <t>White Tossed Botanical</t>
  </si>
  <si>
    <t>PP001510;PF006051</t>
  </si>
  <si>
    <t>BR20-4168</t>
  </si>
  <si>
    <t>AMAZON,CSNSTORES,JCPENNEY01,MACY02</t>
  </si>
  <si>
    <t>BR20-4169</t>
  </si>
  <si>
    <t>BR20-4170</t>
  </si>
  <si>
    <t>MPH20-0013</t>
  </si>
  <si>
    <t>800 Thread Count</t>
  </si>
  <si>
    <t>Cotton Blend Sateen Sheet Set</t>
  </si>
  <si>
    <t>PF004073</t>
  </si>
  <si>
    <t>BEALLSDS,BLK01,CSNSTORES,FINGERHUTDS,JCPENNEY01,KOHLDSN,MACY02,OLLIIX,OVERSTOCK01,TGTDVS,WALMARTDS</t>
  </si>
  <si>
    <t>MPH20-0014</t>
  </si>
  <si>
    <t>BEALLSDS,BLK01,CSNSTORES,DESINC,FINGERHUTDS,JCPENNEY01,KOHLDSN,MACY02,OLLIIX,OVERSTOCK01,TGTDVS,WALMARTDS</t>
  </si>
  <si>
    <t>MPH20-0015</t>
  </si>
  <si>
    <t>BEALLSDS,CSNSTORES,FINGERHUTDS,JCPENNEY01,KOHLDSN,MACY02,OLLIIX,OVERSTOCK01,TGTDVS,WALMARTDS</t>
  </si>
  <si>
    <t>MPH20-0010</t>
  </si>
  <si>
    <t>PF004072</t>
  </si>
  <si>
    <t>MPH20-0011</t>
  </si>
  <si>
    <t>MPH20-0012</t>
  </si>
  <si>
    <t>MP20-7156</t>
  </si>
  <si>
    <t>Split King</t>
  </si>
  <si>
    <t>PF004072;PP001297</t>
  </si>
  <si>
    <t>3/19/2020</t>
  </si>
  <si>
    <t>BLK01,CSNSTORES,JCPENNEY01,KOHLDSN,MACY02,OLLIIX,OVERSTOCK01,TGTDVS,WALMARTDS</t>
  </si>
  <si>
    <t>MPH20-0016</t>
  </si>
  <si>
    <t>PF004074</t>
  </si>
  <si>
    <t>MPH20-0018</t>
  </si>
  <si>
    <t>MPH20-0001</t>
  </si>
  <si>
    <t>PF004069</t>
  </si>
  <si>
    <t>MPH20-0003</t>
  </si>
  <si>
    <t>MPH20-0021</t>
  </si>
  <si>
    <t>BLK01,CSNSTORES,JCPENNEY01,KOHLDSN,MACY02,OVERSTOCK01,TGTDVS,WALMARTDS</t>
  </si>
  <si>
    <t>MP20-6425</t>
  </si>
  <si>
    <t>PP001297;PF004730</t>
  </si>
  <si>
    <t>MP20-6426</t>
  </si>
  <si>
    <t>BLK01,CSNSTORES,DESINC,FINGERHUTDS,JCPENNEY01,KOHLDSN,MACY02,OLLIIX,OVERSCONSIGN,OVERSTOCK01,TGTDVS,WALMARTDS</t>
  </si>
  <si>
    <t>4/28/2021</t>
  </si>
  <si>
    <t>MP20-6427</t>
  </si>
  <si>
    <t>MP20-7157</t>
  </si>
  <si>
    <t>BLK01,CSNSTORES,DESINC,JCPENNEY01,KOHLDSN,MACY02,NRTPORT,OLLIIX,OVERSTOCK01,TGTDVS,WALMARTDS</t>
  </si>
  <si>
    <t>5/23/2021</t>
  </si>
  <si>
    <t>MPH20-0004</t>
  </si>
  <si>
    <t>PF004070</t>
  </si>
  <si>
    <t>BLK01,CSNSTORES,DESINC,FINGERHUTDS,JCPENNEY01,KIRKLANDDS,KOHLDSN,MACY02,NRTPORT,OLLIIX,OVERSTOCK01,TGTDVS,WALMARTDS</t>
  </si>
  <si>
    <t>2/21/2018</t>
  </si>
  <si>
    <t>MPH20-0006</t>
  </si>
  <si>
    <t>MPH20-0019</t>
  </si>
  <si>
    <t>7/29/2020</t>
  </si>
  <si>
    <t>MP20-6422</t>
  </si>
  <si>
    <t>PP001297;PF004729</t>
  </si>
  <si>
    <t>CSNSTORES,DESINC,FINGERHUTDS,JCPENNEY01,KOHLDSN,MACY02,OLLIIX,OVERSTOCK01,TGTDVS,WALMARTDS,ZOLA</t>
  </si>
  <si>
    <t>MP20-6424</t>
  </si>
  <si>
    <t>CSNSTORES,DESINC,JCPENNEY01,KOHLDSN,MACY02,OVERSTOCK01,TGTDVS,WALMARTDS</t>
  </si>
  <si>
    <t>2/20/2020</t>
  </si>
  <si>
    <t>MP20-7158</t>
  </si>
  <si>
    <t>MPH20-0007</t>
  </si>
  <si>
    <t>PF004071</t>
  </si>
  <si>
    <t>2/27/2018</t>
  </si>
  <si>
    <t>MPH20-0009</t>
  </si>
  <si>
    <t>BEALLSDS,BLK01,CSNSTORES,DESINC,JCPENNEY01,KOHLDSN,MACY02,OLLIIX,OVERSTOCK01,TGTDVS,WALMARTDS</t>
  </si>
  <si>
    <t>MPH20-0020</t>
  </si>
  <si>
    <t>MP20-4388</t>
  </si>
  <si>
    <t>3M Microcell</t>
  </si>
  <si>
    <t>Luxurious Brushed Microfiber Deep Pocket Sheet Set</t>
  </si>
  <si>
    <t>PF001792</t>
  </si>
  <si>
    <t>AMAZONDS,CSNSTORES,HDDS,HSNDS,JCPENNEY01,KOHLDSN,MACY02,OVERSTOCK01,WALMARTDS</t>
  </si>
  <si>
    <t>7/30/2018</t>
  </si>
  <si>
    <t>MP20-4389</t>
  </si>
  <si>
    <t>AMAZON,AMAZONDS,BLK01,CSNSTORES,HDDS,JCPENNEY01,KOHLDSN,MACY02,NRTPORT,OLLIIX,OVERSTOCK01,WALMARTDS</t>
  </si>
  <si>
    <t>MP20-4391</t>
  </si>
  <si>
    <t>AMAZON,BEALLSDS,BLK01,CSNSTORES,HDDS,HSNDS,JCPENNEY01,KOHLDSN,MACY02,NRTPORT,OLLIIX,OVERSTOCK01,WALMARTDS,ZOLA</t>
  </si>
  <si>
    <t>MP20-4392</t>
  </si>
  <si>
    <t>AMAZON,BLK01,CSNSTORES,HDDS,HSNDS,JCPENNEY01,KOHLDSN,MACY02,NRTPORT,OLLIIX,OVERSTOCK01,WALMARTDS,ZOLA</t>
  </si>
  <si>
    <t>MP20-4393</t>
  </si>
  <si>
    <t>AMAZON,AMAZONDS,BLK01,HDDS,JCPENNEY01,KOHLDSN,MACY02,NRTPORT,OVERSTOCK01,WALMARTDS</t>
  </si>
  <si>
    <t>MP20-1180</t>
  </si>
  <si>
    <t>PF001785</t>
  </si>
  <si>
    <t>CSNSTORES,HDDS,HSNDS,JCPENNEY01,KOHLDSN,MACY02,OLLIIX,TGTDVS</t>
  </si>
  <si>
    <t>MP20-2446</t>
  </si>
  <si>
    <t>BLK01,CSNSTORES,DESINC,HDDS,HSNDS,JCPENNEY01,KOHLDSN,MACY02,NRTPORT,OLLIIX,OVERSTOCK01</t>
  </si>
  <si>
    <t>9/28/2016</t>
  </si>
  <si>
    <t>MP20-1181</t>
  </si>
  <si>
    <t>BLK01,CSNSTORES,HDDS,JCPENNEY01,KOHLDSN,MACY02,OLLIIX,OVERSTOCK01,TGTDVS,WALMARTDS</t>
  </si>
  <si>
    <t>MP20-1183</t>
  </si>
  <si>
    <t>BLK01,CSNSTORES,HDDS,HSNDS,JCPENNEY01,KOHLDSN,MACY02,OLLIIX,OVERSTOCK01,TGTDVS,WALMARTDS</t>
  </si>
  <si>
    <t>MP20-1184</t>
  </si>
  <si>
    <t>BLK01,HDDS,HSNDS,JCPENNEY01,KOHLDSN,MACY02,OVERSTOCK01</t>
  </si>
  <si>
    <t>9/28/2015</t>
  </si>
  <si>
    <t>MP20-1185</t>
  </si>
  <si>
    <t>PF001786</t>
  </si>
  <si>
    <t>BLK01,CSNSTORES,HSNDS,JCPENNEY01,KOHLDSN,MACY02,OLLIIX,OVERSTOCK01,TGTDVS</t>
  </si>
  <si>
    <t>MP20-2447</t>
  </si>
  <si>
    <t>CSNSTORES,DESINC,HDDS,HSNDS,JCPENNEY01,KOHLDSN,MACY02,OLLIIX,OVERSTOCK01,WALMARTDS</t>
  </si>
  <si>
    <t>MP20-1186</t>
  </si>
  <si>
    <t>BLK01,CSNSTORES,HSNDS,JCPENNEY01,KOHLDSN,MACY02,OLLIIX,OVERSTOCK01,TGTDVS,WALMARTDS</t>
  </si>
  <si>
    <t>MP20-1188</t>
  </si>
  <si>
    <t>BLK01,CSNSTORES,HSNDS,JCPENNEY01,KOHLDSN,MACY02,OLLIIX,TGTDVS,ZOLA</t>
  </si>
  <si>
    <t>8/17/2015</t>
  </si>
  <si>
    <t>MP20-1189</t>
  </si>
  <si>
    <t>BLK01,CSNSTORES,HDDS,HSNDS,JCPENNEY01,KOHLDSN,MACY02,TGTDVS,ZOLA</t>
  </si>
  <si>
    <t>MP20-1175</t>
  </si>
  <si>
    <t>PF001784</t>
  </si>
  <si>
    <t>HDDS,JCPENNEY01,KOHLDSN,MACY02,OLLIIX,TGTDVS</t>
  </si>
  <si>
    <t>8/20/2015</t>
  </si>
  <si>
    <t>MP20-2445</t>
  </si>
  <si>
    <t>CSNSTORES,DESINC,HDDS,JCPENNEY01,KOHLDSN,MACY02,NRTPORT,OLLIIX</t>
  </si>
  <si>
    <t>MP20-1176</t>
  </si>
  <si>
    <t>MP20-1177</t>
  </si>
  <si>
    <t>BEALLSDS,BLK01,CSNSTORES,HDDS,HSNDS,JCPENNEY01,KOHLDSN,MACY02,OLLIIX,OVERSTOCK01,TGTDVS</t>
  </si>
  <si>
    <t>8/27/2015</t>
  </si>
  <si>
    <t>MP20-1178</t>
  </si>
  <si>
    <t>BEALLSDS,BLK01,CSNSTORES,HSNDS,JCPENNEY01,KOHLDSN,MACY02,OLLIIX,OVERSTOCK01,TGTDVS</t>
  </si>
  <si>
    <t>MP20-1179</t>
  </si>
  <si>
    <t>11/11/2015</t>
  </si>
  <si>
    <t>MP20-2388</t>
  </si>
  <si>
    <t>PF001791</t>
  </si>
  <si>
    <t>AMAZON,AMAZONDS,HDDS,JCPENNEY01,KOHLDSN,MACY02,OLLIIX,OVERSTOCK01</t>
  </si>
  <si>
    <t>MP20-2444</t>
  </si>
  <si>
    <t>AMAZON,AMAZONDS,BLK01,CSNSTORES,HDDS,HSNDS,JCPENNEY01,KOHLDSN,MACY02,OLLIIX,OVERSTOCK01,WALMARTDS</t>
  </si>
  <si>
    <t>MP20-2391</t>
  </si>
  <si>
    <t>AMAZON,AMAZONDS,BLK01,CSNSTORES,HDDS,HSNDS,JCPENNEY01,KOHLDSN,MACY02,OVERSTOCK01,ZOLA</t>
  </si>
  <si>
    <t>MP20-2392</t>
  </si>
  <si>
    <t>AMAZON,AMAZONDS,BLK01,CSNSTORES,HSNDS,JCPENNEY01,KOHLDSN,MACY02,NRTPORT</t>
  </si>
  <si>
    <t>MP20-2383</t>
  </si>
  <si>
    <t>PF001789</t>
  </si>
  <si>
    <t>JCPENNEY01,KOHLDSN,MACY02,OLLIIX,OVERSTOCK01,WALMARTDS</t>
  </si>
  <si>
    <t>MP20-2443</t>
  </si>
  <si>
    <t>BEALLSDS,BLK01,CSNSTORES,HDDS,JCPENNEY01,KOHLDSN,MACY02,NRTPORT,OVERSTOCK01</t>
  </si>
  <si>
    <t>MP20-2384</t>
  </si>
  <si>
    <t>BLK01,CSNSTORES,DESINC,HDDS,JCPENNEY01,KOHLDSN,MACY02,NRTPORT,OLLIIX,WALMARTDS,ZOLA</t>
  </si>
  <si>
    <t>5/30/2019</t>
  </si>
  <si>
    <t>MP20-2385</t>
  </si>
  <si>
    <t>BLK01,CSNSTORES,DESINC,HDDS,JCPENNEY01,KOHLDSN,MACY02,NRTPORT,OLLIIX,OVERSTOCK01,ZOLA</t>
  </si>
  <si>
    <t>MP20-2386</t>
  </si>
  <si>
    <t>BEALLSDS,BLK01,CSNSTORES,HDDS,JCPENNEY01,KIRKLANDDS,KOHLDSN,MACY02,NRTPORT,OLLIIX,OVERSTOCK01,ZOLA</t>
  </si>
  <si>
    <t>7/11/2017</t>
  </si>
  <si>
    <t>MP20-2387</t>
  </si>
  <si>
    <t>AMAZON,BLK01,HDDS,JCPENNEY01,KOHLDSN,MACY02,ZOLA</t>
  </si>
  <si>
    <t>MP20-1190</t>
  </si>
  <si>
    <t>PF001787</t>
  </si>
  <si>
    <t>BEALLSDS,BLK01,HSNDS,JCPENNEY01,KOHLDSN,MACY02,TGTDVS</t>
  </si>
  <si>
    <t>7/5/2016</t>
  </si>
  <si>
    <t>MP20-1191</t>
  </si>
  <si>
    <t>BLK01,CSNSTORES,HSNDS,JCPENNEY01,KOHLDSN,MACY02,TGTDVS</t>
  </si>
  <si>
    <t>MP20-1192</t>
  </si>
  <si>
    <t>5/17/2016</t>
  </si>
  <si>
    <t>MP20-1193</t>
  </si>
  <si>
    <t>BLK01,HDDS,HSNDS,JCPENNEY01,KOHLDSN,MACY02,NRTPORT,OLLIIX,OVERSTOCK01,TGTDVS</t>
  </si>
  <si>
    <t>1/29/2016</t>
  </si>
  <si>
    <t>MP20-1194</t>
  </si>
  <si>
    <t>CSNSTORES,HDDS,HSNDS,JCPENNEY01,KOHLDSN,MACY02,NRTPORT,TGTDVS</t>
  </si>
  <si>
    <t>1/18/2016</t>
  </si>
  <si>
    <t>MP20-5399</t>
  </si>
  <si>
    <t>Peached Percale</t>
  </si>
  <si>
    <t>200 Thread Count Relaxed Cotton Percale Sheet Set</t>
  </si>
  <si>
    <t>PF004092</t>
  </si>
  <si>
    <t>3/23/2018</t>
  </si>
  <si>
    <t>MP20-5401</t>
  </si>
  <si>
    <t>BLK01,CSNSTORES,HDDS,JCPENNEY01,KOHLDSN,MACY02,OLLIIX,TGTDVS,WALMARTDS</t>
  </si>
  <si>
    <t>5/23/2018</t>
  </si>
  <si>
    <t>MP20-5402</t>
  </si>
  <si>
    <t>BEALLSDS,BLK01,CSNSTORES,FINGERHUTDS,JCPENNEY01,KOHLDSN,MACY02,NRTPORT,OLLIIX,OVERSTOCK01,TGTDVS,WALMARTDS</t>
  </si>
  <si>
    <t>MP20-5403</t>
  </si>
  <si>
    <t>BLK01,CSNSTORES,HDDS,JCPENNEY01,KOHLDSN,MACY02,NRTPORT,OLLIIX,OVERSTOCK01,TGTDVS,WALMARTDS</t>
  </si>
  <si>
    <t>2/7/2019</t>
  </si>
  <si>
    <t>MP20-5404</t>
  </si>
  <si>
    <t>BLK01,CSNSTORES,DESINC,FINGERHUTDS,HDDS,HOUZZ,JCPENNEY01,KOHLDSN,MACY02,OLLIIX,TGTDVS,WALMARTDS</t>
  </si>
  <si>
    <t>MP20-5393</t>
  </si>
  <si>
    <t>PF004091</t>
  </si>
  <si>
    <t>CSNSTORES,HDDS,JCPENNEY01,KOHLDSN,MACY02,OLLIIX,OVERSTOCK01,TGTDVS,WALMARTDS</t>
  </si>
  <si>
    <t>5/25/2018</t>
  </si>
  <si>
    <t>MP20-5395</t>
  </si>
  <si>
    <t>BEALLSDS,BLK01,CSNSTORES,FINGERHUTDS,HDDS,JCPENNEY01,KOHLDSN,MACY02,OLLIIX,OVERSTOCK01,TGTDVS,WALMARTDS</t>
  </si>
  <si>
    <t>MP20-5396</t>
  </si>
  <si>
    <t>5/10/2018</t>
  </si>
  <si>
    <t>MP20-5397</t>
  </si>
  <si>
    <t>MP20-5398</t>
  </si>
  <si>
    <t>BLK01,CSNSTORES,FINGERHUTDS,HDDS,JCPENNEY01,KOHLDSN,MACY02,OVERSTOCK01,TGTDVS</t>
  </si>
  <si>
    <t>MP20-5387</t>
  </si>
  <si>
    <t>PF004090</t>
  </si>
  <si>
    <t>MP20-5390</t>
  </si>
  <si>
    <t>BEALLSDS,BLK01,CSNSTORES,DESINC,FINGERHUTDS,HDDS,JCPENNEY01,KOHLDSN,MACY02,OLLIIX,OVERSTOCK01,TGTDVS</t>
  </si>
  <si>
    <t>MP20-5391</t>
  </si>
  <si>
    <t>6/21/2018</t>
  </si>
  <si>
    <t>MP20-5392</t>
  </si>
  <si>
    <t>MP20-5382</t>
  </si>
  <si>
    <t>PF004089</t>
  </si>
  <si>
    <t>BLK01,CSNSTORES,FINGERHUTDS,HDDS,JCPENNEY01,KOHLDSN,MACY02,OLLIIX,TGTDVS</t>
  </si>
  <si>
    <t>6/18/2018</t>
  </si>
  <si>
    <t>MP20-5383</t>
  </si>
  <si>
    <t>BEALLSDS,CSNSTORES,HDDS,JCPENNEY01,KOHLDSN,MACY02,OLLIIX,OVERSTOCK01</t>
  </si>
  <si>
    <t>MP20-5384</t>
  </si>
  <si>
    <t>BEALLSDS,BLK01,CSNSTORES,FINGERHUTDS,HDDS,JCPENNEY01,KOHLDSN,MACY02,OLLIIX,OVERSTOCK01,TGTDVS</t>
  </si>
  <si>
    <t>MP20-5385</t>
  </si>
  <si>
    <t>MP20-5386</t>
  </si>
  <si>
    <t>CSNSTORES,JCPENNEY01,KOHLDSN,MACY02,OVERSTOCK01,TGTDVS,WALMARTDS</t>
  </si>
  <si>
    <t>MP20-5377</t>
  </si>
  <si>
    <t>PF004088</t>
  </si>
  <si>
    <t>MP20-5378</t>
  </si>
  <si>
    <t>MP20-5379</t>
  </si>
  <si>
    <t>BLK01,CSNSTORES,DESINC,JCPENNEY01,KOHLDSN,MACY02,OLLIIX,OVERSTOCK01,TGTDVS,WALMARTDS</t>
  </si>
  <si>
    <t>MP20-5380</t>
  </si>
  <si>
    <t>BEALLSDS,BLK01,CSNSTORES,JCPENNEY01,KOHLDSN,MACY02,OLLIIX,OVERSTOCK01,TGTDVS</t>
  </si>
  <si>
    <t>7/9/2018</t>
  </si>
  <si>
    <t>MP20-5381</t>
  </si>
  <si>
    <t>MP20-5411</t>
  </si>
  <si>
    <t>PF004094</t>
  </si>
  <si>
    <t>3/21/2018</t>
  </si>
  <si>
    <t>10/15/2018</t>
  </si>
  <si>
    <t>MP20-5413</t>
  </si>
  <si>
    <t>MP20-5414</t>
  </si>
  <si>
    <t>MP20-5416</t>
  </si>
  <si>
    <t>CSNSTORES,JCPENNEY01,KOHLDSN,MACY02,OLLIIX</t>
  </si>
  <si>
    <t>MP20-4841</t>
  </si>
  <si>
    <t>1500 Thread Count</t>
  </si>
  <si>
    <t>Cotton Blend 4 PC Sheet Set</t>
  </si>
  <si>
    <t>PF002377</t>
  </si>
  <si>
    <t>9/2/2017</t>
  </si>
  <si>
    <t>BEALLSDS,BLK01,CSNSTORES,DESINC,FINGERHUTDS,HDDS,JCPENNEY01,KOHLDSN,MACY02,OLLIIX,OVERSTOCK01,TGTDVS,WALMARTDS</t>
  </si>
  <si>
    <t>4/19/2019</t>
  </si>
  <si>
    <t>MP20-4842</t>
  </si>
  <si>
    <t>BEALLSDS,BLK01,CSNSTORES,HDDS,JCPENNEY01,KOHLDSN,MACY02,OLLIIX,OVERSTOCK01,TGTDVS,WALMARTDS</t>
  </si>
  <si>
    <t>MP20-6409</t>
  </si>
  <si>
    <t>PP001239;PF004724</t>
  </si>
  <si>
    <t>MP20-6410</t>
  </si>
  <si>
    <t>1/20/2022</t>
  </si>
  <si>
    <t>MP20-6411</t>
  </si>
  <si>
    <t>MP20-4846</t>
  </si>
  <si>
    <t>PF002378</t>
  </si>
  <si>
    <t>BEALLSDS,BLK01,CSNSTORES,DESINC,HDDS,JCPENNEY01,KOHLDSN,MACY02,OLLIIX,OVERSTOCK01,TGTDVS,WALMARTDS</t>
  </si>
  <si>
    <t>MP20-4856</t>
  </si>
  <si>
    <t>PF002379</t>
  </si>
  <si>
    <t>MP20-4857</t>
  </si>
  <si>
    <t>MP20-6404</t>
  </si>
  <si>
    <t>PP001239;PF004723</t>
  </si>
  <si>
    <t>1/13/2025</t>
  </si>
  <si>
    <t>MP20-6405</t>
  </si>
  <si>
    <t>MP20-8503</t>
  </si>
  <si>
    <t>PP001239;PF006418</t>
  </si>
  <si>
    <t>MP20-8504</t>
  </si>
  <si>
    <t>MP20-8505</t>
  </si>
  <si>
    <t>MP20-4850</t>
  </si>
  <si>
    <t>PF002376</t>
  </si>
  <si>
    <t>MP20-4852</t>
  </si>
  <si>
    <t>MP20-8251</t>
  </si>
  <si>
    <t>300 Thread Count Organic Cotton</t>
  </si>
  <si>
    <t>Deep Pocket Sheet Set</t>
  </si>
  <si>
    <t>PP001890;PF006024</t>
  </si>
  <si>
    <t>8/26/2023</t>
  </si>
  <si>
    <t>AMAZON,AMAZONDS,BEALLSDS,CSNSTORES,DESINC,HDDS,JCPENNEY01,KOHLDSN,OLLIIX,OVERSTOCK01,TGTDVS</t>
  </si>
  <si>
    <t>MP20-8252</t>
  </si>
  <si>
    <t>AMAZON,BEALLSDS,HDDS,KOHLDSN,OLLIIX,OVERSTOCK01,TGTDVS</t>
  </si>
  <si>
    <t>MP20-8247</t>
  </si>
  <si>
    <t>PP001890;PF006022</t>
  </si>
  <si>
    <t>AMAZON,CSNSTORES,DESINC,HDDS,JCPENNEY01,KOHLDSN,OLLIIX,OVERSTOCK01,TGTDVS</t>
  </si>
  <si>
    <t>MP20-8248</t>
  </si>
  <si>
    <t>AMAZON,BEALLSDS,HDDS,JCPENNEY01,KOHLDSN,OLLIIX,OVERSTOCK01,TGTDVS</t>
  </si>
  <si>
    <t>MP20-8253</t>
  </si>
  <si>
    <t>PP001890;PF006025</t>
  </si>
  <si>
    <t>AMAZON,AMAZONDS,CSNSTORES,HDDS,JCPENNEY01,KOHLDSN,OLLIIX,OVERSTOCK01,TGTDVS</t>
  </si>
  <si>
    <t>MP20-8254</t>
  </si>
  <si>
    <t>AMAZON,BEALLSDS,CSNSTORES,HDDS,KOHLDSN,OLLIIX,OVERSTOCK01,TGTDVS</t>
  </si>
  <si>
    <t>MP20-8249</t>
  </si>
  <si>
    <t>PP001890;PF006023</t>
  </si>
  <si>
    <t>AMAZON,BEALLSDS,DESINC,HDDS,JCPENNEY01,KOHLDSN,OLLIIX,OVERSTOCK01,TGTDVS</t>
  </si>
  <si>
    <t>MP20-8250</t>
  </si>
  <si>
    <t>MP20-8229</t>
  </si>
  <si>
    <t>500 Thread Count Egyptian Cotton</t>
  </si>
  <si>
    <t>PP001884;PF006013</t>
  </si>
  <si>
    <t>MP20-8230</t>
  </si>
  <si>
    <t>AMAZON,CSNSTORES,KOHLDSN,MACY02,OLLIIX,OVERSTOCK01,TGTDVS,ZOLA</t>
  </si>
  <si>
    <t>MP20-8225</t>
  </si>
  <si>
    <t>PP001884;PF006012</t>
  </si>
  <si>
    <t>AMAZON,CSNSTORES,DESINC,JCPENNEY01,KOHLDSN,MACY02,OLLIIX,OVERSTOCK01,TGTDVS,ZOLA</t>
  </si>
  <si>
    <t>MP20-8226</t>
  </si>
  <si>
    <t>AMAZON,AMAZONDS,CSNSTORES,DESINC,KOHLDSN,MACY02,OLLIIX,OVERSTOCK01,TGTDVS,ZOLA</t>
  </si>
  <si>
    <t>MP20-8233</t>
  </si>
  <si>
    <t>PP001884;PF006014</t>
  </si>
  <si>
    <t>AMAZON,BEALLSDS,CSNSTORES,JCPENNEY01,KOHLDSN,MACY02,OLLIIX,OVERSTOCK01,TGTDVS,ZOLA</t>
  </si>
  <si>
    <t>MP20-8234</t>
  </si>
  <si>
    <t>AMAZON,BEALLSDS,CSNSTORES,DESINC,KOHLDSN,MACY02,OLLIIX,OVERSTOCK01,TGTDVS,ZOLA</t>
  </si>
  <si>
    <t>MP20-8221</t>
  </si>
  <si>
    <t>PP001884;PF006011</t>
  </si>
  <si>
    <t>MP20-8222</t>
  </si>
  <si>
    <t>MP20-7167</t>
  </si>
  <si>
    <t>Pima Cotton Sheet Set</t>
  </si>
  <si>
    <t>PF001747</t>
  </si>
  <si>
    <t>4/8/2020</t>
  </si>
  <si>
    <t>MP20-7166</t>
  </si>
  <si>
    <t>PF001729</t>
  </si>
  <si>
    <t>BIGLOTSDS,BLK01,CSNSTORES,HDDS,JCPENNEY01,KOHLDSN,MACY02,OVERSTOCK01</t>
  </si>
  <si>
    <t>MP20-7999</t>
  </si>
  <si>
    <t>PF005753</t>
  </si>
  <si>
    <t>7/19/2022</t>
  </si>
  <si>
    <t>CSNSTORES,DESINC,JCPENNEY01,KOHLDSN,MACY02,NRTPORT,OLLIIX,OVERSTOCK01,TGTDVS</t>
  </si>
  <si>
    <t>MP20-8000</t>
  </si>
  <si>
    <t>MP20-8001</t>
  </si>
  <si>
    <t>MP20-8002</t>
  </si>
  <si>
    <t>MP20-7995</t>
  </si>
  <si>
    <t>PF005752</t>
  </si>
  <si>
    <t>MP20-7996</t>
  </si>
  <si>
    <t>MP20-7997</t>
  </si>
  <si>
    <t>MP20-7998</t>
  </si>
  <si>
    <t>MP20-7165</t>
  </si>
  <si>
    <t>PF001742</t>
  </si>
  <si>
    <t>BIGLOTSDS,BLK01,CSNSTORES,HDDS,JCPENNEY01,KOHLDSN,MACY02,OLLIIX,OVERSTOCK01</t>
  </si>
  <si>
    <t>MP21-7273</t>
  </si>
  <si>
    <t>Silk</t>
  </si>
  <si>
    <t>100% Mulberry Single Pillowcase</t>
  </si>
  <si>
    <t>PP001555;PF005230</t>
  </si>
  <si>
    <t>10/13/2020</t>
  </si>
  <si>
    <t>MP21-7481</t>
  </si>
  <si>
    <t>6/21/2021</t>
  </si>
  <si>
    <t>BLK01,CSNSTORES,HOUZZ,JCPENNEY01,KOHLDSN,MACY02,OLLIIX,OVERSTOCK01,TGTDVS</t>
  </si>
  <si>
    <t>MP21-7477</t>
  </si>
  <si>
    <t>MP21-7270</t>
  </si>
  <si>
    <t>PP001555;PF005227</t>
  </si>
  <si>
    <t>7/3/2021</t>
  </si>
  <si>
    <t>9/24/2021</t>
  </si>
  <si>
    <t>MP21-7478</t>
  </si>
  <si>
    <t>MP21-7474</t>
  </si>
  <si>
    <t>MPT21-0127</t>
  </si>
  <si>
    <t>PP001555;PF005905</t>
  </si>
  <si>
    <t>10/20/2022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</si>
  <si>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</si>
  <si>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</si>
  <si>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</si>
  <si>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</si>
  <si>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</si>
  <si>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</si>
  <si>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</si>
  <si>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</si>
  <si>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</si>
  <si>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</si>
  <si>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</si>
  <si>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</si>
  <si>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MP21-7476</t>
  </si>
  <si>
    <t>ID20-1753</t>
  </si>
  <si>
    <t>Cozy Soft</t>
  </si>
  <si>
    <t>Cotton Flannel Printed Sheet Set</t>
  </si>
  <si>
    <t>Teal Dogs</t>
  </si>
  <si>
    <t>PP000944;PF004718</t>
  </si>
  <si>
    <t>ID20-1754</t>
  </si>
  <si>
    <t>ID20-1755</t>
  </si>
  <si>
    <t>AMAZON,AMAZONDS,BLK01,CSNSTORES,DESINC,FINGERHUTDS,JCPENNEY01,KOHLDSN,MACY02,OLLIIX,TGTDVS,WALMARTDS</t>
  </si>
  <si>
    <t>ID20-1756</t>
  </si>
  <si>
    <t>ID20-1757</t>
  </si>
  <si>
    <t>Blue Penguins</t>
  </si>
  <si>
    <t>PP000944;PF004719</t>
  </si>
  <si>
    <t>AMAZONDS,CSNSTORES,FINGERHUTDS,JCPENNEY01,KOHLDSN,MACY02,OLLIIX,OVERSTOCK01,TGTDVS,WALMARTDS</t>
  </si>
  <si>
    <t>ID20-1758</t>
  </si>
  <si>
    <t>AMAZON,AMAZONDS,CSNSTORES,DESINC,FINGERHUTDS,HDDS,HSNDS,JCPENNEY01,KOHLDSN,MACY02,OVERSTOCK01,TGTDVS,WALMARTDS</t>
  </si>
  <si>
    <t>ID20-1759</t>
  </si>
  <si>
    <t>AMAZON,AMAZONDS,CSNSTORES,FINGERHUTDS,HSNDS,JCPENNEY01,KOHLDSN,MACY02,OVERSTOCK01,TGTDVS,WALMARTDS</t>
  </si>
  <si>
    <t>11/29/2019</t>
  </si>
  <si>
    <t>ID20-1760</t>
  </si>
  <si>
    <t>AMAZONDS,BLK01,CSNSTORES,FINGERHUTDS,HSNDS,JCPENNEY01,KOHLDSN,MACY02,OVERSTOCK01,TGTDVS,WALMARTDS</t>
  </si>
  <si>
    <t>ID20-1548</t>
  </si>
  <si>
    <t>Seafoam Foxes</t>
  </si>
  <si>
    <t>PP000944;PF004355</t>
  </si>
  <si>
    <t>ID20-1549</t>
  </si>
  <si>
    <t>ID20-1550</t>
  </si>
  <si>
    <t>ID20-1551</t>
  </si>
  <si>
    <t>AMAZON,AMAZONDS,BLK01,CSNSTORES,FINGERHUTDS,JCPENNEY01,KOHLDSN,MACY02,NRTPORT,OVERSTOCK01,TGTDVS</t>
  </si>
  <si>
    <t>10/26/2019</t>
  </si>
  <si>
    <t>ID20-1552</t>
  </si>
  <si>
    <t>Grey/Pink Cats</t>
  </si>
  <si>
    <t>PP000944;PF004356</t>
  </si>
  <si>
    <t>AMAZON,AMAZONDS,CSNSTORES,FINGERHUTDS,JCPENNEY01,KOHLDSN,MACY02,NRTPORT,OLLIIX,OVERSTOCK01,TGTDVS,WALMARTDS</t>
  </si>
  <si>
    <t>11/1/2019</t>
  </si>
  <si>
    <t>ID20-1553</t>
  </si>
  <si>
    <t>AMAZONDS,CSNSTORES,FINGERHUTDS,JCPENNEY01,KOHLDSN,MACY02,NRTPORT,OVERSTOCK01,TGTDVS</t>
  </si>
  <si>
    <t>ID20-1554</t>
  </si>
  <si>
    <t>AMAZON,AMAZONDS,CSNSTORES,FINGERHUTDS,HDDS,JCPENNEY01,KOHLDSN,MACY02,NRTPORT,OLLIIX,OVERSTOCK01,TGTDVS,WALMARTDS</t>
  </si>
  <si>
    <t>ID20-1555</t>
  </si>
  <si>
    <t>AMAZON,AMAZONDS,BLK01,CSNSTORES,FINGERHUTDS,HDDS,JCPENNEY01,KOHLDSN,MACY02,NRTPORT,TGTDVS,WALMARTDS</t>
  </si>
  <si>
    <t>ID20-1749</t>
  </si>
  <si>
    <t>Pink/Grey Hedgehogs</t>
  </si>
  <si>
    <t>PP000944;PF004717</t>
  </si>
  <si>
    <t>ID20-1750</t>
  </si>
  <si>
    <t>AMAZONDS,BLK01,CSNSTORES,JCPENNEY01,KOHLDSN,MACY02,TGTDVS,WALMARTDS</t>
  </si>
  <si>
    <t>ID20-1751</t>
  </si>
  <si>
    <t>ID20-1752</t>
  </si>
  <si>
    <t>ID20-1540</t>
  </si>
  <si>
    <t>Grey Stars</t>
  </si>
  <si>
    <t>PP000944;PF004353</t>
  </si>
  <si>
    <t>ID20-1541</t>
  </si>
  <si>
    <t>ID20-1542</t>
  </si>
  <si>
    <t>AMAZONDS,BLK01,CSNSTORES,JCPENNEY01,KOHLDSN,MACY02,NRTPORT,OVERSTOCK01,TGTDVS,WALMARTDS</t>
  </si>
  <si>
    <t>11/28/2019</t>
  </si>
  <si>
    <t>ID20-1536</t>
  </si>
  <si>
    <t>Blue Stars</t>
  </si>
  <si>
    <t>PP000944;PF004352</t>
  </si>
  <si>
    <t>ID20-1537</t>
  </si>
  <si>
    <t>ID20-1538</t>
  </si>
  <si>
    <t>AMAZON,AMAZONDS,BLK01,CSNSTORES,FINGERHUTDS,HDDS,JCPENNEY01,KOHLDSN,MACY02,NRTPORT,OVERSTOCK01,TGTDVS,WALMARTDS</t>
  </si>
  <si>
    <t>ID20-1539</t>
  </si>
  <si>
    <t>ID20-1556</t>
  </si>
  <si>
    <t>Grey/Pink Dots</t>
  </si>
  <si>
    <t>PP000944;PF004357</t>
  </si>
  <si>
    <t>ID20-1557</t>
  </si>
  <si>
    <t>ID20-1558</t>
  </si>
  <si>
    <t>AMAZONDS,CSNSTORES,FINGERHUTDS,JCPENNEY01,KOHLDSN,MACY02,NRTPORT,OVERSTOCK01,TGTDVS,WALMARTDS</t>
  </si>
  <si>
    <t>ID20-1534</t>
  </si>
  <si>
    <t>Pink Llamas</t>
  </si>
  <si>
    <t>PP000944;PF004351</t>
  </si>
  <si>
    <t>ID20-1535</t>
  </si>
  <si>
    <t>ID20-2044</t>
  </si>
  <si>
    <t>Grey Sloths</t>
  </si>
  <si>
    <t>PP000944;PF005497</t>
  </si>
  <si>
    <t>AMAZONDS,BLK01,CSNSTORES,DESINC,HDDS,JCPENNEY01,KOHLDSN,MACY02,NRTPORT,OVERSTOCK01,TGTDVS</t>
  </si>
  <si>
    <t>ID20-2045</t>
  </si>
  <si>
    <t>ID20-2046</t>
  </si>
  <si>
    <t>AMAZONDS,CSNSTORES,DESINC,JCPENNEY01,KOHLDSN,MACY02,OLLIIX,OVERSTOCK01,TGTDVS</t>
  </si>
  <si>
    <t>ID20-2047</t>
  </si>
  <si>
    <t>AMAZONDS,BLK01,CSNSTORES,FINGERHUTDS,HDDS,JCPENNEY01,KOHLDSN,MACY02,TGTDVS</t>
  </si>
  <si>
    <t>ID20-2446</t>
  </si>
  <si>
    <t>White Holiday Trees</t>
  </si>
  <si>
    <t>PP000944;PF006314</t>
  </si>
  <si>
    <t>ID20-2447</t>
  </si>
  <si>
    <t>AMAZON,AMAZONDS,JCPENNEY01,KOHLDSN,MACY02,TGTDVS</t>
  </si>
  <si>
    <t>ID20-2448</t>
  </si>
  <si>
    <t>ID20-2449</t>
  </si>
  <si>
    <t>AMAZON,AMAZONDS,HDDS,JCPENNEY01,KOHLDSN,MACY02,TGTDVS</t>
  </si>
  <si>
    <t>ID20-1914</t>
  </si>
  <si>
    <t>Sheet Set with Side Storage Pockets</t>
  </si>
  <si>
    <t>PF001772</t>
  </si>
  <si>
    <t>5/13/2020</t>
  </si>
  <si>
    <t>AMAZONDS,HDDS,JCPENNEY01,KOHLDSN,MACY02,TGTDVS,WALMARTDS</t>
  </si>
  <si>
    <t>ID20-1074</t>
  </si>
  <si>
    <t>All Season Soft Touch Sheet Set</t>
  </si>
  <si>
    <t>AMAZONDS,HSNDS,JCPENNEY01,KOHLDSN,MACY02,OLLIIX,TGTDVS,WALMARTDS</t>
  </si>
  <si>
    <t>2/22/2017</t>
  </si>
  <si>
    <t>ID20-1075</t>
  </si>
  <si>
    <t>AMAZONDS,BLK01,FINGERHUTDS,HSNDS,JCPENNEY01,KOHLDSN,MACY02,OVERSTOCK01,TGTDVS,WALMARTDS</t>
  </si>
  <si>
    <t>3/14/2017</t>
  </si>
  <si>
    <t>ID20-1915</t>
  </si>
  <si>
    <t>AMAZONDS,BLK01,DESINC,JCPENNEY01,KOHLDSN,MACY02,OVERSTOCK01,TGTDVS,WALMARTDS</t>
  </si>
  <si>
    <t>6/22/2021</t>
  </si>
  <si>
    <t>ID20-1076</t>
  </si>
  <si>
    <t>AMAZON,AMAZONDS,BLK01,HSNDS,JCPENNEY01,KOHLDSN,MACY02,NRTPORT,OLLIIX,OVERSTOCK01,TGTDVS</t>
  </si>
  <si>
    <t>3/27/2017</t>
  </si>
  <si>
    <t>ID20-1916</t>
  </si>
  <si>
    <t>AMAZONDS,BLK01,HDDS,JCPENNEY01,KOHLDSN,MACY02,OLLIIX,TGTDVS</t>
  </si>
  <si>
    <t>ID20-1077</t>
  </si>
  <si>
    <t>AMAZONDS,BEALLSDS,BLK01,CSNSTORES,FINGERHUTDS,HSNDS,JCPENNEY01,KOHLDSN,MACY02,NRTPORT,OLLIIX,OVERSTOCK01,TGTDVS</t>
  </si>
  <si>
    <t>2/28/2017</t>
  </si>
  <si>
    <t>ID20-1917</t>
  </si>
  <si>
    <t>AMAZONDS,BLK01,HDDS,JCPENNEY01,KOHLDSN,MACY02,OLLIIX,OVERSTOCK01,TGTDVS</t>
  </si>
  <si>
    <t>ID20-1078</t>
  </si>
  <si>
    <t>AMAZON,AMAZONDS,BLK01,FINGERHUTDS,HHGLOBALTTS,HSNDS,JCPENNEY01,KOHLDSN,MACY02,NRTPORT,OLLIIX,TGTDVS,WALMARTDS</t>
  </si>
  <si>
    <t>ID20-137</t>
  </si>
  <si>
    <t>PF001769</t>
  </si>
  <si>
    <t>CSNSTORES,HSNDS,JCPENNEY01,KOHLDSN,MACY02,OVERSTOCK01,TGTDVS,WALMARTDS</t>
  </si>
  <si>
    <t>2/4/2015</t>
  </si>
  <si>
    <t>ID20-1458</t>
  </si>
  <si>
    <t>BEALLSDS,BLK01,JCPENNEY01,KOHLDSN,MACY02,TGTDVS,WALMARTDS</t>
  </si>
  <si>
    <t>ID20-1459</t>
  </si>
  <si>
    <t>BLK01,HDDS,JCPENNEY01,KOHLDSN,MACY02,OLLIIX,OVERSTOCK01,TGTDVS,WALMARTDS</t>
  </si>
  <si>
    <t>7/11/2019</t>
  </si>
  <si>
    <t>ID20-138</t>
  </si>
  <si>
    <t>BLK01,FINGERHUTDS,HSNDS,JCPENNEY01,KOHLDSN,MACY02,OLLIIX,OVERSTOCK01,TGTDVS,WALMARTDS</t>
  </si>
  <si>
    <t>2/9/2015</t>
  </si>
  <si>
    <t>ID20-1460</t>
  </si>
  <si>
    <t>ID20-139</t>
  </si>
  <si>
    <t>HSNDS,JCPENNEY01,KOHLDSN,MACY02,NRTPORT,OLLIIX,OVERSTOCK01,TGTDVS,WALMARTDS</t>
  </si>
  <si>
    <t>2/10/2015</t>
  </si>
  <si>
    <t>ID20-140</t>
  </si>
  <si>
    <t>BEALLSDS,BLK01,FINGERHUTDS,HSNDS,JCPENNEY01,KOHLDSN,MACY02,NRTPORT,OLLIIX,TGTDVS</t>
  </si>
  <si>
    <t>ID20-1461</t>
  </si>
  <si>
    <t>BEALLSDS,BLK01,CSNSTORES,HDDS,JCPENNEY01,KOHLDSN,MACY02,NRTPORT,OLLIIX,OVERSTOCK01,TGTDVS,WALMARTDS</t>
  </si>
  <si>
    <t>ID20-141</t>
  </si>
  <si>
    <t>BLK01,CSNSTORES,FINGERHUTDS,HSNDS,JCPENNEY01,KOHLDSN,MACY02,TGTDVS,WALMARTDS</t>
  </si>
  <si>
    <t>ID20-132</t>
  </si>
  <si>
    <t>PF001767</t>
  </si>
  <si>
    <t>AMAZONDS,CSNSTORES,HSNDS,KOHLDSN,MACY02,OLLIIX,TGTDVS,WALMARTDS</t>
  </si>
  <si>
    <t>ID20-1454</t>
  </si>
  <si>
    <t>HDDS,JCPENNEY01,KOHLDSN,MACY02,OVERSTOCK01,TGTDVS,WALMARTDS</t>
  </si>
  <si>
    <t>ID20-133</t>
  </si>
  <si>
    <t>AMAZONDS,FINGERHUTDS,HSNDS,JCPENNEY01,KOHLDSN,MACY02,OVERSTOCK01,TGTDVS</t>
  </si>
  <si>
    <t>2/18/2015</t>
  </si>
  <si>
    <t>ID20-1455</t>
  </si>
  <si>
    <t>AMAZON,AMAZONDS,BLK01,DESINC,HDDS,JCPENNEY01,KOHLDSN,MACY02,OLLIIX,OVERSTOCK01,TGTDVS,WALMARTDS</t>
  </si>
  <si>
    <t>ID20-134</t>
  </si>
  <si>
    <t>AMAZONDS,BEALLSDS,HSNDS,JCPENNEY01,KOHLDSN,MACY02,NRTPORT,OLLIIX,TGTDVS</t>
  </si>
  <si>
    <t>ID20-1456</t>
  </si>
  <si>
    <t>BLK01,HDDS,JCPENNEY01,KOHLDSN,MACY02,OVERSTOCK01,TGTDVS,WALMARTDS</t>
  </si>
  <si>
    <t>ID20-135</t>
  </si>
  <si>
    <t>AMAZONDS,BLK01,CSNSTORES,FINGERHUTDS,HSNDS,JCPENNEY01,KOHLDSN,MACY02,OLLIIX,TGTDVS,WALMARTDS</t>
  </si>
  <si>
    <t>2/6/2015</t>
  </si>
  <si>
    <t>ID20-1457</t>
  </si>
  <si>
    <t>AMAZON,AMAZONDS,BEALLSDS,HDDS,JCPENNEY01,KOHLDSN,MACY02,TGTDVS</t>
  </si>
  <si>
    <t>10/6/2019</t>
  </si>
  <si>
    <t>ID20-142</t>
  </si>
  <si>
    <t>PF001770</t>
  </si>
  <si>
    <t>AMAZON,CSNSTORES,HSNDS,JCPENNEY01,KOHLDSN,MACY02,OLLIIX,TGTDVS</t>
  </si>
  <si>
    <t>ID20-1910</t>
  </si>
  <si>
    <t>AMAZONDS,CSNSTORES,JCPENNEY01,KOHLDSN,MACY02,OLLIIX,TGTDVS,WALMARTDS</t>
  </si>
  <si>
    <t>ID20-1911</t>
  </si>
  <si>
    <t>AMAZONDS,BLK01,JCPENNEY01,KOHLDSN,MACY02,OLLIIX,OVERSTOCK01,TGTDVS,WALMARTDS</t>
  </si>
  <si>
    <t>ID20-143</t>
  </si>
  <si>
    <t>AMAZONDS,BLK01,FINGERHUTDS,HSNDS,JCPENNEY01,KOHLDSN,MACY02,OLLIIX,OVERSTOCK01,TGTDVS,WALMARTDS</t>
  </si>
  <si>
    <t>3/12/2015</t>
  </si>
  <si>
    <t>ID20-144</t>
  </si>
  <si>
    <t>AMAZON,AMAZONDS,BLK01,HSNDS,KOHLDSN,MACY02,OLLIIX,TGTDVS</t>
  </si>
  <si>
    <t>6/3/2015</t>
  </si>
  <si>
    <t>ID20-1913</t>
  </si>
  <si>
    <t>AMAZON,AMAZONDS,BEALLSDS,BLK01,HDDS,JCPENNEY01,KOHLDSN,MACY02,OLLIIX,OVERSTOCK01,TGTDVS,WALMARTDS</t>
  </si>
  <si>
    <t>ID20-1080</t>
  </si>
  <si>
    <t>PF001773</t>
  </si>
  <si>
    <t>AMAZONDS,BEALLSDS,BLK01,CSNSTORES,HSNDS,JCPENNEY01,KOHLDSN,MACY02,OLLIIX,OVERSTOCK01,TGTDVS,WALMARTDS</t>
  </si>
  <si>
    <t>2/27/2017</t>
  </si>
  <si>
    <t>ID20-1081</t>
  </si>
  <si>
    <t>AMAZON,BEALLSDS,BLK01,CSNSTORES,FINGERHUTDS,HSNDS,JCPENNEY01,KOHLDSN,MACY02,OVERSTOCK01,TGTDVS,WALMARTDS</t>
  </si>
  <si>
    <t>ID20-1082</t>
  </si>
  <si>
    <t>AMAZON,BEALLSDS,BLK01,CSNSTORES,HSNDS,JCPENNEY01,KOHLDSN,MACY02,NRTPORT,TGTDVS</t>
  </si>
  <si>
    <t>2/24/2017</t>
  </si>
  <si>
    <t>ID20-1083</t>
  </si>
  <si>
    <t>AMAZON,AMAZONDS,BEALLSDS,BLK01,CSNSTORES,FINGERHUTDS,HSNDS,JCPENNEY01,KOHLDSN,MACY02,NRTPORT,OLLIIX,OVERSTOCK01,TGTDVS,WALMARTDS</t>
  </si>
  <si>
    <t>ID20-1084</t>
  </si>
  <si>
    <t>AMAZON,AMAZONDS,BEALLSDS,BLK01,FINGERHUTDS,HSNDS,JCPENNEY01,KOHLDSN,MACY02,TGTDVS,WALMARTDS</t>
  </si>
  <si>
    <t>ID20-2208</t>
  </si>
  <si>
    <t>PP001853;PF005933</t>
  </si>
  <si>
    <t>6/23/2023</t>
  </si>
  <si>
    <t>AMAZON,AMAZONDS,KOHLDSN,OLLIIX,OVERSTOCK01,TGTDVS</t>
  </si>
  <si>
    <t>ID20-2209</t>
  </si>
  <si>
    <t>AMAZON,AMAZONDS,BEALLSDS,CSNSTORES,JCPENNEY01,KOHLDSN,NRTPORT,OVERSTOCK01,TGTDVS</t>
  </si>
  <si>
    <t>ID20-2210</t>
  </si>
  <si>
    <t>ID20-2211</t>
  </si>
  <si>
    <t>AMAZON,BEALLSDS,CSNSTORES,JCPENNEY01,KOHLDSN,MACY02,NRTPORT,OVERSTOCK01,TGTDVS</t>
  </si>
  <si>
    <t>ID20-2212</t>
  </si>
  <si>
    <t>AMAZON,AMAZONDS,KOHLDSN,NRTPORT,OLLIIX,TGTDVS</t>
  </si>
  <si>
    <t>ID20-2203</t>
  </si>
  <si>
    <t>PP001853;PF005932</t>
  </si>
  <si>
    <t>AMAZON,CSNSTORES,JCPENNEY01,KOHLDSN,OLLIIX,OVERSTOCK01,TGTDVS</t>
  </si>
  <si>
    <t>ID20-2204</t>
  </si>
  <si>
    <t>ID20-2205</t>
  </si>
  <si>
    <t>AMAZON,BEALLSDS,CSNSTORES,JCPENNEY01,KOHLDSN,OLLIIX,OVERSTOCK01,TGTDVS</t>
  </si>
  <si>
    <t>ID20-2206</t>
  </si>
  <si>
    <t>AMAZON,AMAZONDS,BEALLSDS,JCPENNEY01,KOHLDSN,NRTPORT,OLLIIX,OVERSTOCK01,TGTDVS</t>
  </si>
  <si>
    <t>ID20-2207</t>
  </si>
  <si>
    <t>ID20-2213</t>
  </si>
  <si>
    <t>PP001853;PF005934</t>
  </si>
  <si>
    <t>AMAZON,CSNSTORES,JCPENNEY01,KOHLDSN,NRTPORT,OLLIIX,OVERSTOCK01,TGTDVS</t>
  </si>
  <si>
    <t>ID20-2214</t>
  </si>
  <si>
    <t>AMAZON,BEALLSDS,JCPENNEY01,KOHLDSN,NRTPORT,TGTDVS</t>
  </si>
  <si>
    <t>ID20-2215</t>
  </si>
  <si>
    <t>ID20-2216</t>
  </si>
  <si>
    <t>ID20-2217</t>
  </si>
  <si>
    <t>AMAZON,AMAZONDS,BEALLSDS,JCPENNEY01,KOHLDSN,OVERSTOCK01,TGTDVS</t>
  </si>
  <si>
    <t>ID20-688</t>
  </si>
  <si>
    <t>Cotton Blend Jersey Knit</t>
  </si>
  <si>
    <t>All Season Sheet Set</t>
  </si>
  <si>
    <t>PF002198</t>
  </si>
  <si>
    <t>ID20-690</t>
  </si>
  <si>
    <t>6/6/2017</t>
  </si>
  <si>
    <t>ID20-1250</t>
  </si>
  <si>
    <t>AMAZON,BLK01,CSNSTORES,FINGERHUTDS,KOHLDSN,MACY02,OLLIIX,OVERSTOCK01,TGTDVS</t>
  </si>
  <si>
    <t>ID20-695</t>
  </si>
  <si>
    <t>PF002200</t>
  </si>
  <si>
    <t>ID20-696</t>
  </si>
  <si>
    <t>AMAZON,AMAZONDS,BLK01,CSNSTORES,FINGERHUTDS,JCPENNEY01,KOHLDSN,MACY02,NRTPORT,TGTDVS,WALMARTDS</t>
  </si>
  <si>
    <t>ID20-698</t>
  </si>
  <si>
    <t>AMAZON,BEALLSDS,BLK01,CSNSTORES,FINGERHUTDS,JCPENNEY01,KOHLDSN,MACY02,OLLIIX,OVERSTOCK01,TGTDVS</t>
  </si>
  <si>
    <t>ID20-1238</t>
  </si>
  <si>
    <t>PF002204</t>
  </si>
  <si>
    <t>9/9/2017</t>
  </si>
  <si>
    <t>ID20-1239</t>
  </si>
  <si>
    <t>AMAZON,AMAZONDS,BEALLSDS,BLK01,CSNSTORES,FINGERHUTDS,JCPENNEY01,KOHLDSN,MACY02,OLLIIX,OVERSTOCK01,TGTDVS</t>
  </si>
  <si>
    <t>ID20-691</t>
  </si>
  <si>
    <t>PF002199</t>
  </si>
  <si>
    <t>7/13/2017</t>
  </si>
  <si>
    <t>ID20-692</t>
  </si>
  <si>
    <t>AMAZON,AMAZONDS,BLK01,CSNSTORES,FINGERHUTDS,JCPENNEY01,KOHLDSN,MACY02,OVERSTOCK01,TGTDVS</t>
  </si>
  <si>
    <t>ID20-693</t>
  </si>
  <si>
    <t>ID20-694</t>
  </si>
  <si>
    <t>AMAZONDS,BLK01,CSNSTORES,FINGERHUTDS,HSNDS,JCPENNEY01,KOHLDSN,MACY02,NRTPORT,OLLIIX,OVERSTOCK01,TGTDVS</t>
  </si>
  <si>
    <t>ID20-1249</t>
  </si>
  <si>
    <t>AMAZON,AMAZONDS,BLK01,CSNSTORES,FINGERHUTDS,KOHLDSN,MACY02,NRTPORT,OLLIIX,OVERSTOCK01,TGTDVS</t>
  </si>
  <si>
    <t>11/8/2017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</si>
  <si>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</si>
  <si>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</si>
  <si>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</si>
  <si>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</si>
  <si>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</si>
  <si>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</si>
  <si>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</si>
  <si>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</si>
  <si>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</si>
  <si>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</si>
  <si>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</si>
  <si>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</si>
  <si>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</si>
  <si>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</si>
  <si>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</si>
  <si>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</si>
  <si>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</si>
  <si>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</si>
  <si>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</si>
  <si>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12/1/2017</t>
  </si>
  <si>
    <t>ID20-1469</t>
  </si>
  <si>
    <t>Metallic Dot</t>
  </si>
  <si>
    <t>PP000922</t>
  </si>
  <si>
    <t>AMAZON,AMAZONDS,BLK01,CSNSTORES,KOHLDSN,MACY02,NRTPORT,OVERSTOCK01,TGTDVS,WALMARTDS</t>
  </si>
  <si>
    <t>11/6/2019</t>
  </si>
  <si>
    <t>ID20-1471</t>
  </si>
  <si>
    <t>ID20-1474</t>
  </si>
  <si>
    <t>Blush/Gold</t>
  </si>
  <si>
    <t>ID20-1427</t>
  </si>
  <si>
    <t>Print Sheet Set</t>
  </si>
  <si>
    <t>TXL</t>
  </si>
  <si>
    <t>Grey/Blue Road Trip</t>
  </si>
  <si>
    <t>PP000909;PF004366</t>
  </si>
  <si>
    <t>1/20/2020</t>
  </si>
  <si>
    <t>ID20-1429</t>
  </si>
  <si>
    <t>AMAZON,AMAZONDS,BLK01,CSNSTORES,KOHLDSN,MACY02,WALMARTDS</t>
  </si>
  <si>
    <t>1/15/2019</t>
  </si>
  <si>
    <t>ID20-1439</t>
  </si>
  <si>
    <t>Aqua Dogs</t>
  </si>
  <si>
    <t>PP000909;PF004369</t>
  </si>
  <si>
    <t>ID20-1441</t>
  </si>
  <si>
    <t>AMAZON,BLK01,CSNSTORES,HDDS,KOHLDSN,MACY02,OVERSTOCK01</t>
  </si>
  <si>
    <t>1/28/2019</t>
  </si>
  <si>
    <t>ID20-1430</t>
  </si>
  <si>
    <t>Pink Cats</t>
  </si>
  <si>
    <t>PP000909;PF004367</t>
  </si>
  <si>
    <t>AMAZON,BLK01,CSNSTORES,HDDS,KOHLDSN,MACY02,NRTPORT,OLLIIX,OVERSTOCK01</t>
  </si>
  <si>
    <t>ID20-1432</t>
  </si>
  <si>
    <t>AMAZON,BLK01,CSNSTORES,KOHLDSN,MACY02,NRTPORT,OLLIIX,OVERSTOCK01,WALMARTDS</t>
  </si>
  <si>
    <t>ID20-1433</t>
  </si>
  <si>
    <t>AMAZON,AMAZONDS,BLK01,CSNSTORES,HDDS,KOHLDSN,MACY02,OLLIIX,OVERSTOCK01</t>
  </si>
  <si>
    <t>ID20-2365</t>
  </si>
  <si>
    <t>Printed Microfiber</t>
  </si>
  <si>
    <t>Beige Dotted Arches</t>
  </si>
  <si>
    <t>PP001852;PF006229</t>
  </si>
  <si>
    <t>4/12/2024</t>
  </si>
  <si>
    <t>AMAZON,CSNSTORES,KOHLDSN,TGTDVS</t>
  </si>
  <si>
    <t>ID20-2366</t>
  </si>
  <si>
    <t>ID20-2367</t>
  </si>
  <si>
    <t>AMAZON,AMAZONDS,BLK01,CSNSTORES,KOHLDSN,OLLIIX,OVERSTOCK01,TGTDVS</t>
  </si>
  <si>
    <t>ID20-2368</t>
  </si>
  <si>
    <t>AMAZON,BLK01,CSNSTORES,KOHLDSN,OVERSTOCK01,TGTDVS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</si>
  <si>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</si>
  <si>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</si>
  <si>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</si>
  <si>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</si>
  <si>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</si>
  <si>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</si>
  <si>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</si>
  <si>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</si>
  <si>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</si>
  <si>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</si>
  <si>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AMAZON,CSNSTORES,HHGLOBALTTS,JCPENNEY01,KOHLDSN,MACY02,NRTPORT,OVERSTOCK01,TGTDVS</t>
  </si>
  <si>
    <t>ID20-2223</t>
  </si>
  <si>
    <t>AMAZON,CSNSTORES,HHGLOBALTTS,JCPENNEY01,KOHLDSN,MACY02,OLLIIX,OVERSTOCK01,TGTDVS</t>
  </si>
  <si>
    <t>ID20-2224</t>
  </si>
  <si>
    <t>ID20-2225</t>
  </si>
  <si>
    <t>AMAZON,CSNSTORES,JCPENNEY01,KOHLDSN,MACY02,NRTPORT,OLLIIX,TGTDVS</t>
  </si>
  <si>
    <t>ID20-2361</t>
  </si>
  <si>
    <t>Blush Waves</t>
  </si>
  <si>
    <t>PP001852;PF006228</t>
  </si>
  <si>
    <t>AMAZON,CSNSTORES,HDDS,JCPENNEY01,KOHLDSN,OVERSTOCK01,TGTDVS</t>
  </si>
  <si>
    <t>ID20-2362</t>
  </si>
  <si>
    <t>ID20-2363</t>
  </si>
  <si>
    <t>AMAZON,BLK01,CSNSTORES,DESINC,JCPENNEY01,KOHLDSN,MACY02,OLLIIX,TGTDVS</t>
  </si>
  <si>
    <t>ID20-2364</t>
  </si>
  <si>
    <t>AMAZON,AMAZONDS,JCPENNEY01,KOHLDSN,TGTDVS</t>
  </si>
  <si>
    <t>WR20-3999</t>
  </si>
  <si>
    <t>Cotton Flannel</t>
  </si>
  <si>
    <t>Blue Snowflake</t>
  </si>
  <si>
    <t>PF002274;PP000952</t>
  </si>
  <si>
    <t>WR20-4000</t>
  </si>
  <si>
    <t>WR20-1787</t>
  </si>
  <si>
    <t>PF002274</t>
  </si>
  <si>
    <t>AAFESDS,AMAZON,AMAZONDS,BLK01,CSNSTORES,DESINC,FINGERHUTDS,JCPENNEY01,KOHLDSN,MACY02,OLLIIX,OVERSTOCK01,TGTDVS,WALMARTDS</t>
  </si>
  <si>
    <t>1/5/2022</t>
  </si>
  <si>
    <t>WR20-1788</t>
  </si>
  <si>
    <t>AAFESDS,AMAZON,BLK01,CSNSTORES,FINGERHUTDS,JCPENNEY01,KOHLDSN,MACY02,OLLIIX,OVERSTOCK01,TGTDVS,WALMARTDS</t>
  </si>
  <si>
    <t>WR20-1789</t>
  </si>
  <si>
    <t>WR20-2043</t>
  </si>
  <si>
    <t>PF002306</t>
  </si>
  <si>
    <t>11/27/2021</t>
  </si>
  <si>
    <t>WR20-2044</t>
  </si>
  <si>
    <t>AMAZON,AMAZONDS,BLK01,CSNSTORES,FINGERHUTDS,HDDS,JCPENNEY01,KOHLDSN,MACY02,OLLIIX,OVERSTOCK01,WALMARTDS</t>
  </si>
  <si>
    <t>WR20-2045</t>
  </si>
  <si>
    <t>AMAZON,AMAZONDS,CSNSTORES,DESINC,FINGERHUTDS,JCPENNEY01,KOHLDSN,MACY02,OLLIIX,OVERSTOCK01,TGTDVS,WALMARTDS</t>
  </si>
  <si>
    <t>12/14/2021</t>
  </si>
  <si>
    <t>WR20-2031</t>
  </si>
  <si>
    <t>Blue Winter Frost</t>
  </si>
  <si>
    <t>PF002302</t>
  </si>
  <si>
    <t>AAFESDS,AMAZON,AMAZONDS,BLK01,FINGERHUTDS,HDDS,JCPENNEY01,KOHLDSN,MACY02,OLLIIX,OVERSTOCK01,WALMARTDS</t>
  </si>
  <si>
    <t>WR20-2032</t>
  </si>
  <si>
    <t>AMAZON,AMAZONDS,BLK01,CSNSTORES,HDDS,JCPENNEY01,KOHLDSN,MACY02,OVERSTOCK01,WALMARTDS</t>
  </si>
  <si>
    <t>4/6/2022</t>
  </si>
  <si>
    <t>WR20-2033</t>
  </si>
  <si>
    <t>AMAZONDS,CSNSTORES,HSNDS,JCPENNEY01,KOHLDSN,MACY02,OVERSTOCK01,TGTDVS,WALMARTDS</t>
  </si>
  <si>
    <t>WR20-2069</t>
  </si>
  <si>
    <t>Tan Dog</t>
  </si>
  <si>
    <t>PF002311</t>
  </si>
  <si>
    <t>10/25/2022</t>
  </si>
  <si>
    <t>WR20-2070</t>
  </si>
  <si>
    <t>AMAZON,BLK01,CSNSTORES,FINGERHUTDS,JCPENNEY01,KOHLDSN,MACY02,OLLIIX,OVERSTOCK01,TGTDVS,WALMARTDS</t>
  </si>
  <si>
    <t>11/27/2022</t>
  </si>
  <si>
    <t>WR20-2037</t>
  </si>
  <si>
    <t>PF002304</t>
  </si>
  <si>
    <t>9/21/2017</t>
  </si>
  <si>
    <t>AMAZON,BLK01,CSNSTORES,FINGERHUTDS,HDDS,JCPENNEY01,KOHLDSN,MACY02,OLLIIX,OVERSTOCK01,TGTDVS,WALMARTDS</t>
  </si>
  <si>
    <t>3/4/2022</t>
  </si>
  <si>
    <t>WR20-2038</t>
  </si>
  <si>
    <t>WR20-2039</t>
  </si>
  <si>
    <t>6/15/2022</t>
  </si>
  <si>
    <t>WR20-2071</t>
  </si>
  <si>
    <t>Tan Cars</t>
  </si>
  <si>
    <t>PF002312</t>
  </si>
  <si>
    <t>AMAZON,AMAZONDS,BLK01,FINGERHUTDS,HDDS,JCPENNEY01,KOHLDSN,MACY02,OLLIIX,WALMARTDS</t>
  </si>
  <si>
    <t>WR20-2072</t>
  </si>
  <si>
    <t>AMAZON,AMAZONDS,BLK01,CSNSTORES,HDDS,JCPENNEY01,KOHLDSN,MACY02,OVERSTOCK01,TGTDVS,WALMARTDS</t>
  </si>
  <si>
    <t>WR20-2040</t>
  </si>
  <si>
    <t>PF002305</t>
  </si>
  <si>
    <t>AMAZON,AMAZONDS,BLK01,CSNSTORES,FINGERHUTDS,HDDS,JCPENNEY01,KOHLDSN,MACY02,OLLIIX,OVERSTOCK01,TGTDVS,WALMARTDS</t>
  </si>
  <si>
    <t>WR20-2041</t>
  </si>
  <si>
    <t>AMAZON,AMAZONDS,BLK01,FINGERHUTDS,HDDS,JCPENNEY01,KOHLDSN,MACY02,OVERSTOCK01,TGTDVS,WALMARTDS</t>
  </si>
  <si>
    <t>11/13/2023</t>
  </si>
  <si>
    <t>WR20-2042</t>
  </si>
  <si>
    <t>AMAZON,AMAZONDS,BLK01,FINGERHUTDS,HDDS,JCPENNEY01,KOHLDSN,MACY02,OLLIIX,OVERSTOCK01,TGTDVS,WALMARTDS</t>
  </si>
  <si>
    <t>11/16/2022</t>
  </si>
  <si>
    <t>WR20-1796</t>
  </si>
  <si>
    <t>Brown Plaid</t>
  </si>
  <si>
    <t>PF002272</t>
  </si>
  <si>
    <t>AAFESDS,AMAZON,AMAZONDS,BLK01,CSNSTORES,FINGERHUTDS,HDDS,HSNDS,JCPENNEY01,KOHLDSN,MACY02,OLLIIX,OVERSTOCK01,TGTDVS,WALMARTDS</t>
  </si>
  <si>
    <t>12/15/2021</t>
  </si>
  <si>
    <t>WR20-1797</t>
  </si>
  <si>
    <t>AMAZON,AMAZONDS,BLK01,CSNSTORES,FINGERHUTDS,HDDS,HSNDS,JCPENNEY01,KOHLDSN,MACY02,OVERSTOCK01,WALMARTDS</t>
  </si>
  <si>
    <t>WR20-1798</t>
  </si>
  <si>
    <t>AAFESDS,AMAZON,AMAZONDS,CSNSTORES,FINGERHUTDS,HDDS,JCPENNEY01,KOHLDSN,MACY02,OVERSTOCK01,TGTDVS,WALMARTDS</t>
  </si>
  <si>
    <t>12/16/2021</t>
  </si>
  <si>
    <t>WR20-4003</t>
  </si>
  <si>
    <t>Green Plaid</t>
  </si>
  <si>
    <t>PF002271;PP000952</t>
  </si>
  <si>
    <t>WR20-4004</t>
  </si>
  <si>
    <t>WR20-1793</t>
  </si>
  <si>
    <t>PF002271</t>
  </si>
  <si>
    <t>AAFESDS,AMAZON,AMAZONDS,BLK01,CSNSTORES,DESINC,FINGERHUTDS,HDDS,HSNDS,JCPENNEY01,KOHLDSN,MACY02,NRTPORT,OVERSTOCK01,TGTDVS,WALMARTDS</t>
  </si>
  <si>
    <t>WR20-1794</t>
  </si>
  <si>
    <t>AAFESDS,AMAZON,AMAZONDS,BLK01,CSNSTORES,HDDS,HSNDS,JCPENNEY01,KOHLDSN,MACY02,OLLIIX,OVERSTOCK01,TGTDVS,WALMARTDS</t>
  </si>
  <si>
    <t>12/19/2021</t>
  </si>
  <si>
    <t>WR20-4005</t>
  </si>
  <si>
    <t>WR20-2285</t>
  </si>
  <si>
    <t>PP000952;PF004385</t>
  </si>
  <si>
    <t>AAFESDS,AMAZONDS,CSNSTORES,FINGERHUTDS,HDDS,JCPENNEY01,KOHLDSN,MACY02,OLLIIX,OVERSTOCK01,TGTDVS,WALMARTDS</t>
  </si>
  <si>
    <t>WR20-2286</t>
  </si>
  <si>
    <t>AMAZONDS,BLK01,CSNSTORES,FINGERHUTDS,HDDS,JCPENNEY01,KOHLDSN,MACY02,OLLIIX,OVERSTOCK01,TGTDVS,WALMARTDS</t>
  </si>
  <si>
    <t>12/27/2021</t>
  </si>
  <si>
    <t>WR20-2287</t>
  </si>
  <si>
    <t>AMAZONDS,DESINC,FINGERHUTDS,HDDS,JCPENNEY01,KOHLDSN,MACY02,NRTPORT,OVERSTOCK01,TGTDVS</t>
  </si>
  <si>
    <t>WR20-2279</t>
  </si>
  <si>
    <t>Blue Sheep</t>
  </si>
  <si>
    <t>PP000952;PF004383</t>
  </si>
  <si>
    <t>AMAZON,AMAZONDS,BLK01,CSNSTORES,DESINC,FINGERHUTDS,HDDS,JCPENNEY01,KOHLDSN,MACY02,OVERSTOCK01,WALMARTDS</t>
  </si>
  <si>
    <t>11/24/2021</t>
  </si>
  <si>
    <t>WR20-2280</t>
  </si>
  <si>
    <t>PP000952;PF004384</t>
  </si>
  <si>
    <t>AAFESDS,AMAZON,AMAZONDS,BLK01,CSNSTORES,DESINC,HDDS,JCPENNEY01,KOHLDSN,MACY02,OVERSTOCK01,WALMARTDS</t>
  </si>
  <si>
    <t>WR20-2281</t>
  </si>
  <si>
    <t>1/10/2022</t>
  </si>
  <si>
    <t>WR20-2046</t>
  </si>
  <si>
    <t>PF002307</t>
  </si>
  <si>
    <t>AMAZON,AMAZONDS,CSNSTORES,FINGERHUTDS,HDDS,KOHLDSN,MACY02,OLLIIX,OVERSTOCK01,WALMARTDS</t>
  </si>
  <si>
    <t>WR20-2047</t>
  </si>
  <si>
    <t>AMAZON,AMAZONDS,BLK01,CSNSTORES,FINGERHUTDS,HDDS,JCPENNEY01,KOHLDSN,MACY02,OLLIIX,OVERSTOCK01</t>
  </si>
  <si>
    <t>2/22/2022</t>
  </si>
  <si>
    <t>WR20-2048</t>
  </si>
  <si>
    <t>11/29/2022</t>
  </si>
  <si>
    <t>WR20-4001</t>
  </si>
  <si>
    <t>PF002273;PP000952</t>
  </si>
  <si>
    <t>WR20-4002</t>
  </si>
  <si>
    <t>WR20-1799</t>
  </si>
  <si>
    <t>PF002273</t>
  </si>
  <si>
    <t>AMAZON,AMAZONDS,BLK01,CSNSTORES,DESINC,FINGERHUTDS,HDDS,HSNDS,JCPENNEY01,KOHLDSN,MACY02,OLLIIX,OVERSTOCK01,TGTDVS,WALMARTDS</t>
  </si>
  <si>
    <t>WR20-1801</t>
  </si>
  <si>
    <t>8/29/2017</t>
  </si>
  <si>
    <t>AAFESDS,AMAZON,BLK01,FINGERHUTDS,HDDS,HSNDS,JCPENNEY01,KOHLDSN,MACY02,OLLIIX,OVERSTOCK01,WALMARTDS</t>
  </si>
  <si>
    <t>12/21/2021</t>
  </si>
  <si>
    <t>WR20-2282</t>
  </si>
  <si>
    <t>Grey Moose</t>
  </si>
  <si>
    <t>AMAZON,BLK01,CSNSTORES,JCPENNEY01,KOHLDSN,MACY02,OLLIIX,OVERSTOCK01,WALMARTDS</t>
  </si>
  <si>
    <t>WR20-2284</t>
  </si>
  <si>
    <t>AMAZON,FINGERHUTDS,JCPENNEY01,KOHLDSN,MACY02,OLLIIX,OVERSTOCK01,TGTDVS,WALMARTDS</t>
  </si>
  <si>
    <t>2/9/2022</t>
  </si>
  <si>
    <t>WR20-3958</t>
  </si>
  <si>
    <t>Black Pine Trees</t>
  </si>
  <si>
    <t>PP000952;PF006050</t>
  </si>
  <si>
    <t>7/26/2023</t>
  </si>
  <si>
    <t>WR20-3959</t>
  </si>
  <si>
    <t>WR20-3960</t>
  </si>
  <si>
    <t>WR20-3961</t>
  </si>
  <si>
    <t>AMAZON,AMAZONDS,CSNSTORES,FINGERHUTDS,JCPENNEY01,KOHLDSN,MACY02,OVERSTOCK01,TGTDVS</t>
  </si>
  <si>
    <t>WR20-3962</t>
  </si>
  <si>
    <t>AMAZON,FINGERHUTDS,JCPENNEY01,KOHLDSN,MACY02,OVERSTOCK01,TGTDVS</t>
  </si>
  <si>
    <t>WR20-3989</t>
  </si>
  <si>
    <t>Gray Deer Toile</t>
  </si>
  <si>
    <t>PP000952;PF006331</t>
  </si>
  <si>
    <t>Scenic</t>
  </si>
  <si>
    <t>WR20-3990</t>
  </si>
  <si>
    <t>WR20-3991</t>
  </si>
  <si>
    <t>AMAZON,AMAZONDS,CSNSTORES,DESINC,HDDS,JCPENNEY01,KOHLDSN,MACY02,OLLIIX</t>
  </si>
  <si>
    <t>WR20-3992</t>
  </si>
  <si>
    <t>AMAZON,AMAZONDS,HDDS,JCPENNEY01,KOHLDSN,MACY02,OLLIIX,TGTDVS</t>
  </si>
  <si>
    <t>WR20-3993</t>
  </si>
  <si>
    <t>AMAZON,AMAZONDS,HDDS,JCPENNEY01,KOHLDSN,TGTDVS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</si>
  <si>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</si>
  <si>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</si>
  <si>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</si>
  <si>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</si>
  <si>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</si>
  <si>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</si>
  <si>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</si>
  <si>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AMAZON,AMAZONDS,CSNSTORES,HDDS,KOHLDSN,MACY02,OVERSTOCK01,TGTDVS</t>
  </si>
  <si>
    <t>WR20-3984</t>
  </si>
  <si>
    <t>Green Trees &amp; Trucks</t>
  </si>
  <si>
    <t>PP000952;PF006330</t>
  </si>
  <si>
    <t>WR20-3985</t>
  </si>
  <si>
    <t>WR20-3986</t>
  </si>
  <si>
    <t>AMAZON,AMAZONDS,JCPENNEY01,KOHLDSN,MACY02</t>
  </si>
  <si>
    <t>WR20-3987</t>
  </si>
  <si>
    <t>WR20-3988</t>
  </si>
  <si>
    <t>AMAZON,AMAZONDS,HDDS,MACY02</t>
  </si>
  <si>
    <t>WR20-4008</t>
  </si>
  <si>
    <t>Grey Ski Jump</t>
  </si>
  <si>
    <t>PP000952;PF006340</t>
  </si>
  <si>
    <t>AMAZON,AMAZONDS,CSNSTORES,KOHLDSN,MACY02</t>
  </si>
  <si>
    <t>WR20-4009</t>
  </si>
  <si>
    <t>AMAZONDS,JCPENNEY01,MACY02</t>
  </si>
  <si>
    <t>WR20-4010</t>
  </si>
  <si>
    <t>WR20-4011</t>
  </si>
  <si>
    <t>AMAZONDS,MACY02</t>
  </si>
  <si>
    <t>WR20-4012</t>
  </si>
  <si>
    <t>WR20-3994</t>
  </si>
  <si>
    <t>PP000952;PF006332</t>
  </si>
  <si>
    <t>WR20-3995</t>
  </si>
  <si>
    <t>WR20-3996</t>
  </si>
  <si>
    <t>WR20-3997</t>
  </si>
  <si>
    <t>WR20-3998</t>
  </si>
  <si>
    <t>AMAZON,AMAZONDS,BLK01,KOHLDSN,MACY02,OVERSTOCK01</t>
  </si>
  <si>
    <t>MPE20-1098</t>
  </si>
  <si>
    <t>Luxury Sheet Set</t>
  </si>
  <si>
    <t>PF001730;PP001032</t>
  </si>
  <si>
    <t>8/8/2024</t>
  </si>
  <si>
    <t>SHET20-173</t>
  </si>
  <si>
    <t>Luxury 6 PC Sheet Set</t>
  </si>
  <si>
    <t>PF001730</t>
  </si>
  <si>
    <t>AMAZON,AMAZONDS,BEALLSDS,BLK01,CSNSTORES,DESINC,FINGERHUTDS,HDDS,HHGLOBALTTS,HSNDS,JCPENNEY01,KOHLDSN,MACY02,NRTPORT,OLLIIX,OVERSTOCK01,TGTDVS,WALMARTDS</t>
  </si>
  <si>
    <t>1/2/2019</t>
  </si>
  <si>
    <t>SHET20-174</t>
  </si>
  <si>
    <t>AMAZON,AMAZONDS,BLK01,CSNSTORES,DESINC,FINGERHUTDS,HDDS,HHGLOBALTTS,JCPENNEY01,KOHLDSN,MACY02,NRTPORT,OLLIIX,OVERSTOCK01,TGTDVS,WALMARTDS</t>
  </si>
  <si>
    <t>1/16/2019</t>
  </si>
  <si>
    <t>MPE20-1110</t>
  </si>
  <si>
    <t>AMAZON,AMAZONDS,CSNSTORES,KOHLDSN,NRTPORT,TGTDVS</t>
  </si>
  <si>
    <t>MPE20-1102</t>
  </si>
  <si>
    <t>PP001032;PF005159</t>
  </si>
  <si>
    <t>8/7/2024</t>
  </si>
  <si>
    <t>MPE20-904</t>
  </si>
  <si>
    <t>AMAZON,AMAZONDS,BLK01,CSNSTORES,DESINC,FINGERHUTDS,HDDS,HHGLOBALTTS,JCPENNEY01,KIRKLANDDS,KOHLDSN,MACY02,NRTPORT,OLLIIX,OVERSTOCK01,TGTDVS,WALMARTDS</t>
  </si>
  <si>
    <t>MPE20-905</t>
  </si>
  <si>
    <t>12/5/2022</t>
  </si>
  <si>
    <t>MPE20-906</t>
  </si>
  <si>
    <t>AMAZON,AMAZONDS,BLK01,CSNSTORES,DESINC,HHGLOBALTTS,JCPENNEY01,KIRKLANDDS,KOHLDSN,MACY02,NRTPORT,OLLIIX,OVERSTOCK01,TGTDVS,WALMARTDS</t>
  </si>
  <si>
    <t>MPE20-1112</t>
  </si>
  <si>
    <t>MPE20-1100</t>
  </si>
  <si>
    <t>PP001032;PF004513</t>
  </si>
  <si>
    <t>MPE20-775</t>
  </si>
  <si>
    <t>11/25/2018</t>
  </si>
  <si>
    <t>AMAZON,AMAZONDS,BLK01,CSNSTORES,DESINC,FINGERHUTDS,HDDS,JCPENNEY01,KOHLDSN,MACY02,NRTPORT,OLLIIX,OVERSTOCK01,TGTDVS,WALMARTDS</t>
  </si>
  <si>
    <t>4/2/2019</t>
  </si>
  <si>
    <t>MPE20-1099</t>
  </si>
  <si>
    <t>PP001032;PF004512</t>
  </si>
  <si>
    <t>AMAZON,BLK01,CSNSTORES,KOHLDSN,NRTPORT,OVERSTOCK01,TGTDVS</t>
  </si>
  <si>
    <t>MPE20-769</t>
  </si>
  <si>
    <t>AMAZON,AMAZONDS,BLK01,CSNSTORES,FINGERHUTDS,HDDS,HHGLOBALTTS,JCPENNEY01,KOHLDSN,MACY02,NRTPORT,OLLIIX,OVERSCONSIGN,OVERSTOCK01,TGTDVS,WALMARTDS</t>
  </si>
  <si>
    <t>2/20/2019</t>
  </si>
  <si>
    <t>MPE20-771</t>
  </si>
  <si>
    <t>3/12/2019</t>
  </si>
  <si>
    <t>MPE20-1111</t>
  </si>
  <si>
    <t>MPE20-1103</t>
  </si>
  <si>
    <t>PP001032;PF005160</t>
  </si>
  <si>
    <t>MPE20-907</t>
  </si>
  <si>
    <t>AMAZON,AMAZONDS,BLK01,CSNSTORES,DESINC,FINGERHUTDS,HDDS,JCPENNEY01,KIRKLANDDS,KOHLDSN,MACY02,NRTPORT,OLLIIX,OVERSTOCK01,TGTDVS,WALMARTDS</t>
  </si>
  <si>
    <t>9/28/2021</t>
  </si>
  <si>
    <t>MPE20-909</t>
  </si>
  <si>
    <t>AMAZON,BLK01,CSNSTORES,DESINC,FINGERHUTDS,HDDS,JCPENNEY01,KIRKLANDDS,KOHLDSN,MACY02,NRTPORT,OLLIIX,OVERSTOCK01,TGTDVS,WALMARTDS</t>
  </si>
  <si>
    <t>5/9/2021</t>
  </si>
  <si>
    <t>MPE20-1101</t>
  </si>
  <si>
    <t>PP001032;PF005158</t>
  </si>
  <si>
    <t>MPE20-899</t>
  </si>
  <si>
    <t>7/4/2021</t>
  </si>
  <si>
    <t>MPE20-901</t>
  </si>
  <si>
    <t>AMAZON,AMAZONDS,BLK01,CSNSTORES,FINGERHUTDS,HDDS,HHGLOBALTTS,JCPENNEY01,KIRKLANDDS,KOHLDSN,MACY02,NRTPORT,OLLIIX,OVERSTOCK01,TGTDVS,WALMARTDS</t>
  </si>
  <si>
    <t>9/13/2021</t>
  </si>
  <si>
    <t>MPE20-902</t>
  </si>
  <si>
    <t>AMAZON,AMAZONDS,BLK01,CSNSTORES,DESINC,HHGLOBALTTS,JCPENNEY01,KOHLDSN,MACY02,NRTPORT,OLLIIX,OVERSTOCK01,TGTDVS</t>
  </si>
  <si>
    <t>MPE20-1130</t>
  </si>
  <si>
    <t>PP001032;PF006318</t>
  </si>
  <si>
    <t>AMAZON,KOHLDSN,NRTPORT,OVERSTOCK01,TGTDVS</t>
  </si>
  <si>
    <t>MPE20-1131</t>
  </si>
  <si>
    <t>2/7/2025</t>
  </si>
  <si>
    <t>AMAZON,AMAZONDS,BLK01,CSNSTORES,HHGLOBALTTS,JCPENNEY01,KOHLDSN,MACY02,NRTPORT,OVERSTOCK01,TGTDVS</t>
  </si>
  <si>
    <t>MPE20-1132</t>
  </si>
  <si>
    <t>AMAZON,AMAZONDS,CSNSTORES,HHGLOBALTTS,JCPENNEY01,KOHLDSN,MACY02,NRTPORT,OVERSTOCK01,TGTDVS</t>
  </si>
  <si>
    <t>MPE20-1133</t>
  </si>
  <si>
    <t>MPE20-1134</t>
  </si>
  <si>
    <t>AMAZON,AMAZONDS,JCPENNEY01,KOHLDSN,MACY02,NRTPORT,OVERSTOCK01</t>
  </si>
  <si>
    <t>MPE20-1158</t>
  </si>
  <si>
    <t>PP001032;PF006317</t>
  </si>
  <si>
    <t>AMAZON,CSNSTORES,KOHLDSN,NRTPORT,OVERSTOCK01,TGTDVS</t>
  </si>
  <si>
    <t>MPE20-1159</t>
  </si>
  <si>
    <t>MPE20-1160</t>
  </si>
  <si>
    <t>MPE20-1161</t>
  </si>
  <si>
    <t>AMAZON,AMAZONDS,CSNSTORES,HHGLOBALTTS,JCPENNEY01,KOHLDSN,MACY02,NRTPORT,OLLIIX,OVERSTOCK01,TGTDVS</t>
  </si>
  <si>
    <t>MPE20-1162</t>
  </si>
  <si>
    <t>MPE20-1144</t>
  </si>
  <si>
    <t>Emerald</t>
  </si>
  <si>
    <t>PP001032;PF006387</t>
  </si>
  <si>
    <t>AMAZON,AMAZONDS,BLK01,CSNSTORES,KOHLDSN,NRTPORT,TGTDVS</t>
  </si>
  <si>
    <t>MPE20-1145</t>
  </si>
  <si>
    <t>MPE20-1146</t>
  </si>
  <si>
    <t>MPE20-1147</t>
  </si>
  <si>
    <t>MPE20-1148</t>
  </si>
  <si>
    <t>AMAZON,AMAZONDS,BLK01,CSNSTORES,HHGLOBALTTS,JCPENNEY01,MACY02,NRTPORT,OVERSTOCK01,TGTDVS</t>
  </si>
  <si>
    <t>MPE20-1151</t>
  </si>
  <si>
    <t>PP001032;PF006315</t>
  </si>
  <si>
    <t>MPE20-1152</t>
  </si>
  <si>
    <t>MPE20-1153</t>
  </si>
  <si>
    <t>MPE20-1154</t>
  </si>
  <si>
    <t>MPE20-1155</t>
  </si>
  <si>
    <t>AMAZON,AMAZONDS,CSNSTORES,HHGLOBALTTS,JCPENNEY01,MACY02,NRTPORT,OVERSTOCK01</t>
  </si>
  <si>
    <t>MPE20-1137</t>
  </si>
  <si>
    <t>Midnight Blue</t>
  </si>
  <si>
    <t>PP001032</t>
  </si>
  <si>
    <t>AMAZON,AMAZONDS,CSNSTORES,HHGLOBALTTS,KOHLDSN,NRTPORT,TGTDVS</t>
  </si>
  <si>
    <t>MPE20-1138</t>
  </si>
  <si>
    <t>MPE20-1139</t>
  </si>
  <si>
    <t>MPE20-1140</t>
  </si>
  <si>
    <t>MPE20-1141</t>
  </si>
  <si>
    <t>AMAZON,AMAZONDS,HHGLOBALTTS,JCPENNEY01,MACY02,NRTPORT,OVERSTOCK01,TGTDVS</t>
  </si>
  <si>
    <t>MPE20-1123</t>
  </si>
  <si>
    <t>PP001032;PF006319</t>
  </si>
  <si>
    <t>MPE20-1124</t>
  </si>
  <si>
    <t>MPE20-1125</t>
  </si>
  <si>
    <t>MPE20-1126</t>
  </si>
  <si>
    <t>MPE20-1127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</si>
  <si>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</si>
  <si>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</si>
  <si>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</si>
  <si>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</si>
  <si>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</si>
  <si>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</si>
  <si>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</si>
  <si>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</si>
  <si>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</si>
  <si>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</si>
  <si>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</si>
  <si>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</si>
  <si>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</si>
  <si>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</si>
  <si>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</si>
  <si>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</si>
  <si>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</si>
  <si>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AMAZON,AMAZONDS,BEALLSDS,BLK01,CSNSTORES,DESINC,FINGERHUTDS,JCPENNEY01,KOHLDSN,MACY02,OLLIIX,OVERSTOCK01,TGTDVS</t>
  </si>
  <si>
    <t>MPE20-1014</t>
  </si>
  <si>
    <t>AMAZON,BEALLSDS,BLK01,CSNSTORES,FINGERHUTDS,HDDS,JCPENNEY01,KOHLDSN,MACY02,OLLIIX,OVERSTOCK01,TGTDVS</t>
  </si>
  <si>
    <t>MPE20-1006</t>
  </si>
  <si>
    <t>Green Leaves</t>
  </si>
  <si>
    <t>PP001858;PF005940</t>
  </si>
  <si>
    <t>AMAZON,AMAZONDS,CSNSTORES,FINGERHUTDS,HDDS,JCPENNEY01,KOHLDSN,MACY02,OVERSTOCK01,TGTDVS</t>
  </si>
  <si>
    <t>MPE20-1007</t>
  </si>
  <si>
    <t>MPE20-1008</t>
  </si>
  <si>
    <t>MPE20-1015</t>
  </si>
  <si>
    <t>Grey Stripe</t>
  </si>
  <si>
    <t>PP001858;PF005943</t>
  </si>
  <si>
    <t>MPE20-1016</t>
  </si>
  <si>
    <t>AMAZON,AMAZONDS,BEALLSDS,CSNSTORES,DESINC,FINGERHUTDS,JCPENNEY01,KOHLDSN,MACY02,NRTPORT,OLLIIX,OVERSTOCK01,TGTDVS</t>
  </si>
  <si>
    <t>MPE20-1017</t>
  </si>
  <si>
    <t>AMAZON,CSNSTORES,DESINC,FINGERHUTDS,JCPENNEY01,KOHLDSN,MACY02,NRTPORT,OLLIIX,OVERSTOCK01,TGTDVS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</si>
  <si>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</si>
  <si>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</si>
  <si>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</si>
  <si>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</si>
  <si>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</si>
  <si>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</si>
  <si>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</si>
  <si>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</si>
  <si>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</si>
  <si>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</si>
  <si>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</si>
  <si>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</si>
  <si>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</si>
  <si>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AMAZON,AMAZONDS,CSNSTORES,HDDS,JCPENNEY01,KIRKLANDDS,KOHLDSN,MACY02,NRTPORT,OVERSTOCK01,TGTDVS</t>
  </si>
  <si>
    <t>MPE20-1001</t>
  </si>
  <si>
    <t>AMAZON,BLK01,CSNSTORES,HDDS,JCPENNEY01,KIRKLANDDS,KOHLDSN,MACY02,NRTPORT,OLLIIX,OVERSTOCK01,TGTDVS</t>
  </si>
  <si>
    <t>MPE20-1002</t>
  </si>
  <si>
    <t>MPE20-992</t>
  </si>
  <si>
    <t>Taupe Leopard</t>
  </si>
  <si>
    <t>PP001851;PF005927</t>
  </si>
  <si>
    <t>AMAZON,AMAZONDS,JCPENNEY01,KOHLDSN,MACY02,NRTPORT,OLLIIX,TGTDVS</t>
  </si>
  <si>
    <t>MPE20-993</t>
  </si>
  <si>
    <t>AMAZON,AMAZONDS,BLK01,CSNSTORES,JCPENNEY01,KOHLDSN,MACY02,NRTPORT,TGTDVS</t>
  </si>
  <si>
    <t>MPE20-994</t>
  </si>
  <si>
    <t>MPE20-995</t>
  </si>
  <si>
    <t>AMAZON,AMAZONDS,BLK01,CSNSTORES,HDDS,JCPENNEY01,KIRKLANDDS,KOHLDSN,MACY02,NRTPORT,OLLIIX,OVERSTOCK01,TGTDVS</t>
  </si>
  <si>
    <t>MPE21-777</t>
  </si>
  <si>
    <t>Luxury 2 PC Pillowcases</t>
  </si>
  <si>
    <t>12/11/2018</t>
  </si>
  <si>
    <t>CSNSTORES,DESINC,FINGERHUTDS,HDDS,JCPENNEY01,KIRKLANDDS,KOHLDSN,MACY02,NRTPORT,OLLIIX,OVERSTOCK01,TGTDVS,WALMARTDS</t>
  </si>
  <si>
    <t>10/28/2019</t>
  </si>
  <si>
    <t>MPE21-776</t>
  </si>
  <si>
    <t>AMAZON,CSNSTORES,FINGERHUTDS,HDDS,JCPENNEY01,KIRKLANDDS,KOHLDSN,MACY02,NRTPORT,OLLIIX,OVERSTOCK01,TGTDVS</t>
  </si>
  <si>
    <t>10/30/2019</t>
  </si>
  <si>
    <t>MPE21-1136</t>
  </si>
  <si>
    <t>MPE21-1135</t>
  </si>
  <si>
    <t>MPE21-991</t>
  </si>
  <si>
    <t>PP001032;PF005902</t>
  </si>
  <si>
    <t>AMAZON,CSNSTORES,JCPENNEY01,KIRKLANDDS,KOHLDSN,MACY02,NRTPORT,OLLIIX,OVERSTOCK01,TGTDVS</t>
  </si>
  <si>
    <t>MPE21-990</t>
  </si>
  <si>
    <t>AMAZON,AMAZONDS,CSNSTORES,HDDS,JCPENNEY01,KIRKLANDDS,KOHLDSN,MACY02,NRTPORT,OLLIIX,OVERSTOCK01,TGTDVS</t>
  </si>
  <si>
    <t>MPE21-1164</t>
  </si>
  <si>
    <t>MPE21-1163</t>
  </si>
  <si>
    <t>MPE21-1150</t>
  </si>
  <si>
    <t>MPE21-1149</t>
  </si>
  <si>
    <t>MPE21-1005</t>
  </si>
  <si>
    <t>MPE21-918</t>
  </si>
  <si>
    <t>6/1/2021</t>
  </si>
  <si>
    <t>AMAZON,AMAZONDS,CSNSTORES,FINGERHUTDS,JCPENNEY01,KIRKLANDDS,KOHLDSN,MACY02,NRTPORT,OLLIIX,OVERSTOCK01,TGTDVS</t>
  </si>
  <si>
    <t>MPE21-917</t>
  </si>
  <si>
    <t>AMAZON,AMAZONDS,CSNSTORES,DESINC,FINGERHUTDS,HDDS,JCPENNEY01,KIRKLANDDS,KOHLDSN,MACY02,OLLIIX,OVERSTOCK01,TGTDVS</t>
  </si>
  <si>
    <t>MPE21-920</t>
  </si>
  <si>
    <t>MPE21-919</t>
  </si>
  <si>
    <t>AMAZON,AMAZONDS,CSNSTORES,DESINC,FINGERHUTDS,HDDS,JCPENNEY01,KOHLDSN,MACY02,NRTPORT,OLLIIX,OVERSTOCK01,TGTDVS</t>
  </si>
  <si>
    <t>MPE21-1157</t>
  </si>
  <si>
    <t>MPE21-1156</t>
  </si>
  <si>
    <t>MPE21-1143</t>
  </si>
  <si>
    <t>MPE21-1142</t>
  </si>
  <si>
    <t>MPE21-1129</t>
  </si>
  <si>
    <t>MPE21-1128</t>
  </si>
  <si>
    <t>MPE21-998</t>
  </si>
  <si>
    <t>AMAZON,CSNSTORES,HDDS,JCPENNEY01,KIRKLANDDS,KOHLDSN,MACY02,NRTPORT,OLLIIX,OVERSTOCK01,TGTDVS</t>
  </si>
  <si>
    <t>MPE21-997</t>
  </si>
  <si>
    <t>MPE21-916</t>
  </si>
  <si>
    <t>AMAZON,AMAZONDS,CSNSTORES,FINGERHUTDS,HDDS,JCPENNEY01,KIRKLANDDS,KOHLDSN,MACY02,OLLIIX,OVERSTOCK01,TGTDVS</t>
  </si>
  <si>
    <t>MPE21-915</t>
  </si>
  <si>
    <t>AMAZON,AMAZONDS,CSNSTORES,FINGERHUTDS,HDDS,JCPENNEY01,KOHLDSN,MACY02,NRTPORT,OLLIIX,OVERSTOCK01,TGTDVS</t>
  </si>
  <si>
    <t>SHET20-960</t>
  </si>
  <si>
    <t>Smart Cool Microfiber</t>
  </si>
  <si>
    <t>PF002216</t>
  </si>
  <si>
    <t>Coolmax</t>
  </si>
  <si>
    <t>AMAZON,AMAZONDS,BLK01,HDDS,JCPENNEY01,KOHLDSN,MACY02,NRTPORT,OLLIIX,OVERSTOCK01,TGTDVS,WALMARTDS</t>
  </si>
  <si>
    <t>SHET20-961</t>
  </si>
  <si>
    <t>AMAZON,AMAZONDS,BEALLSDS,BLK01,CSNSTORES,DESINC,HDDS,JCPENNEY01,KOHLDSN,MACY02,NRTPORT,OLLIIX,OVERSTOCK01,TGTDVS,ZOLA</t>
  </si>
  <si>
    <t>SHET20-963</t>
  </si>
  <si>
    <t>SHET20-964</t>
  </si>
  <si>
    <t>AMAZON,AMAZONDS,BEALLSDS,BLK01,HDDS,JCPENNEY01,KOHLDSN,MACY02,NRTPORT,OLLIIX,OVERSCONSIGN,OVERSTOCK01,TGTDVS</t>
  </si>
  <si>
    <t>SHET20-970</t>
  </si>
  <si>
    <t>PF002218</t>
  </si>
  <si>
    <t>BEALLSDS,BLK01,HDDS,JCPENNEY01,KOHLDSN,MACY02,NRTPORT,TGTDVS</t>
  </si>
  <si>
    <t>SHET20-972</t>
  </si>
  <si>
    <t>BEALLSDS,BLK01,HDDS,JCPENNEY01,KOHLDSN,MACY02,NRTPORT,OVERSTOCK01,TGTDVS,ZOLA</t>
  </si>
  <si>
    <t>SHET20-973</t>
  </si>
  <si>
    <t>BEALLSDS,BLK01,CSNSTORES,HDDS,JCPENNEY01,KOHLDSN,MACY02,NRTPORT,OVERSTOCK01,TGTDVS,WALMARTDS,ZOLA</t>
  </si>
  <si>
    <t>SHET20-965</t>
  </si>
  <si>
    <t>PF002217</t>
  </si>
  <si>
    <t>BLK01,CSNSTORES,JCPENNEY01,KOHLDSN,MACY02,NRTPORT,OLLIIX,TGTDVS</t>
  </si>
  <si>
    <t>SHET20-966</t>
  </si>
  <si>
    <t>SHET20-967</t>
  </si>
  <si>
    <t>BEALLSDS,BLK01,CSNSTORES,HDDS,JCPENNEY01,KOHLDSN,MACY02,NRTPORT,OLLIIX,OVERSTOCK01,TGTDVS,ZOLA</t>
  </si>
  <si>
    <t>SHET20-968</t>
  </si>
  <si>
    <t>BEALLSDS,BLK01,CSNSTORES,JCPENNEY01,KOHLDSN,MACY02,NRTPORT,OLLIIX,OVERSTOCK01,TGTDVS,WALMARTDS,ZOLA</t>
  </si>
  <si>
    <t>1/23/2017</t>
  </si>
  <si>
    <t>SHET20-976</t>
  </si>
  <si>
    <t>PF002219</t>
  </si>
  <si>
    <t>BEALLSDS,CSNSTORES,JCPENNEY01,KOHLDSN,MACY02,NRTPORT,OVERSTOCK01,TGTDVS,WALMARTDS</t>
  </si>
  <si>
    <t>SHET20-978</t>
  </si>
  <si>
    <t>BLK01,CSNSTORES,HDDS,JCPENNEY01,KOHLDSN,MACY02,NRTPORT,OLLIIX,OVERSTOCK01,TGTDVS,ZOLA</t>
  </si>
  <si>
    <t>SHET20-1184</t>
  </si>
  <si>
    <t>PP001565;PF005246</t>
  </si>
  <si>
    <t>12/21/2020</t>
  </si>
  <si>
    <t>SHET20-1185</t>
  </si>
  <si>
    <t>BLK01,CSNSTORES,HDDS,JCPENNEY01,KOHLDSN,MACY02,NRTPORT,OLLIIX,TGTDVS</t>
  </si>
  <si>
    <t>SHET20-1186</t>
  </si>
  <si>
    <t>SHET20-1187</t>
  </si>
  <si>
    <t>MZ20-415</t>
  </si>
  <si>
    <t>Mi Zone</t>
  </si>
  <si>
    <t>Polka Dot</t>
  </si>
  <si>
    <t>Printed 100% Cotton Sheet Set</t>
  </si>
  <si>
    <t>PF001570</t>
  </si>
  <si>
    <t>AMAZON,AMAZONDS,BLK01,CSNSTORES,HDDS,KOHLDSN,MACY02,OLLIIX,OVERSTOCK01,WALMARTDS</t>
  </si>
  <si>
    <t>MZ20-417</t>
  </si>
  <si>
    <t>AMAZON,AMAZONDS,BLK01,CSNSTORES,HSNDS,KOHLDSN,MACY02,OLLIIX,OVERSTOCK01,TGTDVS</t>
  </si>
  <si>
    <t>MZ20-420</t>
  </si>
  <si>
    <t>PF001571</t>
  </si>
  <si>
    <t>AM20-0361</t>
  </si>
  <si>
    <t>Cotton 144TC</t>
  </si>
  <si>
    <t>100% Cotton Solid Sheet Set</t>
  </si>
  <si>
    <t>PP001988;PF006385</t>
  </si>
  <si>
    <t>AM20-0362</t>
  </si>
  <si>
    <t>AMAZONDS,KOHLDSN</t>
  </si>
  <si>
    <t>AM20-0363</t>
  </si>
  <si>
    <t>AM20-0364</t>
  </si>
  <si>
    <t>AM20-0347</t>
  </si>
  <si>
    <t>PP001988;PF006382</t>
  </si>
  <si>
    <t>9/22/2024</t>
  </si>
  <si>
    <t>AM20-0348</t>
  </si>
  <si>
    <t>AM20-0349</t>
  </si>
  <si>
    <t>AM20-0350</t>
  </si>
  <si>
    <t>AMAZONDS,KOHLDSN,OVERSTOCK01</t>
  </si>
  <si>
    <t>AM20-0351</t>
  </si>
  <si>
    <t>AM20-0352</t>
  </si>
  <si>
    <t>AM20-0357</t>
  </si>
  <si>
    <t>PP001988;PF006384</t>
  </si>
  <si>
    <t>AM20-0358</t>
  </si>
  <si>
    <t>AMAZONDS,CSNSTORES,KOHLDSN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</si>
  <si>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</si>
  <si>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</si>
  <si>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</si>
  <si>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</si>
  <si>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</si>
  <si>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</si>
  <si>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</si>
  <si>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</si>
  <si>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</si>
  <si>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</si>
  <si>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</si>
  <si>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</si>
  <si>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</si>
  <si>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</si>
  <si>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MP73-5974</t>
  </si>
  <si>
    <t>TOWL</t>
  </si>
  <si>
    <t>BATH TOWEL</t>
  </si>
  <si>
    <t>Cotton Waffle Jacquard Antimicrobial Bath Towel 6 Piece Set</t>
  </si>
  <si>
    <t>PP000511</t>
  </si>
  <si>
    <t>AMAZON,AMAZONDS,BEALLSDS,BLK01,CSNSTORES,DESINC,HDDS,JCPENNEY01,KOHLDSN,MACY02,NRTPORT,OLLIIX,OVERSTOCK01,TGTDVS,WALMARTDS,ZOLA</t>
  </si>
  <si>
    <t>5/1/2020</t>
  </si>
  <si>
    <t>MP73-5912</t>
  </si>
  <si>
    <t>AMAZON,AMAZONDS,BEALLSDS,BLK01,CSNSTORES,HDDS,HOUZZ,JCPENNEY01,KOHLDSN,MACY02,OLLIIX,OVERSTOCK01,TGTDVS,WALMARTDS,ZOLA</t>
  </si>
  <si>
    <t>2/26/2020</t>
  </si>
  <si>
    <t>MP73-6220</t>
  </si>
  <si>
    <t>3/30/2019</t>
  </si>
  <si>
    <t>AMAZON,AMAZONDS,BLK01,CSNSTORES,HDDS,JCPENNEY01,KOHLDSN,MACY02,OLLIIX,OVERSTOCK01,TGTDVS,WALMARTDS,ZOLA</t>
  </si>
  <si>
    <t>MP73-5913</t>
  </si>
  <si>
    <t>AMAZON,AMAZONDS,BEALLSDS,BLK01,CSNSTORES,DESINC,HDDS,JCPENNEY01,KOHLDSN,MACY02,OLLIIX,OVERSTOCK01,TGTDVS,WALMARTDS,ZOLA</t>
  </si>
  <si>
    <t>MP73-5914</t>
  </si>
  <si>
    <t>AMAZON,AMAZONDS,BLK01,CSNSTORES,HDDS,JCPENNEY01,KOHLDSN,MACY02,NRTPORT,OLLIIX,OVERSTOCK01,TGTDVS,WALMARTDS,ZOLA</t>
  </si>
  <si>
    <t>8/11/2019</t>
  </si>
  <si>
    <t>10/11/2020</t>
  </si>
  <si>
    <t>MP73-7179</t>
  </si>
  <si>
    <t>AMAZON,AMAZONDS,BLK01,CSNSTORES,HDDS,JCPENNEY01,KIRKLANDDS,KOHLDSN,MACY02,OLLIIX,OVERSTOCK01,TGTDVS,WALMARTDS,ZOLA</t>
  </si>
  <si>
    <t>5/14/2021</t>
  </si>
  <si>
    <t>MP73-5915</t>
  </si>
  <si>
    <t>AMAZON,BLK01,CSNSTORES,DESINC,HDDS,HOUZZ,JCPENNEY01,KOHLDSN,MACY02,OLLIIX,OVERSTOCK01,TGTDVS,WALMARTDS,ZOLA</t>
  </si>
  <si>
    <t>MP73-5137</t>
  </si>
  <si>
    <t>Organic</t>
  </si>
  <si>
    <t>6 Piece Organic Cotton Towel Set</t>
  </si>
  <si>
    <t>AMAZONDS,BEALLSDS,BLK01,CSNSTORES,JCPENNEY01,KOHLDSN,LOWESDS,MACY02,OLLIIX,OVERSTOCK01,TGTDVS,WALMARTDS,ZOLA</t>
  </si>
  <si>
    <t>1/4/2018</t>
  </si>
  <si>
    <t>MP73-6181</t>
  </si>
  <si>
    <t>PP001101</t>
  </si>
  <si>
    <t>AMAZON,AMAZONDS,BLK01,CSNSTORES,HDDS,HOUZZ,JCPENNEY01,KOHLDSN,MACY02,OLLIIX,OVERSTOCK01,TGTDVS,WALMARTDS,ZOLA</t>
  </si>
  <si>
    <t>10/21/2019</t>
  </si>
  <si>
    <t>MP73-5138</t>
  </si>
  <si>
    <t>AMAZON,AMAZONDS,BEALLSDS,BLK01,CSNSTORES,HDDS,JCPENNEY01,KOHLDSN,MACY02,NRTPORT,OLLIIX,OVERSTOCK01,TGTDVS,WALMARTDS,ZOLA</t>
  </si>
  <si>
    <t>MP73-6629</t>
  </si>
  <si>
    <t>9/20/2019</t>
  </si>
  <si>
    <t>AMAZONDS,BLK01,CSNSTORES,HDDS,JCPENNEY01,KOHLDSN,LOWESDS,MACY02,OLLIIX,OVERSTOCK01,TGTDVS,WALMARTDS,ZOLA</t>
  </si>
  <si>
    <t>MP73-7473</t>
  </si>
  <si>
    <t>6/8/2021</t>
  </si>
  <si>
    <t>MP73-7472</t>
  </si>
  <si>
    <t>MP73-6182</t>
  </si>
  <si>
    <t>AMAZONDS,BLK01,CSNSTORES,HDDS,JCPENNEY01,KOHLDSN,LOWESDS,MACY02,OLLIIX,OVERSTOCK01,TGTDVS,ZOLA</t>
  </si>
  <si>
    <t>MPS73-432</t>
  </si>
  <si>
    <t>800gsm</t>
  </si>
  <si>
    <t>800GSM Ultra-Soft 100% Cotton Absorbent Towel Set</t>
  </si>
  <si>
    <t>34x68" – 2PK</t>
  </si>
  <si>
    <t>PF001488;PP001046</t>
  </si>
  <si>
    <t>AMAZON,AMAZONDS,BLK01,CSNSTORES,HDDS,HOUZZ,JCPENNEY01,KOHLDSN,MACY02,OLLIIX,OVERSTOCK01,TGTDVS,WALMARTDS</t>
  </si>
  <si>
    <t>MPS73-461</t>
  </si>
  <si>
    <t>PF001493;PP001046</t>
  </si>
  <si>
    <t>AMAZON,AMAZONDS,BLK01,CSNSTORES,HDDS,HOUZZ,JCPENNEY01,KOHLDSN,LOWESDS,MACY02,NRTPORT,OLLIIX,OVERSTOCK01,TGTDVS,WALMARTDS</t>
  </si>
  <si>
    <t>8/17/2021</t>
  </si>
  <si>
    <t>MPS73-200</t>
  </si>
  <si>
    <t>800GSM</t>
  </si>
  <si>
    <t>8-Piece</t>
  </si>
  <si>
    <t>PF001500;PP001046</t>
  </si>
  <si>
    <t>AAFESDS,AMAZONDS,BLK01,CSNSTORES,DESINC,FINGERHUTDS,HDDS,HOUZZ,JCPENNEY01,KOHLDSN,MACY02,OLLIIX,OVERSTOCK01,TGTDVS,WALMARTDS,ZOLA</t>
  </si>
  <si>
    <t>6/14/2018</t>
  </si>
  <si>
    <t>MPS73-320</t>
  </si>
  <si>
    <t>PP001046;PF005089</t>
  </si>
  <si>
    <t>AAFESDS,AMAZON,AMAZONDS,BLK01,CSNSTORES,FINGERHUTDS,HDDS,JCPENNEY01,KOHLDSN,MACY02,OLLIIX,OVERSTOCK01,TGTDVS,WALMARTDS,ZOLA</t>
  </si>
  <si>
    <t>9/10/2018</t>
  </si>
  <si>
    <t>MPS73-526</t>
  </si>
  <si>
    <t>AMAZON,AMAZONDS,BLK01,CSNSTORES,KOHLDSN,MACY02,OVERSTOCK01,ZOLA</t>
  </si>
  <si>
    <t>MPS73-195</t>
  </si>
  <si>
    <t>PF001495;PP001046</t>
  </si>
  <si>
    <t>AMAZON,AMAZONDS,BLK01,CSNSTORES,FINGERHUTDS,HDDS,HOUZZ,JCPENNEY01,KOHLDSN,MACY02,OLLIIX,OVERSTOCK01,TGTDVS,WALMARTDS,ZOLA</t>
  </si>
  <si>
    <t>MPS73-471</t>
  </si>
  <si>
    <t>PP001046;PF005251</t>
  </si>
  <si>
    <t>12/2/2020</t>
  </si>
  <si>
    <t>AMAZONDS,BLK01,CSNSTORES,FINGERHUTDS,HDDS,JCPENNEY01,KOHLDSN,MACY02,OLLIIX,OVERSTOCK01,TGTDVS,WALMARTDS,ZOLA</t>
  </si>
  <si>
    <t>2/12/2024</t>
  </si>
  <si>
    <t>MPS73-199</t>
  </si>
  <si>
    <t>PF001499;PP001046</t>
  </si>
  <si>
    <t>AAFESDS,AMAZON,AMAZONDS,BLK01,CSNSTORES,FINGERHUTDS,HDDS,HOUZZ,JCPENNEY01,KOHLDSN,LOWESDS,MACY02,OLLIIX,OVERSTOCK01,TGTDVS,ZOLA</t>
  </si>
  <si>
    <t>MPS73-460</t>
  </si>
  <si>
    <t>2/8/2025</t>
  </si>
  <si>
    <t>AMAZON,AMAZONDS,BLK01,CSNSTORES,HDDS,JCPENNEY01,KOHLDSN,LOWESDS,MACY02,NRTPORT,OLLIIX,OVERSTOCK01,TGTDVS,WALMARTDS,ZOLA</t>
  </si>
  <si>
    <t>MPS73-431</t>
  </si>
  <si>
    <t>PF001491;PP001046</t>
  </si>
  <si>
    <t>AMAZON,AMAZONDS,BLK01,CSNSTORES,DESINC,HDDS,JCPENNEY01,KOHLDSN,LOWESDS,MACY02,NRTPORT,OLLIIX,OVERSCONSIGN,OVERSTOCK01,TGTDVS,WALMARTDS</t>
  </si>
  <si>
    <t>MPS73-550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</si>
  <si>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</si>
  <si>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</si>
  <si>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</si>
  <si>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</si>
  <si>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</si>
  <si>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</si>
  <si>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</si>
  <si>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AMAZON,AMAZONDS,CSNSTORES,KOHLDSN,MACY02,OLLIIX,OVERSTOCK01,ZOLA</t>
  </si>
  <si>
    <t>MPS73-190</t>
  </si>
  <si>
    <t>PF001490;PP001046</t>
  </si>
  <si>
    <t>AAFESDS,AMAZON,AMAZONDS,BLK01,CSNSTORES,DESINC,FINGERHUTDS,HDDS,JCPENNEY01,KOHLDSN,MACY02,OLLIIX,OVERSTOCK01,TGTDVS,ZOLA</t>
  </si>
  <si>
    <t>MPS73-539</t>
  </si>
  <si>
    <t>PP001046;PF006306</t>
  </si>
  <si>
    <t>AMAZON,AMAZONDS,CSNSTORES,KOHLDSN,MACY02,OLLIIX</t>
  </si>
  <si>
    <t>MPS73-514</t>
  </si>
  <si>
    <t>PP001046;PF005956</t>
  </si>
  <si>
    <t>5/22/2023</t>
  </si>
  <si>
    <t>AMAZON,AMAZONDS,BLK01,CSNSTORES,FINGERHUTDS,KOHLDSN,LOWESDS,MACY02,OLLIIX,OVERSTOCK01,TGTDVS,ZOLA</t>
  </si>
  <si>
    <t>MPS73-528</t>
  </si>
  <si>
    <t>PF001492;PP001046</t>
  </si>
  <si>
    <t>MPS73-541</t>
  </si>
  <si>
    <t>PP001046;PF006308</t>
  </si>
  <si>
    <t>MPS73-455</t>
  </si>
  <si>
    <t>Turkish</t>
  </si>
  <si>
    <t>Cotton 6 Piece Bath Towel Set</t>
  </si>
  <si>
    <t>PP001361</t>
  </si>
  <si>
    <t>MPS73-416</t>
  </si>
  <si>
    <t>AAFESDS,AMAZONDS,BLK01,CSNSTORES,FINGERHUTDS,HDDS,JCPENNEY01,KOHLDSN,LOWESDS,MACY02,NRTPORT,OLLIIX,OVERSTOCK01,TGTDVS,WALMARTDS,ZOLA</t>
  </si>
  <si>
    <t>MPS73-450</t>
  </si>
  <si>
    <t>MPS73-316</t>
  </si>
  <si>
    <t>AAFESDS,AMAZON,AMAZONDS,BLK01,CSNSTORES,DESINC,FINGERHUTDS,HDDS,HOUZZ,JCPENNEY01,KOHLDSN,LOWESDS,MACY02,OLLIIX,OVERSCONSIGN,OVERSTOCK01,TGTDVS,WALMARTDS,ZOLA</t>
  </si>
  <si>
    <t>MPS73-533</t>
  </si>
  <si>
    <t>100% Cotton Bath Sheet 2 Piece Set</t>
  </si>
  <si>
    <t>35x70" - 2PK</t>
  </si>
  <si>
    <t>AMAZON,AMAZONDS,BLK01,KOHLDSN,MACY02,OLLIIX,ZOLA</t>
  </si>
  <si>
    <t>MPS73-467</t>
  </si>
  <si>
    <t>8/26/2020</t>
  </si>
  <si>
    <t>MPS73-532</t>
  </si>
  <si>
    <t>MPS73-543</t>
  </si>
  <si>
    <t>PP001361;PF006305</t>
  </si>
  <si>
    <t>MPS73-534</t>
  </si>
  <si>
    <t>AMAZON,AMAZONDS,KOHLDSN,MACY02,OVERSTOCK01,ZOLA</t>
  </si>
  <si>
    <t>MPS73-349</t>
  </si>
  <si>
    <t>AAFESDS,AMAZON,AMAZONDS,BLK01,CSNSTORES,DESINC,FINGERHUTDS,HDDS,JCPENNEY01,KOHLDSN,LOWESDS,MACY02,OLLIIX,OVERSTOCK01,TGTDVS,ZOLA</t>
  </si>
  <si>
    <t>3/12/2018</t>
  </si>
  <si>
    <t>MPS73-531</t>
  </si>
  <si>
    <t>AMAZON,AMAZONDS,BLK01,KOHLDSN,MACY02,OVERSTOCK01,ZOLA</t>
  </si>
  <si>
    <t>MPS73-433</t>
  </si>
  <si>
    <t>1000gsm 100% Cotton 6 Piece Towel Set</t>
  </si>
  <si>
    <t>PP001153</t>
  </si>
  <si>
    <t>5/21/2019</t>
  </si>
  <si>
    <t>6/5/2020</t>
  </si>
  <si>
    <t>MPS73-470</t>
  </si>
  <si>
    <t>MPS73-436</t>
  </si>
  <si>
    <t>AMAZONDS,BLK01,CSNSTORES,DESINC,HDDS,JCPENNEY01,KIRKLANDDS,KOHLDSN,MACY02,OLLIIX,OVERSTOCK01,TGTDVS</t>
  </si>
  <si>
    <t>7/7/2020</t>
  </si>
  <si>
    <t>MPS73-426</t>
  </si>
  <si>
    <t>Luce</t>
  </si>
  <si>
    <t>100% Egyptian Cotton 6 Piece Towel Set</t>
  </si>
  <si>
    <t>PP001119</t>
  </si>
  <si>
    <t>5/2/2019</t>
  </si>
  <si>
    <t>AAFESDS,AMAZON,BLK01,CSNSTORES,JCPENNEY01,KOHLDSN,MACY02,OLLIIX,OVERSTOCK01,TGTDVS,WALMARTDS,ZOLA</t>
  </si>
  <si>
    <t>11/5/2019</t>
  </si>
  <si>
    <t>MPS73-477</t>
  </si>
  <si>
    <t>AAFESDS,AMAZON,BLK01,CSNSTORES,HDDS,JCPENNEY01,KOHLDSN,MACY02,OLLIIX,OVERSTOCK01,TGTDVS,ZOLA</t>
  </si>
  <si>
    <t>MPS73-476</t>
  </si>
  <si>
    <t>AAFESDS,AMAZON,BLK01,CSNSTORES,DESINC,HDDS,HOUZZ,JCPENNEY01,KOHLDSN,MACY02,OLLIIX,OVERSTOCK01,TGTDVS,ZOLA</t>
  </si>
  <si>
    <t>MPE73-668</t>
  </si>
  <si>
    <t>Adrien</t>
  </si>
  <si>
    <t>Roman</t>
  </si>
  <si>
    <t>Super Soft Cotton Quick Dry Bath Towel 6 Piece Set</t>
  </si>
  <si>
    <t>AMAZON,AMAZONDS,BEALLSDS,BLK01,CSNSTORES,HDDS,JCPENNEY01,KOHLDSN,MACY02,OLLIIX,TGTDVS,WALMARTDS</t>
  </si>
  <si>
    <t>MPE73-788</t>
  </si>
  <si>
    <t>PP001058</t>
  </si>
  <si>
    <t>1/24/2019</t>
  </si>
  <si>
    <t>AMAZON,AMAZONDS,BIGLOTSDS,BLK01,CSNSTORES,HDDS,JCPENNEY01,KOHLDSN,MACY02,OLLIIX,OVERSTOCK01,TGTDVS,WALMARTDS,ZOLA</t>
  </si>
  <si>
    <t>MPE73-665</t>
  </si>
  <si>
    <t>AMAZON,AMAZONDS,BIGLOTSDS,BLK01,CSNSTORES,HDDS,JCPENNEY01,KOHLDSN,MACY02,OLLIIX,TGTDVS,WALMARTDS</t>
  </si>
  <si>
    <t>MPE73-664</t>
  </si>
  <si>
    <t>AMAZON,BEALLSDS,BLK01,CSNSTORES,HDDS,JCPENNEY01,KOHLDSN,MACY02,OLLIIX,OVERSTOCK01,TGTDVS,WALMARTDS</t>
  </si>
  <si>
    <t>MPE73-1024</t>
  </si>
  <si>
    <t>PP001058;PF005959</t>
  </si>
  <si>
    <t>AMAZON,AMAZONDS,BLK01,CSNSTORES,KOHLDSN,MACY02,OLLIIX,OVERSTOCK01,TGTDVS,ZOLA</t>
  </si>
  <si>
    <t>MPE73-667</t>
  </si>
  <si>
    <t>AMAZON,BEALLSDS,BIGLOTSDS,BLK01,CSNSTORES,DESINC,JCPENNEY01,KOHLDSN,MACY02,OLLIIX,OVERSTOCK01,TGTDVS</t>
  </si>
  <si>
    <t>MPE73-662</t>
  </si>
  <si>
    <t>AMAZON,AMAZONDS,BEALLSDS,BLK01,CSNSTORES,DESINC,HDDS,JCPENNEY01,KOHLDSN,MACY02,OLLIIX,OVERSTOCK01,TGTDVS</t>
  </si>
  <si>
    <t>5DS73-0200</t>
  </si>
  <si>
    <t>Big Bundle</t>
  </si>
  <si>
    <t>100% Cotton Quick Dry 12 Piece Bath Towel Set</t>
  </si>
  <si>
    <t>12-Piece</t>
  </si>
  <si>
    <t>PP001159;PF006344</t>
  </si>
  <si>
    <t>AAFESDS,AMAZONDS,BEALLSDS,BIGLOTSDS,BLK01,CSNSTORES,FINGERHUTDS,HDDS,JCPENNEY01,KOHLDSN,MACY02,NRTPORT,OLLIIX,OVERSTOCK01,TGTDVS,WALMARTDS</t>
  </si>
  <si>
    <t>5DS73-0201</t>
  </si>
  <si>
    <t>PP001159;PF006346</t>
  </si>
  <si>
    <t>AAFESDS,BEALLSDS,BIGLOTSDS,BLK01,CSNSTORES,DESINC,FINGERHUTDS,HDDS,JCPENNEY01,KOHLDSN,MACY02,OLLIIX,OVERSTOCK01,TGTDVS,WALMARTDS</t>
  </si>
  <si>
    <t>5DS73-0217</t>
  </si>
  <si>
    <t>PP001159;PF006347</t>
  </si>
  <si>
    <t>AMAZONDS,BIGLOTSDS,BLK01,CSNSTORES,FINGERHUTDS,HDDS,JCPENNEY01,KIRKLANDDS,KOHLDSN,LOWESDS,MACY02,OLLIIX,OVERSTOCK01,TGTDVS,WALMARTDS</t>
  </si>
  <si>
    <t>5DS73-0202</t>
  </si>
  <si>
    <t>PP001159;PF006343</t>
  </si>
  <si>
    <t>AAFESDS,BEALLSDS,BLK01,CSNSTORES,DESINC,FINGERHUTDS,HDDS,JCPENNEY01,KOHLDSN,MACY02,OLLIIX,OVERSTOCK01,TGTDVS,WALMARTDS</t>
  </si>
  <si>
    <t>11/16/2020</t>
  </si>
  <si>
    <t>5DS73-0289</t>
  </si>
  <si>
    <t>PP001159;PF006348</t>
  </si>
  <si>
    <t>2/10/2024</t>
  </si>
  <si>
    <t>AMAZON,AMAZONDS,BLK01,CSNSTORES,FINGERHUTDS,HDDS,KOHLDSN,LOWESDS,MACY02,OLLIIX,TGTDVS</t>
  </si>
  <si>
    <t>5DS73-0261</t>
  </si>
  <si>
    <t>PP001159;PF006345</t>
  </si>
  <si>
    <t>5DS73-0232</t>
  </si>
  <si>
    <t>Aegean</t>
  </si>
  <si>
    <t>100% Turkish Cotton 6 Piece Towel Set</t>
  </si>
  <si>
    <t>PP001568;PF005264</t>
  </si>
  <si>
    <t>BIGLOTSDS,BLK01,DESINC,FINGERHUTDS,HDDS,JCPENNEY01,KOHLDSN,MACY02,NRTPORT,OLLIIX,OVERSTOCK01,TGTDVS,WALMARTDS</t>
  </si>
  <si>
    <t>5DS73-0237</t>
  </si>
  <si>
    <t>PP001568;PF005269</t>
  </si>
  <si>
    <t>BIGLOTSDS,BLK01,CSNSTORES,FINGERHUTDS,HDDS,JCPENNEY01,KIRKLANDDS,KOHLDSN,MACY02,OLLIIX,OVERSTOCK01,TGTDVS,WALMARTDS</t>
  </si>
  <si>
    <t>8/9/2021</t>
  </si>
  <si>
    <t>5DS73-0236</t>
  </si>
  <si>
    <t>PP001568;PF005268</t>
  </si>
  <si>
    <t>BIGLOTSDS,BLK01,CSNSTORES,FINGERHUTDS,HDDS,JCPENNEY01,KIRKLANDDS,KOHLDSN,MACY02,OLLIIX,OVERSTOCK01,TGTDVS</t>
  </si>
  <si>
    <t>5DS73-0233</t>
  </si>
  <si>
    <t>PP001568;PF005265</t>
  </si>
  <si>
    <t>BIGLOTSDS,BLK01,FINGERHUTDS,HDDS,JCPENNEY01,KOHLDSN,MACY02,OLLIIX,OVERSCONSIGN,OVERSTOCK01,TGTDVS</t>
  </si>
  <si>
    <t>5DS73-0234</t>
  </si>
  <si>
    <t>PP001568;PF005266</t>
  </si>
  <si>
    <t>6/14/2022</t>
  </si>
  <si>
    <t>BR73-2438</t>
  </si>
  <si>
    <t>100% Cotton Feather Touch Antimicrobial Towel 6 Piece Set</t>
  </si>
  <si>
    <t>PP001590;PF005339</t>
  </si>
  <si>
    <t>AMAZON,AMAZONDS,BLK01,CSNSTORES,JCPENNEY01,KOHLDSN,MACY02,NORDSTRACKDS,OLLIIX,OVERSTOCK01,TGTDVS,ZOLA</t>
  </si>
  <si>
    <t>BR73-2440</t>
  </si>
  <si>
    <t>PP001590;PF005341</t>
  </si>
  <si>
    <t>AMAZON,AMAZONDS,CSNSTORES,JCPENNEY01,KOHLDSN,MACY02,OLLIIX,TGTDVS,ZOLA</t>
  </si>
  <si>
    <t>BR73-2439</t>
  </si>
  <si>
    <t>AAFESDS,AMAZON,AMAZONDS,BLK01,CSNSTORES,DESINC,JCPENNEY01,KOHLDSN,MACY02,NORDSTRACKDS,TGTDVS,ZOLA</t>
  </si>
  <si>
    <t>BR73-2436</t>
  </si>
  <si>
    <t>AMAZON,AMAZONDS,BEALLSDS,CSNSTORES,JCPENNEY01,KOHLDSN,MACY02,OLLIIX,OVERSTOCK01,TGTDVS,ZOLA</t>
  </si>
  <si>
    <t>BR73-4070</t>
  </si>
  <si>
    <t>PP001590;PF005957</t>
  </si>
  <si>
    <t>6/27/2023</t>
  </si>
  <si>
    <t>AMAZON,BLK01,CSNSTORES,KOHLDSN,MACY02,OLLIIX,TGTDVS,ZOLA</t>
  </si>
  <si>
    <t>BR73-2437</t>
  </si>
  <si>
    <t>PP001590;PF005338</t>
  </si>
  <si>
    <t>AMAZON,BEALLSDS,CSNSTORES,HDDS,JCPENNEY01,KOHLDSN,MACY02,OLLIIX,OVERSTOCK01,ZOLA</t>
  </si>
  <si>
    <t>BR73-2435</t>
  </si>
  <si>
    <t>AAFESDS,AMAZON,AMAZONDS,BLK01,CSNSTORES,JCPENNEY01,KOHLDSN,MACY02,OLLIIX,OVERSTOCK01,TGTDVS,ZOLA</t>
  </si>
  <si>
    <t>LCN73-0132</t>
  </si>
  <si>
    <t>Nurture</t>
  </si>
  <si>
    <t>Sustainable Antimicrobial Bath Towel 6 Piece Set</t>
  </si>
  <si>
    <t>PP001624;PF005453</t>
  </si>
  <si>
    <t>BLK01,CSNSTORES,DESINC,HDDS,JCPENNEY01,KOHLDSN,MACY02,OLLIIX,OVERSTOCK01,TGTDVS,ZOLA</t>
  </si>
  <si>
    <t>LCN73-0130</t>
  </si>
  <si>
    <t>PP001624;PF005451</t>
  </si>
  <si>
    <t>LCN73-0131</t>
  </si>
  <si>
    <t>PP001624;PF005452</t>
  </si>
  <si>
    <t>LCN73-0129</t>
  </si>
  <si>
    <t>PP001624;PF005450</t>
  </si>
  <si>
    <t>AM73-0247</t>
  </si>
  <si>
    <t>400GSM Essential Bundle</t>
  </si>
  <si>
    <t>400GSM Essential Bundle Quick Dry 100% Cotton 6pc Towel Set</t>
  </si>
  <si>
    <t>PP001999;PF006439</t>
  </si>
  <si>
    <t>6/27/2024</t>
  </si>
  <si>
    <t>AM73-0246</t>
  </si>
  <si>
    <t>400GSM Essential Bundle Quick Dry 100% Cotton 12pc Towel Set</t>
  </si>
  <si>
    <t>8/14/2024</t>
  </si>
  <si>
    <t>AM73-0249</t>
  </si>
  <si>
    <t>400GSM Essential Bundle Quick Dry 100% Cotton 4pc XL Towel Set</t>
  </si>
  <si>
    <t>4-Piece</t>
  </si>
  <si>
    <t>AM73-0261</t>
  </si>
  <si>
    <t>PP001999;PF006442</t>
  </si>
  <si>
    <t>AMAZON,AMAZONDS,MACY02</t>
  </si>
  <si>
    <t>AM73-0260</t>
  </si>
  <si>
    <t>AMAZON,AMAZONDS,HDDS,KOHLDSN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</si>
  <si>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</si>
  <si>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</si>
  <si>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</si>
  <si>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</si>
  <si>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</si>
  <si>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</si>
  <si>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</si>
  <si>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AMAZON,AMAZONDS,DESINC,KOHLDSN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</si>
  <si>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</si>
  <si>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</si>
  <si>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</si>
  <si>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</si>
  <si>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</si>
  <si>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</si>
  <si>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</si>
  <si>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DESINC</t>
  </si>
  <si>
    <t>AM73-0242</t>
  </si>
  <si>
    <t>AMAZON,AMAZONDS,BLK01,CSNSTORES,KOHLDSN</t>
  </si>
  <si>
    <t>AM73-0245</t>
  </si>
  <si>
    <t>AMAZON,AMAZONDS,BLK01</t>
  </si>
  <si>
    <t>MP40-6767</t>
  </si>
  <si>
    <t>WIN</t>
  </si>
  <si>
    <t>Anaheim</t>
  </si>
  <si>
    <t>Salford</t>
  </si>
  <si>
    <t>Preston</t>
  </si>
  <si>
    <t>Plaid Rod Pocket and Back Tab Curtain Panel with Fleece Lining</t>
  </si>
  <si>
    <t>50x84"</t>
  </si>
  <si>
    <t>PP001397;PF004934</t>
  </si>
  <si>
    <t>Light Filtering</t>
  </si>
  <si>
    <t>AMAZON,AMAZONDS,CSNSTORES,HDDS,JCPENNEY01,KOHLDSN,OLLIIX,OVERSTOCK01,TGTDVS,WALMARTDS</t>
  </si>
  <si>
    <t>1/10/2021</t>
  </si>
  <si>
    <t>MP40-6765</t>
  </si>
  <si>
    <t>Plaid Faux Leather Tab Top Curtain Panel with Fleece Lining</t>
  </si>
  <si>
    <t>AMAZON,AMAZONDS,CSNSTORES,HDDS,OLLIIX,TGTDVS,WALMARTDS</t>
  </si>
  <si>
    <t>7/15/2020</t>
  </si>
  <si>
    <t>MP40-6768</t>
  </si>
  <si>
    <t>50x95"</t>
  </si>
  <si>
    <t>MP40-8523</t>
  </si>
  <si>
    <t>50x108"</t>
  </si>
  <si>
    <t>PP001397;PF006072</t>
  </si>
  <si>
    <t>MP40-6761</t>
  </si>
  <si>
    <t>PP001397;PF004933</t>
  </si>
  <si>
    <t>AMAZON,AMAZONDS,CSNSTORES,HDDS,JCPENNEY01,KOHLDSN,NRTPORT,TGTDVS,WALMARTDS</t>
  </si>
  <si>
    <t>MP40-6764</t>
  </si>
  <si>
    <t>AMAZON,AMAZONDS,CSNSTORES,DESINC,HDDS,JCPENNEY01,KOHLDSN,OLLIIX,OVERSTOCK01,TGTDVS,WALMARTDS</t>
  </si>
  <si>
    <t>MP40-8522</t>
  </si>
  <si>
    <t>MP40-8295</t>
  </si>
  <si>
    <t>PP001397;PF006073</t>
  </si>
  <si>
    <t>9/22/2023</t>
  </si>
  <si>
    <t>MP40-8297</t>
  </si>
  <si>
    <t>AMAZON,AMAZONDS,CSNSTORES,KOHLDSN,NRTPORT,OLLIIX,OVERSTOCK01,TGTDVS</t>
  </si>
  <si>
    <t>MP40-8296</t>
  </si>
  <si>
    <t>MP40-8274</t>
  </si>
  <si>
    <t>MP40-8276</t>
  </si>
  <si>
    <t>MP40-8275</t>
  </si>
  <si>
    <t>MP40-1295</t>
  </si>
  <si>
    <t>Andora</t>
  </si>
  <si>
    <t>Eliza</t>
  </si>
  <si>
    <t>Aden</t>
  </si>
  <si>
    <t>PF003823</t>
  </si>
  <si>
    <t>AMAZON,AMAZONDS,BEALLSDS,BLK01,CSNSTORES,HDDS,JCPENNEY01,KOHLDSN,LOWESDS,OVERSTOCK01,TGTDVS,WALMARTDS</t>
  </si>
  <si>
    <t>5/24/2016</t>
  </si>
  <si>
    <t>MP40-1297</t>
  </si>
  <si>
    <t>AMAZON,AMAZONDS,ASHFURNDS,BEALLSDS,BLK01,CSNSTORES,DESINC,JCPENNEY01,KOHLDSN,OLLIIX,TGTDVS,WALMARTDS</t>
  </si>
  <si>
    <t>8/8/2016</t>
  </si>
  <si>
    <t>WIN40-100</t>
  </si>
  <si>
    <t>PF003816</t>
  </si>
  <si>
    <t>AMAZON,AMAZONDS,BLK01,CSNSTORES,DESINC,HDDS,HSNDS,JCPENNEY01,KOHLDSN,OLLIIX,OVERSTOCK01,TGTDVS,WALMARTDS</t>
  </si>
  <si>
    <t>6/13/2016</t>
  </si>
  <si>
    <t>MP40-718</t>
  </si>
  <si>
    <t>AMAZON,AMAZONDS,ASHFURNDS,BLK01,CSNSTORES,DESINC,HDDS,HSNDS,JCPENNEY01,KOHLDSN,TGTDVS,WALMARTDS</t>
  </si>
  <si>
    <t>9/14/2016</t>
  </si>
  <si>
    <t>WIN40-098</t>
  </si>
  <si>
    <t>PF003798</t>
  </si>
  <si>
    <t>AMAZON,AMAZONDS,BLK01,CSNSTORES,HDDS,JCPENNEY01,KOHLDSN,LOWESDS,OLLIIX,OVERSTOCK01,TGTDVS,WALMARTDS</t>
  </si>
  <si>
    <t>6/16/2016</t>
  </si>
  <si>
    <t>MP40-716</t>
  </si>
  <si>
    <t>AMAZON,ASHFURNDS,CSNSTORES,HDDS,HSNDS,JCPENNEY01,KOHLDSN,OVERSTOCK01,TGTDVS,WALMARTDS</t>
  </si>
  <si>
    <t>8/3/2016</t>
  </si>
  <si>
    <t>MP40-1781</t>
  </si>
  <si>
    <t>PF003840</t>
  </si>
  <si>
    <t>AMAZON,AMAZONDS,ASHFURNDS,CSNSTORES,DESINC,HDDS,JCPENNEY01,KOHLDSN,OVERSTOCK01,TGTDVS,WALMARTDS</t>
  </si>
  <si>
    <t>MP40-1782</t>
  </si>
  <si>
    <t>AMAZON,AMAZONDS,ASHFURNDS,CSNSTORES,DESINC,HDDS,JCPENNEY01,KOHLDSN,NRTPORT,OLLIIX</t>
  </si>
  <si>
    <t>7/20/2016</t>
  </si>
  <si>
    <t>MP40-1281</t>
  </si>
  <si>
    <t>Saratoga</t>
  </si>
  <si>
    <t>Westmont</t>
  </si>
  <si>
    <t>Sereno</t>
  </si>
  <si>
    <t>Fretwork Print Grommet Top Window Curtain Panel</t>
  </si>
  <si>
    <t>Beige/Grey</t>
  </si>
  <si>
    <t>PF003996;PP000501</t>
  </si>
  <si>
    <t>AMAZONDS,BLK01,CSNSTORES,HSNDS,JCPENNEY01,KOHLDSN,OLLIIX,TGTDVS</t>
  </si>
  <si>
    <t>8/12/2016</t>
  </si>
  <si>
    <t>MP40-1283</t>
  </si>
  <si>
    <t>AMAZON,AMAZONDS,CSNSTORES,DESINC,JCPENNEY01,KOHLDSN,OLLIIX,OVERSTOCK01,TGTDVS,WALMARTDS</t>
  </si>
  <si>
    <t>8/23/2016</t>
  </si>
  <si>
    <t>MP40-1280</t>
  </si>
  <si>
    <t>50x63"</t>
  </si>
  <si>
    <t>PF003997;PP000501</t>
  </si>
  <si>
    <t>AMAZON,AMAZONDS,BIGLOTSDS,CSNSTORES,JCPENNEY01,KOHLDSN,TGTDVS,WALMARTDS</t>
  </si>
  <si>
    <t>8/22/2016</t>
  </si>
  <si>
    <t>MP40-1284</t>
  </si>
  <si>
    <t>AMAZON,AMAZONDS,CSNSTORES,DESINC,JCPENNEY01,KOHLDSN,OVERSTOCK01,TGTDVS,WALMARTDS</t>
  </si>
  <si>
    <t>8/15/2016</t>
  </si>
  <si>
    <t>MP40-2018</t>
  </si>
  <si>
    <t>CSNSTORES,DESINC,JCPENNEY01,KOHLDSN,OLLIIX,TGTDVS,WALMARTDS</t>
  </si>
  <si>
    <t>9/23/2016</t>
  </si>
  <si>
    <t>MP40-2397</t>
  </si>
  <si>
    <t>PF004001;PP000501</t>
  </si>
  <si>
    <t>AMAZON,CSNSTORES,DESINC,JCPENNEY01,KOHLDSN,OLLIIX,OVERSTOCK01,TGTDVS,WALMARTDS</t>
  </si>
  <si>
    <t>1/24/2017</t>
  </si>
  <si>
    <t>MP40-2403</t>
  </si>
  <si>
    <t>Seafoam/White</t>
  </si>
  <si>
    <t>PF004002;PP000501</t>
  </si>
  <si>
    <t>AMAZON,AMAZONDS,BLK01,CSNSTORES,DESINC,JCPENNEY01,KOHLDSN,OVERSCONSIGN,OVERSTOCK01,TGTDVS,WALMARTDS</t>
  </si>
  <si>
    <t>MP40-2404</t>
  </si>
  <si>
    <t>MP40-6366</t>
  </si>
  <si>
    <t>Lillian</t>
  </si>
  <si>
    <t>Twist Tab Total Blackout Window Curtain Panel</t>
  </si>
  <si>
    <t>50x84" Blackout</t>
  </si>
  <si>
    <t>PF003958</t>
  </si>
  <si>
    <t>Total Blackout</t>
  </si>
  <si>
    <t>AMAZON,AMERSIGNDS,BLK01,CSNSTORES,DESINC,FINGERHUTDS,HDDS,JCPENNEY01,KOHLDSN,NRTPORT,OLLIIX,OVERSTOCK01,TGTDVS,WALMARTDS</t>
  </si>
  <si>
    <t>MP40-6367</t>
  </si>
  <si>
    <t>50x95" Blackout</t>
  </si>
  <si>
    <t>AMAZON,AMAZONDS,AMERSIGNDS,ASHFURNDS,BLK01,CSNSTORES,DESINC,FINGERHUTDS,HDDS,HOUZZ,JCPENNEY01,KIRKLANDDS,KOHLDSN,LOWESDS,OVERSTOCK01,TGTDVS,WALMARTDS</t>
  </si>
  <si>
    <t>6/12/2020</t>
  </si>
  <si>
    <t>MP40-6369</t>
  </si>
  <si>
    <t>PF003964</t>
  </si>
  <si>
    <t>AMAZON,AMAZONDS,ASHFURNDS,BLK01,CSNSTORES,DESINC,FINGERHUTDS,HDDS,JCPENNEY01,KOHLDSN,LOWESDS,OVERSTOCK01,TGTDVS,WALMARTDS</t>
  </si>
  <si>
    <t>6/23/2020</t>
  </si>
  <si>
    <t>MP40-8329</t>
  </si>
  <si>
    <t>Twist Tab Lined Window Curtain Panel</t>
  </si>
  <si>
    <t>PP001164;PF006098</t>
  </si>
  <si>
    <t>Room Darkening</t>
  </si>
  <si>
    <t>MP40-8330</t>
  </si>
  <si>
    <t>MP40-8331</t>
  </si>
  <si>
    <t>MP40-8332</t>
  </si>
  <si>
    <t>50x120"</t>
  </si>
  <si>
    <t>AMAZON,CSNSTORES,HDDS,JCPENNEY01,KOHLDSN</t>
  </si>
  <si>
    <t>MP40-8335</t>
  </si>
  <si>
    <t>MP40-8336</t>
  </si>
  <si>
    <t>AMAZON,CSNSTORES,JCPENNEY01,KOHLDSN</t>
  </si>
  <si>
    <t>MP40-7405</t>
  </si>
  <si>
    <t>PF003966;PP001164</t>
  </si>
  <si>
    <t>AMAZON,AMAZONDS,CSNSTORES,HDDS,JCPENNEY01,KOHLDSN,NRTPORT,OVERSTOCK01,TGTDVS</t>
  </si>
  <si>
    <t>MP40-7406</t>
  </si>
  <si>
    <t>AMAZON,AMAZONDS,ASHFURNDS,CSNSTORES,JCPENNEY01,KOHLDSN,OVERSCONSIGN,OVERSTOCK01,TGTDVS</t>
  </si>
  <si>
    <t>MP40-8333</t>
  </si>
  <si>
    <t>PP001164;PF006099</t>
  </si>
  <si>
    <t>AMAZON,CSNSTORES,JCPENNEY01,KOHLDSN,OVERSTOCK01</t>
  </si>
  <si>
    <t>MP40-8334</t>
  </si>
  <si>
    <t>AMAZON,AMAZONDS,CSNSTORES,JCPENNEY01,KOHLDSN</t>
  </si>
  <si>
    <t>MP40-7407</t>
  </si>
  <si>
    <t>Pewter</t>
  </si>
  <si>
    <t>PF003967;PP001164</t>
  </si>
  <si>
    <t>MP40-7408</t>
  </si>
  <si>
    <t>AMAZON,BLK01,CSNSTORES,HDDS,HOUZZ,JCPENNEY01,KOHLDSN,LOWESDS,OVERSTOCK01,TGTDVS</t>
  </si>
  <si>
    <t>MP40-3624</t>
  </si>
  <si>
    <t>Joycelyn</t>
  </si>
  <si>
    <t>Ariana</t>
  </si>
  <si>
    <t>Cotton Oversized Ruffle Curtain Panel</t>
  </si>
  <si>
    <t>PF003972</t>
  </si>
  <si>
    <t>AMAZON,AMAZONDS,BLK01,CSNSTORES,HSNDS,JCPENNEY01,KOHLDSN,NRTPORT,TGTDVS,WALMARTDS</t>
  </si>
  <si>
    <t>2/1/2017</t>
  </si>
  <si>
    <t>3/22/2017</t>
  </si>
  <si>
    <t>WIN40-140</t>
  </si>
  <si>
    <t>AMAZON,AMAZONDS,ASHFURNDS,BLK01,CSNSTORES,DESINC,HSNDS,JCPENNEY01,KOHLDSN,NRTPORT,OLLIIX,OVERSCONSIGN,OVERSTOCK01,TGTDVS,WALMARTDS</t>
  </si>
  <si>
    <t>6/23/2016</t>
  </si>
  <si>
    <t>MP40-6750</t>
  </si>
  <si>
    <t>Englewood</t>
  </si>
  <si>
    <t>Oslow</t>
  </si>
  <si>
    <t>Lincoln</t>
  </si>
  <si>
    <t>Solid Piece Dyed Grommet Top Curtain Panel</t>
  </si>
  <si>
    <t>PP001398;PF004938</t>
  </si>
  <si>
    <t>CSNSTORES,DESINC,JCPENNEY01,KOHLDSN,OLLIIX,OVERSTOCK01,TGTDVS,WALMARTDS</t>
  </si>
  <si>
    <t>2/13/2023</t>
  </si>
  <si>
    <t>MP40-6751</t>
  </si>
  <si>
    <t>BLK01,CSNSTORES,JCPENNEY01,KOHLDSN,OVERSTOCK01,TGTDVS,WALMARTDS</t>
  </si>
  <si>
    <t>MP40-5478</t>
  </si>
  <si>
    <t>Embroidered Curtain Panel</t>
  </si>
  <si>
    <t>1/3/2018</t>
  </si>
  <si>
    <t>AMAZON,AMAZONDS,BLK01,CSNSTORES,JCPENNEY01,KOHLDSN,OLLIIX,TGTDVS,WALMARTDS</t>
  </si>
  <si>
    <t>12/31/2018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</si>
  <si>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</si>
  <si>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</si>
  <si>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</si>
  <si>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</si>
  <si>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</si>
  <si>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</si>
  <si>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AMAZON,AMAZONDS,BLK01,CSNSTORES,DESINC,JCPENNEY01,KOHLDSN,OLLIIX,OVERSTOCK01</t>
  </si>
  <si>
    <t>MP40-7495</t>
  </si>
  <si>
    <t>Faux Linen Rod Pocket and Back Tab Fleece Lined Curtain Panel</t>
  </si>
  <si>
    <t>AMAZON,AMAZONDS,BLK01,CSNSTORES,HOUZZ,JCPENNEY01,KOHLDSN,OLLIIX</t>
  </si>
  <si>
    <t>MP40-7496</t>
  </si>
  <si>
    <t>AMAZON,BLK01,CSNSTORES,DESINC,HOUZZ,JCPENNEY01,KOHLDSN,OLLIIX,OVERSTOCK01,TGTDVS</t>
  </si>
  <si>
    <t>MP40-8460</t>
  </si>
  <si>
    <t>Samara</t>
  </si>
  <si>
    <t>Poly Printed Curtain Panel with Tufted Stripe and Lining</t>
  </si>
  <si>
    <t>White/Brown</t>
  </si>
  <si>
    <t>PP001969;PF006278</t>
  </si>
  <si>
    <t>MP40-8461</t>
  </si>
  <si>
    <t>MP40-8462</t>
  </si>
  <si>
    <t>Scarlett</t>
  </si>
  <si>
    <t>PP001970;PF006279</t>
  </si>
  <si>
    <t>MP40-8463</t>
  </si>
  <si>
    <t>MP40-4525</t>
  </si>
  <si>
    <t>Sheer Pair</t>
  </si>
  <si>
    <t>Kaylee</t>
  </si>
  <si>
    <t>Avery</t>
  </si>
  <si>
    <t>Solid Crushed Curtain Panel Pair</t>
  </si>
  <si>
    <t>42x84"</t>
  </si>
  <si>
    <t>PF003909</t>
  </si>
  <si>
    <t>Sheer</t>
  </si>
  <si>
    <t>BLK01,CSNSTORES,DESINC,JCPENNEY01,KOHLDSN,OLLIIX,TGTDVS,WALMARTDS</t>
  </si>
  <si>
    <t>MP40-4526</t>
  </si>
  <si>
    <t>42x95"</t>
  </si>
  <si>
    <t>AMAZON,BLK01,CSNSTORES,DESINC,JCPENNEY01,KOHLDSN,OLLIIX,OVERSTOCK01,TGTDVS,WALMARTDS</t>
  </si>
  <si>
    <t>MP40-4498</t>
  </si>
  <si>
    <t>PF003913</t>
  </si>
  <si>
    <t>MP40-4501</t>
  </si>
  <si>
    <t>PF003912</t>
  </si>
  <si>
    <t>AMAZON,BLK01,CSNSTORES,JCPENNEY01,KOHLDSN,OLLIIX,OVERSTOCK01,TGTDVS,WALMARTDS</t>
  </si>
  <si>
    <t>MP40-4486</t>
  </si>
  <si>
    <t>PF003910</t>
  </si>
  <si>
    <t>BLK01,CSNSTORES,JCPENNEY01,KOHLDSN,OVERSTOCK01,TGTDVS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</si>
  <si>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</si>
  <si>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</si>
  <si>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</si>
  <si>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</si>
  <si>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</si>
  <si>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</si>
  <si>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</si>
  <si>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</si>
  <si>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MP40-5469</t>
  </si>
  <si>
    <t>2-PK 50x95"</t>
  </si>
  <si>
    <t>AMAZON,AMAZONDS,ASHFURNDS,BIGLOTSDS,BLK01,CSNSTORES,JCPENNEY01,KOHLDSN,OLLIIX,TGTDVS,WALMARTDS</t>
  </si>
  <si>
    <t>8/15/2018</t>
  </si>
  <si>
    <t>MP40-7372</t>
  </si>
  <si>
    <t>Twisted Tab Voile Sheer Window Pair</t>
  </si>
  <si>
    <t>PP001184;PF005382</t>
  </si>
  <si>
    <t>4/6/2021</t>
  </si>
  <si>
    <t>AMAZON,CSNSTORES,DESINC,JCPENNEY01,KOHLDSN,OLLIIX,OVERSTOCK01</t>
  </si>
  <si>
    <t>MP40-7371</t>
  </si>
  <si>
    <t>2-PK 50x63"</t>
  </si>
  <si>
    <t>AMAZON,AMAZONDS,BLK01,CSNSTORES,JCPENNEY01,KOHLDSN</t>
  </si>
  <si>
    <t>MP40-7373</t>
  </si>
  <si>
    <t>AMAZONDS,BLK01,CSNSTORES,HOUZZ,JCPENNEY01,KOHLDSN,OLLIIX,OVERSTOCK01</t>
  </si>
  <si>
    <t>MP40-8258</t>
  </si>
  <si>
    <t>Burnout Printed Curtain Panel Pair</t>
  </si>
  <si>
    <t>PP001540;PF005196</t>
  </si>
  <si>
    <t>AMAZON,BLK01,CSNSTORES,DESINC,KOHLDSN,NRTPORT,OLLIIX,OVERSTOCK01</t>
  </si>
  <si>
    <t>MP40-8257</t>
  </si>
  <si>
    <t>PP001360;PF005422</t>
  </si>
  <si>
    <t>AMAZON,AMAZONDS,BLK01,CSNSTORES,DESINC,KOHLDSN,NRTPORT,OVERSTOCK01</t>
  </si>
  <si>
    <t>MP40-5648</t>
  </si>
  <si>
    <t>Rosette</t>
  </si>
  <si>
    <t>Florah</t>
  </si>
  <si>
    <t>Bloom</t>
  </si>
  <si>
    <t>Floral Embellished Cuff Tab Top Solid Curtain Panel</t>
  </si>
  <si>
    <t>PP000857;PF004200</t>
  </si>
  <si>
    <t>AMAZON,AMAZONDS,ASHFURNDS,BLK01,CSNSTORES,DESINC,HDDS,JCPENNEY01,KIRKLANDDS,KOHLDSN,OLLIIX,OVERSTOCK01,TGTDVS,WALMARTDS</t>
  </si>
  <si>
    <t>MP40-5650</t>
  </si>
  <si>
    <t>PP000857;PF004201</t>
  </si>
  <si>
    <t>7/2/2018</t>
  </si>
  <si>
    <t>MP40-5651</t>
  </si>
  <si>
    <t>AMAZON,AMAZONDS,ASHFURNDS,BLK01,CSNSTORES,HDDS,JCPENNEY01,KOHLDSN,OLLIIX,OVERSTOCK01,TGTDVS,WALMARTDS</t>
  </si>
  <si>
    <t>10/30/2018</t>
  </si>
  <si>
    <t>MP40-5652</t>
  </si>
  <si>
    <t>AMAZON,AMAZONDS,ASHFURNDS,CSNSTORES,HDDS,JCPENNEY01,KOHLDSN,OVERSTOCK01,TGTDVS,WALMARTDS</t>
  </si>
  <si>
    <t>7/12/2018</t>
  </si>
  <si>
    <t>MP40-6830</t>
  </si>
  <si>
    <t>PP000857;PF004966</t>
  </si>
  <si>
    <t>11/21/2019</t>
  </si>
  <si>
    <t>AMAZON,ASHFURNDS,CSNSTORES,DESINC,HDDS,JCPENNEY01,KIRKLANDDS,KOHLDSN,TGTDVS,WALMARTDS</t>
  </si>
  <si>
    <t>1/27/2020</t>
  </si>
  <si>
    <t>MP40-3776</t>
  </si>
  <si>
    <t>Laya</t>
  </si>
  <si>
    <t>Zoe</t>
  </si>
  <si>
    <t>Fretwork Burnout Sheer Curtain Panel</t>
  </si>
  <si>
    <t>PF003820</t>
  </si>
  <si>
    <t>AMAZON,AMAZONDS,BLK01,CSNSTORES,FINGERHUTDS,JCPENNEY01,KOHLDSN,OVERSTOCK01,TGTDVS,WALMARTDS</t>
  </si>
  <si>
    <t>MP40-3777</t>
  </si>
  <si>
    <t>AMAZON,BLK01,CSNSTORES,FINGERHUTDS,HDDS,JCPENNEY01,KOHLDSN,OVERSTOCK01,TGTDVS,WALMARTDS</t>
  </si>
  <si>
    <t>7/28/2017</t>
  </si>
  <si>
    <t>MP40-3778</t>
  </si>
  <si>
    <t>MP40-3773</t>
  </si>
  <si>
    <t>PF003821</t>
  </si>
  <si>
    <t>ASHFURNDS,BLK01,CSNSTORES,FINGERHUTDS,JCPENNEY01,KOHLDSN,OLLIIX,OVERSTOCK01,TGTDVS,WALMARTDS</t>
  </si>
  <si>
    <t>9/11/2017</t>
  </si>
  <si>
    <t>MP40-3775</t>
  </si>
  <si>
    <t>AMAZON,CSNSTORES,JCPENNEY01,KOHLDSN,OVERSTOCK01,TGTDVS,WALMARTDS</t>
  </si>
  <si>
    <t>9/12/2017</t>
  </si>
  <si>
    <t>MP40-3595</t>
  </si>
  <si>
    <t>Averil</t>
  </si>
  <si>
    <t>Vina</t>
  </si>
  <si>
    <t>Layla</t>
  </si>
  <si>
    <t>Grommet Top Sheer Bird on Branches Burnout Window Curtain</t>
  </si>
  <si>
    <t>PF003984</t>
  </si>
  <si>
    <t>AMAZON,AMAZONDS,BLK01,CSNSTORES,HOUZZ,JCPENNEY01,KOHLDSN,NRTPORT,OVERSCONSIGN,OVERSTOCK01,TGTDVS,WALMARTDS</t>
  </si>
  <si>
    <t>MP40-3007</t>
  </si>
  <si>
    <t>PF003983</t>
  </si>
  <si>
    <t>AMAZON,AMAZONDS,AMERSIGNDS,CSNSTORES,DESINC,HSNDS,JCPENNEY01,KOHLDSN,OVERSTOCK01,TGTDVS,WALMARTDS</t>
  </si>
  <si>
    <t>9/6/2016</t>
  </si>
  <si>
    <t>MP40-7228</t>
  </si>
  <si>
    <t>Burnout Printed Curtain Panel</t>
  </si>
  <si>
    <t>9/22/2020</t>
  </si>
  <si>
    <t>AMAZON,AMAZONDS,ASHFURNDS,BEALLSDS,BLK01,CSNSTORES,FINGERHUTDS,HDDS,JCPENNEY01,KOHLDSN,OLLIIX,OVERSTOCK01,TGTDVS</t>
  </si>
  <si>
    <t>MP40-7910</t>
  </si>
  <si>
    <t>3/16/2022</t>
  </si>
  <si>
    <t>AMAZON,AMAZONDS,CSNSTORES,DESINC,HDDS,JCPENNEY01,KOHLDSN,OLLIIX,OVERSTOCK01</t>
  </si>
  <si>
    <t>MP40-7909</t>
  </si>
  <si>
    <t>PF001560;PP001540</t>
  </si>
  <si>
    <t>AMAZON,AMAZONDS,CSNSTORES,HDDS,JCPENNEY01,KOHLDSN,NRTPORT,OVERSCONSIGN,OVERSTOCK01</t>
  </si>
  <si>
    <t>MP40-6605</t>
  </si>
  <si>
    <t>AMAZON,AMAZONDS,AMERSIGNDS,ASHFURNDS,BEALLSDS,BLK01,CSNSTORES,DESINC,FINGERHUTDS,HDDS,JCPENNEY01,KOHLDSN,OLLIIX,OVERSTOCK01,TGTDVS</t>
  </si>
  <si>
    <t>MP40-7911</t>
  </si>
  <si>
    <t>AMAZON,AMAZONDS,CSNSTORES,DESINC,HDDS,JCPENNEY01,KOHLDSN,OVERSTOCK01</t>
  </si>
  <si>
    <t>MP40-7434</t>
  </si>
  <si>
    <t>4/14/2021</t>
  </si>
  <si>
    <t>MP40-7908</t>
  </si>
  <si>
    <t>MP40-7491</t>
  </si>
  <si>
    <t>Leilani</t>
  </si>
  <si>
    <t>Kauna</t>
  </si>
  <si>
    <t>Maui</t>
  </si>
  <si>
    <t>Palm Leaf Burnout Window Sheer</t>
  </si>
  <si>
    <t>PP001628;PF005464</t>
  </si>
  <si>
    <t>MP40-7492</t>
  </si>
  <si>
    <t>AMAZONDS,BLK01,CSNSTORES,DESINC,JCPENNEY01,KIRKLANDDS,KOHLDSN,OLLIIX,OVERSTOCK01,TGTDVS</t>
  </si>
  <si>
    <t>MP40-7493</t>
  </si>
  <si>
    <t>AMAZONDS,BLK01,CSNSTORES,HDDS,JCPENNEY01,KIRKLANDDS,KOHLDSN,OVERSTOCK01</t>
  </si>
  <si>
    <t>MP40-8218</t>
  </si>
  <si>
    <t>PP001628;PF006009</t>
  </si>
  <si>
    <t>6/16/2023</t>
  </si>
  <si>
    <t>MP40-8219</t>
  </si>
  <si>
    <t>PP001628;PF006010</t>
  </si>
  <si>
    <t>MP40-4942</t>
  </si>
  <si>
    <t>Window Scarf</t>
  </si>
  <si>
    <t>Irina</t>
  </si>
  <si>
    <t>Iris</t>
  </si>
  <si>
    <t>Clarissa</t>
  </si>
  <si>
    <t>Diamond Sheer Embroidered Window Scarf</t>
  </si>
  <si>
    <t>50x144"</t>
  </si>
  <si>
    <t>PF004007</t>
  </si>
  <si>
    <t>9/25/2017</t>
  </si>
  <si>
    <t>MP40-4938</t>
  </si>
  <si>
    <t>PF004006</t>
  </si>
  <si>
    <t>AMAZON,BLK01,CSNSTORES,DESINC,JCPENNEY01,KOHLDSN,OLLIIX,TGTDVS,WALMARTDS</t>
  </si>
  <si>
    <t>12/20/2017</t>
  </si>
  <si>
    <t>MP40-4939</t>
  </si>
  <si>
    <t>50x216"</t>
  </si>
  <si>
    <t>AMAZON,CSNSTORES,JCPENNEY01,KOHLDSN,OLLIIX,OVERSTOCK01,TGTDVS,WALMARTDS</t>
  </si>
  <si>
    <t>MP40-4935</t>
  </si>
  <si>
    <t>PF004005</t>
  </si>
  <si>
    <t>AMAZON,AMAZONDS,ASHFURNDS,BLK01,CSNSTORES,JCPENNEY01,KOHLDSN,NRTPORT,OLLIIX,OVERSTOCK01,TGTDVS,WALMARTDS</t>
  </si>
  <si>
    <t>12/2/2018</t>
  </si>
  <si>
    <t>MP40-4513</t>
  </si>
  <si>
    <t>Solid Crushed Scarf Sheer</t>
  </si>
  <si>
    <t>42x216"</t>
  </si>
  <si>
    <t>AMAZON,AMAZONDS,BIGLOTSDS,BLK01,CSNSTORES,DESINC,JCPENNEY01,KOHLDSN,OLLIIX,OVERSTOCK01,TGTDVS,WALMARTDS</t>
  </si>
  <si>
    <t>5/22/2018</t>
  </si>
  <si>
    <t>MP40-4505</t>
  </si>
  <si>
    <t>AMAZON,BIGLOTSDS,BLK01,CSNSTORES,JCPENNEY01,KOHLDSN,OLLIIX,OVERSTOCK01,TGTDVS,WALMARTDS</t>
  </si>
  <si>
    <t>MP40-4511</t>
  </si>
  <si>
    <t>AMAZON,AMAZONDS,ASHFURNDS,BLK01,CSNSTORES,JCPENNEY01,KOHLDSN,OLLIIX,OVERSTOCK01,TGTDVS,WALMARTDS</t>
  </si>
  <si>
    <t>4/16/2018</t>
  </si>
  <si>
    <t>MP40-7749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</si>
  <si>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</si>
  <si>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</si>
  <si>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</si>
  <si>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</si>
  <si>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</si>
  <si>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</si>
  <si>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PP001307;PF004746</t>
  </si>
  <si>
    <t>AMAZON,AMAZONDS,BIGLOTSDS,CSNSTORES,HDDS,JCPENNEY01,KOHLDSN</t>
  </si>
  <si>
    <t>MP40-7750</t>
  </si>
  <si>
    <t>29x64"</t>
  </si>
  <si>
    <t>AMAZON,AMAZONDS,BIGLOTSDS,CSNSTORES,JCPENNEY01,KOHLDSN,OVERSTOCK01</t>
  </si>
  <si>
    <t>MP40-6552</t>
  </si>
  <si>
    <t>31x64"</t>
  </si>
  <si>
    <t>AMAZON,AMAZONDS,ASHFURNDS,CSNSTORES,HDDS,HOUZZ,JCPENNEY01,KOHLDSN,TGTDVS,WALMARTDS</t>
  </si>
  <si>
    <t>11/17/2019</t>
  </si>
  <si>
    <t>MP40-7751</t>
  </si>
  <si>
    <t>34x64"</t>
  </si>
  <si>
    <t>AMAZON,AMAZONDS,BLK01,CSNSTORES,HDDS,JCPENNEY01,KOHLDSN,NRTPORT,OVERSTOCK01</t>
  </si>
  <si>
    <t>MP40-7195</t>
  </si>
  <si>
    <t>39x64"</t>
  </si>
  <si>
    <t>6/16/2020</t>
  </si>
  <si>
    <t>AMAZON,AMAZONDS,BIGLOTSDS,CSNSTORES,HDDS,JCPENNEY01,KOHLDSN,OVERSTOCK01,TGTDVS</t>
  </si>
  <si>
    <t>MP40-7870</t>
  </si>
  <si>
    <t>PP001307;PF005661</t>
  </si>
  <si>
    <t>AMAZONDS,CSNSTORES,HDDS,JCPENNEY01,KOHLDSN,OLLIIX,OVERSTOCK01</t>
  </si>
  <si>
    <t>MP40-7317</t>
  </si>
  <si>
    <t>27x64"</t>
  </si>
  <si>
    <t>1/5/2021</t>
  </si>
  <si>
    <t>MP40-7871</t>
  </si>
  <si>
    <t>AMAZONDS,CSNSTORES,DESINC,HDDS,JCPENNEY01,KOHLDSN,OVERSTOCK01</t>
  </si>
  <si>
    <t>MP40-7318</t>
  </si>
  <si>
    <t>AMAZON,AMAZONDS,CSNSTORES,HDDS,JCPENNEY01,KOHLDSN,TGTDVS</t>
  </si>
  <si>
    <t>MP40-7319</t>
  </si>
  <si>
    <t>33x64"</t>
  </si>
  <si>
    <t>AMAZON,AMAZONDS,CSNSTORES,HDDS,HOUZZ,JCPENNEY01,KIRKLANDDS,KOHLDSN,OVERSTOCK01,TGTDVS</t>
  </si>
  <si>
    <t>MP40-7872</t>
  </si>
  <si>
    <t>AMAZONDS,CSNSTORES,HDDS,JCPENNEY01,KOHLDSN,NRTPORT,OVERSTOCK01</t>
  </si>
  <si>
    <t>MP40-7320</t>
  </si>
  <si>
    <t>35x64"</t>
  </si>
  <si>
    <t>AMAZON,ASHFURNDS,CSNSTORES,DESINC,JCPENNEY01,KOHLDSN,OLLIIX,OVERSTOCK01,TGTDVS</t>
  </si>
  <si>
    <t>MP40-7321</t>
  </si>
  <si>
    <t>AMAZON,AMAZONDS,CSNSTORES,HDDS,JCPENNEY01,NRTPORT,TGTDVS</t>
  </si>
  <si>
    <t>MP40-7746</t>
  </si>
  <si>
    <t>PP001307;PF004745</t>
  </si>
  <si>
    <t>MP40-7747</t>
  </si>
  <si>
    <t>MP40-7748</t>
  </si>
  <si>
    <t>AMAZON,AMAZONDS,CSNSTORES,HDDS,JCPENNEY01,KOHLDSN,NRTPORT,OLLIIX,OVERSTOCK01</t>
  </si>
  <si>
    <t>MP40-7194</t>
  </si>
  <si>
    <t>AMAZON,AMAZONDS,AMERSIGNDS,CSNSTORES,JCPENNEY01,KOHLDSN,OLLIIX,OVERSTOCK01,TGTDVS</t>
  </si>
  <si>
    <t>MP40-7867</t>
  </si>
  <si>
    <t>PP001307;PF005660</t>
  </si>
  <si>
    <t>AMAZON,AMAZONDS,CSNSTORES,DESINC,HDDS,JCPENNEY01,KOHLDSN,NRTPORT,OLLIIX,OVERSTOCK01</t>
  </si>
  <si>
    <t>MP40-7322</t>
  </si>
  <si>
    <t>AMAZON,AMAZONDS,CSNSTORES,DESINC,HDDS,JCPENNEY01,KOHLDSN,OLLIIX,OVERSTOCK01,TGTDVS</t>
  </si>
  <si>
    <t>MP40-7868</t>
  </si>
  <si>
    <t>AMAZON,AMAZONDS,CSNSTORES,HDDS,JCPENNEY01,KOHLDSN,OLLIIX,OVERSTOCK01</t>
  </si>
  <si>
    <t>MP40-7323</t>
  </si>
  <si>
    <t>AMAZON,AMAZONDS,BEALLSDS,CSNSTORES,HDDS,JCPENNEY01,KOHLDSN,OVERSTOCK01,TGTDVS</t>
  </si>
  <si>
    <t>MP40-7324</t>
  </si>
  <si>
    <t>AMAZON,AMAZONDS,CSNSTORES,HDDS,HOUZZ,JCPENNEY01,KIRKLANDDS,KOHLDSN,OLLIIX,OVERSTOCK01,TGTDVS</t>
  </si>
  <si>
    <t>MP40-7869</t>
  </si>
  <si>
    <t>MP40-7325</t>
  </si>
  <si>
    <t>AMAZON,AMAZONDS,BEALLSDS,CSNSTORES,HOUZZ,JCPENNEY01,KIRKLANDDS,KOHLDSN,NRTPORT,OLLIIX,OVERSTOCK01,TGTDVS</t>
  </si>
  <si>
    <t>MP40-7326</t>
  </si>
  <si>
    <t>AMAZON,AMAZONDS,BEALLSDS,CSNSTORES,HDDS,JCPENNEY01,KOHLDSN,OLLIIX,TGTDVS</t>
  </si>
  <si>
    <t>MP40-7864</t>
  </si>
  <si>
    <t>PP001307;PF005195</t>
  </si>
  <si>
    <t>AMAZON,AMAZONDS,CSNSTORES,DESINC,HDDS,JCPENNEY01,KOHLDSN,NRTPORT,OLLIIX</t>
  </si>
  <si>
    <t>MP40-7223</t>
  </si>
  <si>
    <t>AMAZON,AMAZONDS,BEALLSDS,CSNSTORES,HOUZZ,JCPENNEY01,KOHLDSN,TGTDVS</t>
  </si>
  <si>
    <t>MP40-7865</t>
  </si>
  <si>
    <t>AMAZON,AMAZONDS,CSNSTORES,HDDS,JCPENNEY01,KOHLDSN,OVERSTOCK01</t>
  </si>
  <si>
    <t>MP40-7224</t>
  </si>
  <si>
    <t>AMAZON,AMAZONDS,BLK01,CSNSTORES,HDDS,HOUZZ,JCPENNEY01,KOHLDSN,OLLIIX,OVERSTOCK01,TGTDVS</t>
  </si>
  <si>
    <t>MP40-7225</t>
  </si>
  <si>
    <t>AMAZON,AMAZONDS,CSNSTORES,HOUZZ,JCPENNEY01,KOHLDSN,OLLIIX,TGTDVS</t>
  </si>
  <si>
    <t>MP40-7866</t>
  </si>
  <si>
    <t>MP40-7226</t>
  </si>
  <si>
    <t>AMAZON,AMAZONDS,BLK01,CSNSTORES,HDDS,HOUZZ,JCPENNEY01,KOHLDSN,NRTPORT,OLLIIX,OVERSTOCK01,TGTDVS</t>
  </si>
  <si>
    <t>MP40-7227</t>
  </si>
  <si>
    <t>MP40-7435</t>
  </si>
  <si>
    <t>Como</t>
  </si>
  <si>
    <t>Printed Faux Silk Room Darkening Cordless Roman Shade</t>
  </si>
  <si>
    <t>PP001428;PF004982</t>
  </si>
  <si>
    <t>AMAZON,AMAZONDS,CSNSTORES,DESINC,JCPENNEY01,KIRKLANDDS,KOHLDSN,NRTPORT,TGTDVS</t>
  </si>
  <si>
    <t>MP40-7436</t>
  </si>
  <si>
    <t>AMAZON,AMAZONDS,BLK01,CSNSTORES,DESINC,JCPENNEY01,KOHLDSN,NRTPORT,OLLIIX,TGTDVS</t>
  </si>
  <si>
    <t>MP40-7437</t>
  </si>
  <si>
    <t>AMAZON,AMAZONDS,CSNSTORES,HDDS,JCPENNEY01,KIRKLANDDS,KOHLDSN,TGTDVS</t>
  </si>
  <si>
    <t>MP40-7438</t>
  </si>
  <si>
    <t>AMAZON,AMAZONDS,CSNSTORES,DESINC,HDDS,JCPENNEY01,KOHLDSN,NRTPORT,OLLIIX,TGTDVS</t>
  </si>
  <si>
    <t>MP40-7439</t>
  </si>
  <si>
    <t>AMAZON,AMAZONDS,CSNSTORES,DESINC,HDDS,JCPENNEY01,KOHLDSN,TGTDVS</t>
  </si>
  <si>
    <t>MP40-7445</t>
  </si>
  <si>
    <t>PP001428;PF004983</t>
  </si>
  <si>
    <t>AMAZON,AMAZONDS,CSNSTORES,DESINC,HOUZZ,JCPENNEY01,KIRKLANDDS,KOHLDSN,TGTDVS</t>
  </si>
  <si>
    <t>MP40-7446</t>
  </si>
  <si>
    <t>AMAZON,AMAZONDS,CSNSTORES,JCPENNEY01,KOHLDSN,OLLIIX,TGTDVS</t>
  </si>
  <si>
    <t>MP40-7447</t>
  </si>
  <si>
    <t>AMAZON,AMAZONDS,BLK01,CSNSTORES,DESINC,JCPENNEY01,KOHLDSN,TGTDVS</t>
  </si>
  <si>
    <t>MP40-7448</t>
  </si>
  <si>
    <t>AMAZON,AMAZONDS,DESINC,HDDS,JCPENNEY01,KOHLDSN,TGTDVS</t>
  </si>
  <si>
    <t>MP40-7449</t>
  </si>
  <si>
    <t>AMAZON,AMAZONDS,BLK01,CSNSTORES,DESINC,KOHLDSN,TGTDVS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</si>
  <si>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</si>
  <si>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</si>
  <si>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</si>
  <si>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</si>
  <si>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</si>
  <si>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</si>
  <si>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</si>
  <si>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</si>
  <si>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</si>
  <si>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AMAZON,AMAZONDS,HDDS,JCPENNEY01,KOHLDSN,OLLIIX,OVERSTOCK01</t>
  </si>
  <si>
    <t>MP40-7800</t>
  </si>
  <si>
    <t>AMAZON,AMAZONDS,CSNSTORES,HDDS,JCPENNEY01,KIRKLANDDS,KOHLDSN,OLLIIX,OVERSTOCK01</t>
  </si>
  <si>
    <t>MP40-7801</t>
  </si>
  <si>
    <t>MP40-7802</t>
  </si>
  <si>
    <t>AMAZON,AMAZONDS,CSNSTORES,DESINC,JCPENNEY01,KIRKLANDDS,KOHLDSN,NRTPORT,OLLIIX,OVERSTOCK01</t>
  </si>
  <si>
    <t>MP40-7803</t>
  </si>
  <si>
    <t>MP40-7809</t>
  </si>
  <si>
    <t>Teak</t>
  </si>
  <si>
    <t>PP001722;PF005638</t>
  </si>
  <si>
    <t>AMAZON,AMAZONDS,CSNSTORES,HDDS,JCPENNEY01,KIRKLANDDS,KOHLDSN,NRTPORT,OLLIIX,OVERSTOCK01</t>
  </si>
  <si>
    <t>MP40-7810</t>
  </si>
  <si>
    <t>MP40-7811</t>
  </si>
  <si>
    <t>MP40-7812</t>
  </si>
  <si>
    <t>MP40-7813</t>
  </si>
  <si>
    <t>AMAZON,AMAZONDS,CSNSTORES,DESINC,HDDS,JCPENNEY01,KIRKLANDDS,KOHLDSN,NRTPORT,OLLIIX,OVERSTOCK01</t>
  </si>
  <si>
    <t>MP40-4897</t>
  </si>
  <si>
    <t>Panel Pair</t>
  </si>
  <si>
    <t>Jacquard Curtain Panel Pair</t>
  </si>
  <si>
    <t>AMAZON,AMAZONDS,AMERSIGNDS,ASHFURNDS,BIGLOTSDS,BLK01,CSNSTORES,JCPENNEY01,KOHLDSN,OVERSTOCK01,TGTDVS,WALMARTDS</t>
  </si>
  <si>
    <t>3/6/2019</t>
  </si>
  <si>
    <t>MP40-8259</t>
  </si>
  <si>
    <t>Twist Tab Lined Window Curtain Panel Pair</t>
  </si>
  <si>
    <t>9/27/2023</t>
  </si>
  <si>
    <t>MP40-7922</t>
  </si>
  <si>
    <t>Basketweave Room Darkening Curtain Panel Pair</t>
  </si>
  <si>
    <t>2-PK 40x84"</t>
  </si>
  <si>
    <t>AMAZONDS,CSNSTORES,DESINC,HDDS,JCPENNEY01,KIRKLANDDS,KOHLDSN,OLLIIX,OVERSTOCK01</t>
  </si>
  <si>
    <t>MP40-7924</t>
  </si>
  <si>
    <t>ASHFURNDS,CSNSTORES,DESINC,HDDS,JCPENNEY01,KIRKLANDDS,KOHLDSN,OLLIIX,OVERSTOCK01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</si>
  <si>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</si>
  <si>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</si>
  <si>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</si>
  <si>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</si>
  <si>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</si>
  <si>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</si>
  <si>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8/12/2022</t>
  </si>
  <si>
    <t>AMAZON,AMAZONDS,ASHFURNDS,CSNSTORES,JCPENNEY01,KIRKLANDDS,KOHLDSN,NRTPORT,OLLIIX,OVERSCONSIGN,OVERSTOCK01</t>
  </si>
  <si>
    <t>MP40-7983</t>
  </si>
  <si>
    <t>PP001787;PF005748</t>
  </si>
  <si>
    <t>AMAZON,AMAZONDS,ASHFURNDS,CSNSTORES,JCPENNEY01,KIRKLANDDS,KOHLDSN,NRTPORT,OLLIIX</t>
  </si>
  <si>
    <t>MP41-4941</t>
  </si>
  <si>
    <t>Diamond Sheer Embroidered Waterfall Valance</t>
  </si>
  <si>
    <t>38x46"</t>
  </si>
  <si>
    <t>AMAZON,AMAZONDS,ASHFURNDS,BIGLOTSDS,BLK01,CSNSTORES,JCPENNEY01,KOHLDSN,OVERSTOCK01,TGTDVS,WALMARTDS</t>
  </si>
  <si>
    <t>10/31/2017</t>
  </si>
  <si>
    <t>MP41-4945</t>
  </si>
  <si>
    <t>PF004008</t>
  </si>
  <si>
    <t>AMAZON,AMAZONDS,BEALLSDS,CSNSTORES,DESINC,JCPENNEY01,KOHLDSN,OVERSTOCK01,TGTDVS,WALMARTDS</t>
  </si>
  <si>
    <t>MP41-4933</t>
  </si>
  <si>
    <t>AMAZON,AMAZONDS,CSNSTORES,JCPENNEY01,KOHLDSN,OLLIIX,OVERSTOCK01,TGTDVS,WALMARTDS</t>
  </si>
  <si>
    <t>MP41-4937</t>
  </si>
  <si>
    <t>AMAZON,BLK01,CSNSTORES,JCPENNEY01,KOHLDSN,TGTDVS,WALMARTDS</t>
  </si>
  <si>
    <t>12/7/2017</t>
  </si>
  <si>
    <t>MP41-6320</t>
  </si>
  <si>
    <t>Lightweight Faux Silk Valance With Beads</t>
  </si>
  <si>
    <t>50x26"</t>
  </si>
  <si>
    <t>PP001164;PF004653</t>
  </si>
  <si>
    <t>5/9/2019</t>
  </si>
  <si>
    <t>AMAZON,AMAZONDS,CSNSTORES,DESINC,FINGERHUTDS,JCPENNEY01,KOHLDSN,OLLIIX,OVERSTOCK01,TGTDVS,WALMARTDS</t>
  </si>
  <si>
    <t>9/3/2019</t>
  </si>
  <si>
    <t>MP41-6325</t>
  </si>
  <si>
    <t>PP001164;PF004652</t>
  </si>
  <si>
    <t>BLK01,CSNSTORES,DESINC,FINGERHUTDS,JCPENNEY01,KOHLDSN,OLLIIX,TGTDVS,WALMARTDS</t>
  </si>
  <si>
    <t>MP41-4453</t>
  </si>
  <si>
    <t>AMAZON,BEALLSDS,BLK01,CSNSTORES,DESINC,FINGERHUTDS,HDDS,JCPENNEY01,KOHLDSN,OVERSTOCK01,TGTDVS</t>
  </si>
  <si>
    <t>MP41-4991</t>
  </si>
  <si>
    <t>Jacquard Window Rod Pocket Valance With Beads</t>
  </si>
  <si>
    <t>50x18"</t>
  </si>
  <si>
    <t>AMAZON,AMAZONDS,ASHFURNDS,BEALLSDS,BLK01,CSNSTORES,JCPENNEY01,KOHLDSN,OLLIIX,OVERSTOCK01,TGTDVS,WALMARTDS</t>
  </si>
  <si>
    <t>MP41-7425</t>
  </si>
  <si>
    <t>PF003394;PP000381</t>
  </si>
  <si>
    <t>AMAZON,AMAZONDS,BEALLSDS,BLK01,CSNSTORES,DESINC,JCPENNEY01,KOHLDSN,OLLIIX,OVERSTOCK01,TGTDVS</t>
  </si>
  <si>
    <t>MP41-5479</t>
  </si>
  <si>
    <t>Embroidered Window Valance</t>
  </si>
  <si>
    <t>MP41-4961</t>
  </si>
  <si>
    <t>Elena</t>
  </si>
  <si>
    <t>Juline</t>
  </si>
  <si>
    <t>Gail</t>
  </si>
  <si>
    <t>Faux Silk Waterfall Embellished Valance</t>
  </si>
  <si>
    <t>PF003965</t>
  </si>
  <si>
    <t>AMAZON,AMAZONDS,BIGLOTSDS,BLK01,CSNSTORES,FINGERHUTDS,JCPENNEY01,KOHLDSN,OLLIIX,OVERSTOCK01,TGTDVS</t>
  </si>
  <si>
    <t>MP41-7411</t>
  </si>
  <si>
    <t>4/20/2021</t>
  </si>
  <si>
    <t>AMAZON,BLK01,CSNSTORES,DESINC,JCPENNEY01,KOHLDSN,OVERSTOCK01,TGTDVS</t>
  </si>
  <si>
    <t>MP41-7410</t>
  </si>
  <si>
    <t>PP001164;PF004651</t>
  </si>
  <si>
    <t>AMAZON,BLK01,CSNSTORES,DESINC,JCPENNEY01,KOHLDSN,OLLIIX,OVERSTOCK01,TGTDVS</t>
  </si>
  <si>
    <t>SS40-0062</t>
  </si>
  <si>
    <t>SunSmart</t>
  </si>
  <si>
    <t>Bentley</t>
  </si>
  <si>
    <t>Abel</t>
  </si>
  <si>
    <t>Byron</t>
  </si>
  <si>
    <t>Ogee Knitted Jacquard Total Blackout Curtain Panel</t>
  </si>
  <si>
    <t>PP000358;PF004024</t>
  </si>
  <si>
    <t>AMAZON,AMAZONDS,CSNSTORES,JCPENNEY01,KOHLDSN,LOWESDS,OLLIIX,OVERSTOCK01,TGTDVS,WALMARTDS</t>
  </si>
  <si>
    <t>7/20/2018</t>
  </si>
  <si>
    <t>SS40-0063</t>
  </si>
  <si>
    <t>AMAZON,AMAZONDS,ASHFURNDS,BLK01,CSNSTORES,DESINC,JCPENNEY01,KOHLDSN,OLLIIX,TGTDVS,WALMARTDS</t>
  </si>
  <si>
    <t>11/8/2018</t>
  </si>
  <si>
    <t>SS40-0064</t>
  </si>
  <si>
    <t>AMAZON,AMAZONDS,CSNSTORES,JCPENNEY01,KOHLDSN,OLLIIX,TGTDVS,WALMARTDS</t>
  </si>
  <si>
    <t>SS40-0059</t>
  </si>
  <si>
    <t>PP000358;PF004025</t>
  </si>
  <si>
    <t>AMAZON,ASHFURNDS,BLK01,CSNSTORES,JCPENNEY01,KOHLDSN,LOWESDS,OLLIIX,OVERSTOCK01,TGTDVS,WALMARTDS</t>
  </si>
  <si>
    <t>7/6/2018</t>
  </si>
  <si>
    <t>SS40-0060</t>
  </si>
  <si>
    <t>AMAZON,AMAZONDS,ASHFURNDS,CSNSTORES,JCPENNEY01,KOHLDSN,LOWESDS,OLLIIX,OVERSTOCK01,TGTDVS,WALMARTDS</t>
  </si>
  <si>
    <t>SS40-0061</t>
  </si>
  <si>
    <t>AMAZON,AMAZONDS,CSNSTORES,JCPENNEY01,KOHLDSN,LOWESDS,OVERSTOCK01,TGTDVS,WALMARTDS</t>
  </si>
  <si>
    <t>SS40-0145</t>
  </si>
  <si>
    <t>PP000358;PF005185</t>
  </si>
  <si>
    <t>AMAZON,AMAZONDS,ASHFURNDS,CSNSTORES,DESINC,HDDS,JCPENNEY01,KOHLDSN,LOWESDS,OLLIIX,OVERSTOCK01,TGTDVS</t>
  </si>
  <si>
    <t>SS40-0146</t>
  </si>
  <si>
    <t>AMAZON,AMAZONDS,ASHFURNDS,CSNSTORES,DESINC,HDDS,KOHLDSN,LOWESDS,OLLIIX,OVERSTOCK01,TGTDVS</t>
  </si>
  <si>
    <t>SS40-0120</t>
  </si>
  <si>
    <t>PP000358;PF004699</t>
  </si>
  <si>
    <t>AMAZON,AMAZONDS,ASHFURNDS,BLK01,CSNSTORES,HDDS,JCPENNEY01,KOHLDSN,LOWESDS,OLLIIX</t>
  </si>
  <si>
    <t>SS40-0121</t>
  </si>
  <si>
    <t>AMAZON,CSNSTORES,DESINC,HDDS,JCPENNEY01,KOHLDSN,LOWESDS,OLLIIX,OVERSTOCK01</t>
  </si>
  <si>
    <t>SS40-0111</t>
  </si>
  <si>
    <t>Blakesly</t>
  </si>
  <si>
    <t>Kagen</t>
  </si>
  <si>
    <t>Etro</t>
  </si>
  <si>
    <t>Printed Ikat Blackout Patio Curtain</t>
  </si>
  <si>
    <t>100x84"</t>
  </si>
  <si>
    <t>PP000592;PF004056</t>
  </si>
  <si>
    <t>Blackout</t>
  </si>
  <si>
    <t>SS40-0067</t>
  </si>
  <si>
    <t>Printed Ikat Blackout Curtain Panel</t>
  </si>
  <si>
    <t>PP000592;PF004054</t>
  </si>
  <si>
    <t>AMAZON,ASHFURNDS,CSNSTORES,DESINC,HDDS,JCPENNEY01,KOHLDSN,TGTDVS,WALMARTDS</t>
  </si>
  <si>
    <t>SS40-0112</t>
  </si>
  <si>
    <t>AMAZON,ASHFURNDS,CSNSTORES,HDDS,JCPENNEY01,KOHLDSN,OLLIIX,OVERSTOCK01,TGTDVS</t>
  </si>
  <si>
    <t>SS40-0069</t>
  </si>
  <si>
    <t>PP000592;PF004055</t>
  </si>
  <si>
    <t>AMAZON,AMAZONDS,BLK01,CSNSTORES,HDDS,JCPENNEY01,KOHLDSN,OLLIIX,OVERSTOCK01,TGTDVS,WALMARTDS</t>
  </si>
  <si>
    <t>10/12/2018</t>
  </si>
  <si>
    <t>SS40-0113</t>
  </si>
  <si>
    <t>AMAZON,AMAZONDS,AMERSIGNDS,BLK01,CSNSTORES,HDDS,JCPENNEY01,KOHLDSN,OLLIIX,TGTDVS</t>
  </si>
  <si>
    <t>SS40-0009</t>
  </si>
  <si>
    <t>Tindra</t>
  </si>
  <si>
    <t>Jacquard Printed Room Darkening Curtain Panel</t>
  </si>
  <si>
    <t>PF003941;PP001627</t>
  </si>
  <si>
    <t>ASHFURNDS,BLK01,CSNSTORES,DESINC,HDDS,JCPENNEY01,KOHLDSN,OLLIIX,OVERSTOCK01,TGTDVS,WALMARTDS</t>
  </si>
  <si>
    <t>11/19/2017</t>
  </si>
  <si>
    <t>SS40-0010</t>
  </si>
  <si>
    <t>ASHFURNDS,BEALLSDS,CSNSTORES,DESINC,HDDS,JCPENNEY01,KOHLDSN,OVERSTOCK01,TGTDVS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</si>
  <si>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</si>
  <si>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</si>
  <si>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</si>
  <si>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</si>
  <si>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</si>
  <si>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AMAZONDS,ASHFURNDS,CSNSTORES,DESINC,HDDS,JCPENNEY01,KOHLDSN,OVERSCONSIGN,OVERSTOCK01</t>
  </si>
  <si>
    <t>SS40-0098</t>
  </si>
  <si>
    <t>AMAZON,AMAZONDS,ASHFURNDS,CSNSTORES,DESINC,HDDS,JCPENNEY01,KOHLDSN,OLLIIX,OVERSCONSIGN,TGTDVS</t>
  </si>
  <si>
    <t>SS40-0099</t>
  </si>
  <si>
    <t>AMAZON,ASHFURNDS,CSNSTORES,HDDS,JCPENNEY01,KOHLDSN,OLLIIX</t>
  </si>
  <si>
    <t>SS40-0110</t>
  </si>
  <si>
    <t>Maya</t>
  </si>
  <si>
    <t>Arlie</t>
  </si>
  <si>
    <t>Rune</t>
  </si>
  <si>
    <t>Printed Heathered Blackout Window Patio Panel</t>
  </si>
  <si>
    <t>100x84" Blackout</t>
  </si>
  <si>
    <t>Dusty Seafoam</t>
  </si>
  <si>
    <t>PF003954;PP001038</t>
  </si>
  <si>
    <t>AMAZONDS,ASHFURNDS,CSNSTORES,JCPENNEY01,KOHLDSN,OLLIIX,OVERSTOCK01,TGTDVS</t>
  </si>
  <si>
    <t>SS40-0108</t>
  </si>
  <si>
    <t>PF003955</t>
  </si>
  <si>
    <t>AMAZON,AMAZONDS,AMERSIGNDS,ASHFURNDS,BEALLSDS,BLK01,CSNSTORES,JCPENNEY01,KOHLDSN,OLLIIX,OVERSTOCK01,TGTDVS</t>
  </si>
  <si>
    <t>SS40-0109</t>
  </si>
  <si>
    <t>PF003956</t>
  </si>
  <si>
    <t>AMAZON,ASHFURNDS,BLK01,CSNSTORES,JCPENNEY01,KOHLDSN,OLLIIX,OVERSTOCK01,TGTDVS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</si>
  <si>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</si>
  <si>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</si>
  <si>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</si>
  <si>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</si>
  <si>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</si>
  <si>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AMAZON,AMAZONDS,AMERSIGNDS,CSNSTORES,HDDS,JCPENNEY01,KOHLDSN,OLLIIX,OVERSTOCK01,TGTDVS</t>
  </si>
  <si>
    <t>SS40-0102</t>
  </si>
  <si>
    <t>AMAZON,AMAZONDS,ASHFURNDS,CSNSTORES,DESINC,HDDS,JCPENNEY01,KOHLDSN,LOWESDS,OLLIIX,TGTDVS</t>
  </si>
  <si>
    <t>SS40-0103</t>
  </si>
  <si>
    <t>AMAZON,ASHFURNDS,BLK01,CSNSTORES,HDDS,JCPENNEY01,KOHLDSN,OLLIIX,TGTDVS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</si>
  <si>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</si>
  <si>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</si>
  <si>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</si>
  <si>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</si>
  <si>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</si>
  <si>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</si>
  <si>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</si>
  <si>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</si>
  <si>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ASHFURNDS,CSNSTORES,DESINC,HDDS,JCPENNEY01,KOHLDSN,OVERSTOCK01,TGTDVS</t>
  </si>
  <si>
    <t>SS40-0092</t>
  </si>
  <si>
    <t>SS40-0136</t>
  </si>
  <si>
    <t>Tonal Printed Faux Silk Room Darkening Curtain Panel Pair</t>
  </si>
  <si>
    <t>AMAZONDS,ASHFURNDS,BLK01,CSNSTORES,HDDS,JCPENNEY01,KOHLDSN,OLLIIX,TGTDVS</t>
  </si>
  <si>
    <t>SS40-0137</t>
  </si>
  <si>
    <t>AMAZONDS,ASHFURNDS,BLK01,CSNSTORES,DESINC,JCPENNEY01,KOHLDSN,OLLIIX,TGTDVS</t>
  </si>
  <si>
    <t>SS40-0139</t>
  </si>
  <si>
    <t>AMAZONDS,CSNSTORES,HDDS,JCPENNEY01,KOHLDSN,OLLIIX,TGTDVS</t>
  </si>
  <si>
    <t>SS40-0140</t>
  </si>
  <si>
    <t>AMAZONDS,ASHFURNDS,BLK01,CSNSTORES,DESINC,HDDS,JCPENNEY01,KOHLDSN,OLLIIX,TGTDVS</t>
  </si>
  <si>
    <t>SS40-0237</t>
  </si>
  <si>
    <t>Knitted Jacquard Damask Total Blackout Grommet Top Curtain Panel Pair</t>
  </si>
  <si>
    <t>PP001653;PF005527</t>
  </si>
  <si>
    <t>8/7/2023</t>
  </si>
  <si>
    <t>AMAZON,BLK01,CSNSTORES,JCPENNEY01,KOHLDSN,NRTPORT,OLLIIX,OVERSTOCK01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</si>
  <si>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</si>
  <si>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</si>
  <si>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</si>
  <si>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</si>
  <si>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</si>
  <si>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</si>
  <si>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ASHFURNDS,BIGLOTSDS,BLK01,CSNSTORES,HDDS,HOUZZ,JCPENNEY01,KOHLDSN,OLLIIX,TGTDVS</t>
  </si>
  <si>
    <t>7/16/2019</t>
  </si>
  <si>
    <t>5DS40-0152</t>
  </si>
  <si>
    <t>37x84"</t>
  </si>
  <si>
    <t>5DS40-0153</t>
  </si>
  <si>
    <t>37x95"</t>
  </si>
  <si>
    <t>ASHFURNDS,CSNSTORES,JCPENNEY01,KOHLDSN,TGTDVS,WALMARTDS</t>
  </si>
  <si>
    <t>5DS40-0160</t>
  </si>
  <si>
    <t>PP000910;PF004318</t>
  </si>
  <si>
    <t>BIGLOTSDS,BLK01,CSNSTORES,HDDS,JCPENNEY01,KOHLDSN,OLLIIX,TGTDVS</t>
  </si>
  <si>
    <t>5DS40-0161</t>
  </si>
  <si>
    <t>BIGLOTSDS,BLK01,CSNSTORES,HDDS,JCPENNEY01,KIRKLANDDS,KOHLDSN,OLLIIX,TGTDVS,WALMARTDS</t>
  </si>
  <si>
    <t>5DS40-0162</t>
  </si>
  <si>
    <t>ASHFURNDS,CSNSTORES,DESINC,HDDS,JCPENNEY01,KIRKLANDDS,OLLIIX,TGTDVS</t>
  </si>
  <si>
    <t>5DS40-0287</t>
  </si>
  <si>
    <t>Grey/Copper</t>
  </si>
  <si>
    <t>PP000910;PF006132</t>
  </si>
  <si>
    <t>5/24/2024</t>
  </si>
  <si>
    <t>DESINC,JCPENNEY01,KOHLDSN</t>
  </si>
  <si>
    <t>5DS40-0288</t>
  </si>
  <si>
    <t>5DS40-0285</t>
  </si>
  <si>
    <t>PP000910;PF006131</t>
  </si>
  <si>
    <t>CSNSTORES,DESINC,JCPENNEY01,KOHLDSN,OVERSTOCK01</t>
  </si>
  <si>
    <t>5DS40-0286</t>
  </si>
  <si>
    <t>ASHFURNDS,JCPENNEY01,OVERSTOCK01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</si>
  <si>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</si>
  <si>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</si>
  <si>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</si>
  <si>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</si>
  <si>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</si>
  <si>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</si>
  <si>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</si>
  <si>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</si>
  <si>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</si>
  <si>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</si>
  <si>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</si>
  <si>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</si>
  <si>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</si>
  <si>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</si>
  <si>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</si>
  <si>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</si>
  <si>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</si>
  <si>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</si>
  <si>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</si>
  <si>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</si>
  <si>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</si>
  <si>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AMAZONDS,CSNSTORES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</si>
  <si>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</si>
  <si>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</si>
  <si>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</si>
  <si>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</si>
  <si>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</si>
  <si>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</si>
  <si>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</si>
  <si>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</si>
  <si>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</si>
  <si>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</si>
  <si>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</si>
  <si>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</si>
  <si>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</si>
  <si>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</si>
  <si>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</si>
  <si>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</si>
  <si>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</si>
  <si>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</si>
  <si>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AMAZON,AMAZONDS,BIGLOTSDS,BLK01,CSNSTORES,JCPENNEY01,KOHLDSN,OLLIIX,OVERSTOCK01,TGTDVS,WALMARTDS</t>
  </si>
  <si>
    <t>10/24/2017</t>
  </si>
  <si>
    <t>ID40-1772</t>
  </si>
  <si>
    <t>Callie</t>
  </si>
  <si>
    <t>Kelsey</t>
  </si>
  <si>
    <t>Cotton Jacquard Pom Pom Curtain Panel</t>
  </si>
  <si>
    <t>PF004432</t>
  </si>
  <si>
    <t>ID40-1797</t>
  </si>
  <si>
    <t>Pom Pom Embellished Curtain Panel</t>
  </si>
  <si>
    <t>9/10/2019</t>
  </si>
  <si>
    <t>AMAZON,AMAZONDS,HDDS,KIRKLANDDS,KOHLDSN,OVERSTOCK01,TGTDVS</t>
  </si>
  <si>
    <t>ID40-1798</t>
  </si>
  <si>
    <t>AMAZON,AMAZONDS,ASHFURNDS,BLK01,CSNSTORES,HDDS,KIRKLANDDS,KOHLDSN,OLLIIX,OVERSTOCK01,TGTDVS,WALMARTDS</t>
  </si>
  <si>
    <t>2/25/2020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</si>
  <si>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</si>
  <si>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</si>
  <si>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</si>
  <si>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</si>
  <si>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</si>
  <si>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</si>
  <si>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AMAZONDS,CSNSTORES,DESINC,JCPENNEY01,KOHLDSN,NRTPORT,OLLIIX,OVERSTOCK01,TGTDVS</t>
  </si>
  <si>
    <t>ID40-2020</t>
  </si>
  <si>
    <t>ID40-1617</t>
  </si>
  <si>
    <t>Total Blackout Metallic Print Grommet Top Curtain Panel</t>
  </si>
  <si>
    <t>12/20/2018</t>
  </si>
  <si>
    <t>AMAZON,AMAZONDS,AMERSIGNDS,BEALLSDS,BLK01,CSNSTORES,DESINC,JCPENNEY01,KOHLDSN,NRTPORT</t>
  </si>
  <si>
    <t>ID40-1616</t>
  </si>
  <si>
    <t>PF001696;PP000896</t>
  </si>
  <si>
    <t>AMAZON,AMAZONDS,AMERSIGNDS,BEALLSDS,CSNSTORES,JCPENNEY01,KOHLDSN,NRTPORT,OLLIIX,OVERSTOCK01</t>
  </si>
  <si>
    <t>ID40-1618</t>
  </si>
  <si>
    <t>AMAZON,AMERSIGNDS,BEALLSDS,CSNSTORES,DESINC,JCPENNEY01,KOHLDSN,NRTPORT</t>
  </si>
  <si>
    <t>ID40-1615</t>
  </si>
  <si>
    <t>Ivory/Gold</t>
  </si>
  <si>
    <t>PP000896;PF004343</t>
  </si>
  <si>
    <t>AMAZON,AMERSIGNDS,BEALLSDS,CSNSTORES,DESINC,JCPENNEY01,KOHLDSN,NRTPORT,OLLIIX,OVERSTOCK01</t>
  </si>
  <si>
    <t>ID40-1614</t>
  </si>
  <si>
    <t>AMAZON,AMERSIGNDS,BEALLSDS,BLK01,CSNSTORES,DESINC,JCPENNEY01,KOHLDSN,NRTPORT,OLLIIX,OVERSTOCK01</t>
  </si>
  <si>
    <t>ID40-1807</t>
  </si>
  <si>
    <t>PP000896;PF004928</t>
  </si>
  <si>
    <t>AMAZON,AMERSIGNDS,BEALLSDS,CSNSTORES,DESINC,HDDS,JCPENNEY01,KOHLDSN,NRTPORT,OLLIIX,OVERSTOCK01,TGTDVS</t>
  </si>
  <si>
    <t>ID40-1808</t>
  </si>
  <si>
    <t>AMAZON,AMAZONDS,AMERSIGNDS,BEALLSDS,CSNSTORES,DESINC,JCPENNEY01,KOHLDSN,NRTPORT,OLLIIX,OVERSTOCK01,TGTDVS</t>
  </si>
  <si>
    <t>ID40-2232</t>
  </si>
  <si>
    <t>Total Blackout Metallic Print Grommet Top Curtain Panel Pair</t>
  </si>
  <si>
    <t>AMAZON,CSNSTORES,DESINC,HDDS,JCPENNEY01,KOHLDSN,NRTPORT,OVERSTOCK01</t>
  </si>
  <si>
    <t>ID40-2233</t>
  </si>
  <si>
    <t>AMAZON,BLK01,CSNSTORES,DESINC,HDDS,JCPENNEY01,KOHLDSN,NRTPORT,OVERSTOCK01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</si>
  <si>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</si>
  <si>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</si>
  <si>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</si>
  <si>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</si>
  <si>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</si>
  <si>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</si>
  <si>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</si>
  <si>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</si>
  <si>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</si>
  <si>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</si>
  <si>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</si>
  <si>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</si>
  <si>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</si>
  <si>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</si>
  <si>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AMAZON,AMAZONDS,CSNSTORES,HDDS,MACY02</t>
  </si>
  <si>
    <t>ID31-2466</t>
  </si>
  <si>
    <t>PF004188;PP000936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</si>
  <si>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</si>
  <si>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</si>
  <si>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</si>
  <si>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</si>
  <si>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</si>
  <si>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</si>
  <si>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</si>
  <si>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AMAZON,AMAZONDS,CSNSTORES,HOUZZ,JCPENNEY01,KOHLDSN,MACY02,NRTPORT,OLLIIX,OVERSTOCK01,TGTDVS</t>
  </si>
  <si>
    <t>ID31-2035</t>
  </si>
  <si>
    <t>ID31-2033</t>
  </si>
  <si>
    <t>PF004347;PP000936</t>
  </si>
  <si>
    <t>ID31-2032</t>
  </si>
  <si>
    <t>ID31-2293</t>
  </si>
  <si>
    <t>Indoor Cushion</t>
  </si>
  <si>
    <t>PP000936;PF006127</t>
  </si>
  <si>
    <t>12/9/2023</t>
  </si>
  <si>
    <t>AMAZON,AMAZONDS,CSNSTORES,HDDS,KOHLDSN,MACY02,NRTPORT,OLLIIX,OVERSTOCK01,TGTDVS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</si>
  <si>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</si>
  <si>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</si>
  <si>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</si>
  <si>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</si>
  <si>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</si>
  <si>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</si>
  <si>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</si>
  <si>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</si>
  <si>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</si>
  <si>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</si>
  <si>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AMAZON,AMAZONDS,ASHFURNDS,CSNSTORES,DESINC,HDDS,HOUZZ,JCPENNEY01,KOHLDSN,MACY02,NRTPORT,OLLIIX,OVERSTOCK01,TGTDVS</t>
  </si>
  <si>
    <t>ID31-1932</t>
  </si>
  <si>
    <t>AMAZON,AMAZONDS,ASHFURNDS,CSNSTORES,HDDS,JCPENNEY01,KOHLDSN,MACY02,NRTPORT,OLLIIX,OVERSTOCK01,TGTDVS</t>
  </si>
  <si>
    <t>II40-1328</t>
  </si>
  <si>
    <t>Ebby</t>
  </si>
  <si>
    <t>Cora</t>
  </si>
  <si>
    <t>Alaia</t>
  </si>
  <si>
    <t>2pk Poly Printed Curtain Panel with Tufted Stripe</t>
  </si>
  <si>
    <t>White/Taupe</t>
  </si>
  <si>
    <t>PP001971;PF006280</t>
  </si>
  <si>
    <t>AMAZON,AMAZONDS,CSNSTORES,OVERSTOCK01</t>
  </si>
  <si>
    <t>II40-1329</t>
  </si>
  <si>
    <t>II40-1344</t>
  </si>
  <si>
    <t>Cotton Printed Curtain Panel with Chenille Stripe and Lining</t>
  </si>
  <si>
    <t>Farm House|Light Filtering</t>
  </si>
  <si>
    <t>II40-1234</t>
  </si>
  <si>
    <t>PF005068;PP001556</t>
  </si>
  <si>
    <t>AMAZON,AMAZONDS,BEALLSDS,CSNSTORES,DESINC,HDDS,JCPENNEY01,KIRKLANDDS,KOHLDSN,NRTPORT,OLLIIX,OVERSTOCK01</t>
  </si>
  <si>
    <t>II40-1181</t>
  </si>
  <si>
    <t>AMAZON,AMAZONDS,ASHFURNDS,BLK01,CSNSTORES,HDDS,JCPENNEY01,KOHLDSN,NRTPORT,OLLIIX,OVERSTOCK01,TGTDVS</t>
  </si>
  <si>
    <t>II40-1293</t>
  </si>
  <si>
    <t>AMAZON,AMAZONDS,ASHFURNDS,CSNSTORES,JCPENNEY01,KIRKLANDDS,KOHLDSN,NRTPORT,OVERSTOCK01</t>
  </si>
  <si>
    <t>II40-1350</t>
  </si>
  <si>
    <t>Mid-Century Modern</t>
  </si>
  <si>
    <t>II40-1351</t>
  </si>
  <si>
    <t>II40-1352</t>
  </si>
  <si>
    <t>II40-1180</t>
  </si>
  <si>
    <t>AMAZON,AMAZONDS,ASHFURNDS,BEALLSDS,BLK01,CSNSTORES,DESINC,FINGERHUTDS,HDDS,HOUZZ,JCPENNEY01,KIRKLANDDS,KOHLDSN,NRTPORT,OLLIIX,OVERSTOCK01,TGTDVS</t>
  </si>
  <si>
    <t>II40-1292</t>
  </si>
  <si>
    <t>AMAZON,AMAZONDS,ASHFURNDS,BLK01,CSNSTORES,DESINC,JCPENNEY01,KIRKLANDDS,KOHLDSN,NRTPORT,OLLIIX,OVERSTOCK01</t>
  </si>
  <si>
    <t>II40-1345</t>
  </si>
  <si>
    <t>II40-1294</t>
  </si>
  <si>
    <t>AMAZON,AMAZONDS,BLK01,CSNSTORES,DESINC,FINGERHUTDS,JCPENNEY01,KIRKLANDDS,KOHLDSN,NRTPORT,OLLIIX,OVERSCONSIGN,OVERSTOCK01</t>
  </si>
  <si>
    <t>II40-1295</t>
  </si>
  <si>
    <t>AMAZON,AMAZONDS,BLK01,CSNSTORES,JCPENNEY01,KIRKLANDDS,KOHLDSN,NRTPORT,OLLIIX,OVERSCONSIGN,OVERSTOCK01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</si>
  <si>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</si>
  <si>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</si>
  <si>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</si>
  <si>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AMAZON,AMAZONDS,ASHFURNDS,BLK01,CSNSTORES,DESINC,HDDS,JCPENNEY01,KIRKLANDDS,KOHLDSN,OLLIIX,OVERSTOCK01,TGTDVS</t>
  </si>
  <si>
    <t>II40-1183</t>
  </si>
  <si>
    <t>AMAZON,ASHFURNDS,CSNSTORES,DESINC,HDDS,JCPENNEY01,KIRKLANDDS,KOHLDSN,NRTPORT,OLLIIX,OVERSTOCK01,TGTDVS</t>
  </si>
  <si>
    <t>II40-1184</t>
  </si>
  <si>
    <t>Cotton Printed Curtain Panel with tassel trim and Lining</t>
  </si>
  <si>
    <t>2/26/2021</t>
  </si>
  <si>
    <t>AMAZON,ASHFURNDS,CSNSTORES,JCPENNEY01,KOHLDSN,OLLIIX,OVERSTOCK01,TGTDVS</t>
  </si>
  <si>
    <t>ID10-1225</t>
  </si>
  <si>
    <t>YOUT</t>
  </si>
  <si>
    <t>Robbie</t>
  </si>
  <si>
    <t>Roger</t>
  </si>
  <si>
    <t>Rick</t>
  </si>
  <si>
    <t>Plaid Comforter Set with Bed Sheets</t>
  </si>
  <si>
    <t>PF001691</t>
  </si>
  <si>
    <t>6/27/2017</t>
  </si>
  <si>
    <t>AMAZON,AMAZONDS,BEALLSDS,BIGLOTSDS,CSNSTORES,HDDS,JCPENNEY01,KOHLDSN,LOWESDS,MACY02,OLLIIX,OVERSTOCK01,ROOMECOM,TGTDVS,WALMARTDS</t>
  </si>
  <si>
    <t>ID10-1226</t>
  </si>
  <si>
    <t>AAFESDS,AMAZON,AMAZONDS,AMERSIGNDS,BIGLOTSDS,BLK01,CSNSTORES,HDDS,JCPENNEY01,KOHLDSN,MACY02,OLLIIX,OVERSTOCK01,ROOMECOM,TGTDVS,WALMARTDS</t>
  </si>
  <si>
    <t>ID10-1227</t>
  </si>
  <si>
    <t>AMAZON,AMAZONDS,BEALLSDS,BIGLOTSDS,BLK01,CSNSTORES,HDDS,JCPENNEY01,KOHLDSN,LOWESDS,MACY02,NRTPORT,OLLIIX,OVERSTOCK01,TGTDVS,WALMARTDS</t>
  </si>
  <si>
    <t>ID10-2430</t>
  </si>
  <si>
    <t>Teal/Black</t>
  </si>
  <si>
    <t>PP001972;PF006282</t>
  </si>
  <si>
    <t>AMAZON,AMAZONDS,HDDS,JCPENNEY01,KOHLDSN,OVERSTOCK01,TGTDVS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</si>
  <si>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</si>
  <si>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</si>
  <si>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</si>
  <si>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</si>
  <si>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</si>
  <si>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</si>
  <si>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</si>
  <si>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</si>
  <si>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PF004648</t>
  </si>
  <si>
    <t>5/10/2019</t>
  </si>
  <si>
    <t>ID10-1730</t>
  </si>
  <si>
    <t>AAFESDS,BLK01,CSNSTORES,HDDS,JCPENNEY01,KOHLDSN,MACY02,OLLIIX,OVERSTOCK01,TGTDVS,WALMARTDS</t>
  </si>
  <si>
    <t>ID10-1731</t>
  </si>
  <si>
    <t>AAFESDS,BLK01,CSNSTORES,HDDS,JCPENNEY01,KOHLDSN,MACY02,OLLIIX,OVERSTOCK01,ROOMECOM,TGTDVS,WALMARTDS</t>
  </si>
  <si>
    <t>ID10-1732</t>
  </si>
  <si>
    <t>AAFESDS,CSNSTORES,HDDS,JCPENNEY01,KOHLDSN,MACY02,OLLIIX,OVERSTOCK01,ROOMECOM,TGTDVS,WALMARTDS</t>
  </si>
  <si>
    <t>12/26/2019</t>
  </si>
  <si>
    <t>ID10-1942</t>
  </si>
  <si>
    <t>Felicia</t>
  </si>
  <si>
    <t>Isabel</t>
  </si>
  <si>
    <t>Alyssa</t>
  </si>
  <si>
    <t>Velvet Comforter Set with Throw Pillow</t>
  </si>
  <si>
    <t>PP001091;PF005199</t>
  </si>
  <si>
    <t>AMAZON,AMAZONDS,CSNSTORES,HDDS,JCPENNEY01,KOHLDSN,MACY02,NRTPORT,OLLIIX,OVERSCONSIGN,OVERSTOCK01,TGTDVS,WALMARTDS</t>
  </si>
  <si>
    <t>ID10-1943</t>
  </si>
  <si>
    <t>AAFESDS,AMAZON,AMAZONDS,BLK01,CSNSTORES,DESINC,HDDS,JCPENNEY01,KOHLDSN,LOWESDS,MACY02,NRTPORT,OLLIIX,OVERSTOCK01,ROOMECOM,TGTDVS,WALMARTDS</t>
  </si>
  <si>
    <t>ID10-2056</t>
  </si>
  <si>
    <t>9/9/2021</t>
  </si>
  <si>
    <t>AAFESDS,AMAZON,AMAZONDS,BLK01,CSNSTORES,DESINC,HDDS,JCPENNEY01,KOHLDSN,LOWESDS,MACY02,NRTPORT,OLLIIX,OVERSTOCK01,ROOMECOM,TGTDVS</t>
  </si>
  <si>
    <t>ID10-1901</t>
  </si>
  <si>
    <t>PP001091;PF005085</t>
  </si>
  <si>
    <t>6/7/2021</t>
  </si>
  <si>
    <t>ID10-1902</t>
  </si>
  <si>
    <t>AAFESDS,AMAZON,AMAZONDS,BLK01,CSNSTORES,FINGERHUTDS,HDDS,JCPENNEY01,KOHLDSN,MACY02,NRTPORT,OLLIIX,OVERSTOCK01,ROOMECOM,TGTDVS,WALMARTDS</t>
  </si>
  <si>
    <t>ID10-1978</t>
  </si>
  <si>
    <t>2/10/2021</t>
  </si>
  <si>
    <t>ID10-1905</t>
  </si>
  <si>
    <t>PP001091;PF005084</t>
  </si>
  <si>
    <t>AMAZON,AMAZONDS,BLK01,CSNSTORES,FINGERHUTDS,JCPENNEY01,KOHLDSN,NRTPORT,OLLIIX,OVERSTOCK01,TGTDVS,WALMARTDS</t>
  </si>
  <si>
    <t>ID10-1906</t>
  </si>
  <si>
    <t>AMAZONDS,BLK01,CSNSTORES,FINGERHUTDS,HDDS,JCPENNEY01,KOHLDSN,LOWESDS,MACY02,NRTPORT,OLLIIX,OVERSTOCK01,TGTDVS,WALMARTDS</t>
  </si>
  <si>
    <t>ID10-1976</t>
  </si>
  <si>
    <t>2/24/2021</t>
  </si>
  <si>
    <t>AMAZON,AMAZONDS,BLK01,CSNSTORES,DESINC,FINGERHUTDS,HDDS,JCPENNEY01,KOHLDSN,LOWESDS,MACY02,NRTPORT,OLLIIX,OVERSTOCK01,TGTDVS</t>
  </si>
  <si>
    <t>ID10-1660</t>
  </si>
  <si>
    <t>PP001091;PF004576</t>
  </si>
  <si>
    <t>3/11/2019</t>
  </si>
  <si>
    <t>AMAZON,AMAZONDS,AMERSIGNDS,CSNSTORES,HDDS,JCPENNEY01,KOHLDSN,MACY02,NRTPORT,OLLIIX,OVERSTOCK01,TGTDVS,WALMARTDS</t>
  </si>
  <si>
    <t>3/24/2019</t>
  </si>
  <si>
    <t>ID10-2156</t>
  </si>
  <si>
    <t>PP001091;PF005800</t>
  </si>
  <si>
    <t>AMAZONDS,CSNSTORES,DESINC,HDDS,JCPENNEY01,KOHLDSN,MACY02,NRTPORT,OLLIIX,OVERSTOCK01,TGTDVS</t>
  </si>
  <si>
    <t>ID10-2157</t>
  </si>
  <si>
    <t>AMAZONDS,CSNSTORES,DESINC,HDDS,JCPENNEY01,KOHLDSN,LOWESDS,MACY02,NRTPORT,OLLIIX,OVERSTOCK01,TGTDVS</t>
  </si>
  <si>
    <t>ID10-2158</t>
  </si>
  <si>
    <t>AMAZONDS,BLK01,CSNSTORES,DESINC,HDDS,JCPENNEY01,KOHLDSN,MACY02,NRTPORT,OLLIIX,OVERSTOCK01,TGTDVS</t>
  </si>
  <si>
    <t>ID10-2400</t>
  </si>
  <si>
    <t>PP001091;PF006267</t>
  </si>
  <si>
    <t>ID10-2401</t>
  </si>
  <si>
    <t>AMAZON,AMAZONDS,CSNSTORES,HDDS,KOHLDSN,MACY02,NRTPORT,OVERSTOCK01,TGTDVS</t>
  </si>
  <si>
    <t>ID10-2402</t>
  </si>
  <si>
    <t>ID10-2412</t>
  </si>
  <si>
    <t>PP001091;PF006269</t>
  </si>
  <si>
    <t>ID10-2413</t>
  </si>
  <si>
    <t>ID10-2414</t>
  </si>
  <si>
    <t>ID10-1972</t>
  </si>
  <si>
    <t>PP001091;PF004858</t>
  </si>
  <si>
    <t>2/23/2021</t>
  </si>
  <si>
    <t>AMAZON,AMAZONDS,BLK01,CSNSTORES,DESINC,FINGERHUTDS,HDDS,JCPENNEY01,KOHLDSN,MACY02,NRTPORT,OLLIIX,OVERSTOCK01,ROOMECOM,TGTDVS</t>
  </si>
  <si>
    <t>ID10-2406</t>
  </si>
  <si>
    <t>PP001091;PF006268</t>
  </si>
  <si>
    <t>ID10-2407</t>
  </si>
  <si>
    <t>ID10-2408</t>
  </si>
  <si>
    <t>ID10-1098</t>
  </si>
  <si>
    <t>Adley</t>
  </si>
  <si>
    <t>PF001714</t>
  </si>
  <si>
    <t>ID10-238</t>
  </si>
  <si>
    <t>Olivia</t>
  </si>
  <si>
    <t>Floral Comforter Set</t>
  </si>
  <si>
    <t>PF001605;PP000477</t>
  </si>
  <si>
    <t>AMAZON,AMAZONDS,BEALLSDS,BIGLOTSDS,BLK01,CSNSTORES,FINGERHUTDS,HDDS,JCPENNEY01,KIRKLANDDS,KOHLDSN,MACY02,NRTPORT,OLLIIX,OVERSTOCK01,ROOMECOM,TGTDVS,WALMARTDS</t>
  </si>
  <si>
    <t>ID10-168</t>
  </si>
  <si>
    <t>PF001604;PP000477</t>
  </si>
  <si>
    <t>AMAZON,AMAZONDS,BIGLOTSDS,CSNSTORES,HDDS,JCPENNEY01,KOHLDSN,MACY02,NRTPORT,OLLIIX,OVERSTOCK01,ROOMECOM,TGTDVS</t>
  </si>
  <si>
    <t>ID10-1330</t>
  </si>
  <si>
    <t>Rudy</t>
  </si>
  <si>
    <t>Slate</t>
  </si>
  <si>
    <t>Plaid Comforter Set</t>
  </si>
  <si>
    <t>AMAZON,AMAZONDS,BLK01,CSNSTORES,HDDS,KIRKLANDDS,KOHLDSN,MACY02,OLLIIX,OVERSCONSIGN,ROOMECOM,TGTDVS,WALMARTDS</t>
  </si>
  <si>
    <t>ID10-2332</t>
  </si>
  <si>
    <t>Reeve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</si>
  <si>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</si>
  <si>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</si>
  <si>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</si>
  <si>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</si>
  <si>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</si>
  <si>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</si>
  <si>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</si>
  <si>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</si>
  <si>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</si>
  <si>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AMAZON,AMAZONDS,BIGLOTSDS,BLK01,CSNSTORES,DESINC,FINGERHUTDS,HDDS,JCPENNEY01,KOHLDSN,MACY02,NRTPORT,OLLIIX,OVERSTOCK01,ROOMECOM,TGTDVS</t>
  </si>
  <si>
    <t>ID10-1988</t>
  </si>
  <si>
    <t>AAFESDS,AMAZON,AMAZONDS,BLK01,CSNSTORES,DESINC,FINGERHUTDS,HDDS,JCPENNEY01,KOHLDSN,MACY02,NRTPORT,OLLIIX,OVERSTOCK01,TGTDVS</t>
  </si>
  <si>
    <t>ID10-2261</t>
  </si>
  <si>
    <t>PF005394;PP001904</t>
  </si>
  <si>
    <t>10/11/2023</t>
  </si>
  <si>
    <t>ID10-2385</t>
  </si>
  <si>
    <t>PP001904;PF006265</t>
  </si>
  <si>
    <t>ID10-2386</t>
  </si>
  <si>
    <t>ID10-2387</t>
  </si>
  <si>
    <t>7/5/2024</t>
  </si>
  <si>
    <t>AMAZON,HDDS,JCPENNEY01,KOHLDSN,MACY02,TGTDVS</t>
  </si>
  <si>
    <t>ID10-2255</t>
  </si>
  <si>
    <t>PP001904;PF006071</t>
  </si>
  <si>
    <t>9/5/2023</t>
  </si>
  <si>
    <t>ID10-2256</t>
  </si>
  <si>
    <t>AMAZON,AMAZONDS,BLK01,CSNSTORES,HDDS,JCPENNEY01,KOHLDSN,LOWESDS,MACY02,NRTPORT,OVERSTOCK01,TGTDVS</t>
  </si>
  <si>
    <t>ID10-2257</t>
  </si>
  <si>
    <t>AMAZON,CSNSTORES,HDDS,JCPENNEY01,KOHLDSN,LOWESDS,MACY02,NRTPORT,OVERSTOCK01,TGTDVS</t>
  </si>
  <si>
    <t>ID10-2326</t>
  </si>
  <si>
    <t>Christa</t>
  </si>
  <si>
    <t>Lena</t>
  </si>
  <si>
    <t>Floral Striped Comforter Set</t>
  </si>
  <si>
    <t>PF006201</t>
  </si>
  <si>
    <t>Vintage</t>
  </si>
  <si>
    <t>AMAZON,AMAZONDS,BLK01,HDDS,JCPENNEY01,KOHLDSN,MACY02,NRTPORT,OVERSTOCK01,TGTDVS</t>
  </si>
  <si>
    <t>ID10-2327</t>
  </si>
  <si>
    <t>ID10-1966</t>
  </si>
  <si>
    <t>Dorsey</t>
  </si>
  <si>
    <t>Renee</t>
  </si>
  <si>
    <t>Floral Print Comforter Set</t>
  </si>
  <si>
    <t>PF004478</t>
  </si>
  <si>
    <t>1/25/2021</t>
  </si>
  <si>
    <t>AMAZON,AMAZONDS,BIGLOTSDS,BLK01,CSNSTORES,DESINC,HDDS,KOHLDSN,MACY02,NRTPORT,OLLIIX,OVERSTOCK01,TGTDVS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</si>
  <si>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</si>
  <si>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</si>
  <si>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</si>
  <si>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</si>
  <si>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</si>
  <si>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</si>
  <si>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</si>
  <si>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ID10-2320</t>
  </si>
  <si>
    <t>Lana</t>
  </si>
  <si>
    <t>Harlow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</si>
  <si>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</si>
  <si>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</si>
  <si>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</si>
  <si>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</si>
  <si>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</si>
  <si>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</si>
  <si>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</si>
  <si>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</si>
  <si>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</si>
  <si>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</si>
  <si>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Milo</t>
  </si>
  <si>
    <t>Hayes</t>
  </si>
  <si>
    <t>Cationic Dyed Clip Jacquard Comforter Set with Throw Pillow</t>
  </si>
  <si>
    <t>PF006163</t>
  </si>
  <si>
    <t>3/19/2024</t>
  </si>
  <si>
    <t>AMAZON,DESINC,JCPENNEY01,KOHLDSN,MACY02,OLLIIX,OVERSTOCK01,TGTDVS</t>
  </si>
  <si>
    <t>ID10-2301</t>
  </si>
  <si>
    <t>ID10-1817</t>
  </si>
  <si>
    <t>Metallic Printed Comforter Set</t>
  </si>
  <si>
    <t>10/19/2019</t>
  </si>
  <si>
    <t>AMAZON,AMAZONDS,CSNSTORES,FINGERHUTDS,HDDS,JCPENNEY01,KIRKLANDDS,KOHLDSN,MACY02,NRTPORT,OLLIIX,TGTDVS</t>
  </si>
  <si>
    <t>ID10-1818</t>
  </si>
  <si>
    <t>AMAZON,AMAZONDS,AMERSIGNDS,BLK01,CSNSTORES,FINGERHUTDS,HDDS,JCPENNEY01,KIRKLANDDS,KOHLDSN,MACY02,NRTPORT,OLLIIX,OVERSTOCK01,TGTDVS</t>
  </si>
  <si>
    <t>ID10-1819</t>
  </si>
  <si>
    <t>ID10-2125</t>
  </si>
  <si>
    <t>Celestial Comforter Set</t>
  </si>
  <si>
    <t>PF005672</t>
  </si>
  <si>
    <t>3/23/2022</t>
  </si>
  <si>
    <t>ID10-2126</t>
  </si>
  <si>
    <t>3/22/2022</t>
  </si>
  <si>
    <t>ID10-2230</t>
  </si>
  <si>
    <t>Rachel</t>
  </si>
  <si>
    <t>Ombre Shaggy Faux Fur Comforter Set</t>
  </si>
  <si>
    <t>Blush Multi</t>
  </si>
  <si>
    <t>PF005946;PP001917</t>
  </si>
  <si>
    <t>3/24/2023</t>
  </si>
  <si>
    <t>AMAZON,AMAZONDS,AMERSIGNDS,CSNSTORES,DESINC,HDDS,JCPENNEY01,KOHLDSN,MACY02,NRTPORT,OLLIIX,OVERSTOCK01,TGTDVS</t>
  </si>
  <si>
    <t>ID10-2231</t>
  </si>
  <si>
    <t>AMAZON,AMAZONDS,AMERSIGNDS,BLK01,CSNSTORES,DESINC,HDDS,JCPENNEY01,KOHLDSN,MACY02,NRTPORT,OLLIIX,OVERSTOCK01,ROOMECOM,TGTDVS</t>
  </si>
  <si>
    <t>ID10-2357</t>
  </si>
  <si>
    <t>AMAZON,AMAZONDS,AMERSIGNDS,BLK01,CSNSTORES,HDDS,JCPENNEY01,KOHLDSN,MACY02,NRTPORT,OLLIIX,OVERSTOCK01,TGTDVS</t>
  </si>
  <si>
    <t>ID10-2291</t>
  </si>
  <si>
    <t>PP001917;PF006126</t>
  </si>
  <si>
    <t>AMAZON,AMAZONDS,AMERSIGNDS,CSNSTORES,HDDS,JCPENNEY01,KOHLDSN,MACY02,NRTPORT,OLLIIX,OVERSTOCK01,TGTDVS</t>
  </si>
  <si>
    <t>ID10-2292</t>
  </si>
  <si>
    <t>AMAZON,AMERSIGNDS,CSNSTORES,HDDS,HHGLOBALTTS,JCPENNEY01,KOHLDSN,MACY02,NRTPORT,OLLIIX,OVERSTOCK01,TGTDVS</t>
  </si>
  <si>
    <t>ID10-2418</t>
  </si>
  <si>
    <t>Larissa</t>
  </si>
  <si>
    <t>Animal Chenille Comforter Set</t>
  </si>
  <si>
    <t>PF006270</t>
  </si>
  <si>
    <t>ID10-2419</t>
  </si>
  <si>
    <t>ID10-2420</t>
  </si>
  <si>
    <t>ID10-2369</t>
  </si>
  <si>
    <t>Lucy</t>
  </si>
  <si>
    <t>Elise</t>
  </si>
  <si>
    <t>Clip Jacquard Comforter Set</t>
  </si>
  <si>
    <t>PP001813;PF006254</t>
  </si>
  <si>
    <t>AMAZON,BLK01,HDDS,JCPENNEY01,KOHLDSN,MACY02,OVERSTOCK01,TGTDVS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</si>
  <si>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</si>
  <si>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</si>
  <si>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</si>
  <si>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</si>
  <si>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</si>
  <si>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</si>
  <si>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</si>
  <si>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</si>
  <si>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</si>
  <si>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</si>
  <si>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AMAZON,CSNSTORES,HDDS,JCPENNEY01,KOHLDSN,MACY02,NRTPORT,OLLIIX,OVERSTOCK01,TGTDVS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</si>
  <si>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</si>
  <si>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</si>
  <si>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</si>
  <si>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</si>
  <si>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</si>
  <si>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</si>
  <si>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</si>
  <si>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</si>
  <si>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</si>
  <si>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</si>
  <si>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</si>
  <si>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</si>
  <si>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</si>
  <si>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AMAZON,BLK01,CSNSTORES,HDDS,JCPENNEY01,KOHLDSN,MACY02,NRTPORT,OLLIIX,OVERSTOCK01,ROOMECOM,TGTDVS</t>
  </si>
  <si>
    <t>ID10-2287</t>
  </si>
  <si>
    <t>ID10-2272</t>
  </si>
  <si>
    <t>PP001813;PF006083</t>
  </si>
  <si>
    <t>CSNSTORES,HDDS,JCPENNEY01,KOHLDSN,MACY02,NRTPORT,OLLIIX,OVERSTOCK01,TGTDVS</t>
  </si>
  <si>
    <t>ID10-2273</t>
  </si>
  <si>
    <t>ID10-2274</t>
  </si>
  <si>
    <t>ID10-2382</t>
  </si>
  <si>
    <t>Mira</t>
  </si>
  <si>
    <t>Gemma</t>
  </si>
  <si>
    <t>Arabella</t>
  </si>
  <si>
    <t>Crushed Velvet Sherpa Reversible Comforter Set</t>
  </si>
  <si>
    <t>PP001907;PF006260</t>
  </si>
  <si>
    <t>AMAZON,BLK01,KOHLDSN,MACY02,TGTDVS</t>
  </si>
  <si>
    <t>ID10-2383</t>
  </si>
  <si>
    <t>ID10-2384</t>
  </si>
  <si>
    <t>AMAZON,CSNSTORES,KOHLDSN,MACY02,TGTDVS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</si>
  <si>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</si>
  <si>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</si>
  <si>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</si>
  <si>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</si>
  <si>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</si>
  <si>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</si>
  <si>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</si>
  <si>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AMAZON,AMAZONDS,KOHLDSN,OVERSTOCK01,TGTDVS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</si>
  <si>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</si>
  <si>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</si>
  <si>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</si>
  <si>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</si>
  <si>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</si>
  <si>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</si>
  <si>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</si>
  <si>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AMAZON,CSNSTORES,HDDS,JCPENNEY01,KOHLDSN,MACY02,NRTPORT,OVERSTOCK01,TGTDVS</t>
  </si>
  <si>
    <t>ID10-2264</t>
  </si>
  <si>
    <t>ID10-2265</t>
  </si>
  <si>
    <t>ID10-2294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</si>
  <si>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</si>
  <si>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</si>
  <si>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</si>
  <si>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</si>
  <si>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</si>
  <si>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</si>
  <si>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</si>
  <si>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</si>
  <si>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</si>
  <si>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</si>
  <si>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</si>
  <si>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</si>
  <si>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AMAZON,BLK01,JCPENNEY01,KOHLDSN,MACY02,NRTPORT,OLLIIX,OVERSTOCK01,TGTDVS</t>
  </si>
  <si>
    <t>ID10-2297</t>
  </si>
  <si>
    <t>ID10-2424</t>
  </si>
  <si>
    <t>Monica</t>
  </si>
  <si>
    <t>Juliette</t>
  </si>
  <si>
    <t>Colorblock Clip Jacquard Comforter Set</t>
  </si>
  <si>
    <t>PF006271</t>
  </si>
  <si>
    <t>ID10-2425</t>
  </si>
  <si>
    <t>ID10-2426</t>
  </si>
  <si>
    <t>ID12-1907</t>
  </si>
  <si>
    <t>Velvet Duvet Cover Set with Throw Pillow</t>
  </si>
  <si>
    <t>AMAZON,CSNSTORES,JCPENNEY01,KOHLDSN,MACY02,NRTPORT,OLLIIX,OVERSTOCK01,TGTDVS,WALMARTDS</t>
  </si>
  <si>
    <t>ID12-1908</t>
  </si>
  <si>
    <t>AMAZONDS,BLK01,CSNSTORES,FINGERHUTDS,HDDS,JCPENNEY01,KOHLDSN,MACY02,NRTPORT,OLLIIX,TGTDVS,WALMARTDS</t>
  </si>
  <si>
    <t>ID12-1977</t>
  </si>
  <si>
    <t>AMAZON,BLK01,CSNSTORES,HDDS,JCPENNEY01,KOHLDSN,MACY02,NRTPORT,OLLIIX,TGTDVS</t>
  </si>
  <si>
    <t>ID12-1793</t>
  </si>
  <si>
    <t>9/27/2019</t>
  </si>
  <si>
    <t>AMAZON,AMAZONDS,CSNSTORES,JCPENNEY01,KOHLDSN,MACY02,OLLIIX,TGTDVS,WALMARTDS</t>
  </si>
  <si>
    <t>ID12-1794</t>
  </si>
  <si>
    <t>ID12-1973</t>
  </si>
  <si>
    <t>3/3/2021</t>
  </si>
  <si>
    <t>AMAZON,CSNSTORES,JCPENNEY01,KOHLDSN,NRTPORT,OVERSTOCK01,TGTDVS</t>
  </si>
  <si>
    <t>ID12-1944</t>
  </si>
  <si>
    <t>BLK01,JCPENNEY01,KOHLDSN,MACY02,TGTDVS</t>
  </si>
  <si>
    <t>ID12-2057</t>
  </si>
  <si>
    <t>9/10/2021</t>
  </si>
  <si>
    <t>ID12-2159</t>
  </si>
  <si>
    <t>AMAZONDS,AMERSIGNDS,CSNSTORES,JCPENNEY01,KOHLDSN,MACY02,OLLIIX,OVERSTOCK01,TGTDVS</t>
  </si>
  <si>
    <t>ID12-2160</t>
  </si>
  <si>
    <t>ID12-2161</t>
  </si>
  <si>
    <t>AMAZONDS,CSNSTORES,JCPENNEY01,KOHLDSN,MACY02,NRTPORT,OVERSTOCK01,TGTDVS</t>
  </si>
  <si>
    <t>ID12-2403</t>
  </si>
  <si>
    <t>AMAZON,AMAZONDS,MACY02,TGTDVS</t>
  </si>
  <si>
    <t>ID12-2404</t>
  </si>
  <si>
    <t>ID12-2405</t>
  </si>
  <si>
    <t>AMAZON,AMAZONDS,CSNSTORES,HDDS,MACY02,OVERSTOCK01,TGTDVS</t>
  </si>
  <si>
    <t>ID12-2415</t>
  </si>
  <si>
    <t>ID12-2416</t>
  </si>
  <si>
    <t>AMAZON,AMAZONDS,BLK01,HDDS,KOHLDSN,MACY02,OVERSTOCK01,TGTDVS</t>
  </si>
  <si>
    <t>ID12-2417</t>
  </si>
  <si>
    <t>AMAZON,AMAZONDS,HDDS,KOHLDSN,MACY02,OVERSTOCK01,TGTDVS</t>
  </si>
  <si>
    <t>ID12-2409</t>
  </si>
  <si>
    <t>AMAZON,MACY02</t>
  </si>
  <si>
    <t>ID12-2410</t>
  </si>
  <si>
    <t>AMAZON,HDDS,KOHLDSN,MACY02,OVERSTOCK01,TGTDVS</t>
  </si>
  <si>
    <t>ID12-2411</t>
  </si>
  <si>
    <t>AMAZON,AMAZONDS,AMERSIGNDS,CSNSTORES,HDDS,KOHLDSN,MACY02,OVERSTOCK01,TGTDVS</t>
  </si>
  <si>
    <t>ID12-1676</t>
  </si>
  <si>
    <t>Nicole</t>
  </si>
  <si>
    <t>Metallic Printed and Pintucked Duvet Cover Set</t>
  </si>
  <si>
    <t>PF004580</t>
  </si>
  <si>
    <t>AMAZONDS,CSNSTORES,JCPENNEY01,KOHLDSN,MACY02,OVERSTOCK01,TGTDVS</t>
  </si>
  <si>
    <t>ID12-1677</t>
  </si>
  <si>
    <t>ID12-1989</t>
  </si>
  <si>
    <t>Watercolor Tie Dye Printed Duvet Cover Set with Throw Pillow</t>
  </si>
  <si>
    <t>AMAZON,AMAZONDS,BIGLOTSDS,BLK01,CSNSTORES,HDDS,JCPENNEY01,KOHLDSN,MACY02,OVERSTOCK01,TGTDVS</t>
  </si>
  <si>
    <t>ID12-1990</t>
  </si>
  <si>
    <t>AMAZON,AMAZONDS,BIGLOTSDS,CSNSTORES,HDDS,JCPENNEY01,KOHLDSN,MACY02,NRTPORT,OLLIIX,OVERSTOCK01,TGTDVS</t>
  </si>
  <si>
    <t>ID12-2262</t>
  </si>
  <si>
    <t>ID12-2388</t>
  </si>
  <si>
    <t>AMAZON,JCPENNEY01,KOHLDSN,TGTDVS</t>
  </si>
  <si>
    <t>ID12-2389</t>
  </si>
  <si>
    <t>ID12-2390</t>
  </si>
  <si>
    <t>ID12-2258</t>
  </si>
  <si>
    <t>ID12-2259</t>
  </si>
  <si>
    <t>AMAZON,AMAZONDS,CSNSTORES,JCPENNEY01,KOHLDSN,MACY02,OVERSCONSIGN,OVERSTOCK01,TGTDVS</t>
  </si>
  <si>
    <t>ID12-2260</t>
  </si>
  <si>
    <t>AMAZON,BLK01,CSNSTORES,JCPENNEY01,KOHLDSN,MACY02,OLLIIX</t>
  </si>
  <si>
    <t>ID12-2302</t>
  </si>
  <si>
    <t>Cationic Dyed Clip Jacquard Duvet Cover Set with Throw Pillow</t>
  </si>
  <si>
    <t>CSNSTORES,HDDS,JCPENNEY01,MACY02,OLLIIX,OVERSTOCK01,TGTDVS</t>
  </si>
  <si>
    <t>ID12-2303</t>
  </si>
  <si>
    <t>ID12-2127</t>
  </si>
  <si>
    <t>Celestial Duvet Cover Set</t>
  </si>
  <si>
    <t>ID12-2128</t>
  </si>
  <si>
    <t>ID12-2334</t>
  </si>
  <si>
    <t>Plaid Duvet Cover Set</t>
  </si>
  <si>
    <t>AMAZON,BLK01,HDDS,JCPENNEY01,KOHLDSN,MACY02,OLLIIX,OVERSTOCK01,TGTDVS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</si>
  <si>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</si>
  <si>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</si>
  <si>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</si>
  <si>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</si>
  <si>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</si>
  <si>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</si>
  <si>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</si>
  <si>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</si>
  <si>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AMAZON,BLK01,CSNSTORES,DESINC,HDDS,JCPENNEY01,KOHLDSN,MACY02,NRTPORT,OLLIIX,OVERSTOCK01,TGTDVS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</si>
  <si>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</si>
  <si>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</si>
  <si>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</si>
  <si>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</si>
  <si>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</si>
  <si>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</si>
  <si>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AMAZON,AMERSIGNDS,JCPENNEY01,KOHLDSN,OVERSTOCK01,TGTDVS</t>
  </si>
  <si>
    <t>ID12-2373</t>
  </si>
  <si>
    <t>ID12-2377</t>
  </si>
  <si>
    <t>AMAZON,AMAZONDS,HDDS,JCPENNEY01,KOHLDSN,OLLIIX,OVERSTOCK01,TGTDVS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</si>
  <si>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</si>
  <si>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</si>
  <si>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</si>
  <si>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</si>
  <si>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</si>
  <si>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</si>
  <si>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AMAZON,AMERSIGNDS,CSNSTORES,JCPENNEY01,KOHLDSN,MACY02,OLLIIX,OVERSTOCK01,TGTDVS</t>
  </si>
  <si>
    <t>ID12-2281</t>
  </si>
  <si>
    <t>ID12-2194</t>
  </si>
  <si>
    <t>ID12-2195</t>
  </si>
  <si>
    <t>ID12-2275</t>
  </si>
  <si>
    <t>ID12-2276</t>
  </si>
  <si>
    <t>AMAZON,CSNSTORES,KOHLDSN,NRTPORT,OLLIIX,OVERSTOCK01,TGTDVS</t>
  </si>
  <si>
    <t>ID12-2324</t>
  </si>
  <si>
    <t>Floral Paisley Duvet Cover Set</t>
  </si>
  <si>
    <t>ID12-2325</t>
  </si>
  <si>
    <t>ID12-2427</t>
  </si>
  <si>
    <t>Colorblock Clip Jacquard Duvet Cover Set</t>
  </si>
  <si>
    <t>AMAZON,MACY02,TGTDVS</t>
  </si>
  <si>
    <t>ID12-2428</t>
  </si>
  <si>
    <t>ID12-2429</t>
  </si>
  <si>
    <t>AMAZON,CSNSTORES</t>
  </si>
  <si>
    <t>ID13-1100</t>
  </si>
  <si>
    <t>Reversible Quilt Set with Throw Pillows</t>
  </si>
  <si>
    <t>AMAZON,AMAZONDS,CSNSTORES,JCPENNEY01,KIRKLANDDS,KOHLDSN,MACY02,OLLIIX,OVERSTOCK01,TGTDVS,WALMARTDS</t>
  </si>
  <si>
    <t>ID13-1101</t>
  </si>
  <si>
    <t>AMAZONDS,ASHFURNDS,BEALLSDS,CSNSTORES,JCPENNEY01,KOHLDSN,MACY02,OLLIIX,OVERSTOCK01,TGTDVS</t>
  </si>
  <si>
    <t>ID13-2289</t>
  </si>
  <si>
    <t>Watercolor Tie Dye Printed Quilt Set with Throw Pillow</t>
  </si>
  <si>
    <t>12/15/2023</t>
  </si>
  <si>
    <t>ID13-2290</t>
  </si>
  <si>
    <t>AMAZON,AMAZONDS,BLK01,CSNSTORES,JCPENNEY01,KIRKLANDDS,KOHLDSN,MACY02,NRTPORT,OVERSTOCK01,TGTDVS</t>
  </si>
  <si>
    <t>UHK13-0084</t>
  </si>
  <si>
    <t>Urban Habitat Kids</t>
  </si>
  <si>
    <t>Cloud</t>
  </si>
  <si>
    <t>Bliss</t>
  </si>
  <si>
    <t>Euphoria</t>
  </si>
  <si>
    <t>6 Piece Cotton Reversible Daybed Set</t>
  </si>
  <si>
    <t>PP000645;PF004077</t>
  </si>
  <si>
    <t>AMAZON,AMAZONDS,ASHFURNDS,BLK01,CSNSTORES,HDDS,JCPENNEY01,KOHLDSN,MACY02,OLLIIX,OVERSTOCK01,TGTDVS,WALMARTDS</t>
  </si>
  <si>
    <t>1/23/2020</t>
  </si>
  <si>
    <t>UHK13-0102</t>
  </si>
  <si>
    <t xml:space="preserve">Unicorn Reversible Cotton  Quilt Set with Throw Pillows</t>
  </si>
  <si>
    <t>PP000904;PF004525</t>
  </si>
  <si>
    <t>UHK13-0103</t>
  </si>
  <si>
    <t>1/11/2019</t>
  </si>
  <si>
    <t>UHK13-0186</t>
  </si>
  <si>
    <t>Ellie</t>
  </si>
  <si>
    <t>Mandy</t>
  </si>
  <si>
    <t>Reversible Sunshine Printed Cotton Quilt Set with Throw Pillow</t>
  </si>
  <si>
    <t>Yellow/Coral</t>
  </si>
  <si>
    <t>PF005674</t>
  </si>
  <si>
    <t>3/24/2022</t>
  </si>
  <si>
    <t>UHK13-0187</t>
  </si>
  <si>
    <t>UHK10-0156</t>
  </si>
  <si>
    <t>Kinsley</t>
  </si>
  <si>
    <t>Woodland Animals Cotton Reversible Comforter Set</t>
  </si>
  <si>
    <t>PF005316</t>
  </si>
  <si>
    <t>1/9/2021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</si>
  <si>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</si>
  <si>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</si>
  <si>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</si>
  <si>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</si>
  <si>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</si>
  <si>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</si>
  <si>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</si>
  <si>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</si>
  <si>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</si>
  <si>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</si>
  <si>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</si>
  <si>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</si>
  <si>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</si>
  <si>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</si>
  <si>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</si>
  <si>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</si>
  <si>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</si>
  <si>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</si>
  <si>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</si>
  <si>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</si>
  <si>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</si>
  <si>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</si>
  <si>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</si>
  <si>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</si>
  <si>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</si>
  <si>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</si>
  <si>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</si>
  <si>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</si>
  <si>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</si>
  <si>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</si>
  <si>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</si>
  <si>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</si>
  <si>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</si>
  <si>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</si>
  <si>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</si>
  <si>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</si>
  <si>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MZ10-224</t>
  </si>
  <si>
    <t>Riley</t>
  </si>
  <si>
    <t>Angela</t>
  </si>
  <si>
    <t>PF000201</t>
  </si>
  <si>
    <t>AMAZON,AMAZONDS,BEALLSDS,BLK01,CSNSTORES,DESINC,FINGERHUTDS,HDDS,KOHLDSN,NRTPORT,OVERSTOCK01,TGTDVS,WALMARTDS</t>
  </si>
  <si>
    <t>5/20/2015</t>
  </si>
  <si>
    <t>MZ10-0645</t>
  </si>
  <si>
    <t>Allison</t>
  </si>
  <si>
    <t>PF000013;PP000370</t>
  </si>
  <si>
    <t>AMAZON,AMAZONDS,BLK01,CSNSTORES,DESINC,HDDS,JCPENNEY01,KOHLDSN,MACY02,NRTPORT,OLLIIX,OVERSTOCK01,ROOMECOM,TGTDVS</t>
  </si>
  <si>
    <t>MZ10-0652</t>
  </si>
  <si>
    <t>Jenna</t>
  </si>
  <si>
    <t>Audrey</t>
  </si>
  <si>
    <t>Metallic Printed Plush Comforter Set with Throw Pillow</t>
  </si>
  <si>
    <t>PP000980;PF006273</t>
  </si>
  <si>
    <t>MZ10-0653</t>
  </si>
  <si>
    <t>AMAZON,AMAZONDS,HDDS,JCPENNEY01,KOHLDSN,MACY02,OVERSTOCK01,TGTDVS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</si>
  <si>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</si>
  <si>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</si>
  <si>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</si>
  <si>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</si>
  <si>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</si>
  <si>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</si>
  <si>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</si>
  <si>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MZ10-0648</t>
  </si>
  <si>
    <t>Primrose</t>
  </si>
  <si>
    <t>Talia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</si>
  <si>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</si>
  <si>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</si>
  <si>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</si>
  <si>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</si>
  <si>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</si>
  <si>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</si>
  <si>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</si>
  <si>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AAFESDS,AMAZON,AMAZONDS,BLK01,CSNSTORES,DESINC,HDDS,JCPENNEY01,KOHLDSN,MACY02,NRTPORT,OLLIIX,OVERSTOCK01,TGTDVS</t>
  </si>
  <si>
    <t>MZ10-0643</t>
  </si>
  <si>
    <t>AAFESDS,AMAZON,BLK01,CSNSTORES,DESINC,HDDS,JCPENNEY01,KOHLDSN,MACY02,NRTPORT,OLLIIX,OVERSTOCK01,TGTDVS</t>
  </si>
  <si>
    <t>MZ12-0646</t>
  </si>
  <si>
    <t>MZ12-0647</t>
  </si>
  <si>
    <t>UH13-2208</t>
  </si>
  <si>
    <t>Cotton Jacquard Daybed Set</t>
  </si>
  <si>
    <t>Cottage/Country|Farmhouse</t>
  </si>
  <si>
    <t>UH13-2522</t>
  </si>
  <si>
    <t>Dune</t>
  </si>
  <si>
    <t>Toren</t>
  </si>
  <si>
    <t>Ryland</t>
  </si>
  <si>
    <t>Poly Gauze Quilt Set</t>
  </si>
  <si>
    <t>PP001940;PF006185</t>
  </si>
  <si>
    <t>UH13-2523</t>
  </si>
  <si>
    <t>UH13-2525</t>
  </si>
  <si>
    <t>PP001940;PF006186</t>
  </si>
  <si>
    <t>AMAZON,AMAZONDS,BLK01,JCPENNEY01,KOHLDSN,MACY02,OLLIIX,OVERSCONSIGN,OVERSTOCK01,TGTDVS</t>
  </si>
  <si>
    <t>UH13-2526</t>
  </si>
  <si>
    <t>AMAZON,AMAZONDS,BLK01,CSNSTORES,DESINC,JCPENNEY01,KOHLDSN,MACY02,OLLIIX,TGTDVS</t>
  </si>
  <si>
    <t>UH13-2321</t>
  </si>
  <si>
    <t>3 Piece Cotton Quilt Set with Chenille Trims</t>
  </si>
  <si>
    <t>PP001460;PF005049</t>
  </si>
  <si>
    <t>ASHFURNDS,CSNSTORES,JCPENNEY01,KOHLDSN,OLLIIX,TGTDVS</t>
  </si>
  <si>
    <t>8/14/2020</t>
  </si>
  <si>
    <t>UH13-2322</t>
  </si>
  <si>
    <t>12/12/2024</t>
  </si>
  <si>
    <t>ASHFURNDS,BLK01,CSNSTORES,DESINC,HDDS,JCPENNEY01,KOHLDSN,OLLIIX,OVERSTOCK01,TGTDVS</t>
  </si>
  <si>
    <t>UH10-2494</t>
  </si>
  <si>
    <t>Cotton Jacquard Comforter Set with Euro Shams and Throw Pillows</t>
  </si>
  <si>
    <t>PP000834;PF006097</t>
  </si>
  <si>
    <t>CSNSTORES,KOHLDSN,OLLIIX,TGTDVS</t>
  </si>
  <si>
    <t>UH10-2495</t>
  </si>
  <si>
    <t>UH10-2496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</si>
  <si>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</si>
  <si>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</si>
  <si>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</si>
  <si>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</si>
  <si>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</si>
  <si>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</si>
  <si>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</si>
  <si>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</si>
  <si>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</si>
  <si>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</si>
  <si>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</si>
  <si>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</si>
  <si>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</si>
  <si>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</si>
  <si>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AMAZON,AMAZONDS,CSNSTORES,JCPENNEY01,KOHLDSN,MACY02,NRTPORT,TGTDVS</t>
  </si>
  <si>
    <t>UH10-2516</t>
  </si>
  <si>
    <t>UH10-2517</t>
  </si>
  <si>
    <t>AMAZON,AMAZONDS,JCPENNEY01,KOHLDSN,MACY02,NRTPORT,OLLIIX,OVERSTOCK01,TGTDVS</t>
  </si>
  <si>
    <t>UH12-2529</t>
  </si>
  <si>
    <t>Botanical Cotton Duvet Cover Set</t>
  </si>
  <si>
    <t>UH12-2530</t>
  </si>
  <si>
    <t>UH12-2319</t>
  </si>
  <si>
    <t>3 Piece Cotton Chenille Duvet Cover Set</t>
  </si>
  <si>
    <t>BLK01,CSNSTORES,HDDS,JCPENNEY01,KOHLDSN,OLLIIX,OVERSTOCK01,TGTDVS</t>
  </si>
  <si>
    <t>4/11/2021</t>
  </si>
  <si>
    <t>UH12-2320</t>
  </si>
  <si>
    <t>ASHFURNDS,BLK01,CSNSTORES,HDDS,JCPENNEY01,KOHLDSN,OLLIIX,OVERSTOCK01,TGTDVS</t>
  </si>
  <si>
    <t>10/26/2020</t>
  </si>
  <si>
    <t>UH12-2497</t>
  </si>
  <si>
    <t>Cotton Jacquard Duvet Cover Set with Euro Shams and Throw Pillows</t>
  </si>
  <si>
    <t>AMAZON,KOHLDSN,OLLIIX,TGTDVS</t>
  </si>
  <si>
    <t>UH12-2498</t>
  </si>
  <si>
    <t>UH12-2499</t>
  </si>
  <si>
    <t>MZK10-201</t>
  </si>
  <si>
    <t>Quinny</t>
  </si>
  <si>
    <t>Glow In The Dark Plush Comforter Set</t>
  </si>
  <si>
    <t>PF004726</t>
  </si>
  <si>
    <t>2/21/2020</t>
  </si>
  <si>
    <t>MZK10-226</t>
  </si>
  <si>
    <t>Celia</t>
  </si>
  <si>
    <t>Ariella</t>
  </si>
  <si>
    <t>Starry Sky Metallic Comforter Set with Throw Pillow</t>
  </si>
  <si>
    <t>PF005389</t>
  </si>
  <si>
    <t>6/4/2021</t>
  </si>
  <si>
    <t>AAFESDS,AMAZON,AMAZONDS,BLK01,CSNSTORES,DESINC,FINGERHUTDS,HDDS,JCPENNEY01,KOHLDSN,MACY02,NRTPORT,OLLIIX,OVERSTOCK01,ROOMECOM,TGTDVS</t>
  </si>
  <si>
    <t>MZK10-227</t>
  </si>
  <si>
    <t>MZK10-271</t>
  </si>
  <si>
    <t>Charcoal/Gold</t>
  </si>
  <si>
    <t>PF006168;PP001935</t>
  </si>
  <si>
    <t>MZK10-272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</si>
  <si>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</si>
  <si>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</si>
  <si>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</si>
  <si>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</si>
  <si>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</si>
  <si>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</si>
  <si>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</si>
  <si>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</si>
  <si>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</si>
  <si>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MZK10-267</t>
  </si>
  <si>
    <t>Pompom Clip Jacquard Comforter Set</t>
  </si>
  <si>
    <t>Pink Multi</t>
  </si>
  <si>
    <t>PF006137</t>
  </si>
  <si>
    <t>MZK10-268</t>
  </si>
  <si>
    <t>AMAZON,AMAZONDS,CSNSTORES,HDDS,JCPENNEY01,KOHLDSN,MACY02,OLLIIX,TGTDVS</t>
  </si>
  <si>
    <t>MZK10-265</t>
  </si>
  <si>
    <t>Heath</t>
  </si>
  <si>
    <t>Theo</t>
  </si>
  <si>
    <t>Forest Animals Plush Reversible Comforter Set</t>
  </si>
  <si>
    <t>PF006065</t>
  </si>
  <si>
    <t>MZK10-266</t>
  </si>
  <si>
    <t>10/1/2023</t>
  </si>
  <si>
    <t>MZK12-269</t>
  </si>
  <si>
    <t>Pompom Clip Jacquard Duvet Cover Set</t>
  </si>
  <si>
    <t>AMAZON,AMAZONDS,CSNSTORES,HDDS,JCPENNEY01,KOHLDSN,OVERSTOCK01,TGTDVS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</si>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</sst>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445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42.3</v>
      </c>
      <c r="M6" s="3">
        <v>44.41</v>
      </c>
      <c r="N6" s="3">
        <v>89.99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1141</v>
      </c>
      <c r="AA6" s="4">
        <f>=ROUNDDOWN(20.375,0)</f>
      </c>
      <c r="AB6" s="5">
        <v>56</v>
      </c>
      <c r="AC6" s="2" t="s">
        <v>107</v>
      </c>
      <c r="AD6" s="4">
        <v>600</v>
      </c>
      <c r="AE6" s="4">
        <v>800</v>
      </c>
      <c r="AF6" s="6">
        <v>65</v>
      </c>
      <c r="AG6" s="6">
        <v>73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>
        <v>81</v>
      </c>
      <c r="AQ6" s="8">
        <v>3527.55</v>
      </c>
      <c r="AR6" s="4"/>
      <c r="AS6" s="8"/>
      <c r="AT6" s="7"/>
      <c r="AU6" s="7"/>
      <c r="AV6" s="4">
        <v>81</v>
      </c>
      <c r="AW6" s="8">
        <v>3527.55</v>
      </c>
      <c r="AX6" s="4"/>
      <c r="AY6" s="8"/>
      <c r="AZ6" s="7"/>
      <c r="BA6" s="7"/>
      <c r="BB6" s="7">
        <v>1</v>
      </c>
      <c r="BC6" s="4">
        <v>81</v>
      </c>
      <c r="BD6" s="8">
        <v>3527.55</v>
      </c>
      <c r="BE6" s="4"/>
      <c r="BF6" s="8"/>
      <c r="BG6" s="7"/>
      <c r="BH6" s="7"/>
      <c r="BI6" s="7">
        <v>1</v>
      </c>
      <c r="BJ6" s="4">
        <v>1646</v>
      </c>
      <c r="BK6" s="8">
        <v>64030.55</v>
      </c>
      <c r="BL6" s="2" t="s">
        <v>108</v>
      </c>
      <c r="BM6" s="7">
        <v>0.0492</v>
      </c>
      <c r="BN6" s="7">
        <v>0.0551</v>
      </c>
      <c r="BO6" s="4">
        <v>81</v>
      </c>
      <c r="BP6" s="8">
        <v>3527.55</v>
      </c>
      <c r="BQ6" s="4"/>
      <c r="BR6" s="8"/>
      <c r="BS6" s="7"/>
      <c r="BT6" s="7"/>
      <c r="BU6" s="2" t="s">
        <v>109</v>
      </c>
      <c r="BV6" s="2" t="s">
        <v>110</v>
      </c>
      <c r="BW6" s="2" t="s">
        <v>111</v>
      </c>
      <c r="BX6" s="2" t="s">
        <v>112</v>
      </c>
      <c r="BY6" s="2" t="s">
        <v>113</v>
      </c>
      <c r="BZ6" s="2" t="s">
        <v>100</v>
      </c>
    </row>
    <row r="7">
      <c r="A7" s="2" t="s">
        <v>114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115</v>
      </c>
      <c r="G7" s="2" t="s">
        <v>116</v>
      </c>
      <c r="H7" s="2" t="s">
        <v>117</v>
      </c>
      <c r="I7" s="2" t="s">
        <v>94</v>
      </c>
      <c r="J7" s="2" t="s">
        <v>95</v>
      </c>
      <c r="K7" s="2" t="s">
        <v>118</v>
      </c>
      <c r="L7" s="3">
        <v>42.3</v>
      </c>
      <c r="M7" s="3">
        <v>44.41</v>
      </c>
      <c r="N7" s="3">
        <v>89.99</v>
      </c>
      <c r="O7" s="2" t="s">
        <v>97</v>
      </c>
      <c r="P7" s="2" t="s">
        <v>119</v>
      </c>
      <c r="Q7" s="2" t="s">
        <v>99</v>
      </c>
      <c r="R7" s="2" t="s">
        <v>100</v>
      </c>
      <c r="S7" s="2" t="s">
        <v>120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121</v>
      </c>
      <c r="Y7" s="2" t="s">
        <v>122</v>
      </c>
      <c r="Z7" s="4">
        <v>848</v>
      </c>
      <c r="AA7" s="4">
        <f>=ROUNDDOWN(36.8695652173913,0)</f>
      </c>
      <c r="AB7" s="5">
        <v>23</v>
      </c>
      <c r="AC7" s="2" t="s">
        <v>123</v>
      </c>
      <c r="AD7" s="4">
        <v>260</v>
      </c>
      <c r="AE7" s="4">
        <v>260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44</v>
      </c>
      <c r="AQ7" s="8">
        <v>1916.2</v>
      </c>
      <c r="AR7" s="4"/>
      <c r="AS7" s="8"/>
      <c r="AT7" s="7"/>
      <c r="AU7" s="7"/>
      <c r="AV7" s="4">
        <v>44</v>
      </c>
      <c r="AW7" s="8">
        <v>1916.2</v>
      </c>
      <c r="AX7" s="4"/>
      <c r="AY7" s="8"/>
      <c r="AZ7" s="7"/>
      <c r="BA7" s="7"/>
      <c r="BB7" s="7">
        <v>1</v>
      </c>
      <c r="BC7" s="4">
        <v>44</v>
      </c>
      <c r="BD7" s="8">
        <v>1916.2</v>
      </c>
      <c r="BE7" s="4"/>
      <c r="BF7" s="8"/>
      <c r="BG7" s="7"/>
      <c r="BH7" s="7"/>
      <c r="BI7" s="7">
        <v>1</v>
      </c>
      <c r="BJ7" s="4">
        <v>570</v>
      </c>
      <c r="BK7" s="8">
        <v>22963.76</v>
      </c>
      <c r="BL7" s="2" t="s">
        <v>124</v>
      </c>
      <c r="BM7" s="7">
        <v>0.0772</v>
      </c>
      <c r="BN7" s="7">
        <v>0.0834</v>
      </c>
      <c r="BO7" s="4">
        <v>44</v>
      </c>
      <c r="BP7" s="8">
        <v>1916.2</v>
      </c>
      <c r="BQ7" s="4"/>
      <c r="BR7" s="8"/>
      <c r="BS7" s="7"/>
      <c r="BT7" s="7"/>
      <c r="BU7" s="2" t="s">
        <v>109</v>
      </c>
      <c r="BV7" s="2" t="s">
        <v>110</v>
      </c>
      <c r="BW7" s="2" t="s">
        <v>111</v>
      </c>
      <c r="BX7" s="2" t="s">
        <v>125</v>
      </c>
      <c r="BY7" s="2" t="s">
        <v>113</v>
      </c>
      <c r="BZ7" s="2" t="s">
        <v>100</v>
      </c>
    </row>
    <row r="8">
      <c r="A8" s="2" t="s">
        <v>126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127</v>
      </c>
      <c r="G8" s="2" t="s">
        <v>128</v>
      </c>
      <c r="H8" s="2" t="s">
        <v>129</v>
      </c>
      <c r="I8" s="2" t="s">
        <v>94</v>
      </c>
      <c r="J8" s="2" t="s">
        <v>95</v>
      </c>
      <c r="K8" s="2" t="s">
        <v>130</v>
      </c>
      <c r="L8" s="3">
        <v>43.2</v>
      </c>
      <c r="M8" s="3">
        <v>45.35</v>
      </c>
      <c r="N8" s="3">
        <v>89.99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131</v>
      </c>
      <c r="T8" s="2" t="s">
        <v>100</v>
      </c>
      <c r="U8" s="2" t="s">
        <v>102</v>
      </c>
      <c r="V8" s="2" t="s">
        <v>132</v>
      </c>
      <c r="W8" s="2" t="s">
        <v>133</v>
      </c>
      <c r="X8" s="2" t="s">
        <v>100</v>
      </c>
      <c r="Y8" s="2" t="s">
        <v>134</v>
      </c>
      <c r="Z8" s="4">
        <v>876</v>
      </c>
      <c r="AA8" s="4">
        <f>=ROUNDDOWN(13.9047619047619,0)</f>
      </c>
      <c r="AB8" s="5">
        <v>63</v>
      </c>
      <c r="AC8" s="2" t="s">
        <v>135</v>
      </c>
      <c r="AD8" s="4">
        <v>520</v>
      </c>
      <c r="AE8" s="4">
        <v>1360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>
        <v>44</v>
      </c>
      <c r="AQ8" s="8">
        <v>1916.2</v>
      </c>
      <c r="AR8" s="4"/>
      <c r="AS8" s="8"/>
      <c r="AT8" s="7"/>
      <c r="AU8" s="7"/>
      <c r="AV8" s="4">
        <v>44</v>
      </c>
      <c r="AW8" s="8">
        <v>1916.2</v>
      </c>
      <c r="AX8" s="4"/>
      <c r="AY8" s="8"/>
      <c r="AZ8" s="7"/>
      <c r="BA8" s="7"/>
      <c r="BB8" s="7">
        <v>1</v>
      </c>
      <c r="BC8" s="4">
        <v>44</v>
      </c>
      <c r="BD8" s="8">
        <v>1916.2</v>
      </c>
      <c r="BE8" s="4"/>
      <c r="BF8" s="8"/>
      <c r="BG8" s="7"/>
      <c r="BH8" s="7"/>
      <c r="BI8" s="7">
        <v>1</v>
      </c>
      <c r="BJ8" s="4">
        <v>1804</v>
      </c>
      <c r="BK8" s="8">
        <v>71739.84</v>
      </c>
      <c r="BL8" s="2" t="s">
        <v>136</v>
      </c>
      <c r="BM8" s="7">
        <v>0.0244</v>
      </c>
      <c r="BN8" s="7">
        <v>0.0267</v>
      </c>
      <c r="BO8" s="4">
        <v>44</v>
      </c>
      <c r="BP8" s="8">
        <v>1916.2</v>
      </c>
      <c r="BQ8" s="4"/>
      <c r="BR8" s="8"/>
      <c r="BS8" s="7"/>
      <c r="BT8" s="7"/>
      <c r="BU8" s="2" t="s">
        <v>109</v>
      </c>
      <c r="BV8" s="2" t="s">
        <v>110</v>
      </c>
      <c r="BW8" s="2" t="s">
        <v>137</v>
      </c>
      <c r="BX8" s="2" t="s">
        <v>138</v>
      </c>
      <c r="BY8" s="2" t="s">
        <v>113</v>
      </c>
      <c r="BZ8" s="2" t="s">
        <v>100</v>
      </c>
    </row>
    <row r="9">
      <c r="A9" s="2" t="s">
        <v>139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140</v>
      </c>
      <c r="G9" s="2" t="s">
        <v>141</v>
      </c>
      <c r="H9" s="2" t="s">
        <v>142</v>
      </c>
      <c r="I9" s="2" t="s">
        <v>143</v>
      </c>
      <c r="J9" s="2" t="s">
        <v>95</v>
      </c>
      <c r="K9" s="2" t="s">
        <v>144</v>
      </c>
      <c r="L9" s="3">
        <v>52.8</v>
      </c>
      <c r="M9" s="3">
        <v>55.43</v>
      </c>
      <c r="N9" s="3">
        <v>109.99</v>
      </c>
      <c r="O9" s="2" t="s">
        <v>97</v>
      </c>
      <c r="P9" s="2" t="s">
        <v>119</v>
      </c>
      <c r="Q9" s="2" t="s">
        <v>99</v>
      </c>
      <c r="R9" s="2" t="s">
        <v>100</v>
      </c>
      <c r="S9" s="2" t="s">
        <v>145</v>
      </c>
      <c r="T9" s="2" t="s">
        <v>100</v>
      </c>
      <c r="U9" s="2" t="s">
        <v>102</v>
      </c>
      <c r="V9" s="2" t="s">
        <v>146</v>
      </c>
      <c r="W9" s="2" t="s">
        <v>104</v>
      </c>
      <c r="X9" s="2" t="s">
        <v>121</v>
      </c>
      <c r="Y9" s="2" t="s">
        <v>147</v>
      </c>
      <c r="Z9" s="4">
        <v>569</v>
      </c>
      <c r="AA9" s="4">
        <f>=ROUNDDOWN(28.45,0)</f>
      </c>
      <c r="AB9" s="5">
        <v>20</v>
      </c>
      <c r="AC9" s="2" t="s">
        <v>148</v>
      </c>
      <c r="AD9" s="4">
        <v>160</v>
      </c>
      <c r="AE9" s="4">
        <v>160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>
        <v>20</v>
      </c>
      <c r="AQ9" s="8">
        <v>1088.6</v>
      </c>
      <c r="AR9" s="4"/>
      <c r="AS9" s="8"/>
      <c r="AT9" s="7"/>
      <c r="AU9" s="7"/>
      <c r="AV9" s="4">
        <v>20</v>
      </c>
      <c r="AW9" s="8">
        <v>1088.6</v>
      </c>
      <c r="AX9" s="4"/>
      <c r="AY9" s="8"/>
      <c r="AZ9" s="7"/>
      <c r="BA9" s="7"/>
      <c r="BB9" s="7">
        <v>1</v>
      </c>
      <c r="BC9" s="4">
        <v>20</v>
      </c>
      <c r="BD9" s="8">
        <v>1088.6</v>
      </c>
      <c r="BE9" s="4"/>
      <c r="BF9" s="8"/>
      <c r="BG9" s="7"/>
      <c r="BH9" s="7"/>
      <c r="BI9" s="7">
        <v>1</v>
      </c>
      <c r="BJ9" s="4">
        <v>554</v>
      </c>
      <c r="BK9" s="8">
        <v>31697.95</v>
      </c>
      <c r="BL9" s="2" t="s">
        <v>149</v>
      </c>
      <c r="BM9" s="7">
        <v>0.0361</v>
      </c>
      <c r="BN9" s="7">
        <v>0.0343</v>
      </c>
      <c r="BO9" s="4">
        <v>20</v>
      </c>
      <c r="BP9" s="8">
        <v>1088.6</v>
      </c>
      <c r="BQ9" s="4"/>
      <c r="BR9" s="8"/>
      <c r="BS9" s="7"/>
      <c r="BT9" s="7"/>
      <c r="BU9" s="2" t="s">
        <v>109</v>
      </c>
      <c r="BV9" s="2" t="s">
        <v>110</v>
      </c>
      <c r="BW9" s="2" t="s">
        <v>150</v>
      </c>
      <c r="BX9" s="2" t="s">
        <v>151</v>
      </c>
      <c r="BY9" s="2" t="s">
        <v>113</v>
      </c>
      <c r="BZ9" s="2" t="s">
        <v>100</v>
      </c>
    </row>
    <row r="10">
      <c r="A10" s="2" t="s">
        <v>152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153</v>
      </c>
      <c r="G10" s="2" t="s">
        <v>154</v>
      </c>
      <c r="H10" s="2" t="s">
        <v>155</v>
      </c>
      <c r="I10" s="2" t="s">
        <v>94</v>
      </c>
      <c r="J10" s="2" t="s">
        <v>95</v>
      </c>
      <c r="K10" s="2" t="s">
        <v>156</v>
      </c>
      <c r="L10" s="3">
        <v>48</v>
      </c>
      <c r="M10" s="3">
        <v>50.39</v>
      </c>
      <c r="N10" s="3">
        <v>99.99</v>
      </c>
      <c r="O10" s="2" t="s">
        <v>97</v>
      </c>
      <c r="P10" s="2" t="s">
        <v>119</v>
      </c>
      <c r="Q10" s="2" t="s">
        <v>99</v>
      </c>
      <c r="R10" s="2" t="s">
        <v>100</v>
      </c>
      <c r="S10" s="2" t="s">
        <v>157</v>
      </c>
      <c r="T10" s="2" t="s">
        <v>100</v>
      </c>
      <c r="U10" s="2" t="s">
        <v>102</v>
      </c>
      <c r="V10" s="2" t="s">
        <v>146</v>
      </c>
      <c r="W10" s="2" t="s">
        <v>158</v>
      </c>
      <c r="X10" s="2" t="s">
        <v>159</v>
      </c>
      <c r="Y10" s="2" t="s">
        <v>160</v>
      </c>
      <c r="Z10" s="4">
        <v>807</v>
      </c>
      <c r="AA10" s="4">
        <f>=ROUNDDOWN(32.28,0)</f>
      </c>
      <c r="AB10" s="5">
        <v>25</v>
      </c>
      <c r="AC10" s="2" t="s">
        <v>100</v>
      </c>
      <c r="AD10" s="4"/>
      <c r="AE10" s="4"/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>
        <v>21</v>
      </c>
      <c r="AQ10" s="8">
        <v>1028.79</v>
      </c>
      <c r="AR10" s="4"/>
      <c r="AS10" s="8"/>
      <c r="AT10" s="7"/>
      <c r="AU10" s="7"/>
      <c r="AV10" s="4">
        <v>21</v>
      </c>
      <c r="AW10" s="8">
        <v>1028.79</v>
      </c>
      <c r="AX10" s="4"/>
      <c r="AY10" s="8"/>
      <c r="AZ10" s="7"/>
      <c r="BA10" s="7"/>
      <c r="BB10" s="7">
        <v>1</v>
      </c>
      <c r="BC10" s="4">
        <v>21</v>
      </c>
      <c r="BD10" s="8">
        <v>1028.79</v>
      </c>
      <c r="BE10" s="4"/>
      <c r="BF10" s="8"/>
      <c r="BG10" s="7"/>
      <c r="BH10" s="7"/>
      <c r="BI10" s="7">
        <v>1</v>
      </c>
      <c r="BJ10" s="4">
        <v>641</v>
      </c>
      <c r="BK10" s="8">
        <v>33092.2</v>
      </c>
      <c r="BL10" s="2" t="s">
        <v>161</v>
      </c>
      <c r="BM10" s="7">
        <v>0.0328</v>
      </c>
      <c r="BN10" s="7">
        <v>0.0311</v>
      </c>
      <c r="BO10" s="4">
        <v>21</v>
      </c>
      <c r="BP10" s="8">
        <v>1028.79</v>
      </c>
      <c r="BQ10" s="4"/>
      <c r="BR10" s="8"/>
      <c r="BS10" s="7"/>
      <c r="BT10" s="7"/>
      <c r="BU10" s="2" t="s">
        <v>109</v>
      </c>
      <c r="BV10" s="2" t="s">
        <v>110</v>
      </c>
      <c r="BW10" s="2" t="s">
        <v>162</v>
      </c>
      <c r="BX10" s="2" t="s">
        <v>163</v>
      </c>
      <c r="BY10" s="2" t="s">
        <v>113</v>
      </c>
      <c r="BZ10" s="2" t="s">
        <v>100</v>
      </c>
    </row>
    <row r="11">
      <c r="A11" s="2" t="s">
        <v>164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165</v>
      </c>
      <c r="G11" s="2" t="s">
        <v>166</v>
      </c>
      <c r="H11" s="2" t="s">
        <v>167</v>
      </c>
      <c r="I11" s="2" t="s">
        <v>168</v>
      </c>
      <c r="J11" s="2" t="s">
        <v>95</v>
      </c>
      <c r="K11" s="2" t="s">
        <v>169</v>
      </c>
      <c r="L11" s="3">
        <v>52.8</v>
      </c>
      <c r="M11" s="3">
        <v>55.43</v>
      </c>
      <c r="N11" s="3">
        <v>109.99</v>
      </c>
      <c r="O11" s="2" t="s">
        <v>97</v>
      </c>
      <c r="P11" s="2" t="s">
        <v>119</v>
      </c>
      <c r="Q11" s="2" t="s">
        <v>99</v>
      </c>
      <c r="R11" s="2" t="s">
        <v>100</v>
      </c>
      <c r="S11" s="2" t="s">
        <v>170</v>
      </c>
      <c r="T11" s="2" t="s">
        <v>100</v>
      </c>
      <c r="U11" s="2" t="s">
        <v>171</v>
      </c>
      <c r="V11" s="2" t="s">
        <v>103</v>
      </c>
      <c r="W11" s="2" t="s">
        <v>158</v>
      </c>
      <c r="X11" s="2" t="s">
        <v>172</v>
      </c>
      <c r="Y11" s="2" t="s">
        <v>173</v>
      </c>
      <c r="Z11" s="4">
        <v>318</v>
      </c>
      <c r="AA11" s="4">
        <f>=ROUNDDOWN(18.7058823529412,0)</f>
      </c>
      <c r="AB11" s="5">
        <v>17</v>
      </c>
      <c r="AC11" s="2" t="s">
        <v>174</v>
      </c>
      <c r="AD11" s="4">
        <v>80</v>
      </c>
      <c r="AE11" s="4">
        <v>160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>
        <v>2</v>
      </c>
      <c r="AQ11" s="8">
        <v>108.86</v>
      </c>
      <c r="AR11" s="4"/>
      <c r="AS11" s="8"/>
      <c r="AT11" s="7"/>
      <c r="AU11" s="7"/>
      <c r="AV11" s="4">
        <v>2</v>
      </c>
      <c r="AW11" s="8">
        <v>108.86</v>
      </c>
      <c r="AX11" s="4"/>
      <c r="AY11" s="8"/>
      <c r="AZ11" s="7"/>
      <c r="BA11" s="7"/>
      <c r="BB11" s="7">
        <v>1</v>
      </c>
      <c r="BC11" s="4">
        <v>2</v>
      </c>
      <c r="BD11" s="8">
        <v>108.86</v>
      </c>
      <c r="BE11" s="4"/>
      <c r="BF11" s="8"/>
      <c r="BG11" s="7"/>
      <c r="BH11" s="7"/>
      <c r="BI11" s="7">
        <v>1</v>
      </c>
      <c r="BJ11" s="4">
        <v>378</v>
      </c>
      <c r="BK11" s="8">
        <v>19806.14</v>
      </c>
      <c r="BL11" s="2" t="s">
        <v>175</v>
      </c>
      <c r="BM11" s="7">
        <v>0.0053</v>
      </c>
      <c r="BN11" s="7">
        <v>0.0055</v>
      </c>
      <c r="BO11" s="4">
        <v>2</v>
      </c>
      <c r="BP11" s="8">
        <v>108.86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176</v>
      </c>
      <c r="BX11" s="2" t="s">
        <v>177</v>
      </c>
      <c r="BY11" s="2" t="s">
        <v>113</v>
      </c>
      <c r="BZ11" s="2" t="s">
        <v>100</v>
      </c>
    </row>
    <row r="12">
      <c r="A12" s="2" t="s">
        <v>178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179</v>
      </c>
      <c r="G12" s="2" t="s">
        <v>180</v>
      </c>
      <c r="H12" s="2" t="s">
        <v>181</v>
      </c>
      <c r="I12" s="2" t="s">
        <v>94</v>
      </c>
      <c r="J12" s="2" t="s">
        <v>95</v>
      </c>
      <c r="K12" s="2" t="s">
        <v>144</v>
      </c>
      <c r="L12" s="3">
        <v>42.3</v>
      </c>
      <c r="M12" s="3">
        <v>44.41</v>
      </c>
      <c r="N12" s="3">
        <v>89.99</v>
      </c>
      <c r="O12" s="2" t="s">
        <v>97</v>
      </c>
      <c r="P12" s="2" t="s">
        <v>119</v>
      </c>
      <c r="Q12" s="2" t="s">
        <v>99</v>
      </c>
      <c r="R12" s="2" t="s">
        <v>100</v>
      </c>
      <c r="S12" s="2" t="s">
        <v>182</v>
      </c>
      <c r="T12" s="2" t="s">
        <v>100</v>
      </c>
      <c r="U12" s="2" t="s">
        <v>102</v>
      </c>
      <c r="V12" s="2" t="s">
        <v>146</v>
      </c>
      <c r="W12" s="2" t="s">
        <v>104</v>
      </c>
      <c r="X12" s="2" t="s">
        <v>183</v>
      </c>
      <c r="Y12" s="2" t="s">
        <v>122</v>
      </c>
      <c r="Z12" s="4">
        <v>511</v>
      </c>
      <c r="AA12" s="4">
        <f>=ROUNDDOWN(23.2272727272727,0)</f>
      </c>
      <c r="AB12" s="5">
        <v>22</v>
      </c>
      <c r="AC12" s="2" t="s">
        <v>184</v>
      </c>
      <c r="AD12" s="4">
        <v>120</v>
      </c>
      <c r="AE12" s="4">
        <v>510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/>
      <c r="AQ12" s="8"/>
      <c r="AR12" s="4"/>
      <c r="AS12" s="8"/>
      <c r="AT12" s="7"/>
      <c r="AU12" s="7"/>
      <c r="AV12" s="4"/>
      <c r="AW12" s="8"/>
      <c r="AX12" s="4"/>
      <c r="AY12" s="8"/>
      <c r="AZ12" s="7"/>
      <c r="BA12" s="7"/>
      <c r="BB12" s="7"/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/>
      <c r="BJ12" s="4">
        <v>516</v>
      </c>
      <c r="BK12" s="8">
        <v>21237.93</v>
      </c>
      <c r="BL12" s="2" t="s">
        <v>185</v>
      </c>
      <c r="BM12" s="7"/>
      <c r="BN12" s="7"/>
      <c r="BO12" s="4"/>
      <c r="BP12" s="8"/>
      <c r="BQ12" s="4"/>
      <c r="BR12" s="8"/>
      <c r="BS12" s="7"/>
      <c r="BT12" s="7"/>
      <c r="BU12" s="2" t="s">
        <v>186</v>
      </c>
      <c r="BV12" s="2" t="s">
        <v>97</v>
      </c>
      <c r="BW12" s="2" t="s">
        <v>111</v>
      </c>
      <c r="BX12" s="2" t="s">
        <v>187</v>
      </c>
      <c r="BY12" s="2" t="s">
        <v>113</v>
      </c>
      <c r="BZ12" s="2" t="s">
        <v>100</v>
      </c>
    </row>
    <row r="13">
      <c r="A13" s="2" t="s">
        <v>188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179</v>
      </c>
      <c r="G13" s="2" t="s">
        <v>180</v>
      </c>
      <c r="H13" s="2" t="s">
        <v>181</v>
      </c>
      <c r="I13" s="2" t="s">
        <v>94</v>
      </c>
      <c r="J13" s="2" t="s">
        <v>95</v>
      </c>
      <c r="K13" s="2" t="s">
        <v>189</v>
      </c>
      <c r="L13" s="3">
        <v>42.3</v>
      </c>
      <c r="M13" s="3">
        <v>44.41</v>
      </c>
      <c r="N13" s="3">
        <v>89.99</v>
      </c>
      <c r="O13" s="2" t="s">
        <v>97</v>
      </c>
      <c r="P13" s="2" t="s">
        <v>119</v>
      </c>
      <c r="Q13" s="2" t="s">
        <v>99</v>
      </c>
      <c r="R13" s="2" t="s">
        <v>100</v>
      </c>
      <c r="S13" s="2" t="s">
        <v>190</v>
      </c>
      <c r="T13" s="2" t="s">
        <v>100</v>
      </c>
      <c r="U13" s="2" t="s">
        <v>102</v>
      </c>
      <c r="V13" s="2" t="s">
        <v>146</v>
      </c>
      <c r="W13" s="2" t="s">
        <v>104</v>
      </c>
      <c r="X13" s="2" t="s">
        <v>183</v>
      </c>
      <c r="Y13" s="2" t="s">
        <v>122</v>
      </c>
      <c r="Z13" s="4">
        <v>326</v>
      </c>
      <c r="AA13" s="4">
        <f>=ROUNDDOWN(21.7333333333333,0)</f>
      </c>
      <c r="AB13" s="5">
        <v>15</v>
      </c>
      <c r="AC13" s="2" t="s">
        <v>184</v>
      </c>
      <c r="AD13" s="4">
        <v>100</v>
      </c>
      <c r="AE13" s="4">
        <v>600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/>
      <c r="AW13" s="8"/>
      <c r="AX13" s="4"/>
      <c r="AY13" s="8"/>
      <c r="AZ13" s="7"/>
      <c r="BA13" s="7"/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/>
      <c r="BJ13" s="4">
        <v>369</v>
      </c>
      <c r="BK13" s="8">
        <v>15167.71</v>
      </c>
      <c r="BL13" s="2" t="s">
        <v>191</v>
      </c>
      <c r="BM13" s="7"/>
      <c r="BN13" s="7"/>
      <c r="BO13" s="4"/>
      <c r="BP13" s="8"/>
      <c r="BQ13" s="4"/>
      <c r="BR13" s="8"/>
      <c r="BS13" s="7"/>
      <c r="BT13" s="7"/>
      <c r="BU13" s="2" t="s">
        <v>186</v>
      </c>
      <c r="BV13" s="2" t="s">
        <v>97</v>
      </c>
      <c r="BW13" s="2" t="s">
        <v>111</v>
      </c>
      <c r="BX13" s="2" t="s">
        <v>192</v>
      </c>
      <c r="BY13" s="2" t="s">
        <v>113</v>
      </c>
      <c r="BZ13" s="2" t="s">
        <v>100</v>
      </c>
    </row>
    <row r="14">
      <c r="A14" s="2" t="s">
        <v>193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194</v>
      </c>
      <c r="G14" s="2" t="s">
        <v>195</v>
      </c>
      <c r="H14" s="2" t="s">
        <v>196</v>
      </c>
      <c r="I14" s="2" t="s">
        <v>197</v>
      </c>
      <c r="J14" s="2" t="s">
        <v>95</v>
      </c>
      <c r="K14" s="2" t="s">
        <v>198</v>
      </c>
      <c r="L14" s="3">
        <v>49.35</v>
      </c>
      <c r="M14" s="3">
        <v>51.81</v>
      </c>
      <c r="N14" s="3">
        <v>104.99</v>
      </c>
      <c r="O14" s="2" t="s">
        <v>97</v>
      </c>
      <c r="P14" s="2" t="s">
        <v>119</v>
      </c>
      <c r="Q14" s="2" t="s">
        <v>99</v>
      </c>
      <c r="R14" s="2" t="s">
        <v>100</v>
      </c>
      <c r="S14" s="2" t="s">
        <v>199</v>
      </c>
      <c r="T14" s="2" t="s">
        <v>200</v>
      </c>
      <c r="U14" s="2" t="s">
        <v>102</v>
      </c>
      <c r="V14" s="2" t="s">
        <v>201</v>
      </c>
      <c r="W14" s="2" t="s">
        <v>202</v>
      </c>
      <c r="X14" s="2" t="s">
        <v>203</v>
      </c>
      <c r="Y14" s="2" t="s">
        <v>204</v>
      </c>
      <c r="Z14" s="4">
        <v>283</v>
      </c>
      <c r="AA14" s="4">
        <f>=ROUNDDOWN(47.1666666666667,0)</f>
      </c>
      <c r="AB14" s="5">
        <v>6</v>
      </c>
      <c r="AC14" s="2" t="s">
        <v>205</v>
      </c>
      <c r="AD14" s="4">
        <v>50</v>
      </c>
      <c r="AE14" s="4">
        <v>50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/>
      <c r="BJ14" s="4">
        <v>71</v>
      </c>
      <c r="BK14" s="8">
        <v>3868.75</v>
      </c>
      <c r="BL14" s="2" t="s">
        <v>206</v>
      </c>
      <c r="BM14" s="7"/>
      <c r="BN14" s="7"/>
      <c r="BO14" s="4"/>
      <c r="BP14" s="8"/>
      <c r="BQ14" s="4"/>
      <c r="BR14" s="8"/>
      <c r="BS14" s="7"/>
      <c r="BT14" s="7"/>
      <c r="BU14" s="2" t="s">
        <v>207</v>
      </c>
      <c r="BV14" s="2" t="s">
        <v>97</v>
      </c>
      <c r="BW14" s="2" t="s">
        <v>100</v>
      </c>
      <c r="BX14" s="2" t="s">
        <v>100</v>
      </c>
      <c r="BY14" s="2" t="s">
        <v>113</v>
      </c>
      <c r="BZ14" s="2" t="s">
        <v>100</v>
      </c>
    </row>
    <row r="15">
      <c r="A15" s="2" t="s">
        <v>208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194</v>
      </c>
      <c r="G15" s="2" t="s">
        <v>195</v>
      </c>
      <c r="H15" s="2" t="s">
        <v>196</v>
      </c>
      <c r="I15" s="2" t="s">
        <v>197</v>
      </c>
      <c r="J15" s="2" t="s">
        <v>95</v>
      </c>
      <c r="K15" s="2" t="s">
        <v>209</v>
      </c>
      <c r="L15" s="3">
        <v>49.35</v>
      </c>
      <c r="M15" s="3">
        <v>51.81</v>
      </c>
      <c r="N15" s="3">
        <v>104.99</v>
      </c>
      <c r="O15" s="2" t="s">
        <v>97</v>
      </c>
      <c r="P15" s="2" t="s">
        <v>119</v>
      </c>
      <c r="Q15" s="2" t="s">
        <v>99</v>
      </c>
      <c r="R15" s="2" t="s">
        <v>100</v>
      </c>
      <c r="S15" s="2" t="s">
        <v>210</v>
      </c>
      <c r="T15" s="2" t="s">
        <v>200</v>
      </c>
      <c r="U15" s="2" t="s">
        <v>102</v>
      </c>
      <c r="V15" s="2" t="s">
        <v>201</v>
      </c>
      <c r="W15" s="2" t="s">
        <v>202</v>
      </c>
      <c r="X15" s="2" t="s">
        <v>203</v>
      </c>
      <c r="Y15" s="2" t="s">
        <v>204</v>
      </c>
      <c r="Z15" s="4">
        <v>167</v>
      </c>
      <c r="AA15" s="4">
        <f>=ROUNDDOWN(15.1818181818182,0)</f>
      </c>
      <c r="AB15" s="5">
        <v>11</v>
      </c>
      <c r="AC15" s="2" t="s">
        <v>205</v>
      </c>
      <c r="AD15" s="4">
        <v>200</v>
      </c>
      <c r="AE15" s="4">
        <v>200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/>
      <c r="BJ15" s="4">
        <v>205</v>
      </c>
      <c r="BK15" s="8">
        <v>11282</v>
      </c>
      <c r="BL15" s="2" t="s">
        <v>211</v>
      </c>
      <c r="BM15" s="7"/>
      <c r="BN15" s="7"/>
      <c r="BO15" s="4"/>
      <c r="BP15" s="8"/>
      <c r="BQ15" s="4"/>
      <c r="BR15" s="8"/>
      <c r="BS15" s="7"/>
      <c r="BT15" s="7"/>
      <c r="BU15" s="2" t="s">
        <v>207</v>
      </c>
      <c r="BV15" s="2" t="s">
        <v>97</v>
      </c>
      <c r="BW15" s="2" t="s">
        <v>100</v>
      </c>
      <c r="BX15" s="2" t="s">
        <v>100</v>
      </c>
      <c r="BY15" s="2" t="s">
        <v>113</v>
      </c>
      <c r="BZ15" s="2" t="s">
        <v>100</v>
      </c>
    </row>
    <row r="16">
      <c r="A16" s="2" t="s">
        <v>212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213</v>
      </c>
      <c r="G16" s="2" t="s">
        <v>214</v>
      </c>
      <c r="H16" s="2" t="s">
        <v>215</v>
      </c>
      <c r="I16" s="2" t="s">
        <v>216</v>
      </c>
      <c r="J16" s="2" t="s">
        <v>95</v>
      </c>
      <c r="K16" s="2" t="s">
        <v>118</v>
      </c>
      <c r="L16" s="3">
        <v>47</v>
      </c>
      <c r="M16" s="3">
        <v>49.35</v>
      </c>
      <c r="N16" s="3">
        <v>99.99</v>
      </c>
      <c r="O16" s="2" t="s">
        <v>97</v>
      </c>
      <c r="P16" s="2" t="s">
        <v>119</v>
      </c>
      <c r="Q16" s="2" t="s">
        <v>99</v>
      </c>
      <c r="R16" s="2" t="s">
        <v>100</v>
      </c>
      <c r="S16" s="2" t="s">
        <v>217</v>
      </c>
      <c r="T16" s="2" t="s">
        <v>218</v>
      </c>
      <c r="U16" s="2" t="s">
        <v>102</v>
      </c>
      <c r="V16" s="2" t="s">
        <v>146</v>
      </c>
      <c r="W16" s="2" t="s">
        <v>219</v>
      </c>
      <c r="X16" s="2" t="s">
        <v>220</v>
      </c>
      <c r="Y16" s="2" t="s">
        <v>221</v>
      </c>
      <c r="Z16" s="4">
        <v>439</v>
      </c>
      <c r="AA16" s="4">
        <f>=ROUNDDOWN(36.5833333333333,0)</f>
      </c>
      <c r="AB16" s="5">
        <v>12</v>
      </c>
      <c r="AC16" s="2" t="s">
        <v>222</v>
      </c>
      <c r="AD16" s="4">
        <v>210</v>
      </c>
      <c r="AE16" s="4">
        <v>210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/>
      <c r="BJ16" s="4">
        <v>228</v>
      </c>
      <c r="BK16" s="8">
        <v>11571.31</v>
      </c>
      <c r="BL16" s="2" t="s">
        <v>223</v>
      </c>
      <c r="BM16" s="7"/>
      <c r="BN16" s="7"/>
      <c r="BO16" s="4"/>
      <c r="BP16" s="8"/>
      <c r="BQ16" s="4"/>
      <c r="BR16" s="8"/>
      <c r="BS16" s="7"/>
      <c r="BT16" s="7"/>
      <c r="BU16" s="2" t="s">
        <v>207</v>
      </c>
      <c r="BV16" s="2" t="s">
        <v>97</v>
      </c>
      <c r="BW16" s="2" t="s">
        <v>100</v>
      </c>
      <c r="BX16" s="2" t="s">
        <v>100</v>
      </c>
      <c r="BY16" s="2" t="s">
        <v>113</v>
      </c>
      <c r="BZ16" s="2" t="s">
        <v>100</v>
      </c>
    </row>
    <row r="17">
      <c r="A17" s="2" t="s">
        <v>224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213</v>
      </c>
      <c r="G17" s="2" t="s">
        <v>214</v>
      </c>
      <c r="H17" s="2" t="s">
        <v>215</v>
      </c>
      <c r="I17" s="2" t="s">
        <v>216</v>
      </c>
      <c r="J17" s="2" t="s">
        <v>95</v>
      </c>
      <c r="K17" s="2" t="s">
        <v>144</v>
      </c>
      <c r="L17" s="3">
        <v>47</v>
      </c>
      <c r="M17" s="3">
        <v>49.35</v>
      </c>
      <c r="N17" s="3">
        <v>99.99</v>
      </c>
      <c r="O17" s="2" t="s">
        <v>97</v>
      </c>
      <c r="P17" s="2" t="s">
        <v>225</v>
      </c>
      <c r="Q17" s="2" t="s">
        <v>99</v>
      </c>
      <c r="R17" s="2" t="s">
        <v>100</v>
      </c>
      <c r="S17" s="2" t="s">
        <v>226</v>
      </c>
      <c r="T17" s="2" t="s">
        <v>218</v>
      </c>
      <c r="U17" s="2" t="s">
        <v>102</v>
      </c>
      <c r="V17" s="2" t="s">
        <v>146</v>
      </c>
      <c r="W17" s="2" t="s">
        <v>219</v>
      </c>
      <c r="X17" s="2" t="s">
        <v>227</v>
      </c>
      <c r="Y17" s="2" t="s">
        <v>228</v>
      </c>
      <c r="Z17" s="4">
        <v>588</v>
      </c>
      <c r="AA17" s="4">
        <f>=ROUNDDOWN(16.3333333333333,0)</f>
      </c>
      <c r="AB17" s="5">
        <v>36</v>
      </c>
      <c r="AC17" s="2" t="s">
        <v>100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/>
      <c r="AQ17" s="8"/>
      <c r="AR17" s="4"/>
      <c r="AS17" s="8"/>
      <c r="AT17" s="7"/>
      <c r="AU17" s="7"/>
      <c r="AV17" s="4"/>
      <c r="AW17" s="8"/>
      <c r="AX17" s="4"/>
      <c r="AY17" s="8"/>
      <c r="AZ17" s="7"/>
      <c r="BA17" s="7"/>
      <c r="BB17" s="7"/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/>
      <c r="BJ17" s="4">
        <v>332</v>
      </c>
      <c r="BK17" s="8">
        <v>17618.57</v>
      </c>
      <c r="BL17" s="2" t="s">
        <v>229</v>
      </c>
      <c r="BM17" s="7"/>
      <c r="BN17" s="7"/>
      <c r="BO17" s="4"/>
      <c r="BP17" s="8"/>
      <c r="BQ17" s="4"/>
      <c r="BR17" s="8"/>
      <c r="BS17" s="7"/>
      <c r="BT17" s="7"/>
      <c r="BU17" s="2" t="s">
        <v>230</v>
      </c>
      <c r="BV17" s="2" t="s">
        <v>97</v>
      </c>
      <c r="BW17" s="2" t="s">
        <v>100</v>
      </c>
      <c r="BX17" s="2" t="s">
        <v>100</v>
      </c>
      <c r="BY17" s="2" t="s">
        <v>113</v>
      </c>
      <c r="BZ17" s="2" t="s">
        <v>100</v>
      </c>
    </row>
    <row r="18">
      <c r="A18" s="2" t="s">
        <v>231</v>
      </c>
      <c r="B18" s="2" t="s">
        <v>87</v>
      </c>
      <c r="C18" s="2" t="s">
        <v>88</v>
      </c>
      <c r="D18" s="2" t="s">
        <v>89</v>
      </c>
      <c r="E18" s="2" t="s">
        <v>232</v>
      </c>
      <c r="F18" s="2" t="s">
        <v>233</v>
      </c>
      <c r="G18" s="2" t="s">
        <v>234</v>
      </c>
      <c r="H18" s="2" t="s">
        <v>235</v>
      </c>
      <c r="I18" s="2" t="s">
        <v>236</v>
      </c>
      <c r="J18" s="2" t="s">
        <v>237</v>
      </c>
      <c r="K18" s="2" t="s">
        <v>118</v>
      </c>
      <c r="L18" s="3">
        <v>49.99</v>
      </c>
      <c r="M18" s="3">
        <v>52.49</v>
      </c>
      <c r="N18" s="3">
        <v>99.99</v>
      </c>
      <c r="O18" s="2" t="s">
        <v>97</v>
      </c>
      <c r="P18" s="2" t="s">
        <v>119</v>
      </c>
      <c r="Q18" s="2" t="s">
        <v>99</v>
      </c>
      <c r="R18" s="2" t="s">
        <v>100</v>
      </c>
      <c r="S18" s="2" t="s">
        <v>238</v>
      </c>
      <c r="T18" s="2" t="s">
        <v>100</v>
      </c>
      <c r="U18" s="2" t="s">
        <v>171</v>
      </c>
      <c r="V18" s="2" t="s">
        <v>239</v>
      </c>
      <c r="W18" s="2" t="s">
        <v>239</v>
      </c>
      <c r="X18" s="2" t="s">
        <v>203</v>
      </c>
      <c r="Y18" s="2" t="s">
        <v>240</v>
      </c>
      <c r="Z18" s="4">
        <v>332</v>
      </c>
      <c r="AA18" s="4">
        <f>=ROUNDDOWN(66.4,0)</f>
      </c>
      <c r="AB18" s="5">
        <v>5</v>
      </c>
      <c r="AC18" s="2" t="s">
        <v>241</v>
      </c>
      <c r="AD18" s="4">
        <v>150</v>
      </c>
      <c r="AE18" s="4">
        <v>150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>
        <v>2</v>
      </c>
      <c r="AQ18" s="8">
        <v>102.04</v>
      </c>
      <c r="AR18" s="4"/>
      <c r="AS18" s="8"/>
      <c r="AT18" s="7"/>
      <c r="AU18" s="7"/>
      <c r="AV18" s="4">
        <v>32</v>
      </c>
      <c r="AW18" s="8">
        <v>1802.74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0.0566</v>
      </c>
      <c r="BC18" s="4">
        <v>32</v>
      </c>
      <c r="BD18" s="8">
        <v>1802.74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1</v>
      </c>
      <c r="BJ18" s="4">
        <v>206</v>
      </c>
      <c r="BK18" s="8">
        <v>10326.05</v>
      </c>
      <c r="BL18" s="2" t="s">
        <v>242</v>
      </c>
      <c r="BM18" s="7">
        <v>0.0097</v>
      </c>
      <c r="BN18" s="7">
        <v>0.0099</v>
      </c>
      <c r="BO18" s="4">
        <v>2</v>
      </c>
      <c r="BP18" s="8">
        <v>102.04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243</v>
      </c>
      <c r="BX18" s="2" t="s">
        <v>244</v>
      </c>
      <c r="BY18" s="2" t="s">
        <v>113</v>
      </c>
      <c r="BZ18" s="2" t="s">
        <v>245</v>
      </c>
    </row>
    <row r="19">
      <c r="A19" s="2" t="s">
        <v>246</v>
      </c>
      <c r="B19" s="2" t="s">
        <v>87</v>
      </c>
      <c r="C19" s="2" t="s">
        <v>88</v>
      </c>
      <c r="D19" s="2" t="s">
        <v>89</v>
      </c>
      <c r="E19" s="2" t="s">
        <v>232</v>
      </c>
      <c r="F19" s="2" t="s">
        <v>233</v>
      </c>
      <c r="G19" s="2" t="s">
        <v>234</v>
      </c>
      <c r="H19" s="2" t="s">
        <v>235</v>
      </c>
      <c r="I19" s="2" t="s">
        <v>236</v>
      </c>
      <c r="J19" s="2" t="s">
        <v>247</v>
      </c>
      <c r="K19" s="2" t="s">
        <v>118</v>
      </c>
      <c r="L19" s="3">
        <v>54.99</v>
      </c>
      <c r="M19" s="3">
        <v>57.74</v>
      </c>
      <c r="N19" s="3">
        <v>109.99</v>
      </c>
      <c r="O19" s="2" t="s">
        <v>97</v>
      </c>
      <c r="P19" s="2" t="s">
        <v>119</v>
      </c>
      <c r="Q19" s="2" t="s">
        <v>99</v>
      </c>
      <c r="R19" s="2" t="s">
        <v>100</v>
      </c>
      <c r="S19" s="2" t="s">
        <v>238</v>
      </c>
      <c r="T19" s="2" t="s">
        <v>100</v>
      </c>
      <c r="U19" s="2" t="s">
        <v>102</v>
      </c>
      <c r="V19" s="2" t="s">
        <v>239</v>
      </c>
      <c r="W19" s="2" t="s">
        <v>239</v>
      </c>
      <c r="X19" s="2" t="s">
        <v>203</v>
      </c>
      <c r="Y19" s="2" t="s">
        <v>240</v>
      </c>
      <c r="Z19" s="4">
        <v>655</v>
      </c>
      <c r="AA19" s="4">
        <f>=ROUNDDOWN(59.5454545454545,0)</f>
      </c>
      <c r="AB19" s="5">
        <v>11</v>
      </c>
      <c r="AC19" s="2" t="s">
        <v>100</v>
      </c>
      <c r="AD19" s="4"/>
      <c r="AE19" s="4"/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30</v>
      </c>
      <c r="AQ19" s="8">
        <v>1700.7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0.9434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359</v>
      </c>
      <c r="BK19" s="8">
        <v>19731.19</v>
      </c>
      <c r="BL19" s="2" t="s">
        <v>248</v>
      </c>
      <c r="BM19" s="7">
        <v>0.0836</v>
      </c>
      <c r="BN19" s="7">
        <v>0.0862</v>
      </c>
      <c r="BO19" s="4">
        <v>30</v>
      </c>
      <c r="BP19" s="8">
        <v>1700.7</v>
      </c>
      <c r="BQ19" s="4"/>
      <c r="BR19" s="8"/>
      <c r="BS19" s="7"/>
      <c r="BT19" s="7"/>
      <c r="BU19" s="2" t="s">
        <v>109</v>
      </c>
      <c r="BV19" s="2" t="s">
        <v>110</v>
      </c>
      <c r="BW19" s="2" t="s">
        <v>243</v>
      </c>
      <c r="BX19" s="2" t="s">
        <v>244</v>
      </c>
      <c r="BY19" s="2" t="s">
        <v>113</v>
      </c>
      <c r="BZ19" s="2" t="s">
        <v>100</v>
      </c>
    </row>
    <row r="20">
      <c r="A20" s="2" t="s">
        <v>249</v>
      </c>
      <c r="B20" s="2" t="s">
        <v>87</v>
      </c>
      <c r="C20" s="2" t="s">
        <v>88</v>
      </c>
      <c r="D20" s="2" t="s">
        <v>89</v>
      </c>
      <c r="E20" s="2" t="s">
        <v>232</v>
      </c>
      <c r="F20" s="2" t="s">
        <v>250</v>
      </c>
      <c r="G20" s="2" t="s">
        <v>251</v>
      </c>
      <c r="H20" s="2" t="s">
        <v>252</v>
      </c>
      <c r="I20" s="2" t="s">
        <v>253</v>
      </c>
      <c r="J20" s="2" t="s">
        <v>247</v>
      </c>
      <c r="K20" s="2" t="s">
        <v>254</v>
      </c>
      <c r="L20" s="3">
        <v>59.99</v>
      </c>
      <c r="M20" s="3">
        <v>62.99</v>
      </c>
      <c r="N20" s="3">
        <v>119.99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255</v>
      </c>
      <c r="T20" s="2" t="s">
        <v>100</v>
      </c>
      <c r="U20" s="2" t="s">
        <v>102</v>
      </c>
      <c r="V20" s="2" t="s">
        <v>256</v>
      </c>
      <c r="W20" s="2" t="s">
        <v>104</v>
      </c>
      <c r="X20" s="2" t="s">
        <v>257</v>
      </c>
      <c r="Y20" s="2" t="s">
        <v>258</v>
      </c>
      <c r="Z20" s="4">
        <v>416</v>
      </c>
      <c r="AA20" s="4">
        <f>=ROUNDDOWN(37.8181818181818,0)</f>
      </c>
      <c r="AB20" s="5">
        <v>11</v>
      </c>
      <c r="AC20" s="2" t="s">
        <v>135</v>
      </c>
      <c r="AD20" s="4">
        <v>70</v>
      </c>
      <c r="AE20" s="4">
        <v>140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>
        <v>7</v>
      </c>
      <c r="AQ20" s="8">
        <v>436.59</v>
      </c>
      <c r="AR20" s="4"/>
      <c r="AS20" s="8"/>
      <c r="AT20" s="7"/>
      <c r="AU20" s="7"/>
      <c r="AV20" s="4">
        <v>7</v>
      </c>
      <c r="AW20" s="8">
        <v>436.59</v>
      </c>
      <c r="AX20" s="4"/>
      <c r="AY20" s="8"/>
      <c r="AZ20" s="7"/>
      <c r="BA20" s="7"/>
      <c r="BB20" s="7">
        <v>1</v>
      </c>
      <c r="BC20" s="4">
        <v>7</v>
      </c>
      <c r="BD20" s="8">
        <v>436.59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1</v>
      </c>
      <c r="BJ20" s="4">
        <v>290</v>
      </c>
      <c r="BK20" s="8">
        <v>18002.91</v>
      </c>
      <c r="BL20" s="2" t="s">
        <v>259</v>
      </c>
      <c r="BM20" s="7">
        <v>0.0241</v>
      </c>
      <c r="BN20" s="7">
        <v>0.0243</v>
      </c>
      <c r="BO20" s="4">
        <v>7</v>
      </c>
      <c r="BP20" s="8">
        <v>436.59</v>
      </c>
      <c r="BQ20" s="4"/>
      <c r="BR20" s="8"/>
      <c r="BS20" s="7"/>
      <c r="BT20" s="7"/>
      <c r="BU20" s="2" t="s">
        <v>109</v>
      </c>
      <c r="BV20" s="2" t="s">
        <v>110</v>
      </c>
      <c r="BW20" s="2" t="s">
        <v>260</v>
      </c>
      <c r="BX20" s="2" t="s">
        <v>261</v>
      </c>
      <c r="BY20" s="2" t="s">
        <v>113</v>
      </c>
      <c r="BZ20" s="2" t="s">
        <v>100</v>
      </c>
    </row>
    <row r="21">
      <c r="A21" s="2" t="s">
        <v>262</v>
      </c>
      <c r="B21" s="2" t="s">
        <v>87</v>
      </c>
      <c r="C21" s="2" t="s">
        <v>88</v>
      </c>
      <c r="D21" s="2" t="s">
        <v>89</v>
      </c>
      <c r="E21" s="2" t="s">
        <v>232</v>
      </c>
      <c r="F21" s="2" t="s">
        <v>250</v>
      </c>
      <c r="G21" s="2" t="s">
        <v>251</v>
      </c>
      <c r="H21" s="2" t="s">
        <v>252</v>
      </c>
      <c r="I21" s="2" t="s">
        <v>253</v>
      </c>
      <c r="J21" s="2" t="s">
        <v>247</v>
      </c>
      <c r="K21" s="2" t="s">
        <v>263</v>
      </c>
      <c r="L21" s="3">
        <v>59.99</v>
      </c>
      <c r="M21" s="3">
        <v>62.99</v>
      </c>
      <c r="N21" s="3">
        <v>119.99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264</v>
      </c>
      <c r="T21" s="2" t="s">
        <v>100</v>
      </c>
      <c r="U21" s="2" t="s">
        <v>102</v>
      </c>
      <c r="V21" s="2" t="s">
        <v>256</v>
      </c>
      <c r="W21" s="2" t="s">
        <v>104</v>
      </c>
      <c r="X21" s="2" t="s">
        <v>257</v>
      </c>
      <c r="Y21" s="2" t="s">
        <v>265</v>
      </c>
      <c r="Z21" s="4">
        <v>549</v>
      </c>
      <c r="AA21" s="4">
        <f>=ROUNDDOWN(49.9090909090909,0)</f>
      </c>
      <c r="AB21" s="5">
        <v>11</v>
      </c>
      <c r="AC21" s="2" t="s">
        <v>266</v>
      </c>
      <c r="AD21" s="4">
        <v>48</v>
      </c>
      <c r="AE21" s="4">
        <v>48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269</v>
      </c>
      <c r="BK21" s="8">
        <v>17351.26</v>
      </c>
      <c r="BL21" s="2" t="s">
        <v>267</v>
      </c>
      <c r="BM21" s="7"/>
      <c r="BN21" s="7"/>
      <c r="BO21" s="4"/>
      <c r="BP21" s="8"/>
      <c r="BQ21" s="4"/>
      <c r="BR21" s="8"/>
      <c r="BS21" s="7"/>
      <c r="BT21" s="7"/>
      <c r="BU21" s="2" t="s">
        <v>268</v>
      </c>
      <c r="BV21" s="2" t="s">
        <v>97</v>
      </c>
      <c r="BW21" s="2" t="s">
        <v>100</v>
      </c>
      <c r="BX21" s="2" t="s">
        <v>100</v>
      </c>
      <c r="BY21" s="2" t="s">
        <v>113</v>
      </c>
      <c r="BZ21" s="2" t="s">
        <v>100</v>
      </c>
    </row>
    <row r="22">
      <c r="A22" s="2" t="s">
        <v>269</v>
      </c>
      <c r="B22" s="2" t="s">
        <v>87</v>
      </c>
      <c r="C22" s="2" t="s">
        <v>88</v>
      </c>
      <c r="D22" s="2" t="s">
        <v>89</v>
      </c>
      <c r="E22" s="2" t="s">
        <v>232</v>
      </c>
      <c r="F22" s="2" t="s">
        <v>250</v>
      </c>
      <c r="G22" s="2" t="s">
        <v>251</v>
      </c>
      <c r="H22" s="2" t="s">
        <v>252</v>
      </c>
      <c r="I22" s="2" t="s">
        <v>253</v>
      </c>
      <c r="J22" s="2" t="s">
        <v>270</v>
      </c>
      <c r="K22" s="2" t="s">
        <v>263</v>
      </c>
      <c r="L22" s="3">
        <v>66.29</v>
      </c>
      <c r="M22" s="3">
        <v>69.61</v>
      </c>
      <c r="N22" s="3">
        <v>129.99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264</v>
      </c>
      <c r="T22" s="2" t="s">
        <v>100</v>
      </c>
      <c r="U22" s="2" t="s">
        <v>102</v>
      </c>
      <c r="V22" s="2" t="s">
        <v>256</v>
      </c>
      <c r="W22" s="2" t="s">
        <v>104</v>
      </c>
      <c r="X22" s="2" t="s">
        <v>257</v>
      </c>
      <c r="Y22" s="2" t="s">
        <v>265</v>
      </c>
      <c r="Z22" s="4">
        <v>406</v>
      </c>
      <c r="AA22" s="4">
        <f>=ROUNDDOWN(40.6,0)</f>
      </c>
      <c r="AB22" s="5">
        <v>10</v>
      </c>
      <c r="AC22" s="2" t="s">
        <v>271</v>
      </c>
      <c r="AD22" s="4">
        <v>148</v>
      </c>
      <c r="AE22" s="4">
        <v>148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288</v>
      </c>
      <c r="BK22" s="8">
        <v>19857.13</v>
      </c>
      <c r="BL22" s="2" t="s">
        <v>272</v>
      </c>
      <c r="BM22" s="7"/>
      <c r="BN22" s="7"/>
      <c r="BO22" s="4"/>
      <c r="BP22" s="8"/>
      <c r="BQ22" s="4"/>
      <c r="BR22" s="8"/>
      <c r="BS22" s="7"/>
      <c r="BT22" s="7"/>
      <c r="BU22" s="2" t="s">
        <v>268</v>
      </c>
      <c r="BV22" s="2" t="s">
        <v>97</v>
      </c>
      <c r="BW22" s="2" t="s">
        <v>100</v>
      </c>
      <c r="BX22" s="2" t="s">
        <v>100</v>
      </c>
      <c r="BY22" s="2" t="s">
        <v>113</v>
      </c>
      <c r="BZ22" s="2" t="s">
        <v>100</v>
      </c>
    </row>
    <row r="23">
      <c r="A23" s="2" t="s">
        <v>273</v>
      </c>
      <c r="B23" s="2" t="s">
        <v>87</v>
      </c>
      <c r="C23" s="2" t="s">
        <v>88</v>
      </c>
      <c r="D23" s="2" t="s">
        <v>89</v>
      </c>
      <c r="E23" s="2" t="s">
        <v>232</v>
      </c>
      <c r="F23" s="2" t="s">
        <v>274</v>
      </c>
      <c r="G23" s="2" t="s">
        <v>275</v>
      </c>
      <c r="H23" s="2" t="s">
        <v>276</v>
      </c>
      <c r="I23" s="2" t="s">
        <v>277</v>
      </c>
      <c r="J23" s="2" t="s">
        <v>247</v>
      </c>
      <c r="K23" s="2" t="s">
        <v>278</v>
      </c>
      <c r="L23" s="3">
        <v>58.12</v>
      </c>
      <c r="M23" s="3">
        <v>61.03</v>
      </c>
      <c r="N23" s="3">
        <v>119.99</v>
      </c>
      <c r="O23" s="2" t="s">
        <v>97</v>
      </c>
      <c r="P23" s="2" t="s">
        <v>119</v>
      </c>
      <c r="Q23" s="2" t="s">
        <v>99</v>
      </c>
      <c r="R23" s="2" t="s">
        <v>100</v>
      </c>
      <c r="S23" s="2" t="s">
        <v>279</v>
      </c>
      <c r="T23" s="2" t="s">
        <v>280</v>
      </c>
      <c r="U23" s="2" t="s">
        <v>102</v>
      </c>
      <c r="V23" s="2" t="s">
        <v>256</v>
      </c>
      <c r="W23" s="2" t="s">
        <v>219</v>
      </c>
      <c r="X23" s="2" t="s">
        <v>281</v>
      </c>
      <c r="Y23" s="2" t="s">
        <v>240</v>
      </c>
      <c r="Z23" s="4">
        <v>471</v>
      </c>
      <c r="AA23" s="4">
        <f>=ROUNDDOWN(22.4285714285714,0)</f>
      </c>
      <c r="AB23" s="5">
        <v>21</v>
      </c>
      <c r="AC23" s="2" t="s">
        <v>282</v>
      </c>
      <c r="AD23" s="4">
        <v>550</v>
      </c>
      <c r="AE23" s="4">
        <v>550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>
        <v>7</v>
      </c>
      <c r="AQ23" s="8">
        <v>428.68</v>
      </c>
      <c r="AR23" s="4"/>
      <c r="AS23" s="8"/>
      <c r="AT23" s="7"/>
      <c r="AU23" s="7"/>
      <c r="AV23" s="4">
        <v>7</v>
      </c>
      <c r="AW23" s="8">
        <v>428.68</v>
      </c>
      <c r="AX23" s="4"/>
      <c r="AY23" s="8"/>
      <c r="AZ23" s="7"/>
      <c r="BA23" s="7"/>
      <c r="BB23" s="7">
        <v>1</v>
      </c>
      <c r="BC23" s="4">
        <v>7</v>
      </c>
      <c r="BD23" s="8">
        <v>428.68</v>
      </c>
      <c r="BE23" s="4"/>
      <c r="BF23" s="8"/>
      <c r="BG23" s="7"/>
      <c r="BH23" s="7"/>
      <c r="BI23" s="7">
        <v>1</v>
      </c>
      <c r="BJ23" s="4">
        <v>476</v>
      </c>
      <c r="BK23" s="8">
        <v>29649.6</v>
      </c>
      <c r="BL23" s="2" t="s">
        <v>283</v>
      </c>
      <c r="BM23" s="7">
        <v>0.0147</v>
      </c>
      <c r="BN23" s="7">
        <v>0.0145</v>
      </c>
      <c r="BO23" s="4">
        <v>7</v>
      </c>
      <c r="BP23" s="8">
        <v>428.68</v>
      </c>
      <c r="BQ23" s="4"/>
      <c r="BR23" s="8"/>
      <c r="BS23" s="7"/>
      <c r="BT23" s="7"/>
      <c r="BU23" s="2" t="s">
        <v>109</v>
      </c>
      <c r="BV23" s="2" t="s">
        <v>110</v>
      </c>
      <c r="BW23" s="2" t="s">
        <v>284</v>
      </c>
      <c r="BX23" s="2" t="s">
        <v>285</v>
      </c>
      <c r="BY23" s="2" t="s">
        <v>113</v>
      </c>
      <c r="BZ23" s="2" t="s">
        <v>245</v>
      </c>
    </row>
    <row r="24">
      <c r="A24" s="2" t="s">
        <v>286</v>
      </c>
      <c r="B24" s="2" t="s">
        <v>87</v>
      </c>
      <c r="C24" s="2" t="s">
        <v>88</v>
      </c>
      <c r="D24" s="2" t="s">
        <v>89</v>
      </c>
      <c r="E24" s="2" t="s">
        <v>232</v>
      </c>
      <c r="F24" s="2" t="s">
        <v>287</v>
      </c>
      <c r="G24" s="2" t="s">
        <v>288</v>
      </c>
      <c r="H24" s="2" t="s">
        <v>289</v>
      </c>
      <c r="I24" s="2" t="s">
        <v>290</v>
      </c>
      <c r="J24" s="2" t="s">
        <v>270</v>
      </c>
      <c r="K24" s="2" t="s">
        <v>118</v>
      </c>
      <c r="L24" s="3">
        <v>59.99</v>
      </c>
      <c r="M24" s="3">
        <v>62.99</v>
      </c>
      <c r="N24" s="3">
        <v>119.99</v>
      </c>
      <c r="O24" s="2" t="s">
        <v>97</v>
      </c>
      <c r="P24" s="2" t="s">
        <v>98</v>
      </c>
      <c r="Q24" s="2" t="s">
        <v>99</v>
      </c>
      <c r="R24" s="2" t="s">
        <v>100</v>
      </c>
      <c r="S24" s="2" t="s">
        <v>291</v>
      </c>
      <c r="T24" s="2" t="s">
        <v>100</v>
      </c>
      <c r="U24" s="2" t="s">
        <v>102</v>
      </c>
      <c r="V24" s="2" t="s">
        <v>292</v>
      </c>
      <c r="W24" s="2" t="s">
        <v>104</v>
      </c>
      <c r="X24" s="2" t="s">
        <v>293</v>
      </c>
      <c r="Y24" s="2" t="s">
        <v>240</v>
      </c>
      <c r="Z24" s="4">
        <v>1433</v>
      </c>
      <c r="AA24" s="4">
        <f>=ROUNDDOWN(46.2258064516129,0)</f>
      </c>
      <c r="AB24" s="5">
        <v>31</v>
      </c>
      <c r="AC24" s="2" t="s">
        <v>100</v>
      </c>
      <c r="AD24" s="4"/>
      <c r="AE24" s="4"/>
      <c r="AF24" s="6">
        <v>64</v>
      </c>
      <c r="AG24" s="6">
        <v>47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4</v>
      </c>
      <c r="AQ24" s="8">
        <v>249.48</v>
      </c>
      <c r="AR24" s="4"/>
      <c r="AS24" s="8"/>
      <c r="AT24" s="7"/>
      <c r="AU24" s="7"/>
      <c r="AV24" s="4">
        <v>4</v>
      </c>
      <c r="AW24" s="8">
        <v>249.48</v>
      </c>
      <c r="AX24" s="4"/>
      <c r="AY24" s="8"/>
      <c r="AZ24" s="7"/>
      <c r="BA24" s="7"/>
      <c r="BB24" s="7">
        <v>1</v>
      </c>
      <c r="BC24" s="4">
        <v>6</v>
      </c>
      <c r="BD24" s="8">
        <v>374.22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0.6667</v>
      </c>
      <c r="BJ24" s="4">
        <v>755</v>
      </c>
      <c r="BK24" s="8">
        <v>47036.04</v>
      </c>
      <c r="BL24" s="2" t="s">
        <v>294</v>
      </c>
      <c r="BM24" s="7">
        <v>0.0053</v>
      </c>
      <c r="BN24" s="7">
        <v>0.0053</v>
      </c>
      <c r="BO24" s="4">
        <v>4</v>
      </c>
      <c r="BP24" s="8">
        <v>249.48</v>
      </c>
      <c r="BQ24" s="4"/>
      <c r="BR24" s="8"/>
      <c r="BS24" s="7"/>
      <c r="BT24" s="7"/>
      <c r="BU24" s="2" t="s">
        <v>109</v>
      </c>
      <c r="BV24" s="2" t="s">
        <v>110</v>
      </c>
      <c r="BW24" s="2" t="s">
        <v>243</v>
      </c>
      <c r="BX24" s="2" t="s">
        <v>295</v>
      </c>
      <c r="BY24" s="2" t="s">
        <v>113</v>
      </c>
      <c r="BZ24" s="2" t="s">
        <v>245</v>
      </c>
    </row>
    <row r="25">
      <c r="A25" s="2" t="s">
        <v>296</v>
      </c>
      <c r="B25" s="2" t="s">
        <v>87</v>
      </c>
      <c r="C25" s="2" t="s">
        <v>88</v>
      </c>
      <c r="D25" s="2" t="s">
        <v>89</v>
      </c>
      <c r="E25" s="2" t="s">
        <v>232</v>
      </c>
      <c r="F25" s="2" t="s">
        <v>287</v>
      </c>
      <c r="G25" s="2" t="s">
        <v>288</v>
      </c>
      <c r="H25" s="2" t="s">
        <v>289</v>
      </c>
      <c r="I25" s="2" t="s">
        <v>290</v>
      </c>
      <c r="J25" s="2" t="s">
        <v>270</v>
      </c>
      <c r="K25" s="2" t="s">
        <v>297</v>
      </c>
      <c r="L25" s="3">
        <v>59.99</v>
      </c>
      <c r="M25" s="3">
        <v>62.99</v>
      </c>
      <c r="N25" s="3">
        <v>119.99</v>
      </c>
      <c r="O25" s="2" t="s">
        <v>97</v>
      </c>
      <c r="P25" s="2" t="s">
        <v>119</v>
      </c>
      <c r="Q25" s="2" t="s">
        <v>99</v>
      </c>
      <c r="R25" s="2" t="s">
        <v>100</v>
      </c>
      <c r="S25" s="2" t="s">
        <v>298</v>
      </c>
      <c r="T25" s="2" t="s">
        <v>100</v>
      </c>
      <c r="U25" s="2" t="s">
        <v>102</v>
      </c>
      <c r="V25" s="2" t="s">
        <v>292</v>
      </c>
      <c r="W25" s="2" t="s">
        <v>104</v>
      </c>
      <c r="X25" s="2" t="s">
        <v>293</v>
      </c>
      <c r="Y25" s="2" t="s">
        <v>240</v>
      </c>
      <c r="Z25" s="4">
        <v>1128</v>
      </c>
      <c r="AA25" s="4">
        <f>=ROUNDDOWN(86.7692307692308,0)</f>
      </c>
      <c r="AB25" s="5">
        <v>13</v>
      </c>
      <c r="AC25" s="2" t="s">
        <v>100</v>
      </c>
      <c r="AD25" s="4"/>
      <c r="AE25" s="4"/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>
        <v>2</v>
      </c>
      <c r="AQ25" s="8">
        <v>124.74</v>
      </c>
      <c r="AR25" s="4"/>
      <c r="AS25" s="8"/>
      <c r="AT25" s="7"/>
      <c r="AU25" s="7"/>
      <c r="AV25" s="4">
        <v>2</v>
      </c>
      <c r="AW25" s="8">
        <v>124.74</v>
      </c>
      <c r="AX25" s="4"/>
      <c r="AY25" s="8"/>
      <c r="AZ25" s="7"/>
      <c r="BA25" s="7"/>
      <c r="BB25" s="7">
        <v>1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0.3333</v>
      </c>
      <c r="BJ25" s="4">
        <v>323</v>
      </c>
      <c r="BK25" s="8">
        <v>19996.22</v>
      </c>
      <c r="BL25" s="2" t="s">
        <v>299</v>
      </c>
      <c r="BM25" s="7">
        <v>0.0062</v>
      </c>
      <c r="BN25" s="7">
        <v>0.0062</v>
      </c>
      <c r="BO25" s="4">
        <v>2</v>
      </c>
      <c r="BP25" s="8">
        <v>124.74</v>
      </c>
      <c r="BQ25" s="4"/>
      <c r="BR25" s="8"/>
      <c r="BS25" s="7"/>
      <c r="BT25" s="7"/>
      <c r="BU25" s="2" t="s">
        <v>109</v>
      </c>
      <c r="BV25" s="2" t="s">
        <v>110</v>
      </c>
      <c r="BW25" s="2" t="s">
        <v>243</v>
      </c>
      <c r="BX25" s="2" t="s">
        <v>300</v>
      </c>
      <c r="BY25" s="2" t="s">
        <v>113</v>
      </c>
      <c r="BZ25" s="2" t="s">
        <v>245</v>
      </c>
    </row>
    <row r="26">
      <c r="A26" s="2" t="s">
        <v>301</v>
      </c>
      <c r="B26" s="2" t="s">
        <v>87</v>
      </c>
      <c r="C26" s="2" t="s">
        <v>88</v>
      </c>
      <c r="D26" s="2" t="s">
        <v>89</v>
      </c>
      <c r="E26" s="2" t="s">
        <v>232</v>
      </c>
      <c r="F26" s="2" t="s">
        <v>302</v>
      </c>
      <c r="G26" s="2" t="s">
        <v>303</v>
      </c>
      <c r="H26" s="2" t="s">
        <v>304</v>
      </c>
      <c r="I26" s="2" t="s">
        <v>305</v>
      </c>
      <c r="J26" s="2" t="s">
        <v>247</v>
      </c>
      <c r="K26" s="2" t="s">
        <v>306</v>
      </c>
      <c r="L26" s="3">
        <v>54.99</v>
      </c>
      <c r="M26" s="3">
        <v>57.74</v>
      </c>
      <c r="N26" s="3">
        <v>109.99</v>
      </c>
      <c r="O26" s="2" t="s">
        <v>97</v>
      </c>
      <c r="P26" s="2" t="s">
        <v>307</v>
      </c>
      <c r="Q26" s="2" t="s">
        <v>99</v>
      </c>
      <c r="R26" s="2" t="s">
        <v>100</v>
      </c>
      <c r="S26" s="2" t="s">
        <v>308</v>
      </c>
      <c r="T26" s="2" t="s">
        <v>100</v>
      </c>
      <c r="U26" s="2" t="s">
        <v>102</v>
      </c>
      <c r="V26" s="2" t="s">
        <v>103</v>
      </c>
      <c r="W26" s="2" t="s">
        <v>309</v>
      </c>
      <c r="X26" s="2" t="s">
        <v>310</v>
      </c>
      <c r="Y26" s="2" t="s">
        <v>240</v>
      </c>
      <c r="Z26" s="4">
        <v>1189</v>
      </c>
      <c r="AA26" s="4">
        <f>=ROUNDDOWN(21.6181818181818,0)</f>
      </c>
      <c r="AB26" s="5">
        <v>55</v>
      </c>
      <c r="AC26" s="2" t="s">
        <v>222</v>
      </c>
      <c r="AD26" s="4">
        <v>100</v>
      </c>
      <c r="AE26" s="4">
        <v>980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>
        <v>5</v>
      </c>
      <c r="AQ26" s="8">
        <v>283.45</v>
      </c>
      <c r="AR26" s="4"/>
      <c r="AS26" s="8"/>
      <c r="AT26" s="7"/>
      <c r="AU26" s="7"/>
      <c r="AV26" s="4">
        <v>5</v>
      </c>
      <c r="AW26" s="8">
        <v>283.45</v>
      </c>
      <c r="AX26" s="4"/>
      <c r="AY26" s="8"/>
      <c r="AZ26" s="7"/>
      <c r="BA26" s="7"/>
      <c r="BB26" s="7">
        <v>1</v>
      </c>
      <c r="BC26" s="4">
        <v>5</v>
      </c>
      <c r="BD26" s="8">
        <v>283.45</v>
      </c>
      <c r="BE26" s="4"/>
      <c r="BF26" s="8"/>
      <c r="BG26" s="7"/>
      <c r="BH26" s="7"/>
      <c r="BI26" s="7">
        <v>1</v>
      </c>
      <c r="BJ26" s="4">
        <v>1268</v>
      </c>
      <c r="BK26" s="8">
        <v>72132.87</v>
      </c>
      <c r="BL26" s="2" t="s">
        <v>311</v>
      </c>
      <c r="BM26" s="7">
        <v>0.0039</v>
      </c>
      <c r="BN26" s="7">
        <v>0.0039</v>
      </c>
      <c r="BO26" s="4">
        <v>5</v>
      </c>
      <c r="BP26" s="8">
        <v>283.45</v>
      </c>
      <c r="BQ26" s="4"/>
      <c r="BR26" s="8"/>
      <c r="BS26" s="7"/>
      <c r="BT26" s="7"/>
      <c r="BU26" s="2" t="s">
        <v>109</v>
      </c>
      <c r="BV26" s="2" t="s">
        <v>110</v>
      </c>
      <c r="BW26" s="2" t="s">
        <v>243</v>
      </c>
      <c r="BX26" s="2" t="s">
        <v>312</v>
      </c>
      <c r="BY26" s="2" t="s">
        <v>113</v>
      </c>
      <c r="BZ26" s="2" t="s">
        <v>100</v>
      </c>
    </row>
    <row r="27">
      <c r="A27" s="2" t="s">
        <v>313</v>
      </c>
      <c r="B27" s="2" t="s">
        <v>87</v>
      </c>
      <c r="C27" s="2" t="s">
        <v>88</v>
      </c>
      <c r="D27" s="2" t="s">
        <v>89</v>
      </c>
      <c r="E27" s="2" t="s">
        <v>232</v>
      </c>
      <c r="F27" s="2" t="s">
        <v>314</v>
      </c>
      <c r="G27" s="2" t="s">
        <v>315</v>
      </c>
      <c r="H27" s="2" t="s">
        <v>316</v>
      </c>
      <c r="I27" s="2" t="s">
        <v>317</v>
      </c>
      <c r="J27" s="2" t="s">
        <v>270</v>
      </c>
      <c r="K27" s="2" t="s">
        <v>118</v>
      </c>
      <c r="L27" s="3">
        <v>53.99</v>
      </c>
      <c r="M27" s="3">
        <v>56.69</v>
      </c>
      <c r="N27" s="3">
        <v>109.99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318</v>
      </c>
      <c r="T27" s="2" t="s">
        <v>100</v>
      </c>
      <c r="U27" s="2" t="s">
        <v>102</v>
      </c>
      <c r="V27" s="2" t="s">
        <v>103</v>
      </c>
      <c r="W27" s="2" t="s">
        <v>319</v>
      </c>
      <c r="X27" s="2" t="s">
        <v>100</v>
      </c>
      <c r="Y27" s="2" t="s">
        <v>240</v>
      </c>
      <c r="Z27" s="4">
        <v>739</v>
      </c>
      <c r="AA27" s="4">
        <f>=ROUNDDOWN(20.5277777777778,0)</f>
      </c>
      <c r="AB27" s="5">
        <v>36</v>
      </c>
      <c r="AC27" s="2" t="s">
        <v>320</v>
      </c>
      <c r="AD27" s="4">
        <v>400</v>
      </c>
      <c r="AE27" s="4">
        <v>630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2</v>
      </c>
      <c r="AQ27" s="8">
        <v>124.74</v>
      </c>
      <c r="AR27" s="4"/>
      <c r="AS27" s="8"/>
      <c r="AT27" s="7"/>
      <c r="AU27" s="7"/>
      <c r="AV27" s="4">
        <v>2</v>
      </c>
      <c r="AW27" s="8">
        <v>124.74</v>
      </c>
      <c r="AX27" s="4"/>
      <c r="AY27" s="8"/>
      <c r="AZ27" s="7"/>
      <c r="BA27" s="7"/>
      <c r="BB27" s="7">
        <v>1</v>
      </c>
      <c r="BC27" s="4">
        <v>3</v>
      </c>
      <c r="BD27" s="8">
        <v>187.11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>
        <v>0.6667</v>
      </c>
      <c r="BJ27" s="4">
        <v>1018</v>
      </c>
      <c r="BK27" s="8">
        <v>61643.64</v>
      </c>
      <c r="BL27" s="2" t="s">
        <v>321</v>
      </c>
      <c r="BM27" s="7">
        <v>0.002</v>
      </c>
      <c r="BN27" s="7">
        <v>0.002</v>
      </c>
      <c r="BO27" s="4">
        <v>2</v>
      </c>
      <c r="BP27" s="8">
        <v>124.74</v>
      </c>
      <c r="BQ27" s="4"/>
      <c r="BR27" s="8"/>
      <c r="BS27" s="7"/>
      <c r="BT27" s="7"/>
      <c r="BU27" s="2" t="s">
        <v>109</v>
      </c>
      <c r="BV27" s="2" t="s">
        <v>110</v>
      </c>
      <c r="BW27" s="2" t="s">
        <v>243</v>
      </c>
      <c r="BX27" s="2" t="s">
        <v>322</v>
      </c>
      <c r="BY27" s="2" t="s">
        <v>113</v>
      </c>
      <c r="BZ27" s="2" t="s">
        <v>100</v>
      </c>
    </row>
    <row r="28">
      <c r="A28" s="2" t="s">
        <v>323</v>
      </c>
      <c r="B28" s="2" t="s">
        <v>87</v>
      </c>
      <c r="C28" s="2" t="s">
        <v>88</v>
      </c>
      <c r="D28" s="2" t="s">
        <v>89</v>
      </c>
      <c r="E28" s="2" t="s">
        <v>232</v>
      </c>
      <c r="F28" s="2" t="s">
        <v>314</v>
      </c>
      <c r="G28" s="2" t="s">
        <v>315</v>
      </c>
      <c r="H28" s="2" t="s">
        <v>316</v>
      </c>
      <c r="I28" s="2" t="s">
        <v>317</v>
      </c>
      <c r="J28" s="2" t="s">
        <v>270</v>
      </c>
      <c r="K28" s="2" t="s">
        <v>324</v>
      </c>
      <c r="L28" s="3">
        <v>53.99</v>
      </c>
      <c r="M28" s="3">
        <v>56.69</v>
      </c>
      <c r="N28" s="3">
        <v>109.99</v>
      </c>
      <c r="O28" s="2" t="s">
        <v>97</v>
      </c>
      <c r="P28" s="2" t="s">
        <v>119</v>
      </c>
      <c r="Q28" s="2" t="s">
        <v>99</v>
      </c>
      <c r="R28" s="2" t="s">
        <v>100</v>
      </c>
      <c r="S28" s="2" t="s">
        <v>325</v>
      </c>
      <c r="T28" s="2" t="s">
        <v>100</v>
      </c>
      <c r="U28" s="2" t="s">
        <v>102</v>
      </c>
      <c r="V28" s="2" t="s">
        <v>103</v>
      </c>
      <c r="W28" s="2" t="s">
        <v>319</v>
      </c>
      <c r="X28" s="2" t="s">
        <v>100</v>
      </c>
      <c r="Y28" s="2" t="s">
        <v>240</v>
      </c>
      <c r="Z28" s="4">
        <v>632</v>
      </c>
      <c r="AA28" s="4">
        <f>=ROUNDDOWN(35.1111111111111,0)</f>
      </c>
      <c r="AB28" s="5">
        <v>18</v>
      </c>
      <c r="AC28" s="2" t="s">
        <v>326</v>
      </c>
      <c r="AD28" s="4">
        <v>150</v>
      </c>
      <c r="AE28" s="4">
        <v>150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>
        <v>1</v>
      </c>
      <c r="AQ28" s="8">
        <v>62.37</v>
      </c>
      <c r="AR28" s="4"/>
      <c r="AS28" s="8"/>
      <c r="AT28" s="7"/>
      <c r="AU28" s="7"/>
      <c r="AV28" s="4">
        <v>1</v>
      </c>
      <c r="AW28" s="8">
        <v>62.37</v>
      </c>
      <c r="AX28" s="4"/>
      <c r="AY28" s="8"/>
      <c r="AZ28" s="7"/>
      <c r="BA28" s="7"/>
      <c r="BB28" s="7">
        <v>1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0.3333</v>
      </c>
      <c r="BJ28" s="4">
        <v>454</v>
      </c>
      <c r="BK28" s="8">
        <v>26436.52</v>
      </c>
      <c r="BL28" s="2" t="s">
        <v>327</v>
      </c>
      <c r="BM28" s="7">
        <v>0.0022</v>
      </c>
      <c r="BN28" s="7">
        <v>0.0024</v>
      </c>
      <c r="BO28" s="4">
        <v>1</v>
      </c>
      <c r="BP28" s="8">
        <v>62.37</v>
      </c>
      <c r="BQ28" s="4"/>
      <c r="BR28" s="8"/>
      <c r="BS28" s="7"/>
      <c r="BT28" s="7"/>
      <c r="BU28" s="2" t="s">
        <v>109</v>
      </c>
      <c r="BV28" s="2" t="s">
        <v>110</v>
      </c>
      <c r="BW28" s="2" t="s">
        <v>328</v>
      </c>
      <c r="BX28" s="2" t="s">
        <v>329</v>
      </c>
      <c r="BY28" s="2" t="s">
        <v>113</v>
      </c>
      <c r="BZ28" s="2" t="s">
        <v>100</v>
      </c>
    </row>
    <row r="29">
      <c r="A29" s="2" t="s">
        <v>330</v>
      </c>
      <c r="B29" s="2" t="s">
        <v>87</v>
      </c>
      <c r="C29" s="2" t="s">
        <v>88</v>
      </c>
      <c r="D29" s="2" t="s">
        <v>89</v>
      </c>
      <c r="E29" s="2" t="s">
        <v>232</v>
      </c>
      <c r="F29" s="2" t="s">
        <v>331</v>
      </c>
      <c r="G29" s="2" t="s">
        <v>332</v>
      </c>
      <c r="H29" s="2" t="s">
        <v>333</v>
      </c>
      <c r="I29" s="2" t="s">
        <v>334</v>
      </c>
      <c r="J29" s="2" t="s">
        <v>247</v>
      </c>
      <c r="K29" s="2" t="s">
        <v>335</v>
      </c>
      <c r="L29" s="3">
        <v>65</v>
      </c>
      <c r="M29" s="3">
        <v>68.24</v>
      </c>
      <c r="N29" s="3">
        <v>129.99</v>
      </c>
      <c r="O29" s="2" t="s">
        <v>97</v>
      </c>
      <c r="P29" s="2" t="s">
        <v>119</v>
      </c>
      <c r="Q29" s="2" t="s">
        <v>99</v>
      </c>
      <c r="R29" s="2" t="s">
        <v>100</v>
      </c>
      <c r="S29" s="2" t="s">
        <v>336</v>
      </c>
      <c r="T29" s="2" t="s">
        <v>100</v>
      </c>
      <c r="U29" s="2" t="s">
        <v>337</v>
      </c>
      <c r="V29" s="2" t="s">
        <v>338</v>
      </c>
      <c r="W29" s="2" t="s">
        <v>104</v>
      </c>
      <c r="X29" s="2" t="s">
        <v>339</v>
      </c>
      <c r="Y29" s="2" t="s">
        <v>240</v>
      </c>
      <c r="Z29" s="4">
        <v>516</v>
      </c>
      <c r="AA29" s="4">
        <f>=ROUNDDOWN(23.4545454545455,0)</f>
      </c>
      <c r="AB29" s="5">
        <v>22</v>
      </c>
      <c r="AC29" s="2" t="s">
        <v>340</v>
      </c>
      <c r="AD29" s="4">
        <v>150</v>
      </c>
      <c r="AE29" s="4">
        <v>350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>
        <v>2</v>
      </c>
      <c r="AQ29" s="8">
        <v>136.08</v>
      </c>
      <c r="AR29" s="4"/>
      <c r="AS29" s="8"/>
      <c r="AT29" s="7"/>
      <c r="AU29" s="7"/>
      <c r="AV29" s="4">
        <v>2</v>
      </c>
      <c r="AW29" s="8">
        <v>136.08</v>
      </c>
      <c r="AX29" s="4"/>
      <c r="AY29" s="8"/>
      <c r="AZ29" s="7"/>
      <c r="BA29" s="7"/>
      <c r="BB29" s="7">
        <v>1</v>
      </c>
      <c r="BC29" s="4">
        <v>2</v>
      </c>
      <c r="BD29" s="8">
        <v>136.08</v>
      </c>
      <c r="BE29" s="4"/>
      <c r="BF29" s="8"/>
      <c r="BG29" s="7"/>
      <c r="BH29" s="7"/>
      <c r="BI29" s="7">
        <v>1</v>
      </c>
      <c r="BJ29" s="4">
        <v>473</v>
      </c>
      <c r="BK29" s="8">
        <v>31382.73</v>
      </c>
      <c r="BL29" s="2" t="s">
        <v>341</v>
      </c>
      <c r="BM29" s="7">
        <v>0.0042</v>
      </c>
      <c r="BN29" s="7">
        <v>0.0043</v>
      </c>
      <c r="BO29" s="4">
        <v>2</v>
      </c>
      <c r="BP29" s="8">
        <v>136.08</v>
      </c>
      <c r="BQ29" s="4"/>
      <c r="BR29" s="8"/>
      <c r="BS29" s="7"/>
      <c r="BT29" s="7"/>
      <c r="BU29" s="2" t="s">
        <v>109</v>
      </c>
      <c r="BV29" s="2" t="s">
        <v>110</v>
      </c>
      <c r="BW29" s="2" t="s">
        <v>243</v>
      </c>
      <c r="BX29" s="2" t="s">
        <v>342</v>
      </c>
      <c r="BY29" s="2" t="s">
        <v>113</v>
      </c>
      <c r="BZ29" s="2" t="s">
        <v>100</v>
      </c>
    </row>
    <row r="30">
      <c r="A30" s="2" t="s">
        <v>343</v>
      </c>
      <c r="B30" s="2" t="s">
        <v>87</v>
      </c>
      <c r="C30" s="2" t="s">
        <v>88</v>
      </c>
      <c r="D30" s="2" t="s">
        <v>89</v>
      </c>
      <c r="E30" s="2" t="s">
        <v>232</v>
      </c>
      <c r="F30" s="2" t="s">
        <v>344</v>
      </c>
      <c r="G30" s="2" t="s">
        <v>345</v>
      </c>
      <c r="H30" s="2" t="s">
        <v>346</v>
      </c>
      <c r="I30" s="2" t="s">
        <v>347</v>
      </c>
      <c r="J30" s="2" t="s">
        <v>247</v>
      </c>
      <c r="K30" s="2" t="s">
        <v>348</v>
      </c>
      <c r="L30" s="3">
        <v>51.83</v>
      </c>
      <c r="M30" s="3">
        <v>54.42</v>
      </c>
      <c r="N30" s="3">
        <v>109.99</v>
      </c>
      <c r="O30" s="2" t="s">
        <v>97</v>
      </c>
      <c r="P30" s="2" t="s">
        <v>119</v>
      </c>
      <c r="Q30" s="2" t="s">
        <v>99</v>
      </c>
      <c r="R30" s="2" t="s">
        <v>100</v>
      </c>
      <c r="S30" s="2" t="s">
        <v>349</v>
      </c>
      <c r="T30" s="2" t="s">
        <v>100</v>
      </c>
      <c r="U30" s="2" t="s">
        <v>102</v>
      </c>
      <c r="V30" s="2" t="s">
        <v>350</v>
      </c>
      <c r="W30" s="2" t="s">
        <v>104</v>
      </c>
      <c r="X30" s="2" t="s">
        <v>351</v>
      </c>
      <c r="Y30" s="2" t="s">
        <v>352</v>
      </c>
      <c r="Z30" s="4">
        <v>1122</v>
      </c>
      <c r="AA30" s="4">
        <f>=ROUNDDOWN(66,0)</f>
      </c>
      <c r="AB30" s="5">
        <v>17</v>
      </c>
      <c r="AC30" s="2" t="s">
        <v>100</v>
      </c>
      <c r="AD30" s="4"/>
      <c r="AE30" s="4"/>
      <c r="AF30" s="6">
        <v>66</v>
      </c>
      <c r="AG30" s="6">
        <v>49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>
        <v>2</v>
      </c>
      <c r="AQ30" s="8">
        <v>119.76</v>
      </c>
      <c r="AR30" s="4"/>
      <c r="AS30" s="8"/>
      <c r="AT30" s="7"/>
      <c r="AU30" s="7"/>
      <c r="AV30" s="4">
        <v>2</v>
      </c>
      <c r="AW30" s="8">
        <v>119.76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1</v>
      </c>
      <c r="BC30" s="4">
        <v>2</v>
      </c>
      <c r="BD30" s="8">
        <v>119.76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1</v>
      </c>
      <c r="BJ30" s="4">
        <v>492</v>
      </c>
      <c r="BK30" s="8">
        <v>29373.88</v>
      </c>
      <c r="BL30" s="2" t="s">
        <v>353</v>
      </c>
      <c r="BM30" s="7">
        <v>0.0041</v>
      </c>
      <c r="BN30" s="7">
        <v>0.0041</v>
      </c>
      <c r="BO30" s="4">
        <v>2</v>
      </c>
      <c r="BP30" s="8">
        <v>119.76</v>
      </c>
      <c r="BQ30" s="4"/>
      <c r="BR30" s="8"/>
      <c r="BS30" s="7"/>
      <c r="BT30" s="7"/>
      <c r="BU30" s="2" t="s">
        <v>109</v>
      </c>
      <c r="BV30" s="2" t="s">
        <v>110</v>
      </c>
      <c r="BW30" s="2" t="s">
        <v>284</v>
      </c>
      <c r="BX30" s="2" t="s">
        <v>354</v>
      </c>
      <c r="BY30" s="2" t="s">
        <v>113</v>
      </c>
      <c r="BZ30" s="2" t="s">
        <v>245</v>
      </c>
    </row>
    <row r="31">
      <c r="A31" s="2" t="s">
        <v>355</v>
      </c>
      <c r="B31" s="2" t="s">
        <v>87</v>
      </c>
      <c r="C31" s="2" t="s">
        <v>88</v>
      </c>
      <c r="D31" s="2" t="s">
        <v>89</v>
      </c>
      <c r="E31" s="2" t="s">
        <v>232</v>
      </c>
      <c r="F31" s="2" t="s">
        <v>344</v>
      </c>
      <c r="G31" s="2" t="s">
        <v>345</v>
      </c>
      <c r="H31" s="2" t="s">
        <v>346</v>
      </c>
      <c r="I31" s="2" t="s">
        <v>347</v>
      </c>
      <c r="J31" s="2" t="s">
        <v>270</v>
      </c>
      <c r="K31" s="2" t="s">
        <v>348</v>
      </c>
      <c r="L31" s="3">
        <v>57.32</v>
      </c>
      <c r="M31" s="3">
        <v>60.19</v>
      </c>
      <c r="N31" s="3">
        <v>119.99</v>
      </c>
      <c r="O31" s="2" t="s">
        <v>97</v>
      </c>
      <c r="P31" s="2" t="s">
        <v>119</v>
      </c>
      <c r="Q31" s="2" t="s">
        <v>99</v>
      </c>
      <c r="R31" s="2" t="s">
        <v>100</v>
      </c>
      <c r="S31" s="2" t="s">
        <v>349</v>
      </c>
      <c r="T31" s="2" t="s">
        <v>100</v>
      </c>
      <c r="U31" s="2" t="s">
        <v>102</v>
      </c>
      <c r="V31" s="2" t="s">
        <v>350</v>
      </c>
      <c r="W31" s="2" t="s">
        <v>104</v>
      </c>
      <c r="X31" s="2" t="s">
        <v>351</v>
      </c>
      <c r="Y31" s="2" t="s">
        <v>352</v>
      </c>
      <c r="Z31" s="4">
        <v>1266</v>
      </c>
      <c r="AA31" s="4">
        <f>=ROUNDDOWN(40.8387096774194,0)</f>
      </c>
      <c r="AB31" s="5">
        <v>31</v>
      </c>
      <c r="AC31" s="2" t="s">
        <v>356</v>
      </c>
      <c r="AD31" s="4">
        <v>120</v>
      </c>
      <c r="AE31" s="4">
        <v>120</v>
      </c>
      <c r="AF31" s="6">
        <v>66</v>
      </c>
      <c r="AG31" s="6">
        <v>49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898</v>
      </c>
      <c r="BK31" s="8">
        <v>59651.27</v>
      </c>
      <c r="BL31" s="2" t="s">
        <v>357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284</v>
      </c>
      <c r="BX31" s="2" t="s">
        <v>358</v>
      </c>
      <c r="BY31" s="2" t="s">
        <v>113</v>
      </c>
      <c r="BZ31" s="2" t="s">
        <v>100</v>
      </c>
    </row>
    <row r="32">
      <c r="A32" s="2" t="s">
        <v>359</v>
      </c>
      <c r="B32" s="2" t="s">
        <v>87</v>
      </c>
      <c r="C32" s="2" t="s">
        <v>88</v>
      </c>
      <c r="D32" s="2" t="s">
        <v>89</v>
      </c>
      <c r="E32" s="2" t="s">
        <v>232</v>
      </c>
      <c r="F32" s="2" t="s">
        <v>344</v>
      </c>
      <c r="G32" s="2" t="s">
        <v>345</v>
      </c>
      <c r="H32" s="2" t="s">
        <v>346</v>
      </c>
      <c r="I32" s="2" t="s">
        <v>347</v>
      </c>
      <c r="J32" s="2" t="s">
        <v>247</v>
      </c>
      <c r="K32" s="2" t="s">
        <v>360</v>
      </c>
      <c r="L32" s="3">
        <v>51.83</v>
      </c>
      <c r="M32" s="3">
        <v>54.42</v>
      </c>
      <c r="N32" s="3">
        <v>109.99</v>
      </c>
      <c r="O32" s="2" t="s">
        <v>97</v>
      </c>
      <c r="P32" s="2" t="s">
        <v>98</v>
      </c>
      <c r="Q32" s="2" t="s">
        <v>99</v>
      </c>
      <c r="R32" s="2" t="s">
        <v>100</v>
      </c>
      <c r="S32" s="2" t="s">
        <v>361</v>
      </c>
      <c r="T32" s="2" t="s">
        <v>100</v>
      </c>
      <c r="U32" s="2" t="s">
        <v>102</v>
      </c>
      <c r="V32" s="2" t="s">
        <v>350</v>
      </c>
      <c r="W32" s="2" t="s">
        <v>104</v>
      </c>
      <c r="X32" s="2" t="s">
        <v>362</v>
      </c>
      <c r="Y32" s="2" t="s">
        <v>363</v>
      </c>
      <c r="Z32" s="4">
        <v>1657</v>
      </c>
      <c r="AA32" s="4">
        <f>=ROUNDDOWN(46.0277777777778,0)</f>
      </c>
      <c r="AB32" s="5">
        <v>36</v>
      </c>
      <c r="AC32" s="2" t="s">
        <v>356</v>
      </c>
      <c r="AD32" s="4">
        <v>915</v>
      </c>
      <c r="AE32" s="4">
        <v>1185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1084</v>
      </c>
      <c r="BK32" s="8">
        <v>66153.13</v>
      </c>
      <c r="BL32" s="2" t="s">
        <v>364</v>
      </c>
      <c r="BM32" s="7"/>
      <c r="BN32" s="7"/>
      <c r="BO32" s="4"/>
      <c r="BP32" s="8"/>
      <c r="BQ32" s="4"/>
      <c r="BR32" s="8"/>
      <c r="BS32" s="7"/>
      <c r="BT32" s="7"/>
      <c r="BU32" s="2" t="s">
        <v>207</v>
      </c>
      <c r="BV32" s="2" t="s">
        <v>97</v>
      </c>
      <c r="BW32" s="2" t="s">
        <v>100</v>
      </c>
      <c r="BX32" s="2" t="s">
        <v>100</v>
      </c>
      <c r="BY32" s="2" t="s">
        <v>113</v>
      </c>
      <c r="BZ32" s="2" t="s">
        <v>100</v>
      </c>
    </row>
    <row r="33">
      <c r="A33" s="2" t="s">
        <v>365</v>
      </c>
      <c r="B33" s="2" t="s">
        <v>87</v>
      </c>
      <c r="C33" s="2" t="s">
        <v>88</v>
      </c>
      <c r="D33" s="2" t="s">
        <v>89</v>
      </c>
      <c r="E33" s="2" t="s">
        <v>232</v>
      </c>
      <c r="F33" s="2" t="s">
        <v>344</v>
      </c>
      <c r="G33" s="2" t="s">
        <v>345</v>
      </c>
      <c r="H33" s="2" t="s">
        <v>346</v>
      </c>
      <c r="I33" s="2" t="s">
        <v>347</v>
      </c>
      <c r="J33" s="2" t="s">
        <v>270</v>
      </c>
      <c r="K33" s="2" t="s">
        <v>360</v>
      </c>
      <c r="L33" s="3">
        <v>57.32</v>
      </c>
      <c r="M33" s="3">
        <v>60.19</v>
      </c>
      <c r="N33" s="3">
        <v>119.99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361</v>
      </c>
      <c r="T33" s="2" t="s">
        <v>100</v>
      </c>
      <c r="U33" s="2" t="s">
        <v>102</v>
      </c>
      <c r="V33" s="2" t="s">
        <v>350</v>
      </c>
      <c r="W33" s="2" t="s">
        <v>104</v>
      </c>
      <c r="X33" s="2" t="s">
        <v>362</v>
      </c>
      <c r="Y33" s="2" t="s">
        <v>363</v>
      </c>
      <c r="Z33" s="4">
        <v>2485</v>
      </c>
      <c r="AA33" s="4">
        <f>=ROUNDDOWN(50.7142857142857,0)</f>
      </c>
      <c r="AB33" s="5">
        <v>49</v>
      </c>
      <c r="AC33" s="2" t="s">
        <v>356</v>
      </c>
      <c r="AD33" s="4">
        <v>1785</v>
      </c>
      <c r="AE33" s="4">
        <v>2115</v>
      </c>
      <c r="AF33" s="6">
        <v>66</v>
      </c>
      <c r="AG33" s="6">
        <v>49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1557</v>
      </c>
      <c r="BK33" s="8">
        <v>103153.53</v>
      </c>
      <c r="BL33" s="2" t="s">
        <v>366</v>
      </c>
      <c r="BM33" s="7"/>
      <c r="BN33" s="7"/>
      <c r="BO33" s="4"/>
      <c r="BP33" s="8"/>
      <c r="BQ33" s="4"/>
      <c r="BR33" s="8"/>
      <c r="BS33" s="7"/>
      <c r="BT33" s="7"/>
      <c r="BU33" s="2" t="s">
        <v>207</v>
      </c>
      <c r="BV33" s="2" t="s">
        <v>97</v>
      </c>
      <c r="BW33" s="2" t="s">
        <v>100</v>
      </c>
      <c r="BX33" s="2" t="s">
        <v>100</v>
      </c>
      <c r="BY33" s="2" t="s">
        <v>113</v>
      </c>
      <c r="BZ33" s="2" t="s">
        <v>100</v>
      </c>
    </row>
    <row r="34">
      <c r="A34" s="2" t="s">
        <v>367</v>
      </c>
      <c r="B34" s="2" t="s">
        <v>87</v>
      </c>
      <c r="C34" s="2" t="s">
        <v>88</v>
      </c>
      <c r="D34" s="2" t="s">
        <v>89</v>
      </c>
      <c r="E34" s="2" t="s">
        <v>232</v>
      </c>
      <c r="F34" s="2" t="s">
        <v>368</v>
      </c>
      <c r="G34" s="2" t="s">
        <v>369</v>
      </c>
      <c r="H34" s="2" t="s">
        <v>370</v>
      </c>
      <c r="I34" s="2" t="s">
        <v>371</v>
      </c>
      <c r="J34" s="2" t="s">
        <v>247</v>
      </c>
      <c r="K34" s="2" t="s">
        <v>118</v>
      </c>
      <c r="L34" s="3">
        <v>52.92</v>
      </c>
      <c r="M34" s="3">
        <v>55.57</v>
      </c>
      <c r="N34" s="3">
        <v>109.99</v>
      </c>
      <c r="O34" s="2" t="s">
        <v>97</v>
      </c>
      <c r="P34" s="2" t="s">
        <v>372</v>
      </c>
      <c r="Q34" s="2" t="s">
        <v>99</v>
      </c>
      <c r="R34" s="2" t="s">
        <v>100</v>
      </c>
      <c r="S34" s="2" t="s">
        <v>373</v>
      </c>
      <c r="T34" s="2" t="s">
        <v>218</v>
      </c>
      <c r="U34" s="2" t="s">
        <v>102</v>
      </c>
      <c r="V34" s="2" t="s">
        <v>350</v>
      </c>
      <c r="W34" s="2" t="s">
        <v>239</v>
      </c>
      <c r="X34" s="2" t="s">
        <v>281</v>
      </c>
      <c r="Y34" s="2" t="s">
        <v>240</v>
      </c>
      <c r="Z34" s="4">
        <v>1225</v>
      </c>
      <c r="AA34" s="4">
        <f>=ROUNDDOWN(22.6851851851852,0)</f>
      </c>
      <c r="AB34" s="5">
        <v>54</v>
      </c>
      <c r="AC34" s="2" t="s">
        <v>205</v>
      </c>
      <c r="AD34" s="4">
        <v>600</v>
      </c>
      <c r="AE34" s="4">
        <v>1150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>
        <v>1</v>
      </c>
      <c r="AQ34" s="8">
        <v>59.88</v>
      </c>
      <c r="AR34" s="4"/>
      <c r="AS34" s="8"/>
      <c r="AT34" s="7"/>
      <c r="AU34" s="7"/>
      <c r="AV34" s="4">
        <v>1</v>
      </c>
      <c r="AW34" s="8">
        <v>59.88</v>
      </c>
      <c r="AX34" s="4"/>
      <c r="AY34" s="8"/>
      <c r="AZ34" s="7"/>
      <c r="BA34" s="7"/>
      <c r="BB34" s="7">
        <v>1</v>
      </c>
      <c r="BC34" s="4">
        <v>1</v>
      </c>
      <c r="BD34" s="8">
        <v>59.88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1</v>
      </c>
      <c r="BJ34" s="4">
        <v>1762</v>
      </c>
      <c r="BK34" s="8">
        <v>108010.3</v>
      </c>
      <c r="BL34" s="2" t="s">
        <v>374</v>
      </c>
      <c r="BM34" s="7">
        <v>0.0006</v>
      </c>
      <c r="BN34" s="7">
        <v>0.0006</v>
      </c>
      <c r="BO34" s="4">
        <v>1</v>
      </c>
      <c r="BP34" s="8">
        <v>59.88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328</v>
      </c>
      <c r="BX34" s="2" t="s">
        <v>375</v>
      </c>
      <c r="BY34" s="2" t="s">
        <v>113</v>
      </c>
      <c r="BZ34" s="2" t="s">
        <v>245</v>
      </c>
    </row>
    <row r="35">
      <c r="A35" s="2" t="s">
        <v>376</v>
      </c>
      <c r="B35" s="2" t="s">
        <v>87</v>
      </c>
      <c r="C35" s="2" t="s">
        <v>88</v>
      </c>
      <c r="D35" s="2" t="s">
        <v>89</v>
      </c>
      <c r="E35" s="2" t="s">
        <v>232</v>
      </c>
      <c r="F35" s="2" t="s">
        <v>368</v>
      </c>
      <c r="G35" s="2" t="s">
        <v>369</v>
      </c>
      <c r="H35" s="2" t="s">
        <v>370</v>
      </c>
      <c r="I35" s="2" t="s">
        <v>371</v>
      </c>
      <c r="J35" s="2" t="s">
        <v>247</v>
      </c>
      <c r="K35" s="2" t="s">
        <v>96</v>
      </c>
      <c r="L35" s="3">
        <v>52.92</v>
      </c>
      <c r="M35" s="3">
        <v>55.57</v>
      </c>
      <c r="N35" s="3">
        <v>109.99</v>
      </c>
      <c r="O35" s="2" t="s">
        <v>97</v>
      </c>
      <c r="P35" s="2" t="s">
        <v>119</v>
      </c>
      <c r="Q35" s="2" t="s">
        <v>99</v>
      </c>
      <c r="R35" s="2" t="s">
        <v>100</v>
      </c>
      <c r="S35" s="2" t="s">
        <v>377</v>
      </c>
      <c r="T35" s="2" t="s">
        <v>218</v>
      </c>
      <c r="U35" s="2" t="s">
        <v>102</v>
      </c>
      <c r="V35" s="2" t="s">
        <v>350</v>
      </c>
      <c r="W35" s="2" t="s">
        <v>239</v>
      </c>
      <c r="X35" s="2" t="s">
        <v>378</v>
      </c>
      <c r="Y35" s="2" t="s">
        <v>379</v>
      </c>
      <c r="Z35" s="4">
        <v>196</v>
      </c>
      <c r="AA35" s="4">
        <f>=ROUNDDOWN(17.8181818181818,0)</f>
      </c>
      <c r="AB35" s="5">
        <v>11</v>
      </c>
      <c r="AC35" s="2" t="s">
        <v>241</v>
      </c>
      <c r="AD35" s="4">
        <v>200</v>
      </c>
      <c r="AE35" s="4">
        <v>350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321</v>
      </c>
      <c r="BK35" s="8">
        <v>19420.66</v>
      </c>
      <c r="BL35" s="2" t="s">
        <v>380</v>
      </c>
      <c r="BM35" s="7"/>
      <c r="BN35" s="7"/>
      <c r="BO35" s="4"/>
      <c r="BP35" s="8"/>
      <c r="BQ35" s="4"/>
      <c r="BR35" s="8"/>
      <c r="BS35" s="7"/>
      <c r="BT35" s="7"/>
      <c r="BU35" s="2" t="s">
        <v>207</v>
      </c>
      <c r="BV35" s="2" t="s">
        <v>97</v>
      </c>
      <c r="BW35" s="2" t="s">
        <v>100</v>
      </c>
      <c r="BX35" s="2" t="s">
        <v>100</v>
      </c>
      <c r="BY35" s="2" t="s">
        <v>113</v>
      </c>
      <c r="BZ35" s="2" t="s">
        <v>245</v>
      </c>
    </row>
    <row r="36">
      <c r="A36" s="2" t="s">
        <v>381</v>
      </c>
      <c r="B36" s="2" t="s">
        <v>87</v>
      </c>
      <c r="C36" s="2" t="s">
        <v>88</v>
      </c>
      <c r="D36" s="2" t="s">
        <v>89</v>
      </c>
      <c r="E36" s="2" t="s">
        <v>232</v>
      </c>
      <c r="F36" s="2" t="s">
        <v>368</v>
      </c>
      <c r="G36" s="2" t="s">
        <v>369</v>
      </c>
      <c r="H36" s="2" t="s">
        <v>370</v>
      </c>
      <c r="I36" s="2" t="s">
        <v>371</v>
      </c>
      <c r="J36" s="2" t="s">
        <v>270</v>
      </c>
      <c r="K36" s="2" t="s">
        <v>96</v>
      </c>
      <c r="L36" s="3">
        <v>57.33</v>
      </c>
      <c r="M36" s="3">
        <v>60.2</v>
      </c>
      <c r="N36" s="3">
        <v>119.99</v>
      </c>
      <c r="O36" s="2" t="s">
        <v>97</v>
      </c>
      <c r="P36" s="2" t="s">
        <v>119</v>
      </c>
      <c r="Q36" s="2" t="s">
        <v>99</v>
      </c>
      <c r="R36" s="2" t="s">
        <v>100</v>
      </c>
      <c r="S36" s="2" t="s">
        <v>377</v>
      </c>
      <c r="T36" s="2" t="s">
        <v>218</v>
      </c>
      <c r="U36" s="2" t="s">
        <v>102</v>
      </c>
      <c r="V36" s="2" t="s">
        <v>350</v>
      </c>
      <c r="W36" s="2" t="s">
        <v>239</v>
      </c>
      <c r="X36" s="2" t="s">
        <v>378</v>
      </c>
      <c r="Y36" s="2" t="s">
        <v>379</v>
      </c>
      <c r="Z36" s="4">
        <v>304</v>
      </c>
      <c r="AA36" s="4">
        <f>=ROUNDDOWN(25.3333333333333,0)</f>
      </c>
      <c r="AB36" s="5">
        <v>12</v>
      </c>
      <c r="AC36" s="2" t="s">
        <v>241</v>
      </c>
      <c r="AD36" s="4">
        <v>125</v>
      </c>
      <c r="AE36" s="4">
        <v>410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332</v>
      </c>
      <c r="BK36" s="8">
        <v>21420.46</v>
      </c>
      <c r="BL36" s="2" t="s">
        <v>382</v>
      </c>
      <c r="BM36" s="7"/>
      <c r="BN36" s="7"/>
      <c r="BO36" s="4"/>
      <c r="BP36" s="8"/>
      <c r="BQ36" s="4"/>
      <c r="BR36" s="8"/>
      <c r="BS36" s="7"/>
      <c r="BT36" s="7"/>
      <c r="BU36" s="2" t="s">
        <v>207</v>
      </c>
      <c r="BV36" s="2" t="s">
        <v>97</v>
      </c>
      <c r="BW36" s="2" t="s">
        <v>100</v>
      </c>
      <c r="BX36" s="2" t="s">
        <v>100</v>
      </c>
      <c r="BY36" s="2" t="s">
        <v>113</v>
      </c>
      <c r="BZ36" s="2" t="s">
        <v>100</v>
      </c>
    </row>
    <row r="37">
      <c r="A37" s="2" t="s">
        <v>383</v>
      </c>
      <c r="B37" s="2" t="s">
        <v>87</v>
      </c>
      <c r="C37" s="2" t="s">
        <v>88</v>
      </c>
      <c r="D37" s="2" t="s">
        <v>89</v>
      </c>
      <c r="E37" s="2" t="s">
        <v>232</v>
      </c>
      <c r="F37" s="2" t="s">
        <v>368</v>
      </c>
      <c r="G37" s="2" t="s">
        <v>369</v>
      </c>
      <c r="H37" s="2" t="s">
        <v>370</v>
      </c>
      <c r="I37" s="2" t="s">
        <v>371</v>
      </c>
      <c r="J37" s="2" t="s">
        <v>247</v>
      </c>
      <c r="K37" s="2" t="s">
        <v>297</v>
      </c>
      <c r="L37" s="3">
        <v>52.92</v>
      </c>
      <c r="M37" s="3">
        <v>55.57</v>
      </c>
      <c r="N37" s="3">
        <v>109.99</v>
      </c>
      <c r="O37" s="2" t="s">
        <v>97</v>
      </c>
      <c r="P37" s="2" t="s">
        <v>119</v>
      </c>
      <c r="Q37" s="2" t="s">
        <v>99</v>
      </c>
      <c r="R37" s="2" t="s">
        <v>100</v>
      </c>
      <c r="S37" s="2" t="s">
        <v>384</v>
      </c>
      <c r="T37" s="2" t="s">
        <v>218</v>
      </c>
      <c r="U37" s="2" t="s">
        <v>102</v>
      </c>
      <c r="V37" s="2" t="s">
        <v>350</v>
      </c>
      <c r="W37" s="2" t="s">
        <v>239</v>
      </c>
      <c r="X37" s="2" t="s">
        <v>378</v>
      </c>
      <c r="Y37" s="2" t="s">
        <v>379</v>
      </c>
      <c r="Z37" s="4">
        <v>185</v>
      </c>
      <c r="AA37" s="4">
        <f>=ROUNDDOWN(30.8333333333333,0)</f>
      </c>
      <c r="AB37" s="5">
        <v>6</v>
      </c>
      <c r="AC37" s="2" t="s">
        <v>241</v>
      </c>
      <c r="AD37" s="4">
        <v>100</v>
      </c>
      <c r="AE37" s="4">
        <v>200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106</v>
      </c>
      <c r="BK37" s="8">
        <v>6451.6</v>
      </c>
      <c r="BL37" s="2" t="s">
        <v>385</v>
      </c>
      <c r="BM37" s="7"/>
      <c r="BN37" s="7"/>
      <c r="BO37" s="4"/>
      <c r="BP37" s="8"/>
      <c r="BQ37" s="4"/>
      <c r="BR37" s="8"/>
      <c r="BS37" s="7"/>
      <c r="BT37" s="7"/>
      <c r="BU37" s="2" t="s">
        <v>207</v>
      </c>
      <c r="BV37" s="2" t="s">
        <v>97</v>
      </c>
      <c r="BW37" s="2" t="s">
        <v>100</v>
      </c>
      <c r="BX37" s="2" t="s">
        <v>100</v>
      </c>
      <c r="BY37" s="2" t="s">
        <v>113</v>
      </c>
      <c r="BZ37" s="2" t="s">
        <v>100</v>
      </c>
    </row>
    <row r="38">
      <c r="A38" s="2" t="s">
        <v>386</v>
      </c>
      <c r="B38" s="2" t="s">
        <v>87</v>
      </c>
      <c r="C38" s="2" t="s">
        <v>88</v>
      </c>
      <c r="D38" s="2" t="s">
        <v>89</v>
      </c>
      <c r="E38" s="2" t="s">
        <v>232</v>
      </c>
      <c r="F38" s="2" t="s">
        <v>368</v>
      </c>
      <c r="G38" s="2" t="s">
        <v>369</v>
      </c>
      <c r="H38" s="2" t="s">
        <v>370</v>
      </c>
      <c r="I38" s="2" t="s">
        <v>371</v>
      </c>
      <c r="J38" s="2" t="s">
        <v>270</v>
      </c>
      <c r="K38" s="2" t="s">
        <v>297</v>
      </c>
      <c r="L38" s="3">
        <v>57.33</v>
      </c>
      <c r="M38" s="3">
        <v>60.2</v>
      </c>
      <c r="N38" s="3">
        <v>119.99</v>
      </c>
      <c r="O38" s="2" t="s">
        <v>97</v>
      </c>
      <c r="P38" s="2" t="s">
        <v>119</v>
      </c>
      <c r="Q38" s="2" t="s">
        <v>99</v>
      </c>
      <c r="R38" s="2" t="s">
        <v>100</v>
      </c>
      <c r="S38" s="2" t="s">
        <v>384</v>
      </c>
      <c r="T38" s="2" t="s">
        <v>218</v>
      </c>
      <c r="U38" s="2" t="s">
        <v>102</v>
      </c>
      <c r="V38" s="2" t="s">
        <v>350</v>
      </c>
      <c r="W38" s="2" t="s">
        <v>239</v>
      </c>
      <c r="X38" s="2" t="s">
        <v>378</v>
      </c>
      <c r="Y38" s="2" t="s">
        <v>379</v>
      </c>
      <c r="Z38" s="4">
        <v>232</v>
      </c>
      <c r="AA38" s="4">
        <f>=ROUNDDOWN(46.4,0)</f>
      </c>
      <c r="AB38" s="5">
        <v>5</v>
      </c>
      <c r="AC38" s="2" t="s">
        <v>241</v>
      </c>
      <c r="AD38" s="4">
        <v>70</v>
      </c>
      <c r="AE38" s="4">
        <v>140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105</v>
      </c>
      <c r="BK38" s="8">
        <v>6720.58</v>
      </c>
      <c r="BL38" s="2" t="s">
        <v>387</v>
      </c>
      <c r="BM38" s="7"/>
      <c r="BN38" s="7"/>
      <c r="BO38" s="4"/>
      <c r="BP38" s="8"/>
      <c r="BQ38" s="4"/>
      <c r="BR38" s="8"/>
      <c r="BS38" s="7"/>
      <c r="BT38" s="7"/>
      <c r="BU38" s="2" t="s">
        <v>207</v>
      </c>
      <c r="BV38" s="2" t="s">
        <v>97</v>
      </c>
      <c r="BW38" s="2" t="s">
        <v>100</v>
      </c>
      <c r="BX38" s="2" t="s">
        <v>100</v>
      </c>
      <c r="BY38" s="2" t="s">
        <v>113</v>
      </c>
      <c r="BZ38" s="2" t="s">
        <v>100</v>
      </c>
    </row>
    <row r="39">
      <c r="A39" s="2" t="s">
        <v>388</v>
      </c>
      <c r="B39" s="2" t="s">
        <v>87</v>
      </c>
      <c r="C39" s="2" t="s">
        <v>88</v>
      </c>
      <c r="D39" s="2" t="s">
        <v>89</v>
      </c>
      <c r="E39" s="2" t="s">
        <v>232</v>
      </c>
      <c r="F39" s="2" t="s">
        <v>389</v>
      </c>
      <c r="G39" s="2" t="s">
        <v>390</v>
      </c>
      <c r="H39" s="2" t="s">
        <v>391</v>
      </c>
      <c r="I39" s="2" t="s">
        <v>305</v>
      </c>
      <c r="J39" s="2" t="s">
        <v>247</v>
      </c>
      <c r="K39" s="2" t="s">
        <v>335</v>
      </c>
      <c r="L39" s="3">
        <v>54.99</v>
      </c>
      <c r="M39" s="3">
        <v>57.74</v>
      </c>
      <c r="N39" s="3">
        <v>109.99</v>
      </c>
      <c r="O39" s="2" t="s">
        <v>97</v>
      </c>
      <c r="P39" s="2" t="s">
        <v>119</v>
      </c>
      <c r="Q39" s="2" t="s">
        <v>99</v>
      </c>
      <c r="R39" s="2" t="s">
        <v>100</v>
      </c>
      <c r="S39" s="2" t="s">
        <v>392</v>
      </c>
      <c r="T39" s="2" t="s">
        <v>100</v>
      </c>
      <c r="U39" s="2" t="s">
        <v>102</v>
      </c>
      <c r="V39" s="2" t="s">
        <v>393</v>
      </c>
      <c r="W39" s="2" t="s">
        <v>309</v>
      </c>
      <c r="X39" s="2" t="s">
        <v>310</v>
      </c>
      <c r="Y39" s="2" t="s">
        <v>240</v>
      </c>
      <c r="Z39" s="4">
        <v>319</v>
      </c>
      <c r="AA39" s="4">
        <f>=ROUNDDOWN(45.5714285714286,0)</f>
      </c>
      <c r="AB39" s="5">
        <v>7</v>
      </c>
      <c r="AC39" s="2" t="s">
        <v>100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/>
      <c r="BD39" s="8"/>
      <c r="BE39" s="4"/>
      <c r="BF39" s="8"/>
      <c r="BG39" s="7"/>
      <c r="BH39" s="7"/>
      <c r="BI39" s="7"/>
      <c r="BJ39" s="4">
        <v>165</v>
      </c>
      <c r="BK39" s="8">
        <v>9290.15</v>
      </c>
      <c r="BL39" s="2" t="s">
        <v>394</v>
      </c>
      <c r="BM39" s="7"/>
      <c r="BN39" s="7"/>
      <c r="BO39" s="4"/>
      <c r="BP39" s="8"/>
      <c r="BQ39" s="4"/>
      <c r="BR39" s="8"/>
      <c r="BS39" s="7"/>
      <c r="BT39" s="7"/>
      <c r="BU39" s="2" t="s">
        <v>109</v>
      </c>
      <c r="BV39" s="2" t="s">
        <v>97</v>
      </c>
      <c r="BW39" s="2" t="s">
        <v>328</v>
      </c>
      <c r="BX39" s="2" t="s">
        <v>395</v>
      </c>
      <c r="BY39" s="2" t="s">
        <v>113</v>
      </c>
      <c r="BZ39" s="2" t="s">
        <v>100</v>
      </c>
    </row>
    <row r="40">
      <c r="A40" s="2" t="s">
        <v>396</v>
      </c>
      <c r="B40" s="2" t="s">
        <v>87</v>
      </c>
      <c r="C40" s="2" t="s">
        <v>88</v>
      </c>
      <c r="D40" s="2" t="s">
        <v>89</v>
      </c>
      <c r="E40" s="2" t="s">
        <v>232</v>
      </c>
      <c r="F40" s="2" t="s">
        <v>397</v>
      </c>
      <c r="G40" s="2" t="s">
        <v>398</v>
      </c>
      <c r="H40" s="2" t="s">
        <v>399</v>
      </c>
      <c r="I40" s="2" t="s">
        <v>400</v>
      </c>
      <c r="J40" s="2" t="s">
        <v>247</v>
      </c>
      <c r="K40" s="2" t="s">
        <v>360</v>
      </c>
      <c r="L40" s="3">
        <v>48</v>
      </c>
      <c r="M40" s="3">
        <v>50.39</v>
      </c>
      <c r="N40" s="3">
        <v>99.99</v>
      </c>
      <c r="O40" s="2" t="s">
        <v>97</v>
      </c>
      <c r="P40" s="2" t="s">
        <v>119</v>
      </c>
      <c r="Q40" s="2" t="s">
        <v>99</v>
      </c>
      <c r="R40" s="2" t="s">
        <v>100</v>
      </c>
      <c r="S40" s="2" t="s">
        <v>401</v>
      </c>
      <c r="T40" s="2" t="s">
        <v>100</v>
      </c>
      <c r="U40" s="2" t="s">
        <v>402</v>
      </c>
      <c r="V40" s="2" t="s">
        <v>403</v>
      </c>
      <c r="W40" s="2" t="s">
        <v>309</v>
      </c>
      <c r="X40" s="2" t="s">
        <v>404</v>
      </c>
      <c r="Y40" s="2" t="s">
        <v>405</v>
      </c>
      <c r="Z40" s="4">
        <v>413</v>
      </c>
      <c r="AA40" s="4">
        <f>=ROUNDDOWN(37.5454545454545,0)</f>
      </c>
      <c r="AB40" s="5">
        <v>11</v>
      </c>
      <c r="AC40" s="2" t="s">
        <v>100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/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/>
      <c r="BJ40" s="4">
        <v>293</v>
      </c>
      <c r="BK40" s="8">
        <v>15177.24</v>
      </c>
      <c r="BL40" s="2" t="s">
        <v>406</v>
      </c>
      <c r="BM40" s="7"/>
      <c r="BN40" s="7"/>
      <c r="BO40" s="4"/>
      <c r="BP40" s="8"/>
      <c r="BQ40" s="4"/>
      <c r="BR40" s="8"/>
      <c r="BS40" s="7"/>
      <c r="BT40" s="7"/>
      <c r="BU40" s="2" t="s">
        <v>207</v>
      </c>
      <c r="BV40" s="2" t="s">
        <v>97</v>
      </c>
      <c r="BW40" s="2" t="s">
        <v>100</v>
      </c>
      <c r="BX40" s="2" t="s">
        <v>100</v>
      </c>
      <c r="BY40" s="2" t="s">
        <v>113</v>
      </c>
      <c r="BZ40" s="2" t="s">
        <v>100</v>
      </c>
    </row>
    <row r="41">
      <c r="A41" s="2" t="s">
        <v>407</v>
      </c>
      <c r="B41" s="2" t="s">
        <v>87</v>
      </c>
      <c r="C41" s="2" t="s">
        <v>88</v>
      </c>
      <c r="D41" s="2" t="s">
        <v>89</v>
      </c>
      <c r="E41" s="2" t="s">
        <v>232</v>
      </c>
      <c r="F41" s="2" t="s">
        <v>397</v>
      </c>
      <c r="G41" s="2" t="s">
        <v>398</v>
      </c>
      <c r="H41" s="2" t="s">
        <v>399</v>
      </c>
      <c r="I41" s="2" t="s">
        <v>400</v>
      </c>
      <c r="J41" s="2" t="s">
        <v>270</v>
      </c>
      <c r="K41" s="2" t="s">
        <v>360</v>
      </c>
      <c r="L41" s="3">
        <v>52.8</v>
      </c>
      <c r="M41" s="3">
        <v>55.43</v>
      </c>
      <c r="N41" s="3">
        <v>109.99</v>
      </c>
      <c r="O41" s="2" t="s">
        <v>97</v>
      </c>
      <c r="P41" s="2" t="s">
        <v>119</v>
      </c>
      <c r="Q41" s="2" t="s">
        <v>99</v>
      </c>
      <c r="R41" s="2" t="s">
        <v>100</v>
      </c>
      <c r="S41" s="2" t="s">
        <v>401</v>
      </c>
      <c r="T41" s="2" t="s">
        <v>100</v>
      </c>
      <c r="U41" s="2" t="s">
        <v>402</v>
      </c>
      <c r="V41" s="2" t="s">
        <v>403</v>
      </c>
      <c r="W41" s="2" t="s">
        <v>309</v>
      </c>
      <c r="X41" s="2" t="s">
        <v>404</v>
      </c>
      <c r="Y41" s="2" t="s">
        <v>405</v>
      </c>
      <c r="Z41" s="4">
        <v>455</v>
      </c>
      <c r="AA41" s="4">
        <f>=ROUNDDOWN(41.3636363636364,0)</f>
      </c>
      <c r="AB41" s="5">
        <v>11</v>
      </c>
      <c r="AC41" s="2" t="s">
        <v>100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/>
      <c r="BJ41" s="4">
        <v>347</v>
      </c>
      <c r="BK41" s="8">
        <v>19777.51</v>
      </c>
      <c r="BL41" s="2" t="s">
        <v>408</v>
      </c>
      <c r="BM41" s="7"/>
      <c r="BN41" s="7"/>
      <c r="BO41" s="4"/>
      <c r="BP41" s="8"/>
      <c r="BQ41" s="4"/>
      <c r="BR41" s="8"/>
      <c r="BS41" s="7"/>
      <c r="BT41" s="7"/>
      <c r="BU41" s="2" t="s">
        <v>207</v>
      </c>
      <c r="BV41" s="2" t="s">
        <v>97</v>
      </c>
      <c r="BW41" s="2" t="s">
        <v>100</v>
      </c>
      <c r="BX41" s="2" t="s">
        <v>100</v>
      </c>
      <c r="BY41" s="2" t="s">
        <v>113</v>
      </c>
      <c r="BZ41" s="2" t="s">
        <v>100</v>
      </c>
    </row>
    <row r="42">
      <c r="A42" s="2" t="s">
        <v>409</v>
      </c>
      <c r="B42" s="2" t="s">
        <v>87</v>
      </c>
      <c r="C42" s="2" t="s">
        <v>88</v>
      </c>
      <c r="D42" s="2" t="s">
        <v>89</v>
      </c>
      <c r="E42" s="2" t="s">
        <v>232</v>
      </c>
      <c r="F42" s="2" t="s">
        <v>410</v>
      </c>
      <c r="G42" s="2" t="s">
        <v>411</v>
      </c>
      <c r="H42" s="2" t="s">
        <v>412</v>
      </c>
      <c r="I42" s="2" t="s">
        <v>413</v>
      </c>
      <c r="J42" s="2" t="s">
        <v>247</v>
      </c>
      <c r="K42" s="2" t="s">
        <v>96</v>
      </c>
      <c r="L42" s="3">
        <v>28.57</v>
      </c>
      <c r="M42" s="3">
        <v>30</v>
      </c>
      <c r="N42" s="3">
        <v>59.99</v>
      </c>
      <c r="O42" s="2" t="s">
        <v>97</v>
      </c>
      <c r="P42" s="2" t="s">
        <v>98</v>
      </c>
      <c r="Q42" s="2" t="s">
        <v>99</v>
      </c>
      <c r="R42" s="2" t="s">
        <v>100</v>
      </c>
      <c r="S42" s="2" t="s">
        <v>414</v>
      </c>
      <c r="T42" s="2" t="s">
        <v>218</v>
      </c>
      <c r="U42" s="2" t="s">
        <v>402</v>
      </c>
      <c r="V42" s="2" t="s">
        <v>256</v>
      </c>
      <c r="W42" s="2" t="s">
        <v>158</v>
      </c>
      <c r="X42" s="2" t="s">
        <v>415</v>
      </c>
      <c r="Y42" s="2" t="s">
        <v>416</v>
      </c>
      <c r="Z42" s="4">
        <v>3478</v>
      </c>
      <c r="AA42" s="4">
        <f>=ROUNDDOWN(63.2363636363636,0)</f>
      </c>
      <c r="AB42" s="5">
        <v>55</v>
      </c>
      <c r="AC42" s="2" t="s">
        <v>417</v>
      </c>
      <c r="AD42" s="4">
        <v>450</v>
      </c>
      <c r="AE42" s="4">
        <v>3860</v>
      </c>
      <c r="AF42" s="6">
        <v>64</v>
      </c>
      <c r="AG42" s="6"/>
      <c r="AH42" s="7">
        <v>0.8449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/>
      <c r="BJ42" s="4">
        <v>1923</v>
      </c>
      <c r="BK42" s="8">
        <v>61389.98</v>
      </c>
      <c r="BL42" s="2" t="s">
        <v>418</v>
      </c>
      <c r="BM42" s="7"/>
      <c r="BN42" s="7"/>
      <c r="BO42" s="4"/>
      <c r="BP42" s="8"/>
      <c r="BQ42" s="4"/>
      <c r="BR42" s="8"/>
      <c r="BS42" s="7"/>
      <c r="BT42" s="7"/>
      <c r="BU42" s="2" t="s">
        <v>207</v>
      </c>
      <c r="BV42" s="2" t="s">
        <v>97</v>
      </c>
      <c r="BW42" s="2" t="s">
        <v>100</v>
      </c>
      <c r="BX42" s="2" t="s">
        <v>100</v>
      </c>
      <c r="BY42" s="2" t="s">
        <v>113</v>
      </c>
      <c r="BZ42" s="2" t="s">
        <v>100</v>
      </c>
    </row>
    <row r="43">
      <c r="A43" s="2" t="s">
        <v>419</v>
      </c>
      <c r="B43" s="2" t="s">
        <v>87</v>
      </c>
      <c r="C43" s="2" t="s">
        <v>88</v>
      </c>
      <c r="D43" s="2" t="s">
        <v>89</v>
      </c>
      <c r="E43" s="2" t="s">
        <v>232</v>
      </c>
      <c r="F43" s="2" t="s">
        <v>410</v>
      </c>
      <c r="G43" s="2" t="s">
        <v>411</v>
      </c>
      <c r="H43" s="2" t="s">
        <v>412</v>
      </c>
      <c r="I43" s="2" t="s">
        <v>413</v>
      </c>
      <c r="J43" s="2" t="s">
        <v>270</v>
      </c>
      <c r="K43" s="2" t="s">
        <v>96</v>
      </c>
      <c r="L43" s="3">
        <v>33.33</v>
      </c>
      <c r="M43" s="3">
        <v>35</v>
      </c>
      <c r="N43" s="3">
        <v>69.99</v>
      </c>
      <c r="O43" s="2" t="s">
        <v>97</v>
      </c>
      <c r="P43" s="2" t="s">
        <v>98</v>
      </c>
      <c r="Q43" s="2" t="s">
        <v>99</v>
      </c>
      <c r="R43" s="2" t="s">
        <v>100</v>
      </c>
      <c r="S43" s="2" t="s">
        <v>414</v>
      </c>
      <c r="T43" s="2" t="s">
        <v>218</v>
      </c>
      <c r="U43" s="2" t="s">
        <v>402</v>
      </c>
      <c r="V43" s="2" t="s">
        <v>256</v>
      </c>
      <c r="W43" s="2" t="s">
        <v>158</v>
      </c>
      <c r="X43" s="2" t="s">
        <v>415</v>
      </c>
      <c r="Y43" s="2" t="s">
        <v>416</v>
      </c>
      <c r="Z43" s="4">
        <v>2486</v>
      </c>
      <c r="AA43" s="4">
        <f>=ROUNDDOWN(62.15,0)</f>
      </c>
      <c r="AB43" s="5">
        <v>40</v>
      </c>
      <c r="AC43" s="2" t="s">
        <v>417</v>
      </c>
      <c r="AD43" s="4">
        <v>150</v>
      </c>
      <c r="AE43" s="4">
        <v>2000</v>
      </c>
      <c r="AF43" s="6">
        <v>64</v>
      </c>
      <c r="AG43" s="6"/>
      <c r="AH43" s="7">
        <v>0.7487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/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/>
      <c r="BJ43" s="4">
        <v>1224</v>
      </c>
      <c r="BK43" s="8">
        <v>46115.17</v>
      </c>
      <c r="BL43" s="2" t="s">
        <v>420</v>
      </c>
      <c r="BM43" s="7"/>
      <c r="BN43" s="7"/>
      <c r="BO43" s="4"/>
      <c r="BP43" s="8"/>
      <c r="BQ43" s="4"/>
      <c r="BR43" s="8"/>
      <c r="BS43" s="7"/>
      <c r="BT43" s="7"/>
      <c r="BU43" s="2" t="s">
        <v>207</v>
      </c>
      <c r="BV43" s="2" t="s">
        <v>97</v>
      </c>
      <c r="BW43" s="2" t="s">
        <v>100</v>
      </c>
      <c r="BX43" s="2" t="s">
        <v>100</v>
      </c>
      <c r="BY43" s="2" t="s">
        <v>113</v>
      </c>
      <c r="BZ43" s="2" t="s">
        <v>100</v>
      </c>
    </row>
    <row r="44">
      <c r="A44" s="2" t="s">
        <v>421</v>
      </c>
      <c r="B44" s="2" t="s">
        <v>87</v>
      </c>
      <c r="C44" s="2" t="s">
        <v>88</v>
      </c>
      <c r="D44" s="2" t="s">
        <v>89</v>
      </c>
      <c r="E44" s="2" t="s">
        <v>232</v>
      </c>
      <c r="F44" s="2" t="s">
        <v>410</v>
      </c>
      <c r="G44" s="2" t="s">
        <v>411</v>
      </c>
      <c r="H44" s="2" t="s">
        <v>412</v>
      </c>
      <c r="I44" s="2" t="s">
        <v>413</v>
      </c>
      <c r="J44" s="2" t="s">
        <v>247</v>
      </c>
      <c r="K44" s="2" t="s">
        <v>278</v>
      </c>
      <c r="L44" s="3">
        <v>28.57</v>
      </c>
      <c r="M44" s="3">
        <v>30</v>
      </c>
      <c r="N44" s="3">
        <v>59.99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422</v>
      </c>
      <c r="T44" s="2" t="s">
        <v>218</v>
      </c>
      <c r="U44" s="2" t="s">
        <v>402</v>
      </c>
      <c r="V44" s="2" t="s">
        <v>256</v>
      </c>
      <c r="W44" s="2" t="s">
        <v>158</v>
      </c>
      <c r="X44" s="2" t="s">
        <v>415</v>
      </c>
      <c r="Y44" s="2" t="s">
        <v>423</v>
      </c>
      <c r="Z44" s="4">
        <v>3483</v>
      </c>
      <c r="AA44" s="4">
        <f>=ROUNDDOWN(49.7571428571429,0)</f>
      </c>
      <c r="AB44" s="5">
        <v>70</v>
      </c>
      <c r="AC44" s="2" t="s">
        <v>417</v>
      </c>
      <c r="AD44" s="4">
        <v>450</v>
      </c>
      <c r="AE44" s="4">
        <v>3930</v>
      </c>
      <c r="AF44" s="6">
        <v>64</v>
      </c>
      <c r="AG44" s="6"/>
      <c r="AH44" s="7">
        <v>0.9412</v>
      </c>
      <c r="AI44" s="4"/>
      <c r="AJ44" s="4">
        <f>=ROUNDDOWN({0},0)</f>
      </c>
      <c r="AK44" s="5"/>
      <c r="AL44" s="2" t="s">
        <v>100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/>
      <c r="BJ44" s="4">
        <v>2460</v>
      </c>
      <c r="BK44" s="8">
        <v>79227.8</v>
      </c>
      <c r="BL44" s="2" t="s">
        <v>424</v>
      </c>
      <c r="BM44" s="7"/>
      <c r="BN44" s="7"/>
      <c r="BO44" s="4"/>
      <c r="BP44" s="8"/>
      <c r="BQ44" s="4"/>
      <c r="BR44" s="8"/>
      <c r="BS44" s="7"/>
      <c r="BT44" s="7"/>
      <c r="BU44" s="2" t="s">
        <v>207</v>
      </c>
      <c r="BV44" s="2" t="s">
        <v>97</v>
      </c>
      <c r="BW44" s="2" t="s">
        <v>100</v>
      </c>
      <c r="BX44" s="2" t="s">
        <v>100</v>
      </c>
      <c r="BY44" s="2" t="s">
        <v>113</v>
      </c>
      <c r="BZ44" s="2" t="s">
        <v>100</v>
      </c>
    </row>
    <row r="45">
      <c r="A45" s="2" t="s">
        <v>425</v>
      </c>
      <c r="B45" s="2" t="s">
        <v>87</v>
      </c>
      <c r="C45" s="2" t="s">
        <v>88</v>
      </c>
      <c r="D45" s="2" t="s">
        <v>89</v>
      </c>
      <c r="E45" s="2" t="s">
        <v>232</v>
      </c>
      <c r="F45" s="2" t="s">
        <v>410</v>
      </c>
      <c r="G45" s="2" t="s">
        <v>411</v>
      </c>
      <c r="H45" s="2" t="s">
        <v>412</v>
      </c>
      <c r="I45" s="2" t="s">
        <v>413</v>
      </c>
      <c r="J45" s="2" t="s">
        <v>270</v>
      </c>
      <c r="K45" s="2" t="s">
        <v>278</v>
      </c>
      <c r="L45" s="3">
        <v>33.33</v>
      </c>
      <c r="M45" s="3">
        <v>35</v>
      </c>
      <c r="N45" s="3">
        <v>69.99</v>
      </c>
      <c r="O45" s="2" t="s">
        <v>97</v>
      </c>
      <c r="P45" s="2" t="s">
        <v>98</v>
      </c>
      <c r="Q45" s="2" t="s">
        <v>99</v>
      </c>
      <c r="R45" s="2" t="s">
        <v>100</v>
      </c>
      <c r="S45" s="2" t="s">
        <v>422</v>
      </c>
      <c r="T45" s="2" t="s">
        <v>218</v>
      </c>
      <c r="U45" s="2" t="s">
        <v>402</v>
      </c>
      <c r="V45" s="2" t="s">
        <v>256</v>
      </c>
      <c r="W45" s="2" t="s">
        <v>158</v>
      </c>
      <c r="X45" s="2" t="s">
        <v>415</v>
      </c>
      <c r="Y45" s="2" t="s">
        <v>423</v>
      </c>
      <c r="Z45" s="4">
        <v>2196</v>
      </c>
      <c r="AA45" s="4">
        <f>=ROUNDDOWN(43.92,0)</f>
      </c>
      <c r="AB45" s="5">
        <v>50</v>
      </c>
      <c r="AC45" s="2" t="s">
        <v>417</v>
      </c>
      <c r="AD45" s="4">
        <v>150</v>
      </c>
      <c r="AE45" s="4">
        <v>2170</v>
      </c>
      <c r="AF45" s="6">
        <v>64</v>
      </c>
      <c r="AG45" s="6"/>
      <c r="AH45" s="7">
        <v>0.9572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/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/>
      <c r="BJ45" s="4">
        <v>1719</v>
      </c>
      <c r="BK45" s="8">
        <v>64703.67</v>
      </c>
      <c r="BL45" s="2" t="s">
        <v>426</v>
      </c>
      <c r="BM45" s="7"/>
      <c r="BN45" s="7"/>
      <c r="BO45" s="4"/>
      <c r="BP45" s="8"/>
      <c r="BQ45" s="4"/>
      <c r="BR45" s="8"/>
      <c r="BS45" s="7"/>
      <c r="BT45" s="7"/>
      <c r="BU45" s="2" t="s">
        <v>207</v>
      </c>
      <c r="BV45" s="2" t="s">
        <v>97</v>
      </c>
      <c r="BW45" s="2" t="s">
        <v>100</v>
      </c>
      <c r="BX45" s="2" t="s">
        <v>100</v>
      </c>
      <c r="BY45" s="2" t="s">
        <v>113</v>
      </c>
      <c r="BZ45" s="2" t="s">
        <v>100</v>
      </c>
    </row>
    <row r="46">
      <c r="A46" s="2" t="s">
        <v>427</v>
      </c>
      <c r="B46" s="2" t="s">
        <v>87</v>
      </c>
      <c r="C46" s="2" t="s">
        <v>88</v>
      </c>
      <c r="D46" s="2" t="s">
        <v>89</v>
      </c>
      <c r="E46" s="2" t="s">
        <v>232</v>
      </c>
      <c r="F46" s="2" t="s">
        <v>428</v>
      </c>
      <c r="G46" s="2" t="s">
        <v>429</v>
      </c>
      <c r="H46" s="2" t="s">
        <v>430</v>
      </c>
      <c r="I46" s="2" t="s">
        <v>431</v>
      </c>
      <c r="J46" s="2" t="s">
        <v>247</v>
      </c>
      <c r="K46" s="2" t="s">
        <v>432</v>
      </c>
      <c r="L46" s="3">
        <v>63.7</v>
      </c>
      <c r="M46" s="3">
        <v>66.88</v>
      </c>
      <c r="N46" s="3">
        <v>129.99</v>
      </c>
      <c r="O46" s="2" t="s">
        <v>97</v>
      </c>
      <c r="P46" s="2" t="s">
        <v>98</v>
      </c>
      <c r="Q46" s="2" t="s">
        <v>99</v>
      </c>
      <c r="R46" s="2" t="s">
        <v>100</v>
      </c>
      <c r="S46" s="2" t="s">
        <v>433</v>
      </c>
      <c r="T46" s="2" t="s">
        <v>100</v>
      </c>
      <c r="U46" s="2" t="s">
        <v>102</v>
      </c>
      <c r="V46" s="2" t="s">
        <v>434</v>
      </c>
      <c r="W46" s="2" t="s">
        <v>219</v>
      </c>
      <c r="X46" s="2" t="s">
        <v>227</v>
      </c>
      <c r="Y46" s="2" t="s">
        <v>435</v>
      </c>
      <c r="Z46" s="4">
        <v>1241</v>
      </c>
      <c r="AA46" s="4">
        <f>=ROUNDDOWN(45.962962962963,0)</f>
      </c>
      <c r="AB46" s="5">
        <v>27</v>
      </c>
      <c r="AC46" s="2" t="s">
        <v>266</v>
      </c>
      <c r="AD46" s="4">
        <v>230</v>
      </c>
      <c r="AE46" s="4">
        <v>230</v>
      </c>
      <c r="AF46" s="6">
        <v>65</v>
      </c>
      <c r="AG46" s="6">
        <v>73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/>
      <c r="BJ46" s="4">
        <v>932</v>
      </c>
      <c r="BK46" s="8">
        <v>60414.4</v>
      </c>
      <c r="BL46" s="2" t="s">
        <v>436</v>
      </c>
      <c r="BM46" s="7"/>
      <c r="BN46" s="7"/>
      <c r="BO46" s="4"/>
      <c r="BP46" s="8"/>
      <c r="BQ46" s="4"/>
      <c r="BR46" s="8"/>
      <c r="BS46" s="7"/>
      <c r="BT46" s="7"/>
      <c r="BU46" s="2" t="s">
        <v>207</v>
      </c>
      <c r="BV46" s="2" t="s">
        <v>97</v>
      </c>
      <c r="BW46" s="2" t="s">
        <v>100</v>
      </c>
      <c r="BX46" s="2" t="s">
        <v>100</v>
      </c>
      <c r="BY46" s="2" t="s">
        <v>113</v>
      </c>
      <c r="BZ46" s="2" t="s">
        <v>100</v>
      </c>
    </row>
    <row r="47">
      <c r="A47" s="2" t="s">
        <v>437</v>
      </c>
      <c r="B47" s="2" t="s">
        <v>87</v>
      </c>
      <c r="C47" s="2" t="s">
        <v>88</v>
      </c>
      <c r="D47" s="2" t="s">
        <v>89</v>
      </c>
      <c r="E47" s="2" t="s">
        <v>232</v>
      </c>
      <c r="F47" s="2" t="s">
        <v>428</v>
      </c>
      <c r="G47" s="2" t="s">
        <v>429</v>
      </c>
      <c r="H47" s="2" t="s">
        <v>430</v>
      </c>
      <c r="I47" s="2" t="s">
        <v>431</v>
      </c>
      <c r="J47" s="2" t="s">
        <v>270</v>
      </c>
      <c r="K47" s="2" t="s">
        <v>432</v>
      </c>
      <c r="L47" s="3">
        <v>68.6</v>
      </c>
      <c r="M47" s="3">
        <v>72.02</v>
      </c>
      <c r="N47" s="3">
        <v>139.99</v>
      </c>
      <c r="O47" s="2" t="s">
        <v>97</v>
      </c>
      <c r="P47" s="2" t="s">
        <v>98</v>
      </c>
      <c r="Q47" s="2" t="s">
        <v>99</v>
      </c>
      <c r="R47" s="2" t="s">
        <v>100</v>
      </c>
      <c r="S47" s="2" t="s">
        <v>433</v>
      </c>
      <c r="T47" s="2" t="s">
        <v>100</v>
      </c>
      <c r="U47" s="2" t="s">
        <v>102</v>
      </c>
      <c r="V47" s="2" t="s">
        <v>434</v>
      </c>
      <c r="W47" s="2" t="s">
        <v>219</v>
      </c>
      <c r="X47" s="2" t="s">
        <v>227</v>
      </c>
      <c r="Y47" s="2" t="s">
        <v>435</v>
      </c>
      <c r="Z47" s="4">
        <v>1701</v>
      </c>
      <c r="AA47" s="4">
        <f>=ROUNDDOWN(58.6551724137931,0)</f>
      </c>
      <c r="AB47" s="5">
        <v>29</v>
      </c>
      <c r="AC47" s="2" t="s">
        <v>266</v>
      </c>
      <c r="AD47" s="4">
        <v>100</v>
      </c>
      <c r="AE47" s="4">
        <v>100</v>
      </c>
      <c r="AF47" s="6">
        <v>65</v>
      </c>
      <c r="AG47" s="6">
        <v>73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/>
      <c r="BJ47" s="4">
        <v>1022</v>
      </c>
      <c r="BK47" s="8">
        <v>71351.47</v>
      </c>
      <c r="BL47" s="2" t="s">
        <v>438</v>
      </c>
      <c r="BM47" s="7"/>
      <c r="BN47" s="7"/>
      <c r="BO47" s="4"/>
      <c r="BP47" s="8"/>
      <c r="BQ47" s="4"/>
      <c r="BR47" s="8"/>
      <c r="BS47" s="7"/>
      <c r="BT47" s="7"/>
      <c r="BU47" s="2" t="s">
        <v>207</v>
      </c>
      <c r="BV47" s="2" t="s">
        <v>97</v>
      </c>
      <c r="BW47" s="2" t="s">
        <v>100</v>
      </c>
      <c r="BX47" s="2" t="s">
        <v>100</v>
      </c>
      <c r="BY47" s="2" t="s">
        <v>113</v>
      </c>
      <c r="BZ47" s="2" t="s">
        <v>100</v>
      </c>
    </row>
    <row r="48">
      <c r="A48" s="2" t="s">
        <v>439</v>
      </c>
      <c r="B48" s="2" t="s">
        <v>87</v>
      </c>
      <c r="C48" s="2" t="s">
        <v>88</v>
      </c>
      <c r="D48" s="2" t="s">
        <v>89</v>
      </c>
      <c r="E48" s="2" t="s">
        <v>232</v>
      </c>
      <c r="F48" s="2" t="s">
        <v>428</v>
      </c>
      <c r="G48" s="2" t="s">
        <v>429</v>
      </c>
      <c r="H48" s="2" t="s">
        <v>430</v>
      </c>
      <c r="I48" s="2" t="s">
        <v>431</v>
      </c>
      <c r="J48" s="2" t="s">
        <v>247</v>
      </c>
      <c r="K48" s="2" t="s">
        <v>440</v>
      </c>
      <c r="L48" s="3">
        <v>63.7</v>
      </c>
      <c r="M48" s="3">
        <v>66.88</v>
      </c>
      <c r="N48" s="3">
        <v>129.99</v>
      </c>
      <c r="O48" s="2" t="s">
        <v>97</v>
      </c>
      <c r="P48" s="2" t="s">
        <v>225</v>
      </c>
      <c r="Q48" s="2" t="s">
        <v>99</v>
      </c>
      <c r="R48" s="2" t="s">
        <v>100</v>
      </c>
      <c r="S48" s="2" t="s">
        <v>441</v>
      </c>
      <c r="T48" s="2" t="s">
        <v>280</v>
      </c>
      <c r="U48" s="2" t="s">
        <v>102</v>
      </c>
      <c r="V48" s="2" t="s">
        <v>434</v>
      </c>
      <c r="W48" s="2" t="s">
        <v>219</v>
      </c>
      <c r="X48" s="2" t="s">
        <v>158</v>
      </c>
      <c r="Y48" s="2" t="s">
        <v>100</v>
      </c>
      <c r="Z48" s="4"/>
      <c r="AA48" s="4">
        <f>=ROUNDDOWN({0},0)</f>
      </c>
      <c r="AB48" s="5"/>
      <c r="AC48" s="2" t="s">
        <v>326</v>
      </c>
      <c r="AD48" s="4">
        <v>370</v>
      </c>
      <c r="AE48" s="4">
        <v>370</v>
      </c>
      <c r="AF48" s="6">
        <v>65</v>
      </c>
      <c r="AG48" s="6"/>
      <c r="AH48" s="7"/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/>
      <c r="BJ48" s="4"/>
      <c r="BK48" s="8"/>
      <c r="BL48" s="2" t="s">
        <v>100</v>
      </c>
      <c r="BM48" s="7"/>
      <c r="BN48" s="7"/>
      <c r="BO48" s="4"/>
      <c r="BP48" s="8"/>
      <c r="BQ48" s="4"/>
      <c r="BR48" s="8"/>
      <c r="BS48" s="7"/>
      <c r="BT48" s="7"/>
      <c r="BU48" s="2" t="s">
        <v>230</v>
      </c>
      <c r="BV48" s="2" t="s">
        <v>97</v>
      </c>
      <c r="BW48" s="2" t="s">
        <v>100</v>
      </c>
      <c r="BX48" s="2" t="s">
        <v>100</v>
      </c>
      <c r="BY48" s="2" t="s">
        <v>113</v>
      </c>
      <c r="BZ48" s="2" t="s">
        <v>100</v>
      </c>
    </row>
    <row r="49">
      <c r="A49" s="2" t="s">
        <v>442</v>
      </c>
      <c r="B49" s="2" t="s">
        <v>87</v>
      </c>
      <c r="C49" s="2" t="s">
        <v>88</v>
      </c>
      <c r="D49" s="2" t="s">
        <v>89</v>
      </c>
      <c r="E49" s="2" t="s">
        <v>232</v>
      </c>
      <c r="F49" s="2" t="s">
        <v>428</v>
      </c>
      <c r="G49" s="2" t="s">
        <v>429</v>
      </c>
      <c r="H49" s="2" t="s">
        <v>430</v>
      </c>
      <c r="I49" s="2" t="s">
        <v>431</v>
      </c>
      <c r="J49" s="2" t="s">
        <v>270</v>
      </c>
      <c r="K49" s="2" t="s">
        <v>440</v>
      </c>
      <c r="L49" s="3">
        <v>68.6</v>
      </c>
      <c r="M49" s="3">
        <v>72.02</v>
      </c>
      <c r="N49" s="3">
        <v>139.99</v>
      </c>
      <c r="O49" s="2" t="s">
        <v>97</v>
      </c>
      <c r="P49" s="2" t="s">
        <v>225</v>
      </c>
      <c r="Q49" s="2" t="s">
        <v>99</v>
      </c>
      <c r="R49" s="2" t="s">
        <v>100</v>
      </c>
      <c r="S49" s="2" t="s">
        <v>441</v>
      </c>
      <c r="T49" s="2" t="s">
        <v>280</v>
      </c>
      <c r="U49" s="2" t="s">
        <v>102</v>
      </c>
      <c r="V49" s="2" t="s">
        <v>434</v>
      </c>
      <c r="W49" s="2" t="s">
        <v>219</v>
      </c>
      <c r="X49" s="2" t="s">
        <v>158</v>
      </c>
      <c r="Y49" s="2" t="s">
        <v>100</v>
      </c>
      <c r="Z49" s="4"/>
      <c r="AA49" s="4">
        <f>=ROUNDDOWN({0},0)</f>
      </c>
      <c r="AB49" s="5"/>
      <c r="AC49" s="2" t="s">
        <v>326</v>
      </c>
      <c r="AD49" s="4">
        <v>146</v>
      </c>
      <c r="AE49" s="4">
        <v>146</v>
      </c>
      <c r="AF49" s="6">
        <v>65</v>
      </c>
      <c r="AG49" s="6"/>
      <c r="AH49" s="7"/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/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/>
      <c r="BJ49" s="4"/>
      <c r="BK49" s="8"/>
      <c r="BL49" s="2" t="s">
        <v>100</v>
      </c>
      <c r="BM49" s="7"/>
      <c r="BN49" s="7"/>
      <c r="BO49" s="4"/>
      <c r="BP49" s="8"/>
      <c r="BQ49" s="4"/>
      <c r="BR49" s="8"/>
      <c r="BS49" s="7"/>
      <c r="BT49" s="7"/>
      <c r="BU49" s="2" t="s">
        <v>230</v>
      </c>
      <c r="BV49" s="2" t="s">
        <v>97</v>
      </c>
      <c r="BW49" s="2" t="s">
        <v>100</v>
      </c>
      <c r="BX49" s="2" t="s">
        <v>100</v>
      </c>
      <c r="BY49" s="2" t="s">
        <v>113</v>
      </c>
      <c r="BZ49" s="2" t="s">
        <v>100</v>
      </c>
    </row>
    <row r="50">
      <c r="A50" s="2" t="s">
        <v>443</v>
      </c>
      <c r="B50" s="2" t="s">
        <v>87</v>
      </c>
      <c r="C50" s="2" t="s">
        <v>88</v>
      </c>
      <c r="D50" s="2" t="s">
        <v>89</v>
      </c>
      <c r="E50" s="2" t="s">
        <v>232</v>
      </c>
      <c r="F50" s="2" t="s">
        <v>428</v>
      </c>
      <c r="G50" s="2" t="s">
        <v>429</v>
      </c>
      <c r="H50" s="2" t="s">
        <v>430</v>
      </c>
      <c r="I50" s="2" t="s">
        <v>431</v>
      </c>
      <c r="J50" s="2" t="s">
        <v>247</v>
      </c>
      <c r="K50" s="2" t="s">
        <v>297</v>
      </c>
      <c r="L50" s="3">
        <v>63.7</v>
      </c>
      <c r="M50" s="3">
        <v>66.88</v>
      </c>
      <c r="N50" s="3">
        <v>129.99</v>
      </c>
      <c r="O50" s="2" t="s">
        <v>97</v>
      </c>
      <c r="P50" s="2" t="s">
        <v>98</v>
      </c>
      <c r="Q50" s="2" t="s">
        <v>99</v>
      </c>
      <c r="R50" s="2" t="s">
        <v>100</v>
      </c>
      <c r="S50" s="2" t="s">
        <v>444</v>
      </c>
      <c r="T50" s="2" t="s">
        <v>280</v>
      </c>
      <c r="U50" s="2" t="s">
        <v>102</v>
      </c>
      <c r="V50" s="2" t="s">
        <v>434</v>
      </c>
      <c r="W50" s="2" t="s">
        <v>219</v>
      </c>
      <c r="X50" s="2" t="s">
        <v>227</v>
      </c>
      <c r="Y50" s="2" t="s">
        <v>445</v>
      </c>
      <c r="Z50" s="4">
        <v>1076</v>
      </c>
      <c r="AA50" s="4">
        <f>=ROUNDDOWN(39.8518518518519,0)</f>
      </c>
      <c r="AB50" s="5">
        <v>27</v>
      </c>
      <c r="AC50" s="2" t="s">
        <v>100</v>
      </c>
      <c r="AD50" s="4"/>
      <c r="AE50" s="4"/>
      <c r="AF50" s="6">
        <v>65</v>
      </c>
      <c r="AG50" s="6"/>
      <c r="AH50" s="7">
        <v>0.9572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/>
      <c r="BJ50" s="4">
        <v>781</v>
      </c>
      <c r="BK50" s="8">
        <v>50834.25</v>
      </c>
      <c r="BL50" s="2" t="s">
        <v>446</v>
      </c>
      <c r="BM50" s="7"/>
      <c r="BN50" s="7"/>
      <c r="BO50" s="4"/>
      <c r="BP50" s="8"/>
      <c r="BQ50" s="4"/>
      <c r="BR50" s="8"/>
      <c r="BS50" s="7"/>
      <c r="BT50" s="7"/>
      <c r="BU50" s="2" t="s">
        <v>207</v>
      </c>
      <c r="BV50" s="2" t="s">
        <v>97</v>
      </c>
      <c r="BW50" s="2" t="s">
        <v>100</v>
      </c>
      <c r="BX50" s="2" t="s">
        <v>100</v>
      </c>
      <c r="BY50" s="2" t="s">
        <v>113</v>
      </c>
      <c r="BZ50" s="2" t="s">
        <v>100</v>
      </c>
    </row>
    <row r="51">
      <c r="A51" s="2" t="s">
        <v>447</v>
      </c>
      <c r="B51" s="2" t="s">
        <v>87</v>
      </c>
      <c r="C51" s="2" t="s">
        <v>88</v>
      </c>
      <c r="D51" s="2" t="s">
        <v>89</v>
      </c>
      <c r="E51" s="2" t="s">
        <v>232</v>
      </c>
      <c r="F51" s="2" t="s">
        <v>428</v>
      </c>
      <c r="G51" s="2" t="s">
        <v>429</v>
      </c>
      <c r="H51" s="2" t="s">
        <v>430</v>
      </c>
      <c r="I51" s="2" t="s">
        <v>431</v>
      </c>
      <c r="J51" s="2" t="s">
        <v>270</v>
      </c>
      <c r="K51" s="2" t="s">
        <v>297</v>
      </c>
      <c r="L51" s="3">
        <v>68.6</v>
      </c>
      <c r="M51" s="3">
        <v>72.02</v>
      </c>
      <c r="N51" s="3">
        <v>139.99</v>
      </c>
      <c r="O51" s="2" t="s">
        <v>97</v>
      </c>
      <c r="P51" s="2" t="s">
        <v>98</v>
      </c>
      <c r="Q51" s="2" t="s">
        <v>99</v>
      </c>
      <c r="R51" s="2" t="s">
        <v>100</v>
      </c>
      <c r="S51" s="2" t="s">
        <v>444</v>
      </c>
      <c r="T51" s="2" t="s">
        <v>280</v>
      </c>
      <c r="U51" s="2" t="s">
        <v>102</v>
      </c>
      <c r="V51" s="2" t="s">
        <v>434</v>
      </c>
      <c r="W51" s="2" t="s">
        <v>219</v>
      </c>
      <c r="X51" s="2" t="s">
        <v>227</v>
      </c>
      <c r="Y51" s="2" t="s">
        <v>445</v>
      </c>
      <c r="Z51" s="4">
        <v>1218</v>
      </c>
      <c r="AA51" s="4">
        <f>=ROUNDDOWN(40.6,0)</f>
      </c>
      <c r="AB51" s="5">
        <v>30</v>
      </c>
      <c r="AC51" s="2" t="s">
        <v>100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/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/>
      <c r="BJ51" s="4">
        <v>769</v>
      </c>
      <c r="BK51" s="8">
        <v>54196.36</v>
      </c>
      <c r="BL51" s="2" t="s">
        <v>448</v>
      </c>
      <c r="BM51" s="7"/>
      <c r="BN51" s="7"/>
      <c r="BO51" s="4"/>
      <c r="BP51" s="8"/>
      <c r="BQ51" s="4"/>
      <c r="BR51" s="8"/>
      <c r="BS51" s="7"/>
      <c r="BT51" s="7"/>
      <c r="BU51" s="2" t="s">
        <v>207</v>
      </c>
      <c r="BV51" s="2" t="s">
        <v>97</v>
      </c>
      <c r="BW51" s="2" t="s">
        <v>100</v>
      </c>
      <c r="BX51" s="2" t="s">
        <v>100</v>
      </c>
      <c r="BY51" s="2" t="s">
        <v>113</v>
      </c>
      <c r="BZ51" s="2" t="s">
        <v>100</v>
      </c>
    </row>
    <row r="52">
      <c r="A52" s="2" t="s">
        <v>449</v>
      </c>
      <c r="B52" s="2" t="s">
        <v>87</v>
      </c>
      <c r="C52" s="2" t="s">
        <v>88</v>
      </c>
      <c r="D52" s="2" t="s">
        <v>89</v>
      </c>
      <c r="E52" s="2" t="s">
        <v>232</v>
      </c>
      <c r="F52" s="2" t="s">
        <v>450</v>
      </c>
      <c r="G52" s="2" t="s">
        <v>451</v>
      </c>
      <c r="H52" s="2" t="s">
        <v>452</v>
      </c>
      <c r="I52" s="2" t="s">
        <v>453</v>
      </c>
      <c r="J52" s="2" t="s">
        <v>247</v>
      </c>
      <c r="K52" s="2" t="s">
        <v>96</v>
      </c>
      <c r="L52" s="3">
        <v>62.4</v>
      </c>
      <c r="M52" s="3">
        <v>65.52</v>
      </c>
      <c r="N52" s="3">
        <v>129.99</v>
      </c>
      <c r="O52" s="2" t="s">
        <v>97</v>
      </c>
      <c r="P52" s="2" t="s">
        <v>119</v>
      </c>
      <c r="Q52" s="2" t="s">
        <v>99</v>
      </c>
      <c r="R52" s="2" t="s">
        <v>100</v>
      </c>
      <c r="S52" s="2" t="s">
        <v>454</v>
      </c>
      <c r="T52" s="2" t="s">
        <v>280</v>
      </c>
      <c r="U52" s="2" t="s">
        <v>102</v>
      </c>
      <c r="V52" s="2" t="s">
        <v>239</v>
      </c>
      <c r="W52" s="2" t="s">
        <v>239</v>
      </c>
      <c r="X52" s="2" t="s">
        <v>203</v>
      </c>
      <c r="Y52" s="2" t="s">
        <v>455</v>
      </c>
      <c r="Z52" s="4">
        <v>449</v>
      </c>
      <c r="AA52" s="4">
        <f>=ROUNDDOWN(37.4166666666667,0)</f>
      </c>
      <c r="AB52" s="5">
        <v>12</v>
      </c>
      <c r="AC52" s="2" t="s">
        <v>456</v>
      </c>
      <c r="AD52" s="4">
        <v>180</v>
      </c>
      <c r="AE52" s="4">
        <v>180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/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/>
      <c r="BJ52" s="4">
        <v>407</v>
      </c>
      <c r="BK52" s="8">
        <v>25542.73</v>
      </c>
      <c r="BL52" s="2" t="s">
        <v>457</v>
      </c>
      <c r="BM52" s="7"/>
      <c r="BN52" s="7"/>
      <c r="BO52" s="4"/>
      <c r="BP52" s="8"/>
      <c r="BQ52" s="4"/>
      <c r="BR52" s="8"/>
      <c r="BS52" s="7"/>
      <c r="BT52" s="7"/>
      <c r="BU52" s="2" t="s">
        <v>207</v>
      </c>
      <c r="BV52" s="2" t="s">
        <v>97</v>
      </c>
      <c r="BW52" s="2" t="s">
        <v>100</v>
      </c>
      <c r="BX52" s="2" t="s">
        <v>100</v>
      </c>
      <c r="BY52" s="2" t="s">
        <v>113</v>
      </c>
      <c r="BZ52" s="2" t="s">
        <v>100</v>
      </c>
    </row>
    <row r="53">
      <c r="A53" s="2" t="s">
        <v>458</v>
      </c>
      <c r="B53" s="2" t="s">
        <v>87</v>
      </c>
      <c r="C53" s="2" t="s">
        <v>88</v>
      </c>
      <c r="D53" s="2" t="s">
        <v>89</v>
      </c>
      <c r="E53" s="2" t="s">
        <v>232</v>
      </c>
      <c r="F53" s="2" t="s">
        <v>450</v>
      </c>
      <c r="G53" s="2" t="s">
        <v>451</v>
      </c>
      <c r="H53" s="2" t="s">
        <v>452</v>
      </c>
      <c r="I53" s="2" t="s">
        <v>453</v>
      </c>
      <c r="J53" s="2" t="s">
        <v>270</v>
      </c>
      <c r="K53" s="2" t="s">
        <v>96</v>
      </c>
      <c r="L53" s="3">
        <v>67.2</v>
      </c>
      <c r="M53" s="3">
        <v>70.56</v>
      </c>
      <c r="N53" s="3">
        <v>139.99</v>
      </c>
      <c r="O53" s="2" t="s">
        <v>97</v>
      </c>
      <c r="P53" s="2" t="s">
        <v>119</v>
      </c>
      <c r="Q53" s="2" t="s">
        <v>99</v>
      </c>
      <c r="R53" s="2" t="s">
        <v>100</v>
      </c>
      <c r="S53" s="2" t="s">
        <v>454</v>
      </c>
      <c r="T53" s="2" t="s">
        <v>280</v>
      </c>
      <c r="U53" s="2" t="s">
        <v>102</v>
      </c>
      <c r="V53" s="2" t="s">
        <v>239</v>
      </c>
      <c r="W53" s="2" t="s">
        <v>239</v>
      </c>
      <c r="X53" s="2" t="s">
        <v>203</v>
      </c>
      <c r="Y53" s="2" t="s">
        <v>459</v>
      </c>
      <c r="Z53" s="4">
        <v>573</v>
      </c>
      <c r="AA53" s="4">
        <f>=ROUNDDOWN(38.2,0)</f>
      </c>
      <c r="AB53" s="5">
        <v>15</v>
      </c>
      <c r="AC53" s="2" t="s">
        <v>241</v>
      </c>
      <c r="AD53" s="4">
        <v>1200</v>
      </c>
      <c r="AE53" s="4">
        <v>1300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/>
      <c r="BJ53" s="4">
        <v>383</v>
      </c>
      <c r="BK53" s="8">
        <v>26457.15</v>
      </c>
      <c r="BL53" s="2" t="s">
        <v>460</v>
      </c>
      <c r="BM53" s="7"/>
      <c r="BN53" s="7"/>
      <c r="BO53" s="4"/>
      <c r="BP53" s="8"/>
      <c r="BQ53" s="4"/>
      <c r="BR53" s="8"/>
      <c r="BS53" s="7"/>
      <c r="BT53" s="7"/>
      <c r="BU53" s="2" t="s">
        <v>207</v>
      </c>
      <c r="BV53" s="2" t="s">
        <v>97</v>
      </c>
      <c r="BW53" s="2" t="s">
        <v>100</v>
      </c>
      <c r="BX53" s="2" t="s">
        <v>100</v>
      </c>
      <c r="BY53" s="2" t="s">
        <v>113</v>
      </c>
      <c r="BZ53" s="2" t="s">
        <v>100</v>
      </c>
    </row>
    <row r="54">
      <c r="A54" s="2" t="s">
        <v>461</v>
      </c>
      <c r="B54" s="2" t="s">
        <v>87</v>
      </c>
      <c r="C54" s="2" t="s">
        <v>88</v>
      </c>
      <c r="D54" s="2" t="s">
        <v>89</v>
      </c>
      <c r="E54" s="2" t="s">
        <v>232</v>
      </c>
      <c r="F54" s="2" t="s">
        <v>194</v>
      </c>
      <c r="G54" s="2" t="s">
        <v>195</v>
      </c>
      <c r="H54" s="2" t="s">
        <v>196</v>
      </c>
      <c r="I54" s="2" t="s">
        <v>462</v>
      </c>
      <c r="J54" s="2" t="s">
        <v>247</v>
      </c>
      <c r="K54" s="2" t="s">
        <v>209</v>
      </c>
      <c r="L54" s="3">
        <v>51.83</v>
      </c>
      <c r="M54" s="3">
        <v>54.42</v>
      </c>
      <c r="N54" s="3">
        <v>109.99</v>
      </c>
      <c r="O54" s="2" t="s">
        <v>97</v>
      </c>
      <c r="P54" s="2" t="s">
        <v>119</v>
      </c>
      <c r="Q54" s="2" t="s">
        <v>99</v>
      </c>
      <c r="R54" s="2" t="s">
        <v>100</v>
      </c>
      <c r="S54" s="2" t="s">
        <v>463</v>
      </c>
      <c r="T54" s="2" t="s">
        <v>100</v>
      </c>
      <c r="U54" s="2" t="s">
        <v>102</v>
      </c>
      <c r="V54" s="2" t="s">
        <v>201</v>
      </c>
      <c r="W54" s="2" t="s">
        <v>202</v>
      </c>
      <c r="X54" s="2" t="s">
        <v>203</v>
      </c>
      <c r="Y54" s="2" t="s">
        <v>464</v>
      </c>
      <c r="Z54" s="4">
        <v>231</v>
      </c>
      <c r="AA54" s="4">
        <f>=ROUNDDOWN(23.1,0)</f>
      </c>
      <c r="AB54" s="5">
        <v>10</v>
      </c>
      <c r="AC54" s="2" t="s">
        <v>205</v>
      </c>
      <c r="AD54" s="4">
        <v>50</v>
      </c>
      <c r="AE54" s="4">
        <v>50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/>
      <c r="BJ54" s="4">
        <v>315</v>
      </c>
      <c r="BK54" s="8">
        <v>17812.48</v>
      </c>
      <c r="BL54" s="2" t="s">
        <v>465</v>
      </c>
      <c r="BM54" s="7"/>
      <c r="BN54" s="7"/>
      <c r="BO54" s="4"/>
      <c r="BP54" s="8"/>
      <c r="BQ54" s="4"/>
      <c r="BR54" s="8"/>
      <c r="BS54" s="7"/>
      <c r="BT54" s="7"/>
      <c r="BU54" s="2" t="s">
        <v>207</v>
      </c>
      <c r="BV54" s="2" t="s">
        <v>97</v>
      </c>
      <c r="BW54" s="2" t="s">
        <v>100</v>
      </c>
      <c r="BX54" s="2" t="s">
        <v>100</v>
      </c>
      <c r="BY54" s="2" t="s">
        <v>113</v>
      </c>
      <c r="BZ54" s="2" t="s">
        <v>100</v>
      </c>
    </row>
    <row r="55">
      <c r="A55" s="2" t="s">
        <v>466</v>
      </c>
      <c r="B55" s="2" t="s">
        <v>87</v>
      </c>
      <c r="C55" s="2" t="s">
        <v>88</v>
      </c>
      <c r="D55" s="2" t="s">
        <v>89</v>
      </c>
      <c r="E55" s="2" t="s">
        <v>232</v>
      </c>
      <c r="F55" s="2" t="s">
        <v>194</v>
      </c>
      <c r="G55" s="2" t="s">
        <v>195</v>
      </c>
      <c r="H55" s="2" t="s">
        <v>196</v>
      </c>
      <c r="I55" s="2" t="s">
        <v>462</v>
      </c>
      <c r="J55" s="2" t="s">
        <v>270</v>
      </c>
      <c r="K55" s="2" t="s">
        <v>209</v>
      </c>
      <c r="L55" s="3">
        <v>57.32</v>
      </c>
      <c r="M55" s="3">
        <v>60.19</v>
      </c>
      <c r="N55" s="3">
        <v>119.99</v>
      </c>
      <c r="O55" s="2" t="s">
        <v>97</v>
      </c>
      <c r="P55" s="2" t="s">
        <v>119</v>
      </c>
      <c r="Q55" s="2" t="s">
        <v>99</v>
      </c>
      <c r="R55" s="2" t="s">
        <v>100</v>
      </c>
      <c r="S55" s="2" t="s">
        <v>463</v>
      </c>
      <c r="T55" s="2" t="s">
        <v>100</v>
      </c>
      <c r="U55" s="2" t="s">
        <v>102</v>
      </c>
      <c r="V55" s="2" t="s">
        <v>201</v>
      </c>
      <c r="W55" s="2" t="s">
        <v>202</v>
      </c>
      <c r="X55" s="2" t="s">
        <v>203</v>
      </c>
      <c r="Y55" s="2" t="s">
        <v>464</v>
      </c>
      <c r="Z55" s="4">
        <v>229</v>
      </c>
      <c r="AA55" s="4">
        <f>=ROUNDDOWN(28.625,0)</f>
      </c>
      <c r="AB55" s="5">
        <v>8</v>
      </c>
      <c r="AC55" s="2" t="s">
        <v>205</v>
      </c>
      <c r="AD55" s="4">
        <v>50</v>
      </c>
      <c r="AE55" s="4">
        <v>50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/>
      <c r="BJ55" s="4">
        <v>250</v>
      </c>
      <c r="BK55" s="8">
        <v>15805.59</v>
      </c>
      <c r="BL55" s="2" t="s">
        <v>467</v>
      </c>
      <c r="BM55" s="7"/>
      <c r="BN55" s="7"/>
      <c r="BO55" s="4"/>
      <c r="BP55" s="8"/>
      <c r="BQ55" s="4"/>
      <c r="BR55" s="8"/>
      <c r="BS55" s="7"/>
      <c r="BT55" s="7"/>
      <c r="BU55" s="2" t="s">
        <v>207</v>
      </c>
      <c r="BV55" s="2" t="s">
        <v>97</v>
      </c>
      <c r="BW55" s="2" t="s">
        <v>100</v>
      </c>
      <c r="BX55" s="2" t="s">
        <v>100</v>
      </c>
      <c r="BY55" s="2" t="s">
        <v>113</v>
      </c>
      <c r="BZ55" s="2" t="s">
        <v>100</v>
      </c>
    </row>
    <row r="56">
      <c r="A56" s="2" t="s">
        <v>468</v>
      </c>
      <c r="B56" s="2" t="s">
        <v>87</v>
      </c>
      <c r="C56" s="2" t="s">
        <v>88</v>
      </c>
      <c r="D56" s="2" t="s">
        <v>89</v>
      </c>
      <c r="E56" s="2" t="s">
        <v>232</v>
      </c>
      <c r="F56" s="2" t="s">
        <v>194</v>
      </c>
      <c r="G56" s="2" t="s">
        <v>195</v>
      </c>
      <c r="H56" s="2" t="s">
        <v>196</v>
      </c>
      <c r="I56" s="2" t="s">
        <v>462</v>
      </c>
      <c r="J56" s="2" t="s">
        <v>270</v>
      </c>
      <c r="K56" s="2" t="s">
        <v>469</v>
      </c>
      <c r="L56" s="3">
        <v>57.32</v>
      </c>
      <c r="M56" s="3">
        <v>60.19</v>
      </c>
      <c r="N56" s="3">
        <v>119.99</v>
      </c>
      <c r="O56" s="2" t="s">
        <v>97</v>
      </c>
      <c r="P56" s="2" t="s">
        <v>119</v>
      </c>
      <c r="Q56" s="2" t="s">
        <v>99</v>
      </c>
      <c r="R56" s="2" t="s">
        <v>100</v>
      </c>
      <c r="S56" s="2" t="s">
        <v>100</v>
      </c>
      <c r="T56" s="2" t="s">
        <v>100</v>
      </c>
      <c r="U56" s="2" t="s">
        <v>102</v>
      </c>
      <c r="V56" s="2" t="s">
        <v>201</v>
      </c>
      <c r="W56" s="2" t="s">
        <v>202</v>
      </c>
      <c r="X56" s="2" t="s">
        <v>203</v>
      </c>
      <c r="Y56" s="2" t="s">
        <v>470</v>
      </c>
      <c r="Z56" s="4">
        <v>185</v>
      </c>
      <c r="AA56" s="4">
        <f>=ROUNDDOWN(26.4285714285714,0)</f>
      </c>
      <c r="AB56" s="5">
        <v>7</v>
      </c>
      <c r="AC56" s="2" t="s">
        <v>356</v>
      </c>
      <c r="AD56" s="4">
        <v>80</v>
      </c>
      <c r="AE56" s="4">
        <v>80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/>
      <c r="AQ56" s="8"/>
      <c r="AR56" s="4"/>
      <c r="AS56" s="8"/>
      <c r="AT56" s="7"/>
      <c r="AU56" s="7"/>
      <c r="AV56" s="4"/>
      <c r="AW56" s="8"/>
      <c r="AX56" s="4"/>
      <c r="AY56" s="8"/>
      <c r="AZ56" s="7"/>
      <c r="BA56" s="7"/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/>
      <c r="BJ56" s="4">
        <v>238</v>
      </c>
      <c r="BK56" s="8">
        <v>15513.43</v>
      </c>
      <c r="BL56" s="2" t="s">
        <v>418</v>
      </c>
      <c r="BM56" s="7"/>
      <c r="BN56" s="7"/>
      <c r="BO56" s="4"/>
      <c r="BP56" s="8"/>
      <c r="BQ56" s="4"/>
      <c r="BR56" s="8"/>
      <c r="BS56" s="7"/>
      <c r="BT56" s="7"/>
      <c r="BU56" s="2" t="s">
        <v>109</v>
      </c>
      <c r="BV56" s="2" t="s">
        <v>97</v>
      </c>
      <c r="BW56" s="2" t="s">
        <v>471</v>
      </c>
      <c r="BX56" s="2" t="s">
        <v>472</v>
      </c>
      <c r="BY56" s="2" t="s">
        <v>113</v>
      </c>
      <c r="BZ56" s="2" t="s">
        <v>100</v>
      </c>
    </row>
    <row r="57">
      <c r="A57" s="2" t="s">
        <v>473</v>
      </c>
      <c r="B57" s="2" t="s">
        <v>87</v>
      </c>
      <c r="C57" s="2" t="s">
        <v>88</v>
      </c>
      <c r="D57" s="2" t="s">
        <v>89</v>
      </c>
      <c r="E57" s="2" t="s">
        <v>232</v>
      </c>
      <c r="F57" s="2" t="s">
        <v>474</v>
      </c>
      <c r="G57" s="2" t="s">
        <v>475</v>
      </c>
      <c r="H57" s="2" t="s">
        <v>476</v>
      </c>
      <c r="I57" s="2" t="s">
        <v>477</v>
      </c>
      <c r="J57" s="2" t="s">
        <v>247</v>
      </c>
      <c r="K57" s="2" t="s">
        <v>478</v>
      </c>
      <c r="L57" s="3">
        <v>36.8</v>
      </c>
      <c r="M57" s="3">
        <v>38.64</v>
      </c>
      <c r="N57" s="3">
        <v>79.99</v>
      </c>
      <c r="O57" s="2" t="s">
        <v>97</v>
      </c>
      <c r="P57" s="2" t="s">
        <v>225</v>
      </c>
      <c r="Q57" s="2" t="s">
        <v>99</v>
      </c>
      <c r="R57" s="2" t="s">
        <v>100</v>
      </c>
      <c r="S57" s="2" t="s">
        <v>479</v>
      </c>
      <c r="T57" s="2" t="s">
        <v>100</v>
      </c>
      <c r="U57" s="2" t="s">
        <v>480</v>
      </c>
      <c r="V57" s="2" t="s">
        <v>201</v>
      </c>
      <c r="W57" s="2" t="s">
        <v>202</v>
      </c>
      <c r="X57" s="2" t="s">
        <v>339</v>
      </c>
      <c r="Y57" s="2" t="s">
        <v>481</v>
      </c>
      <c r="Z57" s="4">
        <v>361</v>
      </c>
      <c r="AA57" s="4">
        <f>=ROUNDDOWN(25.7857142857143,0)</f>
      </c>
      <c r="AB57" s="5">
        <v>14</v>
      </c>
      <c r="AC57" s="2" t="s">
        <v>148</v>
      </c>
      <c r="AD57" s="4">
        <v>280</v>
      </c>
      <c r="AE57" s="4">
        <v>280</v>
      </c>
      <c r="AF57" s="6">
        <v>65</v>
      </c>
      <c r="AG57" s="6"/>
      <c r="AH57" s="7">
        <v>0.673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/>
      <c r="BJ57" s="4">
        <v>211</v>
      </c>
      <c r="BK57" s="8">
        <v>7544.44</v>
      </c>
      <c r="BL57" s="2" t="s">
        <v>482</v>
      </c>
      <c r="BM57" s="7"/>
      <c r="BN57" s="7"/>
      <c r="BO57" s="4"/>
      <c r="BP57" s="8"/>
      <c r="BQ57" s="4"/>
      <c r="BR57" s="8"/>
      <c r="BS57" s="7"/>
      <c r="BT57" s="7"/>
      <c r="BU57" s="2" t="s">
        <v>207</v>
      </c>
      <c r="BV57" s="2" t="s">
        <v>97</v>
      </c>
      <c r="BW57" s="2" t="s">
        <v>100</v>
      </c>
      <c r="BX57" s="2" t="s">
        <v>100</v>
      </c>
      <c r="BY57" s="2" t="s">
        <v>113</v>
      </c>
      <c r="BZ57" s="2" t="s">
        <v>100</v>
      </c>
    </row>
    <row r="58">
      <c r="A58" s="2" t="s">
        <v>483</v>
      </c>
      <c r="B58" s="2" t="s">
        <v>87</v>
      </c>
      <c r="C58" s="2" t="s">
        <v>88</v>
      </c>
      <c r="D58" s="2" t="s">
        <v>89</v>
      </c>
      <c r="E58" s="2" t="s">
        <v>232</v>
      </c>
      <c r="F58" s="2" t="s">
        <v>474</v>
      </c>
      <c r="G58" s="2" t="s">
        <v>475</v>
      </c>
      <c r="H58" s="2" t="s">
        <v>476</v>
      </c>
      <c r="I58" s="2" t="s">
        <v>477</v>
      </c>
      <c r="J58" s="2" t="s">
        <v>270</v>
      </c>
      <c r="K58" s="2" t="s">
        <v>478</v>
      </c>
      <c r="L58" s="3">
        <v>42.3</v>
      </c>
      <c r="M58" s="3">
        <v>44.41</v>
      </c>
      <c r="N58" s="3">
        <v>89.99</v>
      </c>
      <c r="O58" s="2" t="s">
        <v>97</v>
      </c>
      <c r="P58" s="2" t="s">
        <v>225</v>
      </c>
      <c r="Q58" s="2" t="s">
        <v>99</v>
      </c>
      <c r="R58" s="2" t="s">
        <v>100</v>
      </c>
      <c r="S58" s="2" t="s">
        <v>479</v>
      </c>
      <c r="T58" s="2" t="s">
        <v>100</v>
      </c>
      <c r="U58" s="2" t="s">
        <v>480</v>
      </c>
      <c r="V58" s="2" t="s">
        <v>201</v>
      </c>
      <c r="W58" s="2" t="s">
        <v>202</v>
      </c>
      <c r="X58" s="2" t="s">
        <v>339</v>
      </c>
      <c r="Y58" s="2" t="s">
        <v>481</v>
      </c>
      <c r="Z58" s="4">
        <v>268</v>
      </c>
      <c r="AA58" s="4">
        <f>=ROUNDDOWN(15.7647058823529,0)</f>
      </c>
      <c r="AB58" s="5">
        <v>17</v>
      </c>
      <c r="AC58" s="2" t="s">
        <v>148</v>
      </c>
      <c r="AD58" s="4">
        <v>320</v>
      </c>
      <c r="AE58" s="4">
        <v>320</v>
      </c>
      <c r="AF58" s="6">
        <v>65</v>
      </c>
      <c r="AG58" s="6"/>
      <c r="AH58" s="7">
        <v>0.6667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/>
      <c r="BJ58" s="4">
        <v>239</v>
      </c>
      <c r="BK58" s="8">
        <v>9786.63</v>
      </c>
      <c r="BL58" s="2" t="s">
        <v>482</v>
      </c>
      <c r="BM58" s="7"/>
      <c r="BN58" s="7"/>
      <c r="BO58" s="4"/>
      <c r="BP58" s="8"/>
      <c r="BQ58" s="4"/>
      <c r="BR58" s="8"/>
      <c r="BS58" s="7"/>
      <c r="BT58" s="7"/>
      <c r="BU58" s="2" t="s">
        <v>207</v>
      </c>
      <c r="BV58" s="2" t="s">
        <v>97</v>
      </c>
      <c r="BW58" s="2" t="s">
        <v>100</v>
      </c>
      <c r="BX58" s="2" t="s">
        <v>100</v>
      </c>
      <c r="BY58" s="2" t="s">
        <v>113</v>
      </c>
      <c r="BZ58" s="2" t="s">
        <v>100</v>
      </c>
    </row>
    <row r="59">
      <c r="A59" s="2" t="s">
        <v>484</v>
      </c>
      <c r="B59" s="2" t="s">
        <v>87</v>
      </c>
      <c r="C59" s="2" t="s">
        <v>88</v>
      </c>
      <c r="D59" s="2" t="s">
        <v>89</v>
      </c>
      <c r="E59" s="2" t="s">
        <v>232</v>
      </c>
      <c r="F59" s="2" t="s">
        <v>485</v>
      </c>
      <c r="G59" s="2" t="s">
        <v>486</v>
      </c>
      <c r="H59" s="2" t="s">
        <v>487</v>
      </c>
      <c r="I59" s="2" t="s">
        <v>253</v>
      </c>
      <c r="J59" s="2" t="s">
        <v>247</v>
      </c>
      <c r="K59" s="2" t="s">
        <v>335</v>
      </c>
      <c r="L59" s="3">
        <v>63.7</v>
      </c>
      <c r="M59" s="3">
        <v>66.88</v>
      </c>
      <c r="N59" s="3">
        <v>129.99</v>
      </c>
      <c r="O59" s="2" t="s">
        <v>97</v>
      </c>
      <c r="P59" s="2" t="s">
        <v>119</v>
      </c>
      <c r="Q59" s="2" t="s">
        <v>99</v>
      </c>
      <c r="R59" s="2" t="s">
        <v>100</v>
      </c>
      <c r="S59" s="2" t="s">
        <v>488</v>
      </c>
      <c r="T59" s="2" t="s">
        <v>280</v>
      </c>
      <c r="U59" s="2" t="s">
        <v>102</v>
      </c>
      <c r="V59" s="2" t="s">
        <v>489</v>
      </c>
      <c r="W59" s="2" t="s">
        <v>104</v>
      </c>
      <c r="X59" s="2" t="s">
        <v>490</v>
      </c>
      <c r="Y59" s="2" t="s">
        <v>491</v>
      </c>
      <c r="Z59" s="4">
        <v>122</v>
      </c>
      <c r="AA59" s="4">
        <f>=ROUNDDOWN(40.6666666666667,0)</f>
      </c>
      <c r="AB59" s="5">
        <v>3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/>
      <c r="BJ59" s="4">
        <v>73</v>
      </c>
      <c r="BK59" s="8">
        <v>4759.88</v>
      </c>
      <c r="BL59" s="2" t="s">
        <v>492</v>
      </c>
      <c r="BM59" s="7"/>
      <c r="BN59" s="7"/>
      <c r="BO59" s="4"/>
      <c r="BP59" s="8"/>
      <c r="BQ59" s="4"/>
      <c r="BR59" s="8"/>
      <c r="BS59" s="7"/>
      <c r="BT59" s="7"/>
      <c r="BU59" s="2" t="s">
        <v>207</v>
      </c>
      <c r="BV59" s="2" t="s">
        <v>97</v>
      </c>
      <c r="BW59" s="2" t="s">
        <v>100</v>
      </c>
      <c r="BX59" s="2" t="s">
        <v>100</v>
      </c>
      <c r="BY59" s="2" t="s">
        <v>113</v>
      </c>
      <c r="BZ59" s="2" t="s">
        <v>100</v>
      </c>
    </row>
    <row r="60">
      <c r="A60" s="2" t="s">
        <v>493</v>
      </c>
      <c r="B60" s="2" t="s">
        <v>87</v>
      </c>
      <c r="C60" s="2" t="s">
        <v>88</v>
      </c>
      <c r="D60" s="2" t="s">
        <v>89</v>
      </c>
      <c r="E60" s="2" t="s">
        <v>232</v>
      </c>
      <c r="F60" s="2" t="s">
        <v>485</v>
      </c>
      <c r="G60" s="2" t="s">
        <v>486</v>
      </c>
      <c r="H60" s="2" t="s">
        <v>487</v>
      </c>
      <c r="I60" s="2" t="s">
        <v>253</v>
      </c>
      <c r="J60" s="2" t="s">
        <v>270</v>
      </c>
      <c r="K60" s="2" t="s">
        <v>335</v>
      </c>
      <c r="L60" s="3">
        <v>68.6</v>
      </c>
      <c r="M60" s="3">
        <v>72.02</v>
      </c>
      <c r="N60" s="3">
        <v>139.99</v>
      </c>
      <c r="O60" s="2" t="s">
        <v>97</v>
      </c>
      <c r="P60" s="2" t="s">
        <v>119</v>
      </c>
      <c r="Q60" s="2" t="s">
        <v>99</v>
      </c>
      <c r="R60" s="2" t="s">
        <v>100</v>
      </c>
      <c r="S60" s="2" t="s">
        <v>488</v>
      </c>
      <c r="T60" s="2" t="s">
        <v>280</v>
      </c>
      <c r="U60" s="2" t="s">
        <v>102</v>
      </c>
      <c r="V60" s="2" t="s">
        <v>489</v>
      </c>
      <c r="W60" s="2" t="s">
        <v>104</v>
      </c>
      <c r="X60" s="2" t="s">
        <v>490</v>
      </c>
      <c r="Y60" s="2" t="s">
        <v>491</v>
      </c>
      <c r="Z60" s="4">
        <v>153</v>
      </c>
      <c r="AA60" s="4">
        <f>=ROUNDDOWN(38.25,0)</f>
      </c>
      <c r="AB60" s="5">
        <v>4</v>
      </c>
      <c r="AC60" s="2" t="s">
        <v>100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/>
      <c r="BJ60" s="4">
        <v>95</v>
      </c>
      <c r="BK60" s="8">
        <v>6773.92</v>
      </c>
      <c r="BL60" s="2" t="s">
        <v>494</v>
      </c>
      <c r="BM60" s="7"/>
      <c r="BN60" s="7"/>
      <c r="BO60" s="4"/>
      <c r="BP60" s="8"/>
      <c r="BQ60" s="4"/>
      <c r="BR60" s="8"/>
      <c r="BS60" s="7"/>
      <c r="BT60" s="7"/>
      <c r="BU60" s="2" t="s">
        <v>207</v>
      </c>
      <c r="BV60" s="2" t="s">
        <v>97</v>
      </c>
      <c r="BW60" s="2" t="s">
        <v>100</v>
      </c>
      <c r="BX60" s="2" t="s">
        <v>100</v>
      </c>
      <c r="BY60" s="2" t="s">
        <v>113</v>
      </c>
      <c r="BZ60" s="2" t="s">
        <v>100</v>
      </c>
    </row>
    <row r="61">
      <c r="A61" s="2" t="s">
        <v>495</v>
      </c>
      <c r="B61" s="2" t="s">
        <v>87</v>
      </c>
      <c r="C61" s="2" t="s">
        <v>88</v>
      </c>
      <c r="D61" s="2" t="s">
        <v>89</v>
      </c>
      <c r="E61" s="2" t="s">
        <v>232</v>
      </c>
      <c r="F61" s="2" t="s">
        <v>485</v>
      </c>
      <c r="G61" s="2" t="s">
        <v>486</v>
      </c>
      <c r="H61" s="2" t="s">
        <v>487</v>
      </c>
      <c r="I61" s="2" t="s">
        <v>253</v>
      </c>
      <c r="J61" s="2" t="s">
        <v>247</v>
      </c>
      <c r="K61" s="2" t="s">
        <v>496</v>
      </c>
      <c r="L61" s="3">
        <v>63.7</v>
      </c>
      <c r="M61" s="3">
        <v>66.88</v>
      </c>
      <c r="N61" s="3">
        <v>129.99</v>
      </c>
      <c r="O61" s="2" t="s">
        <v>97</v>
      </c>
      <c r="P61" s="2" t="s">
        <v>119</v>
      </c>
      <c r="Q61" s="2" t="s">
        <v>99</v>
      </c>
      <c r="R61" s="2" t="s">
        <v>100</v>
      </c>
      <c r="S61" s="2" t="s">
        <v>497</v>
      </c>
      <c r="T61" s="2" t="s">
        <v>100</v>
      </c>
      <c r="U61" s="2" t="s">
        <v>102</v>
      </c>
      <c r="V61" s="2" t="s">
        <v>489</v>
      </c>
      <c r="W61" s="2" t="s">
        <v>104</v>
      </c>
      <c r="X61" s="2" t="s">
        <v>490</v>
      </c>
      <c r="Y61" s="2" t="s">
        <v>498</v>
      </c>
      <c r="Z61" s="4">
        <v>259</v>
      </c>
      <c r="AA61" s="4">
        <f>=ROUNDDOWN(37,0)</f>
      </c>
      <c r="AB61" s="5">
        <v>7</v>
      </c>
      <c r="AC61" s="2" t="s">
        <v>100</v>
      </c>
      <c r="AD61" s="4"/>
      <c r="AE61" s="4"/>
      <c r="AF61" s="6">
        <v>65</v>
      </c>
      <c r="AG61" s="6">
        <v>73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/>
      <c r="BJ61" s="4">
        <v>168</v>
      </c>
      <c r="BK61" s="8">
        <v>11044.19</v>
      </c>
      <c r="BL61" s="2" t="s">
        <v>499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500</v>
      </c>
      <c r="BX61" s="2" t="s">
        <v>501</v>
      </c>
      <c r="BY61" s="2" t="s">
        <v>113</v>
      </c>
      <c r="BZ61" s="2" t="s">
        <v>100</v>
      </c>
    </row>
    <row r="62">
      <c r="A62" s="2" t="s">
        <v>502</v>
      </c>
      <c r="B62" s="2" t="s">
        <v>87</v>
      </c>
      <c r="C62" s="2" t="s">
        <v>88</v>
      </c>
      <c r="D62" s="2" t="s">
        <v>89</v>
      </c>
      <c r="E62" s="2" t="s">
        <v>232</v>
      </c>
      <c r="F62" s="2" t="s">
        <v>485</v>
      </c>
      <c r="G62" s="2" t="s">
        <v>486</v>
      </c>
      <c r="H62" s="2" t="s">
        <v>487</v>
      </c>
      <c r="I62" s="2" t="s">
        <v>253</v>
      </c>
      <c r="J62" s="2" t="s">
        <v>270</v>
      </c>
      <c r="K62" s="2" t="s">
        <v>496</v>
      </c>
      <c r="L62" s="3">
        <v>68.6</v>
      </c>
      <c r="M62" s="3">
        <v>72.02</v>
      </c>
      <c r="N62" s="3">
        <v>139.99</v>
      </c>
      <c r="O62" s="2" t="s">
        <v>97</v>
      </c>
      <c r="P62" s="2" t="s">
        <v>119</v>
      </c>
      <c r="Q62" s="2" t="s">
        <v>99</v>
      </c>
      <c r="R62" s="2" t="s">
        <v>100</v>
      </c>
      <c r="S62" s="2" t="s">
        <v>497</v>
      </c>
      <c r="T62" s="2" t="s">
        <v>100</v>
      </c>
      <c r="U62" s="2" t="s">
        <v>102</v>
      </c>
      <c r="V62" s="2" t="s">
        <v>489</v>
      </c>
      <c r="W62" s="2" t="s">
        <v>104</v>
      </c>
      <c r="X62" s="2" t="s">
        <v>105</v>
      </c>
      <c r="Y62" s="2" t="s">
        <v>498</v>
      </c>
      <c r="Z62" s="4">
        <v>303</v>
      </c>
      <c r="AA62" s="4">
        <f>=ROUNDDOWN(25.25,0)</f>
      </c>
      <c r="AB62" s="5">
        <v>12</v>
      </c>
      <c r="AC62" s="2" t="s">
        <v>241</v>
      </c>
      <c r="AD62" s="4">
        <v>100</v>
      </c>
      <c r="AE62" s="4">
        <v>160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/>
      <c r="BJ62" s="4">
        <v>313</v>
      </c>
      <c r="BK62" s="8">
        <v>22196.26</v>
      </c>
      <c r="BL62" s="2" t="s">
        <v>503</v>
      </c>
      <c r="BM62" s="7"/>
      <c r="BN62" s="7"/>
      <c r="BO62" s="4"/>
      <c r="BP62" s="8"/>
      <c r="BQ62" s="4"/>
      <c r="BR62" s="8"/>
      <c r="BS62" s="7"/>
      <c r="BT62" s="7"/>
      <c r="BU62" s="2" t="s">
        <v>109</v>
      </c>
      <c r="BV62" s="2" t="s">
        <v>97</v>
      </c>
      <c r="BW62" s="2" t="s">
        <v>500</v>
      </c>
      <c r="BX62" s="2" t="s">
        <v>504</v>
      </c>
      <c r="BY62" s="2" t="s">
        <v>113</v>
      </c>
      <c r="BZ62" s="2" t="s">
        <v>100</v>
      </c>
    </row>
    <row r="63">
      <c r="A63" s="2" t="s">
        <v>505</v>
      </c>
      <c r="B63" s="2" t="s">
        <v>87</v>
      </c>
      <c r="C63" s="2" t="s">
        <v>88</v>
      </c>
      <c r="D63" s="2" t="s">
        <v>89</v>
      </c>
      <c r="E63" s="2" t="s">
        <v>506</v>
      </c>
      <c r="F63" s="2" t="s">
        <v>179</v>
      </c>
      <c r="G63" s="2" t="s">
        <v>180</v>
      </c>
      <c r="H63" s="2" t="s">
        <v>181</v>
      </c>
      <c r="I63" s="2" t="s">
        <v>507</v>
      </c>
      <c r="J63" s="2" t="s">
        <v>270</v>
      </c>
      <c r="K63" s="2" t="s">
        <v>360</v>
      </c>
      <c r="L63" s="3">
        <v>39.69</v>
      </c>
      <c r="M63" s="3">
        <v>41.67</v>
      </c>
      <c r="N63" s="3">
        <v>79.99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508</v>
      </c>
      <c r="T63" s="2" t="s">
        <v>100</v>
      </c>
      <c r="U63" s="2" t="s">
        <v>480</v>
      </c>
      <c r="V63" s="2" t="s">
        <v>146</v>
      </c>
      <c r="W63" s="2" t="s">
        <v>104</v>
      </c>
      <c r="X63" s="2" t="s">
        <v>183</v>
      </c>
      <c r="Y63" s="2" t="s">
        <v>240</v>
      </c>
      <c r="Z63" s="4">
        <v>518</v>
      </c>
      <c r="AA63" s="4">
        <f>=ROUNDDOWN(27.2631578947368,0)</f>
      </c>
      <c r="AB63" s="5">
        <v>19</v>
      </c>
      <c r="AC63" s="2" t="s">
        <v>356</v>
      </c>
      <c r="AD63" s="4">
        <v>60</v>
      </c>
      <c r="AE63" s="4">
        <v>240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>
        <v>9</v>
      </c>
      <c r="AQ63" s="8">
        <v>406.17</v>
      </c>
      <c r="AR63" s="4"/>
      <c r="AS63" s="8"/>
      <c r="AT63" s="7"/>
      <c r="AU63" s="7"/>
      <c r="AV63" s="4">
        <v>9</v>
      </c>
      <c r="AW63" s="8">
        <v>406.17</v>
      </c>
      <c r="AX63" s="4"/>
      <c r="AY63" s="8"/>
      <c r="AZ63" s="7"/>
      <c r="BA63" s="7"/>
      <c r="BB63" s="7">
        <v>1</v>
      </c>
      <c r="BC63" s="4">
        <v>17</v>
      </c>
      <c r="BD63" s="8">
        <v>671.35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0.605</v>
      </c>
      <c r="BJ63" s="4">
        <v>418</v>
      </c>
      <c r="BK63" s="8">
        <v>17916.38</v>
      </c>
      <c r="BL63" s="2" t="s">
        <v>509</v>
      </c>
      <c r="BM63" s="7">
        <v>0.0215</v>
      </c>
      <c r="BN63" s="7">
        <v>0.0227</v>
      </c>
      <c r="BO63" s="4">
        <v>9</v>
      </c>
      <c r="BP63" s="8">
        <v>406.17</v>
      </c>
      <c r="BQ63" s="4"/>
      <c r="BR63" s="8"/>
      <c r="BS63" s="7"/>
      <c r="BT63" s="7"/>
      <c r="BU63" s="2" t="s">
        <v>109</v>
      </c>
      <c r="BV63" s="2" t="s">
        <v>110</v>
      </c>
      <c r="BW63" s="2" t="s">
        <v>243</v>
      </c>
      <c r="BX63" s="2" t="s">
        <v>510</v>
      </c>
      <c r="BY63" s="2" t="s">
        <v>113</v>
      </c>
      <c r="BZ63" s="2" t="s">
        <v>100</v>
      </c>
    </row>
    <row r="64">
      <c r="A64" s="2" t="s">
        <v>511</v>
      </c>
      <c r="B64" s="2" t="s">
        <v>87</v>
      </c>
      <c r="C64" s="2" t="s">
        <v>88</v>
      </c>
      <c r="D64" s="2" t="s">
        <v>89</v>
      </c>
      <c r="E64" s="2" t="s">
        <v>506</v>
      </c>
      <c r="F64" s="2" t="s">
        <v>179</v>
      </c>
      <c r="G64" s="2" t="s">
        <v>180</v>
      </c>
      <c r="H64" s="2" t="s">
        <v>181</v>
      </c>
      <c r="I64" s="2" t="s">
        <v>507</v>
      </c>
      <c r="J64" s="2" t="s">
        <v>237</v>
      </c>
      <c r="K64" s="2" t="s">
        <v>512</v>
      </c>
      <c r="L64" s="3">
        <v>26.9</v>
      </c>
      <c r="M64" s="3">
        <v>28.24</v>
      </c>
      <c r="N64" s="3">
        <v>54.99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513</v>
      </c>
      <c r="T64" s="2" t="s">
        <v>100</v>
      </c>
      <c r="U64" s="2" t="s">
        <v>514</v>
      </c>
      <c r="V64" s="2" t="s">
        <v>146</v>
      </c>
      <c r="W64" s="2" t="s">
        <v>104</v>
      </c>
      <c r="X64" s="2" t="s">
        <v>183</v>
      </c>
      <c r="Y64" s="2" t="s">
        <v>240</v>
      </c>
      <c r="Z64" s="4">
        <v>538</v>
      </c>
      <c r="AA64" s="4">
        <f>=ROUNDDOWN(48.9090909090909,0)</f>
      </c>
      <c r="AB64" s="5">
        <v>11</v>
      </c>
      <c r="AC64" s="2" t="s">
        <v>356</v>
      </c>
      <c r="AD64" s="4">
        <v>100</v>
      </c>
      <c r="AE64" s="4">
        <v>100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>
        <v>5</v>
      </c>
      <c r="AQ64" s="8">
        <v>155.15</v>
      </c>
      <c r="AR64" s="4"/>
      <c r="AS64" s="8"/>
      <c r="AT64" s="7"/>
      <c r="AU64" s="7"/>
      <c r="AV64" s="4">
        <v>5</v>
      </c>
      <c r="AW64" s="8">
        <v>155.15</v>
      </c>
      <c r="AX64" s="4"/>
      <c r="AY64" s="8"/>
      <c r="AZ64" s="7"/>
      <c r="BA64" s="7"/>
      <c r="BB64" s="7">
        <v>1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0.2311</v>
      </c>
      <c r="BJ64" s="4">
        <v>246</v>
      </c>
      <c r="BK64" s="8">
        <v>7405.56</v>
      </c>
      <c r="BL64" s="2" t="s">
        <v>515</v>
      </c>
      <c r="BM64" s="7">
        <v>0.0203</v>
      </c>
      <c r="BN64" s="7">
        <v>0.021</v>
      </c>
      <c r="BO64" s="4">
        <v>5</v>
      </c>
      <c r="BP64" s="8">
        <v>155.15</v>
      </c>
      <c r="BQ64" s="4"/>
      <c r="BR64" s="8"/>
      <c r="BS64" s="7"/>
      <c r="BT64" s="7"/>
      <c r="BU64" s="2" t="s">
        <v>109</v>
      </c>
      <c r="BV64" s="2" t="s">
        <v>110</v>
      </c>
      <c r="BW64" s="2" t="s">
        <v>243</v>
      </c>
      <c r="BX64" s="2" t="s">
        <v>516</v>
      </c>
      <c r="BY64" s="2" t="s">
        <v>113</v>
      </c>
      <c r="BZ64" s="2" t="s">
        <v>100</v>
      </c>
    </row>
    <row r="65">
      <c r="A65" s="2" t="s">
        <v>517</v>
      </c>
      <c r="B65" s="2" t="s">
        <v>87</v>
      </c>
      <c r="C65" s="2" t="s">
        <v>88</v>
      </c>
      <c r="D65" s="2" t="s">
        <v>89</v>
      </c>
      <c r="E65" s="2" t="s">
        <v>506</v>
      </c>
      <c r="F65" s="2" t="s">
        <v>179</v>
      </c>
      <c r="G65" s="2" t="s">
        <v>180</v>
      </c>
      <c r="H65" s="2" t="s">
        <v>181</v>
      </c>
      <c r="I65" s="2" t="s">
        <v>507</v>
      </c>
      <c r="J65" s="2" t="s">
        <v>247</v>
      </c>
      <c r="K65" s="2" t="s">
        <v>144</v>
      </c>
      <c r="L65" s="3">
        <v>34.55</v>
      </c>
      <c r="M65" s="3">
        <v>36.28</v>
      </c>
      <c r="N65" s="3">
        <v>69.99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518</v>
      </c>
      <c r="T65" s="2" t="s">
        <v>100</v>
      </c>
      <c r="U65" s="2" t="s">
        <v>480</v>
      </c>
      <c r="V65" s="2" t="s">
        <v>146</v>
      </c>
      <c r="W65" s="2" t="s">
        <v>104</v>
      </c>
      <c r="X65" s="2" t="s">
        <v>183</v>
      </c>
      <c r="Y65" s="2" t="s">
        <v>240</v>
      </c>
      <c r="Z65" s="4">
        <v>614</v>
      </c>
      <c r="AA65" s="4">
        <f>=ROUNDDOWN(34.1111111111111,0)</f>
      </c>
      <c r="AB65" s="5">
        <v>18</v>
      </c>
      <c r="AC65" s="2" t="s">
        <v>184</v>
      </c>
      <c r="AD65" s="4">
        <v>80</v>
      </c>
      <c r="AE65" s="4">
        <v>360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>
        <v>2</v>
      </c>
      <c r="AQ65" s="8">
        <v>79</v>
      </c>
      <c r="AR65" s="4"/>
      <c r="AS65" s="8"/>
      <c r="AT65" s="7"/>
      <c r="AU65" s="7"/>
      <c r="AV65" s="4">
        <v>2</v>
      </c>
      <c r="AW65" s="8">
        <v>79</v>
      </c>
      <c r="AX65" s="4"/>
      <c r="AY65" s="8"/>
      <c r="AZ65" s="7"/>
      <c r="BA65" s="7"/>
      <c r="BB65" s="7">
        <v>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0.1177</v>
      </c>
      <c r="BJ65" s="4">
        <v>409</v>
      </c>
      <c r="BK65" s="8">
        <v>15009.87</v>
      </c>
      <c r="BL65" s="2" t="s">
        <v>519</v>
      </c>
      <c r="BM65" s="7">
        <v>0.0049</v>
      </c>
      <c r="BN65" s="7">
        <v>0.0053</v>
      </c>
      <c r="BO65" s="4">
        <v>2</v>
      </c>
      <c r="BP65" s="8">
        <v>79</v>
      </c>
      <c r="BQ65" s="4"/>
      <c r="BR65" s="8"/>
      <c r="BS65" s="7"/>
      <c r="BT65" s="7"/>
      <c r="BU65" s="2" t="s">
        <v>109</v>
      </c>
      <c r="BV65" s="2" t="s">
        <v>110</v>
      </c>
      <c r="BW65" s="2" t="s">
        <v>243</v>
      </c>
      <c r="BX65" s="2" t="s">
        <v>312</v>
      </c>
      <c r="BY65" s="2" t="s">
        <v>113</v>
      </c>
      <c r="BZ65" s="2" t="s">
        <v>100</v>
      </c>
    </row>
    <row r="66">
      <c r="A66" s="2" t="s">
        <v>520</v>
      </c>
      <c r="B66" s="2" t="s">
        <v>87</v>
      </c>
      <c r="C66" s="2" t="s">
        <v>88</v>
      </c>
      <c r="D66" s="2" t="s">
        <v>89</v>
      </c>
      <c r="E66" s="2" t="s">
        <v>506</v>
      </c>
      <c r="F66" s="2" t="s">
        <v>179</v>
      </c>
      <c r="G66" s="2" t="s">
        <v>180</v>
      </c>
      <c r="H66" s="2" t="s">
        <v>181</v>
      </c>
      <c r="I66" s="2" t="s">
        <v>507</v>
      </c>
      <c r="J66" s="2" t="s">
        <v>237</v>
      </c>
      <c r="K66" s="2" t="s">
        <v>118</v>
      </c>
      <c r="L66" s="3">
        <v>26.9</v>
      </c>
      <c r="M66" s="3">
        <v>28.24</v>
      </c>
      <c r="N66" s="3">
        <v>54.99</v>
      </c>
      <c r="O66" s="2" t="s">
        <v>97</v>
      </c>
      <c r="P66" s="2" t="s">
        <v>98</v>
      </c>
      <c r="Q66" s="2" t="s">
        <v>99</v>
      </c>
      <c r="R66" s="2" t="s">
        <v>100</v>
      </c>
      <c r="S66" s="2" t="s">
        <v>521</v>
      </c>
      <c r="T66" s="2" t="s">
        <v>100</v>
      </c>
      <c r="U66" s="2" t="s">
        <v>514</v>
      </c>
      <c r="V66" s="2" t="s">
        <v>146</v>
      </c>
      <c r="W66" s="2" t="s">
        <v>104</v>
      </c>
      <c r="X66" s="2" t="s">
        <v>183</v>
      </c>
      <c r="Y66" s="2" t="s">
        <v>240</v>
      </c>
      <c r="Z66" s="4">
        <v>407</v>
      </c>
      <c r="AA66" s="4">
        <f>=ROUNDDOWN(31.3076923076923,0)</f>
      </c>
      <c r="AB66" s="5">
        <v>13</v>
      </c>
      <c r="AC66" s="2" t="s">
        <v>356</v>
      </c>
      <c r="AD66" s="4">
        <v>70</v>
      </c>
      <c r="AE66" s="4">
        <v>320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>
        <v>1</v>
      </c>
      <c r="AQ66" s="8">
        <v>31.03</v>
      </c>
      <c r="AR66" s="4"/>
      <c r="AS66" s="8"/>
      <c r="AT66" s="7"/>
      <c r="AU66" s="7"/>
      <c r="AV66" s="4">
        <v>1</v>
      </c>
      <c r="AW66" s="8">
        <v>31.03</v>
      </c>
      <c r="AX66" s="4"/>
      <c r="AY66" s="8"/>
      <c r="AZ66" s="7"/>
      <c r="BA66" s="7"/>
      <c r="BB66" s="7">
        <v>1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0.0462</v>
      </c>
      <c r="BJ66" s="4">
        <v>334</v>
      </c>
      <c r="BK66" s="8">
        <v>10004.23</v>
      </c>
      <c r="BL66" s="2" t="s">
        <v>522</v>
      </c>
      <c r="BM66" s="7">
        <v>0.003</v>
      </c>
      <c r="BN66" s="7">
        <v>0.0031</v>
      </c>
      <c r="BO66" s="4">
        <v>1</v>
      </c>
      <c r="BP66" s="8">
        <v>31.03</v>
      </c>
      <c r="BQ66" s="4"/>
      <c r="BR66" s="8"/>
      <c r="BS66" s="7"/>
      <c r="BT66" s="7"/>
      <c r="BU66" s="2" t="s">
        <v>109</v>
      </c>
      <c r="BV66" s="2" t="s">
        <v>110</v>
      </c>
      <c r="BW66" s="2" t="s">
        <v>328</v>
      </c>
      <c r="BX66" s="2" t="s">
        <v>523</v>
      </c>
      <c r="BY66" s="2" t="s">
        <v>113</v>
      </c>
      <c r="BZ66" s="2" t="s">
        <v>100</v>
      </c>
    </row>
    <row r="67">
      <c r="A67" s="2" t="s">
        <v>524</v>
      </c>
      <c r="B67" s="2" t="s">
        <v>87</v>
      </c>
      <c r="C67" s="2" t="s">
        <v>88</v>
      </c>
      <c r="D67" s="2" t="s">
        <v>89</v>
      </c>
      <c r="E67" s="2" t="s">
        <v>506</v>
      </c>
      <c r="F67" s="2" t="s">
        <v>179</v>
      </c>
      <c r="G67" s="2" t="s">
        <v>180</v>
      </c>
      <c r="H67" s="2" t="s">
        <v>181</v>
      </c>
      <c r="I67" s="2" t="s">
        <v>525</v>
      </c>
      <c r="J67" s="2" t="s">
        <v>247</v>
      </c>
      <c r="K67" s="2" t="s">
        <v>526</v>
      </c>
      <c r="L67" s="3">
        <v>34.55</v>
      </c>
      <c r="M67" s="3">
        <v>36.28</v>
      </c>
      <c r="N67" s="3">
        <v>69.99</v>
      </c>
      <c r="O67" s="2" t="s">
        <v>97</v>
      </c>
      <c r="P67" s="2" t="s">
        <v>225</v>
      </c>
      <c r="Q67" s="2" t="s">
        <v>99</v>
      </c>
      <c r="R67" s="2" t="s">
        <v>100</v>
      </c>
      <c r="S67" s="2" t="s">
        <v>527</v>
      </c>
      <c r="T67" s="2" t="s">
        <v>100</v>
      </c>
      <c r="U67" s="2" t="s">
        <v>480</v>
      </c>
      <c r="V67" s="2" t="s">
        <v>146</v>
      </c>
      <c r="W67" s="2" t="s">
        <v>104</v>
      </c>
      <c r="X67" s="2" t="s">
        <v>183</v>
      </c>
      <c r="Y67" s="2" t="s">
        <v>528</v>
      </c>
      <c r="Z67" s="4">
        <v>280</v>
      </c>
      <c r="AA67" s="4">
        <f>=ROUNDDOWN(35,0)</f>
      </c>
      <c r="AB67" s="5">
        <v>8</v>
      </c>
      <c r="AC67" s="2" t="s">
        <v>100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70</v>
      </c>
      <c r="BK67" s="8">
        <v>2664.07</v>
      </c>
      <c r="BL67" s="2" t="s">
        <v>529</v>
      </c>
      <c r="BM67" s="7"/>
      <c r="BN67" s="7"/>
      <c r="BO67" s="4"/>
      <c r="BP67" s="8"/>
      <c r="BQ67" s="4"/>
      <c r="BR67" s="8"/>
      <c r="BS67" s="7"/>
      <c r="BT67" s="7"/>
      <c r="BU67" s="2" t="s">
        <v>230</v>
      </c>
      <c r="BV67" s="2" t="s">
        <v>97</v>
      </c>
      <c r="BW67" s="2" t="s">
        <v>100</v>
      </c>
      <c r="BX67" s="2" t="s">
        <v>100</v>
      </c>
      <c r="BY67" s="2" t="s">
        <v>113</v>
      </c>
      <c r="BZ67" s="2" t="s">
        <v>100</v>
      </c>
    </row>
    <row r="68">
      <c r="A68" s="2" t="s">
        <v>530</v>
      </c>
      <c r="B68" s="2" t="s">
        <v>87</v>
      </c>
      <c r="C68" s="2" t="s">
        <v>88</v>
      </c>
      <c r="D68" s="2" t="s">
        <v>89</v>
      </c>
      <c r="E68" s="2" t="s">
        <v>506</v>
      </c>
      <c r="F68" s="2" t="s">
        <v>179</v>
      </c>
      <c r="G68" s="2" t="s">
        <v>180</v>
      </c>
      <c r="H68" s="2" t="s">
        <v>181</v>
      </c>
      <c r="I68" s="2" t="s">
        <v>525</v>
      </c>
      <c r="J68" s="2" t="s">
        <v>270</v>
      </c>
      <c r="K68" s="2" t="s">
        <v>526</v>
      </c>
      <c r="L68" s="3">
        <v>39.69</v>
      </c>
      <c r="M68" s="3">
        <v>41.67</v>
      </c>
      <c r="N68" s="3">
        <v>79.99</v>
      </c>
      <c r="O68" s="2" t="s">
        <v>97</v>
      </c>
      <c r="P68" s="2" t="s">
        <v>225</v>
      </c>
      <c r="Q68" s="2" t="s">
        <v>99</v>
      </c>
      <c r="R68" s="2" t="s">
        <v>100</v>
      </c>
      <c r="S68" s="2" t="s">
        <v>527</v>
      </c>
      <c r="T68" s="2" t="s">
        <v>100</v>
      </c>
      <c r="U68" s="2" t="s">
        <v>480</v>
      </c>
      <c r="V68" s="2" t="s">
        <v>146</v>
      </c>
      <c r="W68" s="2" t="s">
        <v>104</v>
      </c>
      <c r="X68" s="2" t="s">
        <v>183</v>
      </c>
      <c r="Y68" s="2" t="s">
        <v>531</v>
      </c>
      <c r="Z68" s="4">
        <v>292</v>
      </c>
      <c r="AA68" s="4">
        <f>=ROUNDDOWN(29.2,0)</f>
      </c>
      <c r="AB68" s="5">
        <v>10</v>
      </c>
      <c r="AC68" s="2" t="s">
        <v>100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130</v>
      </c>
      <c r="BK68" s="8">
        <v>5601.67</v>
      </c>
      <c r="BL68" s="2" t="s">
        <v>532</v>
      </c>
      <c r="BM68" s="7"/>
      <c r="BN68" s="7"/>
      <c r="BO68" s="4"/>
      <c r="BP68" s="8"/>
      <c r="BQ68" s="4"/>
      <c r="BR68" s="8"/>
      <c r="BS68" s="7"/>
      <c r="BT68" s="7"/>
      <c r="BU68" s="2" t="s">
        <v>230</v>
      </c>
      <c r="BV68" s="2" t="s">
        <v>97</v>
      </c>
      <c r="BW68" s="2" t="s">
        <v>100</v>
      </c>
      <c r="BX68" s="2" t="s">
        <v>100</v>
      </c>
      <c r="BY68" s="2" t="s">
        <v>113</v>
      </c>
      <c r="BZ68" s="2" t="s">
        <v>100</v>
      </c>
    </row>
    <row r="69">
      <c r="A69" s="2" t="s">
        <v>533</v>
      </c>
      <c r="B69" s="2" t="s">
        <v>87</v>
      </c>
      <c r="C69" s="2" t="s">
        <v>88</v>
      </c>
      <c r="D69" s="2" t="s">
        <v>89</v>
      </c>
      <c r="E69" s="2" t="s">
        <v>506</v>
      </c>
      <c r="F69" s="2" t="s">
        <v>179</v>
      </c>
      <c r="G69" s="2" t="s">
        <v>180</v>
      </c>
      <c r="H69" s="2" t="s">
        <v>181</v>
      </c>
      <c r="I69" s="2" t="s">
        <v>525</v>
      </c>
      <c r="J69" s="2" t="s">
        <v>247</v>
      </c>
      <c r="K69" s="2" t="s">
        <v>534</v>
      </c>
      <c r="L69" s="3">
        <v>34.55</v>
      </c>
      <c r="M69" s="3">
        <v>36.28</v>
      </c>
      <c r="N69" s="3">
        <v>69.99</v>
      </c>
      <c r="O69" s="2" t="s">
        <v>97</v>
      </c>
      <c r="P69" s="2" t="s">
        <v>225</v>
      </c>
      <c r="Q69" s="2" t="s">
        <v>99</v>
      </c>
      <c r="R69" s="2" t="s">
        <v>100</v>
      </c>
      <c r="S69" s="2" t="s">
        <v>527</v>
      </c>
      <c r="T69" s="2" t="s">
        <v>100</v>
      </c>
      <c r="U69" s="2" t="s">
        <v>480</v>
      </c>
      <c r="V69" s="2" t="s">
        <v>146</v>
      </c>
      <c r="W69" s="2" t="s">
        <v>104</v>
      </c>
      <c r="X69" s="2" t="s">
        <v>183</v>
      </c>
      <c r="Y69" s="2" t="s">
        <v>531</v>
      </c>
      <c r="Z69" s="4">
        <v>301</v>
      </c>
      <c r="AA69" s="4">
        <f>=ROUNDDOWN(60.2,0)</f>
      </c>
      <c r="AB69" s="5">
        <v>5</v>
      </c>
      <c r="AC69" s="2" t="s">
        <v>100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51</v>
      </c>
      <c r="BK69" s="8">
        <v>1957.93</v>
      </c>
      <c r="BL69" s="2" t="s">
        <v>535</v>
      </c>
      <c r="BM69" s="7"/>
      <c r="BN69" s="7"/>
      <c r="BO69" s="4"/>
      <c r="BP69" s="8"/>
      <c r="BQ69" s="4"/>
      <c r="BR69" s="8"/>
      <c r="BS69" s="7"/>
      <c r="BT69" s="7"/>
      <c r="BU69" s="2" t="s">
        <v>230</v>
      </c>
      <c r="BV69" s="2" t="s">
        <v>97</v>
      </c>
      <c r="BW69" s="2" t="s">
        <v>100</v>
      </c>
      <c r="BX69" s="2" t="s">
        <v>100</v>
      </c>
      <c r="BY69" s="2" t="s">
        <v>113</v>
      </c>
      <c r="BZ69" s="2" t="s">
        <v>100</v>
      </c>
    </row>
    <row r="70">
      <c r="A70" s="2" t="s">
        <v>536</v>
      </c>
      <c r="B70" s="2" t="s">
        <v>87</v>
      </c>
      <c r="C70" s="2" t="s">
        <v>88</v>
      </c>
      <c r="D70" s="2" t="s">
        <v>89</v>
      </c>
      <c r="E70" s="2" t="s">
        <v>506</v>
      </c>
      <c r="F70" s="2" t="s">
        <v>179</v>
      </c>
      <c r="G70" s="2" t="s">
        <v>180</v>
      </c>
      <c r="H70" s="2" t="s">
        <v>181</v>
      </c>
      <c r="I70" s="2" t="s">
        <v>525</v>
      </c>
      <c r="J70" s="2" t="s">
        <v>270</v>
      </c>
      <c r="K70" s="2" t="s">
        <v>534</v>
      </c>
      <c r="L70" s="3">
        <v>39.69</v>
      </c>
      <c r="M70" s="3">
        <v>41.67</v>
      </c>
      <c r="N70" s="3">
        <v>79.99</v>
      </c>
      <c r="O70" s="2" t="s">
        <v>97</v>
      </c>
      <c r="P70" s="2" t="s">
        <v>225</v>
      </c>
      <c r="Q70" s="2" t="s">
        <v>99</v>
      </c>
      <c r="R70" s="2" t="s">
        <v>100</v>
      </c>
      <c r="S70" s="2" t="s">
        <v>527</v>
      </c>
      <c r="T70" s="2" t="s">
        <v>100</v>
      </c>
      <c r="U70" s="2" t="s">
        <v>480</v>
      </c>
      <c r="V70" s="2" t="s">
        <v>146</v>
      </c>
      <c r="W70" s="2" t="s">
        <v>104</v>
      </c>
      <c r="X70" s="2" t="s">
        <v>183</v>
      </c>
      <c r="Y70" s="2" t="s">
        <v>531</v>
      </c>
      <c r="Z70" s="4">
        <v>366</v>
      </c>
      <c r="AA70" s="4">
        <f>=ROUNDDOWN(61,0)</f>
      </c>
      <c r="AB70" s="5">
        <v>6</v>
      </c>
      <c r="AC70" s="2" t="s">
        <v>100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67</v>
      </c>
      <c r="BK70" s="8">
        <v>2898.59</v>
      </c>
      <c r="BL70" s="2" t="s">
        <v>537</v>
      </c>
      <c r="BM70" s="7"/>
      <c r="BN70" s="7"/>
      <c r="BO70" s="4"/>
      <c r="BP70" s="8"/>
      <c r="BQ70" s="4"/>
      <c r="BR70" s="8"/>
      <c r="BS70" s="7"/>
      <c r="BT70" s="7"/>
      <c r="BU70" s="2" t="s">
        <v>230</v>
      </c>
      <c r="BV70" s="2" t="s">
        <v>97</v>
      </c>
      <c r="BW70" s="2" t="s">
        <v>100</v>
      </c>
      <c r="BX70" s="2" t="s">
        <v>100</v>
      </c>
      <c r="BY70" s="2" t="s">
        <v>113</v>
      </c>
      <c r="BZ70" s="2" t="s">
        <v>100</v>
      </c>
    </row>
    <row r="71">
      <c r="A71" s="2" t="s">
        <v>538</v>
      </c>
      <c r="B71" s="2" t="s">
        <v>87</v>
      </c>
      <c r="C71" s="2" t="s">
        <v>88</v>
      </c>
      <c r="D71" s="2" t="s">
        <v>89</v>
      </c>
      <c r="E71" s="2" t="s">
        <v>506</v>
      </c>
      <c r="F71" s="2" t="s">
        <v>213</v>
      </c>
      <c r="G71" s="2" t="s">
        <v>214</v>
      </c>
      <c r="H71" s="2" t="s">
        <v>215</v>
      </c>
      <c r="I71" s="2" t="s">
        <v>539</v>
      </c>
      <c r="J71" s="2" t="s">
        <v>247</v>
      </c>
      <c r="K71" s="2" t="s">
        <v>189</v>
      </c>
      <c r="L71" s="3">
        <v>42.3</v>
      </c>
      <c r="M71" s="3">
        <v>44.41</v>
      </c>
      <c r="N71" s="3">
        <v>89.99</v>
      </c>
      <c r="O71" s="2" t="s">
        <v>97</v>
      </c>
      <c r="P71" s="2" t="s">
        <v>98</v>
      </c>
      <c r="Q71" s="2" t="s">
        <v>99</v>
      </c>
      <c r="R71" s="2" t="s">
        <v>100</v>
      </c>
      <c r="S71" s="2" t="s">
        <v>540</v>
      </c>
      <c r="T71" s="2" t="s">
        <v>100</v>
      </c>
      <c r="U71" s="2" t="s">
        <v>480</v>
      </c>
      <c r="V71" s="2" t="s">
        <v>146</v>
      </c>
      <c r="W71" s="2" t="s">
        <v>219</v>
      </c>
      <c r="X71" s="2" t="s">
        <v>541</v>
      </c>
      <c r="Y71" s="2" t="s">
        <v>240</v>
      </c>
      <c r="Z71" s="4">
        <v>1037</v>
      </c>
      <c r="AA71" s="4">
        <f>=ROUNDDOWN(14.6056338028169,0)</f>
      </c>
      <c r="AB71" s="5">
        <v>71</v>
      </c>
      <c r="AC71" s="2" t="s">
        <v>542</v>
      </c>
      <c r="AD71" s="4">
        <v>200</v>
      </c>
      <c r="AE71" s="4">
        <v>1230</v>
      </c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>
        <v>15</v>
      </c>
      <c r="AQ71" s="8">
        <v>653.25</v>
      </c>
      <c r="AR71" s="4"/>
      <c r="AS71" s="8"/>
      <c r="AT71" s="7"/>
      <c r="AU71" s="7"/>
      <c r="AV71" s="4">
        <v>15</v>
      </c>
      <c r="AW71" s="8">
        <v>653.25</v>
      </c>
      <c r="AX71" s="4"/>
      <c r="AY71" s="8"/>
      <c r="AZ71" s="7"/>
      <c r="BA71" s="7"/>
      <c r="BB71" s="7">
        <v>1</v>
      </c>
      <c r="BC71" s="4">
        <v>15</v>
      </c>
      <c r="BD71" s="8">
        <v>653.25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1</v>
      </c>
      <c r="BJ71" s="4">
        <v>2173</v>
      </c>
      <c r="BK71" s="8">
        <v>89758.62</v>
      </c>
      <c r="BL71" s="2" t="s">
        <v>543</v>
      </c>
      <c r="BM71" s="7">
        <v>0.0069</v>
      </c>
      <c r="BN71" s="7">
        <v>0.0073</v>
      </c>
      <c r="BO71" s="4">
        <v>15</v>
      </c>
      <c r="BP71" s="8">
        <v>653.25</v>
      </c>
      <c r="BQ71" s="4"/>
      <c r="BR71" s="8"/>
      <c r="BS71" s="7"/>
      <c r="BT71" s="7"/>
      <c r="BU71" s="2" t="s">
        <v>109</v>
      </c>
      <c r="BV71" s="2" t="s">
        <v>110</v>
      </c>
      <c r="BW71" s="2" t="s">
        <v>243</v>
      </c>
      <c r="BX71" s="2" t="s">
        <v>544</v>
      </c>
      <c r="BY71" s="2" t="s">
        <v>113</v>
      </c>
      <c r="BZ71" s="2" t="s">
        <v>100</v>
      </c>
    </row>
    <row r="72">
      <c r="A72" s="2" t="s">
        <v>545</v>
      </c>
      <c r="B72" s="2" t="s">
        <v>87</v>
      </c>
      <c r="C72" s="2" t="s">
        <v>88</v>
      </c>
      <c r="D72" s="2" t="s">
        <v>89</v>
      </c>
      <c r="E72" s="2" t="s">
        <v>506</v>
      </c>
      <c r="F72" s="2" t="s">
        <v>213</v>
      </c>
      <c r="G72" s="2" t="s">
        <v>214</v>
      </c>
      <c r="H72" s="2" t="s">
        <v>215</v>
      </c>
      <c r="I72" s="2" t="s">
        <v>539</v>
      </c>
      <c r="J72" s="2" t="s">
        <v>247</v>
      </c>
      <c r="K72" s="2" t="s">
        <v>118</v>
      </c>
      <c r="L72" s="3">
        <v>42.3</v>
      </c>
      <c r="M72" s="3">
        <v>44.41</v>
      </c>
      <c r="N72" s="3">
        <v>89.99</v>
      </c>
      <c r="O72" s="2" t="s">
        <v>97</v>
      </c>
      <c r="P72" s="2" t="s">
        <v>119</v>
      </c>
      <c r="Q72" s="2" t="s">
        <v>99</v>
      </c>
      <c r="R72" s="2" t="s">
        <v>100</v>
      </c>
      <c r="S72" s="2" t="s">
        <v>217</v>
      </c>
      <c r="T72" s="2" t="s">
        <v>218</v>
      </c>
      <c r="U72" s="2" t="s">
        <v>480</v>
      </c>
      <c r="V72" s="2" t="s">
        <v>146</v>
      </c>
      <c r="W72" s="2" t="s">
        <v>219</v>
      </c>
      <c r="X72" s="2" t="s">
        <v>546</v>
      </c>
      <c r="Y72" s="2" t="s">
        <v>547</v>
      </c>
      <c r="Z72" s="4">
        <v>723</v>
      </c>
      <c r="AA72" s="4">
        <f>=ROUNDDOWN(22.59375,0)</f>
      </c>
      <c r="AB72" s="5">
        <v>32</v>
      </c>
      <c r="AC72" s="2" t="s">
        <v>356</v>
      </c>
      <c r="AD72" s="4">
        <v>112</v>
      </c>
      <c r="AE72" s="4">
        <v>802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900</v>
      </c>
      <c r="BK72" s="8">
        <v>39888.73</v>
      </c>
      <c r="BL72" s="2" t="s">
        <v>548</v>
      </c>
      <c r="BM72" s="7"/>
      <c r="BN72" s="7"/>
      <c r="BO72" s="4"/>
      <c r="BP72" s="8"/>
      <c r="BQ72" s="4"/>
      <c r="BR72" s="8"/>
      <c r="BS72" s="7"/>
      <c r="BT72" s="7"/>
      <c r="BU72" s="2" t="s">
        <v>207</v>
      </c>
      <c r="BV72" s="2" t="s">
        <v>97</v>
      </c>
      <c r="BW72" s="2" t="s">
        <v>100</v>
      </c>
      <c r="BX72" s="2" t="s">
        <v>100</v>
      </c>
      <c r="BY72" s="2" t="s">
        <v>113</v>
      </c>
      <c r="BZ72" s="2" t="s">
        <v>245</v>
      </c>
    </row>
    <row r="73">
      <c r="A73" s="2" t="s">
        <v>549</v>
      </c>
      <c r="B73" s="2" t="s">
        <v>87</v>
      </c>
      <c r="C73" s="2" t="s">
        <v>88</v>
      </c>
      <c r="D73" s="2" t="s">
        <v>89</v>
      </c>
      <c r="E73" s="2" t="s">
        <v>506</v>
      </c>
      <c r="F73" s="2" t="s">
        <v>213</v>
      </c>
      <c r="G73" s="2" t="s">
        <v>214</v>
      </c>
      <c r="H73" s="2" t="s">
        <v>215</v>
      </c>
      <c r="I73" s="2" t="s">
        <v>539</v>
      </c>
      <c r="J73" s="2" t="s">
        <v>270</v>
      </c>
      <c r="K73" s="2" t="s">
        <v>118</v>
      </c>
      <c r="L73" s="3">
        <v>47</v>
      </c>
      <c r="M73" s="3">
        <v>49.35</v>
      </c>
      <c r="N73" s="3">
        <v>99.99</v>
      </c>
      <c r="O73" s="2" t="s">
        <v>97</v>
      </c>
      <c r="P73" s="2" t="s">
        <v>119</v>
      </c>
      <c r="Q73" s="2" t="s">
        <v>99</v>
      </c>
      <c r="R73" s="2" t="s">
        <v>100</v>
      </c>
      <c r="S73" s="2" t="s">
        <v>217</v>
      </c>
      <c r="T73" s="2" t="s">
        <v>218</v>
      </c>
      <c r="U73" s="2" t="s">
        <v>480</v>
      </c>
      <c r="V73" s="2" t="s">
        <v>146</v>
      </c>
      <c r="W73" s="2" t="s">
        <v>219</v>
      </c>
      <c r="X73" s="2" t="s">
        <v>546</v>
      </c>
      <c r="Y73" s="2" t="s">
        <v>547</v>
      </c>
      <c r="Z73" s="4">
        <v>1102</v>
      </c>
      <c r="AA73" s="4">
        <f>=ROUNDDOWN(40.8148148148148,0)</f>
      </c>
      <c r="AB73" s="5">
        <v>27</v>
      </c>
      <c r="AC73" s="2" t="s">
        <v>356</v>
      </c>
      <c r="AD73" s="4">
        <v>796</v>
      </c>
      <c r="AE73" s="4">
        <v>1096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741</v>
      </c>
      <c r="BK73" s="8">
        <v>36999.97</v>
      </c>
      <c r="BL73" s="2" t="s">
        <v>550</v>
      </c>
      <c r="BM73" s="7"/>
      <c r="BN73" s="7"/>
      <c r="BO73" s="4"/>
      <c r="BP73" s="8"/>
      <c r="BQ73" s="4"/>
      <c r="BR73" s="8"/>
      <c r="BS73" s="7"/>
      <c r="BT73" s="7"/>
      <c r="BU73" s="2" t="s">
        <v>207</v>
      </c>
      <c r="BV73" s="2" t="s">
        <v>97</v>
      </c>
      <c r="BW73" s="2" t="s">
        <v>100</v>
      </c>
      <c r="BX73" s="2" t="s">
        <v>100</v>
      </c>
      <c r="BY73" s="2" t="s">
        <v>113</v>
      </c>
      <c r="BZ73" s="2" t="s">
        <v>100</v>
      </c>
    </row>
    <row r="74">
      <c r="A74" s="2" t="s">
        <v>551</v>
      </c>
      <c r="B74" s="2" t="s">
        <v>87</v>
      </c>
      <c r="C74" s="2" t="s">
        <v>88</v>
      </c>
      <c r="D74" s="2" t="s">
        <v>89</v>
      </c>
      <c r="E74" s="2" t="s">
        <v>506</v>
      </c>
      <c r="F74" s="2" t="s">
        <v>213</v>
      </c>
      <c r="G74" s="2" t="s">
        <v>214</v>
      </c>
      <c r="H74" s="2" t="s">
        <v>215</v>
      </c>
      <c r="I74" s="2" t="s">
        <v>539</v>
      </c>
      <c r="J74" s="2" t="s">
        <v>247</v>
      </c>
      <c r="K74" s="2" t="s">
        <v>144</v>
      </c>
      <c r="L74" s="3">
        <v>42.3</v>
      </c>
      <c r="M74" s="3">
        <v>44.42</v>
      </c>
      <c r="N74" s="3">
        <v>89.99</v>
      </c>
      <c r="O74" s="2" t="s">
        <v>97</v>
      </c>
      <c r="P74" s="2" t="s">
        <v>225</v>
      </c>
      <c r="Q74" s="2" t="s">
        <v>99</v>
      </c>
      <c r="R74" s="2" t="s">
        <v>100</v>
      </c>
      <c r="S74" s="2" t="s">
        <v>226</v>
      </c>
      <c r="T74" s="2" t="s">
        <v>218</v>
      </c>
      <c r="U74" s="2" t="s">
        <v>480</v>
      </c>
      <c r="V74" s="2" t="s">
        <v>146</v>
      </c>
      <c r="W74" s="2" t="s">
        <v>219</v>
      </c>
      <c r="X74" s="2" t="s">
        <v>546</v>
      </c>
      <c r="Y74" s="2" t="s">
        <v>552</v>
      </c>
      <c r="Z74" s="4">
        <v>702</v>
      </c>
      <c r="AA74" s="4">
        <f>=ROUNDDOWN(36.9473684210526,0)</f>
      </c>
      <c r="AB74" s="5">
        <v>19</v>
      </c>
      <c r="AC74" s="2" t="s">
        <v>100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112</v>
      </c>
      <c r="BK74" s="8">
        <v>5156.05</v>
      </c>
      <c r="BL74" s="2" t="s">
        <v>553</v>
      </c>
      <c r="BM74" s="7"/>
      <c r="BN74" s="7"/>
      <c r="BO74" s="4"/>
      <c r="BP74" s="8"/>
      <c r="BQ74" s="4"/>
      <c r="BR74" s="8"/>
      <c r="BS74" s="7"/>
      <c r="BT74" s="7"/>
      <c r="BU74" s="2" t="s">
        <v>230</v>
      </c>
      <c r="BV74" s="2" t="s">
        <v>97</v>
      </c>
      <c r="BW74" s="2" t="s">
        <v>100</v>
      </c>
      <c r="BX74" s="2" t="s">
        <v>100</v>
      </c>
      <c r="BY74" s="2" t="s">
        <v>113</v>
      </c>
      <c r="BZ74" s="2" t="s">
        <v>100</v>
      </c>
    </row>
    <row r="75">
      <c r="A75" s="2" t="s">
        <v>554</v>
      </c>
      <c r="B75" s="2" t="s">
        <v>87</v>
      </c>
      <c r="C75" s="2" t="s">
        <v>88</v>
      </c>
      <c r="D75" s="2" t="s">
        <v>89</v>
      </c>
      <c r="E75" s="2" t="s">
        <v>506</v>
      </c>
      <c r="F75" s="2" t="s">
        <v>213</v>
      </c>
      <c r="G75" s="2" t="s">
        <v>214</v>
      </c>
      <c r="H75" s="2" t="s">
        <v>215</v>
      </c>
      <c r="I75" s="2" t="s">
        <v>539</v>
      </c>
      <c r="J75" s="2" t="s">
        <v>270</v>
      </c>
      <c r="K75" s="2" t="s">
        <v>144</v>
      </c>
      <c r="L75" s="3">
        <v>47</v>
      </c>
      <c r="M75" s="3">
        <v>49.35</v>
      </c>
      <c r="N75" s="3">
        <v>99.99</v>
      </c>
      <c r="O75" s="2" t="s">
        <v>97</v>
      </c>
      <c r="P75" s="2" t="s">
        <v>225</v>
      </c>
      <c r="Q75" s="2" t="s">
        <v>99</v>
      </c>
      <c r="R75" s="2" t="s">
        <v>100</v>
      </c>
      <c r="S75" s="2" t="s">
        <v>226</v>
      </c>
      <c r="T75" s="2" t="s">
        <v>218</v>
      </c>
      <c r="U75" s="2" t="s">
        <v>480</v>
      </c>
      <c r="V75" s="2" t="s">
        <v>146</v>
      </c>
      <c r="W75" s="2" t="s">
        <v>219</v>
      </c>
      <c r="X75" s="2" t="s">
        <v>546</v>
      </c>
      <c r="Y75" s="2" t="s">
        <v>552</v>
      </c>
      <c r="Z75" s="4">
        <v>399</v>
      </c>
      <c r="AA75" s="4">
        <f>=ROUNDDOWN(16.625,0)</f>
      </c>
      <c r="AB75" s="5">
        <v>24</v>
      </c>
      <c r="AC75" s="2" t="s">
        <v>100</v>
      </c>
      <c r="AD75" s="4"/>
      <c r="AE75" s="4"/>
      <c r="AF75" s="6">
        <v>65</v>
      </c>
      <c r="AG75" s="6"/>
      <c r="AH75" s="7">
        <v>0.9833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140</v>
      </c>
      <c r="BK75" s="8">
        <v>7207.88</v>
      </c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230</v>
      </c>
      <c r="BV75" s="2" t="s">
        <v>97</v>
      </c>
      <c r="BW75" s="2" t="s">
        <v>100</v>
      </c>
      <c r="BX75" s="2" t="s">
        <v>100</v>
      </c>
      <c r="BY75" s="2" t="s">
        <v>113</v>
      </c>
      <c r="BZ75" s="2" t="s">
        <v>100</v>
      </c>
    </row>
    <row r="76">
      <c r="A76" s="2" t="s">
        <v>555</v>
      </c>
      <c r="B76" s="2" t="s">
        <v>87</v>
      </c>
      <c r="C76" s="2" t="s">
        <v>88</v>
      </c>
      <c r="D76" s="2" t="s">
        <v>89</v>
      </c>
      <c r="E76" s="2" t="s">
        <v>506</v>
      </c>
      <c r="F76" s="2" t="s">
        <v>556</v>
      </c>
      <c r="G76" s="2" t="s">
        <v>557</v>
      </c>
      <c r="H76" s="2" t="s">
        <v>558</v>
      </c>
      <c r="I76" s="2" t="s">
        <v>559</v>
      </c>
      <c r="J76" s="2" t="s">
        <v>247</v>
      </c>
      <c r="K76" s="2" t="s">
        <v>198</v>
      </c>
      <c r="L76" s="3">
        <v>36.71</v>
      </c>
      <c r="M76" s="3">
        <v>38.55</v>
      </c>
      <c r="N76" s="3">
        <v>69.99</v>
      </c>
      <c r="O76" s="2" t="s">
        <v>97</v>
      </c>
      <c r="P76" s="2" t="s">
        <v>119</v>
      </c>
      <c r="Q76" s="2" t="s">
        <v>99</v>
      </c>
      <c r="R76" s="2" t="s">
        <v>100</v>
      </c>
      <c r="S76" s="2" t="s">
        <v>560</v>
      </c>
      <c r="T76" s="2" t="s">
        <v>100</v>
      </c>
      <c r="U76" s="2" t="s">
        <v>480</v>
      </c>
      <c r="V76" s="2" t="s">
        <v>146</v>
      </c>
      <c r="W76" s="2" t="s">
        <v>561</v>
      </c>
      <c r="X76" s="2" t="s">
        <v>100</v>
      </c>
      <c r="Y76" s="2" t="s">
        <v>240</v>
      </c>
      <c r="Z76" s="4">
        <v>510</v>
      </c>
      <c r="AA76" s="4">
        <f>=ROUNDDOWN(30,0)</f>
      </c>
      <c r="AB76" s="5">
        <v>17</v>
      </c>
      <c r="AC76" s="2" t="s">
        <v>562</v>
      </c>
      <c r="AD76" s="4">
        <v>130</v>
      </c>
      <c r="AE76" s="4">
        <v>340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>
        <v>2</v>
      </c>
      <c r="AQ76" s="8">
        <v>79.38</v>
      </c>
      <c r="AR76" s="4"/>
      <c r="AS76" s="8"/>
      <c r="AT76" s="7"/>
      <c r="AU76" s="7"/>
      <c r="AV76" s="4">
        <v>6</v>
      </c>
      <c r="AW76" s="8">
        <v>260.82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0.3043</v>
      </c>
      <c r="BC76" s="4">
        <v>13</v>
      </c>
      <c r="BD76" s="8">
        <v>532.29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0.49</v>
      </c>
      <c r="BJ76" s="4">
        <v>404</v>
      </c>
      <c r="BK76" s="8">
        <v>14747.99</v>
      </c>
      <c r="BL76" s="2" t="s">
        <v>563</v>
      </c>
      <c r="BM76" s="7">
        <v>0.005</v>
      </c>
      <c r="BN76" s="7">
        <v>0.0054</v>
      </c>
      <c r="BO76" s="4">
        <v>2</v>
      </c>
      <c r="BP76" s="8">
        <v>79.38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243</v>
      </c>
      <c r="BX76" s="2" t="s">
        <v>564</v>
      </c>
      <c r="BY76" s="2" t="s">
        <v>113</v>
      </c>
      <c r="BZ76" s="2" t="s">
        <v>245</v>
      </c>
    </row>
    <row r="77">
      <c r="A77" s="2" t="s">
        <v>565</v>
      </c>
      <c r="B77" s="2" t="s">
        <v>87</v>
      </c>
      <c r="C77" s="2" t="s">
        <v>88</v>
      </c>
      <c r="D77" s="2" t="s">
        <v>89</v>
      </c>
      <c r="E77" s="2" t="s">
        <v>506</v>
      </c>
      <c r="F77" s="2" t="s">
        <v>556</v>
      </c>
      <c r="G77" s="2" t="s">
        <v>557</v>
      </c>
      <c r="H77" s="2" t="s">
        <v>558</v>
      </c>
      <c r="I77" s="2" t="s">
        <v>559</v>
      </c>
      <c r="J77" s="2" t="s">
        <v>270</v>
      </c>
      <c r="K77" s="2" t="s">
        <v>198</v>
      </c>
      <c r="L77" s="3">
        <v>41.03</v>
      </c>
      <c r="M77" s="3">
        <v>43.08</v>
      </c>
      <c r="N77" s="3">
        <v>79.99</v>
      </c>
      <c r="O77" s="2" t="s">
        <v>97</v>
      </c>
      <c r="P77" s="2" t="s">
        <v>119</v>
      </c>
      <c r="Q77" s="2" t="s">
        <v>99</v>
      </c>
      <c r="R77" s="2" t="s">
        <v>100</v>
      </c>
      <c r="S77" s="2" t="s">
        <v>560</v>
      </c>
      <c r="T77" s="2" t="s">
        <v>100</v>
      </c>
      <c r="U77" s="2" t="s">
        <v>480</v>
      </c>
      <c r="V77" s="2" t="s">
        <v>146</v>
      </c>
      <c r="W77" s="2" t="s">
        <v>561</v>
      </c>
      <c r="X77" s="2" t="s">
        <v>100</v>
      </c>
      <c r="Y77" s="2" t="s">
        <v>240</v>
      </c>
      <c r="Z77" s="4">
        <v>481</v>
      </c>
      <c r="AA77" s="4">
        <f>=ROUNDDOWN(28.2941176470588,0)</f>
      </c>
      <c r="AB77" s="5">
        <v>17</v>
      </c>
      <c r="AC77" s="2" t="s">
        <v>542</v>
      </c>
      <c r="AD77" s="4">
        <v>200</v>
      </c>
      <c r="AE77" s="4">
        <v>400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>
        <v>4</v>
      </c>
      <c r="AQ77" s="8">
        <v>181.44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0.6957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427</v>
      </c>
      <c r="BK77" s="8">
        <v>17887.16</v>
      </c>
      <c r="BL77" s="2" t="s">
        <v>566</v>
      </c>
      <c r="BM77" s="7">
        <v>0.0094</v>
      </c>
      <c r="BN77" s="7">
        <v>0.0101</v>
      </c>
      <c r="BO77" s="4">
        <v>4</v>
      </c>
      <c r="BP77" s="8">
        <v>181.44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243</v>
      </c>
      <c r="BX77" s="2" t="s">
        <v>567</v>
      </c>
      <c r="BY77" s="2" t="s">
        <v>113</v>
      </c>
      <c r="BZ77" s="2" t="s">
        <v>245</v>
      </c>
    </row>
    <row r="78">
      <c r="A78" s="2" t="s">
        <v>568</v>
      </c>
      <c r="B78" s="2" t="s">
        <v>87</v>
      </c>
      <c r="C78" s="2" t="s">
        <v>88</v>
      </c>
      <c r="D78" s="2" t="s">
        <v>89</v>
      </c>
      <c r="E78" s="2" t="s">
        <v>506</v>
      </c>
      <c r="F78" s="2" t="s">
        <v>556</v>
      </c>
      <c r="G78" s="2" t="s">
        <v>557</v>
      </c>
      <c r="H78" s="2" t="s">
        <v>558</v>
      </c>
      <c r="I78" s="2" t="s">
        <v>569</v>
      </c>
      <c r="J78" s="2" t="s">
        <v>237</v>
      </c>
      <c r="K78" s="2" t="s">
        <v>360</v>
      </c>
      <c r="L78" s="3">
        <v>28.34</v>
      </c>
      <c r="M78" s="3">
        <v>29.76</v>
      </c>
      <c r="N78" s="3">
        <v>54.99</v>
      </c>
      <c r="O78" s="2" t="s">
        <v>97</v>
      </c>
      <c r="P78" s="2" t="s">
        <v>119</v>
      </c>
      <c r="Q78" s="2" t="s">
        <v>99</v>
      </c>
      <c r="R78" s="2" t="s">
        <v>100</v>
      </c>
      <c r="S78" s="2" t="s">
        <v>570</v>
      </c>
      <c r="T78" s="2" t="s">
        <v>100</v>
      </c>
      <c r="U78" s="2" t="s">
        <v>514</v>
      </c>
      <c r="V78" s="2" t="s">
        <v>146</v>
      </c>
      <c r="W78" s="2" t="s">
        <v>561</v>
      </c>
      <c r="X78" s="2" t="s">
        <v>100</v>
      </c>
      <c r="Y78" s="2" t="s">
        <v>258</v>
      </c>
      <c r="Z78" s="4">
        <v>370</v>
      </c>
      <c r="AA78" s="4">
        <f>=ROUNDDOWN(28.4615384615385,0)</f>
      </c>
      <c r="AB78" s="5">
        <v>13</v>
      </c>
      <c r="AC78" s="2" t="s">
        <v>542</v>
      </c>
      <c r="AD78" s="4">
        <v>120</v>
      </c>
      <c r="AE78" s="4">
        <v>200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/>
      <c r="AS78" s="8"/>
      <c r="AT78" s="7"/>
      <c r="AU78" s="7"/>
      <c r="AV78" s="4">
        <v>2</v>
      </c>
      <c r="AW78" s="8">
        <v>85.05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0.1598</v>
      </c>
      <c r="BJ78" s="4">
        <v>324</v>
      </c>
      <c r="BK78" s="8">
        <v>9007.6</v>
      </c>
      <c r="BL78" s="2" t="s">
        <v>492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97</v>
      </c>
      <c r="BW78" s="2" t="s">
        <v>284</v>
      </c>
      <c r="BX78" s="2" t="s">
        <v>352</v>
      </c>
      <c r="BY78" s="2" t="s">
        <v>113</v>
      </c>
      <c r="BZ78" s="2" t="s">
        <v>100</v>
      </c>
    </row>
    <row r="79">
      <c r="A79" s="2" t="s">
        <v>571</v>
      </c>
      <c r="B79" s="2" t="s">
        <v>87</v>
      </c>
      <c r="C79" s="2" t="s">
        <v>88</v>
      </c>
      <c r="D79" s="2" t="s">
        <v>89</v>
      </c>
      <c r="E79" s="2" t="s">
        <v>506</v>
      </c>
      <c r="F79" s="2" t="s">
        <v>556</v>
      </c>
      <c r="G79" s="2" t="s">
        <v>557</v>
      </c>
      <c r="H79" s="2" t="s">
        <v>558</v>
      </c>
      <c r="I79" s="2" t="s">
        <v>559</v>
      </c>
      <c r="J79" s="2" t="s">
        <v>247</v>
      </c>
      <c r="K79" s="2" t="s">
        <v>360</v>
      </c>
      <c r="L79" s="3">
        <v>36.71</v>
      </c>
      <c r="M79" s="3">
        <v>38.55</v>
      </c>
      <c r="N79" s="3">
        <v>69.99</v>
      </c>
      <c r="O79" s="2" t="s">
        <v>97</v>
      </c>
      <c r="P79" s="2" t="s">
        <v>119</v>
      </c>
      <c r="Q79" s="2" t="s">
        <v>99</v>
      </c>
      <c r="R79" s="2" t="s">
        <v>100</v>
      </c>
      <c r="S79" s="2" t="s">
        <v>570</v>
      </c>
      <c r="T79" s="2" t="s">
        <v>100</v>
      </c>
      <c r="U79" s="2" t="s">
        <v>480</v>
      </c>
      <c r="V79" s="2" t="s">
        <v>146</v>
      </c>
      <c r="W79" s="2" t="s">
        <v>561</v>
      </c>
      <c r="X79" s="2" t="s">
        <v>100</v>
      </c>
      <c r="Y79" s="2" t="s">
        <v>240</v>
      </c>
      <c r="Z79" s="4">
        <v>442</v>
      </c>
      <c r="AA79" s="4">
        <f>=ROUNDDOWN(23.2631578947368,0)</f>
      </c>
      <c r="AB79" s="5">
        <v>19</v>
      </c>
      <c r="AC79" s="2" t="s">
        <v>542</v>
      </c>
      <c r="AD79" s="4">
        <v>80</v>
      </c>
      <c r="AE79" s="4">
        <v>340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>
        <v>1</v>
      </c>
      <c r="AQ79" s="8">
        <v>39.69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0.4667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460</v>
      </c>
      <c r="BK79" s="8">
        <v>16887.5</v>
      </c>
      <c r="BL79" s="2" t="s">
        <v>572</v>
      </c>
      <c r="BM79" s="7">
        <v>0.0022</v>
      </c>
      <c r="BN79" s="7">
        <v>0.0024</v>
      </c>
      <c r="BO79" s="4">
        <v>1</v>
      </c>
      <c r="BP79" s="8">
        <v>39.69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284</v>
      </c>
      <c r="BX79" s="2" t="s">
        <v>573</v>
      </c>
      <c r="BY79" s="2" t="s">
        <v>113</v>
      </c>
      <c r="BZ79" s="2" t="s">
        <v>100</v>
      </c>
    </row>
    <row r="80">
      <c r="A80" s="2" t="s">
        <v>574</v>
      </c>
      <c r="B80" s="2" t="s">
        <v>87</v>
      </c>
      <c r="C80" s="2" t="s">
        <v>88</v>
      </c>
      <c r="D80" s="2" t="s">
        <v>89</v>
      </c>
      <c r="E80" s="2" t="s">
        <v>506</v>
      </c>
      <c r="F80" s="2" t="s">
        <v>556</v>
      </c>
      <c r="G80" s="2" t="s">
        <v>557</v>
      </c>
      <c r="H80" s="2" t="s">
        <v>558</v>
      </c>
      <c r="I80" s="2" t="s">
        <v>559</v>
      </c>
      <c r="J80" s="2" t="s">
        <v>270</v>
      </c>
      <c r="K80" s="2" t="s">
        <v>360</v>
      </c>
      <c r="L80" s="3">
        <v>41.03</v>
      </c>
      <c r="M80" s="3">
        <v>43.08</v>
      </c>
      <c r="N80" s="3">
        <v>79.99</v>
      </c>
      <c r="O80" s="2" t="s">
        <v>97</v>
      </c>
      <c r="P80" s="2" t="s">
        <v>119</v>
      </c>
      <c r="Q80" s="2" t="s">
        <v>99</v>
      </c>
      <c r="R80" s="2" t="s">
        <v>100</v>
      </c>
      <c r="S80" s="2" t="s">
        <v>570</v>
      </c>
      <c r="T80" s="2" t="s">
        <v>100</v>
      </c>
      <c r="U80" s="2" t="s">
        <v>480</v>
      </c>
      <c r="V80" s="2" t="s">
        <v>146</v>
      </c>
      <c r="W80" s="2" t="s">
        <v>561</v>
      </c>
      <c r="X80" s="2" t="s">
        <v>100</v>
      </c>
      <c r="Y80" s="2" t="s">
        <v>240</v>
      </c>
      <c r="Z80" s="4">
        <v>442</v>
      </c>
      <c r="AA80" s="4">
        <f>=ROUNDDOWN(26,0)</f>
      </c>
      <c r="AB80" s="5">
        <v>17</v>
      </c>
      <c r="AC80" s="2" t="s">
        <v>542</v>
      </c>
      <c r="AD80" s="4">
        <v>150</v>
      </c>
      <c r="AE80" s="4">
        <v>400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>
        <v>1</v>
      </c>
      <c r="AQ80" s="8">
        <v>45.36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0.5333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408</v>
      </c>
      <c r="BK80" s="8">
        <v>16902.65</v>
      </c>
      <c r="BL80" s="2" t="s">
        <v>575</v>
      </c>
      <c r="BM80" s="7">
        <v>0.0025</v>
      </c>
      <c r="BN80" s="7">
        <v>0.0027</v>
      </c>
      <c r="BO80" s="4">
        <v>1</v>
      </c>
      <c r="BP80" s="8">
        <v>45.36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284</v>
      </c>
      <c r="BX80" s="2" t="s">
        <v>576</v>
      </c>
      <c r="BY80" s="2" t="s">
        <v>113</v>
      </c>
      <c r="BZ80" s="2" t="s">
        <v>100</v>
      </c>
    </row>
    <row r="81">
      <c r="A81" s="2" t="s">
        <v>577</v>
      </c>
      <c r="B81" s="2" t="s">
        <v>87</v>
      </c>
      <c r="C81" s="2" t="s">
        <v>88</v>
      </c>
      <c r="D81" s="2" t="s">
        <v>89</v>
      </c>
      <c r="E81" s="2" t="s">
        <v>506</v>
      </c>
      <c r="F81" s="2" t="s">
        <v>556</v>
      </c>
      <c r="G81" s="2" t="s">
        <v>557</v>
      </c>
      <c r="H81" s="2" t="s">
        <v>558</v>
      </c>
      <c r="I81" s="2" t="s">
        <v>569</v>
      </c>
      <c r="J81" s="2" t="s">
        <v>237</v>
      </c>
      <c r="K81" s="2" t="s">
        <v>578</v>
      </c>
      <c r="L81" s="3">
        <v>28.34</v>
      </c>
      <c r="M81" s="3">
        <v>29.76</v>
      </c>
      <c r="N81" s="3">
        <v>54.99</v>
      </c>
      <c r="O81" s="2" t="s">
        <v>97</v>
      </c>
      <c r="P81" s="2" t="s">
        <v>119</v>
      </c>
      <c r="Q81" s="2" t="s">
        <v>99</v>
      </c>
      <c r="R81" s="2" t="s">
        <v>100</v>
      </c>
      <c r="S81" s="2" t="s">
        <v>579</v>
      </c>
      <c r="T81" s="2" t="s">
        <v>100</v>
      </c>
      <c r="U81" s="2" t="s">
        <v>514</v>
      </c>
      <c r="V81" s="2" t="s">
        <v>146</v>
      </c>
      <c r="W81" s="2" t="s">
        <v>561</v>
      </c>
      <c r="X81" s="2" t="s">
        <v>100</v>
      </c>
      <c r="Y81" s="2" t="s">
        <v>580</v>
      </c>
      <c r="Z81" s="4">
        <v>282</v>
      </c>
      <c r="AA81" s="4">
        <f>=ROUNDDOWN(47,0)</f>
      </c>
      <c r="AB81" s="5">
        <v>6</v>
      </c>
      <c r="AC81" s="2" t="s">
        <v>100</v>
      </c>
      <c r="AD81" s="4"/>
      <c r="AE81" s="4"/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/>
      <c r="AQ81" s="8"/>
      <c r="AR81" s="4"/>
      <c r="AS81" s="8"/>
      <c r="AT81" s="7"/>
      <c r="AU81" s="7"/>
      <c r="AV81" s="4">
        <v>2</v>
      </c>
      <c r="AW81" s="8">
        <v>84.86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>
        <v>0.1594</v>
      </c>
      <c r="BJ81" s="4">
        <v>143</v>
      </c>
      <c r="BK81" s="8">
        <v>3856.55</v>
      </c>
      <c r="BL81" s="2" t="s">
        <v>581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97</v>
      </c>
      <c r="BW81" s="2" t="s">
        <v>582</v>
      </c>
      <c r="BX81" s="2" t="s">
        <v>583</v>
      </c>
      <c r="BY81" s="2" t="s">
        <v>113</v>
      </c>
      <c r="BZ81" s="2" t="s">
        <v>245</v>
      </c>
    </row>
    <row r="82">
      <c r="A82" s="2" t="s">
        <v>584</v>
      </c>
      <c r="B82" s="2" t="s">
        <v>87</v>
      </c>
      <c r="C82" s="2" t="s">
        <v>88</v>
      </c>
      <c r="D82" s="2" t="s">
        <v>89</v>
      </c>
      <c r="E82" s="2" t="s">
        <v>506</v>
      </c>
      <c r="F82" s="2" t="s">
        <v>556</v>
      </c>
      <c r="G82" s="2" t="s">
        <v>557</v>
      </c>
      <c r="H82" s="2" t="s">
        <v>558</v>
      </c>
      <c r="I82" s="2" t="s">
        <v>559</v>
      </c>
      <c r="J82" s="2" t="s">
        <v>247</v>
      </c>
      <c r="K82" s="2" t="s">
        <v>578</v>
      </c>
      <c r="L82" s="3">
        <v>36.71</v>
      </c>
      <c r="M82" s="3">
        <v>38.55</v>
      </c>
      <c r="N82" s="3">
        <v>69.99</v>
      </c>
      <c r="O82" s="2" t="s">
        <v>97</v>
      </c>
      <c r="P82" s="2" t="s">
        <v>119</v>
      </c>
      <c r="Q82" s="2" t="s">
        <v>99</v>
      </c>
      <c r="R82" s="2" t="s">
        <v>100</v>
      </c>
      <c r="S82" s="2" t="s">
        <v>579</v>
      </c>
      <c r="T82" s="2" t="s">
        <v>100</v>
      </c>
      <c r="U82" s="2" t="s">
        <v>480</v>
      </c>
      <c r="V82" s="2" t="s">
        <v>146</v>
      </c>
      <c r="W82" s="2" t="s">
        <v>561</v>
      </c>
      <c r="X82" s="2" t="s">
        <v>100</v>
      </c>
      <c r="Y82" s="2" t="s">
        <v>580</v>
      </c>
      <c r="Z82" s="4">
        <v>470</v>
      </c>
      <c r="AA82" s="4">
        <f>=ROUNDDOWN(47,0)</f>
      </c>
      <c r="AB82" s="5">
        <v>10</v>
      </c>
      <c r="AC82" s="2" t="s">
        <v>100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>
        <v>1</v>
      </c>
      <c r="AQ82" s="8">
        <v>39.5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0.4655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301</v>
      </c>
      <c r="BK82" s="8">
        <v>10945.76</v>
      </c>
      <c r="BL82" s="2" t="s">
        <v>585</v>
      </c>
      <c r="BM82" s="7">
        <v>0.0033</v>
      </c>
      <c r="BN82" s="7">
        <v>0.0036</v>
      </c>
      <c r="BO82" s="4">
        <v>1</v>
      </c>
      <c r="BP82" s="8">
        <v>39.5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582</v>
      </c>
      <c r="BX82" s="2" t="s">
        <v>586</v>
      </c>
      <c r="BY82" s="2" t="s">
        <v>113</v>
      </c>
      <c r="BZ82" s="2" t="s">
        <v>245</v>
      </c>
    </row>
    <row r="83">
      <c r="A83" s="2" t="s">
        <v>587</v>
      </c>
      <c r="B83" s="2" t="s">
        <v>87</v>
      </c>
      <c r="C83" s="2" t="s">
        <v>88</v>
      </c>
      <c r="D83" s="2" t="s">
        <v>89</v>
      </c>
      <c r="E83" s="2" t="s">
        <v>506</v>
      </c>
      <c r="F83" s="2" t="s">
        <v>556</v>
      </c>
      <c r="G83" s="2" t="s">
        <v>557</v>
      </c>
      <c r="H83" s="2" t="s">
        <v>558</v>
      </c>
      <c r="I83" s="2" t="s">
        <v>559</v>
      </c>
      <c r="J83" s="2" t="s">
        <v>270</v>
      </c>
      <c r="K83" s="2" t="s">
        <v>578</v>
      </c>
      <c r="L83" s="3">
        <v>41.03</v>
      </c>
      <c r="M83" s="3">
        <v>43.08</v>
      </c>
      <c r="N83" s="3">
        <v>79.99</v>
      </c>
      <c r="O83" s="2" t="s">
        <v>97</v>
      </c>
      <c r="P83" s="2" t="s">
        <v>119</v>
      </c>
      <c r="Q83" s="2" t="s">
        <v>99</v>
      </c>
      <c r="R83" s="2" t="s">
        <v>100</v>
      </c>
      <c r="S83" s="2" t="s">
        <v>579</v>
      </c>
      <c r="T83" s="2" t="s">
        <v>100</v>
      </c>
      <c r="U83" s="2" t="s">
        <v>480</v>
      </c>
      <c r="V83" s="2" t="s">
        <v>146</v>
      </c>
      <c r="W83" s="2" t="s">
        <v>561</v>
      </c>
      <c r="X83" s="2" t="s">
        <v>100</v>
      </c>
      <c r="Y83" s="2" t="s">
        <v>580</v>
      </c>
      <c r="Z83" s="4">
        <v>564</v>
      </c>
      <c r="AA83" s="4">
        <f>=ROUNDDOWN(37.6,0)</f>
      </c>
      <c r="AB83" s="5">
        <v>15</v>
      </c>
      <c r="AC83" s="2" t="s">
        <v>562</v>
      </c>
      <c r="AD83" s="4">
        <v>100</v>
      </c>
      <c r="AE83" s="4">
        <v>300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>
        <v>1</v>
      </c>
      <c r="AQ83" s="8">
        <v>45.36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0.5345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331</v>
      </c>
      <c r="BK83" s="8">
        <v>13460.65</v>
      </c>
      <c r="BL83" s="2" t="s">
        <v>588</v>
      </c>
      <c r="BM83" s="7">
        <v>0.003</v>
      </c>
      <c r="BN83" s="7">
        <v>0.0034</v>
      </c>
      <c r="BO83" s="4">
        <v>1</v>
      </c>
      <c r="BP83" s="8">
        <v>45.36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582</v>
      </c>
      <c r="BX83" s="2" t="s">
        <v>589</v>
      </c>
      <c r="BY83" s="2" t="s">
        <v>113</v>
      </c>
      <c r="BZ83" s="2" t="s">
        <v>245</v>
      </c>
    </row>
    <row r="84">
      <c r="A84" s="2" t="s">
        <v>590</v>
      </c>
      <c r="B84" s="2" t="s">
        <v>87</v>
      </c>
      <c r="C84" s="2" t="s">
        <v>88</v>
      </c>
      <c r="D84" s="2" t="s">
        <v>89</v>
      </c>
      <c r="E84" s="2" t="s">
        <v>506</v>
      </c>
      <c r="F84" s="2" t="s">
        <v>556</v>
      </c>
      <c r="G84" s="2" t="s">
        <v>557</v>
      </c>
      <c r="H84" s="2" t="s">
        <v>558</v>
      </c>
      <c r="I84" s="2" t="s">
        <v>569</v>
      </c>
      <c r="J84" s="2" t="s">
        <v>237</v>
      </c>
      <c r="K84" s="2" t="s">
        <v>189</v>
      </c>
      <c r="L84" s="3">
        <v>28.34</v>
      </c>
      <c r="M84" s="3">
        <v>29.76</v>
      </c>
      <c r="N84" s="3">
        <v>54.99</v>
      </c>
      <c r="O84" s="2" t="s">
        <v>97</v>
      </c>
      <c r="P84" s="2" t="s">
        <v>119</v>
      </c>
      <c r="Q84" s="2" t="s">
        <v>99</v>
      </c>
      <c r="R84" s="2" t="s">
        <v>100</v>
      </c>
      <c r="S84" s="2" t="s">
        <v>591</v>
      </c>
      <c r="T84" s="2" t="s">
        <v>100</v>
      </c>
      <c r="U84" s="2" t="s">
        <v>514</v>
      </c>
      <c r="V84" s="2" t="s">
        <v>146</v>
      </c>
      <c r="W84" s="2" t="s">
        <v>561</v>
      </c>
      <c r="X84" s="2" t="s">
        <v>100</v>
      </c>
      <c r="Y84" s="2" t="s">
        <v>240</v>
      </c>
      <c r="Z84" s="4">
        <v>251</v>
      </c>
      <c r="AA84" s="4">
        <f>=ROUNDDOWN(14.7647058823529,0)</f>
      </c>
      <c r="AB84" s="5">
        <v>17</v>
      </c>
      <c r="AC84" s="2" t="s">
        <v>542</v>
      </c>
      <c r="AD84" s="4">
        <v>120</v>
      </c>
      <c r="AE84" s="4">
        <v>250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>
        <v>1</v>
      </c>
      <c r="AW84" s="8">
        <v>39.5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0.0742</v>
      </c>
      <c r="BJ84" s="4">
        <v>428</v>
      </c>
      <c r="BK84" s="8">
        <v>12273.18</v>
      </c>
      <c r="BL84" s="2" t="s">
        <v>592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243</v>
      </c>
      <c r="BX84" s="2" t="s">
        <v>593</v>
      </c>
      <c r="BY84" s="2" t="s">
        <v>113</v>
      </c>
      <c r="BZ84" s="2" t="s">
        <v>100</v>
      </c>
    </row>
    <row r="85">
      <c r="A85" s="2" t="s">
        <v>594</v>
      </c>
      <c r="B85" s="2" t="s">
        <v>87</v>
      </c>
      <c r="C85" s="2" t="s">
        <v>88</v>
      </c>
      <c r="D85" s="2" t="s">
        <v>89</v>
      </c>
      <c r="E85" s="2" t="s">
        <v>506</v>
      </c>
      <c r="F85" s="2" t="s">
        <v>556</v>
      </c>
      <c r="G85" s="2" t="s">
        <v>557</v>
      </c>
      <c r="H85" s="2" t="s">
        <v>558</v>
      </c>
      <c r="I85" s="2" t="s">
        <v>559</v>
      </c>
      <c r="J85" s="2" t="s">
        <v>247</v>
      </c>
      <c r="K85" s="2" t="s">
        <v>189</v>
      </c>
      <c r="L85" s="3">
        <v>36.71</v>
      </c>
      <c r="M85" s="3">
        <v>38.55</v>
      </c>
      <c r="N85" s="3">
        <v>69.99</v>
      </c>
      <c r="O85" s="2" t="s">
        <v>97</v>
      </c>
      <c r="P85" s="2" t="s">
        <v>119</v>
      </c>
      <c r="Q85" s="2" t="s">
        <v>99</v>
      </c>
      <c r="R85" s="2" t="s">
        <v>100</v>
      </c>
      <c r="S85" s="2" t="s">
        <v>591</v>
      </c>
      <c r="T85" s="2" t="s">
        <v>100</v>
      </c>
      <c r="U85" s="2" t="s">
        <v>480</v>
      </c>
      <c r="V85" s="2" t="s">
        <v>146</v>
      </c>
      <c r="W85" s="2" t="s">
        <v>561</v>
      </c>
      <c r="X85" s="2" t="s">
        <v>100</v>
      </c>
      <c r="Y85" s="2" t="s">
        <v>240</v>
      </c>
      <c r="Z85" s="4">
        <v>396</v>
      </c>
      <c r="AA85" s="4">
        <f>=ROUNDDOWN(13.2,0)</f>
      </c>
      <c r="AB85" s="5">
        <v>30</v>
      </c>
      <c r="AC85" s="2" t="s">
        <v>542</v>
      </c>
      <c r="AD85" s="4">
        <v>150</v>
      </c>
      <c r="AE85" s="4">
        <v>550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>
        <v>1</v>
      </c>
      <c r="AQ85" s="8">
        <v>39.5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1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698</v>
      </c>
      <c r="BK85" s="8">
        <v>26312.75</v>
      </c>
      <c r="BL85" s="2" t="s">
        <v>595</v>
      </c>
      <c r="BM85" s="7">
        <v>0.0014</v>
      </c>
      <c r="BN85" s="7">
        <v>0.0015</v>
      </c>
      <c r="BO85" s="4">
        <v>1</v>
      </c>
      <c r="BP85" s="8">
        <v>39.5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243</v>
      </c>
      <c r="BX85" s="2" t="s">
        <v>596</v>
      </c>
      <c r="BY85" s="2" t="s">
        <v>113</v>
      </c>
      <c r="BZ85" s="2" t="s">
        <v>100</v>
      </c>
    </row>
    <row r="86">
      <c r="A86" s="2" t="s">
        <v>597</v>
      </c>
      <c r="B86" s="2" t="s">
        <v>87</v>
      </c>
      <c r="C86" s="2" t="s">
        <v>88</v>
      </c>
      <c r="D86" s="2" t="s">
        <v>89</v>
      </c>
      <c r="E86" s="2" t="s">
        <v>506</v>
      </c>
      <c r="F86" s="2" t="s">
        <v>556</v>
      </c>
      <c r="G86" s="2" t="s">
        <v>557</v>
      </c>
      <c r="H86" s="2" t="s">
        <v>558</v>
      </c>
      <c r="I86" s="2" t="s">
        <v>559</v>
      </c>
      <c r="J86" s="2" t="s">
        <v>270</v>
      </c>
      <c r="K86" s="2" t="s">
        <v>189</v>
      </c>
      <c r="L86" s="3">
        <v>41.03</v>
      </c>
      <c r="M86" s="3">
        <v>43.08</v>
      </c>
      <c r="N86" s="3">
        <v>79.99</v>
      </c>
      <c r="O86" s="2" t="s">
        <v>97</v>
      </c>
      <c r="P86" s="2" t="s">
        <v>119</v>
      </c>
      <c r="Q86" s="2" t="s">
        <v>99</v>
      </c>
      <c r="R86" s="2" t="s">
        <v>100</v>
      </c>
      <c r="S86" s="2" t="s">
        <v>591</v>
      </c>
      <c r="T86" s="2" t="s">
        <v>100</v>
      </c>
      <c r="U86" s="2" t="s">
        <v>480</v>
      </c>
      <c r="V86" s="2" t="s">
        <v>146</v>
      </c>
      <c r="W86" s="2" t="s">
        <v>561</v>
      </c>
      <c r="X86" s="2" t="s">
        <v>100</v>
      </c>
      <c r="Y86" s="2" t="s">
        <v>240</v>
      </c>
      <c r="Z86" s="4">
        <v>637</v>
      </c>
      <c r="AA86" s="4">
        <f>=ROUNDDOWN(24.5,0)</f>
      </c>
      <c r="AB86" s="5">
        <v>26</v>
      </c>
      <c r="AC86" s="2" t="s">
        <v>562</v>
      </c>
      <c r="AD86" s="4">
        <v>60</v>
      </c>
      <c r="AE86" s="4">
        <v>300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645</v>
      </c>
      <c r="BK86" s="8">
        <v>27637.13</v>
      </c>
      <c r="BL86" s="2" t="s">
        <v>598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243</v>
      </c>
      <c r="BX86" s="2" t="s">
        <v>312</v>
      </c>
      <c r="BY86" s="2" t="s">
        <v>113</v>
      </c>
      <c r="BZ86" s="2" t="s">
        <v>100</v>
      </c>
    </row>
    <row r="87">
      <c r="A87" s="2" t="s">
        <v>599</v>
      </c>
      <c r="B87" s="2" t="s">
        <v>87</v>
      </c>
      <c r="C87" s="2" t="s">
        <v>88</v>
      </c>
      <c r="D87" s="2" t="s">
        <v>89</v>
      </c>
      <c r="E87" s="2" t="s">
        <v>506</v>
      </c>
      <c r="F87" s="2" t="s">
        <v>556</v>
      </c>
      <c r="G87" s="2" t="s">
        <v>557</v>
      </c>
      <c r="H87" s="2" t="s">
        <v>558</v>
      </c>
      <c r="I87" s="2" t="s">
        <v>569</v>
      </c>
      <c r="J87" s="2" t="s">
        <v>237</v>
      </c>
      <c r="K87" s="2" t="s">
        <v>335</v>
      </c>
      <c r="L87" s="3">
        <v>28.34</v>
      </c>
      <c r="M87" s="3">
        <v>29.76</v>
      </c>
      <c r="N87" s="3">
        <v>54.99</v>
      </c>
      <c r="O87" s="2" t="s">
        <v>97</v>
      </c>
      <c r="P87" s="2" t="s">
        <v>119</v>
      </c>
      <c r="Q87" s="2" t="s">
        <v>99</v>
      </c>
      <c r="R87" s="2" t="s">
        <v>100</v>
      </c>
      <c r="S87" s="2" t="s">
        <v>579</v>
      </c>
      <c r="T87" s="2" t="s">
        <v>100</v>
      </c>
      <c r="U87" s="2" t="s">
        <v>514</v>
      </c>
      <c r="V87" s="2" t="s">
        <v>146</v>
      </c>
      <c r="W87" s="2" t="s">
        <v>561</v>
      </c>
      <c r="X87" s="2" t="s">
        <v>100</v>
      </c>
      <c r="Y87" s="2" t="s">
        <v>600</v>
      </c>
      <c r="Z87" s="4">
        <v>195</v>
      </c>
      <c r="AA87" s="4">
        <f>=ROUNDDOWN(24.375,0)</f>
      </c>
      <c r="AB87" s="5">
        <v>8</v>
      </c>
      <c r="AC87" s="2" t="s">
        <v>542</v>
      </c>
      <c r="AD87" s="4">
        <v>60</v>
      </c>
      <c r="AE87" s="4">
        <v>210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>
        <v>1</v>
      </c>
      <c r="AQ87" s="8">
        <v>31.03</v>
      </c>
      <c r="AR87" s="4"/>
      <c r="AS87" s="8"/>
      <c r="AT87" s="7"/>
      <c r="AU87" s="7"/>
      <c r="AV87" s="4">
        <v>1</v>
      </c>
      <c r="AW87" s="8">
        <v>31.03</v>
      </c>
      <c r="AX87" s="4"/>
      <c r="AY87" s="8"/>
      <c r="AZ87" s="7"/>
      <c r="BA87" s="7"/>
      <c r="BB87" s="7">
        <v>1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0.0583</v>
      </c>
      <c r="BJ87" s="4">
        <v>198</v>
      </c>
      <c r="BK87" s="8">
        <v>5546.28</v>
      </c>
      <c r="BL87" s="2" t="s">
        <v>601</v>
      </c>
      <c r="BM87" s="7">
        <v>0.0051</v>
      </c>
      <c r="BN87" s="7">
        <v>0.0056</v>
      </c>
      <c r="BO87" s="4">
        <v>1</v>
      </c>
      <c r="BP87" s="8">
        <v>31.03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582</v>
      </c>
      <c r="BX87" s="2" t="s">
        <v>602</v>
      </c>
      <c r="BY87" s="2" t="s">
        <v>113</v>
      </c>
      <c r="BZ87" s="2" t="s">
        <v>100</v>
      </c>
    </row>
    <row r="88">
      <c r="A88" s="2" t="s">
        <v>603</v>
      </c>
      <c r="B88" s="2" t="s">
        <v>87</v>
      </c>
      <c r="C88" s="2" t="s">
        <v>88</v>
      </c>
      <c r="D88" s="2" t="s">
        <v>89</v>
      </c>
      <c r="E88" s="2" t="s">
        <v>506</v>
      </c>
      <c r="F88" s="2" t="s">
        <v>556</v>
      </c>
      <c r="G88" s="2" t="s">
        <v>557</v>
      </c>
      <c r="H88" s="2" t="s">
        <v>558</v>
      </c>
      <c r="I88" s="2" t="s">
        <v>569</v>
      </c>
      <c r="J88" s="2" t="s">
        <v>237</v>
      </c>
      <c r="K88" s="2" t="s">
        <v>604</v>
      </c>
      <c r="L88" s="3">
        <v>28.34</v>
      </c>
      <c r="M88" s="3">
        <v>29.76</v>
      </c>
      <c r="N88" s="3">
        <v>54.99</v>
      </c>
      <c r="O88" s="2" t="s">
        <v>97</v>
      </c>
      <c r="P88" s="2" t="s">
        <v>119</v>
      </c>
      <c r="Q88" s="2" t="s">
        <v>99</v>
      </c>
      <c r="R88" s="2" t="s">
        <v>100</v>
      </c>
      <c r="S88" s="2" t="s">
        <v>605</v>
      </c>
      <c r="T88" s="2" t="s">
        <v>100</v>
      </c>
      <c r="U88" s="2" t="s">
        <v>514</v>
      </c>
      <c r="V88" s="2" t="s">
        <v>146</v>
      </c>
      <c r="W88" s="2" t="s">
        <v>561</v>
      </c>
      <c r="X88" s="2" t="s">
        <v>100</v>
      </c>
      <c r="Y88" s="2" t="s">
        <v>240</v>
      </c>
      <c r="Z88" s="4">
        <v>173</v>
      </c>
      <c r="AA88" s="4">
        <f>=ROUNDDOWN(21.625,0)</f>
      </c>
      <c r="AB88" s="5">
        <v>8</v>
      </c>
      <c r="AC88" s="2" t="s">
        <v>542</v>
      </c>
      <c r="AD88" s="4">
        <v>50</v>
      </c>
      <c r="AE88" s="4">
        <v>220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>
        <v>1</v>
      </c>
      <c r="AQ88" s="8">
        <v>31.03</v>
      </c>
      <c r="AR88" s="4"/>
      <c r="AS88" s="8"/>
      <c r="AT88" s="7"/>
      <c r="AU88" s="7"/>
      <c r="AV88" s="4">
        <v>1</v>
      </c>
      <c r="AW88" s="8">
        <v>31.03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1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0.0583</v>
      </c>
      <c r="BJ88" s="4">
        <v>147</v>
      </c>
      <c r="BK88" s="8">
        <v>4014.93</v>
      </c>
      <c r="BL88" s="2" t="s">
        <v>606</v>
      </c>
      <c r="BM88" s="7">
        <v>0.0068</v>
      </c>
      <c r="BN88" s="7">
        <v>0.0077</v>
      </c>
      <c r="BO88" s="4">
        <v>1</v>
      </c>
      <c r="BP88" s="8">
        <v>31.03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243</v>
      </c>
      <c r="BX88" s="2" t="s">
        <v>312</v>
      </c>
      <c r="BY88" s="2" t="s">
        <v>113</v>
      </c>
      <c r="BZ88" s="2" t="s">
        <v>100</v>
      </c>
    </row>
    <row r="89">
      <c r="A89" s="2" t="s">
        <v>607</v>
      </c>
      <c r="B89" s="2" t="s">
        <v>87</v>
      </c>
      <c r="C89" s="2" t="s">
        <v>88</v>
      </c>
      <c r="D89" s="2" t="s">
        <v>89</v>
      </c>
      <c r="E89" s="2" t="s">
        <v>506</v>
      </c>
      <c r="F89" s="2" t="s">
        <v>556</v>
      </c>
      <c r="G89" s="2" t="s">
        <v>557</v>
      </c>
      <c r="H89" s="2" t="s">
        <v>558</v>
      </c>
      <c r="I89" s="2" t="s">
        <v>559</v>
      </c>
      <c r="J89" s="2" t="s">
        <v>247</v>
      </c>
      <c r="K89" s="2" t="s">
        <v>604</v>
      </c>
      <c r="L89" s="3">
        <v>36.71</v>
      </c>
      <c r="M89" s="3">
        <v>38.55</v>
      </c>
      <c r="N89" s="3">
        <v>69.99</v>
      </c>
      <c r="O89" s="2" t="s">
        <v>97</v>
      </c>
      <c r="P89" s="2" t="s">
        <v>119</v>
      </c>
      <c r="Q89" s="2" t="s">
        <v>99</v>
      </c>
      <c r="R89" s="2" t="s">
        <v>100</v>
      </c>
      <c r="S89" s="2" t="s">
        <v>605</v>
      </c>
      <c r="T89" s="2" t="s">
        <v>100</v>
      </c>
      <c r="U89" s="2" t="s">
        <v>480</v>
      </c>
      <c r="V89" s="2" t="s">
        <v>146</v>
      </c>
      <c r="W89" s="2" t="s">
        <v>561</v>
      </c>
      <c r="X89" s="2" t="s">
        <v>100</v>
      </c>
      <c r="Y89" s="2" t="s">
        <v>240</v>
      </c>
      <c r="Z89" s="4">
        <v>578</v>
      </c>
      <c r="AA89" s="4">
        <f>=ROUNDDOWN(44.4615384615385,0)</f>
      </c>
      <c r="AB89" s="5">
        <v>13</v>
      </c>
      <c r="AC89" s="2" t="s">
        <v>608</v>
      </c>
      <c r="AD89" s="4">
        <v>80</v>
      </c>
      <c r="AE89" s="4">
        <v>80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283</v>
      </c>
      <c r="BK89" s="8">
        <v>10445.42</v>
      </c>
      <c r="BL89" s="2" t="s">
        <v>609</v>
      </c>
      <c r="BM89" s="7"/>
      <c r="BN89" s="7"/>
      <c r="BO89" s="4"/>
      <c r="BP89" s="8"/>
      <c r="BQ89" s="4"/>
      <c r="BR89" s="8"/>
      <c r="BS89" s="7"/>
      <c r="BT89" s="7"/>
      <c r="BU89" s="2" t="s">
        <v>109</v>
      </c>
      <c r="BV89" s="2" t="s">
        <v>97</v>
      </c>
      <c r="BW89" s="2" t="s">
        <v>243</v>
      </c>
      <c r="BX89" s="2" t="s">
        <v>610</v>
      </c>
      <c r="BY89" s="2" t="s">
        <v>113</v>
      </c>
      <c r="BZ89" s="2" t="s">
        <v>100</v>
      </c>
    </row>
    <row r="90">
      <c r="A90" s="2" t="s">
        <v>611</v>
      </c>
      <c r="B90" s="2" t="s">
        <v>87</v>
      </c>
      <c r="C90" s="2" t="s">
        <v>88</v>
      </c>
      <c r="D90" s="2" t="s">
        <v>89</v>
      </c>
      <c r="E90" s="2" t="s">
        <v>506</v>
      </c>
      <c r="F90" s="2" t="s">
        <v>556</v>
      </c>
      <c r="G90" s="2" t="s">
        <v>557</v>
      </c>
      <c r="H90" s="2" t="s">
        <v>558</v>
      </c>
      <c r="I90" s="2" t="s">
        <v>559</v>
      </c>
      <c r="J90" s="2" t="s">
        <v>270</v>
      </c>
      <c r="K90" s="2" t="s">
        <v>604</v>
      </c>
      <c r="L90" s="3">
        <v>41.03</v>
      </c>
      <c r="M90" s="3">
        <v>43.08</v>
      </c>
      <c r="N90" s="3">
        <v>79.99</v>
      </c>
      <c r="O90" s="2" t="s">
        <v>97</v>
      </c>
      <c r="P90" s="2" t="s">
        <v>119</v>
      </c>
      <c r="Q90" s="2" t="s">
        <v>99</v>
      </c>
      <c r="R90" s="2" t="s">
        <v>100</v>
      </c>
      <c r="S90" s="2" t="s">
        <v>605</v>
      </c>
      <c r="T90" s="2" t="s">
        <v>100</v>
      </c>
      <c r="U90" s="2" t="s">
        <v>480</v>
      </c>
      <c r="V90" s="2" t="s">
        <v>146</v>
      </c>
      <c r="W90" s="2" t="s">
        <v>561</v>
      </c>
      <c r="X90" s="2" t="s">
        <v>100</v>
      </c>
      <c r="Y90" s="2" t="s">
        <v>240</v>
      </c>
      <c r="Z90" s="4">
        <v>499</v>
      </c>
      <c r="AA90" s="4">
        <f>=ROUNDDOWN(35.6428571428571,0)</f>
      </c>
      <c r="AB90" s="5">
        <v>14</v>
      </c>
      <c r="AC90" s="2" t="s">
        <v>100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332</v>
      </c>
      <c r="BK90" s="8">
        <v>14152.34</v>
      </c>
      <c r="BL90" s="2" t="s">
        <v>612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97</v>
      </c>
      <c r="BW90" s="2" t="s">
        <v>243</v>
      </c>
      <c r="BX90" s="2" t="s">
        <v>244</v>
      </c>
      <c r="BY90" s="2" t="s">
        <v>113</v>
      </c>
      <c r="BZ90" s="2" t="s">
        <v>100</v>
      </c>
    </row>
    <row r="91">
      <c r="A91" s="2" t="s">
        <v>613</v>
      </c>
      <c r="B91" s="2" t="s">
        <v>87</v>
      </c>
      <c r="C91" s="2" t="s">
        <v>88</v>
      </c>
      <c r="D91" s="2" t="s">
        <v>89</v>
      </c>
      <c r="E91" s="2" t="s">
        <v>506</v>
      </c>
      <c r="F91" s="2" t="s">
        <v>614</v>
      </c>
      <c r="G91" s="2" t="s">
        <v>615</v>
      </c>
      <c r="H91" s="2" t="s">
        <v>616</v>
      </c>
      <c r="I91" s="2" t="s">
        <v>617</v>
      </c>
      <c r="J91" s="2" t="s">
        <v>247</v>
      </c>
      <c r="K91" s="2" t="s">
        <v>432</v>
      </c>
      <c r="L91" s="3">
        <v>48</v>
      </c>
      <c r="M91" s="3">
        <v>50.39</v>
      </c>
      <c r="N91" s="3">
        <v>99.99</v>
      </c>
      <c r="O91" s="2" t="s">
        <v>97</v>
      </c>
      <c r="P91" s="2" t="s">
        <v>119</v>
      </c>
      <c r="Q91" s="2" t="s">
        <v>99</v>
      </c>
      <c r="R91" s="2" t="s">
        <v>100</v>
      </c>
      <c r="S91" s="2" t="s">
        <v>618</v>
      </c>
      <c r="T91" s="2" t="s">
        <v>280</v>
      </c>
      <c r="U91" s="2" t="s">
        <v>480</v>
      </c>
      <c r="V91" s="2" t="s">
        <v>103</v>
      </c>
      <c r="W91" s="2" t="s">
        <v>158</v>
      </c>
      <c r="X91" s="2" t="s">
        <v>619</v>
      </c>
      <c r="Y91" s="2" t="s">
        <v>620</v>
      </c>
      <c r="Z91" s="4">
        <v>1123</v>
      </c>
      <c r="AA91" s="4">
        <f>=ROUNDDOWN(80.2142857142857,0)</f>
      </c>
      <c r="AB91" s="5">
        <v>14</v>
      </c>
      <c r="AC91" s="2" t="s">
        <v>123</v>
      </c>
      <c r="AD91" s="4">
        <v>30</v>
      </c>
      <c r="AE91" s="4">
        <v>230</v>
      </c>
      <c r="AF91" s="6">
        <v>71</v>
      </c>
      <c r="AG91" s="6">
        <v>79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>
        <v>9</v>
      </c>
      <c r="AQ91" s="8">
        <v>440.91</v>
      </c>
      <c r="AR91" s="4"/>
      <c r="AS91" s="8"/>
      <c r="AT91" s="7"/>
      <c r="AU91" s="7"/>
      <c r="AV91" s="4">
        <v>9</v>
      </c>
      <c r="AW91" s="8">
        <v>440.91</v>
      </c>
      <c r="AX91" s="4"/>
      <c r="AY91" s="8"/>
      <c r="AZ91" s="7"/>
      <c r="BA91" s="7"/>
      <c r="BB91" s="7">
        <v>1</v>
      </c>
      <c r="BC91" s="4">
        <v>10</v>
      </c>
      <c r="BD91" s="8">
        <v>489.9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0.9</v>
      </c>
      <c r="BJ91" s="4">
        <v>399</v>
      </c>
      <c r="BK91" s="8">
        <v>20065.84</v>
      </c>
      <c r="BL91" s="2" t="s">
        <v>621</v>
      </c>
      <c r="BM91" s="7">
        <v>0.0226</v>
      </c>
      <c r="BN91" s="7">
        <v>0.022</v>
      </c>
      <c r="BO91" s="4">
        <v>9</v>
      </c>
      <c r="BP91" s="8">
        <v>440.91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622</v>
      </c>
      <c r="BX91" s="2" t="s">
        <v>623</v>
      </c>
      <c r="BY91" s="2" t="s">
        <v>113</v>
      </c>
      <c r="BZ91" s="2" t="s">
        <v>245</v>
      </c>
    </row>
    <row r="92">
      <c r="A92" s="2" t="s">
        <v>624</v>
      </c>
      <c r="B92" s="2" t="s">
        <v>87</v>
      </c>
      <c r="C92" s="2" t="s">
        <v>88</v>
      </c>
      <c r="D92" s="2" t="s">
        <v>89</v>
      </c>
      <c r="E92" s="2" t="s">
        <v>506</v>
      </c>
      <c r="F92" s="2" t="s">
        <v>614</v>
      </c>
      <c r="G92" s="2" t="s">
        <v>615</v>
      </c>
      <c r="H92" s="2" t="s">
        <v>616</v>
      </c>
      <c r="I92" s="2" t="s">
        <v>617</v>
      </c>
      <c r="J92" s="2" t="s">
        <v>247</v>
      </c>
      <c r="K92" s="2" t="s">
        <v>169</v>
      </c>
      <c r="L92" s="3">
        <v>48</v>
      </c>
      <c r="M92" s="3">
        <v>50.39</v>
      </c>
      <c r="N92" s="3">
        <v>99.99</v>
      </c>
      <c r="O92" s="2" t="s">
        <v>97</v>
      </c>
      <c r="P92" s="2" t="s">
        <v>119</v>
      </c>
      <c r="Q92" s="2" t="s">
        <v>99</v>
      </c>
      <c r="R92" s="2" t="s">
        <v>100</v>
      </c>
      <c r="S92" s="2" t="s">
        <v>625</v>
      </c>
      <c r="T92" s="2" t="s">
        <v>280</v>
      </c>
      <c r="U92" s="2" t="s">
        <v>480</v>
      </c>
      <c r="V92" s="2" t="s">
        <v>103</v>
      </c>
      <c r="W92" s="2" t="s">
        <v>158</v>
      </c>
      <c r="X92" s="2" t="s">
        <v>619</v>
      </c>
      <c r="Y92" s="2" t="s">
        <v>620</v>
      </c>
      <c r="Z92" s="4">
        <v>1456</v>
      </c>
      <c r="AA92" s="4">
        <f>=ROUNDDOWN(112,0)</f>
      </c>
      <c r="AB92" s="5">
        <v>13</v>
      </c>
      <c r="AC92" s="2" t="s">
        <v>100</v>
      </c>
      <c r="AD92" s="4"/>
      <c r="AE92" s="4"/>
      <c r="AF92" s="6">
        <v>71</v>
      </c>
      <c r="AG92" s="6">
        <v>79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>
        <v>1</v>
      </c>
      <c r="AQ92" s="8">
        <v>48.99</v>
      </c>
      <c r="AR92" s="4"/>
      <c r="AS92" s="8"/>
      <c r="AT92" s="7"/>
      <c r="AU92" s="7"/>
      <c r="AV92" s="4">
        <v>1</v>
      </c>
      <c r="AW92" s="8">
        <v>48.99</v>
      </c>
      <c r="AX92" s="4"/>
      <c r="AY92" s="8"/>
      <c r="AZ92" s="7"/>
      <c r="BA92" s="7"/>
      <c r="BB92" s="7">
        <v>1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>
        <v>0.1</v>
      </c>
      <c r="BJ92" s="4">
        <v>423</v>
      </c>
      <c r="BK92" s="8">
        <v>21240.99</v>
      </c>
      <c r="BL92" s="2" t="s">
        <v>626</v>
      </c>
      <c r="BM92" s="7">
        <v>0.0024</v>
      </c>
      <c r="BN92" s="7">
        <v>0.0023</v>
      </c>
      <c r="BO92" s="4">
        <v>1</v>
      </c>
      <c r="BP92" s="8">
        <v>48.99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622</v>
      </c>
      <c r="BX92" s="2" t="s">
        <v>627</v>
      </c>
      <c r="BY92" s="2" t="s">
        <v>113</v>
      </c>
      <c r="BZ92" s="2" t="s">
        <v>245</v>
      </c>
    </row>
    <row r="93">
      <c r="A93" s="2" t="s">
        <v>628</v>
      </c>
      <c r="B93" s="2" t="s">
        <v>87</v>
      </c>
      <c r="C93" s="2" t="s">
        <v>88</v>
      </c>
      <c r="D93" s="2" t="s">
        <v>89</v>
      </c>
      <c r="E93" s="2" t="s">
        <v>506</v>
      </c>
      <c r="F93" s="2" t="s">
        <v>614</v>
      </c>
      <c r="G93" s="2" t="s">
        <v>615</v>
      </c>
      <c r="H93" s="2" t="s">
        <v>616</v>
      </c>
      <c r="I93" s="2" t="s">
        <v>617</v>
      </c>
      <c r="J93" s="2" t="s">
        <v>247</v>
      </c>
      <c r="K93" s="2" t="s">
        <v>629</v>
      </c>
      <c r="L93" s="3">
        <v>48</v>
      </c>
      <c r="M93" s="3">
        <v>50.39</v>
      </c>
      <c r="N93" s="3">
        <v>99.99</v>
      </c>
      <c r="O93" s="2" t="s">
        <v>97</v>
      </c>
      <c r="P93" s="2" t="s">
        <v>98</v>
      </c>
      <c r="Q93" s="2" t="s">
        <v>99</v>
      </c>
      <c r="R93" s="2" t="s">
        <v>100</v>
      </c>
      <c r="S93" s="2" t="s">
        <v>630</v>
      </c>
      <c r="T93" s="2" t="s">
        <v>100</v>
      </c>
      <c r="U93" s="2" t="s">
        <v>480</v>
      </c>
      <c r="V93" s="2" t="s">
        <v>103</v>
      </c>
      <c r="W93" s="2" t="s">
        <v>158</v>
      </c>
      <c r="X93" s="2" t="s">
        <v>619</v>
      </c>
      <c r="Y93" s="2" t="s">
        <v>631</v>
      </c>
      <c r="Z93" s="4">
        <v>1958</v>
      </c>
      <c r="AA93" s="4">
        <f>=ROUNDDOWN(130.533333333333,0)</f>
      </c>
      <c r="AB93" s="5">
        <v>15</v>
      </c>
      <c r="AC93" s="2" t="s">
        <v>100</v>
      </c>
      <c r="AD93" s="4"/>
      <c r="AE93" s="4"/>
      <c r="AF93" s="6">
        <v>71</v>
      </c>
      <c r="AG93" s="6">
        <v>79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427</v>
      </c>
      <c r="BK93" s="8">
        <v>21914.82</v>
      </c>
      <c r="BL93" s="2" t="s">
        <v>550</v>
      </c>
      <c r="BM93" s="7"/>
      <c r="BN93" s="7"/>
      <c r="BO93" s="4"/>
      <c r="BP93" s="8"/>
      <c r="BQ93" s="4"/>
      <c r="BR93" s="8"/>
      <c r="BS93" s="7"/>
      <c r="BT93" s="7"/>
      <c r="BU93" s="2" t="s">
        <v>268</v>
      </c>
      <c r="BV93" s="2" t="s">
        <v>97</v>
      </c>
      <c r="BW93" s="2" t="s">
        <v>100</v>
      </c>
      <c r="BX93" s="2" t="s">
        <v>100</v>
      </c>
      <c r="BY93" s="2" t="s">
        <v>113</v>
      </c>
      <c r="BZ93" s="2" t="s">
        <v>100</v>
      </c>
    </row>
    <row r="94">
      <c r="A94" s="2" t="s">
        <v>632</v>
      </c>
      <c r="B94" s="2" t="s">
        <v>87</v>
      </c>
      <c r="C94" s="2" t="s">
        <v>88</v>
      </c>
      <c r="D94" s="2" t="s">
        <v>89</v>
      </c>
      <c r="E94" s="2" t="s">
        <v>506</v>
      </c>
      <c r="F94" s="2" t="s">
        <v>614</v>
      </c>
      <c r="G94" s="2" t="s">
        <v>615</v>
      </c>
      <c r="H94" s="2" t="s">
        <v>616</v>
      </c>
      <c r="I94" s="2" t="s">
        <v>617</v>
      </c>
      <c r="J94" s="2" t="s">
        <v>270</v>
      </c>
      <c r="K94" s="2" t="s">
        <v>629</v>
      </c>
      <c r="L94" s="3">
        <v>57.6</v>
      </c>
      <c r="M94" s="3">
        <v>60.47</v>
      </c>
      <c r="N94" s="3">
        <v>119.99</v>
      </c>
      <c r="O94" s="2" t="s">
        <v>97</v>
      </c>
      <c r="P94" s="2" t="s">
        <v>98</v>
      </c>
      <c r="Q94" s="2" t="s">
        <v>99</v>
      </c>
      <c r="R94" s="2" t="s">
        <v>100</v>
      </c>
      <c r="S94" s="2" t="s">
        <v>630</v>
      </c>
      <c r="T94" s="2" t="s">
        <v>100</v>
      </c>
      <c r="U94" s="2" t="s">
        <v>480</v>
      </c>
      <c r="V94" s="2" t="s">
        <v>103</v>
      </c>
      <c r="W94" s="2" t="s">
        <v>158</v>
      </c>
      <c r="X94" s="2" t="s">
        <v>619</v>
      </c>
      <c r="Y94" s="2" t="s">
        <v>631</v>
      </c>
      <c r="Z94" s="4">
        <v>2354</v>
      </c>
      <c r="AA94" s="4">
        <f>=ROUNDDOWN(130.777777777778,0)</f>
      </c>
      <c r="AB94" s="5">
        <v>18</v>
      </c>
      <c r="AC94" s="2" t="s">
        <v>100</v>
      </c>
      <c r="AD94" s="4"/>
      <c r="AE94" s="4"/>
      <c r="AF94" s="6">
        <v>71</v>
      </c>
      <c r="AG94" s="6">
        <v>79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536</v>
      </c>
      <c r="BK94" s="8">
        <v>33390.1</v>
      </c>
      <c r="BL94" s="2" t="s">
        <v>633</v>
      </c>
      <c r="BM94" s="7"/>
      <c r="BN94" s="7"/>
      <c r="BO94" s="4"/>
      <c r="BP94" s="8"/>
      <c r="BQ94" s="4"/>
      <c r="BR94" s="8"/>
      <c r="BS94" s="7"/>
      <c r="BT94" s="7"/>
      <c r="BU94" s="2" t="s">
        <v>268</v>
      </c>
      <c r="BV94" s="2" t="s">
        <v>97</v>
      </c>
      <c r="BW94" s="2" t="s">
        <v>100</v>
      </c>
      <c r="BX94" s="2" t="s">
        <v>100</v>
      </c>
      <c r="BY94" s="2" t="s">
        <v>113</v>
      </c>
      <c r="BZ94" s="2" t="s">
        <v>100</v>
      </c>
    </row>
    <row r="95">
      <c r="A95" s="2" t="s">
        <v>634</v>
      </c>
      <c r="B95" s="2" t="s">
        <v>87</v>
      </c>
      <c r="C95" s="2" t="s">
        <v>88</v>
      </c>
      <c r="D95" s="2" t="s">
        <v>89</v>
      </c>
      <c r="E95" s="2" t="s">
        <v>506</v>
      </c>
      <c r="F95" s="2" t="s">
        <v>635</v>
      </c>
      <c r="G95" s="2" t="s">
        <v>636</v>
      </c>
      <c r="H95" s="2" t="s">
        <v>637</v>
      </c>
      <c r="I95" s="2" t="s">
        <v>638</v>
      </c>
      <c r="J95" s="2" t="s">
        <v>247</v>
      </c>
      <c r="K95" s="2" t="s">
        <v>639</v>
      </c>
      <c r="L95" s="3">
        <v>43.2</v>
      </c>
      <c r="M95" s="3">
        <v>45.35</v>
      </c>
      <c r="N95" s="3">
        <v>89.99</v>
      </c>
      <c r="O95" s="2" t="s">
        <v>97</v>
      </c>
      <c r="P95" s="2" t="s">
        <v>119</v>
      </c>
      <c r="Q95" s="2" t="s">
        <v>99</v>
      </c>
      <c r="R95" s="2" t="s">
        <v>100</v>
      </c>
      <c r="S95" s="2" t="s">
        <v>640</v>
      </c>
      <c r="T95" s="2" t="s">
        <v>280</v>
      </c>
      <c r="U95" s="2" t="s">
        <v>480</v>
      </c>
      <c r="V95" s="2" t="s">
        <v>103</v>
      </c>
      <c r="W95" s="2" t="s">
        <v>319</v>
      </c>
      <c r="X95" s="2" t="s">
        <v>100</v>
      </c>
      <c r="Y95" s="2" t="s">
        <v>641</v>
      </c>
      <c r="Z95" s="4">
        <v>55</v>
      </c>
      <c r="AA95" s="4">
        <f>=ROUNDDOWN(7.85714285714286,0)</f>
      </c>
      <c r="AB95" s="5">
        <v>7</v>
      </c>
      <c r="AC95" s="2" t="s">
        <v>562</v>
      </c>
      <c r="AD95" s="4">
        <v>50</v>
      </c>
      <c r="AE95" s="4">
        <v>230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>
        <v>6</v>
      </c>
      <c r="AQ95" s="8">
        <v>261.3</v>
      </c>
      <c r="AR95" s="4"/>
      <c r="AS95" s="8"/>
      <c r="AT95" s="7"/>
      <c r="AU95" s="7"/>
      <c r="AV95" s="4">
        <v>8</v>
      </c>
      <c r="AW95" s="8">
        <v>370.16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0.7059</v>
      </c>
      <c r="BC95" s="4">
        <v>8</v>
      </c>
      <c r="BD95" s="8">
        <v>370.16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1</v>
      </c>
      <c r="BJ95" s="4">
        <v>182</v>
      </c>
      <c r="BK95" s="8">
        <v>8383.89</v>
      </c>
      <c r="BL95" s="2" t="s">
        <v>642</v>
      </c>
      <c r="BM95" s="7">
        <v>0.033</v>
      </c>
      <c r="BN95" s="7">
        <v>0.0312</v>
      </c>
      <c r="BO95" s="4">
        <v>6</v>
      </c>
      <c r="BP95" s="8">
        <v>261.3</v>
      </c>
      <c r="BQ95" s="4"/>
      <c r="BR95" s="8"/>
      <c r="BS95" s="7"/>
      <c r="BT95" s="7"/>
      <c r="BU95" s="2" t="s">
        <v>109</v>
      </c>
      <c r="BV95" s="2" t="s">
        <v>110</v>
      </c>
      <c r="BW95" s="2" t="s">
        <v>643</v>
      </c>
      <c r="BX95" s="2" t="s">
        <v>644</v>
      </c>
      <c r="BY95" s="2" t="s">
        <v>113</v>
      </c>
      <c r="BZ95" s="2" t="s">
        <v>100</v>
      </c>
    </row>
    <row r="96">
      <c r="A96" s="2" t="s">
        <v>645</v>
      </c>
      <c r="B96" s="2" t="s">
        <v>87</v>
      </c>
      <c r="C96" s="2" t="s">
        <v>88</v>
      </c>
      <c r="D96" s="2" t="s">
        <v>89</v>
      </c>
      <c r="E96" s="2" t="s">
        <v>506</v>
      </c>
      <c r="F96" s="2" t="s">
        <v>635</v>
      </c>
      <c r="G96" s="2" t="s">
        <v>636</v>
      </c>
      <c r="H96" s="2" t="s">
        <v>637</v>
      </c>
      <c r="I96" s="2" t="s">
        <v>638</v>
      </c>
      <c r="J96" s="2" t="s">
        <v>270</v>
      </c>
      <c r="K96" s="2" t="s">
        <v>639</v>
      </c>
      <c r="L96" s="3">
        <v>52.8</v>
      </c>
      <c r="M96" s="3">
        <v>55.43</v>
      </c>
      <c r="N96" s="3">
        <v>109.99</v>
      </c>
      <c r="O96" s="2" t="s">
        <v>97</v>
      </c>
      <c r="P96" s="2" t="s">
        <v>119</v>
      </c>
      <c r="Q96" s="2" t="s">
        <v>99</v>
      </c>
      <c r="R96" s="2" t="s">
        <v>100</v>
      </c>
      <c r="S96" s="2" t="s">
        <v>640</v>
      </c>
      <c r="T96" s="2" t="s">
        <v>280</v>
      </c>
      <c r="U96" s="2" t="s">
        <v>480</v>
      </c>
      <c r="V96" s="2" t="s">
        <v>103</v>
      </c>
      <c r="W96" s="2" t="s">
        <v>319</v>
      </c>
      <c r="X96" s="2" t="s">
        <v>100</v>
      </c>
      <c r="Y96" s="2" t="s">
        <v>641</v>
      </c>
      <c r="Z96" s="4">
        <v>49</v>
      </c>
      <c r="AA96" s="4">
        <f>=ROUNDDOWN(5.44444444444444,0)</f>
      </c>
      <c r="AB96" s="5">
        <v>9</v>
      </c>
      <c r="AC96" s="2" t="s">
        <v>562</v>
      </c>
      <c r="AD96" s="4">
        <v>70</v>
      </c>
      <c r="AE96" s="4">
        <v>270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>
        <v>2</v>
      </c>
      <c r="AQ96" s="8">
        <v>108.86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0.2941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234</v>
      </c>
      <c r="BK96" s="8">
        <v>13300.7</v>
      </c>
      <c r="BL96" s="2" t="s">
        <v>646</v>
      </c>
      <c r="BM96" s="7">
        <v>0.0085</v>
      </c>
      <c r="BN96" s="7">
        <v>0.0082</v>
      </c>
      <c r="BO96" s="4">
        <v>2</v>
      </c>
      <c r="BP96" s="8">
        <v>108.86</v>
      </c>
      <c r="BQ96" s="4"/>
      <c r="BR96" s="8"/>
      <c r="BS96" s="7"/>
      <c r="BT96" s="7"/>
      <c r="BU96" s="2" t="s">
        <v>109</v>
      </c>
      <c r="BV96" s="2" t="s">
        <v>110</v>
      </c>
      <c r="BW96" s="2" t="s">
        <v>643</v>
      </c>
      <c r="BX96" s="2" t="s">
        <v>647</v>
      </c>
      <c r="BY96" s="2" t="s">
        <v>113</v>
      </c>
      <c r="BZ96" s="2" t="s">
        <v>100</v>
      </c>
    </row>
    <row r="97">
      <c r="A97" s="2" t="s">
        <v>648</v>
      </c>
      <c r="B97" s="2" t="s">
        <v>87</v>
      </c>
      <c r="C97" s="2" t="s">
        <v>88</v>
      </c>
      <c r="D97" s="2" t="s">
        <v>89</v>
      </c>
      <c r="E97" s="2" t="s">
        <v>506</v>
      </c>
      <c r="F97" s="2" t="s">
        <v>649</v>
      </c>
      <c r="G97" s="2" t="s">
        <v>650</v>
      </c>
      <c r="H97" s="2" t="s">
        <v>651</v>
      </c>
      <c r="I97" s="2" t="s">
        <v>652</v>
      </c>
      <c r="J97" s="2" t="s">
        <v>247</v>
      </c>
      <c r="K97" s="2" t="s">
        <v>653</v>
      </c>
      <c r="L97" s="3">
        <v>38.09</v>
      </c>
      <c r="M97" s="3">
        <v>39.99</v>
      </c>
      <c r="N97" s="3">
        <v>79.99</v>
      </c>
      <c r="O97" s="2" t="s">
        <v>97</v>
      </c>
      <c r="P97" s="2" t="s">
        <v>225</v>
      </c>
      <c r="Q97" s="2" t="s">
        <v>99</v>
      </c>
      <c r="R97" s="2" t="s">
        <v>100</v>
      </c>
      <c r="S97" s="2" t="s">
        <v>654</v>
      </c>
      <c r="T97" s="2" t="s">
        <v>218</v>
      </c>
      <c r="U97" s="2" t="s">
        <v>480</v>
      </c>
      <c r="V97" s="2" t="s">
        <v>403</v>
      </c>
      <c r="W97" s="2" t="s">
        <v>319</v>
      </c>
      <c r="X97" s="2" t="s">
        <v>100</v>
      </c>
      <c r="Y97" s="2" t="s">
        <v>655</v>
      </c>
      <c r="Z97" s="4">
        <v>260</v>
      </c>
      <c r="AA97" s="4">
        <f>=ROUNDDOWN(43.3333333333333,0)</f>
      </c>
      <c r="AB97" s="5">
        <v>6</v>
      </c>
      <c r="AC97" s="2" t="s">
        <v>100</v>
      </c>
      <c r="AD97" s="4"/>
      <c r="AE97" s="4"/>
      <c r="AF97" s="6">
        <v>64</v>
      </c>
      <c r="AG97" s="6"/>
      <c r="AH97" s="7">
        <v>0.6706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/>
      <c r="BJ97" s="4">
        <v>41</v>
      </c>
      <c r="BK97" s="8">
        <v>1700.66</v>
      </c>
      <c r="BL97" s="2" t="s">
        <v>656</v>
      </c>
      <c r="BM97" s="7"/>
      <c r="BN97" s="7"/>
      <c r="BO97" s="4"/>
      <c r="BP97" s="8"/>
      <c r="BQ97" s="4"/>
      <c r="BR97" s="8"/>
      <c r="BS97" s="7"/>
      <c r="BT97" s="7"/>
      <c r="BU97" s="2" t="s">
        <v>207</v>
      </c>
      <c r="BV97" s="2" t="s">
        <v>97</v>
      </c>
      <c r="BW97" s="2" t="s">
        <v>100</v>
      </c>
      <c r="BX97" s="2" t="s">
        <v>100</v>
      </c>
      <c r="BY97" s="2" t="s">
        <v>113</v>
      </c>
      <c r="BZ97" s="2" t="s">
        <v>100</v>
      </c>
    </row>
    <row r="98">
      <c r="A98" s="2" t="s">
        <v>657</v>
      </c>
      <c r="B98" s="2" t="s">
        <v>87</v>
      </c>
      <c r="C98" s="2" t="s">
        <v>88</v>
      </c>
      <c r="D98" s="2" t="s">
        <v>89</v>
      </c>
      <c r="E98" s="2" t="s">
        <v>506</v>
      </c>
      <c r="F98" s="2" t="s">
        <v>649</v>
      </c>
      <c r="G98" s="2" t="s">
        <v>650</v>
      </c>
      <c r="H98" s="2" t="s">
        <v>651</v>
      </c>
      <c r="I98" s="2" t="s">
        <v>652</v>
      </c>
      <c r="J98" s="2" t="s">
        <v>270</v>
      </c>
      <c r="K98" s="2" t="s">
        <v>653</v>
      </c>
      <c r="L98" s="3">
        <v>42.85</v>
      </c>
      <c r="M98" s="3">
        <v>44.99</v>
      </c>
      <c r="N98" s="3">
        <v>89.99</v>
      </c>
      <c r="O98" s="2" t="s">
        <v>97</v>
      </c>
      <c r="P98" s="2" t="s">
        <v>225</v>
      </c>
      <c r="Q98" s="2" t="s">
        <v>99</v>
      </c>
      <c r="R98" s="2" t="s">
        <v>100</v>
      </c>
      <c r="S98" s="2" t="s">
        <v>654</v>
      </c>
      <c r="T98" s="2" t="s">
        <v>218</v>
      </c>
      <c r="U98" s="2" t="s">
        <v>480</v>
      </c>
      <c r="V98" s="2" t="s">
        <v>403</v>
      </c>
      <c r="W98" s="2" t="s">
        <v>319</v>
      </c>
      <c r="X98" s="2" t="s">
        <v>100</v>
      </c>
      <c r="Y98" s="2" t="s">
        <v>655</v>
      </c>
      <c r="Z98" s="4">
        <v>309</v>
      </c>
      <c r="AA98" s="4">
        <f>=ROUNDDOWN(44.1428571428571,0)</f>
      </c>
      <c r="AB98" s="5">
        <v>7</v>
      </c>
      <c r="AC98" s="2" t="s">
        <v>100</v>
      </c>
      <c r="AD98" s="4"/>
      <c r="AE98" s="4"/>
      <c r="AF98" s="6">
        <v>64</v>
      </c>
      <c r="AG98" s="6"/>
      <c r="AH98" s="7">
        <v>0.6706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/>
      <c r="BJ98" s="4">
        <v>49</v>
      </c>
      <c r="BK98" s="8">
        <v>2237.48</v>
      </c>
      <c r="BL98" s="2" t="s">
        <v>658</v>
      </c>
      <c r="BM98" s="7"/>
      <c r="BN98" s="7"/>
      <c r="BO98" s="4"/>
      <c r="BP98" s="8"/>
      <c r="BQ98" s="4"/>
      <c r="BR98" s="8"/>
      <c r="BS98" s="7"/>
      <c r="BT98" s="7"/>
      <c r="BU98" s="2" t="s">
        <v>207</v>
      </c>
      <c r="BV98" s="2" t="s">
        <v>97</v>
      </c>
      <c r="BW98" s="2" t="s">
        <v>100</v>
      </c>
      <c r="BX98" s="2" t="s">
        <v>100</v>
      </c>
      <c r="BY98" s="2" t="s">
        <v>113</v>
      </c>
      <c r="BZ98" s="2" t="s">
        <v>100</v>
      </c>
    </row>
    <row r="99">
      <c r="A99" s="2" t="s">
        <v>659</v>
      </c>
      <c r="B99" s="2" t="s">
        <v>87</v>
      </c>
      <c r="C99" s="2" t="s">
        <v>88</v>
      </c>
      <c r="D99" s="2" t="s">
        <v>89</v>
      </c>
      <c r="E99" s="2" t="s">
        <v>506</v>
      </c>
      <c r="F99" s="2" t="s">
        <v>649</v>
      </c>
      <c r="G99" s="2" t="s">
        <v>650</v>
      </c>
      <c r="H99" s="2" t="s">
        <v>651</v>
      </c>
      <c r="I99" s="2" t="s">
        <v>652</v>
      </c>
      <c r="J99" s="2" t="s">
        <v>247</v>
      </c>
      <c r="K99" s="2" t="s">
        <v>660</v>
      </c>
      <c r="L99" s="3">
        <v>38.09</v>
      </c>
      <c r="M99" s="3">
        <v>39.99</v>
      </c>
      <c r="N99" s="3">
        <v>79.99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661</v>
      </c>
      <c r="T99" s="2" t="s">
        <v>218</v>
      </c>
      <c r="U99" s="2" t="s">
        <v>480</v>
      </c>
      <c r="V99" s="2" t="s">
        <v>403</v>
      </c>
      <c r="W99" s="2" t="s">
        <v>319</v>
      </c>
      <c r="X99" s="2" t="s">
        <v>100</v>
      </c>
      <c r="Y99" s="2" t="s">
        <v>662</v>
      </c>
      <c r="Z99" s="4">
        <v>1172</v>
      </c>
      <c r="AA99" s="4">
        <f>=ROUNDDOWN(106.545454545455,0)</f>
      </c>
      <c r="AB99" s="5">
        <v>11</v>
      </c>
      <c r="AC99" s="2" t="s">
        <v>100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/>
      <c r="BJ99" s="4">
        <v>434</v>
      </c>
      <c r="BK99" s="8">
        <v>17470.85</v>
      </c>
      <c r="BL99" s="2" t="s">
        <v>663</v>
      </c>
      <c r="BM99" s="7"/>
      <c r="BN99" s="7"/>
      <c r="BO99" s="4"/>
      <c r="BP99" s="8"/>
      <c r="BQ99" s="4"/>
      <c r="BR99" s="8"/>
      <c r="BS99" s="7"/>
      <c r="BT99" s="7"/>
      <c r="BU99" s="2" t="s">
        <v>207</v>
      </c>
      <c r="BV99" s="2" t="s">
        <v>97</v>
      </c>
      <c r="BW99" s="2" t="s">
        <v>100</v>
      </c>
      <c r="BX99" s="2" t="s">
        <v>100</v>
      </c>
      <c r="BY99" s="2" t="s">
        <v>113</v>
      </c>
      <c r="BZ99" s="2" t="s">
        <v>100</v>
      </c>
    </row>
    <row r="100">
      <c r="A100" s="2" t="s">
        <v>664</v>
      </c>
      <c r="B100" s="2" t="s">
        <v>87</v>
      </c>
      <c r="C100" s="2" t="s">
        <v>88</v>
      </c>
      <c r="D100" s="2" t="s">
        <v>89</v>
      </c>
      <c r="E100" s="2" t="s">
        <v>506</v>
      </c>
      <c r="F100" s="2" t="s">
        <v>649</v>
      </c>
      <c r="G100" s="2" t="s">
        <v>650</v>
      </c>
      <c r="H100" s="2" t="s">
        <v>651</v>
      </c>
      <c r="I100" s="2" t="s">
        <v>652</v>
      </c>
      <c r="J100" s="2" t="s">
        <v>270</v>
      </c>
      <c r="K100" s="2" t="s">
        <v>660</v>
      </c>
      <c r="L100" s="3">
        <v>42.85</v>
      </c>
      <c r="M100" s="3">
        <v>44.99</v>
      </c>
      <c r="N100" s="3">
        <v>89.99</v>
      </c>
      <c r="O100" s="2" t="s">
        <v>97</v>
      </c>
      <c r="P100" s="2" t="s">
        <v>98</v>
      </c>
      <c r="Q100" s="2" t="s">
        <v>99</v>
      </c>
      <c r="R100" s="2" t="s">
        <v>100</v>
      </c>
      <c r="S100" s="2" t="s">
        <v>661</v>
      </c>
      <c r="T100" s="2" t="s">
        <v>218</v>
      </c>
      <c r="U100" s="2" t="s">
        <v>480</v>
      </c>
      <c r="V100" s="2" t="s">
        <v>403</v>
      </c>
      <c r="W100" s="2" t="s">
        <v>319</v>
      </c>
      <c r="X100" s="2" t="s">
        <v>100</v>
      </c>
      <c r="Y100" s="2" t="s">
        <v>662</v>
      </c>
      <c r="Z100" s="4">
        <v>1225</v>
      </c>
      <c r="AA100" s="4">
        <f>=ROUNDDOWN(87.5,0)</f>
      </c>
      <c r="AB100" s="5">
        <v>14</v>
      </c>
      <c r="AC100" s="2" t="s">
        <v>100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/>
      <c r="BJ100" s="4">
        <v>542</v>
      </c>
      <c r="BK100" s="8">
        <v>24462.49</v>
      </c>
      <c r="BL100" s="2" t="s">
        <v>665</v>
      </c>
      <c r="BM100" s="7"/>
      <c r="BN100" s="7"/>
      <c r="BO100" s="4"/>
      <c r="BP100" s="8"/>
      <c r="BQ100" s="4"/>
      <c r="BR100" s="8"/>
      <c r="BS100" s="7"/>
      <c r="BT100" s="7"/>
      <c r="BU100" s="2" t="s">
        <v>207</v>
      </c>
      <c r="BV100" s="2" t="s">
        <v>97</v>
      </c>
      <c r="BW100" s="2" t="s">
        <v>100</v>
      </c>
      <c r="BX100" s="2" t="s">
        <v>100</v>
      </c>
      <c r="BY100" s="2" t="s">
        <v>113</v>
      </c>
      <c r="BZ100" s="2" t="s">
        <v>100</v>
      </c>
    </row>
    <row r="101">
      <c r="A101" s="2" t="s">
        <v>666</v>
      </c>
      <c r="B101" s="2" t="s">
        <v>87</v>
      </c>
      <c r="C101" s="2" t="s">
        <v>88</v>
      </c>
      <c r="D101" s="2" t="s">
        <v>89</v>
      </c>
      <c r="E101" s="2" t="s">
        <v>506</v>
      </c>
      <c r="F101" s="2" t="s">
        <v>667</v>
      </c>
      <c r="G101" s="2" t="s">
        <v>668</v>
      </c>
      <c r="H101" s="2" t="s">
        <v>669</v>
      </c>
      <c r="I101" s="2" t="s">
        <v>670</v>
      </c>
      <c r="J101" s="2" t="s">
        <v>247</v>
      </c>
      <c r="K101" s="2" t="s">
        <v>198</v>
      </c>
      <c r="L101" s="3">
        <v>43.2</v>
      </c>
      <c r="M101" s="3">
        <v>45.36</v>
      </c>
      <c r="N101" s="3">
        <v>79.99</v>
      </c>
      <c r="O101" s="2" t="s">
        <v>97</v>
      </c>
      <c r="P101" s="2" t="s">
        <v>119</v>
      </c>
      <c r="Q101" s="2" t="s">
        <v>99</v>
      </c>
      <c r="R101" s="2" t="s">
        <v>100</v>
      </c>
      <c r="S101" s="2" t="s">
        <v>671</v>
      </c>
      <c r="T101" s="2" t="s">
        <v>672</v>
      </c>
      <c r="U101" s="2" t="s">
        <v>480</v>
      </c>
      <c r="V101" s="2" t="s">
        <v>146</v>
      </c>
      <c r="W101" s="2" t="s">
        <v>673</v>
      </c>
      <c r="X101" s="2" t="s">
        <v>541</v>
      </c>
      <c r="Y101" s="2" t="s">
        <v>240</v>
      </c>
      <c r="Z101" s="4">
        <v>300</v>
      </c>
      <c r="AA101" s="4">
        <f>=ROUNDDOWN(42.8571428571429,0)</f>
      </c>
      <c r="AB101" s="5">
        <v>7</v>
      </c>
      <c r="AC101" s="2" t="s">
        <v>100</v>
      </c>
      <c r="AD101" s="4"/>
      <c r="AE101" s="4"/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/>
      <c r="BJ101" s="4">
        <v>245</v>
      </c>
      <c r="BK101" s="8">
        <v>11595.6</v>
      </c>
      <c r="BL101" s="2" t="s">
        <v>674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97</v>
      </c>
      <c r="BW101" s="2" t="s">
        <v>284</v>
      </c>
      <c r="BX101" s="2" t="s">
        <v>675</v>
      </c>
      <c r="BY101" s="2" t="s">
        <v>113</v>
      </c>
      <c r="BZ101" s="2" t="s">
        <v>100</v>
      </c>
    </row>
    <row r="102">
      <c r="A102" s="2" t="s">
        <v>676</v>
      </c>
      <c r="B102" s="2" t="s">
        <v>87</v>
      </c>
      <c r="C102" s="2" t="s">
        <v>88</v>
      </c>
      <c r="D102" s="2" t="s">
        <v>89</v>
      </c>
      <c r="E102" s="2" t="s">
        <v>506</v>
      </c>
      <c r="F102" s="2" t="s">
        <v>667</v>
      </c>
      <c r="G102" s="2" t="s">
        <v>668</v>
      </c>
      <c r="H102" s="2" t="s">
        <v>669</v>
      </c>
      <c r="I102" s="2" t="s">
        <v>670</v>
      </c>
      <c r="J102" s="2" t="s">
        <v>247</v>
      </c>
      <c r="K102" s="2" t="s">
        <v>677</v>
      </c>
      <c r="L102" s="3">
        <v>43.2</v>
      </c>
      <c r="M102" s="3">
        <v>45.36</v>
      </c>
      <c r="N102" s="3">
        <v>79.99</v>
      </c>
      <c r="O102" s="2" t="s">
        <v>97</v>
      </c>
      <c r="P102" s="2" t="s">
        <v>119</v>
      </c>
      <c r="Q102" s="2" t="s">
        <v>99</v>
      </c>
      <c r="R102" s="2" t="s">
        <v>100</v>
      </c>
      <c r="S102" s="2" t="s">
        <v>678</v>
      </c>
      <c r="T102" s="2" t="s">
        <v>672</v>
      </c>
      <c r="U102" s="2" t="s">
        <v>480</v>
      </c>
      <c r="V102" s="2" t="s">
        <v>146</v>
      </c>
      <c r="W102" s="2" t="s">
        <v>673</v>
      </c>
      <c r="X102" s="2" t="s">
        <v>546</v>
      </c>
      <c r="Y102" s="2" t="s">
        <v>679</v>
      </c>
      <c r="Z102" s="4">
        <v>330</v>
      </c>
      <c r="AA102" s="4">
        <f>=ROUNDDOWN(47.1428571428571,0)</f>
      </c>
      <c r="AB102" s="5">
        <v>7</v>
      </c>
      <c r="AC102" s="2" t="s">
        <v>100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/>
      <c r="BJ102" s="4">
        <v>167</v>
      </c>
      <c r="BK102" s="8">
        <v>8095.06</v>
      </c>
      <c r="BL102" s="2" t="s">
        <v>680</v>
      </c>
      <c r="BM102" s="7"/>
      <c r="BN102" s="7"/>
      <c r="BO102" s="4"/>
      <c r="BP102" s="8"/>
      <c r="BQ102" s="4"/>
      <c r="BR102" s="8"/>
      <c r="BS102" s="7"/>
      <c r="BT102" s="7"/>
      <c r="BU102" s="2" t="s">
        <v>207</v>
      </c>
      <c r="BV102" s="2" t="s">
        <v>97</v>
      </c>
      <c r="BW102" s="2" t="s">
        <v>100</v>
      </c>
      <c r="BX102" s="2" t="s">
        <v>100</v>
      </c>
      <c r="BY102" s="2" t="s">
        <v>113</v>
      </c>
      <c r="BZ102" s="2" t="s">
        <v>100</v>
      </c>
    </row>
    <row r="103">
      <c r="A103" s="2" t="s">
        <v>681</v>
      </c>
      <c r="B103" s="2" t="s">
        <v>87</v>
      </c>
      <c r="C103" s="2" t="s">
        <v>88</v>
      </c>
      <c r="D103" s="2" t="s">
        <v>89</v>
      </c>
      <c r="E103" s="2" t="s">
        <v>506</v>
      </c>
      <c r="F103" s="2" t="s">
        <v>667</v>
      </c>
      <c r="G103" s="2" t="s">
        <v>668</v>
      </c>
      <c r="H103" s="2" t="s">
        <v>669</v>
      </c>
      <c r="I103" s="2" t="s">
        <v>670</v>
      </c>
      <c r="J103" s="2" t="s">
        <v>270</v>
      </c>
      <c r="K103" s="2" t="s">
        <v>677</v>
      </c>
      <c r="L103" s="3">
        <v>47.52</v>
      </c>
      <c r="M103" s="3">
        <v>49.9</v>
      </c>
      <c r="N103" s="3">
        <v>89.99</v>
      </c>
      <c r="O103" s="2" t="s">
        <v>97</v>
      </c>
      <c r="P103" s="2" t="s">
        <v>119</v>
      </c>
      <c r="Q103" s="2" t="s">
        <v>99</v>
      </c>
      <c r="R103" s="2" t="s">
        <v>100</v>
      </c>
      <c r="S103" s="2" t="s">
        <v>678</v>
      </c>
      <c r="T103" s="2" t="s">
        <v>672</v>
      </c>
      <c r="U103" s="2" t="s">
        <v>480</v>
      </c>
      <c r="V103" s="2" t="s">
        <v>146</v>
      </c>
      <c r="W103" s="2" t="s">
        <v>673</v>
      </c>
      <c r="X103" s="2" t="s">
        <v>546</v>
      </c>
      <c r="Y103" s="2" t="s">
        <v>679</v>
      </c>
      <c r="Z103" s="4">
        <v>584</v>
      </c>
      <c r="AA103" s="4">
        <f>=ROUNDDOWN(58.4,0)</f>
      </c>
      <c r="AB103" s="5">
        <v>10</v>
      </c>
      <c r="AC103" s="2" t="s">
        <v>100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/>
      <c r="BJ103" s="4">
        <v>239</v>
      </c>
      <c r="BK103" s="8">
        <v>12791.24</v>
      </c>
      <c r="BL103" s="2" t="s">
        <v>682</v>
      </c>
      <c r="BM103" s="7"/>
      <c r="BN103" s="7"/>
      <c r="BO103" s="4"/>
      <c r="BP103" s="8"/>
      <c r="BQ103" s="4"/>
      <c r="BR103" s="8"/>
      <c r="BS103" s="7"/>
      <c r="BT103" s="7"/>
      <c r="BU103" s="2" t="s">
        <v>207</v>
      </c>
      <c r="BV103" s="2" t="s">
        <v>97</v>
      </c>
      <c r="BW103" s="2" t="s">
        <v>100</v>
      </c>
      <c r="BX103" s="2" t="s">
        <v>100</v>
      </c>
      <c r="BY103" s="2" t="s">
        <v>113</v>
      </c>
      <c r="BZ103" s="2" t="s">
        <v>100</v>
      </c>
    </row>
    <row r="104">
      <c r="A104" s="2" t="s">
        <v>683</v>
      </c>
      <c r="B104" s="2" t="s">
        <v>87</v>
      </c>
      <c r="C104" s="2" t="s">
        <v>88</v>
      </c>
      <c r="D104" s="2" t="s">
        <v>89</v>
      </c>
      <c r="E104" s="2" t="s">
        <v>506</v>
      </c>
      <c r="F104" s="2" t="s">
        <v>474</v>
      </c>
      <c r="G104" s="2" t="s">
        <v>475</v>
      </c>
      <c r="H104" s="2" t="s">
        <v>476</v>
      </c>
      <c r="I104" s="2" t="s">
        <v>477</v>
      </c>
      <c r="J104" s="2" t="s">
        <v>247</v>
      </c>
      <c r="K104" s="2" t="s">
        <v>684</v>
      </c>
      <c r="L104" s="3">
        <v>36.8</v>
      </c>
      <c r="M104" s="3">
        <v>38.64</v>
      </c>
      <c r="N104" s="3">
        <v>79.99</v>
      </c>
      <c r="O104" s="2" t="s">
        <v>97</v>
      </c>
      <c r="P104" s="2" t="s">
        <v>119</v>
      </c>
      <c r="Q104" s="2" t="s">
        <v>99</v>
      </c>
      <c r="R104" s="2" t="s">
        <v>100</v>
      </c>
      <c r="S104" s="2" t="s">
        <v>685</v>
      </c>
      <c r="T104" s="2" t="s">
        <v>218</v>
      </c>
      <c r="U104" s="2" t="s">
        <v>480</v>
      </c>
      <c r="V104" s="2" t="s">
        <v>201</v>
      </c>
      <c r="W104" s="2" t="s">
        <v>202</v>
      </c>
      <c r="X104" s="2" t="s">
        <v>257</v>
      </c>
      <c r="Y104" s="2" t="s">
        <v>686</v>
      </c>
      <c r="Z104" s="4">
        <v>1256</v>
      </c>
      <c r="AA104" s="4">
        <f>=ROUNDDOWN(66.1052631578947,0)</f>
      </c>
      <c r="AB104" s="5">
        <v>19</v>
      </c>
      <c r="AC104" s="2" t="s">
        <v>100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/>
      <c r="BJ104" s="4">
        <v>644</v>
      </c>
      <c r="BK104" s="8">
        <v>24745.1</v>
      </c>
      <c r="BL104" s="2" t="s">
        <v>418</v>
      </c>
      <c r="BM104" s="7"/>
      <c r="BN104" s="7"/>
      <c r="BO104" s="4"/>
      <c r="BP104" s="8"/>
      <c r="BQ104" s="4"/>
      <c r="BR104" s="8"/>
      <c r="BS104" s="7"/>
      <c r="BT104" s="7"/>
      <c r="BU104" s="2" t="s">
        <v>207</v>
      </c>
      <c r="BV104" s="2" t="s">
        <v>97</v>
      </c>
      <c r="BW104" s="2" t="s">
        <v>100</v>
      </c>
      <c r="BX104" s="2" t="s">
        <v>100</v>
      </c>
      <c r="BY104" s="2" t="s">
        <v>113</v>
      </c>
      <c r="BZ104" s="2" t="s">
        <v>100</v>
      </c>
    </row>
    <row r="105">
      <c r="A105" s="2" t="s">
        <v>687</v>
      </c>
      <c r="B105" s="2" t="s">
        <v>87</v>
      </c>
      <c r="C105" s="2" t="s">
        <v>88</v>
      </c>
      <c r="D105" s="2" t="s">
        <v>89</v>
      </c>
      <c r="E105" s="2" t="s">
        <v>506</v>
      </c>
      <c r="F105" s="2" t="s">
        <v>474</v>
      </c>
      <c r="G105" s="2" t="s">
        <v>475</v>
      </c>
      <c r="H105" s="2" t="s">
        <v>476</v>
      </c>
      <c r="I105" s="2" t="s">
        <v>477</v>
      </c>
      <c r="J105" s="2" t="s">
        <v>270</v>
      </c>
      <c r="K105" s="2" t="s">
        <v>684</v>
      </c>
      <c r="L105" s="3">
        <v>42.3</v>
      </c>
      <c r="M105" s="3">
        <v>44.41</v>
      </c>
      <c r="N105" s="3">
        <v>89.99</v>
      </c>
      <c r="O105" s="2" t="s">
        <v>97</v>
      </c>
      <c r="P105" s="2" t="s">
        <v>119</v>
      </c>
      <c r="Q105" s="2" t="s">
        <v>99</v>
      </c>
      <c r="R105" s="2" t="s">
        <v>100</v>
      </c>
      <c r="S105" s="2" t="s">
        <v>685</v>
      </c>
      <c r="T105" s="2" t="s">
        <v>218</v>
      </c>
      <c r="U105" s="2" t="s">
        <v>480</v>
      </c>
      <c r="V105" s="2" t="s">
        <v>201</v>
      </c>
      <c r="W105" s="2" t="s">
        <v>202</v>
      </c>
      <c r="X105" s="2" t="s">
        <v>257</v>
      </c>
      <c r="Y105" s="2" t="s">
        <v>688</v>
      </c>
      <c r="Z105" s="4">
        <v>778</v>
      </c>
      <c r="AA105" s="4">
        <f>=ROUNDDOWN(64.8333333333333,0)</f>
      </c>
      <c r="AB105" s="5">
        <v>12</v>
      </c>
      <c r="AC105" s="2" t="s">
        <v>100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/>
      <c r="BJ105" s="4">
        <v>373</v>
      </c>
      <c r="BK105" s="8">
        <v>16113.99</v>
      </c>
      <c r="BL105" s="2" t="s">
        <v>689</v>
      </c>
      <c r="BM105" s="7"/>
      <c r="BN105" s="7"/>
      <c r="BO105" s="4"/>
      <c r="BP105" s="8"/>
      <c r="BQ105" s="4"/>
      <c r="BR105" s="8"/>
      <c r="BS105" s="7"/>
      <c r="BT105" s="7"/>
      <c r="BU105" s="2" t="s">
        <v>207</v>
      </c>
      <c r="BV105" s="2" t="s">
        <v>97</v>
      </c>
      <c r="BW105" s="2" t="s">
        <v>100</v>
      </c>
      <c r="BX105" s="2" t="s">
        <v>100</v>
      </c>
      <c r="BY105" s="2" t="s">
        <v>113</v>
      </c>
      <c r="BZ105" s="2" t="s">
        <v>100</v>
      </c>
    </row>
    <row r="106">
      <c r="A106" s="2" t="s">
        <v>690</v>
      </c>
      <c r="B106" s="2" t="s">
        <v>87</v>
      </c>
      <c r="C106" s="2" t="s">
        <v>88</v>
      </c>
      <c r="D106" s="2" t="s">
        <v>89</v>
      </c>
      <c r="E106" s="2" t="s">
        <v>691</v>
      </c>
      <c r="F106" s="2" t="s">
        <v>165</v>
      </c>
      <c r="G106" s="2" t="s">
        <v>166</v>
      </c>
      <c r="H106" s="2" t="s">
        <v>167</v>
      </c>
      <c r="I106" s="2" t="s">
        <v>692</v>
      </c>
      <c r="J106" s="2" t="s">
        <v>247</v>
      </c>
      <c r="K106" s="2" t="s">
        <v>169</v>
      </c>
      <c r="L106" s="3">
        <v>44.54</v>
      </c>
      <c r="M106" s="3">
        <v>46.77</v>
      </c>
      <c r="N106" s="3">
        <v>99.99</v>
      </c>
      <c r="O106" s="2" t="s">
        <v>97</v>
      </c>
      <c r="P106" s="2" t="s">
        <v>119</v>
      </c>
      <c r="Q106" s="2" t="s">
        <v>99</v>
      </c>
      <c r="R106" s="2" t="s">
        <v>100</v>
      </c>
      <c r="S106" s="2" t="s">
        <v>170</v>
      </c>
      <c r="T106" s="2" t="s">
        <v>100</v>
      </c>
      <c r="U106" s="2" t="s">
        <v>480</v>
      </c>
      <c r="V106" s="2" t="s">
        <v>103</v>
      </c>
      <c r="W106" s="2" t="s">
        <v>158</v>
      </c>
      <c r="X106" s="2" t="s">
        <v>172</v>
      </c>
      <c r="Y106" s="2" t="s">
        <v>173</v>
      </c>
      <c r="Z106" s="4">
        <v>392</v>
      </c>
      <c r="AA106" s="4">
        <f>=ROUNDDOWN(23.0588235294118,0)</f>
      </c>
      <c r="AB106" s="5">
        <v>17</v>
      </c>
      <c r="AC106" s="2" t="s">
        <v>174</v>
      </c>
      <c r="AD106" s="4">
        <v>50</v>
      </c>
      <c r="AE106" s="4">
        <v>350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>
        <v>18</v>
      </c>
      <c r="AQ106" s="8">
        <v>918.54</v>
      </c>
      <c r="AR106" s="4"/>
      <c r="AS106" s="8"/>
      <c r="AT106" s="7"/>
      <c r="AU106" s="7"/>
      <c r="AV106" s="4">
        <v>18</v>
      </c>
      <c r="AW106" s="8">
        <v>918.54</v>
      </c>
      <c r="AX106" s="4"/>
      <c r="AY106" s="8"/>
      <c r="AZ106" s="7"/>
      <c r="BA106" s="7"/>
      <c r="BB106" s="7">
        <v>1</v>
      </c>
      <c r="BC106" s="4">
        <v>30</v>
      </c>
      <c r="BD106" s="8">
        <v>1551.32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0.5921</v>
      </c>
      <c r="BJ106" s="4">
        <v>441</v>
      </c>
      <c r="BK106" s="8">
        <v>23016.46</v>
      </c>
      <c r="BL106" s="2" t="s">
        <v>693</v>
      </c>
      <c r="BM106" s="7">
        <v>0.0408</v>
      </c>
      <c r="BN106" s="7">
        <v>0.0399</v>
      </c>
      <c r="BO106" s="4">
        <v>18</v>
      </c>
      <c r="BP106" s="8">
        <v>918.54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176</v>
      </c>
      <c r="BX106" s="2" t="s">
        <v>582</v>
      </c>
      <c r="BY106" s="2" t="s">
        <v>113</v>
      </c>
      <c r="BZ106" s="2" t="s">
        <v>100</v>
      </c>
    </row>
    <row r="107">
      <c r="A107" s="2" t="s">
        <v>694</v>
      </c>
      <c r="B107" s="2" t="s">
        <v>87</v>
      </c>
      <c r="C107" s="2" t="s">
        <v>88</v>
      </c>
      <c r="D107" s="2" t="s">
        <v>89</v>
      </c>
      <c r="E107" s="2" t="s">
        <v>691</v>
      </c>
      <c r="F107" s="2" t="s">
        <v>165</v>
      </c>
      <c r="G107" s="2" t="s">
        <v>166</v>
      </c>
      <c r="H107" s="2" t="s">
        <v>167</v>
      </c>
      <c r="I107" s="2" t="s">
        <v>695</v>
      </c>
      <c r="J107" s="2" t="s">
        <v>247</v>
      </c>
      <c r="K107" s="2" t="s">
        <v>629</v>
      </c>
      <c r="L107" s="3">
        <v>44.54</v>
      </c>
      <c r="M107" s="3">
        <v>46.77</v>
      </c>
      <c r="N107" s="3">
        <v>99.99</v>
      </c>
      <c r="O107" s="2" t="s">
        <v>97</v>
      </c>
      <c r="P107" s="2" t="s">
        <v>119</v>
      </c>
      <c r="Q107" s="2" t="s">
        <v>99</v>
      </c>
      <c r="R107" s="2" t="s">
        <v>100</v>
      </c>
      <c r="S107" s="2" t="s">
        <v>696</v>
      </c>
      <c r="T107" s="2" t="s">
        <v>100</v>
      </c>
      <c r="U107" s="2" t="s">
        <v>480</v>
      </c>
      <c r="V107" s="2" t="s">
        <v>103</v>
      </c>
      <c r="W107" s="2" t="s">
        <v>158</v>
      </c>
      <c r="X107" s="2" t="s">
        <v>697</v>
      </c>
      <c r="Y107" s="2" t="s">
        <v>631</v>
      </c>
      <c r="Z107" s="4">
        <v>240</v>
      </c>
      <c r="AA107" s="4">
        <f>=ROUNDDOWN(16,0)</f>
      </c>
      <c r="AB107" s="5">
        <v>15</v>
      </c>
      <c r="AC107" s="2" t="s">
        <v>320</v>
      </c>
      <c r="AD107" s="4">
        <v>162</v>
      </c>
      <c r="AE107" s="4">
        <v>362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>
        <v>10</v>
      </c>
      <c r="AQ107" s="8">
        <v>510.3</v>
      </c>
      <c r="AR107" s="4"/>
      <c r="AS107" s="8"/>
      <c r="AT107" s="7"/>
      <c r="AU107" s="7"/>
      <c r="AV107" s="4">
        <v>12</v>
      </c>
      <c r="AW107" s="8">
        <v>632.78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0.8064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>
        <v>0.4079</v>
      </c>
      <c r="BJ107" s="4">
        <v>276</v>
      </c>
      <c r="BK107" s="8">
        <v>13690.43</v>
      </c>
      <c r="BL107" s="2" t="s">
        <v>698</v>
      </c>
      <c r="BM107" s="7">
        <v>0.0362</v>
      </c>
      <c r="BN107" s="7">
        <v>0.0373</v>
      </c>
      <c r="BO107" s="4">
        <v>10</v>
      </c>
      <c r="BP107" s="8">
        <v>510.3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699</v>
      </c>
      <c r="BX107" s="2" t="s">
        <v>700</v>
      </c>
      <c r="BY107" s="2" t="s">
        <v>113</v>
      </c>
      <c r="BZ107" s="2" t="s">
        <v>100</v>
      </c>
    </row>
    <row r="108">
      <c r="A108" s="2" t="s">
        <v>701</v>
      </c>
      <c r="B108" s="2" t="s">
        <v>87</v>
      </c>
      <c r="C108" s="2" t="s">
        <v>88</v>
      </c>
      <c r="D108" s="2" t="s">
        <v>89</v>
      </c>
      <c r="E108" s="2" t="s">
        <v>691</v>
      </c>
      <c r="F108" s="2" t="s">
        <v>165</v>
      </c>
      <c r="G108" s="2" t="s">
        <v>166</v>
      </c>
      <c r="H108" s="2" t="s">
        <v>167</v>
      </c>
      <c r="I108" s="2" t="s">
        <v>695</v>
      </c>
      <c r="J108" s="2" t="s">
        <v>270</v>
      </c>
      <c r="K108" s="2" t="s">
        <v>629</v>
      </c>
      <c r="L108" s="3">
        <v>52.65</v>
      </c>
      <c r="M108" s="3">
        <v>55.28</v>
      </c>
      <c r="N108" s="3">
        <v>119.99</v>
      </c>
      <c r="O108" s="2" t="s">
        <v>97</v>
      </c>
      <c r="P108" s="2" t="s">
        <v>119</v>
      </c>
      <c r="Q108" s="2" t="s">
        <v>99</v>
      </c>
      <c r="R108" s="2" t="s">
        <v>100</v>
      </c>
      <c r="S108" s="2" t="s">
        <v>696</v>
      </c>
      <c r="T108" s="2" t="s">
        <v>100</v>
      </c>
      <c r="U108" s="2" t="s">
        <v>480</v>
      </c>
      <c r="V108" s="2" t="s">
        <v>103</v>
      </c>
      <c r="W108" s="2" t="s">
        <v>158</v>
      </c>
      <c r="X108" s="2" t="s">
        <v>697</v>
      </c>
      <c r="Y108" s="2" t="s">
        <v>631</v>
      </c>
      <c r="Z108" s="4">
        <v>165</v>
      </c>
      <c r="AA108" s="4">
        <f>=ROUNDDOWN(6.875,0)</f>
      </c>
      <c r="AB108" s="5">
        <v>24</v>
      </c>
      <c r="AC108" s="2" t="s">
        <v>320</v>
      </c>
      <c r="AD108" s="4">
        <v>340</v>
      </c>
      <c r="AE108" s="4">
        <v>940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>
        <v>2</v>
      </c>
      <c r="AQ108" s="8">
        <v>122.48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0.1936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490</v>
      </c>
      <c r="BK108" s="8">
        <v>29145.5</v>
      </c>
      <c r="BL108" s="2" t="s">
        <v>698</v>
      </c>
      <c r="BM108" s="7">
        <v>0.0041</v>
      </c>
      <c r="BN108" s="7">
        <v>0.0042</v>
      </c>
      <c r="BO108" s="4">
        <v>2</v>
      </c>
      <c r="BP108" s="8">
        <v>122.48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702</v>
      </c>
      <c r="BX108" s="2" t="s">
        <v>703</v>
      </c>
      <c r="BY108" s="2" t="s">
        <v>113</v>
      </c>
      <c r="BZ108" s="2" t="s">
        <v>100</v>
      </c>
    </row>
    <row r="109">
      <c r="A109" s="2" t="s">
        <v>704</v>
      </c>
      <c r="B109" s="2" t="s">
        <v>87</v>
      </c>
      <c r="C109" s="2" t="s">
        <v>88</v>
      </c>
      <c r="D109" s="2" t="s">
        <v>89</v>
      </c>
      <c r="E109" s="2" t="s">
        <v>691</v>
      </c>
      <c r="F109" s="2" t="s">
        <v>179</v>
      </c>
      <c r="G109" s="2" t="s">
        <v>180</v>
      </c>
      <c r="H109" s="2" t="s">
        <v>181</v>
      </c>
      <c r="I109" s="2" t="s">
        <v>705</v>
      </c>
      <c r="J109" s="2" t="s">
        <v>706</v>
      </c>
      <c r="K109" s="2" t="s">
        <v>707</v>
      </c>
      <c r="L109" s="3">
        <v>49.5</v>
      </c>
      <c r="M109" s="3">
        <v>51.98</v>
      </c>
      <c r="N109" s="3">
        <v>99.99</v>
      </c>
      <c r="O109" s="2" t="s">
        <v>97</v>
      </c>
      <c r="P109" s="2" t="s">
        <v>98</v>
      </c>
      <c r="Q109" s="2" t="s">
        <v>99</v>
      </c>
      <c r="R109" s="2" t="s">
        <v>100</v>
      </c>
      <c r="S109" s="2" t="s">
        <v>708</v>
      </c>
      <c r="T109" s="2" t="s">
        <v>100</v>
      </c>
      <c r="U109" s="2" t="s">
        <v>480</v>
      </c>
      <c r="V109" s="2" t="s">
        <v>146</v>
      </c>
      <c r="W109" s="2" t="s">
        <v>104</v>
      </c>
      <c r="X109" s="2" t="s">
        <v>183</v>
      </c>
      <c r="Y109" s="2" t="s">
        <v>709</v>
      </c>
      <c r="Z109" s="4">
        <v>830</v>
      </c>
      <c r="AA109" s="4">
        <f>=ROUNDDOWN(36.0869565217391,0)</f>
      </c>
      <c r="AB109" s="5">
        <v>23</v>
      </c>
      <c r="AC109" s="2" t="s">
        <v>282</v>
      </c>
      <c r="AD109" s="4">
        <v>100</v>
      </c>
      <c r="AE109" s="4">
        <v>210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>
        <v>4</v>
      </c>
      <c r="AW109" s="8">
        <v>294.84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>
        <v>9</v>
      </c>
      <c r="BD109" s="8">
        <v>521.64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0.5652</v>
      </c>
      <c r="BJ109" s="4">
        <v>638</v>
      </c>
      <c r="BK109" s="8">
        <v>33485.21</v>
      </c>
      <c r="BL109" s="2" t="s">
        <v>710</v>
      </c>
      <c r="BM109" s="7"/>
      <c r="BN109" s="7"/>
      <c r="BO109" s="4"/>
      <c r="BP109" s="8"/>
      <c r="BQ109" s="4"/>
      <c r="BR109" s="8"/>
      <c r="BS109" s="7"/>
      <c r="BT109" s="7"/>
      <c r="BU109" s="2" t="s">
        <v>109</v>
      </c>
      <c r="BV109" s="2" t="s">
        <v>97</v>
      </c>
      <c r="BW109" s="2" t="s">
        <v>711</v>
      </c>
      <c r="BX109" s="2" t="s">
        <v>712</v>
      </c>
      <c r="BY109" s="2" t="s">
        <v>113</v>
      </c>
      <c r="BZ109" s="2" t="s">
        <v>100</v>
      </c>
    </row>
    <row r="110">
      <c r="A110" s="2" t="s">
        <v>713</v>
      </c>
      <c r="B110" s="2" t="s">
        <v>87</v>
      </c>
      <c r="C110" s="2" t="s">
        <v>88</v>
      </c>
      <c r="D110" s="2" t="s">
        <v>89</v>
      </c>
      <c r="E110" s="2" t="s">
        <v>691</v>
      </c>
      <c r="F110" s="2" t="s">
        <v>179</v>
      </c>
      <c r="G110" s="2" t="s">
        <v>180</v>
      </c>
      <c r="H110" s="2" t="s">
        <v>181</v>
      </c>
      <c r="I110" s="2" t="s">
        <v>705</v>
      </c>
      <c r="J110" s="2" t="s">
        <v>714</v>
      </c>
      <c r="K110" s="2" t="s">
        <v>707</v>
      </c>
      <c r="L110" s="3">
        <v>64.25</v>
      </c>
      <c r="M110" s="3">
        <v>67.46</v>
      </c>
      <c r="N110" s="3">
        <v>129.99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708</v>
      </c>
      <c r="T110" s="2" t="s">
        <v>100</v>
      </c>
      <c r="U110" s="2" t="s">
        <v>480</v>
      </c>
      <c r="V110" s="2" t="s">
        <v>146</v>
      </c>
      <c r="W110" s="2" t="s">
        <v>104</v>
      </c>
      <c r="X110" s="2" t="s">
        <v>183</v>
      </c>
      <c r="Y110" s="2" t="s">
        <v>709</v>
      </c>
      <c r="Z110" s="4">
        <v>857</v>
      </c>
      <c r="AA110" s="4">
        <f>=ROUNDDOWN(29.551724137931,0)</f>
      </c>
      <c r="AB110" s="5">
        <v>29</v>
      </c>
      <c r="AC110" s="2" t="s">
        <v>542</v>
      </c>
      <c r="AD110" s="4">
        <v>60</v>
      </c>
      <c r="AE110" s="4">
        <v>350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4</v>
      </c>
      <c r="AQ110" s="8">
        <v>294.84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1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885</v>
      </c>
      <c r="BK110" s="8">
        <v>61378.86</v>
      </c>
      <c r="BL110" s="2" t="s">
        <v>715</v>
      </c>
      <c r="BM110" s="7">
        <v>0.0045</v>
      </c>
      <c r="BN110" s="7">
        <v>0.0048</v>
      </c>
      <c r="BO110" s="4">
        <v>4</v>
      </c>
      <c r="BP110" s="8">
        <v>294.84</v>
      </c>
      <c r="BQ110" s="4"/>
      <c r="BR110" s="8"/>
      <c r="BS110" s="7"/>
      <c r="BT110" s="7"/>
      <c r="BU110" s="2" t="s">
        <v>109</v>
      </c>
      <c r="BV110" s="2" t="s">
        <v>110</v>
      </c>
      <c r="BW110" s="2" t="s">
        <v>711</v>
      </c>
      <c r="BX110" s="2" t="s">
        <v>712</v>
      </c>
      <c r="BY110" s="2" t="s">
        <v>113</v>
      </c>
      <c r="BZ110" s="2" t="s">
        <v>100</v>
      </c>
    </row>
    <row r="111">
      <c r="A111" s="2" t="s">
        <v>716</v>
      </c>
      <c r="B111" s="2" t="s">
        <v>87</v>
      </c>
      <c r="C111" s="2" t="s">
        <v>88</v>
      </c>
      <c r="D111" s="2" t="s">
        <v>89</v>
      </c>
      <c r="E111" s="2" t="s">
        <v>691</v>
      </c>
      <c r="F111" s="2" t="s">
        <v>179</v>
      </c>
      <c r="G111" s="2" t="s">
        <v>180</v>
      </c>
      <c r="H111" s="2" t="s">
        <v>181</v>
      </c>
      <c r="I111" s="2" t="s">
        <v>705</v>
      </c>
      <c r="J111" s="2" t="s">
        <v>717</v>
      </c>
      <c r="K111" s="2" t="s">
        <v>718</v>
      </c>
      <c r="L111" s="3">
        <v>39.69</v>
      </c>
      <c r="M111" s="3">
        <v>41.67</v>
      </c>
      <c r="N111" s="3">
        <v>79.99</v>
      </c>
      <c r="O111" s="2" t="s">
        <v>97</v>
      </c>
      <c r="P111" s="2" t="s">
        <v>119</v>
      </c>
      <c r="Q111" s="2" t="s">
        <v>99</v>
      </c>
      <c r="R111" s="2" t="s">
        <v>100</v>
      </c>
      <c r="S111" s="2" t="s">
        <v>708</v>
      </c>
      <c r="T111" s="2" t="s">
        <v>100</v>
      </c>
      <c r="U111" s="2" t="s">
        <v>480</v>
      </c>
      <c r="V111" s="2" t="s">
        <v>146</v>
      </c>
      <c r="W111" s="2" t="s">
        <v>104</v>
      </c>
      <c r="X111" s="2" t="s">
        <v>183</v>
      </c>
      <c r="Y111" s="2" t="s">
        <v>719</v>
      </c>
      <c r="Z111" s="4">
        <v>229</v>
      </c>
      <c r="AA111" s="4">
        <f>=ROUNDDOWN(32.7142857142857,0)</f>
      </c>
      <c r="AB111" s="5">
        <v>7</v>
      </c>
      <c r="AC111" s="2" t="s">
        <v>562</v>
      </c>
      <c r="AD111" s="4">
        <v>130</v>
      </c>
      <c r="AE111" s="4">
        <v>130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/>
      <c r="AP111" s="4">
        <v>2</v>
      </c>
      <c r="AQ111" s="8">
        <v>90.72</v>
      </c>
      <c r="AR111" s="4"/>
      <c r="AS111" s="8"/>
      <c r="AT111" s="7"/>
      <c r="AU111" s="7"/>
      <c r="AV111" s="4">
        <v>2</v>
      </c>
      <c r="AW111" s="8">
        <v>90.72</v>
      </c>
      <c r="AX111" s="4"/>
      <c r="AY111" s="8"/>
      <c r="AZ111" s="7"/>
      <c r="BA111" s="7"/>
      <c r="BB111" s="7">
        <v>1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0.1739</v>
      </c>
      <c r="BJ111" s="4">
        <v>140</v>
      </c>
      <c r="BK111" s="8">
        <v>5846.84</v>
      </c>
      <c r="BL111" s="2" t="s">
        <v>720</v>
      </c>
      <c r="BM111" s="7">
        <v>0.0143</v>
      </c>
      <c r="BN111" s="7">
        <v>0.0155</v>
      </c>
      <c r="BO111" s="4">
        <v>2</v>
      </c>
      <c r="BP111" s="8">
        <v>90.72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711</v>
      </c>
      <c r="BX111" s="2" t="s">
        <v>265</v>
      </c>
      <c r="BY111" s="2" t="s">
        <v>113</v>
      </c>
      <c r="BZ111" s="2" t="s">
        <v>100</v>
      </c>
    </row>
    <row r="112">
      <c r="A112" s="2" t="s">
        <v>721</v>
      </c>
      <c r="B112" s="2" t="s">
        <v>87</v>
      </c>
      <c r="C112" s="2" t="s">
        <v>88</v>
      </c>
      <c r="D112" s="2" t="s">
        <v>89</v>
      </c>
      <c r="E112" s="2" t="s">
        <v>691</v>
      </c>
      <c r="F112" s="2" t="s">
        <v>179</v>
      </c>
      <c r="G112" s="2" t="s">
        <v>180</v>
      </c>
      <c r="H112" s="2" t="s">
        <v>181</v>
      </c>
      <c r="I112" s="2" t="s">
        <v>705</v>
      </c>
      <c r="J112" s="2" t="s">
        <v>717</v>
      </c>
      <c r="K112" s="2" t="s">
        <v>189</v>
      </c>
      <c r="L112" s="3">
        <v>39.69</v>
      </c>
      <c r="M112" s="3">
        <v>41.67</v>
      </c>
      <c r="N112" s="3">
        <v>79.99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722</v>
      </c>
      <c r="T112" s="2" t="s">
        <v>100</v>
      </c>
      <c r="U112" s="2" t="s">
        <v>480</v>
      </c>
      <c r="V112" s="2" t="s">
        <v>146</v>
      </c>
      <c r="W112" s="2" t="s">
        <v>104</v>
      </c>
      <c r="X112" s="2" t="s">
        <v>183</v>
      </c>
      <c r="Y112" s="2" t="s">
        <v>723</v>
      </c>
      <c r="Z112" s="4">
        <v>372</v>
      </c>
      <c r="AA112" s="4">
        <f>=ROUNDDOWN(53.1428571428571,0)</f>
      </c>
      <c r="AB112" s="5">
        <v>7</v>
      </c>
      <c r="AC112" s="2" t="s">
        <v>282</v>
      </c>
      <c r="AD112" s="4">
        <v>100</v>
      </c>
      <c r="AE112" s="4">
        <v>100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>
        <v>2</v>
      </c>
      <c r="AQ112" s="8">
        <v>90.72</v>
      </c>
      <c r="AR112" s="4"/>
      <c r="AS112" s="8"/>
      <c r="AT112" s="7"/>
      <c r="AU112" s="7"/>
      <c r="AV112" s="4">
        <v>2</v>
      </c>
      <c r="AW112" s="8">
        <v>90.72</v>
      </c>
      <c r="AX112" s="4"/>
      <c r="AY112" s="8"/>
      <c r="AZ112" s="7"/>
      <c r="BA112" s="7"/>
      <c r="BB112" s="7">
        <v>1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0.1739</v>
      </c>
      <c r="BJ112" s="4">
        <v>125</v>
      </c>
      <c r="BK112" s="8">
        <v>5512.23</v>
      </c>
      <c r="BL112" s="2" t="s">
        <v>724</v>
      </c>
      <c r="BM112" s="7">
        <v>0.016</v>
      </c>
      <c r="BN112" s="7">
        <v>0.0165</v>
      </c>
      <c r="BO112" s="4">
        <v>2</v>
      </c>
      <c r="BP112" s="8">
        <v>90.72</v>
      </c>
      <c r="BQ112" s="4"/>
      <c r="BR112" s="8"/>
      <c r="BS112" s="7"/>
      <c r="BT112" s="7"/>
      <c r="BU112" s="2" t="s">
        <v>109</v>
      </c>
      <c r="BV112" s="2" t="s">
        <v>110</v>
      </c>
      <c r="BW112" s="2" t="s">
        <v>725</v>
      </c>
      <c r="BX112" s="2" t="s">
        <v>622</v>
      </c>
      <c r="BY112" s="2" t="s">
        <v>113</v>
      </c>
      <c r="BZ112" s="2" t="s">
        <v>100</v>
      </c>
    </row>
    <row r="113">
      <c r="A113" s="2" t="s">
        <v>726</v>
      </c>
      <c r="B113" s="2" t="s">
        <v>87</v>
      </c>
      <c r="C113" s="2" t="s">
        <v>88</v>
      </c>
      <c r="D113" s="2" t="s">
        <v>89</v>
      </c>
      <c r="E113" s="2" t="s">
        <v>691</v>
      </c>
      <c r="F113" s="2" t="s">
        <v>179</v>
      </c>
      <c r="G113" s="2" t="s">
        <v>180</v>
      </c>
      <c r="H113" s="2" t="s">
        <v>181</v>
      </c>
      <c r="I113" s="2" t="s">
        <v>705</v>
      </c>
      <c r="J113" s="2" t="s">
        <v>717</v>
      </c>
      <c r="K113" s="2" t="s">
        <v>360</v>
      </c>
      <c r="L113" s="3">
        <v>39.69</v>
      </c>
      <c r="M113" s="3">
        <v>41.67</v>
      </c>
      <c r="N113" s="3">
        <v>79.99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727</v>
      </c>
      <c r="T113" s="2" t="s">
        <v>100</v>
      </c>
      <c r="U113" s="2" t="s">
        <v>480</v>
      </c>
      <c r="V113" s="2" t="s">
        <v>146</v>
      </c>
      <c r="W113" s="2" t="s">
        <v>104</v>
      </c>
      <c r="X113" s="2" t="s">
        <v>183</v>
      </c>
      <c r="Y113" s="2" t="s">
        <v>723</v>
      </c>
      <c r="Z113" s="4">
        <v>206</v>
      </c>
      <c r="AA113" s="4">
        <f>=ROUNDDOWN(25.75,0)</f>
      </c>
      <c r="AB113" s="5">
        <v>8</v>
      </c>
      <c r="AC113" s="2" t="s">
        <v>542</v>
      </c>
      <c r="AD113" s="4">
        <v>80</v>
      </c>
      <c r="AE113" s="4">
        <v>170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>
        <v>1</v>
      </c>
      <c r="AQ113" s="8">
        <v>45.36</v>
      </c>
      <c r="AR113" s="4"/>
      <c r="AS113" s="8"/>
      <c r="AT113" s="7"/>
      <c r="AU113" s="7"/>
      <c r="AV113" s="4">
        <v>1</v>
      </c>
      <c r="AW113" s="8">
        <v>45.36</v>
      </c>
      <c r="AX113" s="4"/>
      <c r="AY113" s="8"/>
      <c r="AZ113" s="7"/>
      <c r="BA113" s="7"/>
      <c r="BB113" s="7">
        <v>1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0.087</v>
      </c>
      <c r="BJ113" s="4">
        <v>165</v>
      </c>
      <c r="BK113" s="8">
        <v>6905.18</v>
      </c>
      <c r="BL113" s="2" t="s">
        <v>728</v>
      </c>
      <c r="BM113" s="7">
        <v>0.0061</v>
      </c>
      <c r="BN113" s="7">
        <v>0.0066</v>
      </c>
      <c r="BO113" s="4">
        <v>1</v>
      </c>
      <c r="BP113" s="8">
        <v>45.36</v>
      </c>
      <c r="BQ113" s="4"/>
      <c r="BR113" s="8"/>
      <c r="BS113" s="7"/>
      <c r="BT113" s="7"/>
      <c r="BU113" s="2" t="s">
        <v>109</v>
      </c>
      <c r="BV113" s="2" t="s">
        <v>110</v>
      </c>
      <c r="BW113" s="2" t="s">
        <v>725</v>
      </c>
      <c r="BX113" s="2" t="s">
        <v>586</v>
      </c>
      <c r="BY113" s="2" t="s">
        <v>113</v>
      </c>
      <c r="BZ113" s="2" t="s">
        <v>100</v>
      </c>
    </row>
    <row r="114">
      <c r="A114" s="2" t="s">
        <v>729</v>
      </c>
      <c r="B114" s="2" t="s">
        <v>87</v>
      </c>
      <c r="C114" s="2" t="s">
        <v>88</v>
      </c>
      <c r="D114" s="2" t="s">
        <v>89</v>
      </c>
      <c r="E114" s="2" t="s">
        <v>691</v>
      </c>
      <c r="F114" s="2" t="s">
        <v>179</v>
      </c>
      <c r="G114" s="2" t="s">
        <v>180</v>
      </c>
      <c r="H114" s="2" t="s">
        <v>181</v>
      </c>
      <c r="I114" s="2" t="s">
        <v>730</v>
      </c>
      <c r="J114" s="2" t="s">
        <v>706</v>
      </c>
      <c r="K114" s="2" t="s">
        <v>526</v>
      </c>
      <c r="L114" s="3">
        <v>49.5</v>
      </c>
      <c r="M114" s="3">
        <v>51.98</v>
      </c>
      <c r="N114" s="3">
        <v>99.99</v>
      </c>
      <c r="O114" s="2" t="s">
        <v>97</v>
      </c>
      <c r="P114" s="2" t="s">
        <v>225</v>
      </c>
      <c r="Q114" s="2" t="s">
        <v>99</v>
      </c>
      <c r="R114" s="2" t="s">
        <v>100</v>
      </c>
      <c r="S114" s="2" t="s">
        <v>527</v>
      </c>
      <c r="T114" s="2" t="s">
        <v>100</v>
      </c>
      <c r="U114" s="2" t="s">
        <v>480</v>
      </c>
      <c r="V114" s="2" t="s">
        <v>146</v>
      </c>
      <c r="W114" s="2" t="s">
        <v>104</v>
      </c>
      <c r="X114" s="2" t="s">
        <v>183</v>
      </c>
      <c r="Y114" s="2" t="s">
        <v>528</v>
      </c>
      <c r="Z114" s="4">
        <v>449</v>
      </c>
      <c r="AA114" s="4">
        <f>=ROUNDDOWN(23.6315789473684,0)</f>
      </c>
      <c r="AB114" s="5">
        <v>19</v>
      </c>
      <c r="AC114" s="2" t="s">
        <v>100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160</v>
      </c>
      <c r="BK114" s="8">
        <v>8384.6</v>
      </c>
      <c r="BL114" s="2" t="s">
        <v>731</v>
      </c>
      <c r="BM114" s="7"/>
      <c r="BN114" s="7"/>
      <c r="BO114" s="4"/>
      <c r="BP114" s="8"/>
      <c r="BQ114" s="4"/>
      <c r="BR114" s="8"/>
      <c r="BS114" s="7"/>
      <c r="BT114" s="7"/>
      <c r="BU114" s="2" t="s">
        <v>230</v>
      </c>
      <c r="BV114" s="2" t="s">
        <v>97</v>
      </c>
      <c r="BW114" s="2" t="s">
        <v>100</v>
      </c>
      <c r="BX114" s="2" t="s">
        <v>100</v>
      </c>
      <c r="BY114" s="2" t="s">
        <v>113</v>
      </c>
      <c r="BZ114" s="2" t="s">
        <v>100</v>
      </c>
    </row>
    <row r="115">
      <c r="A115" s="2" t="s">
        <v>732</v>
      </c>
      <c r="B115" s="2" t="s">
        <v>87</v>
      </c>
      <c r="C115" s="2" t="s">
        <v>88</v>
      </c>
      <c r="D115" s="2" t="s">
        <v>89</v>
      </c>
      <c r="E115" s="2" t="s">
        <v>691</v>
      </c>
      <c r="F115" s="2" t="s">
        <v>179</v>
      </c>
      <c r="G115" s="2" t="s">
        <v>180</v>
      </c>
      <c r="H115" s="2" t="s">
        <v>181</v>
      </c>
      <c r="I115" s="2" t="s">
        <v>730</v>
      </c>
      <c r="J115" s="2" t="s">
        <v>714</v>
      </c>
      <c r="K115" s="2" t="s">
        <v>526</v>
      </c>
      <c r="L115" s="3">
        <v>64.25</v>
      </c>
      <c r="M115" s="3">
        <v>67.46</v>
      </c>
      <c r="N115" s="3">
        <v>129.99</v>
      </c>
      <c r="O115" s="2" t="s">
        <v>97</v>
      </c>
      <c r="P115" s="2" t="s">
        <v>225</v>
      </c>
      <c r="Q115" s="2" t="s">
        <v>99</v>
      </c>
      <c r="R115" s="2" t="s">
        <v>100</v>
      </c>
      <c r="S115" s="2" t="s">
        <v>527</v>
      </c>
      <c r="T115" s="2" t="s">
        <v>100</v>
      </c>
      <c r="U115" s="2" t="s">
        <v>480</v>
      </c>
      <c r="V115" s="2" t="s">
        <v>146</v>
      </c>
      <c r="W115" s="2" t="s">
        <v>104</v>
      </c>
      <c r="X115" s="2" t="s">
        <v>183</v>
      </c>
      <c r="Y115" s="2" t="s">
        <v>528</v>
      </c>
      <c r="Z115" s="4">
        <v>568</v>
      </c>
      <c r="AA115" s="4">
        <f>=ROUNDDOWN(28.4,0)</f>
      </c>
      <c r="AB115" s="5">
        <v>20</v>
      </c>
      <c r="AC115" s="2" t="s">
        <v>100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/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186</v>
      </c>
      <c r="BK115" s="8">
        <v>12663.72</v>
      </c>
      <c r="BL115" s="2" t="s">
        <v>229</v>
      </c>
      <c r="BM115" s="7"/>
      <c r="BN115" s="7"/>
      <c r="BO115" s="4"/>
      <c r="BP115" s="8"/>
      <c r="BQ115" s="4"/>
      <c r="BR115" s="8"/>
      <c r="BS115" s="7"/>
      <c r="BT115" s="7"/>
      <c r="BU115" s="2" t="s">
        <v>230</v>
      </c>
      <c r="BV115" s="2" t="s">
        <v>97</v>
      </c>
      <c r="BW115" s="2" t="s">
        <v>100</v>
      </c>
      <c r="BX115" s="2" t="s">
        <v>100</v>
      </c>
      <c r="BY115" s="2" t="s">
        <v>113</v>
      </c>
      <c r="BZ115" s="2" t="s">
        <v>100</v>
      </c>
    </row>
    <row r="116">
      <c r="A116" s="2" t="s">
        <v>733</v>
      </c>
      <c r="B116" s="2" t="s">
        <v>87</v>
      </c>
      <c r="C116" s="2" t="s">
        <v>88</v>
      </c>
      <c r="D116" s="2" t="s">
        <v>89</v>
      </c>
      <c r="E116" s="2" t="s">
        <v>691</v>
      </c>
      <c r="F116" s="2" t="s">
        <v>179</v>
      </c>
      <c r="G116" s="2" t="s">
        <v>180</v>
      </c>
      <c r="H116" s="2" t="s">
        <v>181</v>
      </c>
      <c r="I116" s="2" t="s">
        <v>730</v>
      </c>
      <c r="J116" s="2" t="s">
        <v>706</v>
      </c>
      <c r="K116" s="2" t="s">
        <v>534</v>
      </c>
      <c r="L116" s="3">
        <v>49.5</v>
      </c>
      <c r="M116" s="3">
        <v>51.98</v>
      </c>
      <c r="N116" s="3">
        <v>99.99</v>
      </c>
      <c r="O116" s="2" t="s">
        <v>97</v>
      </c>
      <c r="P116" s="2" t="s">
        <v>225</v>
      </c>
      <c r="Q116" s="2" t="s">
        <v>99</v>
      </c>
      <c r="R116" s="2" t="s">
        <v>100</v>
      </c>
      <c r="S116" s="2" t="s">
        <v>527</v>
      </c>
      <c r="T116" s="2" t="s">
        <v>100</v>
      </c>
      <c r="U116" s="2" t="s">
        <v>480</v>
      </c>
      <c r="V116" s="2" t="s">
        <v>146</v>
      </c>
      <c r="W116" s="2" t="s">
        <v>104</v>
      </c>
      <c r="X116" s="2" t="s">
        <v>183</v>
      </c>
      <c r="Y116" s="2" t="s">
        <v>528</v>
      </c>
      <c r="Z116" s="4">
        <v>254</v>
      </c>
      <c r="AA116" s="4">
        <f>=ROUNDDOWN(21.1666666666667,0)</f>
      </c>
      <c r="AB116" s="5">
        <v>12</v>
      </c>
      <c r="AC116" s="2" t="s">
        <v>100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92</v>
      </c>
      <c r="BK116" s="8">
        <v>4848.74</v>
      </c>
      <c r="BL116" s="2" t="s">
        <v>734</v>
      </c>
      <c r="BM116" s="7"/>
      <c r="BN116" s="7"/>
      <c r="BO116" s="4"/>
      <c r="BP116" s="8"/>
      <c r="BQ116" s="4"/>
      <c r="BR116" s="8"/>
      <c r="BS116" s="7"/>
      <c r="BT116" s="7"/>
      <c r="BU116" s="2" t="s">
        <v>230</v>
      </c>
      <c r="BV116" s="2" t="s">
        <v>97</v>
      </c>
      <c r="BW116" s="2" t="s">
        <v>100</v>
      </c>
      <c r="BX116" s="2" t="s">
        <v>100</v>
      </c>
      <c r="BY116" s="2" t="s">
        <v>113</v>
      </c>
      <c r="BZ116" s="2" t="s">
        <v>100</v>
      </c>
    </row>
    <row r="117">
      <c r="A117" s="2" t="s">
        <v>735</v>
      </c>
      <c r="B117" s="2" t="s">
        <v>87</v>
      </c>
      <c r="C117" s="2" t="s">
        <v>88</v>
      </c>
      <c r="D117" s="2" t="s">
        <v>89</v>
      </c>
      <c r="E117" s="2" t="s">
        <v>691</v>
      </c>
      <c r="F117" s="2" t="s">
        <v>179</v>
      </c>
      <c r="G117" s="2" t="s">
        <v>180</v>
      </c>
      <c r="H117" s="2" t="s">
        <v>181</v>
      </c>
      <c r="I117" s="2" t="s">
        <v>730</v>
      </c>
      <c r="J117" s="2" t="s">
        <v>714</v>
      </c>
      <c r="K117" s="2" t="s">
        <v>534</v>
      </c>
      <c r="L117" s="3">
        <v>64.25</v>
      </c>
      <c r="M117" s="3">
        <v>67.46</v>
      </c>
      <c r="N117" s="3">
        <v>129.99</v>
      </c>
      <c r="O117" s="2" t="s">
        <v>97</v>
      </c>
      <c r="P117" s="2" t="s">
        <v>225</v>
      </c>
      <c r="Q117" s="2" t="s">
        <v>99</v>
      </c>
      <c r="R117" s="2" t="s">
        <v>100</v>
      </c>
      <c r="S117" s="2" t="s">
        <v>527</v>
      </c>
      <c r="T117" s="2" t="s">
        <v>100</v>
      </c>
      <c r="U117" s="2" t="s">
        <v>480</v>
      </c>
      <c r="V117" s="2" t="s">
        <v>146</v>
      </c>
      <c r="W117" s="2" t="s">
        <v>104</v>
      </c>
      <c r="X117" s="2" t="s">
        <v>183</v>
      </c>
      <c r="Y117" s="2" t="s">
        <v>531</v>
      </c>
      <c r="Z117" s="4">
        <v>324</v>
      </c>
      <c r="AA117" s="4">
        <f>=ROUNDDOWN(24.9230769230769,0)</f>
      </c>
      <c r="AB117" s="5">
        <v>13</v>
      </c>
      <c r="AC117" s="2" t="s">
        <v>100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106</v>
      </c>
      <c r="BK117" s="8">
        <v>7246.48</v>
      </c>
      <c r="BL117" s="2" t="s">
        <v>736</v>
      </c>
      <c r="BM117" s="7"/>
      <c r="BN117" s="7"/>
      <c r="BO117" s="4"/>
      <c r="BP117" s="8"/>
      <c r="BQ117" s="4"/>
      <c r="BR117" s="8"/>
      <c r="BS117" s="7"/>
      <c r="BT117" s="7"/>
      <c r="BU117" s="2" t="s">
        <v>230</v>
      </c>
      <c r="BV117" s="2" t="s">
        <v>97</v>
      </c>
      <c r="BW117" s="2" t="s">
        <v>100</v>
      </c>
      <c r="BX117" s="2" t="s">
        <v>100</v>
      </c>
      <c r="BY117" s="2" t="s">
        <v>113</v>
      </c>
      <c r="BZ117" s="2" t="s">
        <v>100</v>
      </c>
    </row>
    <row r="118">
      <c r="A118" s="2" t="s">
        <v>737</v>
      </c>
      <c r="B118" s="2" t="s">
        <v>87</v>
      </c>
      <c r="C118" s="2" t="s">
        <v>88</v>
      </c>
      <c r="D118" s="2" t="s">
        <v>89</v>
      </c>
      <c r="E118" s="2" t="s">
        <v>691</v>
      </c>
      <c r="F118" s="2" t="s">
        <v>179</v>
      </c>
      <c r="G118" s="2" t="s">
        <v>180</v>
      </c>
      <c r="H118" s="2" t="s">
        <v>181</v>
      </c>
      <c r="I118" s="2" t="s">
        <v>705</v>
      </c>
      <c r="J118" s="2" t="s">
        <v>714</v>
      </c>
      <c r="K118" s="2" t="s">
        <v>198</v>
      </c>
      <c r="L118" s="3">
        <v>64.25</v>
      </c>
      <c r="M118" s="3">
        <v>67.46</v>
      </c>
      <c r="N118" s="3">
        <v>129.99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738</v>
      </c>
      <c r="T118" s="2" t="s">
        <v>100</v>
      </c>
      <c r="U118" s="2" t="s">
        <v>480</v>
      </c>
      <c r="V118" s="2" t="s">
        <v>146</v>
      </c>
      <c r="W118" s="2" t="s">
        <v>104</v>
      </c>
      <c r="X118" s="2" t="s">
        <v>183</v>
      </c>
      <c r="Y118" s="2" t="s">
        <v>739</v>
      </c>
      <c r="Z118" s="4">
        <v>715</v>
      </c>
      <c r="AA118" s="4">
        <f>=ROUNDDOWN(35.75,0)</f>
      </c>
      <c r="AB118" s="5">
        <v>20</v>
      </c>
      <c r="AC118" s="2" t="s">
        <v>542</v>
      </c>
      <c r="AD118" s="4">
        <v>20</v>
      </c>
      <c r="AE118" s="4">
        <v>370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/>
      <c r="BJ118" s="4">
        <v>556</v>
      </c>
      <c r="BK118" s="8">
        <v>38151.16</v>
      </c>
      <c r="BL118" s="2" t="s">
        <v>740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97</v>
      </c>
      <c r="BW118" s="2" t="s">
        <v>260</v>
      </c>
      <c r="BX118" s="2" t="s">
        <v>741</v>
      </c>
      <c r="BY118" s="2" t="s">
        <v>113</v>
      </c>
      <c r="BZ118" s="2" t="s">
        <v>100</v>
      </c>
    </row>
    <row r="119">
      <c r="A119" s="2" t="s">
        <v>742</v>
      </c>
      <c r="B119" s="2" t="s">
        <v>87</v>
      </c>
      <c r="C119" s="2" t="s">
        <v>88</v>
      </c>
      <c r="D119" s="2" t="s">
        <v>89</v>
      </c>
      <c r="E119" s="2" t="s">
        <v>691</v>
      </c>
      <c r="F119" s="2" t="s">
        <v>743</v>
      </c>
      <c r="G119" s="2" t="s">
        <v>744</v>
      </c>
      <c r="H119" s="2" t="s">
        <v>745</v>
      </c>
      <c r="I119" s="2" t="s">
        <v>746</v>
      </c>
      <c r="J119" s="2" t="s">
        <v>714</v>
      </c>
      <c r="K119" s="2" t="s">
        <v>469</v>
      </c>
      <c r="L119" s="3">
        <v>75</v>
      </c>
      <c r="M119" s="3">
        <v>78.74</v>
      </c>
      <c r="N119" s="3">
        <v>149.99</v>
      </c>
      <c r="O119" s="2" t="s">
        <v>97</v>
      </c>
      <c r="P119" s="2" t="s">
        <v>119</v>
      </c>
      <c r="Q119" s="2" t="s">
        <v>99</v>
      </c>
      <c r="R119" s="2" t="s">
        <v>100</v>
      </c>
      <c r="S119" s="2" t="s">
        <v>747</v>
      </c>
      <c r="T119" s="2" t="s">
        <v>100</v>
      </c>
      <c r="U119" s="2" t="s">
        <v>171</v>
      </c>
      <c r="V119" s="2" t="s">
        <v>489</v>
      </c>
      <c r="W119" s="2" t="s">
        <v>309</v>
      </c>
      <c r="X119" s="2" t="s">
        <v>310</v>
      </c>
      <c r="Y119" s="2" t="s">
        <v>748</v>
      </c>
      <c r="Z119" s="4">
        <v>1050</v>
      </c>
      <c r="AA119" s="4">
        <f>=ROUNDDOWN(33.8709677419355,0)</f>
      </c>
      <c r="AB119" s="5">
        <v>31</v>
      </c>
      <c r="AC119" s="2" t="s">
        <v>356</v>
      </c>
      <c r="AD119" s="4">
        <v>80</v>
      </c>
      <c r="AE119" s="4">
        <v>180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>
        <v>3</v>
      </c>
      <c r="AQ119" s="8">
        <v>228.63</v>
      </c>
      <c r="AR119" s="4"/>
      <c r="AS119" s="8"/>
      <c r="AT119" s="7"/>
      <c r="AU119" s="7"/>
      <c r="AV119" s="4">
        <v>3</v>
      </c>
      <c r="AW119" s="8">
        <v>228.63</v>
      </c>
      <c r="AX119" s="4"/>
      <c r="AY119" s="8"/>
      <c r="AZ119" s="7"/>
      <c r="BA119" s="7"/>
      <c r="BB119" s="7">
        <v>1</v>
      </c>
      <c r="BC119" s="4">
        <v>3</v>
      </c>
      <c r="BD119" s="8">
        <v>228.63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1</v>
      </c>
      <c r="BJ119" s="4">
        <v>792</v>
      </c>
      <c r="BK119" s="8">
        <v>56658.29</v>
      </c>
      <c r="BL119" s="2" t="s">
        <v>749</v>
      </c>
      <c r="BM119" s="7">
        <v>0.0038</v>
      </c>
      <c r="BN119" s="7">
        <v>0.004</v>
      </c>
      <c r="BO119" s="4">
        <v>3</v>
      </c>
      <c r="BP119" s="8">
        <v>228.63</v>
      </c>
      <c r="BQ119" s="4"/>
      <c r="BR119" s="8"/>
      <c r="BS119" s="7"/>
      <c r="BT119" s="7"/>
      <c r="BU119" s="2" t="s">
        <v>109</v>
      </c>
      <c r="BV119" s="2" t="s">
        <v>110</v>
      </c>
      <c r="BW119" s="2" t="s">
        <v>750</v>
      </c>
      <c r="BX119" s="2" t="s">
        <v>751</v>
      </c>
      <c r="BY119" s="2" t="s">
        <v>113</v>
      </c>
      <c r="BZ119" s="2" t="s">
        <v>100</v>
      </c>
    </row>
    <row r="120">
      <c r="A120" s="2" t="s">
        <v>752</v>
      </c>
      <c r="B120" s="2" t="s">
        <v>87</v>
      </c>
      <c r="C120" s="2" t="s">
        <v>88</v>
      </c>
      <c r="D120" s="2" t="s">
        <v>89</v>
      </c>
      <c r="E120" s="2" t="s">
        <v>691</v>
      </c>
      <c r="F120" s="2" t="s">
        <v>743</v>
      </c>
      <c r="G120" s="2" t="s">
        <v>744</v>
      </c>
      <c r="H120" s="2" t="s">
        <v>745</v>
      </c>
      <c r="I120" s="2" t="s">
        <v>746</v>
      </c>
      <c r="J120" s="2" t="s">
        <v>706</v>
      </c>
      <c r="K120" s="2" t="s">
        <v>118</v>
      </c>
      <c r="L120" s="3">
        <v>63.7</v>
      </c>
      <c r="M120" s="3">
        <v>66.88</v>
      </c>
      <c r="N120" s="3">
        <v>129.99</v>
      </c>
      <c r="O120" s="2" t="s">
        <v>97</v>
      </c>
      <c r="P120" s="2" t="s">
        <v>119</v>
      </c>
      <c r="Q120" s="2" t="s">
        <v>99</v>
      </c>
      <c r="R120" s="2" t="s">
        <v>100</v>
      </c>
      <c r="S120" s="2" t="s">
        <v>753</v>
      </c>
      <c r="T120" s="2" t="s">
        <v>100</v>
      </c>
      <c r="U120" s="2" t="s">
        <v>171</v>
      </c>
      <c r="V120" s="2" t="s">
        <v>489</v>
      </c>
      <c r="W120" s="2" t="s">
        <v>309</v>
      </c>
      <c r="X120" s="2" t="s">
        <v>404</v>
      </c>
      <c r="Y120" s="2" t="s">
        <v>754</v>
      </c>
      <c r="Z120" s="4">
        <v>540</v>
      </c>
      <c r="AA120" s="4">
        <f>=ROUNDDOWN(45,0)</f>
      </c>
      <c r="AB120" s="5">
        <v>12</v>
      </c>
      <c r="AC120" s="2" t="s">
        <v>100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246</v>
      </c>
      <c r="BK120" s="8">
        <v>14995.11</v>
      </c>
      <c r="BL120" s="2" t="s">
        <v>755</v>
      </c>
      <c r="BM120" s="7"/>
      <c r="BN120" s="7"/>
      <c r="BO120" s="4"/>
      <c r="BP120" s="8"/>
      <c r="BQ120" s="4"/>
      <c r="BR120" s="8"/>
      <c r="BS120" s="7"/>
      <c r="BT120" s="7"/>
      <c r="BU120" s="2" t="s">
        <v>207</v>
      </c>
      <c r="BV120" s="2" t="s">
        <v>97</v>
      </c>
      <c r="BW120" s="2" t="s">
        <v>100</v>
      </c>
      <c r="BX120" s="2" t="s">
        <v>100</v>
      </c>
      <c r="BY120" s="2" t="s">
        <v>113</v>
      </c>
      <c r="BZ120" s="2" t="s">
        <v>100</v>
      </c>
    </row>
    <row r="121">
      <c r="A121" s="2" t="s">
        <v>756</v>
      </c>
      <c r="B121" s="2" t="s">
        <v>87</v>
      </c>
      <c r="C121" s="2" t="s">
        <v>88</v>
      </c>
      <c r="D121" s="2" t="s">
        <v>89</v>
      </c>
      <c r="E121" s="2" t="s">
        <v>691</v>
      </c>
      <c r="F121" s="2" t="s">
        <v>743</v>
      </c>
      <c r="G121" s="2" t="s">
        <v>744</v>
      </c>
      <c r="H121" s="2" t="s">
        <v>745</v>
      </c>
      <c r="I121" s="2" t="s">
        <v>746</v>
      </c>
      <c r="J121" s="2" t="s">
        <v>714</v>
      </c>
      <c r="K121" s="2" t="s">
        <v>118</v>
      </c>
      <c r="L121" s="3">
        <v>75</v>
      </c>
      <c r="M121" s="3">
        <v>78.74</v>
      </c>
      <c r="N121" s="3">
        <v>149.99</v>
      </c>
      <c r="O121" s="2" t="s">
        <v>97</v>
      </c>
      <c r="P121" s="2" t="s">
        <v>119</v>
      </c>
      <c r="Q121" s="2" t="s">
        <v>99</v>
      </c>
      <c r="R121" s="2" t="s">
        <v>100</v>
      </c>
      <c r="S121" s="2" t="s">
        <v>753</v>
      </c>
      <c r="T121" s="2" t="s">
        <v>100</v>
      </c>
      <c r="U121" s="2" t="s">
        <v>171</v>
      </c>
      <c r="V121" s="2" t="s">
        <v>489</v>
      </c>
      <c r="W121" s="2" t="s">
        <v>309</v>
      </c>
      <c r="X121" s="2" t="s">
        <v>404</v>
      </c>
      <c r="Y121" s="2" t="s">
        <v>754</v>
      </c>
      <c r="Z121" s="4">
        <v>718</v>
      </c>
      <c r="AA121" s="4">
        <f>=ROUNDDOWN(47.8666666666667,0)</f>
      </c>
      <c r="AB121" s="5">
        <v>15</v>
      </c>
      <c r="AC121" s="2" t="s">
        <v>100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376</v>
      </c>
      <c r="BK121" s="8">
        <v>26595.53</v>
      </c>
      <c r="BL121" s="2" t="s">
        <v>757</v>
      </c>
      <c r="BM121" s="7"/>
      <c r="BN121" s="7"/>
      <c r="BO121" s="4"/>
      <c r="BP121" s="8"/>
      <c r="BQ121" s="4"/>
      <c r="BR121" s="8"/>
      <c r="BS121" s="7"/>
      <c r="BT121" s="7"/>
      <c r="BU121" s="2" t="s">
        <v>207</v>
      </c>
      <c r="BV121" s="2" t="s">
        <v>97</v>
      </c>
      <c r="BW121" s="2" t="s">
        <v>100</v>
      </c>
      <c r="BX121" s="2" t="s">
        <v>100</v>
      </c>
      <c r="BY121" s="2" t="s">
        <v>113</v>
      </c>
      <c r="BZ121" s="2" t="s">
        <v>100</v>
      </c>
    </row>
    <row r="122">
      <c r="A122" s="2" t="s">
        <v>758</v>
      </c>
      <c r="B122" s="2" t="s">
        <v>87</v>
      </c>
      <c r="C122" s="2" t="s">
        <v>88</v>
      </c>
      <c r="D122" s="2" t="s">
        <v>89</v>
      </c>
      <c r="E122" s="2" t="s">
        <v>691</v>
      </c>
      <c r="F122" s="2" t="s">
        <v>389</v>
      </c>
      <c r="G122" s="2" t="s">
        <v>390</v>
      </c>
      <c r="H122" s="2" t="s">
        <v>391</v>
      </c>
      <c r="I122" s="2" t="s">
        <v>759</v>
      </c>
      <c r="J122" s="2" t="s">
        <v>706</v>
      </c>
      <c r="K122" s="2" t="s">
        <v>335</v>
      </c>
      <c r="L122" s="3">
        <v>63.7</v>
      </c>
      <c r="M122" s="3">
        <v>66.88</v>
      </c>
      <c r="N122" s="3">
        <v>139.99</v>
      </c>
      <c r="O122" s="2" t="s">
        <v>97</v>
      </c>
      <c r="P122" s="2" t="s">
        <v>119</v>
      </c>
      <c r="Q122" s="2" t="s">
        <v>99</v>
      </c>
      <c r="R122" s="2" t="s">
        <v>100</v>
      </c>
      <c r="S122" s="2" t="s">
        <v>760</v>
      </c>
      <c r="T122" s="2" t="s">
        <v>200</v>
      </c>
      <c r="U122" s="2" t="s">
        <v>171</v>
      </c>
      <c r="V122" s="2" t="s">
        <v>393</v>
      </c>
      <c r="W122" s="2" t="s">
        <v>309</v>
      </c>
      <c r="X122" s="2" t="s">
        <v>404</v>
      </c>
      <c r="Y122" s="2" t="s">
        <v>754</v>
      </c>
      <c r="Z122" s="4">
        <v>355</v>
      </c>
      <c r="AA122" s="4">
        <f>=ROUNDDOWN(59.1666666666667,0)</f>
      </c>
      <c r="AB122" s="5">
        <v>6</v>
      </c>
      <c r="AC122" s="2" t="s">
        <v>100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/>
      <c r="BJ122" s="4">
        <v>171</v>
      </c>
      <c r="BK122" s="8">
        <v>11940.74</v>
      </c>
      <c r="BL122" s="2" t="s">
        <v>761</v>
      </c>
      <c r="BM122" s="7"/>
      <c r="BN122" s="7"/>
      <c r="BO122" s="4"/>
      <c r="BP122" s="8"/>
      <c r="BQ122" s="4"/>
      <c r="BR122" s="8"/>
      <c r="BS122" s="7"/>
      <c r="BT122" s="7"/>
      <c r="BU122" s="2" t="s">
        <v>207</v>
      </c>
      <c r="BV122" s="2" t="s">
        <v>97</v>
      </c>
      <c r="BW122" s="2" t="s">
        <v>100</v>
      </c>
      <c r="BX122" s="2" t="s">
        <v>100</v>
      </c>
      <c r="BY122" s="2" t="s">
        <v>113</v>
      </c>
      <c r="BZ122" s="2" t="s">
        <v>100</v>
      </c>
    </row>
    <row r="123">
      <c r="A123" s="2" t="s">
        <v>762</v>
      </c>
      <c r="B123" s="2" t="s">
        <v>87</v>
      </c>
      <c r="C123" s="2" t="s">
        <v>88</v>
      </c>
      <c r="D123" s="2" t="s">
        <v>89</v>
      </c>
      <c r="E123" s="2" t="s">
        <v>691</v>
      </c>
      <c r="F123" s="2" t="s">
        <v>389</v>
      </c>
      <c r="G123" s="2" t="s">
        <v>390</v>
      </c>
      <c r="H123" s="2" t="s">
        <v>391</v>
      </c>
      <c r="I123" s="2" t="s">
        <v>759</v>
      </c>
      <c r="J123" s="2" t="s">
        <v>714</v>
      </c>
      <c r="K123" s="2" t="s">
        <v>335</v>
      </c>
      <c r="L123" s="3">
        <v>75</v>
      </c>
      <c r="M123" s="3">
        <v>78.74</v>
      </c>
      <c r="N123" s="3">
        <v>159.99</v>
      </c>
      <c r="O123" s="2" t="s">
        <v>97</v>
      </c>
      <c r="P123" s="2" t="s">
        <v>119</v>
      </c>
      <c r="Q123" s="2" t="s">
        <v>99</v>
      </c>
      <c r="R123" s="2" t="s">
        <v>100</v>
      </c>
      <c r="S123" s="2" t="s">
        <v>760</v>
      </c>
      <c r="T123" s="2" t="s">
        <v>200</v>
      </c>
      <c r="U123" s="2" t="s">
        <v>171</v>
      </c>
      <c r="V123" s="2" t="s">
        <v>393</v>
      </c>
      <c r="W123" s="2" t="s">
        <v>309</v>
      </c>
      <c r="X123" s="2" t="s">
        <v>404</v>
      </c>
      <c r="Y123" s="2" t="s">
        <v>754</v>
      </c>
      <c r="Z123" s="4">
        <v>681</v>
      </c>
      <c r="AA123" s="4">
        <f>=ROUNDDOWN(56.75,0)</f>
      </c>
      <c r="AB123" s="5">
        <v>12</v>
      </c>
      <c r="AC123" s="2" t="s">
        <v>100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>
        <v>340</v>
      </c>
      <c r="BK123" s="8">
        <v>27943</v>
      </c>
      <c r="BL123" s="2" t="s">
        <v>763</v>
      </c>
      <c r="BM123" s="7"/>
      <c r="BN123" s="7"/>
      <c r="BO123" s="4"/>
      <c r="BP123" s="8"/>
      <c r="BQ123" s="4"/>
      <c r="BR123" s="8"/>
      <c r="BS123" s="7"/>
      <c r="BT123" s="7"/>
      <c r="BU123" s="2" t="s">
        <v>207</v>
      </c>
      <c r="BV123" s="2" t="s">
        <v>97</v>
      </c>
      <c r="BW123" s="2" t="s">
        <v>100</v>
      </c>
      <c r="BX123" s="2" t="s">
        <v>100</v>
      </c>
      <c r="BY123" s="2" t="s">
        <v>113</v>
      </c>
      <c r="BZ123" s="2" t="s">
        <v>100</v>
      </c>
    </row>
    <row r="124">
      <c r="A124" s="2" t="s">
        <v>764</v>
      </c>
      <c r="B124" s="2" t="s">
        <v>87</v>
      </c>
      <c r="C124" s="2" t="s">
        <v>88</v>
      </c>
      <c r="D124" s="2" t="s">
        <v>89</v>
      </c>
      <c r="E124" s="2" t="s">
        <v>691</v>
      </c>
      <c r="F124" s="2" t="s">
        <v>389</v>
      </c>
      <c r="G124" s="2" t="s">
        <v>390</v>
      </c>
      <c r="H124" s="2" t="s">
        <v>391</v>
      </c>
      <c r="I124" s="2" t="s">
        <v>759</v>
      </c>
      <c r="J124" s="2" t="s">
        <v>706</v>
      </c>
      <c r="K124" s="2" t="s">
        <v>765</v>
      </c>
      <c r="L124" s="3">
        <v>63.7</v>
      </c>
      <c r="M124" s="3">
        <v>66.88</v>
      </c>
      <c r="N124" s="3">
        <v>139.99</v>
      </c>
      <c r="O124" s="2" t="s">
        <v>97</v>
      </c>
      <c r="P124" s="2" t="s">
        <v>119</v>
      </c>
      <c r="Q124" s="2" t="s">
        <v>99</v>
      </c>
      <c r="R124" s="2" t="s">
        <v>100</v>
      </c>
      <c r="S124" s="2" t="s">
        <v>766</v>
      </c>
      <c r="T124" s="2" t="s">
        <v>200</v>
      </c>
      <c r="U124" s="2" t="s">
        <v>171</v>
      </c>
      <c r="V124" s="2" t="s">
        <v>393</v>
      </c>
      <c r="W124" s="2" t="s">
        <v>309</v>
      </c>
      <c r="X124" s="2" t="s">
        <v>404</v>
      </c>
      <c r="Y124" s="2" t="s">
        <v>767</v>
      </c>
      <c r="Z124" s="4">
        <v>352</v>
      </c>
      <c r="AA124" s="4">
        <f>=ROUNDDOWN(50.2857142857143,0)</f>
      </c>
      <c r="AB124" s="5">
        <v>7</v>
      </c>
      <c r="AC124" s="2" t="s">
        <v>768</v>
      </c>
      <c r="AD124" s="4">
        <v>120</v>
      </c>
      <c r="AE124" s="4">
        <v>120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/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/>
      <c r="BJ124" s="4">
        <v>155</v>
      </c>
      <c r="BK124" s="8">
        <v>10933.14</v>
      </c>
      <c r="BL124" s="2" t="s">
        <v>755</v>
      </c>
      <c r="BM124" s="7"/>
      <c r="BN124" s="7"/>
      <c r="BO124" s="4"/>
      <c r="BP124" s="8"/>
      <c r="BQ124" s="4"/>
      <c r="BR124" s="8"/>
      <c r="BS124" s="7"/>
      <c r="BT124" s="7"/>
      <c r="BU124" s="2" t="s">
        <v>207</v>
      </c>
      <c r="BV124" s="2" t="s">
        <v>97</v>
      </c>
      <c r="BW124" s="2" t="s">
        <v>100</v>
      </c>
      <c r="BX124" s="2" t="s">
        <v>100</v>
      </c>
      <c r="BY124" s="2" t="s">
        <v>113</v>
      </c>
      <c r="BZ124" s="2" t="s">
        <v>100</v>
      </c>
    </row>
    <row r="125">
      <c r="A125" s="2" t="s">
        <v>769</v>
      </c>
      <c r="B125" s="2" t="s">
        <v>87</v>
      </c>
      <c r="C125" s="2" t="s">
        <v>88</v>
      </c>
      <c r="D125" s="2" t="s">
        <v>89</v>
      </c>
      <c r="E125" s="2" t="s">
        <v>691</v>
      </c>
      <c r="F125" s="2" t="s">
        <v>389</v>
      </c>
      <c r="G125" s="2" t="s">
        <v>390</v>
      </c>
      <c r="H125" s="2" t="s">
        <v>391</v>
      </c>
      <c r="I125" s="2" t="s">
        <v>759</v>
      </c>
      <c r="J125" s="2" t="s">
        <v>714</v>
      </c>
      <c r="K125" s="2" t="s">
        <v>765</v>
      </c>
      <c r="L125" s="3">
        <v>75</v>
      </c>
      <c r="M125" s="3">
        <v>78.74</v>
      </c>
      <c r="N125" s="3">
        <v>159.99</v>
      </c>
      <c r="O125" s="2" t="s">
        <v>97</v>
      </c>
      <c r="P125" s="2" t="s">
        <v>119</v>
      </c>
      <c r="Q125" s="2" t="s">
        <v>99</v>
      </c>
      <c r="R125" s="2" t="s">
        <v>100</v>
      </c>
      <c r="S125" s="2" t="s">
        <v>766</v>
      </c>
      <c r="T125" s="2" t="s">
        <v>200</v>
      </c>
      <c r="U125" s="2" t="s">
        <v>171</v>
      </c>
      <c r="V125" s="2" t="s">
        <v>393</v>
      </c>
      <c r="W125" s="2" t="s">
        <v>309</v>
      </c>
      <c r="X125" s="2" t="s">
        <v>404</v>
      </c>
      <c r="Y125" s="2" t="s">
        <v>770</v>
      </c>
      <c r="Z125" s="4">
        <v>262</v>
      </c>
      <c r="AA125" s="4">
        <f>=ROUNDDOWN(29.1111111111111,0)</f>
      </c>
      <c r="AB125" s="5">
        <v>9</v>
      </c>
      <c r="AC125" s="2" t="s">
        <v>768</v>
      </c>
      <c r="AD125" s="4">
        <v>380</v>
      </c>
      <c r="AE125" s="4">
        <v>380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/>
      <c r="BJ125" s="4">
        <v>293</v>
      </c>
      <c r="BK125" s="8">
        <v>24426.48</v>
      </c>
      <c r="BL125" s="2" t="s">
        <v>771</v>
      </c>
      <c r="BM125" s="7"/>
      <c r="BN125" s="7"/>
      <c r="BO125" s="4"/>
      <c r="BP125" s="8"/>
      <c r="BQ125" s="4"/>
      <c r="BR125" s="8"/>
      <c r="BS125" s="7"/>
      <c r="BT125" s="7"/>
      <c r="BU125" s="2" t="s">
        <v>207</v>
      </c>
      <c r="BV125" s="2" t="s">
        <v>97</v>
      </c>
      <c r="BW125" s="2" t="s">
        <v>100</v>
      </c>
      <c r="BX125" s="2" t="s">
        <v>100</v>
      </c>
      <c r="BY125" s="2" t="s">
        <v>113</v>
      </c>
      <c r="BZ125" s="2" t="s">
        <v>100</v>
      </c>
    </row>
    <row r="126">
      <c r="A126" s="2" t="s">
        <v>772</v>
      </c>
      <c r="B126" s="2" t="s">
        <v>87</v>
      </c>
      <c r="C126" s="2" t="s">
        <v>88</v>
      </c>
      <c r="D126" s="2" t="s">
        <v>89</v>
      </c>
      <c r="E126" s="2" t="s">
        <v>691</v>
      </c>
      <c r="F126" s="2" t="s">
        <v>389</v>
      </c>
      <c r="G126" s="2" t="s">
        <v>390</v>
      </c>
      <c r="H126" s="2" t="s">
        <v>391</v>
      </c>
      <c r="I126" s="2" t="s">
        <v>759</v>
      </c>
      <c r="J126" s="2" t="s">
        <v>706</v>
      </c>
      <c r="K126" s="2" t="s">
        <v>360</v>
      </c>
      <c r="L126" s="3">
        <v>63.7</v>
      </c>
      <c r="M126" s="3">
        <v>66.88</v>
      </c>
      <c r="N126" s="3">
        <v>139.99</v>
      </c>
      <c r="O126" s="2" t="s">
        <v>97</v>
      </c>
      <c r="P126" s="2" t="s">
        <v>119</v>
      </c>
      <c r="Q126" s="2" t="s">
        <v>99</v>
      </c>
      <c r="R126" s="2" t="s">
        <v>100</v>
      </c>
      <c r="S126" s="2" t="s">
        <v>773</v>
      </c>
      <c r="T126" s="2" t="s">
        <v>200</v>
      </c>
      <c r="U126" s="2" t="s">
        <v>171</v>
      </c>
      <c r="V126" s="2" t="s">
        <v>393</v>
      </c>
      <c r="W126" s="2" t="s">
        <v>309</v>
      </c>
      <c r="X126" s="2" t="s">
        <v>404</v>
      </c>
      <c r="Y126" s="2" t="s">
        <v>767</v>
      </c>
      <c r="Z126" s="4">
        <v>497</v>
      </c>
      <c r="AA126" s="4">
        <f>=ROUNDDOWN(45.1818181818182,0)</f>
      </c>
      <c r="AB126" s="5">
        <v>11</v>
      </c>
      <c r="AC126" s="2" t="s">
        <v>100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/>
      <c r="BJ126" s="4">
        <v>325</v>
      </c>
      <c r="BK126" s="8">
        <v>22315.64</v>
      </c>
      <c r="BL126" s="2" t="s">
        <v>774</v>
      </c>
      <c r="BM126" s="7"/>
      <c r="BN126" s="7"/>
      <c r="BO126" s="4"/>
      <c r="BP126" s="8"/>
      <c r="BQ126" s="4"/>
      <c r="BR126" s="8"/>
      <c r="BS126" s="7"/>
      <c r="BT126" s="7"/>
      <c r="BU126" s="2" t="s">
        <v>207</v>
      </c>
      <c r="BV126" s="2" t="s">
        <v>97</v>
      </c>
      <c r="BW126" s="2" t="s">
        <v>100</v>
      </c>
      <c r="BX126" s="2" t="s">
        <v>100</v>
      </c>
      <c r="BY126" s="2" t="s">
        <v>113</v>
      </c>
      <c r="BZ126" s="2" t="s">
        <v>100</v>
      </c>
    </row>
    <row r="127">
      <c r="A127" s="2" t="s">
        <v>775</v>
      </c>
      <c r="B127" s="2" t="s">
        <v>87</v>
      </c>
      <c r="C127" s="2" t="s">
        <v>88</v>
      </c>
      <c r="D127" s="2" t="s">
        <v>89</v>
      </c>
      <c r="E127" s="2" t="s">
        <v>691</v>
      </c>
      <c r="F127" s="2" t="s">
        <v>389</v>
      </c>
      <c r="G127" s="2" t="s">
        <v>390</v>
      </c>
      <c r="H127" s="2" t="s">
        <v>391</v>
      </c>
      <c r="I127" s="2" t="s">
        <v>759</v>
      </c>
      <c r="J127" s="2" t="s">
        <v>714</v>
      </c>
      <c r="K127" s="2" t="s">
        <v>360</v>
      </c>
      <c r="L127" s="3">
        <v>75</v>
      </c>
      <c r="M127" s="3">
        <v>78.74</v>
      </c>
      <c r="N127" s="3">
        <v>159.99</v>
      </c>
      <c r="O127" s="2" t="s">
        <v>97</v>
      </c>
      <c r="P127" s="2" t="s">
        <v>119</v>
      </c>
      <c r="Q127" s="2" t="s">
        <v>99</v>
      </c>
      <c r="R127" s="2" t="s">
        <v>100</v>
      </c>
      <c r="S127" s="2" t="s">
        <v>773</v>
      </c>
      <c r="T127" s="2" t="s">
        <v>200</v>
      </c>
      <c r="U127" s="2" t="s">
        <v>171</v>
      </c>
      <c r="V127" s="2" t="s">
        <v>393</v>
      </c>
      <c r="W127" s="2" t="s">
        <v>309</v>
      </c>
      <c r="X127" s="2" t="s">
        <v>404</v>
      </c>
      <c r="Y127" s="2" t="s">
        <v>770</v>
      </c>
      <c r="Z127" s="4">
        <v>785</v>
      </c>
      <c r="AA127" s="4">
        <f>=ROUNDDOWN(46.1764705882353,0)</f>
      </c>
      <c r="AB127" s="5">
        <v>17</v>
      </c>
      <c r="AC127" s="2" t="s">
        <v>100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/>
      <c r="BJ127" s="4">
        <v>505</v>
      </c>
      <c r="BK127" s="8">
        <v>40627.61</v>
      </c>
      <c r="BL127" s="2" t="s">
        <v>776</v>
      </c>
      <c r="BM127" s="7"/>
      <c r="BN127" s="7"/>
      <c r="BO127" s="4"/>
      <c r="BP127" s="8"/>
      <c r="BQ127" s="4"/>
      <c r="BR127" s="8"/>
      <c r="BS127" s="7"/>
      <c r="BT127" s="7"/>
      <c r="BU127" s="2" t="s">
        <v>207</v>
      </c>
      <c r="BV127" s="2" t="s">
        <v>97</v>
      </c>
      <c r="BW127" s="2" t="s">
        <v>100</v>
      </c>
      <c r="BX127" s="2" t="s">
        <v>100</v>
      </c>
      <c r="BY127" s="2" t="s">
        <v>113</v>
      </c>
      <c r="BZ127" s="2" t="s">
        <v>100</v>
      </c>
    </row>
    <row r="128">
      <c r="A128" s="2" t="s">
        <v>777</v>
      </c>
      <c r="B128" s="2" t="s">
        <v>87</v>
      </c>
      <c r="C128" s="2" t="s">
        <v>88</v>
      </c>
      <c r="D128" s="2" t="s">
        <v>89</v>
      </c>
      <c r="E128" s="2" t="s">
        <v>691</v>
      </c>
      <c r="F128" s="2" t="s">
        <v>389</v>
      </c>
      <c r="G128" s="2" t="s">
        <v>390</v>
      </c>
      <c r="H128" s="2" t="s">
        <v>391</v>
      </c>
      <c r="I128" s="2" t="s">
        <v>759</v>
      </c>
      <c r="J128" s="2" t="s">
        <v>706</v>
      </c>
      <c r="K128" s="2" t="s">
        <v>578</v>
      </c>
      <c r="L128" s="3">
        <v>63.7</v>
      </c>
      <c r="M128" s="3">
        <v>66.89</v>
      </c>
      <c r="N128" s="3">
        <v>139.99</v>
      </c>
      <c r="O128" s="2" t="s">
        <v>97</v>
      </c>
      <c r="P128" s="2" t="s">
        <v>119</v>
      </c>
      <c r="Q128" s="2" t="s">
        <v>99</v>
      </c>
      <c r="R128" s="2" t="s">
        <v>100</v>
      </c>
      <c r="S128" s="2" t="s">
        <v>778</v>
      </c>
      <c r="T128" s="2" t="s">
        <v>200</v>
      </c>
      <c r="U128" s="2" t="s">
        <v>171</v>
      </c>
      <c r="V128" s="2" t="s">
        <v>393</v>
      </c>
      <c r="W128" s="2" t="s">
        <v>309</v>
      </c>
      <c r="X128" s="2" t="s">
        <v>100</v>
      </c>
      <c r="Y128" s="2" t="s">
        <v>779</v>
      </c>
      <c r="Z128" s="4">
        <v>159</v>
      </c>
      <c r="AA128" s="4">
        <f>=ROUNDDOWN(39.75,0)</f>
      </c>
      <c r="AB128" s="5">
        <v>4</v>
      </c>
      <c r="AC128" s="2" t="s">
        <v>100</v>
      </c>
      <c r="AD128" s="4"/>
      <c r="AE128" s="4"/>
      <c r="AF128" s="6">
        <v>65</v>
      </c>
      <c r="AG128" s="6"/>
      <c r="AH128" s="7">
        <v>0.8396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>
        <v>128</v>
      </c>
      <c r="BK128" s="8">
        <v>8776.7</v>
      </c>
      <c r="BL128" s="2" t="s">
        <v>780</v>
      </c>
      <c r="BM128" s="7"/>
      <c r="BN128" s="7"/>
      <c r="BO128" s="4"/>
      <c r="BP128" s="8"/>
      <c r="BQ128" s="4"/>
      <c r="BR128" s="8"/>
      <c r="BS128" s="7"/>
      <c r="BT128" s="7"/>
      <c r="BU128" s="2" t="s">
        <v>207</v>
      </c>
      <c r="BV128" s="2" t="s">
        <v>97</v>
      </c>
      <c r="BW128" s="2" t="s">
        <v>100</v>
      </c>
      <c r="BX128" s="2" t="s">
        <v>100</v>
      </c>
      <c r="BY128" s="2" t="s">
        <v>113</v>
      </c>
      <c r="BZ128" s="2" t="s">
        <v>100</v>
      </c>
    </row>
    <row r="129">
      <c r="A129" s="2" t="s">
        <v>781</v>
      </c>
      <c r="B129" s="2" t="s">
        <v>87</v>
      </c>
      <c r="C129" s="2" t="s">
        <v>88</v>
      </c>
      <c r="D129" s="2" t="s">
        <v>89</v>
      </c>
      <c r="E129" s="2" t="s">
        <v>691</v>
      </c>
      <c r="F129" s="2" t="s">
        <v>389</v>
      </c>
      <c r="G129" s="2" t="s">
        <v>390</v>
      </c>
      <c r="H129" s="2" t="s">
        <v>391</v>
      </c>
      <c r="I129" s="2" t="s">
        <v>759</v>
      </c>
      <c r="J129" s="2" t="s">
        <v>714</v>
      </c>
      <c r="K129" s="2" t="s">
        <v>578</v>
      </c>
      <c r="L129" s="3">
        <v>75</v>
      </c>
      <c r="M129" s="3">
        <v>78.75</v>
      </c>
      <c r="N129" s="3">
        <v>159.99</v>
      </c>
      <c r="O129" s="2" t="s">
        <v>97</v>
      </c>
      <c r="P129" s="2" t="s">
        <v>119</v>
      </c>
      <c r="Q129" s="2" t="s">
        <v>99</v>
      </c>
      <c r="R129" s="2" t="s">
        <v>100</v>
      </c>
      <c r="S129" s="2" t="s">
        <v>778</v>
      </c>
      <c r="T129" s="2" t="s">
        <v>200</v>
      </c>
      <c r="U129" s="2" t="s">
        <v>171</v>
      </c>
      <c r="V129" s="2" t="s">
        <v>393</v>
      </c>
      <c r="W129" s="2" t="s">
        <v>309</v>
      </c>
      <c r="X129" s="2" t="s">
        <v>100</v>
      </c>
      <c r="Y129" s="2" t="s">
        <v>779</v>
      </c>
      <c r="Z129" s="4">
        <v>311</v>
      </c>
      <c r="AA129" s="4">
        <f>=ROUNDDOWN(44.4285714285714,0)</f>
      </c>
      <c r="AB129" s="5">
        <v>7</v>
      </c>
      <c r="AC129" s="2" t="s">
        <v>100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/>
      <c r="BJ129" s="4">
        <v>208</v>
      </c>
      <c r="BK129" s="8">
        <v>16993.16</v>
      </c>
      <c r="BL129" s="2" t="s">
        <v>267</v>
      </c>
      <c r="BM129" s="7"/>
      <c r="BN129" s="7"/>
      <c r="BO129" s="4"/>
      <c r="BP129" s="8"/>
      <c r="BQ129" s="4"/>
      <c r="BR129" s="8"/>
      <c r="BS129" s="7"/>
      <c r="BT129" s="7"/>
      <c r="BU129" s="2" t="s">
        <v>207</v>
      </c>
      <c r="BV129" s="2" t="s">
        <v>97</v>
      </c>
      <c r="BW129" s="2" t="s">
        <v>100</v>
      </c>
      <c r="BX129" s="2" t="s">
        <v>100</v>
      </c>
      <c r="BY129" s="2" t="s">
        <v>113</v>
      </c>
      <c r="BZ129" s="2" t="s">
        <v>100</v>
      </c>
    </row>
    <row r="130">
      <c r="A130" s="2" t="s">
        <v>782</v>
      </c>
      <c r="B130" s="2" t="s">
        <v>87</v>
      </c>
      <c r="C130" s="2" t="s">
        <v>88</v>
      </c>
      <c r="D130" s="2" t="s">
        <v>89</v>
      </c>
      <c r="E130" s="2" t="s">
        <v>783</v>
      </c>
      <c r="F130" s="2" t="s">
        <v>179</v>
      </c>
      <c r="G130" s="2" t="s">
        <v>180</v>
      </c>
      <c r="H130" s="2" t="s">
        <v>181</v>
      </c>
      <c r="I130" s="2" t="s">
        <v>784</v>
      </c>
      <c r="J130" s="2" t="s">
        <v>706</v>
      </c>
      <c r="K130" s="2" t="s">
        <v>718</v>
      </c>
      <c r="L130" s="3">
        <v>47</v>
      </c>
      <c r="M130" s="3">
        <v>49.35</v>
      </c>
      <c r="N130" s="3">
        <v>99.99</v>
      </c>
      <c r="O130" s="2" t="s">
        <v>97</v>
      </c>
      <c r="P130" s="2" t="s">
        <v>119</v>
      </c>
      <c r="Q130" s="2" t="s">
        <v>99</v>
      </c>
      <c r="R130" s="2" t="s">
        <v>100</v>
      </c>
      <c r="S130" s="2" t="s">
        <v>527</v>
      </c>
      <c r="T130" s="2" t="s">
        <v>100</v>
      </c>
      <c r="U130" s="2" t="s">
        <v>480</v>
      </c>
      <c r="V130" s="2" t="s">
        <v>146</v>
      </c>
      <c r="W130" s="2" t="s">
        <v>104</v>
      </c>
      <c r="X130" s="2" t="s">
        <v>183</v>
      </c>
      <c r="Y130" s="2" t="s">
        <v>785</v>
      </c>
      <c r="Z130" s="4">
        <v>421</v>
      </c>
      <c r="AA130" s="4">
        <f>=ROUNDDOWN(35.0833333333333,0)</f>
      </c>
      <c r="AB130" s="5">
        <v>12</v>
      </c>
      <c r="AC130" s="2" t="s">
        <v>562</v>
      </c>
      <c r="AD130" s="4">
        <v>30</v>
      </c>
      <c r="AE130" s="4">
        <v>80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>
        <v>6</v>
      </c>
      <c r="AQ130" s="8">
        <v>293.94</v>
      </c>
      <c r="AR130" s="4"/>
      <c r="AS130" s="8"/>
      <c r="AT130" s="7"/>
      <c r="AU130" s="7"/>
      <c r="AV130" s="4">
        <v>15</v>
      </c>
      <c r="AW130" s="8">
        <v>832.86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0.3529</v>
      </c>
      <c r="BC130" s="4">
        <v>27</v>
      </c>
      <c r="BD130" s="8">
        <v>1420.74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>
        <v>0.5862</v>
      </c>
      <c r="BJ130" s="4">
        <v>297</v>
      </c>
      <c r="BK130" s="8">
        <v>14795.25</v>
      </c>
      <c r="BL130" s="2" t="s">
        <v>786</v>
      </c>
      <c r="BM130" s="7">
        <v>0.0202</v>
      </c>
      <c r="BN130" s="7">
        <v>0.0199</v>
      </c>
      <c r="BO130" s="4">
        <v>6</v>
      </c>
      <c r="BP130" s="8">
        <v>293.94</v>
      </c>
      <c r="BQ130" s="4"/>
      <c r="BR130" s="8"/>
      <c r="BS130" s="7"/>
      <c r="BT130" s="7"/>
      <c r="BU130" s="2" t="s">
        <v>109</v>
      </c>
      <c r="BV130" s="2" t="s">
        <v>110</v>
      </c>
      <c r="BW130" s="2" t="s">
        <v>787</v>
      </c>
      <c r="BX130" s="2" t="s">
        <v>788</v>
      </c>
      <c r="BY130" s="2" t="s">
        <v>113</v>
      </c>
      <c r="BZ130" s="2" t="s">
        <v>100</v>
      </c>
    </row>
    <row r="131">
      <c r="A131" s="2" t="s">
        <v>789</v>
      </c>
      <c r="B131" s="2" t="s">
        <v>87</v>
      </c>
      <c r="C131" s="2" t="s">
        <v>88</v>
      </c>
      <c r="D131" s="2" t="s">
        <v>89</v>
      </c>
      <c r="E131" s="2" t="s">
        <v>783</v>
      </c>
      <c r="F131" s="2" t="s">
        <v>179</v>
      </c>
      <c r="G131" s="2" t="s">
        <v>180</v>
      </c>
      <c r="H131" s="2" t="s">
        <v>181</v>
      </c>
      <c r="I131" s="2" t="s">
        <v>784</v>
      </c>
      <c r="J131" s="2" t="s">
        <v>714</v>
      </c>
      <c r="K131" s="2" t="s">
        <v>718</v>
      </c>
      <c r="L131" s="3">
        <v>57.6</v>
      </c>
      <c r="M131" s="3">
        <v>60.47</v>
      </c>
      <c r="N131" s="3">
        <v>119.99</v>
      </c>
      <c r="O131" s="2" t="s">
        <v>97</v>
      </c>
      <c r="P131" s="2" t="s">
        <v>119</v>
      </c>
      <c r="Q131" s="2" t="s">
        <v>99</v>
      </c>
      <c r="R131" s="2" t="s">
        <v>100</v>
      </c>
      <c r="S131" s="2" t="s">
        <v>527</v>
      </c>
      <c r="T131" s="2" t="s">
        <v>100</v>
      </c>
      <c r="U131" s="2" t="s">
        <v>480</v>
      </c>
      <c r="V131" s="2" t="s">
        <v>146</v>
      </c>
      <c r="W131" s="2" t="s">
        <v>104</v>
      </c>
      <c r="X131" s="2" t="s">
        <v>183</v>
      </c>
      <c r="Y131" s="2" t="s">
        <v>785</v>
      </c>
      <c r="Z131" s="4">
        <v>314</v>
      </c>
      <c r="AA131" s="4">
        <f>=ROUNDDOWN(28.5454545454545,0)</f>
      </c>
      <c r="AB131" s="5">
        <v>11</v>
      </c>
      <c r="AC131" s="2" t="s">
        <v>562</v>
      </c>
      <c r="AD131" s="4">
        <v>40</v>
      </c>
      <c r="AE131" s="4">
        <v>190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>
        <v>9</v>
      </c>
      <c r="AQ131" s="8">
        <v>538.92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0.6471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260</v>
      </c>
      <c r="BK131" s="8">
        <v>16144.31</v>
      </c>
      <c r="BL131" s="2" t="s">
        <v>749</v>
      </c>
      <c r="BM131" s="7">
        <v>0.0346</v>
      </c>
      <c r="BN131" s="7">
        <v>0.0334</v>
      </c>
      <c r="BO131" s="4">
        <v>9</v>
      </c>
      <c r="BP131" s="8">
        <v>538.92</v>
      </c>
      <c r="BQ131" s="4"/>
      <c r="BR131" s="8"/>
      <c r="BS131" s="7"/>
      <c r="BT131" s="7"/>
      <c r="BU131" s="2" t="s">
        <v>109</v>
      </c>
      <c r="BV131" s="2" t="s">
        <v>110</v>
      </c>
      <c r="BW131" s="2" t="s">
        <v>787</v>
      </c>
      <c r="BX131" s="2" t="s">
        <v>790</v>
      </c>
      <c r="BY131" s="2" t="s">
        <v>113</v>
      </c>
      <c r="BZ131" s="2" t="s">
        <v>100</v>
      </c>
    </row>
    <row r="132">
      <c r="A132" s="2" t="s">
        <v>791</v>
      </c>
      <c r="B132" s="2" t="s">
        <v>87</v>
      </c>
      <c r="C132" s="2" t="s">
        <v>88</v>
      </c>
      <c r="D132" s="2" t="s">
        <v>89</v>
      </c>
      <c r="E132" s="2" t="s">
        <v>783</v>
      </c>
      <c r="F132" s="2" t="s">
        <v>179</v>
      </c>
      <c r="G132" s="2" t="s">
        <v>180</v>
      </c>
      <c r="H132" s="2" t="s">
        <v>181</v>
      </c>
      <c r="I132" s="2" t="s">
        <v>784</v>
      </c>
      <c r="J132" s="2" t="s">
        <v>706</v>
      </c>
      <c r="K132" s="2" t="s">
        <v>144</v>
      </c>
      <c r="L132" s="3">
        <v>47</v>
      </c>
      <c r="M132" s="3">
        <v>49.35</v>
      </c>
      <c r="N132" s="3">
        <v>99.99</v>
      </c>
      <c r="O132" s="2" t="s">
        <v>97</v>
      </c>
      <c r="P132" s="2" t="s">
        <v>119</v>
      </c>
      <c r="Q132" s="2" t="s">
        <v>99</v>
      </c>
      <c r="R132" s="2" t="s">
        <v>100</v>
      </c>
      <c r="S132" s="2" t="s">
        <v>527</v>
      </c>
      <c r="T132" s="2" t="s">
        <v>100</v>
      </c>
      <c r="U132" s="2" t="s">
        <v>480</v>
      </c>
      <c r="V132" s="2" t="s">
        <v>146</v>
      </c>
      <c r="W132" s="2" t="s">
        <v>104</v>
      </c>
      <c r="X132" s="2" t="s">
        <v>183</v>
      </c>
      <c r="Y132" s="2" t="s">
        <v>785</v>
      </c>
      <c r="Z132" s="4">
        <v>588</v>
      </c>
      <c r="AA132" s="4">
        <f>=ROUNDDOWN(32.6666666666667,0)</f>
      </c>
      <c r="AB132" s="5">
        <v>18</v>
      </c>
      <c r="AC132" s="2" t="s">
        <v>562</v>
      </c>
      <c r="AD132" s="4">
        <v>160</v>
      </c>
      <c r="AE132" s="4">
        <v>260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>
        <v>10</v>
      </c>
      <c r="AQ132" s="8">
        <v>489.9</v>
      </c>
      <c r="AR132" s="4"/>
      <c r="AS132" s="8"/>
      <c r="AT132" s="7"/>
      <c r="AU132" s="7"/>
      <c r="AV132" s="4">
        <v>10</v>
      </c>
      <c r="AW132" s="8">
        <v>489.9</v>
      </c>
      <c r="AX132" s="4"/>
      <c r="AY132" s="8"/>
      <c r="AZ132" s="7"/>
      <c r="BA132" s="7"/>
      <c r="BB132" s="7">
        <v>1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0.3448</v>
      </c>
      <c r="BJ132" s="4">
        <v>507</v>
      </c>
      <c r="BK132" s="8">
        <v>25329.86</v>
      </c>
      <c r="BL132" s="2" t="s">
        <v>792</v>
      </c>
      <c r="BM132" s="7">
        <v>0.0197</v>
      </c>
      <c r="BN132" s="7">
        <v>0.0193</v>
      </c>
      <c r="BO132" s="4">
        <v>10</v>
      </c>
      <c r="BP132" s="8">
        <v>489.9</v>
      </c>
      <c r="BQ132" s="4"/>
      <c r="BR132" s="8"/>
      <c r="BS132" s="7"/>
      <c r="BT132" s="7"/>
      <c r="BU132" s="2" t="s">
        <v>109</v>
      </c>
      <c r="BV132" s="2" t="s">
        <v>110</v>
      </c>
      <c r="BW132" s="2" t="s">
        <v>787</v>
      </c>
      <c r="BX132" s="2" t="s">
        <v>793</v>
      </c>
      <c r="BY132" s="2" t="s">
        <v>113</v>
      </c>
      <c r="BZ132" s="2" t="s">
        <v>100</v>
      </c>
    </row>
    <row r="133">
      <c r="A133" s="2" t="s">
        <v>794</v>
      </c>
      <c r="B133" s="2" t="s">
        <v>87</v>
      </c>
      <c r="C133" s="2" t="s">
        <v>88</v>
      </c>
      <c r="D133" s="2" t="s">
        <v>89</v>
      </c>
      <c r="E133" s="2" t="s">
        <v>783</v>
      </c>
      <c r="F133" s="2" t="s">
        <v>179</v>
      </c>
      <c r="G133" s="2" t="s">
        <v>180</v>
      </c>
      <c r="H133" s="2" t="s">
        <v>181</v>
      </c>
      <c r="I133" s="2" t="s">
        <v>784</v>
      </c>
      <c r="J133" s="2" t="s">
        <v>706</v>
      </c>
      <c r="K133" s="2" t="s">
        <v>604</v>
      </c>
      <c r="L133" s="3">
        <v>47</v>
      </c>
      <c r="M133" s="3">
        <v>49.35</v>
      </c>
      <c r="N133" s="3">
        <v>99.99</v>
      </c>
      <c r="O133" s="2" t="s">
        <v>97</v>
      </c>
      <c r="P133" s="2" t="s">
        <v>119</v>
      </c>
      <c r="Q133" s="2" t="s">
        <v>99</v>
      </c>
      <c r="R133" s="2" t="s">
        <v>100</v>
      </c>
      <c r="S133" s="2" t="s">
        <v>527</v>
      </c>
      <c r="T133" s="2" t="s">
        <v>100</v>
      </c>
      <c r="U133" s="2" t="s">
        <v>480</v>
      </c>
      <c r="V133" s="2" t="s">
        <v>146</v>
      </c>
      <c r="W133" s="2" t="s">
        <v>104</v>
      </c>
      <c r="X133" s="2" t="s">
        <v>183</v>
      </c>
      <c r="Y133" s="2" t="s">
        <v>785</v>
      </c>
      <c r="Z133" s="4">
        <v>709</v>
      </c>
      <c r="AA133" s="4">
        <f>=ROUNDDOWN(29.5416666666667,0)</f>
      </c>
      <c r="AB133" s="5">
        <v>24</v>
      </c>
      <c r="AC133" s="2" t="s">
        <v>562</v>
      </c>
      <c r="AD133" s="4">
        <v>230</v>
      </c>
      <c r="AE133" s="4">
        <v>230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>
        <v>2</v>
      </c>
      <c r="AQ133" s="8">
        <v>97.98</v>
      </c>
      <c r="AR133" s="4"/>
      <c r="AS133" s="8"/>
      <c r="AT133" s="7"/>
      <c r="AU133" s="7"/>
      <c r="AV133" s="4">
        <v>2</v>
      </c>
      <c r="AW133" s="8">
        <v>97.98</v>
      </c>
      <c r="AX133" s="4"/>
      <c r="AY133" s="8"/>
      <c r="AZ133" s="7"/>
      <c r="BA133" s="7"/>
      <c r="BB133" s="7">
        <v>1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>
        <v>0.069</v>
      </c>
      <c r="BJ133" s="4">
        <v>582</v>
      </c>
      <c r="BK133" s="8">
        <v>29133.2</v>
      </c>
      <c r="BL133" s="2" t="s">
        <v>795</v>
      </c>
      <c r="BM133" s="7">
        <v>0.0034</v>
      </c>
      <c r="BN133" s="7">
        <v>0.0034</v>
      </c>
      <c r="BO133" s="4">
        <v>2</v>
      </c>
      <c r="BP133" s="8">
        <v>97.98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787</v>
      </c>
      <c r="BX133" s="2" t="s">
        <v>796</v>
      </c>
      <c r="BY133" s="2" t="s">
        <v>113</v>
      </c>
      <c r="BZ133" s="2" t="s">
        <v>100</v>
      </c>
    </row>
    <row r="134">
      <c r="A134" s="2" t="s">
        <v>797</v>
      </c>
      <c r="B134" s="2" t="s">
        <v>87</v>
      </c>
      <c r="C134" s="2" t="s">
        <v>88</v>
      </c>
      <c r="D134" s="2" t="s">
        <v>89</v>
      </c>
      <c r="E134" s="2" t="s">
        <v>783</v>
      </c>
      <c r="F134" s="2" t="s">
        <v>140</v>
      </c>
      <c r="G134" s="2" t="s">
        <v>141</v>
      </c>
      <c r="H134" s="2" t="s">
        <v>142</v>
      </c>
      <c r="I134" s="2" t="s">
        <v>798</v>
      </c>
      <c r="J134" s="2" t="s">
        <v>714</v>
      </c>
      <c r="K134" s="2" t="s">
        <v>144</v>
      </c>
      <c r="L134" s="3">
        <v>64.4</v>
      </c>
      <c r="M134" s="3">
        <v>67.62</v>
      </c>
      <c r="N134" s="3">
        <v>139.99</v>
      </c>
      <c r="O134" s="2" t="s">
        <v>97</v>
      </c>
      <c r="P134" s="2" t="s">
        <v>119</v>
      </c>
      <c r="Q134" s="2" t="s">
        <v>99</v>
      </c>
      <c r="R134" s="2" t="s">
        <v>100</v>
      </c>
      <c r="S134" s="2" t="s">
        <v>799</v>
      </c>
      <c r="T134" s="2" t="s">
        <v>100</v>
      </c>
      <c r="U134" s="2" t="s">
        <v>402</v>
      </c>
      <c r="V134" s="2" t="s">
        <v>146</v>
      </c>
      <c r="W134" s="2" t="s">
        <v>104</v>
      </c>
      <c r="X134" s="2" t="s">
        <v>293</v>
      </c>
      <c r="Y134" s="2" t="s">
        <v>800</v>
      </c>
      <c r="Z134" s="4">
        <v>271</v>
      </c>
      <c r="AA134" s="4">
        <f>=ROUNDDOWN(33.875,0)</f>
      </c>
      <c r="AB134" s="5">
        <v>8</v>
      </c>
      <c r="AC134" s="2" t="s">
        <v>148</v>
      </c>
      <c r="AD134" s="4">
        <v>90</v>
      </c>
      <c r="AE134" s="4">
        <v>90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>
        <v>3</v>
      </c>
      <c r="AQ134" s="8">
        <v>198.99</v>
      </c>
      <c r="AR134" s="4"/>
      <c r="AS134" s="8"/>
      <c r="AT134" s="7"/>
      <c r="AU134" s="7"/>
      <c r="AV134" s="4">
        <v>3</v>
      </c>
      <c r="AW134" s="8">
        <v>198.99</v>
      </c>
      <c r="AX134" s="4"/>
      <c r="AY134" s="8"/>
      <c r="AZ134" s="7"/>
      <c r="BA134" s="7"/>
      <c r="BB134" s="7">
        <v>1</v>
      </c>
      <c r="BC134" s="4">
        <v>3</v>
      </c>
      <c r="BD134" s="8">
        <v>198.99</v>
      </c>
      <c r="BE134" s="4"/>
      <c r="BF134" s="8"/>
      <c r="BG134" s="7"/>
      <c r="BH134" s="7"/>
      <c r="BI134" s="7">
        <v>1</v>
      </c>
      <c r="BJ134" s="4">
        <v>227</v>
      </c>
      <c r="BK134" s="8">
        <v>15860.58</v>
      </c>
      <c r="BL134" s="2" t="s">
        <v>786</v>
      </c>
      <c r="BM134" s="7">
        <v>0.0132</v>
      </c>
      <c r="BN134" s="7">
        <v>0.0125</v>
      </c>
      <c r="BO134" s="4">
        <v>3</v>
      </c>
      <c r="BP134" s="8">
        <v>198.99</v>
      </c>
      <c r="BQ134" s="4"/>
      <c r="BR134" s="8"/>
      <c r="BS134" s="7"/>
      <c r="BT134" s="7"/>
      <c r="BU134" s="2" t="s">
        <v>109</v>
      </c>
      <c r="BV134" s="2" t="s">
        <v>110</v>
      </c>
      <c r="BW134" s="2" t="s">
        <v>500</v>
      </c>
      <c r="BX134" s="2" t="s">
        <v>801</v>
      </c>
      <c r="BY134" s="2" t="s">
        <v>113</v>
      </c>
      <c r="BZ134" s="2" t="s">
        <v>100</v>
      </c>
    </row>
    <row r="135">
      <c r="A135" s="2" t="s">
        <v>802</v>
      </c>
      <c r="B135" s="2" t="s">
        <v>87</v>
      </c>
      <c r="C135" s="2" t="s">
        <v>88</v>
      </c>
      <c r="D135" s="2" t="s">
        <v>803</v>
      </c>
      <c r="E135" s="2" t="s">
        <v>804</v>
      </c>
      <c r="F135" s="2" t="s">
        <v>805</v>
      </c>
      <c r="G135" s="2" t="s">
        <v>806</v>
      </c>
      <c r="H135" s="2" t="s">
        <v>807</v>
      </c>
      <c r="I135" s="2" t="s">
        <v>808</v>
      </c>
      <c r="J135" s="2" t="s">
        <v>706</v>
      </c>
      <c r="K135" s="2" t="s">
        <v>360</v>
      </c>
      <c r="L135" s="3">
        <v>69</v>
      </c>
      <c r="M135" s="3">
        <v>72.45</v>
      </c>
      <c r="N135" s="3">
        <v>149.99</v>
      </c>
      <c r="O135" s="2" t="s">
        <v>97</v>
      </c>
      <c r="P135" s="2" t="s">
        <v>119</v>
      </c>
      <c r="Q135" s="2" t="s">
        <v>99</v>
      </c>
      <c r="R135" s="2" t="s">
        <v>100</v>
      </c>
      <c r="S135" s="2" t="s">
        <v>809</v>
      </c>
      <c r="T135" s="2" t="s">
        <v>100</v>
      </c>
      <c r="U135" s="2" t="s">
        <v>337</v>
      </c>
      <c r="V135" s="2" t="s">
        <v>103</v>
      </c>
      <c r="W135" s="2" t="s">
        <v>309</v>
      </c>
      <c r="X135" s="2" t="s">
        <v>310</v>
      </c>
      <c r="Y135" s="2" t="s">
        <v>810</v>
      </c>
      <c r="Z135" s="4">
        <v>287</v>
      </c>
      <c r="AA135" s="4">
        <f>=ROUNDDOWN(22.0769230769231,0)</f>
      </c>
      <c r="AB135" s="5">
        <v>13</v>
      </c>
      <c r="AC135" s="2" t="s">
        <v>174</v>
      </c>
      <c r="AD135" s="4">
        <v>120</v>
      </c>
      <c r="AE135" s="4">
        <v>230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>
        <v>9</v>
      </c>
      <c r="AQ135" s="8">
        <v>636.84</v>
      </c>
      <c r="AR135" s="4"/>
      <c r="AS135" s="8"/>
      <c r="AT135" s="7"/>
      <c r="AU135" s="7"/>
      <c r="AV135" s="4">
        <v>18</v>
      </c>
      <c r="AW135" s="8">
        <v>1371.69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0.4643</v>
      </c>
      <c r="BC135" s="4">
        <v>34</v>
      </c>
      <c r="BD135" s="8">
        <v>2569.19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0.5339</v>
      </c>
      <c r="BJ135" s="4">
        <v>269</v>
      </c>
      <c r="BK135" s="8">
        <v>18211.8</v>
      </c>
      <c r="BL135" s="2" t="s">
        <v>811</v>
      </c>
      <c r="BM135" s="7">
        <v>0.0335</v>
      </c>
      <c r="BN135" s="7">
        <v>0.035</v>
      </c>
      <c r="BO135" s="4">
        <v>9</v>
      </c>
      <c r="BP135" s="8">
        <v>636.84</v>
      </c>
      <c r="BQ135" s="4"/>
      <c r="BR135" s="8"/>
      <c r="BS135" s="7"/>
      <c r="BT135" s="7"/>
      <c r="BU135" s="2" t="s">
        <v>109</v>
      </c>
      <c r="BV135" s="2" t="s">
        <v>110</v>
      </c>
      <c r="BW135" s="2" t="s">
        <v>137</v>
      </c>
      <c r="BX135" s="2" t="s">
        <v>812</v>
      </c>
      <c r="BY135" s="2" t="s">
        <v>113</v>
      </c>
      <c r="BZ135" s="2" t="s">
        <v>100</v>
      </c>
    </row>
    <row r="136">
      <c r="A136" s="2" t="s">
        <v>813</v>
      </c>
      <c r="B136" s="2" t="s">
        <v>87</v>
      </c>
      <c r="C136" s="2" t="s">
        <v>88</v>
      </c>
      <c r="D136" s="2" t="s">
        <v>803</v>
      </c>
      <c r="E136" s="2" t="s">
        <v>804</v>
      </c>
      <c r="F136" s="2" t="s">
        <v>805</v>
      </c>
      <c r="G136" s="2" t="s">
        <v>806</v>
      </c>
      <c r="H136" s="2" t="s">
        <v>807</v>
      </c>
      <c r="I136" s="2" t="s">
        <v>808</v>
      </c>
      <c r="J136" s="2" t="s">
        <v>714</v>
      </c>
      <c r="K136" s="2" t="s">
        <v>360</v>
      </c>
      <c r="L136" s="3">
        <v>78.2</v>
      </c>
      <c r="M136" s="3">
        <v>82.11</v>
      </c>
      <c r="N136" s="3">
        <v>169.99</v>
      </c>
      <c r="O136" s="2" t="s">
        <v>97</v>
      </c>
      <c r="P136" s="2" t="s">
        <v>119</v>
      </c>
      <c r="Q136" s="2" t="s">
        <v>99</v>
      </c>
      <c r="R136" s="2" t="s">
        <v>100</v>
      </c>
      <c r="S136" s="2" t="s">
        <v>809</v>
      </c>
      <c r="T136" s="2" t="s">
        <v>100</v>
      </c>
      <c r="U136" s="2" t="s">
        <v>337</v>
      </c>
      <c r="V136" s="2" t="s">
        <v>103</v>
      </c>
      <c r="W136" s="2" t="s">
        <v>309</v>
      </c>
      <c r="X136" s="2" t="s">
        <v>310</v>
      </c>
      <c r="Y136" s="2" t="s">
        <v>675</v>
      </c>
      <c r="Z136" s="4">
        <v>317</v>
      </c>
      <c r="AA136" s="4">
        <f>=ROUNDDOWN(24.3846153846154,0)</f>
      </c>
      <c r="AB136" s="5">
        <v>13</v>
      </c>
      <c r="AC136" s="2" t="s">
        <v>148</v>
      </c>
      <c r="AD136" s="4">
        <v>200</v>
      </c>
      <c r="AE136" s="4">
        <v>200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>
        <v>6</v>
      </c>
      <c r="AQ136" s="8">
        <v>489.9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0.3572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283</v>
      </c>
      <c r="BK136" s="8">
        <v>22202.62</v>
      </c>
      <c r="BL136" s="2" t="s">
        <v>814</v>
      </c>
      <c r="BM136" s="7">
        <v>0.0212</v>
      </c>
      <c r="BN136" s="7">
        <v>0.0221</v>
      </c>
      <c r="BO136" s="4">
        <v>6</v>
      </c>
      <c r="BP136" s="8">
        <v>489.9</v>
      </c>
      <c r="BQ136" s="4"/>
      <c r="BR136" s="8"/>
      <c r="BS136" s="7"/>
      <c r="BT136" s="7"/>
      <c r="BU136" s="2" t="s">
        <v>109</v>
      </c>
      <c r="BV136" s="2" t="s">
        <v>110</v>
      </c>
      <c r="BW136" s="2" t="s">
        <v>137</v>
      </c>
      <c r="BX136" s="2" t="s">
        <v>815</v>
      </c>
      <c r="BY136" s="2" t="s">
        <v>113</v>
      </c>
      <c r="BZ136" s="2" t="s">
        <v>100</v>
      </c>
    </row>
    <row r="137">
      <c r="A137" s="2" t="s">
        <v>816</v>
      </c>
      <c r="B137" s="2" t="s">
        <v>87</v>
      </c>
      <c r="C137" s="2" t="s">
        <v>88</v>
      </c>
      <c r="D137" s="2" t="s">
        <v>803</v>
      </c>
      <c r="E137" s="2" t="s">
        <v>804</v>
      </c>
      <c r="F137" s="2" t="s">
        <v>805</v>
      </c>
      <c r="G137" s="2" t="s">
        <v>806</v>
      </c>
      <c r="H137" s="2" t="s">
        <v>807</v>
      </c>
      <c r="I137" s="2" t="s">
        <v>808</v>
      </c>
      <c r="J137" s="2" t="s">
        <v>817</v>
      </c>
      <c r="K137" s="2" t="s">
        <v>360</v>
      </c>
      <c r="L137" s="3">
        <v>78.2</v>
      </c>
      <c r="M137" s="3">
        <v>82.11</v>
      </c>
      <c r="N137" s="3">
        <v>169.99</v>
      </c>
      <c r="O137" s="2" t="s">
        <v>97</v>
      </c>
      <c r="P137" s="2" t="s">
        <v>119</v>
      </c>
      <c r="Q137" s="2" t="s">
        <v>99</v>
      </c>
      <c r="R137" s="2" t="s">
        <v>100</v>
      </c>
      <c r="S137" s="2" t="s">
        <v>809</v>
      </c>
      <c r="T137" s="2" t="s">
        <v>100</v>
      </c>
      <c r="U137" s="2" t="s">
        <v>337</v>
      </c>
      <c r="V137" s="2" t="s">
        <v>103</v>
      </c>
      <c r="W137" s="2" t="s">
        <v>309</v>
      </c>
      <c r="X137" s="2" t="s">
        <v>310</v>
      </c>
      <c r="Y137" s="2" t="s">
        <v>675</v>
      </c>
      <c r="Z137" s="4">
        <v>322</v>
      </c>
      <c r="AA137" s="4">
        <f>=ROUNDDOWN(53.6666666666667,0)</f>
      </c>
      <c r="AB137" s="5">
        <v>6</v>
      </c>
      <c r="AC137" s="2" t="s">
        <v>148</v>
      </c>
      <c r="AD137" s="4">
        <v>30</v>
      </c>
      <c r="AE137" s="4">
        <v>30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>
        <v>3</v>
      </c>
      <c r="AQ137" s="8">
        <v>244.95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0.1786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125</v>
      </c>
      <c r="BK137" s="8">
        <v>9913.26</v>
      </c>
      <c r="BL137" s="2" t="s">
        <v>814</v>
      </c>
      <c r="BM137" s="7">
        <v>0.024</v>
      </c>
      <c r="BN137" s="7">
        <v>0.0247</v>
      </c>
      <c r="BO137" s="4">
        <v>3</v>
      </c>
      <c r="BP137" s="8">
        <v>244.95</v>
      </c>
      <c r="BQ137" s="4"/>
      <c r="BR137" s="8"/>
      <c r="BS137" s="7"/>
      <c r="BT137" s="7"/>
      <c r="BU137" s="2" t="s">
        <v>109</v>
      </c>
      <c r="BV137" s="2" t="s">
        <v>110</v>
      </c>
      <c r="BW137" s="2" t="s">
        <v>137</v>
      </c>
      <c r="BX137" s="2" t="s">
        <v>818</v>
      </c>
      <c r="BY137" s="2" t="s">
        <v>113</v>
      </c>
      <c r="BZ137" s="2" t="s">
        <v>100</v>
      </c>
    </row>
    <row r="138">
      <c r="A138" s="2" t="s">
        <v>819</v>
      </c>
      <c r="B138" s="2" t="s">
        <v>87</v>
      </c>
      <c r="C138" s="2" t="s">
        <v>88</v>
      </c>
      <c r="D138" s="2" t="s">
        <v>803</v>
      </c>
      <c r="E138" s="2" t="s">
        <v>804</v>
      </c>
      <c r="F138" s="2" t="s">
        <v>805</v>
      </c>
      <c r="G138" s="2" t="s">
        <v>806</v>
      </c>
      <c r="H138" s="2" t="s">
        <v>807</v>
      </c>
      <c r="I138" s="2" t="s">
        <v>808</v>
      </c>
      <c r="J138" s="2" t="s">
        <v>706</v>
      </c>
      <c r="K138" s="2" t="s">
        <v>469</v>
      </c>
      <c r="L138" s="3">
        <v>69</v>
      </c>
      <c r="M138" s="3">
        <v>72.45</v>
      </c>
      <c r="N138" s="3">
        <v>149.99</v>
      </c>
      <c r="O138" s="2" t="s">
        <v>97</v>
      </c>
      <c r="P138" s="2" t="s">
        <v>119</v>
      </c>
      <c r="Q138" s="2" t="s">
        <v>99</v>
      </c>
      <c r="R138" s="2" t="s">
        <v>100</v>
      </c>
      <c r="S138" s="2" t="s">
        <v>820</v>
      </c>
      <c r="T138" s="2" t="s">
        <v>100</v>
      </c>
      <c r="U138" s="2" t="s">
        <v>337</v>
      </c>
      <c r="V138" s="2" t="s">
        <v>103</v>
      </c>
      <c r="W138" s="2" t="s">
        <v>309</v>
      </c>
      <c r="X138" s="2" t="s">
        <v>310</v>
      </c>
      <c r="Y138" s="2" t="s">
        <v>240</v>
      </c>
      <c r="Z138" s="4">
        <v>338</v>
      </c>
      <c r="AA138" s="4">
        <f>=ROUNDDOWN(19.8823529411765,0)</f>
      </c>
      <c r="AB138" s="5">
        <v>17</v>
      </c>
      <c r="AC138" s="2" t="s">
        <v>821</v>
      </c>
      <c r="AD138" s="4">
        <v>170</v>
      </c>
      <c r="AE138" s="4">
        <v>360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>
        <v>10</v>
      </c>
      <c r="AQ138" s="8">
        <v>707.6</v>
      </c>
      <c r="AR138" s="4"/>
      <c r="AS138" s="8"/>
      <c r="AT138" s="7"/>
      <c r="AU138" s="7"/>
      <c r="AV138" s="4">
        <v>16</v>
      </c>
      <c r="AW138" s="8">
        <v>1197.5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0.5909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>
        <v>0.4661</v>
      </c>
      <c r="BJ138" s="4">
        <v>363</v>
      </c>
      <c r="BK138" s="8">
        <v>24646.69</v>
      </c>
      <c r="BL138" s="2" t="s">
        <v>822</v>
      </c>
      <c r="BM138" s="7">
        <v>0.0275</v>
      </c>
      <c r="BN138" s="7">
        <v>0.0287</v>
      </c>
      <c r="BO138" s="4">
        <v>10</v>
      </c>
      <c r="BP138" s="8">
        <v>707.6</v>
      </c>
      <c r="BQ138" s="4"/>
      <c r="BR138" s="8"/>
      <c r="BS138" s="7"/>
      <c r="BT138" s="7"/>
      <c r="BU138" s="2" t="s">
        <v>109</v>
      </c>
      <c r="BV138" s="2" t="s">
        <v>110</v>
      </c>
      <c r="BW138" s="2" t="s">
        <v>243</v>
      </c>
      <c r="BX138" s="2" t="s">
        <v>823</v>
      </c>
      <c r="BY138" s="2" t="s">
        <v>113</v>
      </c>
      <c r="BZ138" s="2" t="s">
        <v>245</v>
      </c>
    </row>
    <row r="139">
      <c r="A139" s="2" t="s">
        <v>824</v>
      </c>
      <c r="B139" s="2" t="s">
        <v>87</v>
      </c>
      <c r="C139" s="2" t="s">
        <v>88</v>
      </c>
      <c r="D139" s="2" t="s">
        <v>803</v>
      </c>
      <c r="E139" s="2" t="s">
        <v>804</v>
      </c>
      <c r="F139" s="2" t="s">
        <v>805</v>
      </c>
      <c r="G139" s="2" t="s">
        <v>806</v>
      </c>
      <c r="H139" s="2" t="s">
        <v>807</v>
      </c>
      <c r="I139" s="2" t="s">
        <v>808</v>
      </c>
      <c r="J139" s="2" t="s">
        <v>714</v>
      </c>
      <c r="K139" s="2" t="s">
        <v>469</v>
      </c>
      <c r="L139" s="3">
        <v>78.2</v>
      </c>
      <c r="M139" s="3">
        <v>82.11</v>
      </c>
      <c r="N139" s="3">
        <v>169.99</v>
      </c>
      <c r="O139" s="2" t="s">
        <v>97</v>
      </c>
      <c r="P139" s="2" t="s">
        <v>119</v>
      </c>
      <c r="Q139" s="2" t="s">
        <v>99</v>
      </c>
      <c r="R139" s="2" t="s">
        <v>100</v>
      </c>
      <c r="S139" s="2" t="s">
        <v>820</v>
      </c>
      <c r="T139" s="2" t="s">
        <v>100</v>
      </c>
      <c r="U139" s="2" t="s">
        <v>337</v>
      </c>
      <c r="V139" s="2" t="s">
        <v>103</v>
      </c>
      <c r="W139" s="2" t="s">
        <v>309</v>
      </c>
      <c r="X139" s="2" t="s">
        <v>310</v>
      </c>
      <c r="Y139" s="2" t="s">
        <v>240</v>
      </c>
      <c r="Z139" s="4">
        <v>282</v>
      </c>
      <c r="AA139" s="4">
        <f>=ROUNDDOWN(23.5,0)</f>
      </c>
      <c r="AB139" s="5">
        <v>12</v>
      </c>
      <c r="AC139" s="2" t="s">
        <v>821</v>
      </c>
      <c r="AD139" s="4">
        <v>100</v>
      </c>
      <c r="AE139" s="4">
        <v>200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>
        <v>6</v>
      </c>
      <c r="AQ139" s="8">
        <v>489.9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0.4091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214</v>
      </c>
      <c r="BK139" s="8">
        <v>16769.65</v>
      </c>
      <c r="BL139" s="2" t="s">
        <v>825</v>
      </c>
      <c r="BM139" s="7">
        <v>0.028</v>
      </c>
      <c r="BN139" s="7">
        <v>0.0292</v>
      </c>
      <c r="BO139" s="4">
        <v>6</v>
      </c>
      <c r="BP139" s="8">
        <v>489.9</v>
      </c>
      <c r="BQ139" s="4"/>
      <c r="BR139" s="8"/>
      <c r="BS139" s="7"/>
      <c r="BT139" s="7"/>
      <c r="BU139" s="2" t="s">
        <v>109</v>
      </c>
      <c r="BV139" s="2" t="s">
        <v>110</v>
      </c>
      <c r="BW139" s="2" t="s">
        <v>243</v>
      </c>
      <c r="BX139" s="2" t="s">
        <v>826</v>
      </c>
      <c r="BY139" s="2" t="s">
        <v>113</v>
      </c>
      <c r="BZ139" s="2" t="s">
        <v>100</v>
      </c>
    </row>
    <row r="140">
      <c r="A140" s="2" t="s">
        <v>827</v>
      </c>
      <c r="B140" s="2" t="s">
        <v>87</v>
      </c>
      <c r="C140" s="2" t="s">
        <v>88</v>
      </c>
      <c r="D140" s="2" t="s">
        <v>803</v>
      </c>
      <c r="E140" s="2" t="s">
        <v>804</v>
      </c>
      <c r="F140" s="2" t="s">
        <v>828</v>
      </c>
      <c r="G140" s="2" t="s">
        <v>829</v>
      </c>
      <c r="H140" s="2" t="s">
        <v>830</v>
      </c>
      <c r="I140" s="2" t="s">
        <v>831</v>
      </c>
      <c r="J140" s="2" t="s">
        <v>706</v>
      </c>
      <c r="K140" s="2" t="s">
        <v>432</v>
      </c>
      <c r="L140" s="3">
        <v>82.71</v>
      </c>
      <c r="M140" s="3">
        <v>86.85</v>
      </c>
      <c r="N140" s="3">
        <v>174.99</v>
      </c>
      <c r="O140" s="2" t="s">
        <v>97</v>
      </c>
      <c r="P140" s="2" t="s">
        <v>372</v>
      </c>
      <c r="Q140" s="2" t="s">
        <v>99</v>
      </c>
      <c r="R140" s="2" t="s">
        <v>100</v>
      </c>
      <c r="S140" s="2" t="s">
        <v>832</v>
      </c>
      <c r="T140" s="2" t="s">
        <v>280</v>
      </c>
      <c r="U140" s="2" t="s">
        <v>833</v>
      </c>
      <c r="V140" s="2" t="s">
        <v>256</v>
      </c>
      <c r="W140" s="2" t="s">
        <v>158</v>
      </c>
      <c r="X140" s="2" t="s">
        <v>378</v>
      </c>
      <c r="Y140" s="2" t="s">
        <v>834</v>
      </c>
      <c r="Z140" s="4">
        <v>650</v>
      </c>
      <c r="AA140" s="4">
        <f>=ROUNDDOWN(15.8536585365854,0)</f>
      </c>
      <c r="AB140" s="5">
        <v>41</v>
      </c>
      <c r="AC140" s="2" t="s">
        <v>320</v>
      </c>
      <c r="AD140" s="4">
        <v>380</v>
      </c>
      <c r="AE140" s="4">
        <v>1070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>
        <v>19</v>
      </c>
      <c r="AQ140" s="8">
        <v>1447.99</v>
      </c>
      <c r="AR140" s="4"/>
      <c r="AS140" s="8"/>
      <c r="AT140" s="7"/>
      <c r="AU140" s="7"/>
      <c r="AV140" s="4">
        <v>27</v>
      </c>
      <c r="AW140" s="8">
        <v>2144.71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0.6751</v>
      </c>
      <c r="BC140" s="4">
        <v>27</v>
      </c>
      <c r="BD140" s="8">
        <v>2144.71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1</v>
      </c>
      <c r="BJ140" s="4">
        <v>1310</v>
      </c>
      <c r="BK140" s="8">
        <v>114672.03</v>
      </c>
      <c r="BL140" s="2" t="s">
        <v>835</v>
      </c>
      <c r="BM140" s="7">
        <v>0.0145</v>
      </c>
      <c r="BN140" s="7">
        <v>0.0126</v>
      </c>
      <c r="BO140" s="4">
        <v>19</v>
      </c>
      <c r="BP140" s="8">
        <v>1447.99</v>
      </c>
      <c r="BQ140" s="4"/>
      <c r="BR140" s="8"/>
      <c r="BS140" s="7"/>
      <c r="BT140" s="7"/>
      <c r="BU140" s="2" t="s">
        <v>109</v>
      </c>
      <c r="BV140" s="2" t="s">
        <v>110</v>
      </c>
      <c r="BW140" s="2" t="s">
        <v>836</v>
      </c>
      <c r="BX140" s="2" t="s">
        <v>837</v>
      </c>
      <c r="BY140" s="2" t="s">
        <v>113</v>
      </c>
      <c r="BZ140" s="2" t="s">
        <v>100</v>
      </c>
    </row>
    <row r="141">
      <c r="A141" s="2" t="s">
        <v>838</v>
      </c>
      <c r="B141" s="2" t="s">
        <v>87</v>
      </c>
      <c r="C141" s="2" t="s">
        <v>88</v>
      </c>
      <c r="D141" s="2" t="s">
        <v>803</v>
      </c>
      <c r="E141" s="2" t="s">
        <v>804</v>
      </c>
      <c r="F141" s="2" t="s">
        <v>828</v>
      </c>
      <c r="G141" s="2" t="s">
        <v>829</v>
      </c>
      <c r="H141" s="2" t="s">
        <v>830</v>
      </c>
      <c r="I141" s="2" t="s">
        <v>831</v>
      </c>
      <c r="J141" s="2" t="s">
        <v>714</v>
      </c>
      <c r="K141" s="2" t="s">
        <v>432</v>
      </c>
      <c r="L141" s="3">
        <v>93.05</v>
      </c>
      <c r="M141" s="3">
        <v>97.7</v>
      </c>
      <c r="N141" s="3">
        <v>194.99</v>
      </c>
      <c r="O141" s="2" t="s">
        <v>97</v>
      </c>
      <c r="P141" s="2" t="s">
        <v>372</v>
      </c>
      <c r="Q141" s="2" t="s">
        <v>99</v>
      </c>
      <c r="R141" s="2" t="s">
        <v>100</v>
      </c>
      <c r="S141" s="2" t="s">
        <v>832</v>
      </c>
      <c r="T141" s="2" t="s">
        <v>280</v>
      </c>
      <c r="U141" s="2" t="s">
        <v>833</v>
      </c>
      <c r="V141" s="2" t="s">
        <v>256</v>
      </c>
      <c r="W141" s="2" t="s">
        <v>158</v>
      </c>
      <c r="X141" s="2" t="s">
        <v>378</v>
      </c>
      <c r="Y141" s="2" t="s">
        <v>834</v>
      </c>
      <c r="Z141" s="4">
        <v>718</v>
      </c>
      <c r="AA141" s="4">
        <f>=ROUNDDOWN(26.5925925925926,0)</f>
      </c>
      <c r="AB141" s="5">
        <v>27</v>
      </c>
      <c r="AC141" s="2" t="s">
        <v>320</v>
      </c>
      <c r="AD141" s="4">
        <v>400</v>
      </c>
      <c r="AE141" s="4">
        <v>780</v>
      </c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>
        <v>7</v>
      </c>
      <c r="AQ141" s="8">
        <v>609.63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0.2842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733</v>
      </c>
      <c r="BK141" s="8">
        <v>74489.67</v>
      </c>
      <c r="BL141" s="2" t="s">
        <v>839</v>
      </c>
      <c r="BM141" s="7">
        <v>0.0095</v>
      </c>
      <c r="BN141" s="7">
        <v>0.0082</v>
      </c>
      <c r="BO141" s="4">
        <v>7</v>
      </c>
      <c r="BP141" s="8">
        <v>609.63</v>
      </c>
      <c r="BQ141" s="4"/>
      <c r="BR141" s="8"/>
      <c r="BS141" s="7"/>
      <c r="BT141" s="7"/>
      <c r="BU141" s="2" t="s">
        <v>109</v>
      </c>
      <c r="BV141" s="2" t="s">
        <v>110</v>
      </c>
      <c r="BW141" s="2" t="s">
        <v>840</v>
      </c>
      <c r="BX141" s="2" t="s">
        <v>841</v>
      </c>
      <c r="BY141" s="2" t="s">
        <v>113</v>
      </c>
      <c r="BZ141" s="2" t="s">
        <v>100</v>
      </c>
    </row>
    <row r="142">
      <c r="A142" s="2" t="s">
        <v>842</v>
      </c>
      <c r="B142" s="2" t="s">
        <v>87</v>
      </c>
      <c r="C142" s="2" t="s">
        <v>88</v>
      </c>
      <c r="D142" s="2" t="s">
        <v>803</v>
      </c>
      <c r="E142" s="2" t="s">
        <v>804</v>
      </c>
      <c r="F142" s="2" t="s">
        <v>828</v>
      </c>
      <c r="G142" s="2" t="s">
        <v>829</v>
      </c>
      <c r="H142" s="2" t="s">
        <v>830</v>
      </c>
      <c r="I142" s="2" t="s">
        <v>831</v>
      </c>
      <c r="J142" s="2" t="s">
        <v>817</v>
      </c>
      <c r="K142" s="2" t="s">
        <v>432</v>
      </c>
      <c r="L142" s="3">
        <v>93.05</v>
      </c>
      <c r="M142" s="3">
        <v>97.7</v>
      </c>
      <c r="N142" s="3">
        <v>194.99</v>
      </c>
      <c r="O142" s="2" t="s">
        <v>97</v>
      </c>
      <c r="P142" s="2" t="s">
        <v>372</v>
      </c>
      <c r="Q142" s="2" t="s">
        <v>99</v>
      </c>
      <c r="R142" s="2" t="s">
        <v>100</v>
      </c>
      <c r="S142" s="2" t="s">
        <v>832</v>
      </c>
      <c r="T142" s="2" t="s">
        <v>280</v>
      </c>
      <c r="U142" s="2" t="s">
        <v>833</v>
      </c>
      <c r="V142" s="2" t="s">
        <v>256</v>
      </c>
      <c r="W142" s="2" t="s">
        <v>158</v>
      </c>
      <c r="X142" s="2" t="s">
        <v>378</v>
      </c>
      <c r="Y142" s="2" t="s">
        <v>834</v>
      </c>
      <c r="Z142" s="4">
        <v>573</v>
      </c>
      <c r="AA142" s="4">
        <f>=ROUNDDOWN(40.9285714285714,0)</f>
      </c>
      <c r="AB142" s="5">
        <v>14</v>
      </c>
      <c r="AC142" s="2" t="s">
        <v>320</v>
      </c>
      <c r="AD142" s="4">
        <v>150</v>
      </c>
      <c r="AE142" s="4">
        <v>350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>
        <v>1</v>
      </c>
      <c r="AQ142" s="8">
        <v>87.09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0.0406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364</v>
      </c>
      <c r="BK142" s="8">
        <v>37502.35</v>
      </c>
      <c r="BL142" s="2" t="s">
        <v>843</v>
      </c>
      <c r="BM142" s="7">
        <v>0.0027</v>
      </c>
      <c r="BN142" s="7">
        <v>0.0023</v>
      </c>
      <c r="BO142" s="4">
        <v>1</v>
      </c>
      <c r="BP142" s="8">
        <v>87.09</v>
      </c>
      <c r="BQ142" s="4"/>
      <c r="BR142" s="8"/>
      <c r="BS142" s="7"/>
      <c r="BT142" s="7"/>
      <c r="BU142" s="2" t="s">
        <v>109</v>
      </c>
      <c r="BV142" s="2" t="s">
        <v>110</v>
      </c>
      <c r="BW142" s="2" t="s">
        <v>836</v>
      </c>
      <c r="BX142" s="2" t="s">
        <v>844</v>
      </c>
      <c r="BY142" s="2" t="s">
        <v>113</v>
      </c>
      <c r="BZ142" s="2" t="s">
        <v>100</v>
      </c>
    </row>
    <row r="143">
      <c r="A143" s="2" t="s">
        <v>845</v>
      </c>
      <c r="B143" s="2" t="s">
        <v>87</v>
      </c>
      <c r="C143" s="2" t="s">
        <v>88</v>
      </c>
      <c r="D143" s="2" t="s">
        <v>803</v>
      </c>
      <c r="E143" s="2" t="s">
        <v>804</v>
      </c>
      <c r="F143" s="2" t="s">
        <v>828</v>
      </c>
      <c r="G143" s="2" t="s">
        <v>829</v>
      </c>
      <c r="H143" s="2" t="s">
        <v>830</v>
      </c>
      <c r="I143" s="2" t="s">
        <v>831</v>
      </c>
      <c r="J143" s="2" t="s">
        <v>706</v>
      </c>
      <c r="K143" s="2" t="s">
        <v>118</v>
      </c>
      <c r="L143" s="3">
        <v>82.71</v>
      </c>
      <c r="M143" s="3">
        <v>86.85</v>
      </c>
      <c r="N143" s="3">
        <v>174.99</v>
      </c>
      <c r="O143" s="2" t="s">
        <v>97</v>
      </c>
      <c r="P143" s="2" t="s">
        <v>119</v>
      </c>
      <c r="Q143" s="2" t="s">
        <v>99</v>
      </c>
      <c r="R143" s="2" t="s">
        <v>100</v>
      </c>
      <c r="S143" s="2" t="s">
        <v>846</v>
      </c>
      <c r="T143" s="2" t="s">
        <v>280</v>
      </c>
      <c r="U143" s="2" t="s">
        <v>833</v>
      </c>
      <c r="V143" s="2" t="s">
        <v>256</v>
      </c>
      <c r="W143" s="2" t="s">
        <v>158</v>
      </c>
      <c r="X143" s="2" t="s">
        <v>159</v>
      </c>
      <c r="Y143" s="2" t="s">
        <v>847</v>
      </c>
      <c r="Z143" s="4">
        <v>403</v>
      </c>
      <c r="AA143" s="4">
        <f>=ROUNDDOWN(44.7777777777778,0)</f>
      </c>
      <c r="AB143" s="5">
        <v>9</v>
      </c>
      <c r="AC143" s="2" t="s">
        <v>271</v>
      </c>
      <c r="AD143" s="4">
        <v>40</v>
      </c>
      <c r="AE143" s="4">
        <v>40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226</v>
      </c>
      <c r="BK143" s="8">
        <v>20198.12</v>
      </c>
      <c r="BL143" s="2" t="s">
        <v>848</v>
      </c>
      <c r="BM143" s="7"/>
      <c r="BN143" s="7"/>
      <c r="BO143" s="4"/>
      <c r="BP143" s="8"/>
      <c r="BQ143" s="4"/>
      <c r="BR143" s="8"/>
      <c r="BS143" s="7"/>
      <c r="BT143" s="7"/>
      <c r="BU143" s="2" t="s">
        <v>207</v>
      </c>
      <c r="BV143" s="2" t="s">
        <v>97</v>
      </c>
      <c r="BW143" s="2" t="s">
        <v>100</v>
      </c>
      <c r="BX143" s="2" t="s">
        <v>100</v>
      </c>
      <c r="BY143" s="2" t="s">
        <v>113</v>
      </c>
      <c r="BZ143" s="2" t="s">
        <v>100</v>
      </c>
    </row>
    <row r="144">
      <c r="A144" s="2" t="s">
        <v>849</v>
      </c>
      <c r="B144" s="2" t="s">
        <v>87</v>
      </c>
      <c r="C144" s="2" t="s">
        <v>88</v>
      </c>
      <c r="D144" s="2" t="s">
        <v>803</v>
      </c>
      <c r="E144" s="2" t="s">
        <v>804</v>
      </c>
      <c r="F144" s="2" t="s">
        <v>828</v>
      </c>
      <c r="G144" s="2" t="s">
        <v>829</v>
      </c>
      <c r="H144" s="2" t="s">
        <v>830</v>
      </c>
      <c r="I144" s="2" t="s">
        <v>831</v>
      </c>
      <c r="J144" s="2" t="s">
        <v>714</v>
      </c>
      <c r="K144" s="2" t="s">
        <v>118</v>
      </c>
      <c r="L144" s="3">
        <v>93.05</v>
      </c>
      <c r="M144" s="3">
        <v>97.7</v>
      </c>
      <c r="N144" s="3">
        <v>194.99</v>
      </c>
      <c r="O144" s="2" t="s">
        <v>97</v>
      </c>
      <c r="P144" s="2" t="s">
        <v>119</v>
      </c>
      <c r="Q144" s="2" t="s">
        <v>99</v>
      </c>
      <c r="R144" s="2" t="s">
        <v>100</v>
      </c>
      <c r="S144" s="2" t="s">
        <v>846</v>
      </c>
      <c r="T144" s="2" t="s">
        <v>280</v>
      </c>
      <c r="U144" s="2" t="s">
        <v>833</v>
      </c>
      <c r="V144" s="2" t="s">
        <v>256</v>
      </c>
      <c r="W144" s="2" t="s">
        <v>158</v>
      </c>
      <c r="X144" s="2" t="s">
        <v>159</v>
      </c>
      <c r="Y144" s="2" t="s">
        <v>847</v>
      </c>
      <c r="Z144" s="4">
        <v>364</v>
      </c>
      <c r="AA144" s="4">
        <f>=ROUNDDOWN(52,0)</f>
      </c>
      <c r="AB144" s="5">
        <v>7</v>
      </c>
      <c r="AC144" s="2" t="s">
        <v>271</v>
      </c>
      <c r="AD144" s="4">
        <v>50</v>
      </c>
      <c r="AE144" s="4">
        <v>50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121</v>
      </c>
      <c r="BK144" s="8">
        <v>12057.26</v>
      </c>
      <c r="BL144" s="2" t="s">
        <v>850</v>
      </c>
      <c r="BM144" s="7"/>
      <c r="BN144" s="7"/>
      <c r="BO144" s="4"/>
      <c r="BP144" s="8"/>
      <c r="BQ144" s="4"/>
      <c r="BR144" s="8"/>
      <c r="BS144" s="7"/>
      <c r="BT144" s="7"/>
      <c r="BU144" s="2" t="s">
        <v>207</v>
      </c>
      <c r="BV144" s="2" t="s">
        <v>97</v>
      </c>
      <c r="BW144" s="2" t="s">
        <v>100</v>
      </c>
      <c r="BX144" s="2" t="s">
        <v>100</v>
      </c>
      <c r="BY144" s="2" t="s">
        <v>113</v>
      </c>
      <c r="BZ144" s="2" t="s">
        <v>100</v>
      </c>
    </row>
    <row r="145">
      <c r="A145" s="2" t="s">
        <v>851</v>
      </c>
      <c r="B145" s="2" t="s">
        <v>87</v>
      </c>
      <c r="C145" s="2" t="s">
        <v>88</v>
      </c>
      <c r="D145" s="2" t="s">
        <v>803</v>
      </c>
      <c r="E145" s="2" t="s">
        <v>804</v>
      </c>
      <c r="F145" s="2" t="s">
        <v>828</v>
      </c>
      <c r="G145" s="2" t="s">
        <v>829</v>
      </c>
      <c r="H145" s="2" t="s">
        <v>830</v>
      </c>
      <c r="I145" s="2" t="s">
        <v>831</v>
      </c>
      <c r="J145" s="2" t="s">
        <v>817</v>
      </c>
      <c r="K145" s="2" t="s">
        <v>118</v>
      </c>
      <c r="L145" s="3">
        <v>93.05</v>
      </c>
      <c r="M145" s="3">
        <v>97.7</v>
      </c>
      <c r="N145" s="3">
        <v>194.99</v>
      </c>
      <c r="O145" s="2" t="s">
        <v>97</v>
      </c>
      <c r="P145" s="2" t="s">
        <v>119</v>
      </c>
      <c r="Q145" s="2" t="s">
        <v>99</v>
      </c>
      <c r="R145" s="2" t="s">
        <v>100</v>
      </c>
      <c r="S145" s="2" t="s">
        <v>846</v>
      </c>
      <c r="T145" s="2" t="s">
        <v>280</v>
      </c>
      <c r="U145" s="2" t="s">
        <v>833</v>
      </c>
      <c r="V145" s="2" t="s">
        <v>256</v>
      </c>
      <c r="W145" s="2" t="s">
        <v>158</v>
      </c>
      <c r="X145" s="2" t="s">
        <v>159</v>
      </c>
      <c r="Y145" s="2" t="s">
        <v>847</v>
      </c>
      <c r="Z145" s="4">
        <v>143</v>
      </c>
      <c r="AA145" s="4">
        <f>=ROUNDDOWN(47.6666666666667,0)</f>
      </c>
      <c r="AB145" s="5">
        <v>3</v>
      </c>
      <c r="AC145" s="2" t="s">
        <v>100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63</v>
      </c>
      <c r="BK145" s="8">
        <v>6378.8</v>
      </c>
      <c r="BL145" s="2" t="s">
        <v>852</v>
      </c>
      <c r="BM145" s="7"/>
      <c r="BN145" s="7"/>
      <c r="BO145" s="4"/>
      <c r="BP145" s="8"/>
      <c r="BQ145" s="4"/>
      <c r="BR145" s="8"/>
      <c r="BS145" s="7"/>
      <c r="BT145" s="7"/>
      <c r="BU145" s="2" t="s">
        <v>207</v>
      </c>
      <c r="BV145" s="2" t="s">
        <v>97</v>
      </c>
      <c r="BW145" s="2" t="s">
        <v>100</v>
      </c>
      <c r="BX145" s="2" t="s">
        <v>100</v>
      </c>
      <c r="BY145" s="2" t="s">
        <v>113</v>
      </c>
      <c r="BZ145" s="2" t="s">
        <v>100</v>
      </c>
    </row>
    <row r="146">
      <c r="A146" s="2" t="s">
        <v>853</v>
      </c>
      <c r="B146" s="2" t="s">
        <v>87</v>
      </c>
      <c r="C146" s="2" t="s">
        <v>88</v>
      </c>
      <c r="D146" s="2" t="s">
        <v>803</v>
      </c>
      <c r="E146" s="2" t="s">
        <v>804</v>
      </c>
      <c r="F146" s="2" t="s">
        <v>854</v>
      </c>
      <c r="G146" s="2" t="s">
        <v>855</v>
      </c>
      <c r="H146" s="2" t="s">
        <v>856</v>
      </c>
      <c r="I146" s="2" t="s">
        <v>857</v>
      </c>
      <c r="J146" s="2" t="s">
        <v>714</v>
      </c>
      <c r="K146" s="2" t="s">
        <v>858</v>
      </c>
      <c r="L146" s="3">
        <v>71.53</v>
      </c>
      <c r="M146" s="3">
        <v>75.11</v>
      </c>
      <c r="N146" s="3">
        <v>149.99</v>
      </c>
      <c r="O146" s="2" t="s">
        <v>97</v>
      </c>
      <c r="P146" s="2" t="s">
        <v>372</v>
      </c>
      <c r="Q146" s="2" t="s">
        <v>99</v>
      </c>
      <c r="R146" s="2" t="s">
        <v>100</v>
      </c>
      <c r="S146" s="2" t="s">
        <v>859</v>
      </c>
      <c r="T146" s="2" t="s">
        <v>100</v>
      </c>
      <c r="U146" s="2" t="s">
        <v>337</v>
      </c>
      <c r="V146" s="2" t="s">
        <v>434</v>
      </c>
      <c r="W146" s="2" t="s">
        <v>104</v>
      </c>
      <c r="X146" s="2" t="s">
        <v>105</v>
      </c>
      <c r="Y146" s="2" t="s">
        <v>240</v>
      </c>
      <c r="Z146" s="4">
        <v>1196</v>
      </c>
      <c r="AA146" s="4">
        <f>=ROUNDDOWN(30.6666666666667,0)</f>
      </c>
      <c r="AB146" s="5">
        <v>39</v>
      </c>
      <c r="AC146" s="2" t="s">
        <v>100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>
        <v>1</v>
      </c>
      <c r="AQ146" s="8">
        <v>76.21</v>
      </c>
      <c r="AR146" s="4"/>
      <c r="AS146" s="8"/>
      <c r="AT146" s="7"/>
      <c r="AU146" s="7"/>
      <c r="AV146" s="4">
        <v>7</v>
      </c>
      <c r="AW146" s="8">
        <v>533.47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0.1429</v>
      </c>
      <c r="BC146" s="4">
        <v>25</v>
      </c>
      <c r="BD146" s="8">
        <v>1861.69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0.2866</v>
      </c>
      <c r="BJ146" s="4">
        <v>1237</v>
      </c>
      <c r="BK146" s="8">
        <v>97704.67</v>
      </c>
      <c r="BL146" s="2" t="s">
        <v>860</v>
      </c>
      <c r="BM146" s="7">
        <v>0.0008</v>
      </c>
      <c r="BN146" s="7">
        <v>0.0008</v>
      </c>
      <c r="BO146" s="4">
        <v>1</v>
      </c>
      <c r="BP146" s="8">
        <v>76.21</v>
      </c>
      <c r="BQ146" s="4"/>
      <c r="BR146" s="8"/>
      <c r="BS146" s="7"/>
      <c r="BT146" s="7"/>
      <c r="BU146" s="2" t="s">
        <v>109</v>
      </c>
      <c r="BV146" s="2" t="s">
        <v>110</v>
      </c>
      <c r="BW146" s="2" t="s">
        <v>243</v>
      </c>
      <c r="BX146" s="2" t="s">
        <v>861</v>
      </c>
      <c r="BY146" s="2" t="s">
        <v>113</v>
      </c>
      <c r="BZ146" s="2" t="s">
        <v>100</v>
      </c>
    </row>
    <row r="147">
      <c r="A147" s="2" t="s">
        <v>862</v>
      </c>
      <c r="B147" s="2" t="s">
        <v>87</v>
      </c>
      <c r="C147" s="2" t="s">
        <v>88</v>
      </c>
      <c r="D147" s="2" t="s">
        <v>803</v>
      </c>
      <c r="E147" s="2" t="s">
        <v>804</v>
      </c>
      <c r="F147" s="2" t="s">
        <v>854</v>
      </c>
      <c r="G147" s="2" t="s">
        <v>855</v>
      </c>
      <c r="H147" s="2" t="s">
        <v>856</v>
      </c>
      <c r="I147" s="2" t="s">
        <v>857</v>
      </c>
      <c r="J147" s="2" t="s">
        <v>817</v>
      </c>
      <c r="K147" s="2" t="s">
        <v>858</v>
      </c>
      <c r="L147" s="3">
        <v>71.53</v>
      </c>
      <c r="M147" s="3">
        <v>75.11</v>
      </c>
      <c r="N147" s="3">
        <v>149.99</v>
      </c>
      <c r="O147" s="2" t="s">
        <v>97</v>
      </c>
      <c r="P147" s="2" t="s">
        <v>372</v>
      </c>
      <c r="Q147" s="2" t="s">
        <v>99</v>
      </c>
      <c r="R147" s="2" t="s">
        <v>100</v>
      </c>
      <c r="S147" s="2" t="s">
        <v>859</v>
      </c>
      <c r="T147" s="2" t="s">
        <v>100</v>
      </c>
      <c r="U147" s="2" t="s">
        <v>337</v>
      </c>
      <c r="V147" s="2" t="s">
        <v>434</v>
      </c>
      <c r="W147" s="2" t="s">
        <v>104</v>
      </c>
      <c r="X147" s="2" t="s">
        <v>105</v>
      </c>
      <c r="Y147" s="2" t="s">
        <v>240</v>
      </c>
      <c r="Z147" s="4">
        <v>577</v>
      </c>
      <c r="AA147" s="4">
        <f>=ROUNDDOWN(25.0869565217391,0)</f>
      </c>
      <c r="AB147" s="5">
        <v>23</v>
      </c>
      <c r="AC147" s="2" t="s">
        <v>100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>
        <v>6</v>
      </c>
      <c r="AQ147" s="8">
        <v>457.26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0.8571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665</v>
      </c>
      <c r="BK147" s="8">
        <v>52107.24</v>
      </c>
      <c r="BL147" s="2" t="s">
        <v>863</v>
      </c>
      <c r="BM147" s="7">
        <v>0.009</v>
      </c>
      <c r="BN147" s="7">
        <v>0.0088</v>
      </c>
      <c r="BO147" s="4">
        <v>6</v>
      </c>
      <c r="BP147" s="8">
        <v>457.26</v>
      </c>
      <c r="BQ147" s="4"/>
      <c r="BR147" s="8"/>
      <c r="BS147" s="7"/>
      <c r="BT147" s="7"/>
      <c r="BU147" s="2" t="s">
        <v>109</v>
      </c>
      <c r="BV147" s="2" t="s">
        <v>110</v>
      </c>
      <c r="BW147" s="2" t="s">
        <v>243</v>
      </c>
      <c r="BX147" s="2" t="s">
        <v>864</v>
      </c>
      <c r="BY147" s="2" t="s">
        <v>113</v>
      </c>
      <c r="BZ147" s="2" t="s">
        <v>100</v>
      </c>
    </row>
    <row r="148">
      <c r="A148" s="2" t="s">
        <v>865</v>
      </c>
      <c r="B148" s="2" t="s">
        <v>87</v>
      </c>
      <c r="C148" s="2" t="s">
        <v>88</v>
      </c>
      <c r="D148" s="2" t="s">
        <v>803</v>
      </c>
      <c r="E148" s="2" t="s">
        <v>804</v>
      </c>
      <c r="F148" s="2" t="s">
        <v>854</v>
      </c>
      <c r="G148" s="2" t="s">
        <v>855</v>
      </c>
      <c r="H148" s="2" t="s">
        <v>856</v>
      </c>
      <c r="I148" s="2" t="s">
        <v>857</v>
      </c>
      <c r="J148" s="2" t="s">
        <v>817</v>
      </c>
      <c r="K148" s="2" t="s">
        <v>469</v>
      </c>
      <c r="L148" s="3">
        <v>71.53</v>
      </c>
      <c r="M148" s="3">
        <v>75.11</v>
      </c>
      <c r="N148" s="3">
        <v>149.99</v>
      </c>
      <c r="O148" s="2" t="s">
        <v>97</v>
      </c>
      <c r="P148" s="2" t="s">
        <v>98</v>
      </c>
      <c r="Q148" s="2" t="s">
        <v>99</v>
      </c>
      <c r="R148" s="2" t="s">
        <v>100</v>
      </c>
      <c r="S148" s="2" t="s">
        <v>866</v>
      </c>
      <c r="T148" s="2" t="s">
        <v>100</v>
      </c>
      <c r="U148" s="2" t="s">
        <v>337</v>
      </c>
      <c r="V148" s="2" t="s">
        <v>434</v>
      </c>
      <c r="W148" s="2" t="s">
        <v>104</v>
      </c>
      <c r="X148" s="2" t="s">
        <v>105</v>
      </c>
      <c r="Y148" s="2" t="s">
        <v>240</v>
      </c>
      <c r="Z148" s="4">
        <v>356</v>
      </c>
      <c r="AA148" s="4">
        <f>=ROUNDDOWN(29.6666666666667,0)</f>
      </c>
      <c r="AB148" s="5">
        <v>12</v>
      </c>
      <c r="AC148" s="2" t="s">
        <v>356</v>
      </c>
      <c r="AD148" s="4">
        <v>80</v>
      </c>
      <c r="AE148" s="4">
        <v>350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>
        <v>7</v>
      </c>
      <c r="AQ148" s="8">
        <v>533.47</v>
      </c>
      <c r="AR148" s="4"/>
      <c r="AS148" s="8"/>
      <c r="AT148" s="7"/>
      <c r="AU148" s="7"/>
      <c r="AV148" s="4">
        <v>7</v>
      </c>
      <c r="AW148" s="8">
        <v>533.47</v>
      </c>
      <c r="AX148" s="4"/>
      <c r="AY148" s="8"/>
      <c r="AZ148" s="7"/>
      <c r="BA148" s="7"/>
      <c r="BB148" s="7">
        <v>1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>
        <v>0.2866</v>
      </c>
      <c r="BJ148" s="4">
        <v>320</v>
      </c>
      <c r="BK148" s="8">
        <v>24977.95</v>
      </c>
      <c r="BL148" s="2" t="s">
        <v>867</v>
      </c>
      <c r="BM148" s="7">
        <v>0.0219</v>
      </c>
      <c r="BN148" s="7">
        <v>0.0214</v>
      </c>
      <c r="BO148" s="4">
        <v>7</v>
      </c>
      <c r="BP148" s="8">
        <v>533.47</v>
      </c>
      <c r="BQ148" s="4"/>
      <c r="BR148" s="8"/>
      <c r="BS148" s="7"/>
      <c r="BT148" s="7"/>
      <c r="BU148" s="2" t="s">
        <v>109</v>
      </c>
      <c r="BV148" s="2" t="s">
        <v>110</v>
      </c>
      <c r="BW148" s="2" t="s">
        <v>868</v>
      </c>
      <c r="BX148" s="2" t="s">
        <v>869</v>
      </c>
      <c r="BY148" s="2" t="s">
        <v>113</v>
      </c>
      <c r="BZ148" s="2" t="s">
        <v>100</v>
      </c>
    </row>
    <row r="149">
      <c r="A149" s="2" t="s">
        <v>870</v>
      </c>
      <c r="B149" s="2" t="s">
        <v>87</v>
      </c>
      <c r="C149" s="2" t="s">
        <v>88</v>
      </c>
      <c r="D149" s="2" t="s">
        <v>803</v>
      </c>
      <c r="E149" s="2" t="s">
        <v>804</v>
      </c>
      <c r="F149" s="2" t="s">
        <v>854</v>
      </c>
      <c r="G149" s="2" t="s">
        <v>855</v>
      </c>
      <c r="H149" s="2" t="s">
        <v>856</v>
      </c>
      <c r="I149" s="2" t="s">
        <v>857</v>
      </c>
      <c r="J149" s="2" t="s">
        <v>714</v>
      </c>
      <c r="K149" s="2" t="s">
        <v>335</v>
      </c>
      <c r="L149" s="3">
        <v>71.53</v>
      </c>
      <c r="M149" s="3">
        <v>75.11</v>
      </c>
      <c r="N149" s="3">
        <v>149.99</v>
      </c>
      <c r="O149" s="2" t="s">
        <v>97</v>
      </c>
      <c r="P149" s="2" t="s">
        <v>98</v>
      </c>
      <c r="Q149" s="2" t="s">
        <v>99</v>
      </c>
      <c r="R149" s="2" t="s">
        <v>100</v>
      </c>
      <c r="S149" s="2" t="s">
        <v>871</v>
      </c>
      <c r="T149" s="2" t="s">
        <v>100</v>
      </c>
      <c r="U149" s="2" t="s">
        <v>337</v>
      </c>
      <c r="V149" s="2" t="s">
        <v>434</v>
      </c>
      <c r="W149" s="2" t="s">
        <v>104</v>
      </c>
      <c r="X149" s="2" t="s">
        <v>105</v>
      </c>
      <c r="Y149" s="2" t="s">
        <v>240</v>
      </c>
      <c r="Z149" s="4">
        <v>719</v>
      </c>
      <c r="AA149" s="4">
        <f>=ROUNDDOWN(34.2380952380952,0)</f>
      </c>
      <c r="AB149" s="5">
        <v>21</v>
      </c>
      <c r="AC149" s="2" t="s">
        <v>872</v>
      </c>
      <c r="AD149" s="4">
        <v>80</v>
      </c>
      <c r="AE149" s="4">
        <v>80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>
        <v>3</v>
      </c>
      <c r="AQ149" s="8">
        <v>228.63</v>
      </c>
      <c r="AR149" s="4"/>
      <c r="AS149" s="8"/>
      <c r="AT149" s="7"/>
      <c r="AU149" s="7"/>
      <c r="AV149" s="4">
        <v>6</v>
      </c>
      <c r="AW149" s="8">
        <v>457.26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0.5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0.2456</v>
      </c>
      <c r="BJ149" s="4">
        <v>535</v>
      </c>
      <c r="BK149" s="8">
        <v>43311.81</v>
      </c>
      <c r="BL149" s="2" t="s">
        <v>873</v>
      </c>
      <c r="BM149" s="7">
        <v>0.0056</v>
      </c>
      <c r="BN149" s="7">
        <v>0.0053</v>
      </c>
      <c r="BO149" s="4">
        <v>3</v>
      </c>
      <c r="BP149" s="8">
        <v>228.63</v>
      </c>
      <c r="BQ149" s="4"/>
      <c r="BR149" s="8"/>
      <c r="BS149" s="7"/>
      <c r="BT149" s="7"/>
      <c r="BU149" s="2" t="s">
        <v>109</v>
      </c>
      <c r="BV149" s="2" t="s">
        <v>110</v>
      </c>
      <c r="BW149" s="2" t="s">
        <v>243</v>
      </c>
      <c r="BX149" s="2" t="s">
        <v>874</v>
      </c>
      <c r="BY149" s="2" t="s">
        <v>113</v>
      </c>
      <c r="BZ149" s="2" t="s">
        <v>100</v>
      </c>
    </row>
    <row r="150">
      <c r="A150" s="2" t="s">
        <v>875</v>
      </c>
      <c r="B150" s="2" t="s">
        <v>87</v>
      </c>
      <c r="C150" s="2" t="s">
        <v>88</v>
      </c>
      <c r="D150" s="2" t="s">
        <v>803</v>
      </c>
      <c r="E150" s="2" t="s">
        <v>804</v>
      </c>
      <c r="F150" s="2" t="s">
        <v>854</v>
      </c>
      <c r="G150" s="2" t="s">
        <v>855</v>
      </c>
      <c r="H150" s="2" t="s">
        <v>856</v>
      </c>
      <c r="I150" s="2" t="s">
        <v>857</v>
      </c>
      <c r="J150" s="2" t="s">
        <v>817</v>
      </c>
      <c r="K150" s="2" t="s">
        <v>335</v>
      </c>
      <c r="L150" s="3">
        <v>71.53</v>
      </c>
      <c r="M150" s="3">
        <v>75.11</v>
      </c>
      <c r="N150" s="3">
        <v>149.99</v>
      </c>
      <c r="O150" s="2" t="s">
        <v>97</v>
      </c>
      <c r="P150" s="2" t="s">
        <v>98</v>
      </c>
      <c r="Q150" s="2" t="s">
        <v>99</v>
      </c>
      <c r="R150" s="2" t="s">
        <v>100</v>
      </c>
      <c r="S150" s="2" t="s">
        <v>871</v>
      </c>
      <c r="T150" s="2" t="s">
        <v>100</v>
      </c>
      <c r="U150" s="2" t="s">
        <v>337</v>
      </c>
      <c r="V150" s="2" t="s">
        <v>434</v>
      </c>
      <c r="W150" s="2" t="s">
        <v>104</v>
      </c>
      <c r="X150" s="2" t="s">
        <v>105</v>
      </c>
      <c r="Y150" s="2" t="s">
        <v>240</v>
      </c>
      <c r="Z150" s="4">
        <v>342</v>
      </c>
      <c r="AA150" s="4">
        <f>=ROUNDDOWN(26.3076923076923,0)</f>
      </c>
      <c r="AB150" s="5">
        <v>13</v>
      </c>
      <c r="AC150" s="2" t="s">
        <v>562</v>
      </c>
      <c r="AD150" s="4">
        <v>50</v>
      </c>
      <c r="AE150" s="4">
        <v>150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>
        <v>3</v>
      </c>
      <c r="AQ150" s="8">
        <v>228.63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0.5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380</v>
      </c>
      <c r="BK150" s="8">
        <v>31569.39</v>
      </c>
      <c r="BL150" s="2" t="s">
        <v>876</v>
      </c>
      <c r="BM150" s="7">
        <v>0.0079</v>
      </c>
      <c r="BN150" s="7">
        <v>0.0072</v>
      </c>
      <c r="BO150" s="4">
        <v>3</v>
      </c>
      <c r="BP150" s="8">
        <v>228.63</v>
      </c>
      <c r="BQ150" s="4"/>
      <c r="BR150" s="8"/>
      <c r="BS150" s="7"/>
      <c r="BT150" s="7"/>
      <c r="BU150" s="2" t="s">
        <v>109</v>
      </c>
      <c r="BV150" s="2" t="s">
        <v>110</v>
      </c>
      <c r="BW150" s="2" t="s">
        <v>243</v>
      </c>
      <c r="BX150" s="2" t="s">
        <v>244</v>
      </c>
      <c r="BY150" s="2" t="s">
        <v>113</v>
      </c>
      <c r="BZ150" s="2" t="s">
        <v>100</v>
      </c>
    </row>
    <row r="151">
      <c r="A151" s="2" t="s">
        <v>877</v>
      </c>
      <c r="B151" s="2" t="s">
        <v>87</v>
      </c>
      <c r="C151" s="2" t="s">
        <v>88</v>
      </c>
      <c r="D151" s="2" t="s">
        <v>803</v>
      </c>
      <c r="E151" s="2" t="s">
        <v>804</v>
      </c>
      <c r="F151" s="2" t="s">
        <v>854</v>
      </c>
      <c r="G151" s="2" t="s">
        <v>855</v>
      </c>
      <c r="H151" s="2" t="s">
        <v>856</v>
      </c>
      <c r="I151" s="2" t="s">
        <v>857</v>
      </c>
      <c r="J151" s="2" t="s">
        <v>706</v>
      </c>
      <c r="K151" s="2" t="s">
        <v>878</v>
      </c>
      <c r="L151" s="3">
        <v>62.6</v>
      </c>
      <c r="M151" s="3">
        <v>65.73</v>
      </c>
      <c r="N151" s="3">
        <v>129.99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879</v>
      </c>
      <c r="T151" s="2" t="s">
        <v>100</v>
      </c>
      <c r="U151" s="2" t="s">
        <v>337</v>
      </c>
      <c r="V151" s="2" t="s">
        <v>434</v>
      </c>
      <c r="W151" s="2" t="s">
        <v>104</v>
      </c>
      <c r="X151" s="2" t="s">
        <v>105</v>
      </c>
      <c r="Y151" s="2" t="s">
        <v>240</v>
      </c>
      <c r="Z151" s="4">
        <v>916</v>
      </c>
      <c r="AA151" s="4">
        <f>=ROUNDDOWN(43.6190476190476,0)</f>
      </c>
      <c r="AB151" s="5">
        <v>21</v>
      </c>
      <c r="AC151" s="2" t="s">
        <v>880</v>
      </c>
      <c r="AD151" s="4">
        <v>70</v>
      </c>
      <c r="AE151" s="4">
        <v>300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>
        <v>4</v>
      </c>
      <c r="AQ151" s="8">
        <v>261.28</v>
      </c>
      <c r="AR151" s="4"/>
      <c r="AS151" s="8"/>
      <c r="AT151" s="7"/>
      <c r="AU151" s="7"/>
      <c r="AV151" s="4">
        <v>5</v>
      </c>
      <c r="AW151" s="8">
        <v>337.49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0.7742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>
        <v>0.1813</v>
      </c>
      <c r="BJ151" s="4">
        <v>617</v>
      </c>
      <c r="BK151" s="8">
        <v>41750.41</v>
      </c>
      <c r="BL151" s="2" t="s">
        <v>881</v>
      </c>
      <c r="BM151" s="7">
        <v>0.0065</v>
      </c>
      <c r="BN151" s="7">
        <v>0.0063</v>
      </c>
      <c r="BO151" s="4">
        <v>4</v>
      </c>
      <c r="BP151" s="8">
        <v>261.28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243</v>
      </c>
      <c r="BX151" s="2" t="s">
        <v>312</v>
      </c>
      <c r="BY151" s="2" t="s">
        <v>113</v>
      </c>
      <c r="BZ151" s="2" t="s">
        <v>100</v>
      </c>
    </row>
    <row r="152">
      <c r="A152" s="2" t="s">
        <v>882</v>
      </c>
      <c r="B152" s="2" t="s">
        <v>87</v>
      </c>
      <c r="C152" s="2" t="s">
        <v>88</v>
      </c>
      <c r="D152" s="2" t="s">
        <v>803</v>
      </c>
      <c r="E152" s="2" t="s">
        <v>804</v>
      </c>
      <c r="F152" s="2" t="s">
        <v>854</v>
      </c>
      <c r="G152" s="2" t="s">
        <v>855</v>
      </c>
      <c r="H152" s="2" t="s">
        <v>856</v>
      </c>
      <c r="I152" s="2" t="s">
        <v>857</v>
      </c>
      <c r="J152" s="2" t="s">
        <v>714</v>
      </c>
      <c r="K152" s="2" t="s">
        <v>878</v>
      </c>
      <c r="L152" s="3">
        <v>71.53</v>
      </c>
      <c r="M152" s="3">
        <v>75.11</v>
      </c>
      <c r="N152" s="3">
        <v>149.99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879</v>
      </c>
      <c r="T152" s="2" t="s">
        <v>100</v>
      </c>
      <c r="U152" s="2" t="s">
        <v>337</v>
      </c>
      <c r="V152" s="2" t="s">
        <v>434</v>
      </c>
      <c r="W152" s="2" t="s">
        <v>104</v>
      </c>
      <c r="X152" s="2" t="s">
        <v>105</v>
      </c>
      <c r="Y152" s="2" t="s">
        <v>240</v>
      </c>
      <c r="Z152" s="4">
        <v>737</v>
      </c>
      <c r="AA152" s="4">
        <f>=ROUNDDOWN(40.9444444444444,0)</f>
      </c>
      <c r="AB152" s="5">
        <v>18</v>
      </c>
      <c r="AC152" s="2" t="s">
        <v>356</v>
      </c>
      <c r="AD152" s="4">
        <v>150</v>
      </c>
      <c r="AE152" s="4">
        <v>490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>
        <v>1</v>
      </c>
      <c r="AQ152" s="8">
        <v>76.21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0.2258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570</v>
      </c>
      <c r="BK152" s="8">
        <v>45136.98</v>
      </c>
      <c r="BL152" s="2" t="s">
        <v>883</v>
      </c>
      <c r="BM152" s="7">
        <v>0.0018</v>
      </c>
      <c r="BN152" s="7">
        <v>0.0017</v>
      </c>
      <c r="BO152" s="4">
        <v>1</v>
      </c>
      <c r="BP152" s="8">
        <v>76.21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243</v>
      </c>
      <c r="BX152" s="2" t="s">
        <v>312</v>
      </c>
      <c r="BY152" s="2" t="s">
        <v>113</v>
      </c>
      <c r="BZ152" s="2" t="s">
        <v>100</v>
      </c>
    </row>
    <row r="153">
      <c r="A153" s="2" t="s">
        <v>884</v>
      </c>
      <c r="B153" s="2" t="s">
        <v>87</v>
      </c>
      <c r="C153" s="2" t="s">
        <v>88</v>
      </c>
      <c r="D153" s="2" t="s">
        <v>803</v>
      </c>
      <c r="E153" s="2" t="s">
        <v>804</v>
      </c>
      <c r="F153" s="2" t="s">
        <v>854</v>
      </c>
      <c r="G153" s="2" t="s">
        <v>855</v>
      </c>
      <c r="H153" s="2" t="s">
        <v>856</v>
      </c>
      <c r="I153" s="2" t="s">
        <v>857</v>
      </c>
      <c r="J153" s="2" t="s">
        <v>817</v>
      </c>
      <c r="K153" s="2" t="s">
        <v>118</v>
      </c>
      <c r="L153" s="3">
        <v>71.53</v>
      </c>
      <c r="M153" s="3">
        <v>75.11</v>
      </c>
      <c r="N153" s="3">
        <v>149.99</v>
      </c>
      <c r="O153" s="2" t="s">
        <v>97</v>
      </c>
      <c r="P153" s="2" t="s">
        <v>98</v>
      </c>
      <c r="Q153" s="2" t="s">
        <v>99</v>
      </c>
      <c r="R153" s="2" t="s">
        <v>100</v>
      </c>
      <c r="S153" s="2" t="s">
        <v>885</v>
      </c>
      <c r="T153" s="2" t="s">
        <v>100</v>
      </c>
      <c r="U153" s="2" t="s">
        <v>337</v>
      </c>
      <c r="V153" s="2" t="s">
        <v>434</v>
      </c>
      <c r="W153" s="2" t="s">
        <v>104</v>
      </c>
      <c r="X153" s="2" t="s">
        <v>105</v>
      </c>
      <c r="Y153" s="2" t="s">
        <v>240</v>
      </c>
      <c r="Z153" s="4">
        <v>609</v>
      </c>
      <c r="AA153" s="4">
        <f>=ROUNDDOWN(67.6666666666667,0)</f>
      </c>
      <c r="AB153" s="5">
        <v>9</v>
      </c>
      <c r="AC153" s="2" t="s">
        <v>100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/>
      <c r="BJ153" s="4">
        <v>219</v>
      </c>
      <c r="BK153" s="8">
        <v>17956.78</v>
      </c>
      <c r="BL153" s="2" t="s">
        <v>886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97</v>
      </c>
      <c r="BW153" s="2" t="s">
        <v>868</v>
      </c>
      <c r="BX153" s="2" t="s">
        <v>887</v>
      </c>
      <c r="BY153" s="2" t="s">
        <v>113</v>
      </c>
      <c r="BZ153" s="2" t="s">
        <v>245</v>
      </c>
    </row>
    <row r="154">
      <c r="A154" s="2" t="s">
        <v>888</v>
      </c>
      <c r="B154" s="2" t="s">
        <v>87</v>
      </c>
      <c r="C154" s="2" t="s">
        <v>88</v>
      </c>
      <c r="D154" s="2" t="s">
        <v>803</v>
      </c>
      <c r="E154" s="2" t="s">
        <v>804</v>
      </c>
      <c r="F154" s="2" t="s">
        <v>854</v>
      </c>
      <c r="G154" s="2" t="s">
        <v>855</v>
      </c>
      <c r="H154" s="2" t="s">
        <v>856</v>
      </c>
      <c r="I154" s="2" t="s">
        <v>857</v>
      </c>
      <c r="J154" s="2" t="s">
        <v>706</v>
      </c>
      <c r="K154" s="2" t="s">
        <v>278</v>
      </c>
      <c r="L154" s="3">
        <v>62.6</v>
      </c>
      <c r="M154" s="3">
        <v>65.73</v>
      </c>
      <c r="N154" s="3">
        <v>129.99</v>
      </c>
      <c r="O154" s="2" t="s">
        <v>97</v>
      </c>
      <c r="P154" s="2" t="s">
        <v>98</v>
      </c>
      <c r="Q154" s="2" t="s">
        <v>99</v>
      </c>
      <c r="R154" s="2" t="s">
        <v>100</v>
      </c>
      <c r="S154" s="2" t="s">
        <v>889</v>
      </c>
      <c r="T154" s="2" t="s">
        <v>218</v>
      </c>
      <c r="U154" s="2" t="s">
        <v>337</v>
      </c>
      <c r="V154" s="2" t="s">
        <v>434</v>
      </c>
      <c r="W154" s="2" t="s">
        <v>104</v>
      </c>
      <c r="X154" s="2" t="s">
        <v>203</v>
      </c>
      <c r="Y154" s="2" t="s">
        <v>890</v>
      </c>
      <c r="Z154" s="4">
        <v>913</v>
      </c>
      <c r="AA154" s="4">
        <f>=ROUNDDOWN(38.0416666666667,0)</f>
      </c>
      <c r="AB154" s="5">
        <v>24</v>
      </c>
      <c r="AC154" s="2" t="s">
        <v>356</v>
      </c>
      <c r="AD154" s="4">
        <v>120</v>
      </c>
      <c r="AE154" s="4">
        <v>520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683</v>
      </c>
      <c r="BK154" s="8">
        <v>46818.01</v>
      </c>
      <c r="BL154" s="2" t="s">
        <v>891</v>
      </c>
      <c r="BM154" s="7"/>
      <c r="BN154" s="7"/>
      <c r="BO154" s="4"/>
      <c r="BP154" s="8"/>
      <c r="BQ154" s="4"/>
      <c r="BR154" s="8"/>
      <c r="BS154" s="7"/>
      <c r="BT154" s="7"/>
      <c r="BU154" s="2" t="s">
        <v>207</v>
      </c>
      <c r="BV154" s="2" t="s">
        <v>97</v>
      </c>
      <c r="BW154" s="2" t="s">
        <v>100</v>
      </c>
      <c r="BX154" s="2" t="s">
        <v>100</v>
      </c>
      <c r="BY154" s="2" t="s">
        <v>113</v>
      </c>
      <c r="BZ154" s="2" t="s">
        <v>100</v>
      </c>
    </row>
    <row r="155">
      <c r="A155" s="2" t="s">
        <v>892</v>
      </c>
      <c r="B155" s="2" t="s">
        <v>87</v>
      </c>
      <c r="C155" s="2" t="s">
        <v>88</v>
      </c>
      <c r="D155" s="2" t="s">
        <v>803</v>
      </c>
      <c r="E155" s="2" t="s">
        <v>804</v>
      </c>
      <c r="F155" s="2" t="s">
        <v>854</v>
      </c>
      <c r="G155" s="2" t="s">
        <v>855</v>
      </c>
      <c r="H155" s="2" t="s">
        <v>856</v>
      </c>
      <c r="I155" s="2" t="s">
        <v>857</v>
      </c>
      <c r="J155" s="2" t="s">
        <v>714</v>
      </c>
      <c r="K155" s="2" t="s">
        <v>278</v>
      </c>
      <c r="L155" s="3">
        <v>71.53</v>
      </c>
      <c r="M155" s="3">
        <v>75.11</v>
      </c>
      <c r="N155" s="3">
        <v>149.99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889</v>
      </c>
      <c r="T155" s="2" t="s">
        <v>218</v>
      </c>
      <c r="U155" s="2" t="s">
        <v>337</v>
      </c>
      <c r="V155" s="2" t="s">
        <v>434</v>
      </c>
      <c r="W155" s="2" t="s">
        <v>104</v>
      </c>
      <c r="X155" s="2" t="s">
        <v>203</v>
      </c>
      <c r="Y155" s="2" t="s">
        <v>890</v>
      </c>
      <c r="Z155" s="4">
        <v>615</v>
      </c>
      <c r="AA155" s="4">
        <f>=ROUNDDOWN(38.4375,0)</f>
      </c>
      <c r="AB155" s="5">
        <v>16</v>
      </c>
      <c r="AC155" s="2" t="s">
        <v>356</v>
      </c>
      <c r="AD155" s="4">
        <v>40</v>
      </c>
      <c r="AE155" s="4">
        <v>310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439</v>
      </c>
      <c r="BK155" s="8">
        <v>33863.94</v>
      </c>
      <c r="BL155" s="2" t="s">
        <v>893</v>
      </c>
      <c r="BM155" s="7"/>
      <c r="BN155" s="7"/>
      <c r="BO155" s="4"/>
      <c r="BP155" s="8"/>
      <c r="BQ155" s="4"/>
      <c r="BR155" s="8"/>
      <c r="BS155" s="7"/>
      <c r="BT155" s="7"/>
      <c r="BU155" s="2" t="s">
        <v>207</v>
      </c>
      <c r="BV155" s="2" t="s">
        <v>97</v>
      </c>
      <c r="BW155" s="2" t="s">
        <v>100</v>
      </c>
      <c r="BX155" s="2" t="s">
        <v>100</v>
      </c>
      <c r="BY155" s="2" t="s">
        <v>113</v>
      </c>
      <c r="BZ155" s="2" t="s">
        <v>100</v>
      </c>
    </row>
    <row r="156">
      <c r="A156" s="2" t="s">
        <v>894</v>
      </c>
      <c r="B156" s="2" t="s">
        <v>87</v>
      </c>
      <c r="C156" s="2" t="s">
        <v>88</v>
      </c>
      <c r="D156" s="2" t="s">
        <v>803</v>
      </c>
      <c r="E156" s="2" t="s">
        <v>804</v>
      </c>
      <c r="F156" s="2" t="s">
        <v>854</v>
      </c>
      <c r="G156" s="2" t="s">
        <v>855</v>
      </c>
      <c r="H156" s="2" t="s">
        <v>856</v>
      </c>
      <c r="I156" s="2" t="s">
        <v>857</v>
      </c>
      <c r="J156" s="2" t="s">
        <v>817</v>
      </c>
      <c r="K156" s="2" t="s">
        <v>278</v>
      </c>
      <c r="L156" s="3">
        <v>71.53</v>
      </c>
      <c r="M156" s="3">
        <v>75.11</v>
      </c>
      <c r="N156" s="3">
        <v>149.99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889</v>
      </c>
      <c r="T156" s="2" t="s">
        <v>218</v>
      </c>
      <c r="U156" s="2" t="s">
        <v>337</v>
      </c>
      <c r="V156" s="2" t="s">
        <v>434</v>
      </c>
      <c r="W156" s="2" t="s">
        <v>104</v>
      </c>
      <c r="X156" s="2" t="s">
        <v>203</v>
      </c>
      <c r="Y156" s="2" t="s">
        <v>890</v>
      </c>
      <c r="Z156" s="4">
        <v>365</v>
      </c>
      <c r="AA156" s="4">
        <f>=ROUNDDOWN(45.625,0)</f>
      </c>
      <c r="AB156" s="5">
        <v>8</v>
      </c>
      <c r="AC156" s="2" t="s">
        <v>356</v>
      </c>
      <c r="AD156" s="4">
        <v>30</v>
      </c>
      <c r="AE156" s="4">
        <v>160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214</v>
      </c>
      <c r="BK156" s="8">
        <v>17187.69</v>
      </c>
      <c r="BL156" s="2" t="s">
        <v>895</v>
      </c>
      <c r="BM156" s="7"/>
      <c r="BN156" s="7"/>
      <c r="BO156" s="4"/>
      <c r="BP156" s="8"/>
      <c r="BQ156" s="4"/>
      <c r="BR156" s="8"/>
      <c r="BS156" s="7"/>
      <c r="BT156" s="7"/>
      <c r="BU156" s="2" t="s">
        <v>207</v>
      </c>
      <c r="BV156" s="2" t="s">
        <v>97</v>
      </c>
      <c r="BW156" s="2" t="s">
        <v>100</v>
      </c>
      <c r="BX156" s="2" t="s">
        <v>100</v>
      </c>
      <c r="BY156" s="2" t="s">
        <v>113</v>
      </c>
      <c r="BZ156" s="2" t="s">
        <v>100</v>
      </c>
    </row>
    <row r="157">
      <c r="A157" s="2" t="s">
        <v>896</v>
      </c>
      <c r="B157" s="2" t="s">
        <v>87</v>
      </c>
      <c r="C157" s="2" t="s">
        <v>88</v>
      </c>
      <c r="D157" s="2" t="s">
        <v>803</v>
      </c>
      <c r="E157" s="2" t="s">
        <v>804</v>
      </c>
      <c r="F157" s="2" t="s">
        <v>897</v>
      </c>
      <c r="G157" s="2" t="s">
        <v>898</v>
      </c>
      <c r="H157" s="2" t="s">
        <v>899</v>
      </c>
      <c r="I157" s="2" t="s">
        <v>900</v>
      </c>
      <c r="J157" s="2" t="s">
        <v>706</v>
      </c>
      <c r="K157" s="2" t="s">
        <v>118</v>
      </c>
      <c r="L157" s="3">
        <v>56.7</v>
      </c>
      <c r="M157" s="3">
        <v>59.54</v>
      </c>
      <c r="N157" s="3">
        <v>129.99</v>
      </c>
      <c r="O157" s="2" t="s">
        <v>97</v>
      </c>
      <c r="P157" s="2" t="s">
        <v>119</v>
      </c>
      <c r="Q157" s="2" t="s">
        <v>99</v>
      </c>
      <c r="R157" s="2" t="s">
        <v>100</v>
      </c>
      <c r="S157" s="2" t="s">
        <v>901</v>
      </c>
      <c r="T157" s="2" t="s">
        <v>100</v>
      </c>
      <c r="U157" s="2" t="s">
        <v>337</v>
      </c>
      <c r="V157" s="2" t="s">
        <v>393</v>
      </c>
      <c r="W157" s="2" t="s">
        <v>309</v>
      </c>
      <c r="X157" s="2" t="s">
        <v>310</v>
      </c>
      <c r="Y157" s="2" t="s">
        <v>902</v>
      </c>
      <c r="Z157" s="4">
        <v>359</v>
      </c>
      <c r="AA157" s="4">
        <f>=ROUNDDOWN(25.6428571428571,0)</f>
      </c>
      <c r="AB157" s="5">
        <v>14</v>
      </c>
      <c r="AC157" s="2" t="s">
        <v>903</v>
      </c>
      <c r="AD157" s="4">
        <v>90</v>
      </c>
      <c r="AE157" s="4">
        <v>260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>
        <v>13</v>
      </c>
      <c r="AQ157" s="8">
        <v>849.16</v>
      </c>
      <c r="AR157" s="4"/>
      <c r="AS157" s="8"/>
      <c r="AT157" s="7"/>
      <c r="AU157" s="7"/>
      <c r="AV157" s="4">
        <v>22</v>
      </c>
      <c r="AW157" s="8">
        <v>1535.05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0.5532</v>
      </c>
      <c r="BC157" s="4">
        <v>22</v>
      </c>
      <c r="BD157" s="8">
        <v>1535.05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>
        <v>1</v>
      </c>
      <c r="BJ157" s="4">
        <v>424</v>
      </c>
      <c r="BK157" s="8">
        <v>27805.92</v>
      </c>
      <c r="BL157" s="2" t="s">
        <v>136</v>
      </c>
      <c r="BM157" s="7">
        <v>0.0307</v>
      </c>
      <c r="BN157" s="7">
        <v>0.0305</v>
      </c>
      <c r="BO157" s="4">
        <v>13</v>
      </c>
      <c r="BP157" s="8">
        <v>849.16</v>
      </c>
      <c r="BQ157" s="4"/>
      <c r="BR157" s="8"/>
      <c r="BS157" s="7"/>
      <c r="BT157" s="7"/>
      <c r="BU157" s="2" t="s">
        <v>109</v>
      </c>
      <c r="BV157" s="2" t="s">
        <v>110</v>
      </c>
      <c r="BW157" s="2" t="s">
        <v>750</v>
      </c>
      <c r="BX157" s="2" t="s">
        <v>904</v>
      </c>
      <c r="BY157" s="2" t="s">
        <v>113</v>
      </c>
      <c r="BZ157" s="2" t="s">
        <v>100</v>
      </c>
    </row>
    <row r="158">
      <c r="A158" s="2" t="s">
        <v>905</v>
      </c>
      <c r="B158" s="2" t="s">
        <v>87</v>
      </c>
      <c r="C158" s="2" t="s">
        <v>88</v>
      </c>
      <c r="D158" s="2" t="s">
        <v>803</v>
      </c>
      <c r="E158" s="2" t="s">
        <v>804</v>
      </c>
      <c r="F158" s="2" t="s">
        <v>897</v>
      </c>
      <c r="G158" s="2" t="s">
        <v>898</v>
      </c>
      <c r="H158" s="2" t="s">
        <v>899</v>
      </c>
      <c r="I158" s="2" t="s">
        <v>900</v>
      </c>
      <c r="J158" s="2" t="s">
        <v>817</v>
      </c>
      <c r="K158" s="2" t="s">
        <v>118</v>
      </c>
      <c r="L158" s="3">
        <v>66.24</v>
      </c>
      <c r="M158" s="3">
        <v>69.55</v>
      </c>
      <c r="N158" s="3">
        <v>149.99</v>
      </c>
      <c r="O158" s="2" t="s">
        <v>97</v>
      </c>
      <c r="P158" s="2" t="s">
        <v>119</v>
      </c>
      <c r="Q158" s="2" t="s">
        <v>99</v>
      </c>
      <c r="R158" s="2" t="s">
        <v>100</v>
      </c>
      <c r="S158" s="2" t="s">
        <v>901</v>
      </c>
      <c r="T158" s="2" t="s">
        <v>100</v>
      </c>
      <c r="U158" s="2" t="s">
        <v>337</v>
      </c>
      <c r="V158" s="2" t="s">
        <v>393</v>
      </c>
      <c r="W158" s="2" t="s">
        <v>309</v>
      </c>
      <c r="X158" s="2" t="s">
        <v>310</v>
      </c>
      <c r="Y158" s="2" t="s">
        <v>902</v>
      </c>
      <c r="Z158" s="4">
        <v>230</v>
      </c>
      <c r="AA158" s="4">
        <f>=ROUNDDOWN(41.0714285714286,0)</f>
      </c>
      <c r="AB158" s="5">
        <v>5.6</v>
      </c>
      <c r="AC158" s="2" t="s">
        <v>100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>
        <v>9</v>
      </c>
      <c r="AQ158" s="8">
        <v>685.89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0.4468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129</v>
      </c>
      <c r="BK158" s="8">
        <v>9650.33</v>
      </c>
      <c r="BL158" s="2" t="s">
        <v>906</v>
      </c>
      <c r="BM158" s="7">
        <v>0.0698</v>
      </c>
      <c r="BN158" s="7">
        <v>0.0711</v>
      </c>
      <c r="BO158" s="4">
        <v>9</v>
      </c>
      <c r="BP158" s="8">
        <v>685.89</v>
      </c>
      <c r="BQ158" s="4"/>
      <c r="BR158" s="8"/>
      <c r="BS158" s="7"/>
      <c r="BT158" s="7"/>
      <c r="BU158" s="2" t="s">
        <v>109</v>
      </c>
      <c r="BV158" s="2" t="s">
        <v>110</v>
      </c>
      <c r="BW158" s="2" t="s">
        <v>750</v>
      </c>
      <c r="BX158" s="2" t="s">
        <v>907</v>
      </c>
      <c r="BY158" s="2" t="s">
        <v>113</v>
      </c>
      <c r="BZ158" s="2" t="s">
        <v>100</v>
      </c>
    </row>
    <row r="159">
      <c r="A159" s="2" t="s">
        <v>908</v>
      </c>
      <c r="B159" s="2" t="s">
        <v>87</v>
      </c>
      <c r="C159" s="2" t="s">
        <v>88</v>
      </c>
      <c r="D159" s="2" t="s">
        <v>803</v>
      </c>
      <c r="E159" s="2" t="s">
        <v>804</v>
      </c>
      <c r="F159" s="2" t="s">
        <v>909</v>
      </c>
      <c r="G159" s="2" t="s">
        <v>910</v>
      </c>
      <c r="H159" s="2" t="s">
        <v>911</v>
      </c>
      <c r="I159" s="2" t="s">
        <v>912</v>
      </c>
      <c r="J159" s="2" t="s">
        <v>714</v>
      </c>
      <c r="K159" s="2" t="s">
        <v>913</v>
      </c>
      <c r="L159" s="3">
        <v>81.21</v>
      </c>
      <c r="M159" s="3">
        <v>85.27</v>
      </c>
      <c r="N159" s="3">
        <v>169.99</v>
      </c>
      <c r="O159" s="2" t="s">
        <v>97</v>
      </c>
      <c r="P159" s="2" t="s">
        <v>98</v>
      </c>
      <c r="Q159" s="2" t="s">
        <v>99</v>
      </c>
      <c r="R159" s="2" t="s">
        <v>100</v>
      </c>
      <c r="S159" s="2" t="s">
        <v>914</v>
      </c>
      <c r="T159" s="2" t="s">
        <v>100</v>
      </c>
      <c r="U159" s="2" t="s">
        <v>337</v>
      </c>
      <c r="V159" s="2" t="s">
        <v>434</v>
      </c>
      <c r="W159" s="2" t="s">
        <v>104</v>
      </c>
      <c r="X159" s="2" t="s">
        <v>105</v>
      </c>
      <c r="Y159" s="2" t="s">
        <v>240</v>
      </c>
      <c r="Z159" s="4">
        <v>1009</v>
      </c>
      <c r="AA159" s="4">
        <f>=ROUNDDOWN(42.0416666666667,0)</f>
      </c>
      <c r="AB159" s="5">
        <v>24</v>
      </c>
      <c r="AC159" s="2" t="s">
        <v>542</v>
      </c>
      <c r="AD159" s="4">
        <v>30</v>
      </c>
      <c r="AE159" s="4">
        <v>290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>
        <v>6</v>
      </c>
      <c r="AQ159" s="8">
        <v>457.26</v>
      </c>
      <c r="AR159" s="4"/>
      <c r="AS159" s="8"/>
      <c r="AT159" s="7"/>
      <c r="AU159" s="7"/>
      <c r="AV159" s="4">
        <v>9</v>
      </c>
      <c r="AW159" s="8">
        <v>685.89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0.6667</v>
      </c>
      <c r="BC159" s="4">
        <v>16</v>
      </c>
      <c r="BD159" s="8">
        <v>1219.36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0.5625</v>
      </c>
      <c r="BJ159" s="4">
        <v>601</v>
      </c>
      <c r="BK159" s="8">
        <v>48476.7</v>
      </c>
      <c r="BL159" s="2" t="s">
        <v>915</v>
      </c>
      <c r="BM159" s="7">
        <v>0.01</v>
      </c>
      <c r="BN159" s="7">
        <v>0.0094</v>
      </c>
      <c r="BO159" s="4">
        <v>6</v>
      </c>
      <c r="BP159" s="8">
        <v>457.26</v>
      </c>
      <c r="BQ159" s="4"/>
      <c r="BR159" s="8"/>
      <c r="BS159" s="7"/>
      <c r="BT159" s="7"/>
      <c r="BU159" s="2" t="s">
        <v>109</v>
      </c>
      <c r="BV159" s="2" t="s">
        <v>110</v>
      </c>
      <c r="BW159" s="2" t="s">
        <v>111</v>
      </c>
      <c r="BX159" s="2" t="s">
        <v>916</v>
      </c>
      <c r="BY159" s="2" t="s">
        <v>113</v>
      </c>
      <c r="BZ159" s="2" t="s">
        <v>100</v>
      </c>
    </row>
    <row r="160">
      <c r="A160" s="2" t="s">
        <v>917</v>
      </c>
      <c r="B160" s="2" t="s">
        <v>87</v>
      </c>
      <c r="C160" s="2" t="s">
        <v>88</v>
      </c>
      <c r="D160" s="2" t="s">
        <v>803</v>
      </c>
      <c r="E160" s="2" t="s">
        <v>804</v>
      </c>
      <c r="F160" s="2" t="s">
        <v>909</v>
      </c>
      <c r="G160" s="2" t="s">
        <v>910</v>
      </c>
      <c r="H160" s="2" t="s">
        <v>911</v>
      </c>
      <c r="I160" s="2" t="s">
        <v>912</v>
      </c>
      <c r="J160" s="2" t="s">
        <v>817</v>
      </c>
      <c r="K160" s="2" t="s">
        <v>913</v>
      </c>
      <c r="L160" s="3">
        <v>81.21</v>
      </c>
      <c r="M160" s="3">
        <v>85.27</v>
      </c>
      <c r="N160" s="3">
        <v>169.99</v>
      </c>
      <c r="O160" s="2" t="s">
        <v>97</v>
      </c>
      <c r="P160" s="2" t="s">
        <v>98</v>
      </c>
      <c r="Q160" s="2" t="s">
        <v>99</v>
      </c>
      <c r="R160" s="2" t="s">
        <v>100</v>
      </c>
      <c r="S160" s="2" t="s">
        <v>914</v>
      </c>
      <c r="T160" s="2" t="s">
        <v>100</v>
      </c>
      <c r="U160" s="2" t="s">
        <v>337</v>
      </c>
      <c r="V160" s="2" t="s">
        <v>434</v>
      </c>
      <c r="W160" s="2" t="s">
        <v>104</v>
      </c>
      <c r="X160" s="2" t="s">
        <v>105</v>
      </c>
      <c r="Y160" s="2" t="s">
        <v>918</v>
      </c>
      <c r="Z160" s="4">
        <v>219</v>
      </c>
      <c r="AA160" s="4">
        <f>=ROUNDDOWN(18.25,0)</f>
      </c>
      <c r="AB160" s="5">
        <v>12</v>
      </c>
      <c r="AC160" s="2" t="s">
        <v>542</v>
      </c>
      <c r="AD160" s="4">
        <v>170</v>
      </c>
      <c r="AE160" s="4">
        <v>380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>
        <v>3</v>
      </c>
      <c r="AQ160" s="8">
        <v>228.63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0.3333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322</v>
      </c>
      <c r="BK160" s="8">
        <v>26883.44</v>
      </c>
      <c r="BL160" s="2" t="s">
        <v>919</v>
      </c>
      <c r="BM160" s="7">
        <v>0.0093</v>
      </c>
      <c r="BN160" s="7">
        <v>0.0085</v>
      </c>
      <c r="BO160" s="4">
        <v>3</v>
      </c>
      <c r="BP160" s="8">
        <v>228.63</v>
      </c>
      <c r="BQ160" s="4"/>
      <c r="BR160" s="8"/>
      <c r="BS160" s="7"/>
      <c r="BT160" s="7"/>
      <c r="BU160" s="2" t="s">
        <v>109</v>
      </c>
      <c r="BV160" s="2" t="s">
        <v>110</v>
      </c>
      <c r="BW160" s="2" t="s">
        <v>111</v>
      </c>
      <c r="BX160" s="2" t="s">
        <v>470</v>
      </c>
      <c r="BY160" s="2" t="s">
        <v>113</v>
      </c>
      <c r="BZ160" s="2" t="s">
        <v>100</v>
      </c>
    </row>
    <row r="161">
      <c r="A161" s="2" t="s">
        <v>920</v>
      </c>
      <c r="B161" s="2" t="s">
        <v>87</v>
      </c>
      <c r="C161" s="2" t="s">
        <v>88</v>
      </c>
      <c r="D161" s="2" t="s">
        <v>803</v>
      </c>
      <c r="E161" s="2" t="s">
        <v>804</v>
      </c>
      <c r="F161" s="2" t="s">
        <v>909</v>
      </c>
      <c r="G161" s="2" t="s">
        <v>910</v>
      </c>
      <c r="H161" s="2" t="s">
        <v>911</v>
      </c>
      <c r="I161" s="2" t="s">
        <v>912</v>
      </c>
      <c r="J161" s="2" t="s">
        <v>714</v>
      </c>
      <c r="K161" s="2" t="s">
        <v>921</v>
      </c>
      <c r="L161" s="3">
        <v>81.21</v>
      </c>
      <c r="M161" s="3">
        <v>85.27</v>
      </c>
      <c r="N161" s="3">
        <v>169.99</v>
      </c>
      <c r="O161" s="2" t="s">
        <v>97</v>
      </c>
      <c r="P161" s="2" t="s">
        <v>119</v>
      </c>
      <c r="Q161" s="2" t="s">
        <v>99</v>
      </c>
      <c r="R161" s="2" t="s">
        <v>100</v>
      </c>
      <c r="S161" s="2" t="s">
        <v>922</v>
      </c>
      <c r="T161" s="2" t="s">
        <v>100</v>
      </c>
      <c r="U161" s="2" t="s">
        <v>337</v>
      </c>
      <c r="V161" s="2" t="s">
        <v>434</v>
      </c>
      <c r="W161" s="2" t="s">
        <v>104</v>
      </c>
      <c r="X161" s="2" t="s">
        <v>105</v>
      </c>
      <c r="Y161" s="2" t="s">
        <v>240</v>
      </c>
      <c r="Z161" s="4">
        <v>451</v>
      </c>
      <c r="AA161" s="4">
        <f>=ROUNDDOWN(37.5833333333333,0)</f>
      </c>
      <c r="AB161" s="5">
        <v>12</v>
      </c>
      <c r="AC161" s="2" t="s">
        <v>821</v>
      </c>
      <c r="AD161" s="4">
        <v>200</v>
      </c>
      <c r="AE161" s="4">
        <v>300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>
        <v>6</v>
      </c>
      <c r="AQ161" s="8">
        <v>457.26</v>
      </c>
      <c r="AR161" s="4"/>
      <c r="AS161" s="8"/>
      <c r="AT161" s="7"/>
      <c r="AU161" s="7"/>
      <c r="AV161" s="4">
        <v>7</v>
      </c>
      <c r="AW161" s="8">
        <v>533.47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0.8571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0.4375</v>
      </c>
      <c r="BJ161" s="4">
        <v>270</v>
      </c>
      <c r="BK161" s="8">
        <v>21438.69</v>
      </c>
      <c r="BL161" s="2" t="s">
        <v>923</v>
      </c>
      <c r="BM161" s="7">
        <v>0.0222</v>
      </c>
      <c r="BN161" s="7">
        <v>0.0213</v>
      </c>
      <c r="BO161" s="4">
        <v>6</v>
      </c>
      <c r="BP161" s="8">
        <v>457.26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243</v>
      </c>
      <c r="BX161" s="2" t="s">
        <v>244</v>
      </c>
      <c r="BY161" s="2" t="s">
        <v>113</v>
      </c>
      <c r="BZ161" s="2" t="s">
        <v>100</v>
      </c>
    </row>
    <row r="162">
      <c r="A162" s="2" t="s">
        <v>924</v>
      </c>
      <c r="B162" s="2" t="s">
        <v>87</v>
      </c>
      <c r="C162" s="2" t="s">
        <v>88</v>
      </c>
      <c r="D162" s="2" t="s">
        <v>803</v>
      </c>
      <c r="E162" s="2" t="s">
        <v>804</v>
      </c>
      <c r="F162" s="2" t="s">
        <v>909</v>
      </c>
      <c r="G162" s="2" t="s">
        <v>910</v>
      </c>
      <c r="H162" s="2" t="s">
        <v>911</v>
      </c>
      <c r="I162" s="2" t="s">
        <v>912</v>
      </c>
      <c r="J162" s="2" t="s">
        <v>817</v>
      </c>
      <c r="K162" s="2" t="s">
        <v>921</v>
      </c>
      <c r="L162" s="3">
        <v>81.21</v>
      </c>
      <c r="M162" s="3">
        <v>85.27</v>
      </c>
      <c r="N162" s="3">
        <v>169.99</v>
      </c>
      <c r="O162" s="2" t="s">
        <v>97</v>
      </c>
      <c r="P162" s="2" t="s">
        <v>119</v>
      </c>
      <c r="Q162" s="2" t="s">
        <v>99</v>
      </c>
      <c r="R162" s="2" t="s">
        <v>100</v>
      </c>
      <c r="S162" s="2" t="s">
        <v>922</v>
      </c>
      <c r="T162" s="2" t="s">
        <v>100</v>
      </c>
      <c r="U162" s="2" t="s">
        <v>337</v>
      </c>
      <c r="V162" s="2" t="s">
        <v>434</v>
      </c>
      <c r="W162" s="2" t="s">
        <v>104</v>
      </c>
      <c r="X162" s="2" t="s">
        <v>105</v>
      </c>
      <c r="Y162" s="2" t="s">
        <v>240</v>
      </c>
      <c r="Z162" s="4">
        <v>270</v>
      </c>
      <c r="AA162" s="4">
        <f>=ROUNDDOWN(45,0)</f>
      </c>
      <c r="AB162" s="5">
        <v>6</v>
      </c>
      <c r="AC162" s="2" t="s">
        <v>562</v>
      </c>
      <c r="AD162" s="4">
        <v>70</v>
      </c>
      <c r="AE162" s="4">
        <v>150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>
        <v>1</v>
      </c>
      <c r="AQ162" s="8">
        <v>76.21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0.1429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120</v>
      </c>
      <c r="BK162" s="8">
        <v>9851.63</v>
      </c>
      <c r="BL162" s="2" t="s">
        <v>925</v>
      </c>
      <c r="BM162" s="7">
        <v>0.0083</v>
      </c>
      <c r="BN162" s="7">
        <v>0.0077</v>
      </c>
      <c r="BO162" s="4">
        <v>1</v>
      </c>
      <c r="BP162" s="8">
        <v>76.21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243</v>
      </c>
      <c r="BX162" s="2" t="s">
        <v>926</v>
      </c>
      <c r="BY162" s="2" t="s">
        <v>113</v>
      </c>
      <c r="BZ162" s="2" t="s">
        <v>100</v>
      </c>
    </row>
    <row r="163">
      <c r="A163" s="2" t="s">
        <v>927</v>
      </c>
      <c r="B163" s="2" t="s">
        <v>87</v>
      </c>
      <c r="C163" s="2" t="s">
        <v>88</v>
      </c>
      <c r="D163" s="2" t="s">
        <v>803</v>
      </c>
      <c r="E163" s="2" t="s">
        <v>804</v>
      </c>
      <c r="F163" s="2" t="s">
        <v>909</v>
      </c>
      <c r="G163" s="2" t="s">
        <v>910</v>
      </c>
      <c r="H163" s="2" t="s">
        <v>911</v>
      </c>
      <c r="I163" s="2" t="s">
        <v>912</v>
      </c>
      <c r="J163" s="2" t="s">
        <v>706</v>
      </c>
      <c r="K163" s="2" t="s">
        <v>335</v>
      </c>
      <c r="L163" s="3">
        <v>69.55</v>
      </c>
      <c r="M163" s="3">
        <v>73.03</v>
      </c>
      <c r="N163" s="3">
        <v>149.99</v>
      </c>
      <c r="O163" s="2" t="s">
        <v>97</v>
      </c>
      <c r="P163" s="2" t="s">
        <v>119</v>
      </c>
      <c r="Q163" s="2" t="s">
        <v>99</v>
      </c>
      <c r="R163" s="2" t="s">
        <v>100</v>
      </c>
      <c r="S163" s="2" t="s">
        <v>928</v>
      </c>
      <c r="T163" s="2" t="s">
        <v>929</v>
      </c>
      <c r="U163" s="2" t="s">
        <v>337</v>
      </c>
      <c r="V163" s="2" t="s">
        <v>434</v>
      </c>
      <c r="W163" s="2" t="s">
        <v>104</v>
      </c>
      <c r="X163" s="2" t="s">
        <v>490</v>
      </c>
      <c r="Y163" s="2" t="s">
        <v>930</v>
      </c>
      <c r="Z163" s="4">
        <v>371</v>
      </c>
      <c r="AA163" s="4">
        <f>=ROUNDDOWN(30.9166666666667,0)</f>
      </c>
      <c r="AB163" s="5">
        <v>12</v>
      </c>
      <c r="AC163" s="2" t="s">
        <v>931</v>
      </c>
      <c r="AD163" s="4">
        <v>190</v>
      </c>
      <c r="AE163" s="4">
        <v>380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287</v>
      </c>
      <c r="BK163" s="8">
        <v>19873.08</v>
      </c>
      <c r="BL163" s="2" t="s">
        <v>932</v>
      </c>
      <c r="BM163" s="7"/>
      <c r="BN163" s="7"/>
      <c r="BO163" s="4"/>
      <c r="BP163" s="8"/>
      <c r="BQ163" s="4"/>
      <c r="BR163" s="8"/>
      <c r="BS163" s="7"/>
      <c r="BT163" s="7"/>
      <c r="BU163" s="2" t="s">
        <v>207</v>
      </c>
      <c r="BV163" s="2" t="s">
        <v>97</v>
      </c>
      <c r="BW163" s="2" t="s">
        <v>100</v>
      </c>
      <c r="BX163" s="2" t="s">
        <v>100</v>
      </c>
      <c r="BY163" s="2" t="s">
        <v>113</v>
      </c>
      <c r="BZ163" s="2" t="s">
        <v>100</v>
      </c>
    </row>
    <row r="164">
      <c r="A164" s="2" t="s">
        <v>933</v>
      </c>
      <c r="B164" s="2" t="s">
        <v>87</v>
      </c>
      <c r="C164" s="2" t="s">
        <v>88</v>
      </c>
      <c r="D164" s="2" t="s">
        <v>803</v>
      </c>
      <c r="E164" s="2" t="s">
        <v>804</v>
      </c>
      <c r="F164" s="2" t="s">
        <v>909</v>
      </c>
      <c r="G164" s="2" t="s">
        <v>910</v>
      </c>
      <c r="H164" s="2" t="s">
        <v>911</v>
      </c>
      <c r="I164" s="2" t="s">
        <v>912</v>
      </c>
      <c r="J164" s="2" t="s">
        <v>714</v>
      </c>
      <c r="K164" s="2" t="s">
        <v>335</v>
      </c>
      <c r="L164" s="3">
        <v>81.21</v>
      </c>
      <c r="M164" s="3">
        <v>85.27</v>
      </c>
      <c r="N164" s="3">
        <v>169.99</v>
      </c>
      <c r="O164" s="2" t="s">
        <v>97</v>
      </c>
      <c r="P164" s="2" t="s">
        <v>119</v>
      </c>
      <c r="Q164" s="2" t="s">
        <v>99</v>
      </c>
      <c r="R164" s="2" t="s">
        <v>100</v>
      </c>
      <c r="S164" s="2" t="s">
        <v>928</v>
      </c>
      <c r="T164" s="2" t="s">
        <v>929</v>
      </c>
      <c r="U164" s="2" t="s">
        <v>337</v>
      </c>
      <c r="V164" s="2" t="s">
        <v>434</v>
      </c>
      <c r="W164" s="2" t="s">
        <v>104</v>
      </c>
      <c r="X164" s="2" t="s">
        <v>490</v>
      </c>
      <c r="Y164" s="2" t="s">
        <v>930</v>
      </c>
      <c r="Z164" s="4">
        <v>321</v>
      </c>
      <c r="AA164" s="4">
        <f>=ROUNDDOWN(40.125,0)</f>
      </c>
      <c r="AB164" s="5">
        <v>8</v>
      </c>
      <c r="AC164" s="2" t="s">
        <v>934</v>
      </c>
      <c r="AD164" s="4">
        <v>150</v>
      </c>
      <c r="AE164" s="4">
        <v>150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178</v>
      </c>
      <c r="BK164" s="8">
        <v>14550.49</v>
      </c>
      <c r="BL164" s="2" t="s">
        <v>932</v>
      </c>
      <c r="BM164" s="7"/>
      <c r="BN164" s="7"/>
      <c r="BO164" s="4"/>
      <c r="BP164" s="8"/>
      <c r="BQ164" s="4"/>
      <c r="BR164" s="8"/>
      <c r="BS164" s="7"/>
      <c r="BT164" s="7"/>
      <c r="BU164" s="2" t="s">
        <v>207</v>
      </c>
      <c r="BV164" s="2" t="s">
        <v>97</v>
      </c>
      <c r="BW164" s="2" t="s">
        <v>100</v>
      </c>
      <c r="BX164" s="2" t="s">
        <v>100</v>
      </c>
      <c r="BY164" s="2" t="s">
        <v>113</v>
      </c>
      <c r="BZ164" s="2" t="s">
        <v>100</v>
      </c>
    </row>
    <row r="165">
      <c r="A165" s="2" t="s">
        <v>935</v>
      </c>
      <c r="B165" s="2" t="s">
        <v>87</v>
      </c>
      <c r="C165" s="2" t="s">
        <v>88</v>
      </c>
      <c r="D165" s="2" t="s">
        <v>803</v>
      </c>
      <c r="E165" s="2" t="s">
        <v>804</v>
      </c>
      <c r="F165" s="2" t="s">
        <v>909</v>
      </c>
      <c r="G165" s="2" t="s">
        <v>910</v>
      </c>
      <c r="H165" s="2" t="s">
        <v>911</v>
      </c>
      <c r="I165" s="2" t="s">
        <v>912</v>
      </c>
      <c r="J165" s="2" t="s">
        <v>817</v>
      </c>
      <c r="K165" s="2" t="s">
        <v>335</v>
      </c>
      <c r="L165" s="3">
        <v>81.21</v>
      </c>
      <c r="M165" s="3">
        <v>85.27</v>
      </c>
      <c r="N165" s="3">
        <v>169.99</v>
      </c>
      <c r="O165" s="2" t="s">
        <v>97</v>
      </c>
      <c r="P165" s="2" t="s">
        <v>119</v>
      </c>
      <c r="Q165" s="2" t="s">
        <v>99</v>
      </c>
      <c r="R165" s="2" t="s">
        <v>100</v>
      </c>
      <c r="S165" s="2" t="s">
        <v>928</v>
      </c>
      <c r="T165" s="2" t="s">
        <v>929</v>
      </c>
      <c r="U165" s="2" t="s">
        <v>337</v>
      </c>
      <c r="V165" s="2" t="s">
        <v>434</v>
      </c>
      <c r="W165" s="2" t="s">
        <v>104</v>
      </c>
      <c r="X165" s="2" t="s">
        <v>490</v>
      </c>
      <c r="Y165" s="2" t="s">
        <v>936</v>
      </c>
      <c r="Z165" s="4">
        <v>182</v>
      </c>
      <c r="AA165" s="4">
        <f>=ROUNDDOWN(36.4,0)</f>
      </c>
      <c r="AB165" s="5">
        <v>5</v>
      </c>
      <c r="AC165" s="2" t="s">
        <v>931</v>
      </c>
      <c r="AD165" s="4">
        <v>50</v>
      </c>
      <c r="AE165" s="4">
        <v>190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80</v>
      </c>
      <c r="BK165" s="8">
        <v>6608.33</v>
      </c>
      <c r="BL165" s="2" t="s">
        <v>937</v>
      </c>
      <c r="BM165" s="7"/>
      <c r="BN165" s="7"/>
      <c r="BO165" s="4"/>
      <c r="BP165" s="8"/>
      <c r="BQ165" s="4"/>
      <c r="BR165" s="8"/>
      <c r="BS165" s="7"/>
      <c r="BT165" s="7"/>
      <c r="BU165" s="2" t="s">
        <v>207</v>
      </c>
      <c r="BV165" s="2" t="s">
        <v>97</v>
      </c>
      <c r="BW165" s="2" t="s">
        <v>100</v>
      </c>
      <c r="BX165" s="2" t="s">
        <v>100</v>
      </c>
      <c r="BY165" s="2" t="s">
        <v>113</v>
      </c>
      <c r="BZ165" s="2" t="s">
        <v>100</v>
      </c>
    </row>
    <row r="166">
      <c r="A166" s="2" t="s">
        <v>938</v>
      </c>
      <c r="B166" s="2" t="s">
        <v>87</v>
      </c>
      <c r="C166" s="2" t="s">
        <v>88</v>
      </c>
      <c r="D166" s="2" t="s">
        <v>803</v>
      </c>
      <c r="E166" s="2" t="s">
        <v>804</v>
      </c>
      <c r="F166" s="2" t="s">
        <v>194</v>
      </c>
      <c r="G166" s="2" t="s">
        <v>195</v>
      </c>
      <c r="H166" s="2" t="s">
        <v>196</v>
      </c>
      <c r="I166" s="2" t="s">
        <v>939</v>
      </c>
      <c r="J166" s="2" t="s">
        <v>706</v>
      </c>
      <c r="K166" s="2" t="s">
        <v>469</v>
      </c>
      <c r="L166" s="3">
        <v>57.96</v>
      </c>
      <c r="M166" s="3">
        <v>60.86</v>
      </c>
      <c r="N166" s="3">
        <v>129.99</v>
      </c>
      <c r="O166" s="2" t="s">
        <v>97</v>
      </c>
      <c r="P166" s="2" t="s">
        <v>119</v>
      </c>
      <c r="Q166" s="2" t="s">
        <v>99</v>
      </c>
      <c r="R166" s="2" t="s">
        <v>100</v>
      </c>
      <c r="S166" s="2" t="s">
        <v>100</v>
      </c>
      <c r="T166" s="2" t="s">
        <v>100</v>
      </c>
      <c r="U166" s="2" t="s">
        <v>337</v>
      </c>
      <c r="V166" s="2" t="s">
        <v>201</v>
      </c>
      <c r="W166" s="2" t="s">
        <v>202</v>
      </c>
      <c r="X166" s="2" t="s">
        <v>203</v>
      </c>
      <c r="Y166" s="2" t="s">
        <v>940</v>
      </c>
      <c r="Z166" s="4">
        <v>746</v>
      </c>
      <c r="AA166" s="4">
        <f>=ROUNDDOWN(67.8181818181818,0)</f>
      </c>
      <c r="AB166" s="5">
        <v>11</v>
      </c>
      <c r="AC166" s="2" t="s">
        <v>542</v>
      </c>
      <c r="AD166" s="4">
        <v>90</v>
      </c>
      <c r="AE166" s="4">
        <v>90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>
        <v>4</v>
      </c>
      <c r="AQ166" s="8">
        <v>261.28</v>
      </c>
      <c r="AR166" s="4"/>
      <c r="AS166" s="8"/>
      <c r="AT166" s="7"/>
      <c r="AU166" s="7"/>
      <c r="AV166" s="4">
        <v>14</v>
      </c>
      <c r="AW166" s="8">
        <v>1023.38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0.2553</v>
      </c>
      <c r="BC166" s="4">
        <v>16</v>
      </c>
      <c r="BD166" s="8">
        <v>1175.8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0.8704</v>
      </c>
      <c r="BJ166" s="4">
        <v>341</v>
      </c>
      <c r="BK166" s="8">
        <v>22219.66</v>
      </c>
      <c r="BL166" s="2" t="s">
        <v>941</v>
      </c>
      <c r="BM166" s="7">
        <v>0.0117</v>
      </c>
      <c r="BN166" s="7">
        <v>0.0118</v>
      </c>
      <c r="BO166" s="4">
        <v>4</v>
      </c>
      <c r="BP166" s="8">
        <v>261.28</v>
      </c>
      <c r="BQ166" s="4"/>
      <c r="BR166" s="8"/>
      <c r="BS166" s="7"/>
      <c r="BT166" s="7"/>
      <c r="BU166" s="2" t="s">
        <v>109</v>
      </c>
      <c r="BV166" s="2" t="s">
        <v>110</v>
      </c>
      <c r="BW166" s="2" t="s">
        <v>471</v>
      </c>
      <c r="BX166" s="2" t="s">
        <v>942</v>
      </c>
      <c r="BY166" s="2" t="s">
        <v>113</v>
      </c>
      <c r="BZ166" s="2" t="s">
        <v>100</v>
      </c>
    </row>
    <row r="167">
      <c r="A167" s="2" t="s">
        <v>943</v>
      </c>
      <c r="B167" s="2" t="s">
        <v>87</v>
      </c>
      <c r="C167" s="2" t="s">
        <v>88</v>
      </c>
      <c r="D167" s="2" t="s">
        <v>803</v>
      </c>
      <c r="E167" s="2" t="s">
        <v>804</v>
      </c>
      <c r="F167" s="2" t="s">
        <v>194</v>
      </c>
      <c r="G167" s="2" t="s">
        <v>195</v>
      </c>
      <c r="H167" s="2" t="s">
        <v>196</v>
      </c>
      <c r="I167" s="2" t="s">
        <v>939</v>
      </c>
      <c r="J167" s="2" t="s">
        <v>714</v>
      </c>
      <c r="K167" s="2" t="s">
        <v>469</v>
      </c>
      <c r="L167" s="3">
        <v>66.24</v>
      </c>
      <c r="M167" s="3">
        <v>69.55</v>
      </c>
      <c r="N167" s="3">
        <v>149.99</v>
      </c>
      <c r="O167" s="2" t="s">
        <v>97</v>
      </c>
      <c r="P167" s="2" t="s">
        <v>119</v>
      </c>
      <c r="Q167" s="2" t="s">
        <v>99</v>
      </c>
      <c r="R167" s="2" t="s">
        <v>100</v>
      </c>
      <c r="S167" s="2" t="s">
        <v>100</v>
      </c>
      <c r="T167" s="2" t="s">
        <v>100</v>
      </c>
      <c r="U167" s="2" t="s">
        <v>337</v>
      </c>
      <c r="V167" s="2" t="s">
        <v>201</v>
      </c>
      <c r="W167" s="2" t="s">
        <v>202</v>
      </c>
      <c r="X167" s="2" t="s">
        <v>203</v>
      </c>
      <c r="Y167" s="2" t="s">
        <v>470</v>
      </c>
      <c r="Z167" s="4">
        <v>337</v>
      </c>
      <c r="AA167" s="4">
        <f>=ROUNDDOWN(56.1666666666667,0)</f>
      </c>
      <c r="AB167" s="5">
        <v>6</v>
      </c>
      <c r="AC167" s="2" t="s">
        <v>542</v>
      </c>
      <c r="AD167" s="4">
        <v>160</v>
      </c>
      <c r="AE167" s="4">
        <v>160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>
        <v>7</v>
      </c>
      <c r="AQ167" s="8">
        <v>533.47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0.5213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202</v>
      </c>
      <c r="BK167" s="8">
        <v>14979.08</v>
      </c>
      <c r="BL167" s="2" t="s">
        <v>944</v>
      </c>
      <c r="BM167" s="7">
        <v>0.0347</v>
      </c>
      <c r="BN167" s="7">
        <v>0.0356</v>
      </c>
      <c r="BO167" s="4">
        <v>7</v>
      </c>
      <c r="BP167" s="8">
        <v>533.47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471</v>
      </c>
      <c r="BX167" s="2" t="s">
        <v>945</v>
      </c>
      <c r="BY167" s="2" t="s">
        <v>113</v>
      </c>
      <c r="BZ167" s="2" t="s">
        <v>100</v>
      </c>
    </row>
    <row r="168">
      <c r="A168" s="2" t="s">
        <v>946</v>
      </c>
      <c r="B168" s="2" t="s">
        <v>87</v>
      </c>
      <c r="C168" s="2" t="s">
        <v>88</v>
      </c>
      <c r="D168" s="2" t="s">
        <v>803</v>
      </c>
      <c r="E168" s="2" t="s">
        <v>804</v>
      </c>
      <c r="F168" s="2" t="s">
        <v>194</v>
      </c>
      <c r="G168" s="2" t="s">
        <v>195</v>
      </c>
      <c r="H168" s="2" t="s">
        <v>196</v>
      </c>
      <c r="I168" s="2" t="s">
        <v>939</v>
      </c>
      <c r="J168" s="2" t="s">
        <v>817</v>
      </c>
      <c r="K168" s="2" t="s">
        <v>469</v>
      </c>
      <c r="L168" s="3">
        <v>66.24</v>
      </c>
      <c r="M168" s="3">
        <v>69.55</v>
      </c>
      <c r="N168" s="3">
        <v>149.99</v>
      </c>
      <c r="O168" s="2" t="s">
        <v>97</v>
      </c>
      <c r="P168" s="2" t="s">
        <v>119</v>
      </c>
      <c r="Q168" s="2" t="s">
        <v>99</v>
      </c>
      <c r="R168" s="2" t="s">
        <v>100</v>
      </c>
      <c r="S168" s="2" t="s">
        <v>100</v>
      </c>
      <c r="T168" s="2" t="s">
        <v>100</v>
      </c>
      <c r="U168" s="2" t="s">
        <v>337</v>
      </c>
      <c r="V168" s="2" t="s">
        <v>201</v>
      </c>
      <c r="W168" s="2" t="s">
        <v>202</v>
      </c>
      <c r="X168" s="2" t="s">
        <v>203</v>
      </c>
      <c r="Y168" s="2" t="s">
        <v>470</v>
      </c>
      <c r="Z168" s="4">
        <v>440</v>
      </c>
      <c r="AA168" s="4">
        <f>=ROUNDDOWN(146.666666666667,0)</f>
      </c>
      <c r="AB168" s="5">
        <v>3</v>
      </c>
      <c r="AC168" s="2" t="s">
        <v>356</v>
      </c>
      <c r="AD168" s="4">
        <v>60</v>
      </c>
      <c r="AE168" s="4">
        <v>60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>
        <v>3</v>
      </c>
      <c r="AQ168" s="8">
        <v>228.63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0.2234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79</v>
      </c>
      <c r="BK168" s="8">
        <v>6075.89</v>
      </c>
      <c r="BL168" s="2" t="s">
        <v>947</v>
      </c>
      <c r="BM168" s="7">
        <v>0.038</v>
      </c>
      <c r="BN168" s="7">
        <v>0.0376</v>
      </c>
      <c r="BO168" s="4">
        <v>3</v>
      </c>
      <c r="BP168" s="8">
        <v>228.63</v>
      </c>
      <c r="BQ168" s="4"/>
      <c r="BR168" s="8"/>
      <c r="BS168" s="7"/>
      <c r="BT168" s="7"/>
      <c r="BU168" s="2" t="s">
        <v>109</v>
      </c>
      <c r="BV168" s="2" t="s">
        <v>110</v>
      </c>
      <c r="BW168" s="2" t="s">
        <v>471</v>
      </c>
      <c r="BX168" s="2" t="s">
        <v>948</v>
      </c>
      <c r="BY168" s="2" t="s">
        <v>113</v>
      </c>
      <c r="BZ168" s="2" t="s">
        <v>100</v>
      </c>
    </row>
    <row r="169">
      <c r="A169" s="2" t="s">
        <v>949</v>
      </c>
      <c r="B169" s="2" t="s">
        <v>87</v>
      </c>
      <c r="C169" s="2" t="s">
        <v>88</v>
      </c>
      <c r="D169" s="2" t="s">
        <v>803</v>
      </c>
      <c r="E169" s="2" t="s">
        <v>804</v>
      </c>
      <c r="F169" s="2" t="s">
        <v>194</v>
      </c>
      <c r="G169" s="2" t="s">
        <v>195</v>
      </c>
      <c r="H169" s="2" t="s">
        <v>196</v>
      </c>
      <c r="I169" s="2" t="s">
        <v>939</v>
      </c>
      <c r="J169" s="2" t="s">
        <v>714</v>
      </c>
      <c r="K169" s="2" t="s">
        <v>198</v>
      </c>
      <c r="L169" s="3">
        <v>66.24</v>
      </c>
      <c r="M169" s="3">
        <v>69.55</v>
      </c>
      <c r="N169" s="3">
        <v>149.99</v>
      </c>
      <c r="O169" s="2" t="s">
        <v>97</v>
      </c>
      <c r="P169" s="2" t="s">
        <v>950</v>
      </c>
      <c r="Q169" s="2" t="s">
        <v>99</v>
      </c>
      <c r="R169" s="2" t="s">
        <v>100</v>
      </c>
      <c r="S169" s="2" t="s">
        <v>100</v>
      </c>
      <c r="T169" s="2" t="s">
        <v>100</v>
      </c>
      <c r="U169" s="2" t="s">
        <v>337</v>
      </c>
      <c r="V169" s="2" t="s">
        <v>201</v>
      </c>
      <c r="W169" s="2" t="s">
        <v>202</v>
      </c>
      <c r="X169" s="2" t="s">
        <v>203</v>
      </c>
      <c r="Y169" s="2" t="s">
        <v>470</v>
      </c>
      <c r="Z169" s="4">
        <v>940</v>
      </c>
      <c r="AA169" s="4">
        <f>=ROUNDDOWN(94,0)</f>
      </c>
      <c r="AB169" s="5">
        <v>10</v>
      </c>
      <c r="AC169" s="2" t="s">
        <v>205</v>
      </c>
      <c r="AD169" s="4">
        <v>350</v>
      </c>
      <c r="AE169" s="4">
        <v>350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>
        <v>2</v>
      </c>
      <c r="AQ169" s="8">
        <v>152.42</v>
      </c>
      <c r="AR169" s="4"/>
      <c r="AS169" s="8"/>
      <c r="AT169" s="7"/>
      <c r="AU169" s="7"/>
      <c r="AV169" s="4">
        <v>2</v>
      </c>
      <c r="AW169" s="8">
        <v>152.42</v>
      </c>
      <c r="AX169" s="4"/>
      <c r="AY169" s="8"/>
      <c r="AZ169" s="7"/>
      <c r="BA169" s="7"/>
      <c r="BB169" s="7">
        <v>1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0.1296</v>
      </c>
      <c r="BJ169" s="4">
        <v>372</v>
      </c>
      <c r="BK169" s="8">
        <v>27343.56</v>
      </c>
      <c r="BL169" s="2" t="s">
        <v>951</v>
      </c>
      <c r="BM169" s="7">
        <v>0.0054</v>
      </c>
      <c r="BN169" s="7">
        <v>0.0056</v>
      </c>
      <c r="BO169" s="4">
        <v>2</v>
      </c>
      <c r="BP169" s="8">
        <v>152.42</v>
      </c>
      <c r="BQ169" s="4"/>
      <c r="BR169" s="8"/>
      <c r="BS169" s="7"/>
      <c r="BT169" s="7"/>
      <c r="BU169" s="2" t="s">
        <v>109</v>
      </c>
      <c r="BV169" s="2" t="s">
        <v>110</v>
      </c>
      <c r="BW169" s="2" t="s">
        <v>471</v>
      </c>
      <c r="BX169" s="2" t="s">
        <v>952</v>
      </c>
      <c r="BY169" s="2" t="s">
        <v>113</v>
      </c>
      <c r="BZ169" s="2" t="s">
        <v>245</v>
      </c>
    </row>
    <row r="170">
      <c r="A170" s="2" t="s">
        <v>953</v>
      </c>
      <c r="B170" s="2" t="s">
        <v>87</v>
      </c>
      <c r="C170" s="2" t="s">
        <v>88</v>
      </c>
      <c r="D170" s="2" t="s">
        <v>803</v>
      </c>
      <c r="E170" s="2" t="s">
        <v>804</v>
      </c>
      <c r="F170" s="2" t="s">
        <v>194</v>
      </c>
      <c r="G170" s="2" t="s">
        <v>195</v>
      </c>
      <c r="H170" s="2" t="s">
        <v>196</v>
      </c>
      <c r="I170" s="2" t="s">
        <v>939</v>
      </c>
      <c r="J170" s="2" t="s">
        <v>706</v>
      </c>
      <c r="K170" s="2" t="s">
        <v>209</v>
      </c>
      <c r="L170" s="3">
        <v>57.96</v>
      </c>
      <c r="M170" s="3">
        <v>60.86</v>
      </c>
      <c r="N170" s="3">
        <v>129.99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210</v>
      </c>
      <c r="T170" s="2" t="s">
        <v>100</v>
      </c>
      <c r="U170" s="2" t="s">
        <v>337</v>
      </c>
      <c r="V170" s="2" t="s">
        <v>201</v>
      </c>
      <c r="W170" s="2" t="s">
        <v>202</v>
      </c>
      <c r="X170" s="2" t="s">
        <v>203</v>
      </c>
      <c r="Y170" s="2" t="s">
        <v>464</v>
      </c>
      <c r="Z170" s="4">
        <v>1757</v>
      </c>
      <c r="AA170" s="4">
        <f>=ROUNDDOWN(109.8125,0)</f>
      </c>
      <c r="AB170" s="5">
        <v>16</v>
      </c>
      <c r="AC170" s="2" t="s">
        <v>205</v>
      </c>
      <c r="AD170" s="4">
        <v>50</v>
      </c>
      <c r="AE170" s="4">
        <v>50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481</v>
      </c>
      <c r="BK170" s="8">
        <v>30454.14</v>
      </c>
      <c r="BL170" s="2" t="s">
        <v>954</v>
      </c>
      <c r="BM170" s="7"/>
      <c r="BN170" s="7"/>
      <c r="BO170" s="4"/>
      <c r="BP170" s="8"/>
      <c r="BQ170" s="4"/>
      <c r="BR170" s="8"/>
      <c r="BS170" s="7"/>
      <c r="BT170" s="7"/>
      <c r="BU170" s="2" t="s">
        <v>207</v>
      </c>
      <c r="BV170" s="2" t="s">
        <v>97</v>
      </c>
      <c r="BW170" s="2" t="s">
        <v>100</v>
      </c>
      <c r="BX170" s="2" t="s">
        <v>100</v>
      </c>
      <c r="BY170" s="2" t="s">
        <v>113</v>
      </c>
      <c r="BZ170" s="2" t="s">
        <v>100</v>
      </c>
    </row>
    <row r="171">
      <c r="A171" s="2" t="s">
        <v>955</v>
      </c>
      <c r="B171" s="2" t="s">
        <v>87</v>
      </c>
      <c r="C171" s="2" t="s">
        <v>88</v>
      </c>
      <c r="D171" s="2" t="s">
        <v>803</v>
      </c>
      <c r="E171" s="2" t="s">
        <v>804</v>
      </c>
      <c r="F171" s="2" t="s">
        <v>194</v>
      </c>
      <c r="G171" s="2" t="s">
        <v>195</v>
      </c>
      <c r="H171" s="2" t="s">
        <v>196</v>
      </c>
      <c r="I171" s="2" t="s">
        <v>939</v>
      </c>
      <c r="J171" s="2" t="s">
        <v>714</v>
      </c>
      <c r="K171" s="2" t="s">
        <v>209</v>
      </c>
      <c r="L171" s="3">
        <v>66.24</v>
      </c>
      <c r="M171" s="3">
        <v>69.55</v>
      </c>
      <c r="N171" s="3">
        <v>149.99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210</v>
      </c>
      <c r="T171" s="2" t="s">
        <v>100</v>
      </c>
      <c r="U171" s="2" t="s">
        <v>337</v>
      </c>
      <c r="V171" s="2" t="s">
        <v>201</v>
      </c>
      <c r="W171" s="2" t="s">
        <v>202</v>
      </c>
      <c r="X171" s="2" t="s">
        <v>203</v>
      </c>
      <c r="Y171" s="2" t="s">
        <v>464</v>
      </c>
      <c r="Z171" s="4">
        <v>615</v>
      </c>
      <c r="AA171" s="4">
        <f>=ROUNDDOWN(41,0)</f>
      </c>
      <c r="AB171" s="5">
        <v>15</v>
      </c>
      <c r="AC171" s="2" t="s">
        <v>205</v>
      </c>
      <c r="AD171" s="4">
        <v>500</v>
      </c>
      <c r="AE171" s="4">
        <v>500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520</v>
      </c>
      <c r="BK171" s="8">
        <v>39586.6</v>
      </c>
      <c r="BL171" s="2" t="s">
        <v>956</v>
      </c>
      <c r="BM171" s="7"/>
      <c r="BN171" s="7"/>
      <c r="BO171" s="4"/>
      <c r="BP171" s="8"/>
      <c r="BQ171" s="4"/>
      <c r="BR171" s="8"/>
      <c r="BS171" s="7"/>
      <c r="BT171" s="7"/>
      <c r="BU171" s="2" t="s">
        <v>207</v>
      </c>
      <c r="BV171" s="2" t="s">
        <v>97</v>
      </c>
      <c r="BW171" s="2" t="s">
        <v>100</v>
      </c>
      <c r="BX171" s="2" t="s">
        <v>100</v>
      </c>
      <c r="BY171" s="2" t="s">
        <v>113</v>
      </c>
      <c r="BZ171" s="2" t="s">
        <v>100</v>
      </c>
    </row>
    <row r="172">
      <c r="A172" s="2" t="s">
        <v>957</v>
      </c>
      <c r="B172" s="2" t="s">
        <v>87</v>
      </c>
      <c r="C172" s="2" t="s">
        <v>88</v>
      </c>
      <c r="D172" s="2" t="s">
        <v>803</v>
      </c>
      <c r="E172" s="2" t="s">
        <v>804</v>
      </c>
      <c r="F172" s="2" t="s">
        <v>194</v>
      </c>
      <c r="G172" s="2" t="s">
        <v>195</v>
      </c>
      <c r="H172" s="2" t="s">
        <v>196</v>
      </c>
      <c r="I172" s="2" t="s">
        <v>939</v>
      </c>
      <c r="J172" s="2" t="s">
        <v>817</v>
      </c>
      <c r="K172" s="2" t="s">
        <v>209</v>
      </c>
      <c r="L172" s="3">
        <v>66.24</v>
      </c>
      <c r="M172" s="3">
        <v>69.55</v>
      </c>
      <c r="N172" s="3">
        <v>149.99</v>
      </c>
      <c r="O172" s="2" t="s">
        <v>97</v>
      </c>
      <c r="P172" s="2" t="s">
        <v>98</v>
      </c>
      <c r="Q172" s="2" t="s">
        <v>99</v>
      </c>
      <c r="R172" s="2" t="s">
        <v>100</v>
      </c>
      <c r="S172" s="2" t="s">
        <v>210</v>
      </c>
      <c r="T172" s="2" t="s">
        <v>100</v>
      </c>
      <c r="U172" s="2" t="s">
        <v>337</v>
      </c>
      <c r="V172" s="2" t="s">
        <v>201</v>
      </c>
      <c r="W172" s="2" t="s">
        <v>202</v>
      </c>
      <c r="X172" s="2" t="s">
        <v>203</v>
      </c>
      <c r="Y172" s="2" t="s">
        <v>464</v>
      </c>
      <c r="Z172" s="4">
        <v>437</v>
      </c>
      <c r="AA172" s="4">
        <f>=ROUNDDOWN(109.25,0)</f>
      </c>
      <c r="AB172" s="5">
        <v>4</v>
      </c>
      <c r="AC172" s="2" t="s">
        <v>100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117</v>
      </c>
      <c r="BK172" s="8">
        <v>8903.47</v>
      </c>
      <c r="BL172" s="2" t="s">
        <v>958</v>
      </c>
      <c r="BM172" s="7"/>
      <c r="BN172" s="7"/>
      <c r="BO172" s="4"/>
      <c r="BP172" s="8"/>
      <c r="BQ172" s="4"/>
      <c r="BR172" s="8"/>
      <c r="BS172" s="7"/>
      <c r="BT172" s="7"/>
      <c r="BU172" s="2" t="s">
        <v>207</v>
      </c>
      <c r="BV172" s="2" t="s">
        <v>97</v>
      </c>
      <c r="BW172" s="2" t="s">
        <v>100</v>
      </c>
      <c r="BX172" s="2" t="s">
        <v>100</v>
      </c>
      <c r="BY172" s="2" t="s">
        <v>113</v>
      </c>
      <c r="BZ172" s="2" t="s">
        <v>100</v>
      </c>
    </row>
    <row r="173">
      <c r="A173" s="2" t="s">
        <v>959</v>
      </c>
      <c r="B173" s="2" t="s">
        <v>87</v>
      </c>
      <c r="C173" s="2" t="s">
        <v>88</v>
      </c>
      <c r="D173" s="2" t="s">
        <v>803</v>
      </c>
      <c r="E173" s="2" t="s">
        <v>804</v>
      </c>
      <c r="F173" s="2" t="s">
        <v>302</v>
      </c>
      <c r="G173" s="2" t="s">
        <v>303</v>
      </c>
      <c r="H173" s="2" t="s">
        <v>304</v>
      </c>
      <c r="I173" s="2" t="s">
        <v>960</v>
      </c>
      <c r="J173" s="2" t="s">
        <v>706</v>
      </c>
      <c r="K173" s="2" t="s">
        <v>198</v>
      </c>
      <c r="L173" s="3">
        <v>67.2</v>
      </c>
      <c r="M173" s="3">
        <v>70.55</v>
      </c>
      <c r="N173" s="3">
        <v>139.99</v>
      </c>
      <c r="O173" s="2" t="s">
        <v>97</v>
      </c>
      <c r="P173" s="2" t="s">
        <v>119</v>
      </c>
      <c r="Q173" s="2" t="s">
        <v>99</v>
      </c>
      <c r="R173" s="2" t="s">
        <v>100</v>
      </c>
      <c r="S173" s="2" t="s">
        <v>961</v>
      </c>
      <c r="T173" s="2" t="s">
        <v>100</v>
      </c>
      <c r="U173" s="2" t="s">
        <v>337</v>
      </c>
      <c r="V173" s="2" t="s">
        <v>103</v>
      </c>
      <c r="W173" s="2" t="s">
        <v>309</v>
      </c>
      <c r="X173" s="2" t="s">
        <v>310</v>
      </c>
      <c r="Y173" s="2" t="s">
        <v>962</v>
      </c>
      <c r="Z173" s="4">
        <v>245</v>
      </c>
      <c r="AA173" s="4">
        <f>=ROUNDDOWN(14.4117647058824,0)</f>
      </c>
      <c r="AB173" s="5">
        <v>17</v>
      </c>
      <c r="AC173" s="2" t="s">
        <v>222</v>
      </c>
      <c r="AD173" s="4">
        <v>330</v>
      </c>
      <c r="AE173" s="4">
        <v>550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>
        <v>4</v>
      </c>
      <c r="AQ173" s="8">
        <v>272.16</v>
      </c>
      <c r="AR173" s="4"/>
      <c r="AS173" s="8"/>
      <c r="AT173" s="7"/>
      <c r="AU173" s="7"/>
      <c r="AV173" s="4">
        <v>8</v>
      </c>
      <c r="AW173" s="8">
        <v>589.68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0.4615</v>
      </c>
      <c r="BC173" s="4">
        <v>13</v>
      </c>
      <c r="BD173" s="8">
        <v>986.58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0.5977</v>
      </c>
      <c r="BJ173" s="4">
        <v>421</v>
      </c>
      <c r="BK173" s="8">
        <v>27159.21</v>
      </c>
      <c r="BL173" s="2" t="s">
        <v>963</v>
      </c>
      <c r="BM173" s="7">
        <v>0.0095</v>
      </c>
      <c r="BN173" s="7">
        <v>0.01</v>
      </c>
      <c r="BO173" s="4">
        <v>4</v>
      </c>
      <c r="BP173" s="8">
        <v>272.16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964</v>
      </c>
      <c r="BX173" s="2" t="s">
        <v>965</v>
      </c>
      <c r="BY173" s="2" t="s">
        <v>113</v>
      </c>
      <c r="BZ173" s="2" t="s">
        <v>100</v>
      </c>
    </row>
    <row r="174">
      <c r="A174" s="2" t="s">
        <v>966</v>
      </c>
      <c r="B174" s="2" t="s">
        <v>87</v>
      </c>
      <c r="C174" s="2" t="s">
        <v>88</v>
      </c>
      <c r="D174" s="2" t="s">
        <v>803</v>
      </c>
      <c r="E174" s="2" t="s">
        <v>804</v>
      </c>
      <c r="F174" s="2" t="s">
        <v>302</v>
      </c>
      <c r="G174" s="2" t="s">
        <v>303</v>
      </c>
      <c r="H174" s="2" t="s">
        <v>304</v>
      </c>
      <c r="I174" s="2" t="s">
        <v>960</v>
      </c>
      <c r="J174" s="2" t="s">
        <v>714</v>
      </c>
      <c r="K174" s="2" t="s">
        <v>198</v>
      </c>
      <c r="L174" s="3">
        <v>76.8</v>
      </c>
      <c r="M174" s="3">
        <v>80.63</v>
      </c>
      <c r="N174" s="3">
        <v>159.99</v>
      </c>
      <c r="O174" s="2" t="s">
        <v>97</v>
      </c>
      <c r="P174" s="2" t="s">
        <v>119</v>
      </c>
      <c r="Q174" s="2" t="s">
        <v>99</v>
      </c>
      <c r="R174" s="2" t="s">
        <v>100</v>
      </c>
      <c r="S174" s="2" t="s">
        <v>961</v>
      </c>
      <c r="T174" s="2" t="s">
        <v>100</v>
      </c>
      <c r="U174" s="2" t="s">
        <v>337</v>
      </c>
      <c r="V174" s="2" t="s">
        <v>103</v>
      </c>
      <c r="W174" s="2" t="s">
        <v>309</v>
      </c>
      <c r="X174" s="2" t="s">
        <v>310</v>
      </c>
      <c r="Y174" s="2" t="s">
        <v>962</v>
      </c>
      <c r="Z174" s="4">
        <v>253</v>
      </c>
      <c r="AA174" s="4">
        <f>=ROUNDDOWN(13.3157894736842,0)</f>
      </c>
      <c r="AB174" s="5">
        <v>19</v>
      </c>
      <c r="AC174" s="2" t="s">
        <v>222</v>
      </c>
      <c r="AD174" s="4">
        <v>210</v>
      </c>
      <c r="AE174" s="4">
        <v>490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>
        <v>3</v>
      </c>
      <c r="AQ174" s="8">
        <v>238.14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0.4038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514</v>
      </c>
      <c r="BK174" s="8">
        <v>39001.1</v>
      </c>
      <c r="BL174" s="2" t="s">
        <v>963</v>
      </c>
      <c r="BM174" s="7">
        <v>0.0058</v>
      </c>
      <c r="BN174" s="7">
        <v>0.0061</v>
      </c>
      <c r="BO174" s="4">
        <v>3</v>
      </c>
      <c r="BP174" s="8">
        <v>238.14</v>
      </c>
      <c r="BQ174" s="4"/>
      <c r="BR174" s="8"/>
      <c r="BS174" s="7"/>
      <c r="BT174" s="7"/>
      <c r="BU174" s="2" t="s">
        <v>109</v>
      </c>
      <c r="BV174" s="2" t="s">
        <v>110</v>
      </c>
      <c r="BW174" s="2" t="s">
        <v>964</v>
      </c>
      <c r="BX174" s="2" t="s">
        <v>967</v>
      </c>
      <c r="BY174" s="2" t="s">
        <v>113</v>
      </c>
      <c r="BZ174" s="2" t="s">
        <v>100</v>
      </c>
    </row>
    <row r="175">
      <c r="A175" s="2" t="s">
        <v>968</v>
      </c>
      <c r="B175" s="2" t="s">
        <v>87</v>
      </c>
      <c r="C175" s="2" t="s">
        <v>88</v>
      </c>
      <c r="D175" s="2" t="s">
        <v>803</v>
      </c>
      <c r="E175" s="2" t="s">
        <v>804</v>
      </c>
      <c r="F175" s="2" t="s">
        <v>302</v>
      </c>
      <c r="G175" s="2" t="s">
        <v>303</v>
      </c>
      <c r="H175" s="2" t="s">
        <v>304</v>
      </c>
      <c r="I175" s="2" t="s">
        <v>960</v>
      </c>
      <c r="J175" s="2" t="s">
        <v>817</v>
      </c>
      <c r="K175" s="2" t="s">
        <v>198</v>
      </c>
      <c r="L175" s="3">
        <v>76.8</v>
      </c>
      <c r="M175" s="3">
        <v>80.63</v>
      </c>
      <c r="N175" s="3">
        <v>159.99</v>
      </c>
      <c r="O175" s="2" t="s">
        <v>97</v>
      </c>
      <c r="P175" s="2" t="s">
        <v>119</v>
      </c>
      <c r="Q175" s="2" t="s">
        <v>99</v>
      </c>
      <c r="R175" s="2" t="s">
        <v>100</v>
      </c>
      <c r="S175" s="2" t="s">
        <v>961</v>
      </c>
      <c r="T175" s="2" t="s">
        <v>100</v>
      </c>
      <c r="U175" s="2" t="s">
        <v>337</v>
      </c>
      <c r="V175" s="2" t="s">
        <v>103</v>
      </c>
      <c r="W175" s="2" t="s">
        <v>309</v>
      </c>
      <c r="X175" s="2" t="s">
        <v>310</v>
      </c>
      <c r="Y175" s="2" t="s">
        <v>962</v>
      </c>
      <c r="Z175" s="4">
        <v>148</v>
      </c>
      <c r="AA175" s="4">
        <f>=ROUNDDOWN(24.2622950819672,0)</f>
      </c>
      <c r="AB175" s="5">
        <v>6.1</v>
      </c>
      <c r="AC175" s="2" t="s">
        <v>222</v>
      </c>
      <c r="AD175" s="4">
        <v>100</v>
      </c>
      <c r="AE175" s="4">
        <v>200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>
        <v>1</v>
      </c>
      <c r="AQ175" s="8">
        <v>79.38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0.1346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174</v>
      </c>
      <c r="BK175" s="8">
        <v>13032.74</v>
      </c>
      <c r="BL175" s="2" t="s">
        <v>963</v>
      </c>
      <c r="BM175" s="7">
        <v>0.0057</v>
      </c>
      <c r="BN175" s="7">
        <v>0.0061</v>
      </c>
      <c r="BO175" s="4">
        <v>1</v>
      </c>
      <c r="BP175" s="8">
        <v>79.38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964</v>
      </c>
      <c r="BX175" s="2" t="s">
        <v>969</v>
      </c>
      <c r="BY175" s="2" t="s">
        <v>113</v>
      </c>
      <c r="BZ175" s="2" t="s">
        <v>100</v>
      </c>
    </row>
    <row r="176">
      <c r="A176" s="2" t="s">
        <v>970</v>
      </c>
      <c r="B176" s="2" t="s">
        <v>87</v>
      </c>
      <c r="C176" s="2" t="s">
        <v>88</v>
      </c>
      <c r="D176" s="2" t="s">
        <v>803</v>
      </c>
      <c r="E176" s="2" t="s">
        <v>804</v>
      </c>
      <c r="F176" s="2" t="s">
        <v>302</v>
      </c>
      <c r="G176" s="2" t="s">
        <v>303</v>
      </c>
      <c r="H176" s="2" t="s">
        <v>304</v>
      </c>
      <c r="I176" s="2" t="s">
        <v>960</v>
      </c>
      <c r="J176" s="2" t="s">
        <v>714</v>
      </c>
      <c r="K176" s="2" t="s">
        <v>306</v>
      </c>
      <c r="L176" s="3">
        <v>76.8</v>
      </c>
      <c r="M176" s="3">
        <v>80.63</v>
      </c>
      <c r="N176" s="3">
        <v>159.99</v>
      </c>
      <c r="O176" s="2" t="s">
        <v>97</v>
      </c>
      <c r="P176" s="2" t="s">
        <v>307</v>
      </c>
      <c r="Q176" s="2" t="s">
        <v>99</v>
      </c>
      <c r="R176" s="2" t="s">
        <v>100</v>
      </c>
      <c r="S176" s="2" t="s">
        <v>971</v>
      </c>
      <c r="T176" s="2" t="s">
        <v>100</v>
      </c>
      <c r="U176" s="2" t="s">
        <v>337</v>
      </c>
      <c r="V176" s="2" t="s">
        <v>103</v>
      </c>
      <c r="W176" s="2" t="s">
        <v>309</v>
      </c>
      <c r="X176" s="2" t="s">
        <v>310</v>
      </c>
      <c r="Y176" s="2" t="s">
        <v>972</v>
      </c>
      <c r="Z176" s="4">
        <v>908</v>
      </c>
      <c r="AA176" s="4">
        <f>=ROUNDDOWN(41.651376146789,0)</f>
      </c>
      <c r="AB176" s="5">
        <v>21.8</v>
      </c>
      <c r="AC176" s="2" t="s">
        <v>973</v>
      </c>
      <c r="AD176" s="4">
        <v>192</v>
      </c>
      <c r="AE176" s="4">
        <v>392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>
        <v>4</v>
      </c>
      <c r="AQ176" s="8">
        <v>317.52</v>
      </c>
      <c r="AR176" s="4"/>
      <c r="AS176" s="8"/>
      <c r="AT176" s="7"/>
      <c r="AU176" s="7"/>
      <c r="AV176" s="4">
        <v>5</v>
      </c>
      <c r="AW176" s="8">
        <v>396.9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0.8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>
        <v>0.4023</v>
      </c>
      <c r="BJ176" s="4">
        <v>779</v>
      </c>
      <c r="BK176" s="8">
        <v>58739.72</v>
      </c>
      <c r="BL176" s="2" t="s">
        <v>974</v>
      </c>
      <c r="BM176" s="7">
        <v>0.0051</v>
      </c>
      <c r="BN176" s="7">
        <v>0.0054</v>
      </c>
      <c r="BO176" s="4">
        <v>4</v>
      </c>
      <c r="BP176" s="8">
        <v>317.52</v>
      </c>
      <c r="BQ176" s="4"/>
      <c r="BR176" s="8"/>
      <c r="BS176" s="7"/>
      <c r="BT176" s="7"/>
      <c r="BU176" s="2" t="s">
        <v>109</v>
      </c>
      <c r="BV176" s="2" t="s">
        <v>110</v>
      </c>
      <c r="BW176" s="2" t="s">
        <v>137</v>
      </c>
      <c r="BX176" s="2" t="s">
        <v>975</v>
      </c>
      <c r="BY176" s="2" t="s">
        <v>113</v>
      </c>
      <c r="BZ176" s="2" t="s">
        <v>100</v>
      </c>
    </row>
    <row r="177">
      <c r="A177" s="2" t="s">
        <v>976</v>
      </c>
      <c r="B177" s="2" t="s">
        <v>87</v>
      </c>
      <c r="C177" s="2" t="s">
        <v>88</v>
      </c>
      <c r="D177" s="2" t="s">
        <v>803</v>
      </c>
      <c r="E177" s="2" t="s">
        <v>804</v>
      </c>
      <c r="F177" s="2" t="s">
        <v>302</v>
      </c>
      <c r="G177" s="2" t="s">
        <v>303</v>
      </c>
      <c r="H177" s="2" t="s">
        <v>304</v>
      </c>
      <c r="I177" s="2" t="s">
        <v>960</v>
      </c>
      <c r="J177" s="2" t="s">
        <v>817</v>
      </c>
      <c r="K177" s="2" t="s">
        <v>306</v>
      </c>
      <c r="L177" s="3">
        <v>76.8</v>
      </c>
      <c r="M177" s="3">
        <v>80.63</v>
      </c>
      <c r="N177" s="3">
        <v>159.99</v>
      </c>
      <c r="O177" s="2" t="s">
        <v>97</v>
      </c>
      <c r="P177" s="2" t="s">
        <v>307</v>
      </c>
      <c r="Q177" s="2" t="s">
        <v>99</v>
      </c>
      <c r="R177" s="2" t="s">
        <v>100</v>
      </c>
      <c r="S177" s="2" t="s">
        <v>971</v>
      </c>
      <c r="T177" s="2" t="s">
        <v>100</v>
      </c>
      <c r="U177" s="2" t="s">
        <v>337</v>
      </c>
      <c r="V177" s="2" t="s">
        <v>103</v>
      </c>
      <c r="W177" s="2" t="s">
        <v>309</v>
      </c>
      <c r="X177" s="2" t="s">
        <v>310</v>
      </c>
      <c r="Y177" s="2" t="s">
        <v>972</v>
      </c>
      <c r="Z177" s="4">
        <v>684</v>
      </c>
      <c r="AA177" s="4">
        <f>=ROUNDDOWN(48.8571428571429,0)</f>
      </c>
      <c r="AB177" s="5">
        <v>14</v>
      </c>
      <c r="AC177" s="2" t="s">
        <v>977</v>
      </c>
      <c r="AD177" s="4">
        <v>100</v>
      </c>
      <c r="AE177" s="4">
        <v>100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>
        <v>1</v>
      </c>
      <c r="AQ177" s="8">
        <v>79.38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0.2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355</v>
      </c>
      <c r="BK177" s="8">
        <v>28204.64</v>
      </c>
      <c r="BL177" s="2" t="s">
        <v>978</v>
      </c>
      <c r="BM177" s="7">
        <v>0.0028</v>
      </c>
      <c r="BN177" s="7">
        <v>0.0028</v>
      </c>
      <c r="BO177" s="4">
        <v>1</v>
      </c>
      <c r="BP177" s="8">
        <v>79.38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137</v>
      </c>
      <c r="BX177" s="2" t="s">
        <v>979</v>
      </c>
      <c r="BY177" s="2" t="s">
        <v>113</v>
      </c>
      <c r="BZ177" s="2" t="s">
        <v>100</v>
      </c>
    </row>
    <row r="178">
      <c r="A178" s="2" t="s">
        <v>980</v>
      </c>
      <c r="B178" s="2" t="s">
        <v>87</v>
      </c>
      <c r="C178" s="2" t="s">
        <v>88</v>
      </c>
      <c r="D178" s="2" t="s">
        <v>803</v>
      </c>
      <c r="E178" s="2" t="s">
        <v>804</v>
      </c>
      <c r="F178" s="2" t="s">
        <v>981</v>
      </c>
      <c r="G178" s="2" t="s">
        <v>982</v>
      </c>
      <c r="H178" s="2" t="s">
        <v>983</v>
      </c>
      <c r="I178" s="2" t="s">
        <v>984</v>
      </c>
      <c r="J178" s="2" t="s">
        <v>717</v>
      </c>
      <c r="K178" s="2" t="s">
        <v>432</v>
      </c>
      <c r="L178" s="3">
        <v>49.9</v>
      </c>
      <c r="M178" s="3">
        <v>52.4</v>
      </c>
      <c r="N178" s="3">
        <v>89.99</v>
      </c>
      <c r="O178" s="2" t="s">
        <v>97</v>
      </c>
      <c r="P178" s="2" t="s">
        <v>119</v>
      </c>
      <c r="Q178" s="2" t="s">
        <v>99</v>
      </c>
      <c r="R178" s="2" t="s">
        <v>100</v>
      </c>
      <c r="S178" s="2" t="s">
        <v>985</v>
      </c>
      <c r="T178" s="2" t="s">
        <v>100</v>
      </c>
      <c r="U178" s="2" t="s">
        <v>337</v>
      </c>
      <c r="V178" s="2" t="s">
        <v>338</v>
      </c>
      <c r="W178" s="2" t="s">
        <v>104</v>
      </c>
      <c r="X178" s="2" t="s">
        <v>561</v>
      </c>
      <c r="Y178" s="2" t="s">
        <v>986</v>
      </c>
      <c r="Z178" s="4">
        <v>320</v>
      </c>
      <c r="AA178" s="4">
        <f>=ROUNDDOWN(35.5555555555556,0)</f>
      </c>
      <c r="AB178" s="5">
        <v>9</v>
      </c>
      <c r="AC178" s="2" t="s">
        <v>356</v>
      </c>
      <c r="AD178" s="4">
        <v>70</v>
      </c>
      <c r="AE178" s="4">
        <v>110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>
        <v>2</v>
      </c>
      <c r="AQ178" s="8">
        <v>102.88</v>
      </c>
      <c r="AR178" s="4"/>
      <c r="AS178" s="8"/>
      <c r="AT178" s="7"/>
      <c r="AU178" s="7"/>
      <c r="AV178" s="4">
        <v>7</v>
      </c>
      <c r="AW178" s="8">
        <v>429.48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0.2395</v>
      </c>
      <c r="BC178" s="4">
        <v>12</v>
      </c>
      <c r="BD178" s="8">
        <v>690.76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>
        <v>0.6217</v>
      </c>
      <c r="BJ178" s="4">
        <v>225</v>
      </c>
      <c r="BK178" s="8">
        <v>12059.93</v>
      </c>
      <c r="BL178" s="2" t="s">
        <v>987</v>
      </c>
      <c r="BM178" s="7">
        <v>0.0089</v>
      </c>
      <c r="BN178" s="7">
        <v>0.0085</v>
      </c>
      <c r="BO178" s="4">
        <v>2</v>
      </c>
      <c r="BP178" s="8">
        <v>102.88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643</v>
      </c>
      <c r="BX178" s="2" t="s">
        <v>988</v>
      </c>
      <c r="BY178" s="2" t="s">
        <v>113</v>
      </c>
      <c r="BZ178" s="2" t="s">
        <v>100</v>
      </c>
    </row>
    <row r="179">
      <c r="A179" s="2" t="s">
        <v>989</v>
      </c>
      <c r="B179" s="2" t="s">
        <v>87</v>
      </c>
      <c r="C179" s="2" t="s">
        <v>88</v>
      </c>
      <c r="D179" s="2" t="s">
        <v>803</v>
      </c>
      <c r="E179" s="2" t="s">
        <v>804</v>
      </c>
      <c r="F179" s="2" t="s">
        <v>981</v>
      </c>
      <c r="G179" s="2" t="s">
        <v>982</v>
      </c>
      <c r="H179" s="2" t="s">
        <v>983</v>
      </c>
      <c r="I179" s="2" t="s">
        <v>984</v>
      </c>
      <c r="J179" s="2" t="s">
        <v>714</v>
      </c>
      <c r="K179" s="2" t="s">
        <v>432</v>
      </c>
      <c r="L179" s="3">
        <v>63.06</v>
      </c>
      <c r="M179" s="3">
        <v>66.21</v>
      </c>
      <c r="N179" s="3">
        <v>119.99</v>
      </c>
      <c r="O179" s="2" t="s">
        <v>97</v>
      </c>
      <c r="P179" s="2" t="s">
        <v>119</v>
      </c>
      <c r="Q179" s="2" t="s">
        <v>99</v>
      </c>
      <c r="R179" s="2" t="s">
        <v>100</v>
      </c>
      <c r="S179" s="2" t="s">
        <v>985</v>
      </c>
      <c r="T179" s="2" t="s">
        <v>100</v>
      </c>
      <c r="U179" s="2" t="s">
        <v>337</v>
      </c>
      <c r="V179" s="2" t="s">
        <v>338</v>
      </c>
      <c r="W179" s="2" t="s">
        <v>104</v>
      </c>
      <c r="X179" s="2" t="s">
        <v>561</v>
      </c>
      <c r="Y179" s="2" t="s">
        <v>990</v>
      </c>
      <c r="Z179" s="4">
        <v>289</v>
      </c>
      <c r="AA179" s="4">
        <f>=ROUNDDOWN(41.2857142857143,0)</f>
      </c>
      <c r="AB179" s="5">
        <v>7</v>
      </c>
      <c r="AC179" s="2" t="s">
        <v>356</v>
      </c>
      <c r="AD179" s="4">
        <v>90</v>
      </c>
      <c r="AE179" s="4">
        <v>190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5</v>
      </c>
      <c r="AQ179" s="8">
        <v>326.6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0.7605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133</v>
      </c>
      <c r="BK179" s="8">
        <v>9517.08</v>
      </c>
      <c r="BL179" s="2" t="s">
        <v>991</v>
      </c>
      <c r="BM179" s="7">
        <v>0.0376</v>
      </c>
      <c r="BN179" s="7">
        <v>0.0343</v>
      </c>
      <c r="BO179" s="4">
        <v>5</v>
      </c>
      <c r="BP179" s="8">
        <v>326.6</v>
      </c>
      <c r="BQ179" s="4"/>
      <c r="BR179" s="8"/>
      <c r="BS179" s="7"/>
      <c r="BT179" s="7"/>
      <c r="BU179" s="2" t="s">
        <v>109</v>
      </c>
      <c r="BV179" s="2" t="s">
        <v>110</v>
      </c>
      <c r="BW179" s="2" t="s">
        <v>471</v>
      </c>
      <c r="BX179" s="2" t="s">
        <v>500</v>
      </c>
      <c r="BY179" s="2" t="s">
        <v>113</v>
      </c>
      <c r="BZ179" s="2" t="s">
        <v>100</v>
      </c>
    </row>
    <row r="180">
      <c r="A180" s="2" t="s">
        <v>992</v>
      </c>
      <c r="B180" s="2" t="s">
        <v>87</v>
      </c>
      <c r="C180" s="2" t="s">
        <v>88</v>
      </c>
      <c r="D180" s="2" t="s">
        <v>803</v>
      </c>
      <c r="E180" s="2" t="s">
        <v>804</v>
      </c>
      <c r="F180" s="2" t="s">
        <v>981</v>
      </c>
      <c r="G180" s="2" t="s">
        <v>982</v>
      </c>
      <c r="H180" s="2" t="s">
        <v>983</v>
      </c>
      <c r="I180" s="2" t="s">
        <v>984</v>
      </c>
      <c r="J180" s="2" t="s">
        <v>717</v>
      </c>
      <c r="K180" s="2" t="s">
        <v>993</v>
      </c>
      <c r="L180" s="3">
        <v>49.9</v>
      </c>
      <c r="M180" s="3">
        <v>52.4</v>
      </c>
      <c r="N180" s="3">
        <v>89.99</v>
      </c>
      <c r="O180" s="2" t="s">
        <v>97</v>
      </c>
      <c r="P180" s="2" t="s">
        <v>119</v>
      </c>
      <c r="Q180" s="2" t="s">
        <v>99</v>
      </c>
      <c r="R180" s="2" t="s">
        <v>100</v>
      </c>
      <c r="S180" s="2" t="s">
        <v>994</v>
      </c>
      <c r="T180" s="2" t="s">
        <v>100</v>
      </c>
      <c r="U180" s="2" t="s">
        <v>337</v>
      </c>
      <c r="V180" s="2" t="s">
        <v>338</v>
      </c>
      <c r="W180" s="2" t="s">
        <v>104</v>
      </c>
      <c r="X180" s="2" t="s">
        <v>561</v>
      </c>
      <c r="Y180" s="2" t="s">
        <v>240</v>
      </c>
      <c r="Z180" s="4">
        <v>172</v>
      </c>
      <c r="AA180" s="4">
        <f>=ROUNDDOWN(28.6666666666667,0)</f>
      </c>
      <c r="AB180" s="5">
        <v>6</v>
      </c>
      <c r="AC180" s="2" t="s">
        <v>356</v>
      </c>
      <c r="AD180" s="4">
        <v>110</v>
      </c>
      <c r="AE180" s="4">
        <v>180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>
        <v>4</v>
      </c>
      <c r="AQ180" s="8">
        <v>195.96</v>
      </c>
      <c r="AR180" s="4"/>
      <c r="AS180" s="8"/>
      <c r="AT180" s="7"/>
      <c r="AU180" s="7"/>
      <c r="AV180" s="4">
        <v>5</v>
      </c>
      <c r="AW180" s="8">
        <v>261.28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0.75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>
        <v>0.3783</v>
      </c>
      <c r="BJ180" s="4">
        <v>91</v>
      </c>
      <c r="BK180" s="8">
        <v>4814.05</v>
      </c>
      <c r="BL180" s="2" t="s">
        <v>995</v>
      </c>
      <c r="BM180" s="7">
        <v>0.044</v>
      </c>
      <c r="BN180" s="7">
        <v>0.0407</v>
      </c>
      <c r="BO180" s="4">
        <v>4</v>
      </c>
      <c r="BP180" s="8">
        <v>195.96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243</v>
      </c>
      <c r="BX180" s="2" t="s">
        <v>244</v>
      </c>
      <c r="BY180" s="2" t="s">
        <v>113</v>
      </c>
      <c r="BZ180" s="2" t="s">
        <v>100</v>
      </c>
    </row>
    <row r="181">
      <c r="A181" s="2" t="s">
        <v>996</v>
      </c>
      <c r="B181" s="2" t="s">
        <v>87</v>
      </c>
      <c r="C181" s="2" t="s">
        <v>88</v>
      </c>
      <c r="D181" s="2" t="s">
        <v>803</v>
      </c>
      <c r="E181" s="2" t="s">
        <v>804</v>
      </c>
      <c r="F181" s="2" t="s">
        <v>981</v>
      </c>
      <c r="G181" s="2" t="s">
        <v>982</v>
      </c>
      <c r="H181" s="2" t="s">
        <v>983</v>
      </c>
      <c r="I181" s="2" t="s">
        <v>984</v>
      </c>
      <c r="J181" s="2" t="s">
        <v>817</v>
      </c>
      <c r="K181" s="2" t="s">
        <v>993</v>
      </c>
      <c r="L181" s="3">
        <v>63.06</v>
      </c>
      <c r="M181" s="3">
        <v>66.21</v>
      </c>
      <c r="N181" s="3">
        <v>119.99</v>
      </c>
      <c r="O181" s="2" t="s">
        <v>97</v>
      </c>
      <c r="P181" s="2" t="s">
        <v>119</v>
      </c>
      <c r="Q181" s="2" t="s">
        <v>99</v>
      </c>
      <c r="R181" s="2" t="s">
        <v>100</v>
      </c>
      <c r="S181" s="2" t="s">
        <v>994</v>
      </c>
      <c r="T181" s="2" t="s">
        <v>100</v>
      </c>
      <c r="U181" s="2" t="s">
        <v>337</v>
      </c>
      <c r="V181" s="2" t="s">
        <v>338</v>
      </c>
      <c r="W181" s="2" t="s">
        <v>104</v>
      </c>
      <c r="X181" s="2" t="s">
        <v>561</v>
      </c>
      <c r="Y181" s="2" t="s">
        <v>240</v>
      </c>
      <c r="Z181" s="4">
        <v>310</v>
      </c>
      <c r="AA181" s="4">
        <f>=ROUNDDOWN(44.2857142857143,0)</f>
      </c>
      <c r="AB181" s="5">
        <v>7</v>
      </c>
      <c r="AC181" s="2" t="s">
        <v>997</v>
      </c>
      <c r="AD181" s="4">
        <v>120</v>
      </c>
      <c r="AE181" s="4">
        <v>220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>
        <v>1</v>
      </c>
      <c r="AQ181" s="8">
        <v>65.32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0.25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143</v>
      </c>
      <c r="BK181" s="8">
        <v>10153.78</v>
      </c>
      <c r="BL181" s="2" t="s">
        <v>998</v>
      </c>
      <c r="BM181" s="7">
        <v>0.007</v>
      </c>
      <c r="BN181" s="7">
        <v>0.0064</v>
      </c>
      <c r="BO181" s="4">
        <v>1</v>
      </c>
      <c r="BP181" s="8">
        <v>65.32</v>
      </c>
      <c r="BQ181" s="4"/>
      <c r="BR181" s="8"/>
      <c r="BS181" s="7"/>
      <c r="BT181" s="7"/>
      <c r="BU181" s="2" t="s">
        <v>109</v>
      </c>
      <c r="BV181" s="2" t="s">
        <v>110</v>
      </c>
      <c r="BW181" s="2" t="s">
        <v>243</v>
      </c>
      <c r="BX181" s="2" t="s">
        <v>999</v>
      </c>
      <c r="BY181" s="2" t="s">
        <v>113</v>
      </c>
      <c r="BZ181" s="2" t="s">
        <v>100</v>
      </c>
    </row>
    <row r="182">
      <c r="A182" s="2" t="s">
        <v>1000</v>
      </c>
      <c r="B182" s="2" t="s">
        <v>87</v>
      </c>
      <c r="C182" s="2" t="s">
        <v>88</v>
      </c>
      <c r="D182" s="2" t="s">
        <v>803</v>
      </c>
      <c r="E182" s="2" t="s">
        <v>804</v>
      </c>
      <c r="F182" s="2" t="s">
        <v>981</v>
      </c>
      <c r="G182" s="2" t="s">
        <v>982</v>
      </c>
      <c r="H182" s="2" t="s">
        <v>983</v>
      </c>
      <c r="I182" s="2" t="s">
        <v>984</v>
      </c>
      <c r="J182" s="2" t="s">
        <v>717</v>
      </c>
      <c r="K182" s="2" t="s">
        <v>189</v>
      </c>
      <c r="L182" s="3">
        <v>49.9</v>
      </c>
      <c r="M182" s="3">
        <v>52.4</v>
      </c>
      <c r="N182" s="3">
        <v>89.99</v>
      </c>
      <c r="O182" s="2" t="s">
        <v>97</v>
      </c>
      <c r="P182" s="2" t="s">
        <v>119</v>
      </c>
      <c r="Q182" s="2" t="s">
        <v>99</v>
      </c>
      <c r="R182" s="2" t="s">
        <v>100</v>
      </c>
      <c r="S182" s="2" t="s">
        <v>1001</v>
      </c>
      <c r="T182" s="2" t="s">
        <v>100</v>
      </c>
      <c r="U182" s="2" t="s">
        <v>337</v>
      </c>
      <c r="V182" s="2" t="s">
        <v>338</v>
      </c>
      <c r="W182" s="2" t="s">
        <v>104</v>
      </c>
      <c r="X182" s="2" t="s">
        <v>561</v>
      </c>
      <c r="Y182" s="2" t="s">
        <v>240</v>
      </c>
      <c r="Z182" s="4">
        <v>324</v>
      </c>
      <c r="AA182" s="4">
        <f>=ROUNDDOWN(81,0)</f>
      </c>
      <c r="AB182" s="5">
        <v>4</v>
      </c>
      <c r="AC182" s="2" t="s">
        <v>562</v>
      </c>
      <c r="AD182" s="4">
        <v>50</v>
      </c>
      <c r="AE182" s="4">
        <v>50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79</v>
      </c>
      <c r="BK182" s="8">
        <v>4198.12</v>
      </c>
      <c r="BL182" s="2" t="s">
        <v>1002</v>
      </c>
      <c r="BM182" s="7"/>
      <c r="BN182" s="7"/>
      <c r="BO182" s="4"/>
      <c r="BP182" s="8"/>
      <c r="BQ182" s="4"/>
      <c r="BR182" s="8"/>
      <c r="BS182" s="7"/>
      <c r="BT182" s="7"/>
      <c r="BU182" s="2" t="s">
        <v>109</v>
      </c>
      <c r="BV182" s="2" t="s">
        <v>97</v>
      </c>
      <c r="BW182" s="2" t="s">
        <v>328</v>
      </c>
      <c r="BX182" s="2" t="s">
        <v>1003</v>
      </c>
      <c r="BY182" s="2" t="s">
        <v>113</v>
      </c>
      <c r="BZ182" s="2" t="s">
        <v>100</v>
      </c>
    </row>
    <row r="183">
      <c r="A183" s="2" t="s">
        <v>1004</v>
      </c>
      <c r="B183" s="2" t="s">
        <v>87</v>
      </c>
      <c r="C183" s="2" t="s">
        <v>88</v>
      </c>
      <c r="D183" s="2" t="s">
        <v>803</v>
      </c>
      <c r="E183" s="2" t="s">
        <v>804</v>
      </c>
      <c r="F183" s="2" t="s">
        <v>1005</v>
      </c>
      <c r="G183" s="2" t="s">
        <v>1006</v>
      </c>
      <c r="H183" s="2" t="s">
        <v>1007</v>
      </c>
      <c r="I183" s="2" t="s">
        <v>1008</v>
      </c>
      <c r="J183" s="2" t="s">
        <v>706</v>
      </c>
      <c r="K183" s="2" t="s">
        <v>1009</v>
      </c>
      <c r="L183" s="3">
        <v>86.29</v>
      </c>
      <c r="M183" s="3">
        <v>90.6</v>
      </c>
      <c r="N183" s="3">
        <v>179.99</v>
      </c>
      <c r="O183" s="2" t="s">
        <v>97</v>
      </c>
      <c r="P183" s="2" t="s">
        <v>372</v>
      </c>
      <c r="Q183" s="2" t="s">
        <v>99</v>
      </c>
      <c r="R183" s="2" t="s">
        <v>100</v>
      </c>
      <c r="S183" s="2" t="s">
        <v>1010</v>
      </c>
      <c r="T183" s="2" t="s">
        <v>100</v>
      </c>
      <c r="U183" s="2" t="s">
        <v>833</v>
      </c>
      <c r="V183" s="2" t="s">
        <v>489</v>
      </c>
      <c r="W183" s="2" t="s">
        <v>309</v>
      </c>
      <c r="X183" s="2" t="s">
        <v>404</v>
      </c>
      <c r="Y183" s="2" t="s">
        <v>1011</v>
      </c>
      <c r="Z183" s="4">
        <v>1120</v>
      </c>
      <c r="AA183" s="4">
        <f>=ROUNDDOWN(20.7407407407407,0)</f>
      </c>
      <c r="AB183" s="5">
        <v>54</v>
      </c>
      <c r="AC183" s="2" t="s">
        <v>1012</v>
      </c>
      <c r="AD183" s="4">
        <v>200</v>
      </c>
      <c r="AE183" s="4">
        <v>500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>
        <v>3</v>
      </c>
      <c r="AQ183" s="8">
        <v>244.95</v>
      </c>
      <c r="AR183" s="4"/>
      <c r="AS183" s="8"/>
      <c r="AT183" s="7"/>
      <c r="AU183" s="7"/>
      <c r="AV183" s="4">
        <v>3</v>
      </c>
      <c r="AW183" s="8">
        <v>244.95</v>
      </c>
      <c r="AX183" s="4"/>
      <c r="AY183" s="8"/>
      <c r="AZ183" s="7"/>
      <c r="BA183" s="7"/>
      <c r="BB183" s="7">
        <v>1</v>
      </c>
      <c r="BC183" s="4">
        <v>7</v>
      </c>
      <c r="BD183" s="8">
        <v>604.19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>
        <v>0.4054</v>
      </c>
      <c r="BJ183" s="4">
        <v>1705</v>
      </c>
      <c r="BK183" s="8">
        <v>144012.71</v>
      </c>
      <c r="BL183" s="2" t="s">
        <v>1013</v>
      </c>
      <c r="BM183" s="7">
        <v>0.0018</v>
      </c>
      <c r="BN183" s="7">
        <v>0.0017</v>
      </c>
      <c r="BO183" s="4">
        <v>3</v>
      </c>
      <c r="BP183" s="8">
        <v>244.95</v>
      </c>
      <c r="BQ183" s="4"/>
      <c r="BR183" s="8"/>
      <c r="BS183" s="7"/>
      <c r="BT183" s="7"/>
      <c r="BU183" s="2" t="s">
        <v>109</v>
      </c>
      <c r="BV183" s="2" t="s">
        <v>110</v>
      </c>
      <c r="BW183" s="2" t="s">
        <v>150</v>
      </c>
      <c r="BX183" s="2" t="s">
        <v>1014</v>
      </c>
      <c r="BY183" s="2" t="s">
        <v>113</v>
      </c>
      <c r="BZ183" s="2" t="s">
        <v>100</v>
      </c>
    </row>
    <row r="184">
      <c r="A184" s="2" t="s">
        <v>1015</v>
      </c>
      <c r="B184" s="2" t="s">
        <v>87</v>
      </c>
      <c r="C184" s="2" t="s">
        <v>88</v>
      </c>
      <c r="D184" s="2" t="s">
        <v>803</v>
      </c>
      <c r="E184" s="2" t="s">
        <v>804</v>
      </c>
      <c r="F184" s="2" t="s">
        <v>1005</v>
      </c>
      <c r="G184" s="2" t="s">
        <v>1006</v>
      </c>
      <c r="H184" s="2" t="s">
        <v>1007</v>
      </c>
      <c r="I184" s="2" t="s">
        <v>1008</v>
      </c>
      <c r="J184" s="2" t="s">
        <v>817</v>
      </c>
      <c r="K184" s="2" t="s">
        <v>1016</v>
      </c>
      <c r="L184" s="3">
        <v>98.49</v>
      </c>
      <c r="M184" s="3">
        <v>103.41</v>
      </c>
      <c r="N184" s="3">
        <v>199.99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1017</v>
      </c>
      <c r="T184" s="2" t="s">
        <v>100</v>
      </c>
      <c r="U184" s="2" t="s">
        <v>833</v>
      </c>
      <c r="V184" s="2" t="s">
        <v>489</v>
      </c>
      <c r="W184" s="2" t="s">
        <v>309</v>
      </c>
      <c r="X184" s="2" t="s">
        <v>404</v>
      </c>
      <c r="Y184" s="2" t="s">
        <v>1018</v>
      </c>
      <c r="Z184" s="4">
        <v>790</v>
      </c>
      <c r="AA184" s="4">
        <f>=ROUNDDOWN(34.3478260869565,0)</f>
      </c>
      <c r="AB184" s="5">
        <v>23</v>
      </c>
      <c r="AC184" s="2" t="s">
        <v>100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>
        <v>2</v>
      </c>
      <c r="AQ184" s="8">
        <v>185.06</v>
      </c>
      <c r="AR184" s="4"/>
      <c r="AS184" s="8"/>
      <c r="AT184" s="7"/>
      <c r="AU184" s="7"/>
      <c r="AV184" s="4">
        <v>2</v>
      </c>
      <c r="AW184" s="8">
        <v>185.06</v>
      </c>
      <c r="AX184" s="4"/>
      <c r="AY184" s="8"/>
      <c r="AZ184" s="7"/>
      <c r="BA184" s="7"/>
      <c r="BB184" s="7">
        <v>1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0.3063</v>
      </c>
      <c r="BJ184" s="4">
        <v>638</v>
      </c>
      <c r="BK184" s="8">
        <v>58629.67</v>
      </c>
      <c r="BL184" s="2" t="s">
        <v>1019</v>
      </c>
      <c r="BM184" s="7">
        <v>0.0031</v>
      </c>
      <c r="BN184" s="7">
        <v>0.0032</v>
      </c>
      <c r="BO184" s="4">
        <v>2</v>
      </c>
      <c r="BP184" s="8">
        <v>185.06</v>
      </c>
      <c r="BQ184" s="4"/>
      <c r="BR184" s="8"/>
      <c r="BS184" s="7"/>
      <c r="BT184" s="7"/>
      <c r="BU184" s="2" t="s">
        <v>109</v>
      </c>
      <c r="BV184" s="2" t="s">
        <v>110</v>
      </c>
      <c r="BW184" s="2" t="s">
        <v>1020</v>
      </c>
      <c r="BX184" s="2" t="s">
        <v>1021</v>
      </c>
      <c r="BY184" s="2" t="s">
        <v>113</v>
      </c>
      <c r="BZ184" s="2" t="s">
        <v>100</v>
      </c>
    </row>
    <row r="185">
      <c r="A185" s="2" t="s">
        <v>1022</v>
      </c>
      <c r="B185" s="2" t="s">
        <v>87</v>
      </c>
      <c r="C185" s="2" t="s">
        <v>88</v>
      </c>
      <c r="D185" s="2" t="s">
        <v>803</v>
      </c>
      <c r="E185" s="2" t="s">
        <v>804</v>
      </c>
      <c r="F185" s="2" t="s">
        <v>1005</v>
      </c>
      <c r="G185" s="2" t="s">
        <v>1006</v>
      </c>
      <c r="H185" s="2" t="s">
        <v>1007</v>
      </c>
      <c r="I185" s="2" t="s">
        <v>1008</v>
      </c>
      <c r="J185" s="2" t="s">
        <v>706</v>
      </c>
      <c r="K185" s="2" t="s">
        <v>1023</v>
      </c>
      <c r="L185" s="3">
        <v>86.29</v>
      </c>
      <c r="M185" s="3">
        <v>90.6</v>
      </c>
      <c r="N185" s="3">
        <v>179.99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1024</v>
      </c>
      <c r="T185" s="2" t="s">
        <v>100</v>
      </c>
      <c r="U185" s="2" t="s">
        <v>833</v>
      </c>
      <c r="V185" s="2" t="s">
        <v>489</v>
      </c>
      <c r="W185" s="2" t="s">
        <v>309</v>
      </c>
      <c r="X185" s="2" t="s">
        <v>404</v>
      </c>
      <c r="Y185" s="2" t="s">
        <v>1025</v>
      </c>
      <c r="Z185" s="4">
        <v>483</v>
      </c>
      <c r="AA185" s="4">
        <f>=ROUNDDOWN(21,0)</f>
      </c>
      <c r="AB185" s="5">
        <v>23</v>
      </c>
      <c r="AC185" s="2" t="s">
        <v>100</v>
      </c>
      <c r="AD185" s="4"/>
      <c r="AE185" s="4"/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>
        <v>1</v>
      </c>
      <c r="AQ185" s="8">
        <v>81.65</v>
      </c>
      <c r="AR185" s="4"/>
      <c r="AS185" s="8"/>
      <c r="AT185" s="7"/>
      <c r="AU185" s="7"/>
      <c r="AV185" s="4">
        <v>2</v>
      </c>
      <c r="AW185" s="8">
        <v>174.18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0.4688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>
        <v>0.2883</v>
      </c>
      <c r="BJ185" s="4">
        <v>848</v>
      </c>
      <c r="BK185" s="8">
        <v>71324.83</v>
      </c>
      <c r="BL185" s="2" t="s">
        <v>1026</v>
      </c>
      <c r="BM185" s="7">
        <v>0.0012</v>
      </c>
      <c r="BN185" s="7">
        <v>0.0011</v>
      </c>
      <c r="BO185" s="4">
        <v>1</v>
      </c>
      <c r="BP185" s="8">
        <v>81.65</v>
      </c>
      <c r="BQ185" s="4"/>
      <c r="BR185" s="8"/>
      <c r="BS185" s="7"/>
      <c r="BT185" s="7"/>
      <c r="BU185" s="2" t="s">
        <v>109</v>
      </c>
      <c r="BV185" s="2" t="s">
        <v>110</v>
      </c>
      <c r="BW185" s="2" t="s">
        <v>150</v>
      </c>
      <c r="BX185" s="2" t="s">
        <v>1027</v>
      </c>
      <c r="BY185" s="2" t="s">
        <v>113</v>
      </c>
      <c r="BZ185" s="2" t="s">
        <v>100</v>
      </c>
    </row>
    <row r="186">
      <c r="A186" s="2" t="s">
        <v>1028</v>
      </c>
      <c r="B186" s="2" t="s">
        <v>87</v>
      </c>
      <c r="C186" s="2" t="s">
        <v>88</v>
      </c>
      <c r="D186" s="2" t="s">
        <v>803</v>
      </c>
      <c r="E186" s="2" t="s">
        <v>804</v>
      </c>
      <c r="F186" s="2" t="s">
        <v>1005</v>
      </c>
      <c r="G186" s="2" t="s">
        <v>1006</v>
      </c>
      <c r="H186" s="2" t="s">
        <v>1007</v>
      </c>
      <c r="I186" s="2" t="s">
        <v>1008</v>
      </c>
      <c r="J186" s="2" t="s">
        <v>817</v>
      </c>
      <c r="K186" s="2" t="s">
        <v>1023</v>
      </c>
      <c r="L186" s="3">
        <v>98.49</v>
      </c>
      <c r="M186" s="3">
        <v>103.41</v>
      </c>
      <c r="N186" s="3">
        <v>199.99</v>
      </c>
      <c r="O186" s="2" t="s">
        <v>97</v>
      </c>
      <c r="P186" s="2" t="s">
        <v>98</v>
      </c>
      <c r="Q186" s="2" t="s">
        <v>99</v>
      </c>
      <c r="R186" s="2" t="s">
        <v>100</v>
      </c>
      <c r="S186" s="2" t="s">
        <v>1024</v>
      </c>
      <c r="T186" s="2" t="s">
        <v>100</v>
      </c>
      <c r="U186" s="2" t="s">
        <v>833</v>
      </c>
      <c r="V186" s="2" t="s">
        <v>489</v>
      </c>
      <c r="W186" s="2" t="s">
        <v>309</v>
      </c>
      <c r="X186" s="2" t="s">
        <v>404</v>
      </c>
      <c r="Y186" s="2" t="s">
        <v>1025</v>
      </c>
      <c r="Z186" s="4">
        <v>543</v>
      </c>
      <c r="AA186" s="4">
        <f>=ROUNDDOWN(30.1666666666667,0)</f>
      </c>
      <c r="AB186" s="5">
        <v>18</v>
      </c>
      <c r="AC186" s="2" t="s">
        <v>100</v>
      </c>
      <c r="AD186" s="4"/>
      <c r="AE186" s="4"/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>
        <v>1</v>
      </c>
      <c r="AQ186" s="8">
        <v>92.53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0.5312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515</v>
      </c>
      <c r="BK186" s="8">
        <v>49694.93</v>
      </c>
      <c r="BL186" s="2" t="s">
        <v>749</v>
      </c>
      <c r="BM186" s="7">
        <v>0.0019</v>
      </c>
      <c r="BN186" s="7">
        <v>0.0019</v>
      </c>
      <c r="BO186" s="4">
        <v>1</v>
      </c>
      <c r="BP186" s="8">
        <v>92.53</v>
      </c>
      <c r="BQ186" s="4"/>
      <c r="BR186" s="8"/>
      <c r="BS186" s="7"/>
      <c r="BT186" s="7"/>
      <c r="BU186" s="2" t="s">
        <v>109</v>
      </c>
      <c r="BV186" s="2" t="s">
        <v>110</v>
      </c>
      <c r="BW186" s="2" t="s">
        <v>150</v>
      </c>
      <c r="BX186" s="2" t="s">
        <v>1029</v>
      </c>
      <c r="BY186" s="2" t="s">
        <v>113</v>
      </c>
      <c r="BZ186" s="2" t="s">
        <v>100</v>
      </c>
    </row>
    <row r="187">
      <c r="A187" s="2" t="s">
        <v>1030</v>
      </c>
      <c r="B187" s="2" t="s">
        <v>87</v>
      </c>
      <c r="C187" s="2" t="s">
        <v>88</v>
      </c>
      <c r="D187" s="2" t="s">
        <v>803</v>
      </c>
      <c r="E187" s="2" t="s">
        <v>804</v>
      </c>
      <c r="F187" s="2" t="s">
        <v>1005</v>
      </c>
      <c r="G187" s="2" t="s">
        <v>1006</v>
      </c>
      <c r="H187" s="2" t="s">
        <v>1031</v>
      </c>
      <c r="I187" s="2" t="s">
        <v>1008</v>
      </c>
      <c r="J187" s="2" t="s">
        <v>706</v>
      </c>
      <c r="K187" s="2" t="s">
        <v>1032</v>
      </c>
      <c r="L187" s="3">
        <v>86.29</v>
      </c>
      <c r="M187" s="3">
        <v>90.6</v>
      </c>
      <c r="N187" s="3">
        <v>179.99</v>
      </c>
      <c r="O187" s="2" t="s">
        <v>97</v>
      </c>
      <c r="P187" s="2" t="s">
        <v>98</v>
      </c>
      <c r="Q187" s="2" t="s">
        <v>99</v>
      </c>
      <c r="R187" s="2" t="s">
        <v>100</v>
      </c>
      <c r="S187" s="2" t="s">
        <v>1033</v>
      </c>
      <c r="T187" s="2" t="s">
        <v>100</v>
      </c>
      <c r="U187" s="2" t="s">
        <v>833</v>
      </c>
      <c r="V187" s="2" t="s">
        <v>489</v>
      </c>
      <c r="W187" s="2" t="s">
        <v>309</v>
      </c>
      <c r="X187" s="2" t="s">
        <v>404</v>
      </c>
      <c r="Y187" s="2" t="s">
        <v>1034</v>
      </c>
      <c r="Z187" s="4">
        <v>756</v>
      </c>
      <c r="AA187" s="4">
        <f>=ROUNDDOWN(42,0)</f>
      </c>
      <c r="AB187" s="5">
        <v>18</v>
      </c>
      <c r="AC187" s="2" t="s">
        <v>1035</v>
      </c>
      <c r="AD187" s="4">
        <v>100</v>
      </c>
      <c r="AE187" s="4">
        <v>100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409</v>
      </c>
      <c r="BK187" s="8">
        <v>34548.03</v>
      </c>
      <c r="BL187" s="2" t="s">
        <v>763</v>
      </c>
      <c r="BM187" s="7"/>
      <c r="BN187" s="7"/>
      <c r="BO187" s="4"/>
      <c r="BP187" s="8"/>
      <c r="BQ187" s="4"/>
      <c r="BR187" s="8"/>
      <c r="BS187" s="7"/>
      <c r="BT187" s="7"/>
      <c r="BU187" s="2" t="s">
        <v>207</v>
      </c>
      <c r="BV187" s="2" t="s">
        <v>97</v>
      </c>
      <c r="BW187" s="2" t="s">
        <v>100</v>
      </c>
      <c r="BX187" s="2" t="s">
        <v>100</v>
      </c>
      <c r="BY187" s="2" t="s">
        <v>113</v>
      </c>
      <c r="BZ187" s="2" t="s">
        <v>245</v>
      </c>
    </row>
    <row r="188">
      <c r="A188" s="2" t="s">
        <v>1036</v>
      </c>
      <c r="B188" s="2" t="s">
        <v>87</v>
      </c>
      <c r="C188" s="2" t="s">
        <v>88</v>
      </c>
      <c r="D188" s="2" t="s">
        <v>803</v>
      </c>
      <c r="E188" s="2" t="s">
        <v>804</v>
      </c>
      <c r="F188" s="2" t="s">
        <v>1005</v>
      </c>
      <c r="G188" s="2" t="s">
        <v>1006</v>
      </c>
      <c r="H188" s="2" t="s">
        <v>1031</v>
      </c>
      <c r="I188" s="2" t="s">
        <v>1008</v>
      </c>
      <c r="J188" s="2" t="s">
        <v>714</v>
      </c>
      <c r="K188" s="2" t="s">
        <v>1032</v>
      </c>
      <c r="L188" s="3">
        <v>98.49</v>
      </c>
      <c r="M188" s="3">
        <v>103.41</v>
      </c>
      <c r="N188" s="3">
        <v>199.99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1033</v>
      </c>
      <c r="T188" s="2" t="s">
        <v>100</v>
      </c>
      <c r="U188" s="2" t="s">
        <v>833</v>
      </c>
      <c r="V188" s="2" t="s">
        <v>489</v>
      </c>
      <c r="W188" s="2" t="s">
        <v>309</v>
      </c>
      <c r="X188" s="2" t="s">
        <v>404</v>
      </c>
      <c r="Y188" s="2" t="s">
        <v>1034</v>
      </c>
      <c r="Z188" s="4">
        <v>527</v>
      </c>
      <c r="AA188" s="4">
        <f>=ROUNDDOWN(26.35,0)</f>
      </c>
      <c r="AB188" s="5">
        <v>20</v>
      </c>
      <c r="AC188" s="2" t="s">
        <v>205</v>
      </c>
      <c r="AD188" s="4">
        <v>240</v>
      </c>
      <c r="AE188" s="4">
        <v>440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469</v>
      </c>
      <c r="BK188" s="8">
        <v>47778.88</v>
      </c>
      <c r="BL188" s="2" t="s">
        <v>1037</v>
      </c>
      <c r="BM188" s="7"/>
      <c r="BN188" s="7"/>
      <c r="BO188" s="4"/>
      <c r="BP188" s="8"/>
      <c r="BQ188" s="4"/>
      <c r="BR188" s="8"/>
      <c r="BS188" s="7"/>
      <c r="BT188" s="7"/>
      <c r="BU188" s="2" t="s">
        <v>207</v>
      </c>
      <c r="BV188" s="2" t="s">
        <v>97</v>
      </c>
      <c r="BW188" s="2" t="s">
        <v>100</v>
      </c>
      <c r="BX188" s="2" t="s">
        <v>100</v>
      </c>
      <c r="BY188" s="2" t="s">
        <v>113</v>
      </c>
      <c r="BZ188" s="2" t="s">
        <v>100</v>
      </c>
    </row>
    <row r="189">
      <c r="A189" s="2" t="s">
        <v>1038</v>
      </c>
      <c r="B189" s="2" t="s">
        <v>87</v>
      </c>
      <c r="C189" s="2" t="s">
        <v>88</v>
      </c>
      <c r="D189" s="2" t="s">
        <v>803</v>
      </c>
      <c r="E189" s="2" t="s">
        <v>804</v>
      </c>
      <c r="F189" s="2" t="s">
        <v>1005</v>
      </c>
      <c r="G189" s="2" t="s">
        <v>1006</v>
      </c>
      <c r="H189" s="2" t="s">
        <v>1031</v>
      </c>
      <c r="I189" s="2" t="s">
        <v>1008</v>
      </c>
      <c r="J189" s="2" t="s">
        <v>817</v>
      </c>
      <c r="K189" s="2" t="s">
        <v>1032</v>
      </c>
      <c r="L189" s="3">
        <v>98.49</v>
      </c>
      <c r="M189" s="3">
        <v>103.41</v>
      </c>
      <c r="N189" s="3">
        <v>199.99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1033</v>
      </c>
      <c r="T189" s="2" t="s">
        <v>100</v>
      </c>
      <c r="U189" s="2" t="s">
        <v>833</v>
      </c>
      <c r="V189" s="2" t="s">
        <v>489</v>
      </c>
      <c r="W189" s="2" t="s">
        <v>309</v>
      </c>
      <c r="X189" s="2" t="s">
        <v>404</v>
      </c>
      <c r="Y189" s="2" t="s">
        <v>1034</v>
      </c>
      <c r="Z189" s="4">
        <v>405</v>
      </c>
      <c r="AA189" s="4">
        <f>=ROUNDDOWN(45,0)</f>
      </c>
      <c r="AB189" s="5">
        <v>9</v>
      </c>
      <c r="AC189" s="2" t="s">
        <v>931</v>
      </c>
      <c r="AD189" s="4">
        <v>60</v>
      </c>
      <c r="AE189" s="4">
        <v>60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218</v>
      </c>
      <c r="BK189" s="8">
        <v>21356.94</v>
      </c>
      <c r="BL189" s="2" t="s">
        <v>757</v>
      </c>
      <c r="BM189" s="7"/>
      <c r="BN189" s="7"/>
      <c r="BO189" s="4"/>
      <c r="BP189" s="8"/>
      <c r="BQ189" s="4"/>
      <c r="BR189" s="8"/>
      <c r="BS189" s="7"/>
      <c r="BT189" s="7"/>
      <c r="BU189" s="2" t="s">
        <v>207</v>
      </c>
      <c r="BV189" s="2" t="s">
        <v>97</v>
      </c>
      <c r="BW189" s="2" t="s">
        <v>100</v>
      </c>
      <c r="BX189" s="2" t="s">
        <v>100</v>
      </c>
      <c r="BY189" s="2" t="s">
        <v>113</v>
      </c>
      <c r="BZ189" s="2" t="s">
        <v>100</v>
      </c>
    </row>
    <row r="190">
      <c r="A190" s="2" t="s">
        <v>1039</v>
      </c>
      <c r="B190" s="2" t="s">
        <v>87</v>
      </c>
      <c r="C190" s="2" t="s">
        <v>88</v>
      </c>
      <c r="D190" s="2" t="s">
        <v>803</v>
      </c>
      <c r="E190" s="2" t="s">
        <v>804</v>
      </c>
      <c r="F190" s="2" t="s">
        <v>344</v>
      </c>
      <c r="G190" s="2" t="s">
        <v>345</v>
      </c>
      <c r="H190" s="2" t="s">
        <v>346</v>
      </c>
      <c r="I190" s="2" t="s">
        <v>960</v>
      </c>
      <c r="J190" s="2" t="s">
        <v>706</v>
      </c>
      <c r="K190" s="2" t="s">
        <v>348</v>
      </c>
      <c r="L190" s="3">
        <v>62.1</v>
      </c>
      <c r="M190" s="3">
        <v>65.2</v>
      </c>
      <c r="N190" s="3">
        <v>139.99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349</v>
      </c>
      <c r="T190" s="2" t="s">
        <v>100</v>
      </c>
      <c r="U190" s="2" t="s">
        <v>337</v>
      </c>
      <c r="V190" s="2" t="s">
        <v>350</v>
      </c>
      <c r="W190" s="2" t="s">
        <v>104</v>
      </c>
      <c r="X190" s="2" t="s">
        <v>351</v>
      </c>
      <c r="Y190" s="2" t="s">
        <v>240</v>
      </c>
      <c r="Z190" s="4">
        <v>939</v>
      </c>
      <c r="AA190" s="4">
        <f>=ROUNDDOWN(67.0714285714286,0)</f>
      </c>
      <c r="AB190" s="5">
        <v>14</v>
      </c>
      <c r="AC190" s="2" t="s">
        <v>356</v>
      </c>
      <c r="AD190" s="4">
        <v>750</v>
      </c>
      <c r="AE190" s="4">
        <v>750</v>
      </c>
      <c r="AF190" s="6">
        <v>66</v>
      </c>
      <c r="AG190" s="6">
        <v>49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>
        <v>3</v>
      </c>
      <c r="AQ190" s="8">
        <v>212.28</v>
      </c>
      <c r="AR190" s="4"/>
      <c r="AS190" s="8"/>
      <c r="AT190" s="7"/>
      <c r="AU190" s="7"/>
      <c r="AV190" s="4">
        <v>7</v>
      </c>
      <c r="AW190" s="8">
        <v>538.88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0.3939</v>
      </c>
      <c r="BC190" s="4">
        <v>7</v>
      </c>
      <c r="BD190" s="8">
        <v>538.88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1</v>
      </c>
      <c r="BJ190" s="4">
        <v>385</v>
      </c>
      <c r="BK190" s="8">
        <v>29528.26</v>
      </c>
      <c r="BL190" s="2" t="s">
        <v>1040</v>
      </c>
      <c r="BM190" s="7">
        <v>0.0078</v>
      </c>
      <c r="BN190" s="7">
        <v>0.0072</v>
      </c>
      <c r="BO190" s="4">
        <v>3</v>
      </c>
      <c r="BP190" s="8">
        <v>212.28</v>
      </c>
      <c r="BQ190" s="4"/>
      <c r="BR190" s="8"/>
      <c r="BS190" s="7"/>
      <c r="BT190" s="7"/>
      <c r="BU190" s="2" t="s">
        <v>109</v>
      </c>
      <c r="BV190" s="2" t="s">
        <v>110</v>
      </c>
      <c r="BW190" s="2" t="s">
        <v>284</v>
      </c>
      <c r="BX190" s="2" t="s">
        <v>1041</v>
      </c>
      <c r="BY190" s="2" t="s">
        <v>113</v>
      </c>
      <c r="BZ190" s="2" t="s">
        <v>100</v>
      </c>
    </row>
    <row r="191">
      <c r="A191" s="2" t="s">
        <v>1042</v>
      </c>
      <c r="B191" s="2" t="s">
        <v>87</v>
      </c>
      <c r="C191" s="2" t="s">
        <v>88</v>
      </c>
      <c r="D191" s="2" t="s">
        <v>803</v>
      </c>
      <c r="E191" s="2" t="s">
        <v>804</v>
      </c>
      <c r="F191" s="2" t="s">
        <v>344</v>
      </c>
      <c r="G191" s="2" t="s">
        <v>345</v>
      </c>
      <c r="H191" s="2" t="s">
        <v>346</v>
      </c>
      <c r="I191" s="2" t="s">
        <v>960</v>
      </c>
      <c r="J191" s="2" t="s">
        <v>817</v>
      </c>
      <c r="K191" s="2" t="s">
        <v>348</v>
      </c>
      <c r="L191" s="3">
        <v>70.38</v>
      </c>
      <c r="M191" s="3">
        <v>73.9</v>
      </c>
      <c r="N191" s="3">
        <v>159.99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349</v>
      </c>
      <c r="T191" s="2" t="s">
        <v>100</v>
      </c>
      <c r="U191" s="2" t="s">
        <v>337</v>
      </c>
      <c r="V191" s="2" t="s">
        <v>350</v>
      </c>
      <c r="W191" s="2" t="s">
        <v>104</v>
      </c>
      <c r="X191" s="2" t="s">
        <v>351</v>
      </c>
      <c r="Y191" s="2" t="s">
        <v>240</v>
      </c>
      <c r="Z191" s="4">
        <v>419</v>
      </c>
      <c r="AA191" s="4">
        <f>=ROUNDDOWN(83.8,0)</f>
      </c>
      <c r="AB191" s="5">
        <v>5</v>
      </c>
      <c r="AC191" s="2" t="s">
        <v>356</v>
      </c>
      <c r="AD191" s="4">
        <v>300</v>
      </c>
      <c r="AE191" s="4">
        <v>300</v>
      </c>
      <c r="AF191" s="6">
        <v>66</v>
      </c>
      <c r="AG191" s="6">
        <v>49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>
        <v>4</v>
      </c>
      <c r="AQ191" s="8">
        <v>326.6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0.6061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125</v>
      </c>
      <c r="BK191" s="8">
        <v>10706.66</v>
      </c>
      <c r="BL191" s="2" t="s">
        <v>1043</v>
      </c>
      <c r="BM191" s="7">
        <v>0.032</v>
      </c>
      <c r="BN191" s="7">
        <v>0.0305</v>
      </c>
      <c r="BO191" s="4">
        <v>4</v>
      </c>
      <c r="BP191" s="8">
        <v>326.6</v>
      </c>
      <c r="BQ191" s="4"/>
      <c r="BR191" s="8"/>
      <c r="BS191" s="7"/>
      <c r="BT191" s="7"/>
      <c r="BU191" s="2" t="s">
        <v>109</v>
      </c>
      <c r="BV191" s="2" t="s">
        <v>110</v>
      </c>
      <c r="BW191" s="2" t="s">
        <v>284</v>
      </c>
      <c r="BX191" s="2" t="s">
        <v>1044</v>
      </c>
      <c r="BY191" s="2" t="s">
        <v>113</v>
      </c>
      <c r="BZ191" s="2" t="s">
        <v>100</v>
      </c>
    </row>
    <row r="192">
      <c r="A192" s="2" t="s">
        <v>1045</v>
      </c>
      <c r="B192" s="2" t="s">
        <v>87</v>
      </c>
      <c r="C192" s="2" t="s">
        <v>88</v>
      </c>
      <c r="D192" s="2" t="s">
        <v>803</v>
      </c>
      <c r="E192" s="2" t="s">
        <v>804</v>
      </c>
      <c r="F192" s="2" t="s">
        <v>344</v>
      </c>
      <c r="G192" s="2" t="s">
        <v>345</v>
      </c>
      <c r="H192" s="2" t="s">
        <v>346</v>
      </c>
      <c r="I192" s="2" t="s">
        <v>960</v>
      </c>
      <c r="J192" s="2" t="s">
        <v>706</v>
      </c>
      <c r="K192" s="2" t="s">
        <v>360</v>
      </c>
      <c r="L192" s="3">
        <v>62.1</v>
      </c>
      <c r="M192" s="3">
        <v>65.2</v>
      </c>
      <c r="N192" s="3">
        <v>139.99</v>
      </c>
      <c r="O192" s="2" t="s">
        <v>97</v>
      </c>
      <c r="P192" s="2" t="s">
        <v>372</v>
      </c>
      <c r="Q192" s="2" t="s">
        <v>99</v>
      </c>
      <c r="R192" s="2" t="s">
        <v>100</v>
      </c>
      <c r="S192" s="2" t="s">
        <v>361</v>
      </c>
      <c r="T192" s="2" t="s">
        <v>100</v>
      </c>
      <c r="U192" s="2" t="s">
        <v>337</v>
      </c>
      <c r="V192" s="2" t="s">
        <v>350</v>
      </c>
      <c r="W192" s="2" t="s">
        <v>104</v>
      </c>
      <c r="X192" s="2" t="s">
        <v>362</v>
      </c>
      <c r="Y192" s="2" t="s">
        <v>1046</v>
      </c>
      <c r="Z192" s="4">
        <v>1053</v>
      </c>
      <c r="AA192" s="4">
        <f>=ROUNDDOWN(40.5,0)</f>
      </c>
      <c r="AB192" s="5">
        <v>26</v>
      </c>
      <c r="AC192" s="2" t="s">
        <v>222</v>
      </c>
      <c r="AD192" s="4">
        <v>80</v>
      </c>
      <c r="AE192" s="4">
        <v>330</v>
      </c>
      <c r="AF192" s="6">
        <v>66</v>
      </c>
      <c r="AG192" s="6">
        <v>49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745</v>
      </c>
      <c r="BK192" s="8">
        <v>57140.02</v>
      </c>
      <c r="BL192" s="2" t="s">
        <v>1047</v>
      </c>
      <c r="BM192" s="7"/>
      <c r="BN192" s="7"/>
      <c r="BO192" s="4"/>
      <c r="BP192" s="8"/>
      <c r="BQ192" s="4"/>
      <c r="BR192" s="8"/>
      <c r="BS192" s="7"/>
      <c r="BT192" s="7"/>
      <c r="BU192" s="2" t="s">
        <v>207</v>
      </c>
      <c r="BV192" s="2" t="s">
        <v>97</v>
      </c>
      <c r="BW192" s="2" t="s">
        <v>100</v>
      </c>
      <c r="BX192" s="2" t="s">
        <v>100</v>
      </c>
      <c r="BY192" s="2" t="s">
        <v>113</v>
      </c>
      <c r="BZ192" s="2" t="s">
        <v>100</v>
      </c>
    </row>
    <row r="193">
      <c r="A193" s="2" t="s">
        <v>1048</v>
      </c>
      <c r="B193" s="2" t="s">
        <v>87</v>
      </c>
      <c r="C193" s="2" t="s">
        <v>88</v>
      </c>
      <c r="D193" s="2" t="s">
        <v>803</v>
      </c>
      <c r="E193" s="2" t="s">
        <v>804</v>
      </c>
      <c r="F193" s="2" t="s">
        <v>344</v>
      </c>
      <c r="G193" s="2" t="s">
        <v>345</v>
      </c>
      <c r="H193" s="2" t="s">
        <v>346</v>
      </c>
      <c r="I193" s="2" t="s">
        <v>960</v>
      </c>
      <c r="J193" s="2" t="s">
        <v>714</v>
      </c>
      <c r="K193" s="2" t="s">
        <v>360</v>
      </c>
      <c r="L193" s="3">
        <v>70.38</v>
      </c>
      <c r="M193" s="3">
        <v>73.9</v>
      </c>
      <c r="N193" s="3">
        <v>159.99</v>
      </c>
      <c r="O193" s="2" t="s">
        <v>97</v>
      </c>
      <c r="P193" s="2" t="s">
        <v>372</v>
      </c>
      <c r="Q193" s="2" t="s">
        <v>99</v>
      </c>
      <c r="R193" s="2" t="s">
        <v>100</v>
      </c>
      <c r="S193" s="2" t="s">
        <v>361</v>
      </c>
      <c r="T193" s="2" t="s">
        <v>100</v>
      </c>
      <c r="U193" s="2" t="s">
        <v>337</v>
      </c>
      <c r="V193" s="2" t="s">
        <v>350</v>
      </c>
      <c r="W193" s="2" t="s">
        <v>104</v>
      </c>
      <c r="X193" s="2" t="s">
        <v>362</v>
      </c>
      <c r="Y193" s="2" t="s">
        <v>363</v>
      </c>
      <c r="Z193" s="4">
        <v>1014</v>
      </c>
      <c r="AA193" s="4">
        <f>=ROUNDDOWN(46.0909090909091,0)</f>
      </c>
      <c r="AB193" s="5">
        <v>22</v>
      </c>
      <c r="AC193" s="2" t="s">
        <v>356</v>
      </c>
      <c r="AD193" s="4">
        <v>300</v>
      </c>
      <c r="AE193" s="4">
        <v>410</v>
      </c>
      <c r="AF193" s="6">
        <v>66</v>
      </c>
      <c r="AG193" s="6">
        <v>49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581</v>
      </c>
      <c r="BK193" s="8">
        <v>51037.75</v>
      </c>
      <c r="BL193" s="2" t="s">
        <v>763</v>
      </c>
      <c r="BM193" s="7"/>
      <c r="BN193" s="7"/>
      <c r="BO193" s="4"/>
      <c r="BP193" s="8"/>
      <c r="BQ193" s="4"/>
      <c r="BR193" s="8"/>
      <c r="BS193" s="7"/>
      <c r="BT193" s="7"/>
      <c r="BU193" s="2" t="s">
        <v>207</v>
      </c>
      <c r="BV193" s="2" t="s">
        <v>97</v>
      </c>
      <c r="BW193" s="2" t="s">
        <v>100</v>
      </c>
      <c r="BX193" s="2" t="s">
        <v>100</v>
      </c>
      <c r="BY193" s="2" t="s">
        <v>113</v>
      </c>
      <c r="BZ193" s="2" t="s">
        <v>100</v>
      </c>
    </row>
    <row r="194">
      <c r="A194" s="2" t="s">
        <v>1049</v>
      </c>
      <c r="B194" s="2" t="s">
        <v>87</v>
      </c>
      <c r="C194" s="2" t="s">
        <v>88</v>
      </c>
      <c r="D194" s="2" t="s">
        <v>803</v>
      </c>
      <c r="E194" s="2" t="s">
        <v>804</v>
      </c>
      <c r="F194" s="2" t="s">
        <v>344</v>
      </c>
      <c r="G194" s="2" t="s">
        <v>345</v>
      </c>
      <c r="H194" s="2" t="s">
        <v>346</v>
      </c>
      <c r="I194" s="2" t="s">
        <v>960</v>
      </c>
      <c r="J194" s="2" t="s">
        <v>817</v>
      </c>
      <c r="K194" s="2" t="s">
        <v>360</v>
      </c>
      <c r="L194" s="3">
        <v>70.38</v>
      </c>
      <c r="M194" s="3">
        <v>73.9</v>
      </c>
      <c r="N194" s="3">
        <v>159.99</v>
      </c>
      <c r="O194" s="2" t="s">
        <v>97</v>
      </c>
      <c r="P194" s="2" t="s">
        <v>372</v>
      </c>
      <c r="Q194" s="2" t="s">
        <v>99</v>
      </c>
      <c r="R194" s="2" t="s">
        <v>100</v>
      </c>
      <c r="S194" s="2" t="s">
        <v>361</v>
      </c>
      <c r="T194" s="2" t="s">
        <v>100</v>
      </c>
      <c r="U194" s="2" t="s">
        <v>337</v>
      </c>
      <c r="V194" s="2" t="s">
        <v>350</v>
      </c>
      <c r="W194" s="2" t="s">
        <v>104</v>
      </c>
      <c r="X194" s="2" t="s">
        <v>362</v>
      </c>
      <c r="Y194" s="2" t="s">
        <v>363</v>
      </c>
      <c r="Z194" s="4">
        <v>490</v>
      </c>
      <c r="AA194" s="4">
        <f>=ROUNDDOWN(61.25,0)</f>
      </c>
      <c r="AB194" s="5">
        <v>8</v>
      </c>
      <c r="AC194" s="2" t="s">
        <v>205</v>
      </c>
      <c r="AD194" s="4">
        <v>50</v>
      </c>
      <c r="AE194" s="4">
        <v>50</v>
      </c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216</v>
      </c>
      <c r="BK194" s="8">
        <v>18655.08</v>
      </c>
      <c r="BL194" s="2" t="s">
        <v>1050</v>
      </c>
      <c r="BM194" s="7"/>
      <c r="BN194" s="7"/>
      <c r="BO194" s="4"/>
      <c r="BP194" s="8"/>
      <c r="BQ194" s="4"/>
      <c r="BR194" s="8"/>
      <c r="BS194" s="7"/>
      <c r="BT194" s="7"/>
      <c r="BU194" s="2" t="s">
        <v>207</v>
      </c>
      <c r="BV194" s="2" t="s">
        <v>97</v>
      </c>
      <c r="BW194" s="2" t="s">
        <v>100</v>
      </c>
      <c r="BX194" s="2" t="s">
        <v>100</v>
      </c>
      <c r="BY194" s="2" t="s">
        <v>113</v>
      </c>
      <c r="BZ194" s="2" t="s">
        <v>100</v>
      </c>
    </row>
    <row r="195">
      <c r="A195" s="2" t="s">
        <v>1051</v>
      </c>
      <c r="B195" s="2" t="s">
        <v>87</v>
      </c>
      <c r="C195" s="2" t="s">
        <v>88</v>
      </c>
      <c r="D195" s="2" t="s">
        <v>803</v>
      </c>
      <c r="E195" s="2" t="s">
        <v>804</v>
      </c>
      <c r="F195" s="2" t="s">
        <v>344</v>
      </c>
      <c r="G195" s="2" t="s">
        <v>345</v>
      </c>
      <c r="H195" s="2" t="s">
        <v>346</v>
      </c>
      <c r="I195" s="2" t="s">
        <v>960</v>
      </c>
      <c r="J195" s="2" t="s">
        <v>706</v>
      </c>
      <c r="K195" s="2" t="s">
        <v>878</v>
      </c>
      <c r="L195" s="3">
        <v>62.1</v>
      </c>
      <c r="M195" s="3">
        <v>65.2</v>
      </c>
      <c r="N195" s="3">
        <v>139.99</v>
      </c>
      <c r="O195" s="2" t="s">
        <v>97</v>
      </c>
      <c r="P195" s="2" t="s">
        <v>119</v>
      </c>
      <c r="Q195" s="2" t="s">
        <v>99</v>
      </c>
      <c r="R195" s="2" t="s">
        <v>100</v>
      </c>
      <c r="S195" s="2" t="s">
        <v>1052</v>
      </c>
      <c r="T195" s="2" t="s">
        <v>100</v>
      </c>
      <c r="U195" s="2" t="s">
        <v>337</v>
      </c>
      <c r="V195" s="2" t="s">
        <v>350</v>
      </c>
      <c r="W195" s="2" t="s">
        <v>104</v>
      </c>
      <c r="X195" s="2" t="s">
        <v>362</v>
      </c>
      <c r="Y195" s="2" t="s">
        <v>1053</v>
      </c>
      <c r="Z195" s="4">
        <v>485</v>
      </c>
      <c r="AA195" s="4">
        <f>=ROUNDDOWN(44.0909090909091,0)</f>
      </c>
      <c r="AB195" s="5">
        <v>11</v>
      </c>
      <c r="AC195" s="2" t="s">
        <v>100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224</v>
      </c>
      <c r="BK195" s="8">
        <v>16322.17</v>
      </c>
      <c r="BL195" s="2" t="s">
        <v>1054</v>
      </c>
      <c r="BM195" s="7"/>
      <c r="BN195" s="7"/>
      <c r="BO195" s="4"/>
      <c r="BP195" s="8"/>
      <c r="BQ195" s="4"/>
      <c r="BR195" s="8"/>
      <c r="BS195" s="7"/>
      <c r="BT195" s="7"/>
      <c r="BU195" s="2" t="s">
        <v>207</v>
      </c>
      <c r="BV195" s="2" t="s">
        <v>97</v>
      </c>
      <c r="BW195" s="2" t="s">
        <v>100</v>
      </c>
      <c r="BX195" s="2" t="s">
        <v>100</v>
      </c>
      <c r="BY195" s="2" t="s">
        <v>113</v>
      </c>
      <c r="BZ195" s="2" t="s">
        <v>100</v>
      </c>
    </row>
    <row r="196">
      <c r="A196" s="2" t="s">
        <v>1055</v>
      </c>
      <c r="B196" s="2" t="s">
        <v>87</v>
      </c>
      <c r="C196" s="2" t="s">
        <v>88</v>
      </c>
      <c r="D196" s="2" t="s">
        <v>803</v>
      </c>
      <c r="E196" s="2" t="s">
        <v>804</v>
      </c>
      <c r="F196" s="2" t="s">
        <v>344</v>
      </c>
      <c r="G196" s="2" t="s">
        <v>345</v>
      </c>
      <c r="H196" s="2" t="s">
        <v>346</v>
      </c>
      <c r="I196" s="2" t="s">
        <v>960</v>
      </c>
      <c r="J196" s="2" t="s">
        <v>714</v>
      </c>
      <c r="K196" s="2" t="s">
        <v>878</v>
      </c>
      <c r="L196" s="3">
        <v>70.38</v>
      </c>
      <c r="M196" s="3">
        <v>73.9</v>
      </c>
      <c r="N196" s="3">
        <v>159.99</v>
      </c>
      <c r="O196" s="2" t="s">
        <v>97</v>
      </c>
      <c r="P196" s="2" t="s">
        <v>119</v>
      </c>
      <c r="Q196" s="2" t="s">
        <v>99</v>
      </c>
      <c r="R196" s="2" t="s">
        <v>100</v>
      </c>
      <c r="S196" s="2" t="s">
        <v>1052</v>
      </c>
      <c r="T196" s="2" t="s">
        <v>100</v>
      </c>
      <c r="U196" s="2" t="s">
        <v>337</v>
      </c>
      <c r="V196" s="2" t="s">
        <v>350</v>
      </c>
      <c r="W196" s="2" t="s">
        <v>104</v>
      </c>
      <c r="X196" s="2" t="s">
        <v>362</v>
      </c>
      <c r="Y196" s="2" t="s">
        <v>1053</v>
      </c>
      <c r="Z196" s="4">
        <v>351</v>
      </c>
      <c r="AA196" s="4">
        <f>=ROUNDDOWN(39,0)</f>
      </c>
      <c r="AB196" s="5">
        <v>9</v>
      </c>
      <c r="AC196" s="2" t="s">
        <v>100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193</v>
      </c>
      <c r="BK196" s="8">
        <v>16002.11</v>
      </c>
      <c r="BL196" s="2" t="s">
        <v>1056</v>
      </c>
      <c r="BM196" s="7"/>
      <c r="BN196" s="7"/>
      <c r="BO196" s="4"/>
      <c r="BP196" s="8"/>
      <c r="BQ196" s="4"/>
      <c r="BR196" s="8"/>
      <c r="BS196" s="7"/>
      <c r="BT196" s="7"/>
      <c r="BU196" s="2" t="s">
        <v>207</v>
      </c>
      <c r="BV196" s="2" t="s">
        <v>97</v>
      </c>
      <c r="BW196" s="2" t="s">
        <v>100</v>
      </c>
      <c r="BX196" s="2" t="s">
        <v>100</v>
      </c>
      <c r="BY196" s="2" t="s">
        <v>113</v>
      </c>
      <c r="BZ196" s="2" t="s">
        <v>100</v>
      </c>
    </row>
    <row r="197">
      <c r="A197" s="2" t="s">
        <v>1057</v>
      </c>
      <c r="B197" s="2" t="s">
        <v>87</v>
      </c>
      <c r="C197" s="2" t="s">
        <v>88</v>
      </c>
      <c r="D197" s="2" t="s">
        <v>803</v>
      </c>
      <c r="E197" s="2" t="s">
        <v>804</v>
      </c>
      <c r="F197" s="2" t="s">
        <v>344</v>
      </c>
      <c r="G197" s="2" t="s">
        <v>345</v>
      </c>
      <c r="H197" s="2" t="s">
        <v>346</v>
      </c>
      <c r="I197" s="2" t="s">
        <v>960</v>
      </c>
      <c r="J197" s="2" t="s">
        <v>817</v>
      </c>
      <c r="K197" s="2" t="s">
        <v>878</v>
      </c>
      <c r="L197" s="3">
        <v>70.38</v>
      </c>
      <c r="M197" s="3">
        <v>73.9</v>
      </c>
      <c r="N197" s="3">
        <v>159.99</v>
      </c>
      <c r="O197" s="2" t="s">
        <v>97</v>
      </c>
      <c r="P197" s="2" t="s">
        <v>119</v>
      </c>
      <c r="Q197" s="2" t="s">
        <v>99</v>
      </c>
      <c r="R197" s="2" t="s">
        <v>100</v>
      </c>
      <c r="S197" s="2" t="s">
        <v>1052</v>
      </c>
      <c r="T197" s="2" t="s">
        <v>100</v>
      </c>
      <c r="U197" s="2" t="s">
        <v>337</v>
      </c>
      <c r="V197" s="2" t="s">
        <v>350</v>
      </c>
      <c r="W197" s="2" t="s">
        <v>104</v>
      </c>
      <c r="X197" s="2" t="s">
        <v>362</v>
      </c>
      <c r="Y197" s="2" t="s">
        <v>1053</v>
      </c>
      <c r="Z197" s="4">
        <v>153</v>
      </c>
      <c r="AA197" s="4">
        <f>=ROUNDDOWN(51,0)</f>
      </c>
      <c r="AB197" s="5">
        <v>3</v>
      </c>
      <c r="AC197" s="2" t="s">
        <v>100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66</v>
      </c>
      <c r="BK197" s="8">
        <v>5707.83</v>
      </c>
      <c r="BL197" s="2" t="s">
        <v>1058</v>
      </c>
      <c r="BM197" s="7"/>
      <c r="BN197" s="7"/>
      <c r="BO197" s="4"/>
      <c r="BP197" s="8"/>
      <c r="BQ197" s="4"/>
      <c r="BR197" s="8"/>
      <c r="BS197" s="7"/>
      <c r="BT197" s="7"/>
      <c r="BU197" s="2" t="s">
        <v>207</v>
      </c>
      <c r="BV197" s="2" t="s">
        <v>97</v>
      </c>
      <c r="BW197" s="2" t="s">
        <v>100</v>
      </c>
      <c r="BX197" s="2" t="s">
        <v>100</v>
      </c>
      <c r="BY197" s="2" t="s">
        <v>113</v>
      </c>
      <c r="BZ197" s="2" t="s">
        <v>100</v>
      </c>
    </row>
    <row r="198">
      <c r="A198" s="2" t="s">
        <v>1059</v>
      </c>
      <c r="B198" s="2" t="s">
        <v>87</v>
      </c>
      <c r="C198" s="2" t="s">
        <v>88</v>
      </c>
      <c r="D198" s="2" t="s">
        <v>803</v>
      </c>
      <c r="E198" s="2" t="s">
        <v>804</v>
      </c>
      <c r="F198" s="2" t="s">
        <v>397</v>
      </c>
      <c r="G198" s="2" t="s">
        <v>398</v>
      </c>
      <c r="H198" s="2" t="s">
        <v>399</v>
      </c>
      <c r="I198" s="2" t="s">
        <v>1060</v>
      </c>
      <c r="J198" s="2" t="s">
        <v>817</v>
      </c>
      <c r="K198" s="2" t="s">
        <v>96</v>
      </c>
      <c r="L198" s="3">
        <v>80</v>
      </c>
      <c r="M198" s="3">
        <v>83.99</v>
      </c>
      <c r="N198" s="3">
        <v>169.99</v>
      </c>
      <c r="O198" s="2" t="s">
        <v>97</v>
      </c>
      <c r="P198" s="2" t="s">
        <v>119</v>
      </c>
      <c r="Q198" s="2" t="s">
        <v>99</v>
      </c>
      <c r="R198" s="2" t="s">
        <v>100</v>
      </c>
      <c r="S198" s="2" t="s">
        <v>1061</v>
      </c>
      <c r="T198" s="2" t="s">
        <v>100</v>
      </c>
      <c r="U198" s="2" t="s">
        <v>337</v>
      </c>
      <c r="V198" s="2" t="s">
        <v>403</v>
      </c>
      <c r="W198" s="2" t="s">
        <v>309</v>
      </c>
      <c r="X198" s="2" t="s">
        <v>310</v>
      </c>
      <c r="Y198" s="2" t="s">
        <v>240</v>
      </c>
      <c r="Z198" s="4">
        <v>168</v>
      </c>
      <c r="AA198" s="4">
        <f>=ROUNDDOWN(42,0)</f>
      </c>
      <c r="AB198" s="5">
        <v>4</v>
      </c>
      <c r="AC198" s="2" t="s">
        <v>100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>
        <v>6</v>
      </c>
      <c r="AQ198" s="8">
        <v>453.6</v>
      </c>
      <c r="AR198" s="4"/>
      <c r="AS198" s="8"/>
      <c r="AT198" s="7"/>
      <c r="AU198" s="7"/>
      <c r="AV198" s="4">
        <v>6</v>
      </c>
      <c r="AW198" s="8">
        <v>453.6</v>
      </c>
      <c r="AX198" s="4"/>
      <c r="AY198" s="8"/>
      <c r="AZ198" s="7"/>
      <c r="BA198" s="7"/>
      <c r="BB198" s="7">
        <v>1</v>
      </c>
      <c r="BC198" s="4">
        <v>6</v>
      </c>
      <c r="BD198" s="8">
        <v>453.6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1</v>
      </c>
      <c r="BJ198" s="4">
        <v>104</v>
      </c>
      <c r="BK198" s="8">
        <v>8448.83</v>
      </c>
      <c r="BL198" s="2" t="s">
        <v>1062</v>
      </c>
      <c r="BM198" s="7">
        <v>0.0577</v>
      </c>
      <c r="BN198" s="7">
        <v>0.0537</v>
      </c>
      <c r="BO198" s="4">
        <v>6</v>
      </c>
      <c r="BP198" s="8">
        <v>453.6</v>
      </c>
      <c r="BQ198" s="4"/>
      <c r="BR198" s="8"/>
      <c r="BS198" s="7"/>
      <c r="BT198" s="7"/>
      <c r="BU198" s="2" t="s">
        <v>109</v>
      </c>
      <c r="BV198" s="2" t="s">
        <v>110</v>
      </c>
      <c r="BW198" s="2" t="s">
        <v>328</v>
      </c>
      <c r="BX198" s="2" t="s">
        <v>1063</v>
      </c>
      <c r="BY198" s="2" t="s">
        <v>113</v>
      </c>
      <c r="BZ198" s="2" t="s">
        <v>100</v>
      </c>
    </row>
    <row r="199">
      <c r="A199" s="2" t="s">
        <v>1064</v>
      </c>
      <c r="B199" s="2" t="s">
        <v>87</v>
      </c>
      <c r="C199" s="2" t="s">
        <v>88</v>
      </c>
      <c r="D199" s="2" t="s">
        <v>803</v>
      </c>
      <c r="E199" s="2" t="s">
        <v>804</v>
      </c>
      <c r="F199" s="2" t="s">
        <v>397</v>
      </c>
      <c r="G199" s="2" t="s">
        <v>398</v>
      </c>
      <c r="H199" s="2" t="s">
        <v>399</v>
      </c>
      <c r="I199" s="2" t="s">
        <v>960</v>
      </c>
      <c r="J199" s="2" t="s">
        <v>706</v>
      </c>
      <c r="K199" s="2" t="s">
        <v>360</v>
      </c>
      <c r="L199" s="3">
        <v>67.2</v>
      </c>
      <c r="M199" s="3">
        <v>70.55</v>
      </c>
      <c r="N199" s="3">
        <v>149.99</v>
      </c>
      <c r="O199" s="2" t="s">
        <v>97</v>
      </c>
      <c r="P199" s="2" t="s">
        <v>119</v>
      </c>
      <c r="Q199" s="2" t="s">
        <v>99</v>
      </c>
      <c r="R199" s="2" t="s">
        <v>100</v>
      </c>
      <c r="S199" s="2" t="s">
        <v>1065</v>
      </c>
      <c r="T199" s="2" t="s">
        <v>100</v>
      </c>
      <c r="U199" s="2" t="s">
        <v>337</v>
      </c>
      <c r="V199" s="2" t="s">
        <v>403</v>
      </c>
      <c r="W199" s="2" t="s">
        <v>309</v>
      </c>
      <c r="X199" s="2" t="s">
        <v>404</v>
      </c>
      <c r="Y199" s="2" t="s">
        <v>1066</v>
      </c>
      <c r="Z199" s="4">
        <v>437</v>
      </c>
      <c r="AA199" s="4">
        <f>=ROUNDDOWN(39.7272727272727,0)</f>
      </c>
      <c r="AB199" s="5">
        <v>11</v>
      </c>
      <c r="AC199" s="2" t="s">
        <v>100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274</v>
      </c>
      <c r="BK199" s="8">
        <v>20089.64</v>
      </c>
      <c r="BL199" s="2" t="s">
        <v>1067</v>
      </c>
      <c r="BM199" s="7"/>
      <c r="BN199" s="7"/>
      <c r="BO199" s="4"/>
      <c r="BP199" s="8"/>
      <c r="BQ199" s="4"/>
      <c r="BR199" s="8"/>
      <c r="BS199" s="7"/>
      <c r="BT199" s="7"/>
      <c r="BU199" s="2" t="s">
        <v>207</v>
      </c>
      <c r="BV199" s="2" t="s">
        <v>97</v>
      </c>
      <c r="BW199" s="2" t="s">
        <v>100</v>
      </c>
      <c r="BX199" s="2" t="s">
        <v>100</v>
      </c>
      <c r="BY199" s="2" t="s">
        <v>113</v>
      </c>
      <c r="BZ199" s="2" t="s">
        <v>100</v>
      </c>
    </row>
    <row r="200">
      <c r="A200" s="2" t="s">
        <v>1068</v>
      </c>
      <c r="B200" s="2" t="s">
        <v>87</v>
      </c>
      <c r="C200" s="2" t="s">
        <v>88</v>
      </c>
      <c r="D200" s="2" t="s">
        <v>803</v>
      </c>
      <c r="E200" s="2" t="s">
        <v>804</v>
      </c>
      <c r="F200" s="2" t="s">
        <v>397</v>
      </c>
      <c r="G200" s="2" t="s">
        <v>398</v>
      </c>
      <c r="H200" s="2" t="s">
        <v>399</v>
      </c>
      <c r="I200" s="2" t="s">
        <v>960</v>
      </c>
      <c r="J200" s="2" t="s">
        <v>714</v>
      </c>
      <c r="K200" s="2" t="s">
        <v>360</v>
      </c>
      <c r="L200" s="3">
        <v>80</v>
      </c>
      <c r="M200" s="3">
        <v>83.99</v>
      </c>
      <c r="N200" s="3">
        <v>169.99</v>
      </c>
      <c r="O200" s="2" t="s">
        <v>97</v>
      </c>
      <c r="P200" s="2" t="s">
        <v>119</v>
      </c>
      <c r="Q200" s="2" t="s">
        <v>99</v>
      </c>
      <c r="R200" s="2" t="s">
        <v>100</v>
      </c>
      <c r="S200" s="2" t="s">
        <v>1065</v>
      </c>
      <c r="T200" s="2" t="s">
        <v>100</v>
      </c>
      <c r="U200" s="2" t="s">
        <v>337</v>
      </c>
      <c r="V200" s="2" t="s">
        <v>403</v>
      </c>
      <c r="W200" s="2" t="s">
        <v>309</v>
      </c>
      <c r="X200" s="2" t="s">
        <v>404</v>
      </c>
      <c r="Y200" s="2" t="s">
        <v>1066</v>
      </c>
      <c r="Z200" s="4">
        <v>406</v>
      </c>
      <c r="AA200" s="4">
        <f>=ROUNDDOWN(36.9090909090909,0)</f>
      </c>
      <c r="AB200" s="5">
        <v>11</v>
      </c>
      <c r="AC200" s="2" t="s">
        <v>1069</v>
      </c>
      <c r="AD200" s="4">
        <v>50</v>
      </c>
      <c r="AE200" s="4">
        <v>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267</v>
      </c>
      <c r="BK200" s="8">
        <v>22560.61</v>
      </c>
      <c r="BL200" s="2" t="s">
        <v>1070</v>
      </c>
      <c r="BM200" s="7"/>
      <c r="BN200" s="7"/>
      <c r="BO200" s="4"/>
      <c r="BP200" s="8"/>
      <c r="BQ200" s="4"/>
      <c r="BR200" s="8"/>
      <c r="BS200" s="7"/>
      <c r="BT200" s="7"/>
      <c r="BU200" s="2" t="s">
        <v>207</v>
      </c>
      <c r="BV200" s="2" t="s">
        <v>97</v>
      </c>
      <c r="BW200" s="2" t="s">
        <v>100</v>
      </c>
      <c r="BX200" s="2" t="s">
        <v>100</v>
      </c>
      <c r="BY200" s="2" t="s">
        <v>113</v>
      </c>
      <c r="BZ200" s="2" t="s">
        <v>100</v>
      </c>
    </row>
    <row r="201">
      <c r="A201" s="2" t="s">
        <v>1071</v>
      </c>
      <c r="B201" s="2" t="s">
        <v>87</v>
      </c>
      <c r="C201" s="2" t="s">
        <v>88</v>
      </c>
      <c r="D201" s="2" t="s">
        <v>803</v>
      </c>
      <c r="E201" s="2" t="s">
        <v>804</v>
      </c>
      <c r="F201" s="2" t="s">
        <v>397</v>
      </c>
      <c r="G201" s="2" t="s">
        <v>398</v>
      </c>
      <c r="H201" s="2" t="s">
        <v>399</v>
      </c>
      <c r="I201" s="2" t="s">
        <v>960</v>
      </c>
      <c r="J201" s="2" t="s">
        <v>817</v>
      </c>
      <c r="K201" s="2" t="s">
        <v>360</v>
      </c>
      <c r="L201" s="3">
        <v>80</v>
      </c>
      <c r="M201" s="3">
        <v>83.99</v>
      </c>
      <c r="N201" s="3">
        <v>169.99</v>
      </c>
      <c r="O201" s="2" t="s">
        <v>97</v>
      </c>
      <c r="P201" s="2" t="s">
        <v>119</v>
      </c>
      <c r="Q201" s="2" t="s">
        <v>99</v>
      </c>
      <c r="R201" s="2" t="s">
        <v>100</v>
      </c>
      <c r="S201" s="2" t="s">
        <v>1065</v>
      </c>
      <c r="T201" s="2" t="s">
        <v>100</v>
      </c>
      <c r="U201" s="2" t="s">
        <v>337</v>
      </c>
      <c r="V201" s="2" t="s">
        <v>403</v>
      </c>
      <c r="W201" s="2" t="s">
        <v>309</v>
      </c>
      <c r="X201" s="2" t="s">
        <v>404</v>
      </c>
      <c r="Y201" s="2" t="s">
        <v>1066</v>
      </c>
      <c r="Z201" s="4">
        <v>187</v>
      </c>
      <c r="AA201" s="4">
        <f>=ROUNDDOWN(62.3333333333333,0)</f>
      </c>
      <c r="AB201" s="5">
        <v>3</v>
      </c>
      <c r="AC201" s="2" t="s">
        <v>1069</v>
      </c>
      <c r="AD201" s="4">
        <v>50</v>
      </c>
      <c r="AE201" s="4">
        <v>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58</v>
      </c>
      <c r="BK201" s="8">
        <v>4844</v>
      </c>
      <c r="BL201" s="2" t="s">
        <v>1072</v>
      </c>
      <c r="BM201" s="7"/>
      <c r="BN201" s="7"/>
      <c r="BO201" s="4"/>
      <c r="BP201" s="8"/>
      <c r="BQ201" s="4"/>
      <c r="BR201" s="8"/>
      <c r="BS201" s="7"/>
      <c r="BT201" s="7"/>
      <c r="BU201" s="2" t="s">
        <v>207</v>
      </c>
      <c r="BV201" s="2" t="s">
        <v>97</v>
      </c>
      <c r="BW201" s="2" t="s">
        <v>100</v>
      </c>
      <c r="BX201" s="2" t="s">
        <v>100</v>
      </c>
      <c r="BY201" s="2" t="s">
        <v>113</v>
      </c>
      <c r="BZ201" s="2" t="s">
        <v>100</v>
      </c>
    </row>
    <row r="202">
      <c r="A202" s="2" t="s">
        <v>1073</v>
      </c>
      <c r="B202" s="2" t="s">
        <v>87</v>
      </c>
      <c r="C202" s="2" t="s">
        <v>88</v>
      </c>
      <c r="D202" s="2" t="s">
        <v>803</v>
      </c>
      <c r="E202" s="2" t="s">
        <v>804</v>
      </c>
      <c r="F202" s="2" t="s">
        <v>1074</v>
      </c>
      <c r="G202" s="2" t="s">
        <v>1075</v>
      </c>
      <c r="H202" s="2" t="s">
        <v>1076</v>
      </c>
      <c r="I202" s="2" t="s">
        <v>1060</v>
      </c>
      <c r="J202" s="2" t="s">
        <v>714</v>
      </c>
      <c r="K202" s="2" t="s">
        <v>198</v>
      </c>
      <c r="L202" s="3">
        <v>72.53</v>
      </c>
      <c r="M202" s="3">
        <v>76.16</v>
      </c>
      <c r="N202" s="3">
        <v>144.99</v>
      </c>
      <c r="O202" s="2" t="s">
        <v>97</v>
      </c>
      <c r="P202" s="2" t="s">
        <v>119</v>
      </c>
      <c r="Q202" s="2" t="s">
        <v>99</v>
      </c>
      <c r="R202" s="2" t="s">
        <v>100</v>
      </c>
      <c r="S202" s="2" t="s">
        <v>1077</v>
      </c>
      <c r="T202" s="2" t="s">
        <v>100</v>
      </c>
      <c r="U202" s="2" t="s">
        <v>337</v>
      </c>
      <c r="V202" s="2" t="s">
        <v>434</v>
      </c>
      <c r="W202" s="2" t="s">
        <v>104</v>
      </c>
      <c r="X202" s="2" t="s">
        <v>490</v>
      </c>
      <c r="Y202" s="2" t="s">
        <v>240</v>
      </c>
      <c r="Z202" s="4">
        <v>436</v>
      </c>
      <c r="AA202" s="4">
        <f>=ROUNDDOWN(48.4444444444444,0)</f>
      </c>
      <c r="AB202" s="5">
        <v>9</v>
      </c>
      <c r="AC202" s="2" t="s">
        <v>100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>
        <v>6</v>
      </c>
      <c r="AQ202" s="8">
        <v>441</v>
      </c>
      <c r="AR202" s="4"/>
      <c r="AS202" s="8"/>
      <c r="AT202" s="7"/>
      <c r="AU202" s="7"/>
      <c r="AV202" s="4">
        <v>6</v>
      </c>
      <c r="AW202" s="8">
        <v>441</v>
      </c>
      <c r="AX202" s="4"/>
      <c r="AY202" s="8"/>
      <c r="AZ202" s="7"/>
      <c r="BA202" s="7"/>
      <c r="BB202" s="7">
        <v>1</v>
      </c>
      <c r="BC202" s="4">
        <v>6</v>
      </c>
      <c r="BD202" s="8">
        <v>441</v>
      </c>
      <c r="BE202" s="4"/>
      <c r="BF202" s="8"/>
      <c r="BG202" s="7"/>
      <c r="BH202" s="7"/>
      <c r="BI202" s="7">
        <v>1</v>
      </c>
      <c r="BJ202" s="4">
        <v>226</v>
      </c>
      <c r="BK202" s="8">
        <v>17749.18</v>
      </c>
      <c r="BL202" s="2" t="s">
        <v>1078</v>
      </c>
      <c r="BM202" s="7">
        <v>0.0265</v>
      </c>
      <c r="BN202" s="7">
        <v>0.0248</v>
      </c>
      <c r="BO202" s="4">
        <v>6</v>
      </c>
      <c r="BP202" s="8">
        <v>441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243</v>
      </c>
      <c r="BX202" s="2" t="s">
        <v>823</v>
      </c>
      <c r="BY202" s="2" t="s">
        <v>113</v>
      </c>
      <c r="BZ202" s="2" t="s">
        <v>245</v>
      </c>
    </row>
    <row r="203">
      <c r="A203" s="2" t="s">
        <v>1079</v>
      </c>
      <c r="B203" s="2" t="s">
        <v>87</v>
      </c>
      <c r="C203" s="2" t="s">
        <v>88</v>
      </c>
      <c r="D203" s="2" t="s">
        <v>803</v>
      </c>
      <c r="E203" s="2" t="s">
        <v>804</v>
      </c>
      <c r="F203" s="2" t="s">
        <v>1080</v>
      </c>
      <c r="G203" s="2" t="s">
        <v>1081</v>
      </c>
      <c r="H203" s="2" t="s">
        <v>1082</v>
      </c>
      <c r="I203" s="2" t="s">
        <v>1083</v>
      </c>
      <c r="J203" s="2" t="s">
        <v>714</v>
      </c>
      <c r="K203" s="2" t="s">
        <v>360</v>
      </c>
      <c r="L203" s="3">
        <v>75.2</v>
      </c>
      <c r="M203" s="3">
        <v>78.96</v>
      </c>
      <c r="N203" s="3">
        <v>159.99</v>
      </c>
      <c r="O203" s="2" t="s">
        <v>97</v>
      </c>
      <c r="P203" s="2" t="s">
        <v>119</v>
      </c>
      <c r="Q203" s="2" t="s">
        <v>99</v>
      </c>
      <c r="R203" s="2" t="s">
        <v>100</v>
      </c>
      <c r="S203" s="2" t="s">
        <v>1084</v>
      </c>
      <c r="T203" s="2" t="s">
        <v>100</v>
      </c>
      <c r="U203" s="2" t="s">
        <v>337</v>
      </c>
      <c r="V203" s="2" t="s">
        <v>434</v>
      </c>
      <c r="W203" s="2" t="s">
        <v>561</v>
      </c>
      <c r="X203" s="2" t="s">
        <v>100</v>
      </c>
      <c r="Y203" s="2" t="s">
        <v>240</v>
      </c>
      <c r="Z203" s="4">
        <v>265</v>
      </c>
      <c r="AA203" s="4">
        <f>=ROUNDDOWN(14.7222222222222,0)</f>
      </c>
      <c r="AB203" s="5">
        <v>18</v>
      </c>
      <c r="AC203" s="2" t="s">
        <v>542</v>
      </c>
      <c r="AD203" s="4">
        <v>50</v>
      </c>
      <c r="AE203" s="4">
        <v>250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>
        <v>6</v>
      </c>
      <c r="AQ203" s="8">
        <v>423.36</v>
      </c>
      <c r="AR203" s="4"/>
      <c r="AS203" s="8"/>
      <c r="AT203" s="7"/>
      <c r="AU203" s="7"/>
      <c r="AV203" s="4">
        <v>6</v>
      </c>
      <c r="AW203" s="8">
        <v>423.36</v>
      </c>
      <c r="AX203" s="4"/>
      <c r="AY203" s="8"/>
      <c r="AZ203" s="7"/>
      <c r="BA203" s="7"/>
      <c r="BB203" s="7">
        <v>1</v>
      </c>
      <c r="BC203" s="4">
        <v>6</v>
      </c>
      <c r="BD203" s="8">
        <v>423.36</v>
      </c>
      <c r="BE203" s="4"/>
      <c r="BF203" s="8"/>
      <c r="BG203" s="7"/>
      <c r="BH203" s="7"/>
      <c r="BI203" s="7">
        <v>1</v>
      </c>
      <c r="BJ203" s="4">
        <v>447</v>
      </c>
      <c r="BK203" s="8">
        <v>32444.58</v>
      </c>
      <c r="BL203" s="2" t="s">
        <v>124</v>
      </c>
      <c r="BM203" s="7">
        <v>0.0134</v>
      </c>
      <c r="BN203" s="7">
        <v>0.013</v>
      </c>
      <c r="BO203" s="4">
        <v>6</v>
      </c>
      <c r="BP203" s="8">
        <v>423.36</v>
      </c>
      <c r="BQ203" s="4"/>
      <c r="BR203" s="8"/>
      <c r="BS203" s="7"/>
      <c r="BT203" s="7"/>
      <c r="BU203" s="2" t="s">
        <v>109</v>
      </c>
      <c r="BV203" s="2" t="s">
        <v>110</v>
      </c>
      <c r="BW203" s="2" t="s">
        <v>1085</v>
      </c>
      <c r="BX203" s="2" t="s">
        <v>1086</v>
      </c>
      <c r="BY203" s="2" t="s">
        <v>113</v>
      </c>
      <c r="BZ203" s="2" t="s">
        <v>100</v>
      </c>
    </row>
    <row r="204">
      <c r="A204" s="2" t="s">
        <v>1087</v>
      </c>
      <c r="B204" s="2" t="s">
        <v>87</v>
      </c>
      <c r="C204" s="2" t="s">
        <v>88</v>
      </c>
      <c r="D204" s="2" t="s">
        <v>803</v>
      </c>
      <c r="E204" s="2" t="s">
        <v>804</v>
      </c>
      <c r="F204" s="2" t="s">
        <v>1088</v>
      </c>
      <c r="G204" s="2" t="s">
        <v>1089</v>
      </c>
      <c r="H204" s="2" t="s">
        <v>196</v>
      </c>
      <c r="I204" s="2" t="s">
        <v>1083</v>
      </c>
      <c r="J204" s="2" t="s">
        <v>817</v>
      </c>
      <c r="K204" s="2" t="s">
        <v>469</v>
      </c>
      <c r="L204" s="3">
        <v>75.2</v>
      </c>
      <c r="M204" s="3">
        <v>78.96</v>
      </c>
      <c r="N204" s="3">
        <v>159.99</v>
      </c>
      <c r="O204" s="2" t="s">
        <v>97</v>
      </c>
      <c r="P204" s="2" t="s">
        <v>950</v>
      </c>
      <c r="Q204" s="2" t="s">
        <v>99</v>
      </c>
      <c r="R204" s="2" t="s">
        <v>100</v>
      </c>
      <c r="S204" s="2" t="s">
        <v>1090</v>
      </c>
      <c r="T204" s="2" t="s">
        <v>100</v>
      </c>
      <c r="U204" s="2" t="s">
        <v>337</v>
      </c>
      <c r="V204" s="2" t="s">
        <v>434</v>
      </c>
      <c r="W204" s="2" t="s">
        <v>202</v>
      </c>
      <c r="X204" s="2" t="s">
        <v>105</v>
      </c>
      <c r="Y204" s="2" t="s">
        <v>240</v>
      </c>
      <c r="Z204" s="4">
        <v>201</v>
      </c>
      <c r="AA204" s="4">
        <f>=ROUNDDOWN(28.7142857142857,0)</f>
      </c>
      <c r="AB204" s="5">
        <v>7</v>
      </c>
      <c r="AC204" s="2" t="s">
        <v>100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>
        <v>4</v>
      </c>
      <c r="AQ204" s="8">
        <v>304.84</v>
      </c>
      <c r="AR204" s="4"/>
      <c r="AS204" s="8"/>
      <c r="AT204" s="7"/>
      <c r="AU204" s="7"/>
      <c r="AV204" s="4">
        <v>4</v>
      </c>
      <c r="AW204" s="8">
        <v>304.84</v>
      </c>
      <c r="AX204" s="4"/>
      <c r="AY204" s="8"/>
      <c r="AZ204" s="7"/>
      <c r="BA204" s="7"/>
      <c r="BB204" s="7">
        <v>1</v>
      </c>
      <c r="BC204" s="4">
        <v>4</v>
      </c>
      <c r="BD204" s="8">
        <v>304.84</v>
      </c>
      <c r="BE204" s="4"/>
      <c r="BF204" s="8"/>
      <c r="BG204" s="7"/>
      <c r="BH204" s="7"/>
      <c r="BI204" s="7">
        <v>1</v>
      </c>
      <c r="BJ204" s="4">
        <v>152</v>
      </c>
      <c r="BK204" s="8">
        <v>11722.11</v>
      </c>
      <c r="BL204" s="2" t="s">
        <v>749</v>
      </c>
      <c r="BM204" s="7">
        <v>0.0263</v>
      </c>
      <c r="BN204" s="7">
        <v>0.026</v>
      </c>
      <c r="BO204" s="4">
        <v>4</v>
      </c>
      <c r="BP204" s="8">
        <v>304.84</v>
      </c>
      <c r="BQ204" s="4"/>
      <c r="BR204" s="8"/>
      <c r="BS204" s="7"/>
      <c r="BT204" s="7"/>
      <c r="BU204" s="2" t="s">
        <v>109</v>
      </c>
      <c r="BV204" s="2" t="s">
        <v>110</v>
      </c>
      <c r="BW204" s="2" t="s">
        <v>243</v>
      </c>
      <c r="BX204" s="2" t="s">
        <v>1091</v>
      </c>
      <c r="BY204" s="2" t="s">
        <v>113</v>
      </c>
      <c r="BZ204" s="2" t="s">
        <v>100</v>
      </c>
    </row>
    <row r="205">
      <c r="A205" s="2" t="s">
        <v>1092</v>
      </c>
      <c r="B205" s="2" t="s">
        <v>87</v>
      </c>
      <c r="C205" s="2" t="s">
        <v>88</v>
      </c>
      <c r="D205" s="2" t="s">
        <v>803</v>
      </c>
      <c r="E205" s="2" t="s">
        <v>804</v>
      </c>
      <c r="F205" s="2" t="s">
        <v>1093</v>
      </c>
      <c r="G205" s="2" t="s">
        <v>1094</v>
      </c>
      <c r="H205" s="2" t="s">
        <v>1095</v>
      </c>
      <c r="I205" s="2" t="s">
        <v>1096</v>
      </c>
      <c r="J205" s="2" t="s">
        <v>714</v>
      </c>
      <c r="K205" s="2" t="s">
        <v>278</v>
      </c>
      <c r="L205" s="3">
        <v>76.49</v>
      </c>
      <c r="M205" s="3">
        <v>80.32</v>
      </c>
      <c r="N205" s="3">
        <v>159.99</v>
      </c>
      <c r="O205" s="2" t="s">
        <v>97</v>
      </c>
      <c r="P205" s="2" t="s">
        <v>119</v>
      </c>
      <c r="Q205" s="2" t="s">
        <v>99</v>
      </c>
      <c r="R205" s="2" t="s">
        <v>100</v>
      </c>
      <c r="S205" s="2" t="s">
        <v>1097</v>
      </c>
      <c r="T205" s="2" t="s">
        <v>100</v>
      </c>
      <c r="U205" s="2" t="s">
        <v>337</v>
      </c>
      <c r="V205" s="2" t="s">
        <v>434</v>
      </c>
      <c r="W205" s="2" t="s">
        <v>104</v>
      </c>
      <c r="X205" s="2" t="s">
        <v>105</v>
      </c>
      <c r="Y205" s="2" t="s">
        <v>240</v>
      </c>
      <c r="Z205" s="4">
        <v>456</v>
      </c>
      <c r="AA205" s="4">
        <f>=ROUNDDOWN(57,0)</f>
      </c>
      <c r="AB205" s="5">
        <v>8</v>
      </c>
      <c r="AC205" s="2" t="s">
        <v>100</v>
      </c>
      <c r="AD205" s="4"/>
      <c r="AE205" s="4"/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>
        <v>2</v>
      </c>
      <c r="AQ205" s="8">
        <v>158.74</v>
      </c>
      <c r="AR205" s="4"/>
      <c r="AS205" s="8"/>
      <c r="AT205" s="7"/>
      <c r="AU205" s="7"/>
      <c r="AV205" s="4">
        <v>2</v>
      </c>
      <c r="AW205" s="8">
        <v>158.74</v>
      </c>
      <c r="AX205" s="4"/>
      <c r="AY205" s="8"/>
      <c r="AZ205" s="7"/>
      <c r="BA205" s="7"/>
      <c r="BB205" s="7">
        <v>1</v>
      </c>
      <c r="BC205" s="4">
        <v>4</v>
      </c>
      <c r="BD205" s="8">
        <v>294.8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>
        <v>0.5385</v>
      </c>
      <c r="BJ205" s="4">
        <v>228</v>
      </c>
      <c r="BK205" s="8">
        <v>17215.83</v>
      </c>
      <c r="BL205" s="2" t="s">
        <v>1098</v>
      </c>
      <c r="BM205" s="7">
        <v>0.0088</v>
      </c>
      <c r="BN205" s="7">
        <v>0.0092</v>
      </c>
      <c r="BO205" s="4">
        <v>2</v>
      </c>
      <c r="BP205" s="8">
        <v>158.74</v>
      </c>
      <c r="BQ205" s="4"/>
      <c r="BR205" s="8"/>
      <c r="BS205" s="7"/>
      <c r="BT205" s="7"/>
      <c r="BU205" s="2" t="s">
        <v>109</v>
      </c>
      <c r="BV205" s="2" t="s">
        <v>110</v>
      </c>
      <c r="BW205" s="2" t="s">
        <v>243</v>
      </c>
      <c r="BX205" s="2" t="s">
        <v>1099</v>
      </c>
      <c r="BY205" s="2" t="s">
        <v>113</v>
      </c>
      <c r="BZ205" s="2" t="s">
        <v>100</v>
      </c>
    </row>
    <row r="206">
      <c r="A206" s="2" t="s">
        <v>1100</v>
      </c>
      <c r="B206" s="2" t="s">
        <v>87</v>
      </c>
      <c r="C206" s="2" t="s">
        <v>88</v>
      </c>
      <c r="D206" s="2" t="s">
        <v>803</v>
      </c>
      <c r="E206" s="2" t="s">
        <v>804</v>
      </c>
      <c r="F206" s="2" t="s">
        <v>1093</v>
      </c>
      <c r="G206" s="2" t="s">
        <v>1094</v>
      </c>
      <c r="H206" s="2" t="s">
        <v>1095</v>
      </c>
      <c r="I206" s="2" t="s">
        <v>1096</v>
      </c>
      <c r="J206" s="2" t="s">
        <v>706</v>
      </c>
      <c r="K206" s="2" t="s">
        <v>469</v>
      </c>
      <c r="L206" s="3">
        <v>66.29</v>
      </c>
      <c r="M206" s="3">
        <v>69.61</v>
      </c>
      <c r="N206" s="3">
        <v>139.99</v>
      </c>
      <c r="O206" s="2" t="s">
        <v>97</v>
      </c>
      <c r="P206" s="2" t="s">
        <v>119</v>
      </c>
      <c r="Q206" s="2" t="s">
        <v>99</v>
      </c>
      <c r="R206" s="2" t="s">
        <v>100</v>
      </c>
      <c r="S206" s="2" t="s">
        <v>1101</v>
      </c>
      <c r="T206" s="2" t="s">
        <v>100</v>
      </c>
      <c r="U206" s="2" t="s">
        <v>337</v>
      </c>
      <c r="V206" s="2" t="s">
        <v>434</v>
      </c>
      <c r="W206" s="2" t="s">
        <v>104</v>
      </c>
      <c r="X206" s="2" t="s">
        <v>105</v>
      </c>
      <c r="Y206" s="2" t="s">
        <v>240</v>
      </c>
      <c r="Z206" s="4">
        <v>627</v>
      </c>
      <c r="AA206" s="4">
        <f>=ROUNDDOWN(41.8,0)</f>
      </c>
      <c r="AB206" s="5">
        <v>15</v>
      </c>
      <c r="AC206" s="2" t="s">
        <v>1102</v>
      </c>
      <c r="AD206" s="4">
        <v>540</v>
      </c>
      <c r="AE206" s="4">
        <v>640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>
        <v>2</v>
      </c>
      <c r="AQ206" s="8">
        <v>136.06</v>
      </c>
      <c r="AR206" s="4"/>
      <c r="AS206" s="8"/>
      <c r="AT206" s="7"/>
      <c r="AU206" s="7"/>
      <c r="AV206" s="4">
        <v>2</v>
      </c>
      <c r="AW206" s="8">
        <v>136.06</v>
      </c>
      <c r="AX206" s="4"/>
      <c r="AY206" s="8"/>
      <c r="AZ206" s="7"/>
      <c r="BA206" s="7"/>
      <c r="BB206" s="7">
        <v>1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0.4615</v>
      </c>
      <c r="BJ206" s="4">
        <v>330</v>
      </c>
      <c r="BK206" s="8">
        <v>22121.5</v>
      </c>
      <c r="BL206" s="2" t="s">
        <v>1103</v>
      </c>
      <c r="BM206" s="7">
        <v>0.0061</v>
      </c>
      <c r="BN206" s="7">
        <v>0.0062</v>
      </c>
      <c r="BO206" s="4">
        <v>2</v>
      </c>
      <c r="BP206" s="8">
        <v>136.06</v>
      </c>
      <c r="BQ206" s="4"/>
      <c r="BR206" s="8"/>
      <c r="BS206" s="7"/>
      <c r="BT206" s="7"/>
      <c r="BU206" s="2" t="s">
        <v>109</v>
      </c>
      <c r="BV206" s="2" t="s">
        <v>110</v>
      </c>
      <c r="BW206" s="2" t="s">
        <v>243</v>
      </c>
      <c r="BX206" s="2" t="s">
        <v>244</v>
      </c>
      <c r="BY206" s="2" t="s">
        <v>113</v>
      </c>
      <c r="BZ206" s="2" t="s">
        <v>100</v>
      </c>
    </row>
    <row r="207">
      <c r="A207" s="2" t="s">
        <v>1104</v>
      </c>
      <c r="B207" s="2" t="s">
        <v>87</v>
      </c>
      <c r="C207" s="2" t="s">
        <v>88</v>
      </c>
      <c r="D207" s="2" t="s">
        <v>803</v>
      </c>
      <c r="E207" s="2" t="s">
        <v>804</v>
      </c>
      <c r="F207" s="2" t="s">
        <v>250</v>
      </c>
      <c r="G207" s="2" t="s">
        <v>251</v>
      </c>
      <c r="H207" s="2" t="s">
        <v>252</v>
      </c>
      <c r="I207" s="2" t="s">
        <v>1105</v>
      </c>
      <c r="J207" s="2" t="s">
        <v>237</v>
      </c>
      <c r="K207" s="2" t="s">
        <v>254</v>
      </c>
      <c r="L207" s="3">
        <v>49.68</v>
      </c>
      <c r="M207" s="3">
        <v>52.16</v>
      </c>
      <c r="N207" s="3">
        <v>99.99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255</v>
      </c>
      <c r="T207" s="2" t="s">
        <v>100</v>
      </c>
      <c r="U207" s="2" t="s">
        <v>102</v>
      </c>
      <c r="V207" s="2" t="s">
        <v>256</v>
      </c>
      <c r="W207" s="2" t="s">
        <v>104</v>
      </c>
      <c r="X207" s="2" t="s">
        <v>257</v>
      </c>
      <c r="Y207" s="2" t="s">
        <v>240</v>
      </c>
      <c r="Z207" s="4">
        <v>172</v>
      </c>
      <c r="AA207" s="4">
        <f>=ROUNDDOWN(34.4,0)</f>
      </c>
      <c r="AB207" s="5">
        <v>5</v>
      </c>
      <c r="AC207" s="2" t="s">
        <v>135</v>
      </c>
      <c r="AD207" s="4">
        <v>190</v>
      </c>
      <c r="AE207" s="4">
        <v>190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>
        <v>3</v>
      </c>
      <c r="AQ207" s="8">
        <v>170.07</v>
      </c>
      <c r="AR207" s="4"/>
      <c r="AS207" s="8"/>
      <c r="AT207" s="7"/>
      <c r="AU207" s="7"/>
      <c r="AV207" s="4">
        <v>4</v>
      </c>
      <c r="AW207" s="8">
        <v>255.11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0.6667</v>
      </c>
      <c r="BC207" s="4">
        <v>4</v>
      </c>
      <c r="BD207" s="8">
        <v>255.11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1</v>
      </c>
      <c r="BJ207" s="4">
        <v>106</v>
      </c>
      <c r="BK207" s="8">
        <v>5881.53</v>
      </c>
      <c r="BL207" s="2" t="s">
        <v>1106</v>
      </c>
      <c r="BM207" s="7">
        <v>0.0283</v>
      </c>
      <c r="BN207" s="7">
        <v>0.0289</v>
      </c>
      <c r="BO207" s="4">
        <v>3</v>
      </c>
      <c r="BP207" s="8">
        <v>170.07</v>
      </c>
      <c r="BQ207" s="4"/>
      <c r="BR207" s="8"/>
      <c r="BS207" s="7"/>
      <c r="BT207" s="7"/>
      <c r="BU207" s="2" t="s">
        <v>109</v>
      </c>
      <c r="BV207" s="2" t="s">
        <v>110</v>
      </c>
      <c r="BW207" s="2" t="s">
        <v>243</v>
      </c>
      <c r="BX207" s="2" t="s">
        <v>312</v>
      </c>
      <c r="BY207" s="2" t="s">
        <v>113</v>
      </c>
      <c r="BZ207" s="2" t="s">
        <v>245</v>
      </c>
    </row>
    <row r="208">
      <c r="A208" s="2" t="s">
        <v>1107</v>
      </c>
      <c r="B208" s="2" t="s">
        <v>87</v>
      </c>
      <c r="C208" s="2" t="s">
        <v>88</v>
      </c>
      <c r="D208" s="2" t="s">
        <v>803</v>
      </c>
      <c r="E208" s="2" t="s">
        <v>804</v>
      </c>
      <c r="F208" s="2" t="s">
        <v>250</v>
      </c>
      <c r="G208" s="2" t="s">
        <v>251</v>
      </c>
      <c r="H208" s="2" t="s">
        <v>252</v>
      </c>
      <c r="I208" s="2" t="s">
        <v>1105</v>
      </c>
      <c r="J208" s="2" t="s">
        <v>817</v>
      </c>
      <c r="K208" s="2" t="s">
        <v>254</v>
      </c>
      <c r="L208" s="3">
        <v>74.96</v>
      </c>
      <c r="M208" s="3">
        <v>78.71</v>
      </c>
      <c r="N208" s="3">
        <v>149.99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255</v>
      </c>
      <c r="T208" s="2" t="s">
        <v>100</v>
      </c>
      <c r="U208" s="2" t="s">
        <v>337</v>
      </c>
      <c r="V208" s="2" t="s">
        <v>256</v>
      </c>
      <c r="W208" s="2" t="s">
        <v>104</v>
      </c>
      <c r="X208" s="2" t="s">
        <v>257</v>
      </c>
      <c r="Y208" s="2" t="s">
        <v>240</v>
      </c>
      <c r="Z208" s="4">
        <v>216</v>
      </c>
      <c r="AA208" s="4">
        <f>=ROUNDDOWN(43.2,0)</f>
      </c>
      <c r="AB208" s="5">
        <v>5</v>
      </c>
      <c r="AC208" s="2" t="s">
        <v>135</v>
      </c>
      <c r="AD208" s="4">
        <v>100</v>
      </c>
      <c r="AE208" s="4">
        <v>100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>
        <v>1</v>
      </c>
      <c r="AQ208" s="8">
        <v>85.04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0.3333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93</v>
      </c>
      <c r="BK208" s="8">
        <v>7081.37</v>
      </c>
      <c r="BL208" s="2" t="s">
        <v>1108</v>
      </c>
      <c r="BM208" s="7">
        <v>0.0108</v>
      </c>
      <c r="BN208" s="7">
        <v>0.012</v>
      </c>
      <c r="BO208" s="4">
        <v>1</v>
      </c>
      <c r="BP208" s="8">
        <v>85.04</v>
      </c>
      <c r="BQ208" s="4"/>
      <c r="BR208" s="8"/>
      <c r="BS208" s="7"/>
      <c r="BT208" s="7"/>
      <c r="BU208" s="2" t="s">
        <v>109</v>
      </c>
      <c r="BV208" s="2" t="s">
        <v>110</v>
      </c>
      <c r="BW208" s="2" t="s">
        <v>243</v>
      </c>
      <c r="BX208" s="2" t="s">
        <v>312</v>
      </c>
      <c r="BY208" s="2" t="s">
        <v>113</v>
      </c>
      <c r="BZ208" s="2" t="s">
        <v>245</v>
      </c>
    </row>
    <row r="209">
      <c r="A209" s="2" t="s">
        <v>1109</v>
      </c>
      <c r="B209" s="2" t="s">
        <v>87</v>
      </c>
      <c r="C209" s="2" t="s">
        <v>88</v>
      </c>
      <c r="D209" s="2" t="s">
        <v>803</v>
      </c>
      <c r="E209" s="2" t="s">
        <v>804</v>
      </c>
      <c r="F209" s="2" t="s">
        <v>1110</v>
      </c>
      <c r="G209" s="2" t="s">
        <v>1111</v>
      </c>
      <c r="H209" s="2" t="s">
        <v>1112</v>
      </c>
      <c r="I209" s="2" t="s">
        <v>1113</v>
      </c>
      <c r="J209" s="2" t="s">
        <v>714</v>
      </c>
      <c r="K209" s="2" t="s">
        <v>629</v>
      </c>
      <c r="L209" s="3">
        <v>76.49</v>
      </c>
      <c r="M209" s="3">
        <v>80.32</v>
      </c>
      <c r="N209" s="3">
        <v>149.99</v>
      </c>
      <c r="O209" s="2" t="s">
        <v>97</v>
      </c>
      <c r="P209" s="2" t="s">
        <v>119</v>
      </c>
      <c r="Q209" s="2" t="s">
        <v>99</v>
      </c>
      <c r="R209" s="2" t="s">
        <v>100</v>
      </c>
      <c r="S209" s="2" t="s">
        <v>1114</v>
      </c>
      <c r="T209" s="2" t="s">
        <v>100</v>
      </c>
      <c r="U209" s="2" t="s">
        <v>337</v>
      </c>
      <c r="V209" s="2" t="s">
        <v>434</v>
      </c>
      <c r="W209" s="2" t="s">
        <v>561</v>
      </c>
      <c r="X209" s="2" t="s">
        <v>404</v>
      </c>
      <c r="Y209" s="2" t="s">
        <v>240</v>
      </c>
      <c r="Z209" s="4">
        <v>415</v>
      </c>
      <c r="AA209" s="4">
        <f>=ROUNDDOWN(25.9375,0)</f>
      </c>
      <c r="AB209" s="5">
        <v>16</v>
      </c>
      <c r="AC209" s="2" t="s">
        <v>1115</v>
      </c>
      <c r="AD209" s="4">
        <v>310</v>
      </c>
      <c r="AE209" s="4">
        <v>310</v>
      </c>
      <c r="AF209" s="6">
        <v>64</v>
      </c>
      <c r="AG209" s="6">
        <v>47</v>
      </c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0.1444</v>
      </c>
      <c r="AP209" s="4">
        <v>3</v>
      </c>
      <c r="AQ209" s="8">
        <v>220.5</v>
      </c>
      <c r="AR209" s="4"/>
      <c r="AS209" s="8"/>
      <c r="AT209" s="7"/>
      <c r="AU209" s="7"/>
      <c r="AV209" s="4">
        <v>3</v>
      </c>
      <c r="AW209" s="8">
        <v>220.5</v>
      </c>
      <c r="AX209" s="4"/>
      <c r="AY209" s="8"/>
      <c r="AZ209" s="7"/>
      <c r="BA209" s="7"/>
      <c r="BB209" s="7">
        <v>1</v>
      </c>
      <c r="BC209" s="4">
        <v>3</v>
      </c>
      <c r="BD209" s="8">
        <v>220.5</v>
      </c>
      <c r="BE209" s="4"/>
      <c r="BF209" s="8"/>
      <c r="BG209" s="7"/>
      <c r="BH209" s="7"/>
      <c r="BI209" s="7">
        <v>1</v>
      </c>
      <c r="BJ209" s="4">
        <v>399</v>
      </c>
      <c r="BK209" s="8">
        <v>31501.65</v>
      </c>
      <c r="BL209" s="2" t="s">
        <v>1116</v>
      </c>
      <c r="BM209" s="7">
        <v>0.0075</v>
      </c>
      <c r="BN209" s="7">
        <v>0.007</v>
      </c>
      <c r="BO209" s="4">
        <v>3</v>
      </c>
      <c r="BP209" s="8">
        <v>220.5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243</v>
      </c>
      <c r="BX209" s="2" t="s">
        <v>1117</v>
      </c>
      <c r="BY209" s="2" t="s">
        <v>113</v>
      </c>
      <c r="BZ209" s="2" t="s">
        <v>100</v>
      </c>
    </row>
    <row r="210">
      <c r="A210" s="2" t="s">
        <v>1118</v>
      </c>
      <c r="B210" s="2" t="s">
        <v>87</v>
      </c>
      <c r="C210" s="2" t="s">
        <v>88</v>
      </c>
      <c r="D210" s="2" t="s">
        <v>803</v>
      </c>
      <c r="E210" s="2" t="s">
        <v>804</v>
      </c>
      <c r="F210" s="2" t="s">
        <v>1119</v>
      </c>
      <c r="G210" s="2" t="s">
        <v>1120</v>
      </c>
      <c r="H210" s="2" t="s">
        <v>1121</v>
      </c>
      <c r="I210" s="2" t="s">
        <v>1122</v>
      </c>
      <c r="J210" s="2" t="s">
        <v>817</v>
      </c>
      <c r="K210" s="2" t="s">
        <v>189</v>
      </c>
      <c r="L210" s="3">
        <v>68.6</v>
      </c>
      <c r="M210" s="3">
        <v>72.02</v>
      </c>
      <c r="N210" s="3">
        <v>139.99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1123</v>
      </c>
      <c r="T210" s="2" t="s">
        <v>100</v>
      </c>
      <c r="U210" s="2" t="s">
        <v>171</v>
      </c>
      <c r="V210" s="2" t="s">
        <v>146</v>
      </c>
      <c r="W210" s="2" t="s">
        <v>158</v>
      </c>
      <c r="X210" s="2" t="s">
        <v>697</v>
      </c>
      <c r="Y210" s="2" t="s">
        <v>240</v>
      </c>
      <c r="Z210" s="4">
        <v>286</v>
      </c>
      <c r="AA210" s="4">
        <f>=ROUNDDOWN(40.8571428571429,0)</f>
      </c>
      <c r="AB210" s="5">
        <v>7</v>
      </c>
      <c r="AC210" s="2" t="s">
        <v>356</v>
      </c>
      <c r="AD210" s="4">
        <v>230</v>
      </c>
      <c r="AE210" s="4">
        <v>360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>
        <v>3</v>
      </c>
      <c r="AQ210" s="8">
        <v>196.56</v>
      </c>
      <c r="AR210" s="4"/>
      <c r="AS210" s="8"/>
      <c r="AT210" s="7"/>
      <c r="AU210" s="7"/>
      <c r="AV210" s="4">
        <v>3</v>
      </c>
      <c r="AW210" s="8">
        <v>196.56</v>
      </c>
      <c r="AX210" s="4"/>
      <c r="AY210" s="8"/>
      <c r="AZ210" s="7"/>
      <c r="BA210" s="7"/>
      <c r="BB210" s="7">
        <v>1</v>
      </c>
      <c r="BC210" s="4">
        <v>3</v>
      </c>
      <c r="BD210" s="8">
        <v>196.56</v>
      </c>
      <c r="BE210" s="4"/>
      <c r="BF210" s="8"/>
      <c r="BG210" s="7"/>
      <c r="BH210" s="7"/>
      <c r="BI210" s="7">
        <v>1</v>
      </c>
      <c r="BJ210" s="4">
        <v>124</v>
      </c>
      <c r="BK210" s="8">
        <v>8269.64</v>
      </c>
      <c r="BL210" s="2" t="s">
        <v>1124</v>
      </c>
      <c r="BM210" s="7">
        <v>0.0242</v>
      </c>
      <c r="BN210" s="7">
        <v>0.0238</v>
      </c>
      <c r="BO210" s="4">
        <v>3</v>
      </c>
      <c r="BP210" s="8">
        <v>196.56</v>
      </c>
      <c r="BQ210" s="4"/>
      <c r="BR210" s="8"/>
      <c r="BS210" s="7"/>
      <c r="BT210" s="7"/>
      <c r="BU210" s="2" t="s">
        <v>109</v>
      </c>
      <c r="BV210" s="2" t="s">
        <v>110</v>
      </c>
      <c r="BW210" s="2" t="s">
        <v>1085</v>
      </c>
      <c r="BX210" s="2" t="s">
        <v>1125</v>
      </c>
      <c r="BY210" s="2" t="s">
        <v>113</v>
      </c>
      <c r="BZ210" s="2" t="s">
        <v>100</v>
      </c>
    </row>
    <row r="211">
      <c r="A211" s="2" t="s">
        <v>1126</v>
      </c>
      <c r="B211" s="2" t="s">
        <v>87</v>
      </c>
      <c r="C211" s="2" t="s">
        <v>88</v>
      </c>
      <c r="D211" s="2" t="s">
        <v>803</v>
      </c>
      <c r="E211" s="2" t="s">
        <v>804</v>
      </c>
      <c r="F211" s="2" t="s">
        <v>1127</v>
      </c>
      <c r="G211" s="2" t="s">
        <v>1128</v>
      </c>
      <c r="H211" s="2" t="s">
        <v>1129</v>
      </c>
      <c r="I211" s="2" t="s">
        <v>1130</v>
      </c>
      <c r="J211" s="2" t="s">
        <v>817</v>
      </c>
      <c r="K211" s="2" t="s">
        <v>1131</v>
      </c>
      <c r="L211" s="3">
        <v>76.8</v>
      </c>
      <c r="M211" s="3">
        <v>80.63</v>
      </c>
      <c r="N211" s="3">
        <v>159.99</v>
      </c>
      <c r="O211" s="2" t="s">
        <v>97</v>
      </c>
      <c r="P211" s="2" t="s">
        <v>119</v>
      </c>
      <c r="Q211" s="2" t="s">
        <v>99</v>
      </c>
      <c r="R211" s="2" t="s">
        <v>100</v>
      </c>
      <c r="S211" s="2" t="s">
        <v>1132</v>
      </c>
      <c r="T211" s="2" t="s">
        <v>100</v>
      </c>
      <c r="U211" s="2" t="s">
        <v>337</v>
      </c>
      <c r="V211" s="2" t="s">
        <v>403</v>
      </c>
      <c r="W211" s="2" t="s">
        <v>104</v>
      </c>
      <c r="X211" s="2" t="s">
        <v>1133</v>
      </c>
      <c r="Y211" s="2" t="s">
        <v>240</v>
      </c>
      <c r="Z211" s="4">
        <v>231</v>
      </c>
      <c r="AA211" s="4">
        <f>=ROUNDDOWN(46.2,0)</f>
      </c>
      <c r="AB211" s="5">
        <v>5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2</v>
      </c>
      <c r="AQ211" s="8">
        <v>146.98</v>
      </c>
      <c r="AR211" s="4"/>
      <c r="AS211" s="8"/>
      <c r="AT211" s="7"/>
      <c r="AU211" s="7"/>
      <c r="AV211" s="4">
        <v>2</v>
      </c>
      <c r="AW211" s="8">
        <v>146.98</v>
      </c>
      <c r="AX211" s="4"/>
      <c r="AY211" s="8"/>
      <c r="AZ211" s="7"/>
      <c r="BA211" s="7"/>
      <c r="BB211" s="7">
        <v>1</v>
      </c>
      <c r="BC211" s="4">
        <v>2</v>
      </c>
      <c r="BD211" s="8">
        <v>146.98</v>
      </c>
      <c r="BE211" s="4"/>
      <c r="BF211" s="8"/>
      <c r="BG211" s="7"/>
      <c r="BH211" s="7"/>
      <c r="BI211" s="7">
        <v>1</v>
      </c>
      <c r="BJ211" s="4">
        <v>116</v>
      </c>
      <c r="BK211" s="8">
        <v>8611.89</v>
      </c>
      <c r="BL211" s="2" t="s">
        <v>1134</v>
      </c>
      <c r="BM211" s="7">
        <v>0.0172</v>
      </c>
      <c r="BN211" s="7">
        <v>0.0171</v>
      </c>
      <c r="BO211" s="4">
        <v>2</v>
      </c>
      <c r="BP211" s="8">
        <v>146.98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243</v>
      </c>
      <c r="BX211" s="2" t="s">
        <v>874</v>
      </c>
      <c r="BY211" s="2" t="s">
        <v>113</v>
      </c>
      <c r="BZ211" s="2" t="s">
        <v>100</v>
      </c>
    </row>
    <row r="212">
      <c r="A212" s="2" t="s">
        <v>1135</v>
      </c>
      <c r="B212" s="2" t="s">
        <v>87</v>
      </c>
      <c r="C212" s="2" t="s">
        <v>88</v>
      </c>
      <c r="D212" s="2" t="s">
        <v>803</v>
      </c>
      <c r="E212" s="2" t="s">
        <v>804</v>
      </c>
      <c r="F212" s="2" t="s">
        <v>1136</v>
      </c>
      <c r="G212" s="2" t="s">
        <v>1137</v>
      </c>
      <c r="H212" s="2" t="s">
        <v>1138</v>
      </c>
      <c r="I212" s="2" t="s">
        <v>1139</v>
      </c>
      <c r="J212" s="2" t="s">
        <v>247</v>
      </c>
      <c r="K212" s="2" t="s">
        <v>198</v>
      </c>
      <c r="L212" s="3">
        <v>41.14</v>
      </c>
      <c r="M212" s="3">
        <v>43.2</v>
      </c>
      <c r="N212" s="3">
        <v>89.99</v>
      </c>
      <c r="O212" s="2" t="s">
        <v>97</v>
      </c>
      <c r="P212" s="2" t="s">
        <v>119</v>
      </c>
      <c r="Q212" s="2" t="s">
        <v>99</v>
      </c>
      <c r="R212" s="2" t="s">
        <v>100</v>
      </c>
      <c r="S212" s="2" t="s">
        <v>1140</v>
      </c>
      <c r="T212" s="2" t="s">
        <v>200</v>
      </c>
      <c r="U212" s="2" t="s">
        <v>171</v>
      </c>
      <c r="V212" s="2" t="s">
        <v>434</v>
      </c>
      <c r="W212" s="2" t="s">
        <v>104</v>
      </c>
      <c r="X212" s="2" t="s">
        <v>309</v>
      </c>
      <c r="Y212" s="2" t="s">
        <v>1141</v>
      </c>
      <c r="Z212" s="4">
        <v>88</v>
      </c>
      <c r="AA212" s="4">
        <f>=ROUNDDOWN(6.28571428571429,0)</f>
      </c>
      <c r="AB212" s="5">
        <v>14</v>
      </c>
      <c r="AC212" s="2" t="s">
        <v>562</v>
      </c>
      <c r="AD212" s="4">
        <v>170</v>
      </c>
      <c r="AE212" s="4">
        <v>340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238</v>
      </c>
      <c r="BK212" s="8">
        <v>11041.87</v>
      </c>
      <c r="BL212" s="2" t="s">
        <v>418</v>
      </c>
      <c r="BM212" s="7"/>
      <c r="BN212" s="7"/>
      <c r="BO212" s="4"/>
      <c r="BP212" s="8"/>
      <c r="BQ212" s="4"/>
      <c r="BR212" s="8"/>
      <c r="BS212" s="7"/>
      <c r="BT212" s="7"/>
      <c r="BU212" s="2" t="s">
        <v>207</v>
      </c>
      <c r="BV212" s="2" t="s">
        <v>97</v>
      </c>
      <c r="BW212" s="2" t="s">
        <v>100</v>
      </c>
      <c r="BX212" s="2" t="s">
        <v>100</v>
      </c>
      <c r="BY212" s="2" t="s">
        <v>113</v>
      </c>
      <c r="BZ212" s="2" t="s">
        <v>100</v>
      </c>
    </row>
    <row r="213">
      <c r="A213" s="2" t="s">
        <v>1142</v>
      </c>
      <c r="B213" s="2" t="s">
        <v>87</v>
      </c>
      <c r="C213" s="2" t="s">
        <v>88</v>
      </c>
      <c r="D213" s="2" t="s">
        <v>803</v>
      </c>
      <c r="E213" s="2" t="s">
        <v>804</v>
      </c>
      <c r="F213" s="2" t="s">
        <v>1136</v>
      </c>
      <c r="G213" s="2" t="s">
        <v>1137</v>
      </c>
      <c r="H213" s="2" t="s">
        <v>1138</v>
      </c>
      <c r="I213" s="2" t="s">
        <v>1139</v>
      </c>
      <c r="J213" s="2" t="s">
        <v>270</v>
      </c>
      <c r="K213" s="2" t="s">
        <v>198</v>
      </c>
      <c r="L213" s="3">
        <v>45.71</v>
      </c>
      <c r="M213" s="3">
        <v>48</v>
      </c>
      <c r="N213" s="3">
        <v>99.99</v>
      </c>
      <c r="O213" s="2" t="s">
        <v>97</v>
      </c>
      <c r="P213" s="2" t="s">
        <v>119</v>
      </c>
      <c r="Q213" s="2" t="s">
        <v>99</v>
      </c>
      <c r="R213" s="2" t="s">
        <v>100</v>
      </c>
      <c r="S213" s="2" t="s">
        <v>1140</v>
      </c>
      <c r="T213" s="2" t="s">
        <v>200</v>
      </c>
      <c r="U213" s="2" t="s">
        <v>171</v>
      </c>
      <c r="V213" s="2" t="s">
        <v>434</v>
      </c>
      <c r="W213" s="2" t="s">
        <v>104</v>
      </c>
      <c r="X213" s="2" t="s">
        <v>309</v>
      </c>
      <c r="Y213" s="2" t="s">
        <v>1141</v>
      </c>
      <c r="Z213" s="4">
        <v>157</v>
      </c>
      <c r="AA213" s="4">
        <f>=ROUNDDOWN(8.72222222222222,0)</f>
      </c>
      <c r="AB213" s="5">
        <v>18</v>
      </c>
      <c r="AC213" s="2" t="s">
        <v>562</v>
      </c>
      <c r="AD213" s="4">
        <v>230</v>
      </c>
      <c r="AE213" s="4">
        <v>460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262</v>
      </c>
      <c r="BK213" s="8">
        <v>13576.51</v>
      </c>
      <c r="BL213" s="2" t="s">
        <v>418</v>
      </c>
      <c r="BM213" s="7"/>
      <c r="BN213" s="7"/>
      <c r="BO213" s="4"/>
      <c r="BP213" s="8"/>
      <c r="BQ213" s="4"/>
      <c r="BR213" s="8"/>
      <c r="BS213" s="7"/>
      <c r="BT213" s="7"/>
      <c r="BU213" s="2" t="s">
        <v>207</v>
      </c>
      <c r="BV213" s="2" t="s">
        <v>97</v>
      </c>
      <c r="BW213" s="2" t="s">
        <v>100</v>
      </c>
      <c r="BX213" s="2" t="s">
        <v>100</v>
      </c>
      <c r="BY213" s="2" t="s">
        <v>113</v>
      </c>
      <c r="BZ213" s="2" t="s">
        <v>100</v>
      </c>
    </row>
    <row r="214">
      <c r="A214" s="2" t="s">
        <v>1143</v>
      </c>
      <c r="B214" s="2" t="s">
        <v>87</v>
      </c>
      <c r="C214" s="2" t="s">
        <v>88</v>
      </c>
      <c r="D214" s="2" t="s">
        <v>803</v>
      </c>
      <c r="E214" s="2" t="s">
        <v>804</v>
      </c>
      <c r="F214" s="2" t="s">
        <v>1144</v>
      </c>
      <c r="G214" s="2" t="s">
        <v>1145</v>
      </c>
      <c r="H214" s="2" t="s">
        <v>1146</v>
      </c>
      <c r="I214" s="2" t="s">
        <v>1147</v>
      </c>
      <c r="J214" s="2" t="s">
        <v>706</v>
      </c>
      <c r="K214" s="2" t="s">
        <v>1148</v>
      </c>
      <c r="L214" s="3">
        <v>67.16</v>
      </c>
      <c r="M214" s="3">
        <v>70.52</v>
      </c>
      <c r="N214" s="3">
        <v>149.99</v>
      </c>
      <c r="O214" s="2" t="s">
        <v>97</v>
      </c>
      <c r="P214" s="2" t="s">
        <v>950</v>
      </c>
      <c r="Q214" s="2" t="s">
        <v>99</v>
      </c>
      <c r="R214" s="2" t="s">
        <v>100</v>
      </c>
      <c r="S214" s="2" t="s">
        <v>1149</v>
      </c>
      <c r="T214" s="2" t="s">
        <v>100</v>
      </c>
      <c r="U214" s="2" t="s">
        <v>337</v>
      </c>
      <c r="V214" s="2" t="s">
        <v>1150</v>
      </c>
      <c r="W214" s="2" t="s">
        <v>561</v>
      </c>
      <c r="X214" s="2" t="s">
        <v>1151</v>
      </c>
      <c r="Y214" s="2" t="s">
        <v>647</v>
      </c>
      <c r="Z214" s="4">
        <v>443</v>
      </c>
      <c r="AA214" s="4">
        <f>=ROUNDDOWN(22.15,0)</f>
      </c>
      <c r="AB214" s="5">
        <v>20</v>
      </c>
      <c r="AC214" s="2" t="s">
        <v>562</v>
      </c>
      <c r="AD214" s="4">
        <v>180</v>
      </c>
      <c r="AE214" s="4">
        <v>250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485</v>
      </c>
      <c r="BK214" s="8">
        <v>35355.01</v>
      </c>
      <c r="BL214" s="2" t="s">
        <v>1152</v>
      </c>
      <c r="BM214" s="7"/>
      <c r="BN214" s="7"/>
      <c r="BO214" s="4"/>
      <c r="BP214" s="8"/>
      <c r="BQ214" s="4"/>
      <c r="BR214" s="8"/>
      <c r="BS214" s="7"/>
      <c r="BT214" s="7"/>
      <c r="BU214" s="2" t="s">
        <v>207</v>
      </c>
      <c r="BV214" s="2" t="s">
        <v>97</v>
      </c>
      <c r="BW214" s="2" t="s">
        <v>100</v>
      </c>
      <c r="BX214" s="2" t="s">
        <v>100</v>
      </c>
      <c r="BY214" s="2" t="s">
        <v>113</v>
      </c>
      <c r="BZ214" s="2" t="s">
        <v>100</v>
      </c>
    </row>
    <row r="215">
      <c r="A215" s="2" t="s">
        <v>1153</v>
      </c>
      <c r="B215" s="2" t="s">
        <v>87</v>
      </c>
      <c r="C215" s="2" t="s">
        <v>88</v>
      </c>
      <c r="D215" s="2" t="s">
        <v>803</v>
      </c>
      <c r="E215" s="2" t="s">
        <v>804</v>
      </c>
      <c r="F215" s="2" t="s">
        <v>1144</v>
      </c>
      <c r="G215" s="2" t="s">
        <v>1145</v>
      </c>
      <c r="H215" s="2" t="s">
        <v>1146</v>
      </c>
      <c r="I215" s="2" t="s">
        <v>1147</v>
      </c>
      <c r="J215" s="2" t="s">
        <v>714</v>
      </c>
      <c r="K215" s="2" t="s">
        <v>1148</v>
      </c>
      <c r="L215" s="3">
        <v>77.49</v>
      </c>
      <c r="M215" s="3">
        <v>81.37</v>
      </c>
      <c r="N215" s="3">
        <v>169.99</v>
      </c>
      <c r="O215" s="2" t="s">
        <v>97</v>
      </c>
      <c r="P215" s="2" t="s">
        <v>950</v>
      </c>
      <c r="Q215" s="2" t="s">
        <v>99</v>
      </c>
      <c r="R215" s="2" t="s">
        <v>100</v>
      </c>
      <c r="S215" s="2" t="s">
        <v>1149</v>
      </c>
      <c r="T215" s="2" t="s">
        <v>100</v>
      </c>
      <c r="U215" s="2" t="s">
        <v>337</v>
      </c>
      <c r="V215" s="2" t="s">
        <v>1150</v>
      </c>
      <c r="W215" s="2" t="s">
        <v>561</v>
      </c>
      <c r="X215" s="2" t="s">
        <v>1151</v>
      </c>
      <c r="Y215" s="2" t="s">
        <v>647</v>
      </c>
      <c r="Z215" s="4">
        <v>184</v>
      </c>
      <c r="AA215" s="4">
        <f>=ROUNDDOWN(9.2,0)</f>
      </c>
      <c r="AB215" s="5">
        <v>20</v>
      </c>
      <c r="AC215" s="2" t="s">
        <v>562</v>
      </c>
      <c r="AD215" s="4">
        <v>370</v>
      </c>
      <c r="AE215" s="4">
        <v>410</v>
      </c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529</v>
      </c>
      <c r="BK215" s="8">
        <v>44650.88</v>
      </c>
      <c r="BL215" s="2" t="s">
        <v>1154</v>
      </c>
      <c r="BM215" s="7"/>
      <c r="BN215" s="7"/>
      <c r="BO215" s="4"/>
      <c r="BP215" s="8"/>
      <c r="BQ215" s="4"/>
      <c r="BR215" s="8"/>
      <c r="BS215" s="7"/>
      <c r="BT215" s="7"/>
      <c r="BU215" s="2" t="s">
        <v>207</v>
      </c>
      <c r="BV215" s="2" t="s">
        <v>97</v>
      </c>
      <c r="BW215" s="2" t="s">
        <v>100</v>
      </c>
      <c r="BX215" s="2" t="s">
        <v>100</v>
      </c>
      <c r="BY215" s="2" t="s">
        <v>113</v>
      </c>
      <c r="BZ215" s="2" t="s">
        <v>100</v>
      </c>
    </row>
    <row r="216">
      <c r="A216" s="2" t="s">
        <v>1155</v>
      </c>
      <c r="B216" s="2" t="s">
        <v>87</v>
      </c>
      <c r="C216" s="2" t="s">
        <v>88</v>
      </c>
      <c r="D216" s="2" t="s">
        <v>803</v>
      </c>
      <c r="E216" s="2" t="s">
        <v>804</v>
      </c>
      <c r="F216" s="2" t="s">
        <v>1144</v>
      </c>
      <c r="G216" s="2" t="s">
        <v>1145</v>
      </c>
      <c r="H216" s="2" t="s">
        <v>1146</v>
      </c>
      <c r="I216" s="2" t="s">
        <v>1147</v>
      </c>
      <c r="J216" s="2" t="s">
        <v>817</v>
      </c>
      <c r="K216" s="2" t="s">
        <v>1148</v>
      </c>
      <c r="L216" s="3">
        <v>77.49</v>
      </c>
      <c r="M216" s="3">
        <v>81.37</v>
      </c>
      <c r="N216" s="3">
        <v>169.99</v>
      </c>
      <c r="O216" s="2" t="s">
        <v>97</v>
      </c>
      <c r="P216" s="2" t="s">
        <v>950</v>
      </c>
      <c r="Q216" s="2" t="s">
        <v>99</v>
      </c>
      <c r="R216" s="2" t="s">
        <v>100</v>
      </c>
      <c r="S216" s="2" t="s">
        <v>1149</v>
      </c>
      <c r="T216" s="2" t="s">
        <v>100</v>
      </c>
      <c r="U216" s="2" t="s">
        <v>337</v>
      </c>
      <c r="V216" s="2" t="s">
        <v>1150</v>
      </c>
      <c r="W216" s="2" t="s">
        <v>561</v>
      </c>
      <c r="X216" s="2" t="s">
        <v>1151</v>
      </c>
      <c r="Y216" s="2" t="s">
        <v>647</v>
      </c>
      <c r="Z216" s="4">
        <v>187</v>
      </c>
      <c r="AA216" s="4">
        <f>=ROUNDDOWN(20.7777777777778,0)</f>
      </c>
      <c r="AB216" s="5">
        <v>9</v>
      </c>
      <c r="AC216" s="2" t="s">
        <v>562</v>
      </c>
      <c r="AD216" s="4">
        <v>120</v>
      </c>
      <c r="AE216" s="4">
        <v>140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219</v>
      </c>
      <c r="BK216" s="8">
        <v>18607.62</v>
      </c>
      <c r="BL216" s="2" t="s">
        <v>1156</v>
      </c>
      <c r="BM216" s="7"/>
      <c r="BN216" s="7"/>
      <c r="BO216" s="4"/>
      <c r="BP216" s="8"/>
      <c r="BQ216" s="4"/>
      <c r="BR216" s="8"/>
      <c r="BS216" s="7"/>
      <c r="BT216" s="7"/>
      <c r="BU216" s="2" t="s">
        <v>207</v>
      </c>
      <c r="BV216" s="2" t="s">
        <v>97</v>
      </c>
      <c r="BW216" s="2" t="s">
        <v>100</v>
      </c>
      <c r="BX216" s="2" t="s">
        <v>100</v>
      </c>
      <c r="BY216" s="2" t="s">
        <v>113</v>
      </c>
      <c r="BZ216" s="2" t="s">
        <v>100</v>
      </c>
    </row>
    <row r="217">
      <c r="A217" s="2" t="s">
        <v>1157</v>
      </c>
      <c r="B217" s="2" t="s">
        <v>87</v>
      </c>
      <c r="C217" s="2" t="s">
        <v>88</v>
      </c>
      <c r="D217" s="2" t="s">
        <v>803</v>
      </c>
      <c r="E217" s="2" t="s">
        <v>804</v>
      </c>
      <c r="F217" s="2" t="s">
        <v>1158</v>
      </c>
      <c r="G217" s="2" t="s">
        <v>1159</v>
      </c>
      <c r="H217" s="2" t="s">
        <v>1160</v>
      </c>
      <c r="I217" s="2" t="s">
        <v>1161</v>
      </c>
      <c r="J217" s="2" t="s">
        <v>247</v>
      </c>
      <c r="K217" s="2" t="s">
        <v>913</v>
      </c>
      <c r="L217" s="3">
        <v>41.14</v>
      </c>
      <c r="M217" s="3">
        <v>43.2</v>
      </c>
      <c r="N217" s="3">
        <v>89.99</v>
      </c>
      <c r="O217" s="2" t="s">
        <v>97</v>
      </c>
      <c r="P217" s="2" t="s">
        <v>225</v>
      </c>
      <c r="Q217" s="2" t="s">
        <v>99</v>
      </c>
      <c r="R217" s="2" t="s">
        <v>100</v>
      </c>
      <c r="S217" s="2" t="s">
        <v>1162</v>
      </c>
      <c r="T217" s="2" t="s">
        <v>200</v>
      </c>
      <c r="U217" s="2" t="s">
        <v>102</v>
      </c>
      <c r="V217" s="2" t="s">
        <v>350</v>
      </c>
      <c r="W217" s="2" t="s">
        <v>309</v>
      </c>
      <c r="X217" s="2" t="s">
        <v>100</v>
      </c>
      <c r="Y217" s="2" t="s">
        <v>1163</v>
      </c>
      <c r="Z217" s="4">
        <v>297</v>
      </c>
      <c r="AA217" s="4">
        <f>=ROUNDDOWN(24.75,0)</f>
      </c>
      <c r="AB217" s="5">
        <v>12</v>
      </c>
      <c r="AC217" s="2" t="s">
        <v>1164</v>
      </c>
      <c r="AD217" s="4">
        <v>130</v>
      </c>
      <c r="AE217" s="4">
        <v>130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93</v>
      </c>
      <c r="BK217" s="8">
        <v>4343.83</v>
      </c>
      <c r="BL217" s="2" t="s">
        <v>1165</v>
      </c>
      <c r="BM217" s="7"/>
      <c r="BN217" s="7"/>
      <c r="BO217" s="4"/>
      <c r="BP217" s="8"/>
      <c r="BQ217" s="4"/>
      <c r="BR217" s="8"/>
      <c r="BS217" s="7"/>
      <c r="BT217" s="7"/>
      <c r="BU217" s="2" t="s">
        <v>207</v>
      </c>
      <c r="BV217" s="2" t="s">
        <v>97</v>
      </c>
      <c r="BW217" s="2" t="s">
        <v>100</v>
      </c>
      <c r="BX217" s="2" t="s">
        <v>100</v>
      </c>
      <c r="BY217" s="2" t="s">
        <v>113</v>
      </c>
      <c r="BZ217" s="2" t="s">
        <v>100</v>
      </c>
    </row>
    <row r="218">
      <c r="A218" s="2" t="s">
        <v>1166</v>
      </c>
      <c r="B218" s="2" t="s">
        <v>87</v>
      </c>
      <c r="C218" s="2" t="s">
        <v>88</v>
      </c>
      <c r="D218" s="2" t="s">
        <v>803</v>
      </c>
      <c r="E218" s="2" t="s">
        <v>804</v>
      </c>
      <c r="F218" s="2" t="s">
        <v>1158</v>
      </c>
      <c r="G218" s="2" t="s">
        <v>1159</v>
      </c>
      <c r="H218" s="2" t="s">
        <v>1160</v>
      </c>
      <c r="I218" s="2" t="s">
        <v>1161</v>
      </c>
      <c r="J218" s="2" t="s">
        <v>270</v>
      </c>
      <c r="K218" s="2" t="s">
        <v>913</v>
      </c>
      <c r="L218" s="3">
        <v>45.71</v>
      </c>
      <c r="M218" s="3">
        <v>48</v>
      </c>
      <c r="N218" s="3">
        <v>99.99</v>
      </c>
      <c r="O218" s="2" t="s">
        <v>97</v>
      </c>
      <c r="P218" s="2" t="s">
        <v>225</v>
      </c>
      <c r="Q218" s="2" t="s">
        <v>99</v>
      </c>
      <c r="R218" s="2" t="s">
        <v>100</v>
      </c>
      <c r="S218" s="2" t="s">
        <v>1162</v>
      </c>
      <c r="T218" s="2" t="s">
        <v>200</v>
      </c>
      <c r="U218" s="2" t="s">
        <v>102</v>
      </c>
      <c r="V218" s="2" t="s">
        <v>350</v>
      </c>
      <c r="W218" s="2" t="s">
        <v>309</v>
      </c>
      <c r="X218" s="2" t="s">
        <v>100</v>
      </c>
      <c r="Y218" s="2" t="s">
        <v>1163</v>
      </c>
      <c r="Z218" s="4">
        <v>221</v>
      </c>
      <c r="AA218" s="4">
        <f>=ROUNDDOWN(13,0)</f>
      </c>
      <c r="AB218" s="5">
        <v>17</v>
      </c>
      <c r="AC218" s="2" t="s">
        <v>1164</v>
      </c>
      <c r="AD218" s="4">
        <v>300</v>
      </c>
      <c r="AE218" s="4">
        <v>300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128</v>
      </c>
      <c r="BK218" s="8">
        <v>6678.73</v>
      </c>
      <c r="BL218" s="2" t="s">
        <v>1167</v>
      </c>
      <c r="BM218" s="7"/>
      <c r="BN218" s="7"/>
      <c r="BO218" s="4"/>
      <c r="BP218" s="8"/>
      <c r="BQ218" s="4"/>
      <c r="BR218" s="8"/>
      <c r="BS218" s="7"/>
      <c r="BT218" s="7"/>
      <c r="BU218" s="2" t="s">
        <v>207</v>
      </c>
      <c r="BV218" s="2" t="s">
        <v>97</v>
      </c>
      <c r="BW218" s="2" t="s">
        <v>100</v>
      </c>
      <c r="BX218" s="2" t="s">
        <v>100</v>
      </c>
      <c r="BY218" s="2" t="s">
        <v>113</v>
      </c>
      <c r="BZ218" s="2" t="s">
        <v>100</v>
      </c>
    </row>
    <row r="219">
      <c r="A219" s="2" t="s">
        <v>1168</v>
      </c>
      <c r="B219" s="2" t="s">
        <v>87</v>
      </c>
      <c r="C219" s="2" t="s">
        <v>88</v>
      </c>
      <c r="D219" s="2" t="s">
        <v>803</v>
      </c>
      <c r="E219" s="2" t="s">
        <v>804</v>
      </c>
      <c r="F219" s="2" t="s">
        <v>1169</v>
      </c>
      <c r="G219" s="2" t="s">
        <v>1170</v>
      </c>
      <c r="H219" s="2" t="s">
        <v>1171</v>
      </c>
      <c r="I219" s="2" t="s">
        <v>912</v>
      </c>
      <c r="J219" s="2" t="s">
        <v>706</v>
      </c>
      <c r="K219" s="2" t="s">
        <v>1172</v>
      </c>
      <c r="L219" s="3">
        <v>60.74</v>
      </c>
      <c r="M219" s="3">
        <v>63.78</v>
      </c>
      <c r="N219" s="3">
        <v>124.99</v>
      </c>
      <c r="O219" s="2" t="s">
        <v>97</v>
      </c>
      <c r="P219" s="2" t="s">
        <v>119</v>
      </c>
      <c r="Q219" s="2" t="s">
        <v>99</v>
      </c>
      <c r="R219" s="2" t="s">
        <v>100</v>
      </c>
      <c r="S219" s="2" t="s">
        <v>1173</v>
      </c>
      <c r="T219" s="2" t="s">
        <v>100</v>
      </c>
      <c r="U219" s="2" t="s">
        <v>337</v>
      </c>
      <c r="V219" s="2" t="s">
        <v>434</v>
      </c>
      <c r="W219" s="2" t="s">
        <v>202</v>
      </c>
      <c r="X219" s="2" t="s">
        <v>203</v>
      </c>
      <c r="Y219" s="2" t="s">
        <v>1174</v>
      </c>
      <c r="Z219" s="4">
        <v>717</v>
      </c>
      <c r="AA219" s="4">
        <f>=ROUNDDOWN(55.1538461538462,0)</f>
      </c>
      <c r="AB219" s="5">
        <v>13</v>
      </c>
      <c r="AC219" s="2" t="s">
        <v>542</v>
      </c>
      <c r="AD219" s="4">
        <v>111</v>
      </c>
      <c r="AE219" s="4">
        <v>111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334</v>
      </c>
      <c r="BK219" s="8">
        <v>23249.67</v>
      </c>
      <c r="BL219" s="2" t="s">
        <v>1175</v>
      </c>
      <c r="BM219" s="7"/>
      <c r="BN219" s="7"/>
      <c r="BO219" s="4"/>
      <c r="BP219" s="8"/>
      <c r="BQ219" s="4"/>
      <c r="BR219" s="8"/>
      <c r="BS219" s="7"/>
      <c r="BT219" s="7"/>
      <c r="BU219" s="2" t="s">
        <v>268</v>
      </c>
      <c r="BV219" s="2" t="s">
        <v>97</v>
      </c>
      <c r="BW219" s="2" t="s">
        <v>100</v>
      </c>
      <c r="BX219" s="2" t="s">
        <v>100</v>
      </c>
      <c r="BY219" s="2" t="s">
        <v>113</v>
      </c>
      <c r="BZ219" s="2" t="s">
        <v>100</v>
      </c>
    </row>
    <row r="220">
      <c r="A220" s="2" t="s">
        <v>1176</v>
      </c>
      <c r="B220" s="2" t="s">
        <v>87</v>
      </c>
      <c r="C220" s="2" t="s">
        <v>88</v>
      </c>
      <c r="D220" s="2" t="s">
        <v>803</v>
      </c>
      <c r="E220" s="2" t="s">
        <v>804</v>
      </c>
      <c r="F220" s="2" t="s">
        <v>1169</v>
      </c>
      <c r="G220" s="2" t="s">
        <v>1170</v>
      </c>
      <c r="H220" s="2" t="s">
        <v>1171</v>
      </c>
      <c r="I220" s="2" t="s">
        <v>912</v>
      </c>
      <c r="J220" s="2" t="s">
        <v>714</v>
      </c>
      <c r="K220" s="2" t="s">
        <v>1172</v>
      </c>
      <c r="L220" s="3">
        <v>69.74</v>
      </c>
      <c r="M220" s="3">
        <v>73.23</v>
      </c>
      <c r="N220" s="3">
        <v>144.99</v>
      </c>
      <c r="O220" s="2" t="s">
        <v>97</v>
      </c>
      <c r="P220" s="2" t="s">
        <v>119</v>
      </c>
      <c r="Q220" s="2" t="s">
        <v>99</v>
      </c>
      <c r="R220" s="2" t="s">
        <v>100</v>
      </c>
      <c r="S220" s="2" t="s">
        <v>1173</v>
      </c>
      <c r="T220" s="2" t="s">
        <v>100</v>
      </c>
      <c r="U220" s="2" t="s">
        <v>337</v>
      </c>
      <c r="V220" s="2" t="s">
        <v>434</v>
      </c>
      <c r="W220" s="2" t="s">
        <v>202</v>
      </c>
      <c r="X220" s="2" t="s">
        <v>203</v>
      </c>
      <c r="Y220" s="2" t="s">
        <v>1174</v>
      </c>
      <c r="Z220" s="4">
        <v>502</v>
      </c>
      <c r="AA220" s="4">
        <f>=ROUNDDOWN(41.8333333333333,0)</f>
      </c>
      <c r="AB220" s="5">
        <v>12</v>
      </c>
      <c r="AC220" s="2" t="s">
        <v>542</v>
      </c>
      <c r="AD220" s="4">
        <v>258</v>
      </c>
      <c r="AE220" s="4">
        <v>258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337</v>
      </c>
      <c r="BK220" s="8">
        <v>27171.48</v>
      </c>
      <c r="BL220" s="2" t="s">
        <v>1177</v>
      </c>
      <c r="BM220" s="7"/>
      <c r="BN220" s="7"/>
      <c r="BO220" s="4"/>
      <c r="BP220" s="8"/>
      <c r="BQ220" s="4"/>
      <c r="BR220" s="8"/>
      <c r="BS220" s="7"/>
      <c r="BT220" s="7"/>
      <c r="BU220" s="2" t="s">
        <v>268</v>
      </c>
      <c r="BV220" s="2" t="s">
        <v>97</v>
      </c>
      <c r="BW220" s="2" t="s">
        <v>100</v>
      </c>
      <c r="BX220" s="2" t="s">
        <v>100</v>
      </c>
      <c r="BY220" s="2" t="s">
        <v>113</v>
      </c>
      <c r="BZ220" s="2" t="s">
        <v>100</v>
      </c>
    </row>
    <row r="221">
      <c r="A221" s="2" t="s">
        <v>1178</v>
      </c>
      <c r="B221" s="2" t="s">
        <v>87</v>
      </c>
      <c r="C221" s="2" t="s">
        <v>88</v>
      </c>
      <c r="D221" s="2" t="s">
        <v>803</v>
      </c>
      <c r="E221" s="2" t="s">
        <v>804</v>
      </c>
      <c r="F221" s="2" t="s">
        <v>1169</v>
      </c>
      <c r="G221" s="2" t="s">
        <v>1170</v>
      </c>
      <c r="H221" s="2" t="s">
        <v>1171</v>
      </c>
      <c r="I221" s="2" t="s">
        <v>912</v>
      </c>
      <c r="J221" s="2" t="s">
        <v>817</v>
      </c>
      <c r="K221" s="2" t="s">
        <v>1172</v>
      </c>
      <c r="L221" s="3">
        <v>69.74</v>
      </c>
      <c r="M221" s="3">
        <v>73.23</v>
      </c>
      <c r="N221" s="3">
        <v>144.99</v>
      </c>
      <c r="O221" s="2" t="s">
        <v>97</v>
      </c>
      <c r="P221" s="2" t="s">
        <v>119</v>
      </c>
      <c r="Q221" s="2" t="s">
        <v>99</v>
      </c>
      <c r="R221" s="2" t="s">
        <v>100</v>
      </c>
      <c r="S221" s="2" t="s">
        <v>1173</v>
      </c>
      <c r="T221" s="2" t="s">
        <v>100</v>
      </c>
      <c r="U221" s="2" t="s">
        <v>337</v>
      </c>
      <c r="V221" s="2" t="s">
        <v>434</v>
      </c>
      <c r="W221" s="2" t="s">
        <v>202</v>
      </c>
      <c r="X221" s="2" t="s">
        <v>203</v>
      </c>
      <c r="Y221" s="2" t="s">
        <v>1174</v>
      </c>
      <c r="Z221" s="4">
        <v>241</v>
      </c>
      <c r="AA221" s="4">
        <f>=ROUNDDOWN(34.4285714285714,0)</f>
      </c>
      <c r="AB221" s="5">
        <v>7</v>
      </c>
      <c r="AC221" s="2" t="s">
        <v>1102</v>
      </c>
      <c r="AD221" s="4">
        <v>1140</v>
      </c>
      <c r="AE221" s="4">
        <v>1202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169</v>
      </c>
      <c r="BK221" s="8">
        <v>13430.85</v>
      </c>
      <c r="BL221" s="2" t="s">
        <v>1179</v>
      </c>
      <c r="BM221" s="7"/>
      <c r="BN221" s="7"/>
      <c r="BO221" s="4"/>
      <c r="BP221" s="8"/>
      <c r="BQ221" s="4"/>
      <c r="BR221" s="8"/>
      <c r="BS221" s="7"/>
      <c r="BT221" s="7"/>
      <c r="BU221" s="2" t="s">
        <v>268</v>
      </c>
      <c r="BV221" s="2" t="s">
        <v>97</v>
      </c>
      <c r="BW221" s="2" t="s">
        <v>100</v>
      </c>
      <c r="BX221" s="2" t="s">
        <v>100</v>
      </c>
      <c r="BY221" s="2" t="s">
        <v>113</v>
      </c>
      <c r="BZ221" s="2" t="s">
        <v>100</v>
      </c>
    </row>
    <row r="222">
      <c r="A222" s="2" t="s">
        <v>1180</v>
      </c>
      <c r="B222" s="2" t="s">
        <v>87</v>
      </c>
      <c r="C222" s="2" t="s">
        <v>88</v>
      </c>
      <c r="D222" s="2" t="s">
        <v>803</v>
      </c>
      <c r="E222" s="2" t="s">
        <v>804</v>
      </c>
      <c r="F222" s="2" t="s">
        <v>1181</v>
      </c>
      <c r="G222" s="2" t="s">
        <v>1182</v>
      </c>
      <c r="H222" s="2" t="s">
        <v>1183</v>
      </c>
      <c r="I222" s="2" t="s">
        <v>1184</v>
      </c>
      <c r="J222" s="2" t="s">
        <v>706</v>
      </c>
      <c r="K222" s="2" t="s">
        <v>360</v>
      </c>
      <c r="L222" s="3">
        <v>75.2</v>
      </c>
      <c r="M222" s="3">
        <v>78.96</v>
      </c>
      <c r="N222" s="3">
        <v>159.99</v>
      </c>
      <c r="O222" s="2" t="s">
        <v>97</v>
      </c>
      <c r="P222" s="2" t="s">
        <v>98</v>
      </c>
      <c r="Q222" s="2" t="s">
        <v>99</v>
      </c>
      <c r="R222" s="2" t="s">
        <v>100</v>
      </c>
      <c r="S222" s="2" t="s">
        <v>1185</v>
      </c>
      <c r="T222" s="2" t="s">
        <v>280</v>
      </c>
      <c r="U222" s="2" t="s">
        <v>833</v>
      </c>
      <c r="V222" s="2" t="s">
        <v>256</v>
      </c>
      <c r="W222" s="2" t="s">
        <v>158</v>
      </c>
      <c r="X222" s="2" t="s">
        <v>339</v>
      </c>
      <c r="Y222" s="2" t="s">
        <v>1186</v>
      </c>
      <c r="Z222" s="4">
        <v>613</v>
      </c>
      <c r="AA222" s="4">
        <f>=ROUNDDOWN(29.1904761904762,0)</f>
      </c>
      <c r="AB222" s="5">
        <v>21</v>
      </c>
      <c r="AC222" s="2" t="s">
        <v>271</v>
      </c>
      <c r="AD222" s="4">
        <v>90</v>
      </c>
      <c r="AE222" s="4">
        <v>330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569</v>
      </c>
      <c r="BK222" s="8">
        <v>46965.11</v>
      </c>
      <c r="BL222" s="2" t="s">
        <v>1187</v>
      </c>
      <c r="BM222" s="7"/>
      <c r="BN222" s="7"/>
      <c r="BO222" s="4"/>
      <c r="BP222" s="8"/>
      <c r="BQ222" s="4"/>
      <c r="BR222" s="8"/>
      <c r="BS222" s="7"/>
      <c r="BT222" s="7"/>
      <c r="BU222" s="2" t="s">
        <v>207</v>
      </c>
      <c r="BV222" s="2" t="s">
        <v>97</v>
      </c>
      <c r="BW222" s="2" t="s">
        <v>100</v>
      </c>
      <c r="BX222" s="2" t="s">
        <v>100</v>
      </c>
      <c r="BY222" s="2" t="s">
        <v>113</v>
      </c>
      <c r="BZ222" s="2" t="s">
        <v>100</v>
      </c>
    </row>
    <row r="223">
      <c r="A223" s="2" t="s">
        <v>1188</v>
      </c>
      <c r="B223" s="2" t="s">
        <v>87</v>
      </c>
      <c r="C223" s="2" t="s">
        <v>88</v>
      </c>
      <c r="D223" s="2" t="s">
        <v>803</v>
      </c>
      <c r="E223" s="2" t="s">
        <v>804</v>
      </c>
      <c r="F223" s="2" t="s">
        <v>1181</v>
      </c>
      <c r="G223" s="2" t="s">
        <v>1182</v>
      </c>
      <c r="H223" s="2" t="s">
        <v>1183</v>
      </c>
      <c r="I223" s="2" t="s">
        <v>1184</v>
      </c>
      <c r="J223" s="2" t="s">
        <v>714</v>
      </c>
      <c r="K223" s="2" t="s">
        <v>360</v>
      </c>
      <c r="L223" s="3">
        <v>84.6</v>
      </c>
      <c r="M223" s="3">
        <v>88.83</v>
      </c>
      <c r="N223" s="3">
        <v>179.99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1185</v>
      </c>
      <c r="T223" s="2" t="s">
        <v>280</v>
      </c>
      <c r="U223" s="2" t="s">
        <v>833</v>
      </c>
      <c r="V223" s="2" t="s">
        <v>256</v>
      </c>
      <c r="W223" s="2" t="s">
        <v>158</v>
      </c>
      <c r="X223" s="2" t="s">
        <v>339</v>
      </c>
      <c r="Y223" s="2" t="s">
        <v>1186</v>
      </c>
      <c r="Z223" s="4">
        <v>275</v>
      </c>
      <c r="AA223" s="4">
        <f>=ROUNDDOWN(16.1764705882353,0)</f>
      </c>
      <c r="AB223" s="5">
        <v>17</v>
      </c>
      <c r="AC223" s="2" t="s">
        <v>271</v>
      </c>
      <c r="AD223" s="4">
        <v>80</v>
      </c>
      <c r="AE223" s="4">
        <v>570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447</v>
      </c>
      <c r="BK223" s="8">
        <v>41455.85</v>
      </c>
      <c r="BL223" s="2" t="s">
        <v>1189</v>
      </c>
      <c r="BM223" s="7"/>
      <c r="BN223" s="7"/>
      <c r="BO223" s="4"/>
      <c r="BP223" s="8"/>
      <c r="BQ223" s="4"/>
      <c r="BR223" s="8"/>
      <c r="BS223" s="7"/>
      <c r="BT223" s="7"/>
      <c r="BU223" s="2" t="s">
        <v>207</v>
      </c>
      <c r="BV223" s="2" t="s">
        <v>97</v>
      </c>
      <c r="BW223" s="2" t="s">
        <v>100</v>
      </c>
      <c r="BX223" s="2" t="s">
        <v>100</v>
      </c>
      <c r="BY223" s="2" t="s">
        <v>113</v>
      </c>
      <c r="BZ223" s="2" t="s">
        <v>100</v>
      </c>
    </row>
    <row r="224">
      <c r="A224" s="2" t="s">
        <v>1190</v>
      </c>
      <c r="B224" s="2" t="s">
        <v>87</v>
      </c>
      <c r="C224" s="2" t="s">
        <v>88</v>
      </c>
      <c r="D224" s="2" t="s">
        <v>803</v>
      </c>
      <c r="E224" s="2" t="s">
        <v>804</v>
      </c>
      <c r="F224" s="2" t="s">
        <v>1181</v>
      </c>
      <c r="G224" s="2" t="s">
        <v>1182</v>
      </c>
      <c r="H224" s="2" t="s">
        <v>1183</v>
      </c>
      <c r="I224" s="2" t="s">
        <v>1184</v>
      </c>
      <c r="J224" s="2" t="s">
        <v>817</v>
      </c>
      <c r="K224" s="2" t="s">
        <v>360</v>
      </c>
      <c r="L224" s="3">
        <v>84.6</v>
      </c>
      <c r="M224" s="3">
        <v>88.83</v>
      </c>
      <c r="N224" s="3">
        <v>179.99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1185</v>
      </c>
      <c r="T224" s="2" t="s">
        <v>280</v>
      </c>
      <c r="U224" s="2" t="s">
        <v>833</v>
      </c>
      <c r="V224" s="2" t="s">
        <v>256</v>
      </c>
      <c r="W224" s="2" t="s">
        <v>158</v>
      </c>
      <c r="X224" s="2" t="s">
        <v>339</v>
      </c>
      <c r="Y224" s="2" t="s">
        <v>1186</v>
      </c>
      <c r="Z224" s="4">
        <v>414</v>
      </c>
      <c r="AA224" s="4">
        <f>=ROUNDDOWN(41.4,0)</f>
      </c>
      <c r="AB224" s="5">
        <v>10</v>
      </c>
      <c r="AC224" s="2" t="s">
        <v>1191</v>
      </c>
      <c r="AD224" s="4">
        <v>50</v>
      </c>
      <c r="AE224" s="4">
        <v>50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227</v>
      </c>
      <c r="BK224" s="8">
        <v>21183.26</v>
      </c>
      <c r="BL224" s="2" t="s">
        <v>1192</v>
      </c>
      <c r="BM224" s="7"/>
      <c r="BN224" s="7"/>
      <c r="BO224" s="4"/>
      <c r="BP224" s="8"/>
      <c r="BQ224" s="4"/>
      <c r="BR224" s="8"/>
      <c r="BS224" s="7"/>
      <c r="BT224" s="7"/>
      <c r="BU224" s="2" t="s">
        <v>207</v>
      </c>
      <c r="BV224" s="2" t="s">
        <v>97</v>
      </c>
      <c r="BW224" s="2" t="s">
        <v>100</v>
      </c>
      <c r="BX224" s="2" t="s">
        <v>100</v>
      </c>
      <c r="BY224" s="2" t="s">
        <v>113</v>
      </c>
      <c r="BZ224" s="2" t="s">
        <v>100</v>
      </c>
    </row>
    <row r="225">
      <c r="A225" s="2" t="s">
        <v>1193</v>
      </c>
      <c r="B225" s="2" t="s">
        <v>87</v>
      </c>
      <c r="C225" s="2" t="s">
        <v>88</v>
      </c>
      <c r="D225" s="2" t="s">
        <v>803</v>
      </c>
      <c r="E225" s="2" t="s">
        <v>804</v>
      </c>
      <c r="F225" s="2" t="s">
        <v>410</v>
      </c>
      <c r="G225" s="2" t="s">
        <v>411</v>
      </c>
      <c r="H225" s="2" t="s">
        <v>412</v>
      </c>
      <c r="I225" s="2" t="s">
        <v>1194</v>
      </c>
      <c r="J225" s="2" t="s">
        <v>247</v>
      </c>
      <c r="K225" s="2" t="s">
        <v>96</v>
      </c>
      <c r="L225" s="3">
        <v>38.09</v>
      </c>
      <c r="M225" s="3">
        <v>39.99</v>
      </c>
      <c r="N225" s="3">
        <v>79.99</v>
      </c>
      <c r="O225" s="2" t="s">
        <v>97</v>
      </c>
      <c r="P225" s="2" t="s">
        <v>119</v>
      </c>
      <c r="Q225" s="2" t="s">
        <v>99</v>
      </c>
      <c r="R225" s="2" t="s">
        <v>100</v>
      </c>
      <c r="S225" s="2" t="s">
        <v>414</v>
      </c>
      <c r="T225" s="2" t="s">
        <v>218</v>
      </c>
      <c r="U225" s="2" t="s">
        <v>171</v>
      </c>
      <c r="V225" s="2" t="s">
        <v>256</v>
      </c>
      <c r="W225" s="2" t="s">
        <v>158</v>
      </c>
      <c r="X225" s="2" t="s">
        <v>415</v>
      </c>
      <c r="Y225" s="2" t="s">
        <v>1195</v>
      </c>
      <c r="Z225" s="4">
        <v>708</v>
      </c>
      <c r="AA225" s="4">
        <f>=ROUNDDOWN(70.8,0)</f>
      </c>
      <c r="AB225" s="5">
        <v>10</v>
      </c>
      <c r="AC225" s="2" t="s">
        <v>1196</v>
      </c>
      <c r="AD225" s="4">
        <v>520</v>
      </c>
      <c r="AE225" s="4">
        <v>520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336</v>
      </c>
      <c r="BK225" s="8">
        <v>14431.57</v>
      </c>
      <c r="BL225" s="2" t="s">
        <v>272</v>
      </c>
      <c r="BM225" s="7"/>
      <c r="BN225" s="7"/>
      <c r="BO225" s="4"/>
      <c r="BP225" s="8"/>
      <c r="BQ225" s="4"/>
      <c r="BR225" s="8"/>
      <c r="BS225" s="7"/>
      <c r="BT225" s="7"/>
      <c r="BU225" s="2" t="s">
        <v>207</v>
      </c>
      <c r="BV225" s="2" t="s">
        <v>97</v>
      </c>
      <c r="BW225" s="2" t="s">
        <v>100</v>
      </c>
      <c r="BX225" s="2" t="s">
        <v>100</v>
      </c>
      <c r="BY225" s="2" t="s">
        <v>113</v>
      </c>
      <c r="BZ225" s="2" t="s">
        <v>100</v>
      </c>
    </row>
    <row r="226">
      <c r="A226" s="2" t="s">
        <v>1197</v>
      </c>
      <c r="B226" s="2" t="s">
        <v>87</v>
      </c>
      <c r="C226" s="2" t="s">
        <v>88</v>
      </c>
      <c r="D226" s="2" t="s">
        <v>803</v>
      </c>
      <c r="E226" s="2" t="s">
        <v>804</v>
      </c>
      <c r="F226" s="2" t="s">
        <v>410</v>
      </c>
      <c r="G226" s="2" t="s">
        <v>411</v>
      </c>
      <c r="H226" s="2" t="s">
        <v>412</v>
      </c>
      <c r="I226" s="2" t="s">
        <v>1194</v>
      </c>
      <c r="J226" s="2" t="s">
        <v>270</v>
      </c>
      <c r="K226" s="2" t="s">
        <v>96</v>
      </c>
      <c r="L226" s="3">
        <v>42.85</v>
      </c>
      <c r="M226" s="3">
        <v>44.99</v>
      </c>
      <c r="N226" s="3">
        <v>89.99</v>
      </c>
      <c r="O226" s="2" t="s">
        <v>97</v>
      </c>
      <c r="P226" s="2" t="s">
        <v>119</v>
      </c>
      <c r="Q226" s="2" t="s">
        <v>99</v>
      </c>
      <c r="R226" s="2" t="s">
        <v>100</v>
      </c>
      <c r="S226" s="2" t="s">
        <v>414</v>
      </c>
      <c r="T226" s="2" t="s">
        <v>218</v>
      </c>
      <c r="U226" s="2" t="s">
        <v>171</v>
      </c>
      <c r="V226" s="2" t="s">
        <v>256</v>
      </c>
      <c r="W226" s="2" t="s">
        <v>158</v>
      </c>
      <c r="X226" s="2" t="s">
        <v>415</v>
      </c>
      <c r="Y226" s="2" t="s">
        <v>1195</v>
      </c>
      <c r="Z226" s="4">
        <v>585</v>
      </c>
      <c r="AA226" s="4">
        <f>=ROUNDDOWN(83.5714285714286,0)</f>
      </c>
      <c r="AB226" s="5">
        <v>7</v>
      </c>
      <c r="AC226" s="2" t="s">
        <v>1196</v>
      </c>
      <c r="AD226" s="4">
        <v>190</v>
      </c>
      <c r="AE226" s="4">
        <v>190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192</v>
      </c>
      <c r="BK226" s="8">
        <v>9330.02</v>
      </c>
      <c r="BL226" s="2" t="s">
        <v>1198</v>
      </c>
      <c r="BM226" s="7"/>
      <c r="BN226" s="7"/>
      <c r="BO226" s="4"/>
      <c r="BP226" s="8"/>
      <c r="BQ226" s="4"/>
      <c r="BR226" s="8"/>
      <c r="BS226" s="7"/>
      <c r="BT226" s="7"/>
      <c r="BU226" s="2" t="s">
        <v>207</v>
      </c>
      <c r="BV226" s="2" t="s">
        <v>97</v>
      </c>
      <c r="BW226" s="2" t="s">
        <v>100</v>
      </c>
      <c r="BX226" s="2" t="s">
        <v>100</v>
      </c>
      <c r="BY226" s="2" t="s">
        <v>113</v>
      </c>
      <c r="BZ226" s="2" t="s">
        <v>100</v>
      </c>
    </row>
    <row r="227">
      <c r="A227" s="2" t="s">
        <v>1199</v>
      </c>
      <c r="B227" s="2" t="s">
        <v>87</v>
      </c>
      <c r="C227" s="2" t="s">
        <v>88</v>
      </c>
      <c r="D227" s="2" t="s">
        <v>803</v>
      </c>
      <c r="E227" s="2" t="s">
        <v>804</v>
      </c>
      <c r="F227" s="2" t="s">
        <v>410</v>
      </c>
      <c r="G227" s="2" t="s">
        <v>411</v>
      </c>
      <c r="H227" s="2" t="s">
        <v>412</v>
      </c>
      <c r="I227" s="2" t="s">
        <v>1194</v>
      </c>
      <c r="J227" s="2" t="s">
        <v>247</v>
      </c>
      <c r="K227" s="2" t="s">
        <v>278</v>
      </c>
      <c r="L227" s="3">
        <v>38.09</v>
      </c>
      <c r="M227" s="3">
        <v>39.99</v>
      </c>
      <c r="N227" s="3">
        <v>79.99</v>
      </c>
      <c r="O227" s="2" t="s">
        <v>97</v>
      </c>
      <c r="P227" s="2" t="s">
        <v>119</v>
      </c>
      <c r="Q227" s="2" t="s">
        <v>99</v>
      </c>
      <c r="R227" s="2" t="s">
        <v>100</v>
      </c>
      <c r="S227" s="2" t="s">
        <v>1200</v>
      </c>
      <c r="T227" s="2" t="s">
        <v>218</v>
      </c>
      <c r="U227" s="2" t="s">
        <v>171</v>
      </c>
      <c r="V227" s="2" t="s">
        <v>256</v>
      </c>
      <c r="W227" s="2" t="s">
        <v>158</v>
      </c>
      <c r="X227" s="2" t="s">
        <v>415</v>
      </c>
      <c r="Y227" s="2" t="s">
        <v>423</v>
      </c>
      <c r="Z227" s="4">
        <v>816</v>
      </c>
      <c r="AA227" s="4">
        <f>=ROUNDDOWN(68,0)</f>
      </c>
      <c r="AB227" s="5">
        <v>12</v>
      </c>
      <c r="AC227" s="2" t="s">
        <v>1196</v>
      </c>
      <c r="AD227" s="4">
        <v>300</v>
      </c>
      <c r="AE227" s="4">
        <v>300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324</v>
      </c>
      <c r="BK227" s="8">
        <v>13741.2</v>
      </c>
      <c r="BL227" s="2" t="s">
        <v>1056</v>
      </c>
      <c r="BM227" s="7"/>
      <c r="BN227" s="7"/>
      <c r="BO227" s="4"/>
      <c r="BP227" s="8"/>
      <c r="BQ227" s="4"/>
      <c r="BR227" s="8"/>
      <c r="BS227" s="7"/>
      <c r="BT227" s="7"/>
      <c r="BU227" s="2" t="s">
        <v>207</v>
      </c>
      <c r="BV227" s="2" t="s">
        <v>97</v>
      </c>
      <c r="BW227" s="2" t="s">
        <v>100</v>
      </c>
      <c r="BX227" s="2" t="s">
        <v>100</v>
      </c>
      <c r="BY227" s="2" t="s">
        <v>113</v>
      </c>
      <c r="BZ227" s="2" t="s">
        <v>100</v>
      </c>
    </row>
    <row r="228">
      <c r="A228" s="2" t="s">
        <v>1201</v>
      </c>
      <c r="B228" s="2" t="s">
        <v>87</v>
      </c>
      <c r="C228" s="2" t="s">
        <v>88</v>
      </c>
      <c r="D228" s="2" t="s">
        <v>803</v>
      </c>
      <c r="E228" s="2" t="s">
        <v>804</v>
      </c>
      <c r="F228" s="2" t="s">
        <v>410</v>
      </c>
      <c r="G228" s="2" t="s">
        <v>411</v>
      </c>
      <c r="H228" s="2" t="s">
        <v>412</v>
      </c>
      <c r="I228" s="2" t="s">
        <v>1194</v>
      </c>
      <c r="J228" s="2" t="s">
        <v>270</v>
      </c>
      <c r="K228" s="2" t="s">
        <v>278</v>
      </c>
      <c r="L228" s="3">
        <v>42.85</v>
      </c>
      <c r="M228" s="3">
        <v>44.99</v>
      </c>
      <c r="N228" s="3">
        <v>89.99</v>
      </c>
      <c r="O228" s="2" t="s">
        <v>97</v>
      </c>
      <c r="P228" s="2" t="s">
        <v>119</v>
      </c>
      <c r="Q228" s="2" t="s">
        <v>99</v>
      </c>
      <c r="R228" s="2" t="s">
        <v>100</v>
      </c>
      <c r="S228" s="2" t="s">
        <v>1200</v>
      </c>
      <c r="T228" s="2" t="s">
        <v>218</v>
      </c>
      <c r="U228" s="2" t="s">
        <v>171</v>
      </c>
      <c r="V228" s="2" t="s">
        <v>256</v>
      </c>
      <c r="W228" s="2" t="s">
        <v>158</v>
      </c>
      <c r="X228" s="2" t="s">
        <v>415</v>
      </c>
      <c r="Y228" s="2" t="s">
        <v>423</v>
      </c>
      <c r="Z228" s="4">
        <v>568</v>
      </c>
      <c r="AA228" s="4">
        <f>=ROUNDDOWN(81.1428571428571,0)</f>
      </c>
      <c r="AB228" s="5">
        <v>7</v>
      </c>
      <c r="AC228" s="2" t="s">
        <v>1196</v>
      </c>
      <c r="AD228" s="4">
        <v>180</v>
      </c>
      <c r="AE228" s="4">
        <v>180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150</v>
      </c>
      <c r="BK228" s="8">
        <v>7290.14</v>
      </c>
      <c r="BL228" s="2" t="s">
        <v>1202</v>
      </c>
      <c r="BM228" s="7"/>
      <c r="BN228" s="7"/>
      <c r="BO228" s="4"/>
      <c r="BP228" s="8"/>
      <c r="BQ228" s="4"/>
      <c r="BR228" s="8"/>
      <c r="BS228" s="7"/>
      <c r="BT228" s="7"/>
      <c r="BU228" s="2" t="s">
        <v>207</v>
      </c>
      <c r="BV228" s="2" t="s">
        <v>97</v>
      </c>
      <c r="BW228" s="2" t="s">
        <v>100</v>
      </c>
      <c r="BX228" s="2" t="s">
        <v>100</v>
      </c>
      <c r="BY228" s="2" t="s">
        <v>113</v>
      </c>
      <c r="BZ228" s="2" t="s">
        <v>100</v>
      </c>
    </row>
    <row r="229">
      <c r="A229" s="2" t="s">
        <v>1203</v>
      </c>
      <c r="B229" s="2" t="s">
        <v>87</v>
      </c>
      <c r="C229" s="2" t="s">
        <v>88</v>
      </c>
      <c r="D229" s="2" t="s">
        <v>803</v>
      </c>
      <c r="E229" s="2" t="s">
        <v>804</v>
      </c>
      <c r="F229" s="2" t="s">
        <v>1204</v>
      </c>
      <c r="G229" s="2" t="s">
        <v>1205</v>
      </c>
      <c r="H229" s="2" t="s">
        <v>1206</v>
      </c>
      <c r="I229" s="2" t="s">
        <v>1207</v>
      </c>
      <c r="J229" s="2" t="s">
        <v>247</v>
      </c>
      <c r="K229" s="2" t="s">
        <v>335</v>
      </c>
      <c r="L229" s="3">
        <v>45.71</v>
      </c>
      <c r="M229" s="3">
        <v>48</v>
      </c>
      <c r="N229" s="3">
        <v>99.99</v>
      </c>
      <c r="O229" s="2" t="s">
        <v>97</v>
      </c>
      <c r="P229" s="2" t="s">
        <v>225</v>
      </c>
      <c r="Q229" s="2" t="s">
        <v>99</v>
      </c>
      <c r="R229" s="2" t="s">
        <v>100</v>
      </c>
      <c r="S229" s="2" t="s">
        <v>1208</v>
      </c>
      <c r="T229" s="2" t="s">
        <v>218</v>
      </c>
      <c r="U229" s="2" t="s">
        <v>337</v>
      </c>
      <c r="V229" s="2" t="s">
        <v>350</v>
      </c>
      <c r="W229" s="2" t="s">
        <v>239</v>
      </c>
      <c r="X229" s="2" t="s">
        <v>203</v>
      </c>
      <c r="Y229" s="2" t="s">
        <v>1209</v>
      </c>
      <c r="Z229" s="4">
        <v>296</v>
      </c>
      <c r="AA229" s="4">
        <f>=ROUNDDOWN(95.4838709677419,0)</f>
      </c>
      <c r="AB229" s="5">
        <v>3.1</v>
      </c>
      <c r="AC229" s="2" t="s">
        <v>1069</v>
      </c>
      <c r="AD229" s="4">
        <v>300</v>
      </c>
      <c r="AE229" s="4">
        <v>300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13</v>
      </c>
      <c r="BK229" s="8">
        <v>681.56</v>
      </c>
      <c r="BL229" s="2" t="s">
        <v>1210</v>
      </c>
      <c r="BM229" s="7"/>
      <c r="BN229" s="7"/>
      <c r="BO229" s="4"/>
      <c r="BP229" s="8"/>
      <c r="BQ229" s="4"/>
      <c r="BR229" s="8"/>
      <c r="BS229" s="7"/>
      <c r="BT229" s="7"/>
      <c r="BU229" s="2" t="s">
        <v>230</v>
      </c>
      <c r="BV229" s="2" t="s">
        <v>97</v>
      </c>
      <c r="BW229" s="2" t="s">
        <v>100</v>
      </c>
      <c r="BX229" s="2" t="s">
        <v>100</v>
      </c>
      <c r="BY229" s="2" t="s">
        <v>113</v>
      </c>
      <c r="BZ229" s="2" t="s">
        <v>100</v>
      </c>
    </row>
    <row r="230">
      <c r="A230" s="2" t="s">
        <v>1211</v>
      </c>
      <c r="B230" s="2" t="s">
        <v>87</v>
      </c>
      <c r="C230" s="2" t="s">
        <v>88</v>
      </c>
      <c r="D230" s="2" t="s">
        <v>803</v>
      </c>
      <c r="E230" s="2" t="s">
        <v>804</v>
      </c>
      <c r="F230" s="2" t="s">
        <v>1204</v>
      </c>
      <c r="G230" s="2" t="s">
        <v>1205</v>
      </c>
      <c r="H230" s="2" t="s">
        <v>1206</v>
      </c>
      <c r="I230" s="2" t="s">
        <v>1207</v>
      </c>
      <c r="J230" s="2" t="s">
        <v>270</v>
      </c>
      <c r="K230" s="2" t="s">
        <v>335</v>
      </c>
      <c r="L230" s="3">
        <v>54.85</v>
      </c>
      <c r="M230" s="3">
        <v>57.59</v>
      </c>
      <c r="N230" s="3">
        <v>119.99</v>
      </c>
      <c r="O230" s="2" t="s">
        <v>97</v>
      </c>
      <c r="P230" s="2" t="s">
        <v>225</v>
      </c>
      <c r="Q230" s="2" t="s">
        <v>99</v>
      </c>
      <c r="R230" s="2" t="s">
        <v>100</v>
      </c>
      <c r="S230" s="2" t="s">
        <v>1208</v>
      </c>
      <c r="T230" s="2" t="s">
        <v>218</v>
      </c>
      <c r="U230" s="2" t="s">
        <v>337</v>
      </c>
      <c r="V230" s="2" t="s">
        <v>350</v>
      </c>
      <c r="W230" s="2" t="s">
        <v>239</v>
      </c>
      <c r="X230" s="2" t="s">
        <v>203</v>
      </c>
      <c r="Y230" s="2" t="s">
        <v>1209</v>
      </c>
      <c r="Z230" s="4">
        <v>343</v>
      </c>
      <c r="AA230" s="4">
        <f>=ROUNDDOWN(245,0)</f>
      </c>
      <c r="AB230" s="5">
        <v>1.4</v>
      </c>
      <c r="AC230" s="2" t="s">
        <v>1069</v>
      </c>
      <c r="AD230" s="4">
        <v>300</v>
      </c>
      <c r="AE230" s="4">
        <v>300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5</v>
      </c>
      <c r="BK230" s="8">
        <v>311</v>
      </c>
      <c r="BL230" s="2" t="s">
        <v>1212</v>
      </c>
      <c r="BM230" s="7"/>
      <c r="BN230" s="7"/>
      <c r="BO230" s="4"/>
      <c r="BP230" s="8"/>
      <c r="BQ230" s="4"/>
      <c r="BR230" s="8"/>
      <c r="BS230" s="7"/>
      <c r="BT230" s="7"/>
      <c r="BU230" s="2" t="s">
        <v>230</v>
      </c>
      <c r="BV230" s="2" t="s">
        <v>97</v>
      </c>
      <c r="BW230" s="2" t="s">
        <v>100</v>
      </c>
      <c r="BX230" s="2" t="s">
        <v>100</v>
      </c>
      <c r="BY230" s="2" t="s">
        <v>113</v>
      </c>
      <c r="BZ230" s="2" t="s">
        <v>100</v>
      </c>
    </row>
    <row r="231">
      <c r="A231" s="2" t="s">
        <v>1213</v>
      </c>
      <c r="B231" s="2" t="s">
        <v>87</v>
      </c>
      <c r="C231" s="2" t="s">
        <v>88</v>
      </c>
      <c r="D231" s="2" t="s">
        <v>803</v>
      </c>
      <c r="E231" s="2" t="s">
        <v>804</v>
      </c>
      <c r="F231" s="2" t="s">
        <v>1204</v>
      </c>
      <c r="G231" s="2" t="s">
        <v>1205</v>
      </c>
      <c r="H231" s="2" t="s">
        <v>1206</v>
      </c>
      <c r="I231" s="2" t="s">
        <v>1207</v>
      </c>
      <c r="J231" s="2" t="s">
        <v>247</v>
      </c>
      <c r="K231" s="2" t="s">
        <v>629</v>
      </c>
      <c r="L231" s="3">
        <v>45.71</v>
      </c>
      <c r="M231" s="3">
        <v>48</v>
      </c>
      <c r="N231" s="3">
        <v>99.99</v>
      </c>
      <c r="O231" s="2" t="s">
        <v>97</v>
      </c>
      <c r="P231" s="2" t="s">
        <v>225</v>
      </c>
      <c r="Q231" s="2" t="s">
        <v>99</v>
      </c>
      <c r="R231" s="2" t="s">
        <v>100</v>
      </c>
      <c r="S231" s="2" t="s">
        <v>1208</v>
      </c>
      <c r="T231" s="2" t="s">
        <v>218</v>
      </c>
      <c r="U231" s="2" t="s">
        <v>337</v>
      </c>
      <c r="V231" s="2" t="s">
        <v>350</v>
      </c>
      <c r="W231" s="2" t="s">
        <v>239</v>
      </c>
      <c r="X231" s="2" t="s">
        <v>203</v>
      </c>
      <c r="Y231" s="2" t="s">
        <v>1214</v>
      </c>
      <c r="Z231" s="4">
        <v>431</v>
      </c>
      <c r="AA231" s="4">
        <f>=ROUNDDOWN(359.166666666667,0)</f>
      </c>
      <c r="AB231" s="5">
        <v>1.2</v>
      </c>
      <c r="AC231" s="2" t="s">
        <v>1069</v>
      </c>
      <c r="AD231" s="4">
        <v>160</v>
      </c>
      <c r="AE231" s="4">
        <v>160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4</v>
      </c>
      <c r="BK231" s="8">
        <v>207.36</v>
      </c>
      <c r="BL231" s="2" t="s">
        <v>1212</v>
      </c>
      <c r="BM231" s="7"/>
      <c r="BN231" s="7"/>
      <c r="BO231" s="4"/>
      <c r="BP231" s="8"/>
      <c r="BQ231" s="4"/>
      <c r="BR231" s="8"/>
      <c r="BS231" s="7"/>
      <c r="BT231" s="7"/>
      <c r="BU231" s="2" t="s">
        <v>230</v>
      </c>
      <c r="BV231" s="2" t="s">
        <v>97</v>
      </c>
      <c r="BW231" s="2" t="s">
        <v>100</v>
      </c>
      <c r="BX231" s="2" t="s">
        <v>100</v>
      </c>
      <c r="BY231" s="2" t="s">
        <v>113</v>
      </c>
      <c r="BZ231" s="2" t="s">
        <v>100</v>
      </c>
    </row>
    <row r="232">
      <c r="A232" s="2" t="s">
        <v>1215</v>
      </c>
      <c r="B232" s="2" t="s">
        <v>87</v>
      </c>
      <c r="C232" s="2" t="s">
        <v>88</v>
      </c>
      <c r="D232" s="2" t="s">
        <v>803</v>
      </c>
      <c r="E232" s="2" t="s">
        <v>804</v>
      </c>
      <c r="F232" s="2" t="s">
        <v>1204</v>
      </c>
      <c r="G232" s="2" t="s">
        <v>1205</v>
      </c>
      <c r="H232" s="2" t="s">
        <v>1206</v>
      </c>
      <c r="I232" s="2" t="s">
        <v>1207</v>
      </c>
      <c r="J232" s="2" t="s">
        <v>270</v>
      </c>
      <c r="K232" s="2" t="s">
        <v>629</v>
      </c>
      <c r="L232" s="3">
        <v>54.85</v>
      </c>
      <c r="M232" s="3">
        <v>57.59</v>
      </c>
      <c r="N232" s="3">
        <v>119.99</v>
      </c>
      <c r="O232" s="2" t="s">
        <v>97</v>
      </c>
      <c r="P232" s="2" t="s">
        <v>225</v>
      </c>
      <c r="Q232" s="2" t="s">
        <v>99</v>
      </c>
      <c r="R232" s="2" t="s">
        <v>100</v>
      </c>
      <c r="S232" s="2" t="s">
        <v>1208</v>
      </c>
      <c r="T232" s="2" t="s">
        <v>218</v>
      </c>
      <c r="U232" s="2" t="s">
        <v>337</v>
      </c>
      <c r="V232" s="2" t="s">
        <v>350</v>
      </c>
      <c r="W232" s="2" t="s">
        <v>239</v>
      </c>
      <c r="X232" s="2" t="s">
        <v>203</v>
      </c>
      <c r="Y232" s="2" t="s">
        <v>1216</v>
      </c>
      <c r="Z232" s="4">
        <v>594</v>
      </c>
      <c r="AA232" s="4">
        <f>=ROUNDDOWN(594,0)</f>
      </c>
      <c r="AB232" s="5">
        <v>1</v>
      </c>
      <c r="AC232" s="2" t="s">
        <v>100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5</v>
      </c>
      <c r="BK232" s="8">
        <v>308.69</v>
      </c>
      <c r="BL232" s="2" t="s">
        <v>1217</v>
      </c>
      <c r="BM232" s="7"/>
      <c r="BN232" s="7"/>
      <c r="BO232" s="4"/>
      <c r="BP232" s="8"/>
      <c r="BQ232" s="4"/>
      <c r="BR232" s="8"/>
      <c r="BS232" s="7"/>
      <c r="BT232" s="7"/>
      <c r="BU232" s="2" t="s">
        <v>230</v>
      </c>
      <c r="BV232" s="2" t="s">
        <v>97</v>
      </c>
      <c r="BW232" s="2" t="s">
        <v>100</v>
      </c>
      <c r="BX232" s="2" t="s">
        <v>100</v>
      </c>
      <c r="BY232" s="2" t="s">
        <v>113</v>
      </c>
      <c r="BZ232" s="2" t="s">
        <v>100</v>
      </c>
    </row>
    <row r="233">
      <c r="A233" s="2" t="s">
        <v>1218</v>
      </c>
      <c r="B233" s="2" t="s">
        <v>87</v>
      </c>
      <c r="C233" s="2" t="s">
        <v>88</v>
      </c>
      <c r="D233" s="2" t="s">
        <v>803</v>
      </c>
      <c r="E233" s="2" t="s">
        <v>804</v>
      </c>
      <c r="F233" s="2" t="s">
        <v>1219</v>
      </c>
      <c r="G233" s="2" t="s">
        <v>1220</v>
      </c>
      <c r="H233" s="2" t="s">
        <v>1221</v>
      </c>
      <c r="I233" s="2" t="s">
        <v>1222</v>
      </c>
      <c r="J233" s="2" t="s">
        <v>706</v>
      </c>
      <c r="K233" s="2" t="s">
        <v>913</v>
      </c>
      <c r="L233" s="3">
        <v>64.4</v>
      </c>
      <c r="M233" s="3">
        <v>67.62</v>
      </c>
      <c r="N233" s="3">
        <v>139.99</v>
      </c>
      <c r="O233" s="2" t="s">
        <v>97</v>
      </c>
      <c r="P233" s="2" t="s">
        <v>225</v>
      </c>
      <c r="Q233" s="2" t="s">
        <v>99</v>
      </c>
      <c r="R233" s="2" t="s">
        <v>100</v>
      </c>
      <c r="S233" s="2" t="s">
        <v>1223</v>
      </c>
      <c r="T233" s="2" t="s">
        <v>100</v>
      </c>
      <c r="U233" s="2" t="s">
        <v>337</v>
      </c>
      <c r="V233" s="2" t="s">
        <v>434</v>
      </c>
      <c r="W233" s="2" t="s">
        <v>104</v>
      </c>
      <c r="X233" s="2" t="s">
        <v>490</v>
      </c>
      <c r="Y233" s="2" t="s">
        <v>1224</v>
      </c>
      <c r="Z233" s="4">
        <v>492</v>
      </c>
      <c r="AA233" s="4">
        <f>=ROUNDDOWN(447.272727272727,0)</f>
      </c>
      <c r="AB233" s="5">
        <v>1.1</v>
      </c>
      <c r="AC233" s="2" t="s">
        <v>100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7</v>
      </c>
      <c r="BK233" s="8">
        <v>480.78</v>
      </c>
      <c r="BL233" s="2" t="s">
        <v>1225</v>
      </c>
      <c r="BM233" s="7"/>
      <c r="BN233" s="7"/>
      <c r="BO233" s="4"/>
      <c r="BP233" s="8"/>
      <c r="BQ233" s="4"/>
      <c r="BR233" s="8"/>
      <c r="BS233" s="7"/>
      <c r="BT233" s="7"/>
      <c r="BU233" s="2" t="s">
        <v>230</v>
      </c>
      <c r="BV233" s="2" t="s">
        <v>97</v>
      </c>
      <c r="BW233" s="2" t="s">
        <v>100</v>
      </c>
      <c r="BX233" s="2" t="s">
        <v>100</v>
      </c>
      <c r="BY233" s="2" t="s">
        <v>113</v>
      </c>
      <c r="BZ233" s="2" t="s">
        <v>100</v>
      </c>
    </row>
    <row r="234">
      <c r="A234" s="2" t="s">
        <v>1226</v>
      </c>
      <c r="B234" s="2" t="s">
        <v>87</v>
      </c>
      <c r="C234" s="2" t="s">
        <v>88</v>
      </c>
      <c r="D234" s="2" t="s">
        <v>803</v>
      </c>
      <c r="E234" s="2" t="s">
        <v>804</v>
      </c>
      <c r="F234" s="2" t="s">
        <v>1219</v>
      </c>
      <c r="G234" s="2" t="s">
        <v>1220</v>
      </c>
      <c r="H234" s="2" t="s">
        <v>1221</v>
      </c>
      <c r="I234" s="2" t="s">
        <v>1222</v>
      </c>
      <c r="J234" s="2" t="s">
        <v>714</v>
      </c>
      <c r="K234" s="2" t="s">
        <v>913</v>
      </c>
      <c r="L234" s="3">
        <v>75.2</v>
      </c>
      <c r="M234" s="3">
        <v>78.96</v>
      </c>
      <c r="N234" s="3">
        <v>159.99</v>
      </c>
      <c r="O234" s="2" t="s">
        <v>97</v>
      </c>
      <c r="P234" s="2" t="s">
        <v>225</v>
      </c>
      <c r="Q234" s="2" t="s">
        <v>99</v>
      </c>
      <c r="R234" s="2" t="s">
        <v>100</v>
      </c>
      <c r="S234" s="2" t="s">
        <v>1223</v>
      </c>
      <c r="T234" s="2" t="s">
        <v>100</v>
      </c>
      <c r="U234" s="2" t="s">
        <v>337</v>
      </c>
      <c r="V234" s="2" t="s">
        <v>434</v>
      </c>
      <c r="W234" s="2" t="s">
        <v>104</v>
      </c>
      <c r="X234" s="2" t="s">
        <v>490</v>
      </c>
      <c r="Y234" s="2" t="s">
        <v>1224</v>
      </c>
      <c r="Z234" s="4">
        <v>373</v>
      </c>
      <c r="AA234" s="4">
        <f>=ROUNDDOWN(124.333333333333,0)</f>
      </c>
      <c r="AB234" s="5">
        <v>3</v>
      </c>
      <c r="AC234" s="2" t="s">
        <v>100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6</v>
      </c>
      <c r="BK234" s="8">
        <v>499.04</v>
      </c>
      <c r="BL234" s="2" t="s">
        <v>1227</v>
      </c>
      <c r="BM234" s="7"/>
      <c r="BN234" s="7"/>
      <c r="BO234" s="4"/>
      <c r="BP234" s="8"/>
      <c r="BQ234" s="4"/>
      <c r="BR234" s="8"/>
      <c r="BS234" s="7"/>
      <c r="BT234" s="7"/>
      <c r="BU234" s="2" t="s">
        <v>230</v>
      </c>
      <c r="BV234" s="2" t="s">
        <v>97</v>
      </c>
      <c r="BW234" s="2" t="s">
        <v>100</v>
      </c>
      <c r="BX234" s="2" t="s">
        <v>100</v>
      </c>
      <c r="BY234" s="2" t="s">
        <v>113</v>
      </c>
      <c r="BZ234" s="2" t="s">
        <v>100</v>
      </c>
    </row>
    <row r="235">
      <c r="A235" s="2" t="s">
        <v>1228</v>
      </c>
      <c r="B235" s="2" t="s">
        <v>87</v>
      </c>
      <c r="C235" s="2" t="s">
        <v>88</v>
      </c>
      <c r="D235" s="2" t="s">
        <v>803</v>
      </c>
      <c r="E235" s="2" t="s">
        <v>804</v>
      </c>
      <c r="F235" s="2" t="s">
        <v>1219</v>
      </c>
      <c r="G235" s="2" t="s">
        <v>1220</v>
      </c>
      <c r="H235" s="2" t="s">
        <v>1221</v>
      </c>
      <c r="I235" s="2" t="s">
        <v>1222</v>
      </c>
      <c r="J235" s="2" t="s">
        <v>817</v>
      </c>
      <c r="K235" s="2" t="s">
        <v>913</v>
      </c>
      <c r="L235" s="3">
        <v>75.2</v>
      </c>
      <c r="M235" s="3">
        <v>78.96</v>
      </c>
      <c r="N235" s="3">
        <v>159.99</v>
      </c>
      <c r="O235" s="2" t="s">
        <v>97</v>
      </c>
      <c r="P235" s="2" t="s">
        <v>225</v>
      </c>
      <c r="Q235" s="2" t="s">
        <v>99</v>
      </c>
      <c r="R235" s="2" t="s">
        <v>100</v>
      </c>
      <c r="S235" s="2" t="s">
        <v>1223</v>
      </c>
      <c r="T235" s="2" t="s">
        <v>100</v>
      </c>
      <c r="U235" s="2" t="s">
        <v>337</v>
      </c>
      <c r="V235" s="2" t="s">
        <v>434</v>
      </c>
      <c r="W235" s="2" t="s">
        <v>104</v>
      </c>
      <c r="X235" s="2" t="s">
        <v>490</v>
      </c>
      <c r="Y235" s="2" t="s">
        <v>1229</v>
      </c>
      <c r="Z235" s="4">
        <v>215</v>
      </c>
      <c r="AA235" s="4">
        <f>=ROUNDDOWN(537.5,0)</f>
      </c>
      <c r="AB235" s="5">
        <v>0.4</v>
      </c>
      <c r="AC235" s="2" t="s">
        <v>100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5</v>
      </c>
      <c r="BK235" s="8">
        <v>391.52</v>
      </c>
      <c r="BL235" s="2" t="s">
        <v>1230</v>
      </c>
      <c r="BM235" s="7"/>
      <c r="BN235" s="7"/>
      <c r="BO235" s="4"/>
      <c r="BP235" s="8"/>
      <c r="BQ235" s="4"/>
      <c r="BR235" s="8"/>
      <c r="BS235" s="7"/>
      <c r="BT235" s="7"/>
      <c r="BU235" s="2" t="s">
        <v>230</v>
      </c>
      <c r="BV235" s="2" t="s">
        <v>97</v>
      </c>
      <c r="BW235" s="2" t="s">
        <v>100</v>
      </c>
      <c r="BX235" s="2" t="s">
        <v>100</v>
      </c>
      <c r="BY235" s="2" t="s">
        <v>113</v>
      </c>
      <c r="BZ235" s="2" t="s">
        <v>100</v>
      </c>
    </row>
    <row r="236">
      <c r="A236" s="2" t="s">
        <v>1231</v>
      </c>
      <c r="B236" s="2" t="s">
        <v>87</v>
      </c>
      <c r="C236" s="2" t="s">
        <v>88</v>
      </c>
      <c r="D236" s="2" t="s">
        <v>803</v>
      </c>
      <c r="E236" s="2" t="s">
        <v>804</v>
      </c>
      <c r="F236" s="2" t="s">
        <v>1219</v>
      </c>
      <c r="G236" s="2" t="s">
        <v>1220</v>
      </c>
      <c r="H236" s="2" t="s">
        <v>1221</v>
      </c>
      <c r="I236" s="2" t="s">
        <v>1222</v>
      </c>
      <c r="J236" s="2" t="s">
        <v>706</v>
      </c>
      <c r="K236" s="2" t="s">
        <v>198</v>
      </c>
      <c r="L236" s="3">
        <v>64.4</v>
      </c>
      <c r="M236" s="3">
        <v>67.62</v>
      </c>
      <c r="N236" s="3">
        <v>139.99</v>
      </c>
      <c r="O236" s="2" t="s">
        <v>97</v>
      </c>
      <c r="P236" s="2" t="s">
        <v>225</v>
      </c>
      <c r="Q236" s="2" t="s">
        <v>99</v>
      </c>
      <c r="R236" s="2" t="s">
        <v>100</v>
      </c>
      <c r="S236" s="2" t="s">
        <v>1232</v>
      </c>
      <c r="T236" s="2" t="s">
        <v>100</v>
      </c>
      <c r="U236" s="2" t="s">
        <v>337</v>
      </c>
      <c r="V236" s="2" t="s">
        <v>434</v>
      </c>
      <c r="W236" s="2" t="s">
        <v>104</v>
      </c>
      <c r="X236" s="2" t="s">
        <v>490</v>
      </c>
      <c r="Y236" s="2" t="s">
        <v>1233</v>
      </c>
      <c r="Z236" s="4">
        <v>488</v>
      </c>
      <c r="AA236" s="4">
        <f>=ROUNDDOWN(69.7142857142857,0)</f>
      </c>
      <c r="AB236" s="5">
        <v>7</v>
      </c>
      <c r="AC236" s="2" t="s">
        <v>100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13</v>
      </c>
      <c r="BK236" s="8">
        <v>988.53</v>
      </c>
      <c r="BL236" s="2" t="s">
        <v>1234</v>
      </c>
      <c r="BM236" s="7"/>
      <c r="BN236" s="7"/>
      <c r="BO236" s="4"/>
      <c r="BP236" s="8"/>
      <c r="BQ236" s="4"/>
      <c r="BR236" s="8"/>
      <c r="BS236" s="7"/>
      <c r="BT236" s="7"/>
      <c r="BU236" s="2" t="s">
        <v>230</v>
      </c>
      <c r="BV236" s="2" t="s">
        <v>97</v>
      </c>
      <c r="BW236" s="2" t="s">
        <v>100</v>
      </c>
      <c r="BX236" s="2" t="s">
        <v>100</v>
      </c>
      <c r="BY236" s="2" t="s">
        <v>113</v>
      </c>
      <c r="BZ236" s="2" t="s">
        <v>100</v>
      </c>
    </row>
    <row r="237">
      <c r="A237" s="2" t="s">
        <v>1235</v>
      </c>
      <c r="B237" s="2" t="s">
        <v>87</v>
      </c>
      <c r="C237" s="2" t="s">
        <v>88</v>
      </c>
      <c r="D237" s="2" t="s">
        <v>803</v>
      </c>
      <c r="E237" s="2" t="s">
        <v>804</v>
      </c>
      <c r="F237" s="2" t="s">
        <v>1219</v>
      </c>
      <c r="G237" s="2" t="s">
        <v>1220</v>
      </c>
      <c r="H237" s="2" t="s">
        <v>1221</v>
      </c>
      <c r="I237" s="2" t="s">
        <v>1222</v>
      </c>
      <c r="J237" s="2" t="s">
        <v>714</v>
      </c>
      <c r="K237" s="2" t="s">
        <v>198</v>
      </c>
      <c r="L237" s="3">
        <v>75.2</v>
      </c>
      <c r="M237" s="3">
        <v>78.96</v>
      </c>
      <c r="N237" s="3">
        <v>159.99</v>
      </c>
      <c r="O237" s="2" t="s">
        <v>97</v>
      </c>
      <c r="P237" s="2" t="s">
        <v>225</v>
      </c>
      <c r="Q237" s="2" t="s">
        <v>99</v>
      </c>
      <c r="R237" s="2" t="s">
        <v>100</v>
      </c>
      <c r="S237" s="2" t="s">
        <v>1232</v>
      </c>
      <c r="T237" s="2" t="s">
        <v>100</v>
      </c>
      <c r="U237" s="2" t="s">
        <v>337</v>
      </c>
      <c r="V237" s="2" t="s">
        <v>434</v>
      </c>
      <c r="W237" s="2" t="s">
        <v>104</v>
      </c>
      <c r="X237" s="2" t="s">
        <v>490</v>
      </c>
      <c r="Y237" s="2" t="s">
        <v>1233</v>
      </c>
      <c r="Z237" s="4">
        <v>372</v>
      </c>
      <c r="AA237" s="4">
        <f>=ROUNDDOWN(53.1428571428571,0)</f>
      </c>
      <c r="AB237" s="5">
        <v>7</v>
      </c>
      <c r="AC237" s="2" t="s">
        <v>100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6</v>
      </c>
      <c r="BK237" s="8">
        <v>499.04</v>
      </c>
      <c r="BL237" s="2" t="s">
        <v>1227</v>
      </c>
      <c r="BM237" s="7"/>
      <c r="BN237" s="7"/>
      <c r="BO237" s="4"/>
      <c r="BP237" s="8"/>
      <c r="BQ237" s="4"/>
      <c r="BR237" s="8"/>
      <c r="BS237" s="7"/>
      <c r="BT237" s="7"/>
      <c r="BU237" s="2" t="s">
        <v>230</v>
      </c>
      <c r="BV237" s="2" t="s">
        <v>97</v>
      </c>
      <c r="BW237" s="2" t="s">
        <v>100</v>
      </c>
      <c r="BX237" s="2" t="s">
        <v>100</v>
      </c>
      <c r="BY237" s="2" t="s">
        <v>113</v>
      </c>
      <c r="BZ237" s="2" t="s">
        <v>100</v>
      </c>
    </row>
    <row r="238">
      <c r="A238" s="2" t="s">
        <v>1236</v>
      </c>
      <c r="B238" s="2" t="s">
        <v>87</v>
      </c>
      <c r="C238" s="2" t="s">
        <v>88</v>
      </c>
      <c r="D238" s="2" t="s">
        <v>803</v>
      </c>
      <c r="E238" s="2" t="s">
        <v>804</v>
      </c>
      <c r="F238" s="2" t="s">
        <v>1219</v>
      </c>
      <c r="G238" s="2" t="s">
        <v>1220</v>
      </c>
      <c r="H238" s="2" t="s">
        <v>1221</v>
      </c>
      <c r="I238" s="2" t="s">
        <v>1222</v>
      </c>
      <c r="J238" s="2" t="s">
        <v>817</v>
      </c>
      <c r="K238" s="2" t="s">
        <v>198</v>
      </c>
      <c r="L238" s="3">
        <v>75.2</v>
      </c>
      <c r="M238" s="3">
        <v>78.96</v>
      </c>
      <c r="N238" s="3">
        <v>159.99</v>
      </c>
      <c r="O238" s="2" t="s">
        <v>97</v>
      </c>
      <c r="P238" s="2" t="s">
        <v>225</v>
      </c>
      <c r="Q238" s="2" t="s">
        <v>99</v>
      </c>
      <c r="R238" s="2" t="s">
        <v>100</v>
      </c>
      <c r="S238" s="2" t="s">
        <v>1232</v>
      </c>
      <c r="T238" s="2" t="s">
        <v>100</v>
      </c>
      <c r="U238" s="2" t="s">
        <v>337</v>
      </c>
      <c r="V238" s="2" t="s">
        <v>434</v>
      </c>
      <c r="W238" s="2" t="s">
        <v>104</v>
      </c>
      <c r="X238" s="2" t="s">
        <v>490</v>
      </c>
      <c r="Y238" s="2" t="s">
        <v>1233</v>
      </c>
      <c r="Z238" s="4">
        <v>207</v>
      </c>
      <c r="AA238" s="4">
        <f>=ROUNDDOWN(51.75,0)</f>
      </c>
      <c r="AB238" s="5">
        <v>4</v>
      </c>
      <c r="AC238" s="2" t="s">
        <v>100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10</v>
      </c>
      <c r="BK238" s="8">
        <v>876.24</v>
      </c>
      <c r="BL238" s="2" t="s">
        <v>1237</v>
      </c>
      <c r="BM238" s="7"/>
      <c r="BN238" s="7"/>
      <c r="BO238" s="4"/>
      <c r="BP238" s="8"/>
      <c r="BQ238" s="4"/>
      <c r="BR238" s="8"/>
      <c r="BS238" s="7"/>
      <c r="BT238" s="7"/>
      <c r="BU238" s="2" t="s">
        <v>230</v>
      </c>
      <c r="BV238" s="2" t="s">
        <v>97</v>
      </c>
      <c r="BW238" s="2" t="s">
        <v>100</v>
      </c>
      <c r="BX238" s="2" t="s">
        <v>100</v>
      </c>
      <c r="BY238" s="2" t="s">
        <v>113</v>
      </c>
      <c r="BZ238" s="2" t="s">
        <v>100</v>
      </c>
    </row>
    <row r="239">
      <c r="A239" s="2" t="s">
        <v>1238</v>
      </c>
      <c r="B239" s="2" t="s">
        <v>87</v>
      </c>
      <c r="C239" s="2" t="s">
        <v>88</v>
      </c>
      <c r="D239" s="2" t="s">
        <v>803</v>
      </c>
      <c r="E239" s="2" t="s">
        <v>804</v>
      </c>
      <c r="F239" s="2" t="s">
        <v>428</v>
      </c>
      <c r="G239" s="2" t="s">
        <v>429</v>
      </c>
      <c r="H239" s="2" t="s">
        <v>430</v>
      </c>
      <c r="I239" s="2" t="s">
        <v>1239</v>
      </c>
      <c r="J239" s="2" t="s">
        <v>706</v>
      </c>
      <c r="K239" s="2" t="s">
        <v>432</v>
      </c>
      <c r="L239" s="3">
        <v>85.47</v>
      </c>
      <c r="M239" s="3">
        <v>89.74</v>
      </c>
      <c r="N239" s="3">
        <v>149.99</v>
      </c>
      <c r="O239" s="2" t="s">
        <v>97</v>
      </c>
      <c r="P239" s="2" t="s">
        <v>950</v>
      </c>
      <c r="Q239" s="2" t="s">
        <v>99</v>
      </c>
      <c r="R239" s="2" t="s">
        <v>100</v>
      </c>
      <c r="S239" s="2" t="s">
        <v>433</v>
      </c>
      <c r="T239" s="2" t="s">
        <v>100</v>
      </c>
      <c r="U239" s="2" t="s">
        <v>1240</v>
      </c>
      <c r="V239" s="2" t="s">
        <v>434</v>
      </c>
      <c r="W239" s="2" t="s">
        <v>219</v>
      </c>
      <c r="X239" s="2" t="s">
        <v>227</v>
      </c>
      <c r="Y239" s="2" t="s">
        <v>435</v>
      </c>
      <c r="Z239" s="4">
        <v>1028</v>
      </c>
      <c r="AA239" s="4">
        <f>=ROUNDDOWN(64.25,0)</f>
      </c>
      <c r="AB239" s="5">
        <v>16</v>
      </c>
      <c r="AC239" s="2" t="s">
        <v>266</v>
      </c>
      <c r="AD239" s="4">
        <v>50</v>
      </c>
      <c r="AE239" s="4">
        <v>50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>
        <v>437</v>
      </c>
      <c r="BK239" s="8">
        <v>39335.13</v>
      </c>
      <c r="BL239" s="2" t="s">
        <v>1241</v>
      </c>
      <c r="BM239" s="7"/>
      <c r="BN239" s="7"/>
      <c r="BO239" s="4"/>
      <c r="BP239" s="8"/>
      <c r="BQ239" s="4"/>
      <c r="BR239" s="8"/>
      <c r="BS239" s="7"/>
      <c r="BT239" s="7"/>
      <c r="BU239" s="2" t="s">
        <v>207</v>
      </c>
      <c r="BV239" s="2" t="s">
        <v>97</v>
      </c>
      <c r="BW239" s="2" t="s">
        <v>100</v>
      </c>
      <c r="BX239" s="2" t="s">
        <v>100</v>
      </c>
      <c r="BY239" s="2" t="s">
        <v>113</v>
      </c>
      <c r="BZ239" s="2" t="s">
        <v>245</v>
      </c>
    </row>
    <row r="240">
      <c r="A240" s="2" t="s">
        <v>1242</v>
      </c>
      <c r="B240" s="2" t="s">
        <v>87</v>
      </c>
      <c r="C240" s="2" t="s">
        <v>88</v>
      </c>
      <c r="D240" s="2" t="s">
        <v>803</v>
      </c>
      <c r="E240" s="2" t="s">
        <v>804</v>
      </c>
      <c r="F240" s="2" t="s">
        <v>428</v>
      </c>
      <c r="G240" s="2" t="s">
        <v>429</v>
      </c>
      <c r="H240" s="2" t="s">
        <v>430</v>
      </c>
      <c r="I240" s="2" t="s">
        <v>1239</v>
      </c>
      <c r="J240" s="2" t="s">
        <v>714</v>
      </c>
      <c r="K240" s="2" t="s">
        <v>432</v>
      </c>
      <c r="L240" s="3">
        <v>95.51</v>
      </c>
      <c r="M240" s="3">
        <v>100.29</v>
      </c>
      <c r="N240" s="3">
        <v>169.99</v>
      </c>
      <c r="O240" s="2" t="s">
        <v>97</v>
      </c>
      <c r="P240" s="2" t="s">
        <v>950</v>
      </c>
      <c r="Q240" s="2" t="s">
        <v>99</v>
      </c>
      <c r="R240" s="2" t="s">
        <v>100</v>
      </c>
      <c r="S240" s="2" t="s">
        <v>433</v>
      </c>
      <c r="T240" s="2" t="s">
        <v>100</v>
      </c>
      <c r="U240" s="2" t="s">
        <v>1240</v>
      </c>
      <c r="V240" s="2" t="s">
        <v>434</v>
      </c>
      <c r="W240" s="2" t="s">
        <v>219</v>
      </c>
      <c r="X240" s="2" t="s">
        <v>227</v>
      </c>
      <c r="Y240" s="2" t="s">
        <v>435</v>
      </c>
      <c r="Z240" s="4">
        <v>682</v>
      </c>
      <c r="AA240" s="4">
        <f>=ROUNDDOWN(85.25,0)</f>
      </c>
      <c r="AB240" s="5">
        <v>8</v>
      </c>
      <c r="AC240" s="2" t="s">
        <v>100</v>
      </c>
      <c r="AD240" s="4"/>
      <c r="AE240" s="4"/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201</v>
      </c>
      <c r="BK240" s="8">
        <v>20044.48</v>
      </c>
      <c r="BL240" s="2" t="s">
        <v>1243</v>
      </c>
      <c r="BM240" s="7"/>
      <c r="BN240" s="7"/>
      <c r="BO240" s="4"/>
      <c r="BP240" s="8"/>
      <c r="BQ240" s="4"/>
      <c r="BR240" s="8"/>
      <c r="BS240" s="7"/>
      <c r="BT240" s="7"/>
      <c r="BU240" s="2" t="s">
        <v>207</v>
      </c>
      <c r="BV240" s="2" t="s">
        <v>97</v>
      </c>
      <c r="BW240" s="2" t="s">
        <v>100</v>
      </c>
      <c r="BX240" s="2" t="s">
        <v>100</v>
      </c>
      <c r="BY240" s="2" t="s">
        <v>113</v>
      </c>
      <c r="BZ240" s="2" t="s">
        <v>245</v>
      </c>
    </row>
    <row r="241">
      <c r="A241" s="2" t="s">
        <v>1244</v>
      </c>
      <c r="B241" s="2" t="s">
        <v>87</v>
      </c>
      <c r="C241" s="2" t="s">
        <v>88</v>
      </c>
      <c r="D241" s="2" t="s">
        <v>803</v>
      </c>
      <c r="E241" s="2" t="s">
        <v>804</v>
      </c>
      <c r="F241" s="2" t="s">
        <v>428</v>
      </c>
      <c r="G241" s="2" t="s">
        <v>429</v>
      </c>
      <c r="H241" s="2" t="s">
        <v>430</v>
      </c>
      <c r="I241" s="2" t="s">
        <v>1239</v>
      </c>
      <c r="J241" s="2" t="s">
        <v>817</v>
      </c>
      <c r="K241" s="2" t="s">
        <v>432</v>
      </c>
      <c r="L241" s="3">
        <v>95.51</v>
      </c>
      <c r="M241" s="3">
        <v>100.29</v>
      </c>
      <c r="N241" s="3">
        <v>169.99</v>
      </c>
      <c r="O241" s="2" t="s">
        <v>97</v>
      </c>
      <c r="P241" s="2" t="s">
        <v>950</v>
      </c>
      <c r="Q241" s="2" t="s">
        <v>99</v>
      </c>
      <c r="R241" s="2" t="s">
        <v>100</v>
      </c>
      <c r="S241" s="2" t="s">
        <v>433</v>
      </c>
      <c r="T241" s="2" t="s">
        <v>100</v>
      </c>
      <c r="U241" s="2" t="s">
        <v>1240</v>
      </c>
      <c r="V241" s="2" t="s">
        <v>434</v>
      </c>
      <c r="W241" s="2" t="s">
        <v>219</v>
      </c>
      <c r="X241" s="2" t="s">
        <v>227</v>
      </c>
      <c r="Y241" s="2" t="s">
        <v>435</v>
      </c>
      <c r="Z241" s="4">
        <v>235</v>
      </c>
      <c r="AA241" s="4">
        <f>=ROUNDDOWN(58.75,0)</f>
      </c>
      <c r="AB241" s="5">
        <v>4</v>
      </c>
      <c r="AC241" s="2" t="s">
        <v>100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88</v>
      </c>
      <c r="BK241" s="8">
        <v>8666.46</v>
      </c>
      <c r="BL241" s="2" t="s">
        <v>272</v>
      </c>
      <c r="BM241" s="7"/>
      <c r="BN241" s="7"/>
      <c r="BO241" s="4"/>
      <c r="BP241" s="8"/>
      <c r="BQ241" s="4"/>
      <c r="BR241" s="8"/>
      <c r="BS241" s="7"/>
      <c r="BT241" s="7"/>
      <c r="BU241" s="2" t="s">
        <v>207</v>
      </c>
      <c r="BV241" s="2" t="s">
        <v>97</v>
      </c>
      <c r="BW241" s="2" t="s">
        <v>100</v>
      </c>
      <c r="BX241" s="2" t="s">
        <v>100</v>
      </c>
      <c r="BY241" s="2" t="s">
        <v>113</v>
      </c>
      <c r="BZ241" s="2" t="s">
        <v>245</v>
      </c>
    </row>
    <row r="242">
      <c r="A242" s="2" t="s">
        <v>1245</v>
      </c>
      <c r="B242" s="2" t="s">
        <v>87</v>
      </c>
      <c r="C242" s="2" t="s">
        <v>88</v>
      </c>
      <c r="D242" s="2" t="s">
        <v>803</v>
      </c>
      <c r="E242" s="2" t="s">
        <v>804</v>
      </c>
      <c r="F242" s="2" t="s">
        <v>428</v>
      </c>
      <c r="G242" s="2" t="s">
        <v>429</v>
      </c>
      <c r="H242" s="2" t="s">
        <v>430</v>
      </c>
      <c r="I242" s="2" t="s">
        <v>1239</v>
      </c>
      <c r="J242" s="2" t="s">
        <v>706</v>
      </c>
      <c r="K242" s="2" t="s">
        <v>440</v>
      </c>
      <c r="L242" s="3">
        <v>85.47</v>
      </c>
      <c r="M242" s="3">
        <v>89.74</v>
      </c>
      <c r="N242" s="3">
        <v>149.99</v>
      </c>
      <c r="O242" s="2" t="s">
        <v>97</v>
      </c>
      <c r="P242" s="2" t="s">
        <v>225</v>
      </c>
      <c r="Q242" s="2" t="s">
        <v>99</v>
      </c>
      <c r="R242" s="2" t="s">
        <v>100</v>
      </c>
      <c r="S242" s="2" t="s">
        <v>441</v>
      </c>
      <c r="T242" s="2" t="s">
        <v>280</v>
      </c>
      <c r="U242" s="2" t="s">
        <v>1240</v>
      </c>
      <c r="V242" s="2" t="s">
        <v>434</v>
      </c>
      <c r="W242" s="2" t="s">
        <v>219</v>
      </c>
      <c r="X242" s="2" t="s">
        <v>158</v>
      </c>
      <c r="Y242" s="2" t="s">
        <v>100</v>
      </c>
      <c r="Z242" s="4"/>
      <c r="AA242" s="4">
        <f>=ROUNDDOWN({0},0)</f>
      </c>
      <c r="AB242" s="5"/>
      <c r="AC242" s="2" t="s">
        <v>326</v>
      </c>
      <c r="AD242" s="4">
        <v>1072</v>
      </c>
      <c r="AE242" s="4">
        <v>1072</v>
      </c>
      <c r="AF242" s="6">
        <v>65</v>
      </c>
      <c r="AG242" s="6"/>
      <c r="AH242" s="7"/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/>
      <c r="BK242" s="8"/>
      <c r="BL242" s="2" t="s">
        <v>100</v>
      </c>
      <c r="BM242" s="7"/>
      <c r="BN242" s="7"/>
      <c r="BO242" s="4"/>
      <c r="BP242" s="8"/>
      <c r="BQ242" s="4"/>
      <c r="BR242" s="8"/>
      <c r="BS242" s="7"/>
      <c r="BT242" s="7"/>
      <c r="BU242" s="2" t="s">
        <v>230</v>
      </c>
      <c r="BV242" s="2" t="s">
        <v>97</v>
      </c>
      <c r="BW242" s="2" t="s">
        <v>100</v>
      </c>
      <c r="BX242" s="2" t="s">
        <v>100</v>
      </c>
      <c r="BY242" s="2" t="s">
        <v>113</v>
      </c>
      <c r="BZ242" s="2" t="s">
        <v>100</v>
      </c>
    </row>
    <row r="243">
      <c r="A243" s="2" t="s">
        <v>1246</v>
      </c>
      <c r="B243" s="2" t="s">
        <v>87</v>
      </c>
      <c r="C243" s="2" t="s">
        <v>88</v>
      </c>
      <c r="D243" s="2" t="s">
        <v>803</v>
      </c>
      <c r="E243" s="2" t="s">
        <v>804</v>
      </c>
      <c r="F243" s="2" t="s">
        <v>428</v>
      </c>
      <c r="G243" s="2" t="s">
        <v>429</v>
      </c>
      <c r="H243" s="2" t="s">
        <v>430</v>
      </c>
      <c r="I243" s="2" t="s">
        <v>1239</v>
      </c>
      <c r="J243" s="2" t="s">
        <v>714</v>
      </c>
      <c r="K243" s="2" t="s">
        <v>440</v>
      </c>
      <c r="L243" s="3">
        <v>95.51</v>
      </c>
      <c r="M243" s="3">
        <v>100.29</v>
      </c>
      <c r="N243" s="3">
        <v>169.99</v>
      </c>
      <c r="O243" s="2" t="s">
        <v>97</v>
      </c>
      <c r="P243" s="2" t="s">
        <v>225</v>
      </c>
      <c r="Q243" s="2" t="s">
        <v>99</v>
      </c>
      <c r="R243" s="2" t="s">
        <v>100</v>
      </c>
      <c r="S243" s="2" t="s">
        <v>441</v>
      </c>
      <c r="T243" s="2" t="s">
        <v>280</v>
      </c>
      <c r="U243" s="2" t="s">
        <v>1240</v>
      </c>
      <c r="V243" s="2" t="s">
        <v>434</v>
      </c>
      <c r="W243" s="2" t="s">
        <v>219</v>
      </c>
      <c r="X243" s="2" t="s">
        <v>158</v>
      </c>
      <c r="Y243" s="2" t="s">
        <v>100</v>
      </c>
      <c r="Z243" s="4"/>
      <c r="AA243" s="4">
        <f>=ROUNDDOWN({0},0)</f>
      </c>
      <c r="AB243" s="5"/>
      <c r="AC243" s="2" t="s">
        <v>326</v>
      </c>
      <c r="AD243" s="4">
        <v>1362</v>
      </c>
      <c r="AE243" s="4">
        <v>1362</v>
      </c>
      <c r="AF243" s="6">
        <v>65</v>
      </c>
      <c r="AG243" s="6"/>
      <c r="AH243" s="7"/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/>
      <c r="BK243" s="8"/>
      <c r="BL243" s="2" t="s">
        <v>100</v>
      </c>
      <c r="BM243" s="7"/>
      <c r="BN243" s="7"/>
      <c r="BO243" s="4"/>
      <c r="BP243" s="8"/>
      <c r="BQ243" s="4"/>
      <c r="BR243" s="8"/>
      <c r="BS243" s="7"/>
      <c r="BT243" s="7"/>
      <c r="BU243" s="2" t="s">
        <v>230</v>
      </c>
      <c r="BV243" s="2" t="s">
        <v>97</v>
      </c>
      <c r="BW243" s="2" t="s">
        <v>100</v>
      </c>
      <c r="BX243" s="2" t="s">
        <v>100</v>
      </c>
      <c r="BY243" s="2" t="s">
        <v>113</v>
      </c>
      <c r="BZ243" s="2" t="s">
        <v>100</v>
      </c>
    </row>
    <row r="244">
      <c r="A244" s="2" t="s">
        <v>1247</v>
      </c>
      <c r="B244" s="2" t="s">
        <v>87</v>
      </c>
      <c r="C244" s="2" t="s">
        <v>88</v>
      </c>
      <c r="D244" s="2" t="s">
        <v>803</v>
      </c>
      <c r="E244" s="2" t="s">
        <v>804</v>
      </c>
      <c r="F244" s="2" t="s">
        <v>428</v>
      </c>
      <c r="G244" s="2" t="s">
        <v>429</v>
      </c>
      <c r="H244" s="2" t="s">
        <v>430</v>
      </c>
      <c r="I244" s="2" t="s">
        <v>1239</v>
      </c>
      <c r="J244" s="2" t="s">
        <v>817</v>
      </c>
      <c r="K244" s="2" t="s">
        <v>440</v>
      </c>
      <c r="L244" s="3">
        <v>95.51</v>
      </c>
      <c r="M244" s="3">
        <v>100.29</v>
      </c>
      <c r="N244" s="3">
        <v>169.99</v>
      </c>
      <c r="O244" s="2" t="s">
        <v>97</v>
      </c>
      <c r="P244" s="2" t="s">
        <v>225</v>
      </c>
      <c r="Q244" s="2" t="s">
        <v>99</v>
      </c>
      <c r="R244" s="2" t="s">
        <v>100</v>
      </c>
      <c r="S244" s="2" t="s">
        <v>441</v>
      </c>
      <c r="T244" s="2" t="s">
        <v>280</v>
      </c>
      <c r="U244" s="2" t="s">
        <v>1240</v>
      </c>
      <c r="V244" s="2" t="s">
        <v>434</v>
      </c>
      <c r="W244" s="2" t="s">
        <v>219</v>
      </c>
      <c r="X244" s="2" t="s">
        <v>158</v>
      </c>
      <c r="Y244" s="2" t="s">
        <v>100</v>
      </c>
      <c r="Z244" s="4"/>
      <c r="AA244" s="4">
        <f>=ROUNDDOWN({0},0)</f>
      </c>
      <c r="AB244" s="5"/>
      <c r="AC244" s="2" t="s">
        <v>326</v>
      </c>
      <c r="AD244" s="4">
        <v>720</v>
      </c>
      <c r="AE244" s="4">
        <v>720</v>
      </c>
      <c r="AF244" s="6">
        <v>65</v>
      </c>
      <c r="AG244" s="6"/>
      <c r="AH244" s="7"/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/>
      <c r="BK244" s="8"/>
      <c r="BL244" s="2" t="s">
        <v>100</v>
      </c>
      <c r="BM244" s="7"/>
      <c r="BN244" s="7"/>
      <c r="BO244" s="4"/>
      <c r="BP244" s="8"/>
      <c r="BQ244" s="4"/>
      <c r="BR244" s="8"/>
      <c r="BS244" s="7"/>
      <c r="BT244" s="7"/>
      <c r="BU244" s="2" t="s">
        <v>230</v>
      </c>
      <c r="BV244" s="2" t="s">
        <v>97</v>
      </c>
      <c r="BW244" s="2" t="s">
        <v>100</v>
      </c>
      <c r="BX244" s="2" t="s">
        <v>100</v>
      </c>
      <c r="BY244" s="2" t="s">
        <v>113</v>
      </c>
      <c r="BZ244" s="2" t="s">
        <v>100</v>
      </c>
    </row>
    <row r="245">
      <c r="A245" s="2" t="s">
        <v>1248</v>
      </c>
      <c r="B245" s="2" t="s">
        <v>87</v>
      </c>
      <c r="C245" s="2" t="s">
        <v>88</v>
      </c>
      <c r="D245" s="2" t="s">
        <v>803</v>
      </c>
      <c r="E245" s="2" t="s">
        <v>804</v>
      </c>
      <c r="F245" s="2" t="s">
        <v>428</v>
      </c>
      <c r="G245" s="2" t="s">
        <v>429</v>
      </c>
      <c r="H245" s="2" t="s">
        <v>430</v>
      </c>
      <c r="I245" s="2" t="s">
        <v>1239</v>
      </c>
      <c r="J245" s="2" t="s">
        <v>706</v>
      </c>
      <c r="K245" s="2" t="s">
        <v>297</v>
      </c>
      <c r="L245" s="3">
        <v>85.47</v>
      </c>
      <c r="M245" s="3">
        <v>89.74</v>
      </c>
      <c r="N245" s="3">
        <v>149.99</v>
      </c>
      <c r="O245" s="2" t="s">
        <v>97</v>
      </c>
      <c r="P245" s="2" t="s">
        <v>119</v>
      </c>
      <c r="Q245" s="2" t="s">
        <v>99</v>
      </c>
      <c r="R245" s="2" t="s">
        <v>100</v>
      </c>
      <c r="S245" s="2" t="s">
        <v>1249</v>
      </c>
      <c r="T245" s="2" t="s">
        <v>280</v>
      </c>
      <c r="U245" s="2" t="s">
        <v>1240</v>
      </c>
      <c r="V245" s="2" t="s">
        <v>434</v>
      </c>
      <c r="W245" s="2" t="s">
        <v>219</v>
      </c>
      <c r="X245" s="2" t="s">
        <v>227</v>
      </c>
      <c r="Y245" s="2" t="s">
        <v>445</v>
      </c>
      <c r="Z245" s="4">
        <v>984</v>
      </c>
      <c r="AA245" s="4">
        <f>=ROUNDDOWN(75.6923076923077,0)</f>
      </c>
      <c r="AB245" s="5">
        <v>13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357</v>
      </c>
      <c r="BK245" s="8">
        <v>32323.1</v>
      </c>
      <c r="BL245" s="2" t="s">
        <v>267</v>
      </c>
      <c r="BM245" s="7"/>
      <c r="BN245" s="7"/>
      <c r="BO245" s="4"/>
      <c r="BP245" s="8"/>
      <c r="BQ245" s="4"/>
      <c r="BR245" s="8"/>
      <c r="BS245" s="7"/>
      <c r="BT245" s="7"/>
      <c r="BU245" s="2" t="s">
        <v>207</v>
      </c>
      <c r="BV245" s="2" t="s">
        <v>97</v>
      </c>
      <c r="BW245" s="2" t="s">
        <v>100</v>
      </c>
      <c r="BX245" s="2" t="s">
        <v>100</v>
      </c>
      <c r="BY245" s="2" t="s">
        <v>113</v>
      </c>
      <c r="BZ245" s="2" t="s">
        <v>245</v>
      </c>
    </row>
    <row r="246">
      <c r="A246" s="2" t="s">
        <v>1250</v>
      </c>
      <c r="B246" s="2" t="s">
        <v>87</v>
      </c>
      <c r="C246" s="2" t="s">
        <v>88</v>
      </c>
      <c r="D246" s="2" t="s">
        <v>803</v>
      </c>
      <c r="E246" s="2" t="s">
        <v>804</v>
      </c>
      <c r="F246" s="2" t="s">
        <v>428</v>
      </c>
      <c r="G246" s="2" t="s">
        <v>429</v>
      </c>
      <c r="H246" s="2" t="s">
        <v>430</v>
      </c>
      <c r="I246" s="2" t="s">
        <v>1239</v>
      </c>
      <c r="J246" s="2" t="s">
        <v>714</v>
      </c>
      <c r="K246" s="2" t="s">
        <v>297</v>
      </c>
      <c r="L246" s="3">
        <v>95.51</v>
      </c>
      <c r="M246" s="3">
        <v>100.29</v>
      </c>
      <c r="N246" s="3">
        <v>169.99</v>
      </c>
      <c r="O246" s="2" t="s">
        <v>97</v>
      </c>
      <c r="P246" s="2" t="s">
        <v>119</v>
      </c>
      <c r="Q246" s="2" t="s">
        <v>99</v>
      </c>
      <c r="R246" s="2" t="s">
        <v>100</v>
      </c>
      <c r="S246" s="2" t="s">
        <v>1249</v>
      </c>
      <c r="T246" s="2" t="s">
        <v>280</v>
      </c>
      <c r="U246" s="2" t="s">
        <v>1240</v>
      </c>
      <c r="V246" s="2" t="s">
        <v>434</v>
      </c>
      <c r="W246" s="2" t="s">
        <v>219</v>
      </c>
      <c r="X246" s="2" t="s">
        <v>227</v>
      </c>
      <c r="Y246" s="2" t="s">
        <v>445</v>
      </c>
      <c r="Z246" s="4">
        <v>494</v>
      </c>
      <c r="AA246" s="4">
        <f>=ROUNDDOWN(61.75,0)</f>
      </c>
      <c r="AB246" s="5">
        <v>8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185</v>
      </c>
      <c r="BK246" s="8">
        <v>18707.94</v>
      </c>
      <c r="BL246" s="2" t="s">
        <v>1251</v>
      </c>
      <c r="BM246" s="7"/>
      <c r="BN246" s="7"/>
      <c r="BO246" s="4"/>
      <c r="BP246" s="8"/>
      <c r="BQ246" s="4"/>
      <c r="BR246" s="8"/>
      <c r="BS246" s="7"/>
      <c r="BT246" s="7"/>
      <c r="BU246" s="2" t="s">
        <v>207</v>
      </c>
      <c r="BV246" s="2" t="s">
        <v>97</v>
      </c>
      <c r="BW246" s="2" t="s">
        <v>100</v>
      </c>
      <c r="BX246" s="2" t="s">
        <v>100</v>
      </c>
      <c r="BY246" s="2" t="s">
        <v>113</v>
      </c>
      <c r="BZ246" s="2" t="s">
        <v>245</v>
      </c>
    </row>
    <row r="247">
      <c r="A247" s="2" t="s">
        <v>1252</v>
      </c>
      <c r="B247" s="2" t="s">
        <v>87</v>
      </c>
      <c r="C247" s="2" t="s">
        <v>88</v>
      </c>
      <c r="D247" s="2" t="s">
        <v>803</v>
      </c>
      <c r="E247" s="2" t="s">
        <v>804</v>
      </c>
      <c r="F247" s="2" t="s">
        <v>428</v>
      </c>
      <c r="G247" s="2" t="s">
        <v>429</v>
      </c>
      <c r="H247" s="2" t="s">
        <v>430</v>
      </c>
      <c r="I247" s="2" t="s">
        <v>1239</v>
      </c>
      <c r="J247" s="2" t="s">
        <v>817</v>
      </c>
      <c r="K247" s="2" t="s">
        <v>297</v>
      </c>
      <c r="L247" s="3">
        <v>95.51</v>
      </c>
      <c r="M247" s="3">
        <v>100.29</v>
      </c>
      <c r="N247" s="3">
        <v>169.99</v>
      </c>
      <c r="O247" s="2" t="s">
        <v>97</v>
      </c>
      <c r="P247" s="2" t="s">
        <v>119</v>
      </c>
      <c r="Q247" s="2" t="s">
        <v>99</v>
      </c>
      <c r="R247" s="2" t="s">
        <v>100</v>
      </c>
      <c r="S247" s="2" t="s">
        <v>1249</v>
      </c>
      <c r="T247" s="2" t="s">
        <v>280</v>
      </c>
      <c r="U247" s="2" t="s">
        <v>1240</v>
      </c>
      <c r="V247" s="2" t="s">
        <v>434</v>
      </c>
      <c r="W247" s="2" t="s">
        <v>219</v>
      </c>
      <c r="X247" s="2" t="s">
        <v>227</v>
      </c>
      <c r="Y247" s="2" t="s">
        <v>445</v>
      </c>
      <c r="Z247" s="4">
        <v>308</v>
      </c>
      <c r="AA247" s="4">
        <f>=ROUNDDOWN(77,0)</f>
      </c>
      <c r="AB247" s="5">
        <v>4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89</v>
      </c>
      <c r="BK247" s="8">
        <v>9190.14</v>
      </c>
      <c r="BL247" s="2" t="s">
        <v>1251</v>
      </c>
      <c r="BM247" s="7"/>
      <c r="BN247" s="7"/>
      <c r="BO247" s="4"/>
      <c r="BP247" s="8"/>
      <c r="BQ247" s="4"/>
      <c r="BR247" s="8"/>
      <c r="BS247" s="7"/>
      <c r="BT247" s="7"/>
      <c r="BU247" s="2" t="s">
        <v>207</v>
      </c>
      <c r="BV247" s="2" t="s">
        <v>97</v>
      </c>
      <c r="BW247" s="2" t="s">
        <v>100</v>
      </c>
      <c r="BX247" s="2" t="s">
        <v>100</v>
      </c>
      <c r="BY247" s="2" t="s">
        <v>113</v>
      </c>
      <c r="BZ247" s="2" t="s">
        <v>245</v>
      </c>
    </row>
    <row r="248">
      <c r="A248" s="2" t="s">
        <v>1253</v>
      </c>
      <c r="B248" s="2" t="s">
        <v>87</v>
      </c>
      <c r="C248" s="2" t="s">
        <v>88</v>
      </c>
      <c r="D248" s="2" t="s">
        <v>803</v>
      </c>
      <c r="E248" s="2" t="s">
        <v>804</v>
      </c>
      <c r="F248" s="2" t="s">
        <v>649</v>
      </c>
      <c r="G248" s="2" t="s">
        <v>650</v>
      </c>
      <c r="H248" s="2" t="s">
        <v>651</v>
      </c>
      <c r="I248" s="2" t="s">
        <v>1254</v>
      </c>
      <c r="J248" s="2" t="s">
        <v>247</v>
      </c>
      <c r="K248" s="2" t="s">
        <v>653</v>
      </c>
      <c r="L248" s="3">
        <v>38.09</v>
      </c>
      <c r="M248" s="3">
        <v>39.99</v>
      </c>
      <c r="N248" s="3">
        <v>79.99</v>
      </c>
      <c r="O248" s="2" t="s">
        <v>97</v>
      </c>
      <c r="P248" s="2" t="s">
        <v>225</v>
      </c>
      <c r="Q248" s="2" t="s">
        <v>99</v>
      </c>
      <c r="R248" s="2" t="s">
        <v>100</v>
      </c>
      <c r="S248" s="2" t="s">
        <v>654</v>
      </c>
      <c r="T248" s="2" t="s">
        <v>218</v>
      </c>
      <c r="U248" s="2" t="s">
        <v>171</v>
      </c>
      <c r="V248" s="2" t="s">
        <v>403</v>
      </c>
      <c r="W248" s="2" t="s">
        <v>319</v>
      </c>
      <c r="X248" s="2" t="s">
        <v>100</v>
      </c>
      <c r="Y248" s="2" t="s">
        <v>655</v>
      </c>
      <c r="Z248" s="4">
        <v>280</v>
      </c>
      <c r="AA248" s="4">
        <f>=ROUNDDOWN(31.1111111111111,0)</f>
      </c>
      <c r="AB248" s="5">
        <v>9</v>
      </c>
      <c r="AC248" s="2" t="s">
        <v>100</v>
      </c>
      <c r="AD248" s="4"/>
      <c r="AE248" s="4"/>
      <c r="AF248" s="6">
        <v>64</v>
      </c>
      <c r="AG248" s="6"/>
      <c r="AH248" s="7">
        <v>0.6706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68</v>
      </c>
      <c r="BK248" s="8">
        <v>2854.47</v>
      </c>
      <c r="BL248" s="2" t="s">
        <v>1255</v>
      </c>
      <c r="BM248" s="7"/>
      <c r="BN248" s="7"/>
      <c r="BO248" s="4"/>
      <c r="BP248" s="8"/>
      <c r="BQ248" s="4"/>
      <c r="BR248" s="8"/>
      <c r="BS248" s="7"/>
      <c r="BT248" s="7"/>
      <c r="BU248" s="2" t="s">
        <v>207</v>
      </c>
      <c r="BV248" s="2" t="s">
        <v>97</v>
      </c>
      <c r="BW248" s="2" t="s">
        <v>100</v>
      </c>
      <c r="BX248" s="2" t="s">
        <v>100</v>
      </c>
      <c r="BY248" s="2" t="s">
        <v>113</v>
      </c>
      <c r="BZ248" s="2" t="s">
        <v>100</v>
      </c>
    </row>
    <row r="249">
      <c r="A249" s="2" t="s">
        <v>1256</v>
      </c>
      <c r="B249" s="2" t="s">
        <v>87</v>
      </c>
      <c r="C249" s="2" t="s">
        <v>88</v>
      </c>
      <c r="D249" s="2" t="s">
        <v>803</v>
      </c>
      <c r="E249" s="2" t="s">
        <v>804</v>
      </c>
      <c r="F249" s="2" t="s">
        <v>649</v>
      </c>
      <c r="G249" s="2" t="s">
        <v>650</v>
      </c>
      <c r="H249" s="2" t="s">
        <v>651</v>
      </c>
      <c r="I249" s="2" t="s">
        <v>1254</v>
      </c>
      <c r="J249" s="2" t="s">
        <v>270</v>
      </c>
      <c r="K249" s="2" t="s">
        <v>653</v>
      </c>
      <c r="L249" s="3">
        <v>41.14</v>
      </c>
      <c r="M249" s="3">
        <v>43.2</v>
      </c>
      <c r="N249" s="3">
        <v>89.99</v>
      </c>
      <c r="O249" s="2" t="s">
        <v>97</v>
      </c>
      <c r="P249" s="2" t="s">
        <v>225</v>
      </c>
      <c r="Q249" s="2" t="s">
        <v>99</v>
      </c>
      <c r="R249" s="2" t="s">
        <v>100</v>
      </c>
      <c r="S249" s="2" t="s">
        <v>654</v>
      </c>
      <c r="T249" s="2" t="s">
        <v>218</v>
      </c>
      <c r="U249" s="2" t="s">
        <v>171</v>
      </c>
      <c r="V249" s="2" t="s">
        <v>403</v>
      </c>
      <c r="W249" s="2" t="s">
        <v>319</v>
      </c>
      <c r="X249" s="2" t="s">
        <v>100</v>
      </c>
      <c r="Y249" s="2" t="s">
        <v>655</v>
      </c>
      <c r="Z249" s="4">
        <v>285</v>
      </c>
      <c r="AA249" s="4">
        <f>=ROUNDDOWN(25.9090909090909,0)</f>
      </c>
      <c r="AB249" s="5">
        <v>11</v>
      </c>
      <c r="AC249" s="2" t="s">
        <v>100</v>
      </c>
      <c r="AD249" s="4"/>
      <c r="AE249" s="4"/>
      <c r="AF249" s="6">
        <v>64</v>
      </c>
      <c r="AG249" s="6"/>
      <c r="AH249" s="7">
        <v>0.6706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96</v>
      </c>
      <c r="BK249" s="8">
        <v>4392.54</v>
      </c>
      <c r="BL249" s="2" t="s">
        <v>1255</v>
      </c>
      <c r="BM249" s="7"/>
      <c r="BN249" s="7"/>
      <c r="BO249" s="4"/>
      <c r="BP249" s="8"/>
      <c r="BQ249" s="4"/>
      <c r="BR249" s="8"/>
      <c r="BS249" s="7"/>
      <c r="BT249" s="7"/>
      <c r="BU249" s="2" t="s">
        <v>207</v>
      </c>
      <c r="BV249" s="2" t="s">
        <v>97</v>
      </c>
      <c r="BW249" s="2" t="s">
        <v>100</v>
      </c>
      <c r="BX249" s="2" t="s">
        <v>100</v>
      </c>
      <c r="BY249" s="2" t="s">
        <v>113</v>
      </c>
      <c r="BZ249" s="2" t="s">
        <v>100</v>
      </c>
    </row>
    <row r="250">
      <c r="A250" s="2" t="s">
        <v>1257</v>
      </c>
      <c r="B250" s="2" t="s">
        <v>87</v>
      </c>
      <c r="C250" s="2" t="s">
        <v>88</v>
      </c>
      <c r="D250" s="2" t="s">
        <v>803</v>
      </c>
      <c r="E250" s="2" t="s">
        <v>804</v>
      </c>
      <c r="F250" s="2" t="s">
        <v>649</v>
      </c>
      <c r="G250" s="2" t="s">
        <v>650</v>
      </c>
      <c r="H250" s="2" t="s">
        <v>651</v>
      </c>
      <c r="I250" s="2" t="s">
        <v>1254</v>
      </c>
      <c r="J250" s="2" t="s">
        <v>247</v>
      </c>
      <c r="K250" s="2" t="s">
        <v>660</v>
      </c>
      <c r="L250" s="3">
        <v>38.09</v>
      </c>
      <c r="M250" s="3">
        <v>39.99</v>
      </c>
      <c r="N250" s="3">
        <v>79.99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661</v>
      </c>
      <c r="T250" s="2" t="s">
        <v>218</v>
      </c>
      <c r="U250" s="2" t="s">
        <v>171</v>
      </c>
      <c r="V250" s="2" t="s">
        <v>403</v>
      </c>
      <c r="W250" s="2" t="s">
        <v>319</v>
      </c>
      <c r="X250" s="2" t="s">
        <v>100</v>
      </c>
      <c r="Y250" s="2" t="s">
        <v>1258</v>
      </c>
      <c r="Z250" s="4">
        <v>918</v>
      </c>
      <c r="AA250" s="4">
        <f>=ROUNDDOWN(41.7272727272727,0)</f>
      </c>
      <c r="AB250" s="5">
        <v>22</v>
      </c>
      <c r="AC250" s="2" t="s">
        <v>1259</v>
      </c>
      <c r="AD250" s="4">
        <v>340</v>
      </c>
      <c r="AE250" s="4">
        <v>340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663</v>
      </c>
      <c r="BK250" s="8">
        <v>25733.61</v>
      </c>
      <c r="BL250" s="2" t="s">
        <v>1056</v>
      </c>
      <c r="BM250" s="7"/>
      <c r="BN250" s="7"/>
      <c r="BO250" s="4"/>
      <c r="BP250" s="8"/>
      <c r="BQ250" s="4"/>
      <c r="BR250" s="8"/>
      <c r="BS250" s="7"/>
      <c r="BT250" s="7"/>
      <c r="BU250" s="2" t="s">
        <v>207</v>
      </c>
      <c r="BV250" s="2" t="s">
        <v>97</v>
      </c>
      <c r="BW250" s="2" t="s">
        <v>100</v>
      </c>
      <c r="BX250" s="2" t="s">
        <v>100</v>
      </c>
      <c r="BY250" s="2" t="s">
        <v>113</v>
      </c>
      <c r="BZ250" s="2" t="s">
        <v>100</v>
      </c>
    </row>
    <row r="251">
      <c r="A251" s="2" t="s">
        <v>1260</v>
      </c>
      <c r="B251" s="2" t="s">
        <v>87</v>
      </c>
      <c r="C251" s="2" t="s">
        <v>88</v>
      </c>
      <c r="D251" s="2" t="s">
        <v>803</v>
      </c>
      <c r="E251" s="2" t="s">
        <v>804</v>
      </c>
      <c r="F251" s="2" t="s">
        <v>649</v>
      </c>
      <c r="G251" s="2" t="s">
        <v>650</v>
      </c>
      <c r="H251" s="2" t="s">
        <v>651</v>
      </c>
      <c r="I251" s="2" t="s">
        <v>1254</v>
      </c>
      <c r="J251" s="2" t="s">
        <v>270</v>
      </c>
      <c r="K251" s="2" t="s">
        <v>660</v>
      </c>
      <c r="L251" s="3">
        <v>41.14</v>
      </c>
      <c r="M251" s="3">
        <v>43.2</v>
      </c>
      <c r="N251" s="3">
        <v>89.99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661</v>
      </c>
      <c r="T251" s="2" t="s">
        <v>218</v>
      </c>
      <c r="U251" s="2" t="s">
        <v>171</v>
      </c>
      <c r="V251" s="2" t="s">
        <v>403</v>
      </c>
      <c r="W251" s="2" t="s">
        <v>319</v>
      </c>
      <c r="X251" s="2" t="s">
        <v>100</v>
      </c>
      <c r="Y251" s="2" t="s">
        <v>1258</v>
      </c>
      <c r="Z251" s="4">
        <v>656</v>
      </c>
      <c r="AA251" s="4">
        <f>=ROUNDDOWN(25.2307692307692,0)</f>
      </c>
      <c r="AB251" s="5">
        <v>26</v>
      </c>
      <c r="AC251" s="2" t="s">
        <v>417</v>
      </c>
      <c r="AD251" s="4">
        <v>20</v>
      </c>
      <c r="AE251" s="4">
        <v>480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750</v>
      </c>
      <c r="BK251" s="8">
        <v>32490.89</v>
      </c>
      <c r="BL251" s="2" t="s">
        <v>272</v>
      </c>
      <c r="BM251" s="7"/>
      <c r="BN251" s="7"/>
      <c r="BO251" s="4"/>
      <c r="BP251" s="8"/>
      <c r="BQ251" s="4"/>
      <c r="BR251" s="8"/>
      <c r="BS251" s="7"/>
      <c r="BT251" s="7"/>
      <c r="BU251" s="2" t="s">
        <v>207</v>
      </c>
      <c r="BV251" s="2" t="s">
        <v>97</v>
      </c>
      <c r="BW251" s="2" t="s">
        <v>100</v>
      </c>
      <c r="BX251" s="2" t="s">
        <v>100</v>
      </c>
      <c r="BY251" s="2" t="s">
        <v>113</v>
      </c>
      <c r="BZ251" s="2" t="s">
        <v>100</v>
      </c>
    </row>
    <row r="252">
      <c r="A252" s="2" t="s">
        <v>1261</v>
      </c>
      <c r="B252" s="2" t="s">
        <v>87</v>
      </c>
      <c r="C252" s="2" t="s">
        <v>88</v>
      </c>
      <c r="D252" s="2" t="s">
        <v>803</v>
      </c>
      <c r="E252" s="2" t="s">
        <v>804</v>
      </c>
      <c r="F252" s="2" t="s">
        <v>1262</v>
      </c>
      <c r="G252" s="2" t="s">
        <v>1159</v>
      </c>
      <c r="H252" s="2" t="s">
        <v>1263</v>
      </c>
      <c r="I252" s="2" t="s">
        <v>1060</v>
      </c>
      <c r="J252" s="2" t="s">
        <v>706</v>
      </c>
      <c r="K252" s="2" t="s">
        <v>1264</v>
      </c>
      <c r="L252" s="3">
        <v>55.2</v>
      </c>
      <c r="M252" s="3">
        <v>57.95</v>
      </c>
      <c r="N252" s="3">
        <v>114.99</v>
      </c>
      <c r="O252" s="2" t="s">
        <v>97</v>
      </c>
      <c r="P252" s="2" t="s">
        <v>119</v>
      </c>
      <c r="Q252" s="2" t="s">
        <v>99</v>
      </c>
      <c r="R252" s="2" t="s">
        <v>100</v>
      </c>
      <c r="S252" s="2" t="s">
        <v>1265</v>
      </c>
      <c r="T252" s="2" t="s">
        <v>100</v>
      </c>
      <c r="U252" s="2" t="s">
        <v>337</v>
      </c>
      <c r="V252" s="2" t="s">
        <v>338</v>
      </c>
      <c r="W252" s="2" t="s">
        <v>104</v>
      </c>
      <c r="X252" s="2" t="s">
        <v>309</v>
      </c>
      <c r="Y252" s="2" t="s">
        <v>1266</v>
      </c>
      <c r="Z252" s="4">
        <v>630</v>
      </c>
      <c r="AA252" s="4">
        <f>=ROUNDDOWN(48.4615384615385,0)</f>
      </c>
      <c r="AB252" s="5">
        <v>13</v>
      </c>
      <c r="AC252" s="2" t="s">
        <v>100</v>
      </c>
      <c r="AD252" s="4"/>
      <c r="AE252" s="4"/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334</v>
      </c>
      <c r="BK252" s="8">
        <v>18488.66</v>
      </c>
      <c r="BL252" s="2" t="s">
        <v>1267</v>
      </c>
      <c r="BM252" s="7"/>
      <c r="BN252" s="7"/>
      <c r="BO252" s="4"/>
      <c r="BP252" s="8"/>
      <c r="BQ252" s="4"/>
      <c r="BR252" s="8"/>
      <c r="BS252" s="7"/>
      <c r="BT252" s="7"/>
      <c r="BU252" s="2" t="s">
        <v>268</v>
      </c>
      <c r="BV252" s="2" t="s">
        <v>97</v>
      </c>
      <c r="BW252" s="2" t="s">
        <v>100</v>
      </c>
      <c r="BX252" s="2" t="s">
        <v>100</v>
      </c>
      <c r="BY252" s="2" t="s">
        <v>113</v>
      </c>
      <c r="BZ252" s="2" t="s">
        <v>100</v>
      </c>
    </row>
    <row r="253">
      <c r="A253" s="2" t="s">
        <v>1268</v>
      </c>
      <c r="B253" s="2" t="s">
        <v>87</v>
      </c>
      <c r="C253" s="2" t="s">
        <v>88</v>
      </c>
      <c r="D253" s="2" t="s">
        <v>803</v>
      </c>
      <c r="E253" s="2" t="s">
        <v>804</v>
      </c>
      <c r="F253" s="2" t="s">
        <v>1262</v>
      </c>
      <c r="G253" s="2" t="s">
        <v>1159</v>
      </c>
      <c r="H253" s="2" t="s">
        <v>1263</v>
      </c>
      <c r="I253" s="2" t="s">
        <v>1060</v>
      </c>
      <c r="J253" s="2" t="s">
        <v>714</v>
      </c>
      <c r="K253" s="2" t="s">
        <v>1264</v>
      </c>
      <c r="L253" s="3">
        <v>66.15</v>
      </c>
      <c r="M253" s="3">
        <v>69.45</v>
      </c>
      <c r="N253" s="3">
        <v>134.99</v>
      </c>
      <c r="O253" s="2" t="s">
        <v>97</v>
      </c>
      <c r="P253" s="2" t="s">
        <v>119</v>
      </c>
      <c r="Q253" s="2" t="s">
        <v>99</v>
      </c>
      <c r="R253" s="2" t="s">
        <v>100</v>
      </c>
      <c r="S253" s="2" t="s">
        <v>1265</v>
      </c>
      <c r="T253" s="2" t="s">
        <v>100</v>
      </c>
      <c r="U253" s="2" t="s">
        <v>337</v>
      </c>
      <c r="V253" s="2" t="s">
        <v>338</v>
      </c>
      <c r="W253" s="2" t="s">
        <v>104</v>
      </c>
      <c r="X253" s="2" t="s">
        <v>309</v>
      </c>
      <c r="Y253" s="2" t="s">
        <v>1266</v>
      </c>
      <c r="Z253" s="4">
        <v>705</v>
      </c>
      <c r="AA253" s="4">
        <f>=ROUNDDOWN(70.5,0)</f>
      </c>
      <c r="AB253" s="5">
        <v>10</v>
      </c>
      <c r="AC253" s="2" t="s">
        <v>100</v>
      </c>
      <c r="AD253" s="4"/>
      <c r="AE253" s="4"/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214</v>
      </c>
      <c r="BK253" s="8">
        <v>14036.4</v>
      </c>
      <c r="BL253" s="2" t="s">
        <v>1269</v>
      </c>
      <c r="BM253" s="7"/>
      <c r="BN253" s="7"/>
      <c r="BO253" s="4"/>
      <c r="BP253" s="8"/>
      <c r="BQ253" s="4"/>
      <c r="BR253" s="8"/>
      <c r="BS253" s="7"/>
      <c r="BT253" s="7"/>
      <c r="BU253" s="2" t="s">
        <v>268</v>
      </c>
      <c r="BV253" s="2" t="s">
        <v>97</v>
      </c>
      <c r="BW253" s="2" t="s">
        <v>100</v>
      </c>
      <c r="BX253" s="2" t="s">
        <v>100</v>
      </c>
      <c r="BY253" s="2" t="s">
        <v>113</v>
      </c>
      <c r="BZ253" s="2" t="s">
        <v>100</v>
      </c>
    </row>
    <row r="254">
      <c r="A254" s="2" t="s">
        <v>1270</v>
      </c>
      <c r="B254" s="2" t="s">
        <v>87</v>
      </c>
      <c r="C254" s="2" t="s">
        <v>88</v>
      </c>
      <c r="D254" s="2" t="s">
        <v>803</v>
      </c>
      <c r="E254" s="2" t="s">
        <v>804</v>
      </c>
      <c r="F254" s="2" t="s">
        <v>1262</v>
      </c>
      <c r="G254" s="2" t="s">
        <v>1159</v>
      </c>
      <c r="H254" s="2" t="s">
        <v>1263</v>
      </c>
      <c r="I254" s="2" t="s">
        <v>1060</v>
      </c>
      <c r="J254" s="2" t="s">
        <v>817</v>
      </c>
      <c r="K254" s="2" t="s">
        <v>1264</v>
      </c>
      <c r="L254" s="3">
        <v>66.15</v>
      </c>
      <c r="M254" s="3">
        <v>69.45</v>
      </c>
      <c r="N254" s="3">
        <v>134.99</v>
      </c>
      <c r="O254" s="2" t="s">
        <v>97</v>
      </c>
      <c r="P254" s="2" t="s">
        <v>119</v>
      </c>
      <c r="Q254" s="2" t="s">
        <v>99</v>
      </c>
      <c r="R254" s="2" t="s">
        <v>100</v>
      </c>
      <c r="S254" s="2" t="s">
        <v>1265</v>
      </c>
      <c r="T254" s="2" t="s">
        <v>100</v>
      </c>
      <c r="U254" s="2" t="s">
        <v>337</v>
      </c>
      <c r="V254" s="2" t="s">
        <v>338</v>
      </c>
      <c r="W254" s="2" t="s">
        <v>104</v>
      </c>
      <c r="X254" s="2" t="s">
        <v>309</v>
      </c>
      <c r="Y254" s="2" t="s">
        <v>1266</v>
      </c>
      <c r="Z254" s="4">
        <v>180</v>
      </c>
      <c r="AA254" s="4">
        <f>=ROUNDDOWN(30,0)</f>
      </c>
      <c r="AB254" s="5">
        <v>6</v>
      </c>
      <c r="AC254" s="2" t="s">
        <v>100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144</v>
      </c>
      <c r="BK254" s="8">
        <v>9370.53</v>
      </c>
      <c r="BL254" s="2" t="s">
        <v>1271</v>
      </c>
      <c r="BM254" s="7"/>
      <c r="BN254" s="7"/>
      <c r="BO254" s="4"/>
      <c r="BP254" s="8"/>
      <c r="BQ254" s="4"/>
      <c r="BR254" s="8"/>
      <c r="BS254" s="7"/>
      <c r="BT254" s="7"/>
      <c r="BU254" s="2" t="s">
        <v>268</v>
      </c>
      <c r="BV254" s="2" t="s">
        <v>97</v>
      </c>
      <c r="BW254" s="2" t="s">
        <v>100</v>
      </c>
      <c r="BX254" s="2" t="s">
        <v>100</v>
      </c>
      <c r="BY254" s="2" t="s">
        <v>113</v>
      </c>
      <c r="BZ254" s="2" t="s">
        <v>100</v>
      </c>
    </row>
    <row r="255">
      <c r="A255" s="2" t="s">
        <v>1272</v>
      </c>
      <c r="B255" s="2" t="s">
        <v>87</v>
      </c>
      <c r="C255" s="2" t="s">
        <v>88</v>
      </c>
      <c r="D255" s="2" t="s">
        <v>803</v>
      </c>
      <c r="E255" s="2" t="s">
        <v>804</v>
      </c>
      <c r="F255" s="2" t="s">
        <v>1273</v>
      </c>
      <c r="G255" s="2" t="s">
        <v>1274</v>
      </c>
      <c r="H255" s="2" t="s">
        <v>1275</v>
      </c>
      <c r="I255" s="2" t="s">
        <v>1276</v>
      </c>
      <c r="J255" s="2" t="s">
        <v>247</v>
      </c>
      <c r="K255" s="2" t="s">
        <v>1277</v>
      </c>
      <c r="L255" s="3">
        <v>36.57</v>
      </c>
      <c r="M255" s="3">
        <v>38.4</v>
      </c>
      <c r="N255" s="3">
        <v>79.99</v>
      </c>
      <c r="O255" s="2" t="s">
        <v>97</v>
      </c>
      <c r="P255" s="2" t="s">
        <v>119</v>
      </c>
      <c r="Q255" s="2" t="s">
        <v>99</v>
      </c>
      <c r="R255" s="2" t="s">
        <v>100</v>
      </c>
      <c r="S255" s="2" t="s">
        <v>1278</v>
      </c>
      <c r="T255" s="2" t="s">
        <v>218</v>
      </c>
      <c r="U255" s="2" t="s">
        <v>402</v>
      </c>
      <c r="V255" s="2" t="s">
        <v>403</v>
      </c>
      <c r="W255" s="2" t="s">
        <v>319</v>
      </c>
      <c r="X255" s="2" t="s">
        <v>100</v>
      </c>
      <c r="Y255" s="2" t="s">
        <v>1279</v>
      </c>
      <c r="Z255" s="4">
        <v>401</v>
      </c>
      <c r="AA255" s="4">
        <f>=ROUNDDOWN(36.4545454545455,0)</f>
      </c>
      <c r="AB255" s="5">
        <v>11</v>
      </c>
      <c r="AC255" s="2" t="s">
        <v>934</v>
      </c>
      <c r="AD255" s="4">
        <v>200</v>
      </c>
      <c r="AE255" s="4">
        <v>200</v>
      </c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172</v>
      </c>
      <c r="BK255" s="8">
        <v>6970.04</v>
      </c>
      <c r="BL255" s="2" t="s">
        <v>418</v>
      </c>
      <c r="BM255" s="7"/>
      <c r="BN255" s="7"/>
      <c r="BO255" s="4"/>
      <c r="BP255" s="8"/>
      <c r="BQ255" s="4"/>
      <c r="BR255" s="8"/>
      <c r="BS255" s="7"/>
      <c r="BT255" s="7"/>
      <c r="BU255" s="2" t="s">
        <v>207</v>
      </c>
      <c r="BV255" s="2" t="s">
        <v>97</v>
      </c>
      <c r="BW255" s="2" t="s">
        <v>100</v>
      </c>
      <c r="BX255" s="2" t="s">
        <v>100</v>
      </c>
      <c r="BY255" s="2" t="s">
        <v>113</v>
      </c>
      <c r="BZ255" s="2" t="s">
        <v>100</v>
      </c>
    </row>
    <row r="256">
      <c r="A256" s="2" t="s">
        <v>1280</v>
      </c>
      <c r="B256" s="2" t="s">
        <v>87</v>
      </c>
      <c r="C256" s="2" t="s">
        <v>88</v>
      </c>
      <c r="D256" s="2" t="s">
        <v>803</v>
      </c>
      <c r="E256" s="2" t="s">
        <v>804</v>
      </c>
      <c r="F256" s="2" t="s">
        <v>1273</v>
      </c>
      <c r="G256" s="2" t="s">
        <v>1274</v>
      </c>
      <c r="H256" s="2" t="s">
        <v>1275</v>
      </c>
      <c r="I256" s="2" t="s">
        <v>1276</v>
      </c>
      <c r="J256" s="2" t="s">
        <v>270</v>
      </c>
      <c r="K256" s="2" t="s">
        <v>1277</v>
      </c>
      <c r="L256" s="3">
        <v>41.14</v>
      </c>
      <c r="M256" s="3">
        <v>43.2</v>
      </c>
      <c r="N256" s="3">
        <v>89.99</v>
      </c>
      <c r="O256" s="2" t="s">
        <v>97</v>
      </c>
      <c r="P256" s="2" t="s">
        <v>119</v>
      </c>
      <c r="Q256" s="2" t="s">
        <v>99</v>
      </c>
      <c r="R256" s="2" t="s">
        <v>100</v>
      </c>
      <c r="S256" s="2" t="s">
        <v>1278</v>
      </c>
      <c r="T256" s="2" t="s">
        <v>218</v>
      </c>
      <c r="U256" s="2" t="s">
        <v>402</v>
      </c>
      <c r="V256" s="2" t="s">
        <v>403</v>
      </c>
      <c r="W256" s="2" t="s">
        <v>319</v>
      </c>
      <c r="X256" s="2" t="s">
        <v>100</v>
      </c>
      <c r="Y256" s="2" t="s">
        <v>1281</v>
      </c>
      <c r="Z256" s="4">
        <v>330</v>
      </c>
      <c r="AA256" s="4">
        <f>=ROUNDDOWN(33,0)</f>
      </c>
      <c r="AB256" s="5">
        <v>10</v>
      </c>
      <c r="AC256" s="2" t="s">
        <v>934</v>
      </c>
      <c r="AD256" s="4">
        <v>180</v>
      </c>
      <c r="AE256" s="4">
        <v>180</v>
      </c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188</v>
      </c>
      <c r="BK256" s="8">
        <v>8641.74</v>
      </c>
      <c r="BL256" s="2" t="s">
        <v>780</v>
      </c>
      <c r="BM256" s="7"/>
      <c r="BN256" s="7"/>
      <c r="BO256" s="4"/>
      <c r="BP256" s="8"/>
      <c r="BQ256" s="4"/>
      <c r="BR256" s="8"/>
      <c r="BS256" s="7"/>
      <c r="BT256" s="7"/>
      <c r="BU256" s="2" t="s">
        <v>207</v>
      </c>
      <c r="BV256" s="2" t="s">
        <v>97</v>
      </c>
      <c r="BW256" s="2" t="s">
        <v>100</v>
      </c>
      <c r="BX256" s="2" t="s">
        <v>100</v>
      </c>
      <c r="BY256" s="2" t="s">
        <v>113</v>
      </c>
      <c r="BZ256" s="2" t="s">
        <v>100</v>
      </c>
    </row>
    <row r="257">
      <c r="A257" s="2" t="s">
        <v>1282</v>
      </c>
      <c r="B257" s="2" t="s">
        <v>87</v>
      </c>
      <c r="C257" s="2" t="s">
        <v>88</v>
      </c>
      <c r="D257" s="2" t="s">
        <v>803</v>
      </c>
      <c r="E257" s="2" t="s">
        <v>804</v>
      </c>
      <c r="F257" s="2" t="s">
        <v>1283</v>
      </c>
      <c r="G257" s="2" t="s">
        <v>1284</v>
      </c>
      <c r="H257" s="2" t="s">
        <v>1285</v>
      </c>
      <c r="I257" s="2" t="s">
        <v>1286</v>
      </c>
      <c r="J257" s="2" t="s">
        <v>706</v>
      </c>
      <c r="K257" s="2" t="s">
        <v>118</v>
      </c>
      <c r="L257" s="3">
        <v>45.71</v>
      </c>
      <c r="M257" s="3">
        <v>48</v>
      </c>
      <c r="N257" s="3">
        <v>99.99</v>
      </c>
      <c r="O257" s="2" t="s">
        <v>97</v>
      </c>
      <c r="P257" s="2" t="s">
        <v>119</v>
      </c>
      <c r="Q257" s="2" t="s">
        <v>99</v>
      </c>
      <c r="R257" s="2" t="s">
        <v>100</v>
      </c>
      <c r="S257" s="2" t="s">
        <v>1287</v>
      </c>
      <c r="T257" s="2" t="s">
        <v>218</v>
      </c>
      <c r="U257" s="2" t="s">
        <v>337</v>
      </c>
      <c r="V257" s="2" t="s">
        <v>350</v>
      </c>
      <c r="W257" s="2" t="s">
        <v>561</v>
      </c>
      <c r="X257" s="2" t="s">
        <v>104</v>
      </c>
      <c r="Y257" s="2" t="s">
        <v>1288</v>
      </c>
      <c r="Z257" s="4">
        <v>3</v>
      </c>
      <c r="AA257" s="4">
        <f>=ROUNDDOWN(0.136363636363636,0)</f>
      </c>
      <c r="AB257" s="5">
        <v>22</v>
      </c>
      <c r="AC257" s="2" t="s">
        <v>326</v>
      </c>
      <c r="AD257" s="4">
        <v>410</v>
      </c>
      <c r="AE257" s="4">
        <v>810</v>
      </c>
      <c r="AF257" s="6">
        <v>69</v>
      </c>
      <c r="AG257" s="6"/>
      <c r="AH257" s="7">
        <v>0.5936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276</v>
      </c>
      <c r="BK257" s="8">
        <v>13180.32</v>
      </c>
      <c r="BL257" s="2" t="s">
        <v>1289</v>
      </c>
      <c r="BM257" s="7"/>
      <c r="BN257" s="7"/>
      <c r="BO257" s="4"/>
      <c r="BP257" s="8"/>
      <c r="BQ257" s="4"/>
      <c r="BR257" s="8"/>
      <c r="BS257" s="7"/>
      <c r="BT257" s="7"/>
      <c r="BU257" s="2" t="s">
        <v>207</v>
      </c>
      <c r="BV257" s="2" t="s">
        <v>97</v>
      </c>
      <c r="BW257" s="2" t="s">
        <v>100</v>
      </c>
      <c r="BX257" s="2" t="s">
        <v>100</v>
      </c>
      <c r="BY257" s="2" t="s">
        <v>113</v>
      </c>
      <c r="BZ257" s="2" t="s">
        <v>100</v>
      </c>
    </row>
    <row r="258">
      <c r="A258" s="2" t="s">
        <v>1290</v>
      </c>
      <c r="B258" s="2" t="s">
        <v>87</v>
      </c>
      <c r="C258" s="2" t="s">
        <v>88</v>
      </c>
      <c r="D258" s="2" t="s">
        <v>803</v>
      </c>
      <c r="E258" s="2" t="s">
        <v>804</v>
      </c>
      <c r="F258" s="2" t="s">
        <v>1283</v>
      </c>
      <c r="G258" s="2" t="s">
        <v>1284</v>
      </c>
      <c r="H258" s="2" t="s">
        <v>1285</v>
      </c>
      <c r="I258" s="2" t="s">
        <v>1286</v>
      </c>
      <c r="J258" s="2" t="s">
        <v>714</v>
      </c>
      <c r="K258" s="2" t="s">
        <v>118</v>
      </c>
      <c r="L258" s="3">
        <v>50.28</v>
      </c>
      <c r="M258" s="3">
        <v>52.79</v>
      </c>
      <c r="N258" s="3">
        <v>109.99</v>
      </c>
      <c r="O258" s="2" t="s">
        <v>97</v>
      </c>
      <c r="P258" s="2" t="s">
        <v>119</v>
      </c>
      <c r="Q258" s="2" t="s">
        <v>99</v>
      </c>
      <c r="R258" s="2" t="s">
        <v>100</v>
      </c>
      <c r="S258" s="2" t="s">
        <v>1287</v>
      </c>
      <c r="T258" s="2" t="s">
        <v>218</v>
      </c>
      <c r="U258" s="2" t="s">
        <v>337</v>
      </c>
      <c r="V258" s="2" t="s">
        <v>350</v>
      </c>
      <c r="W258" s="2" t="s">
        <v>561</v>
      </c>
      <c r="X258" s="2" t="s">
        <v>104</v>
      </c>
      <c r="Y258" s="2" t="s">
        <v>1288</v>
      </c>
      <c r="Z258" s="4">
        <v>3</v>
      </c>
      <c r="AA258" s="4">
        <f>=ROUNDDOWN(0.3,0)</f>
      </c>
      <c r="AB258" s="5">
        <v>10</v>
      </c>
      <c r="AC258" s="2" t="s">
        <v>326</v>
      </c>
      <c r="AD258" s="4">
        <v>217</v>
      </c>
      <c r="AE258" s="4">
        <v>470</v>
      </c>
      <c r="AF258" s="6">
        <v>69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>
        <v>206</v>
      </c>
      <c r="BK258" s="8">
        <v>10934.95</v>
      </c>
      <c r="BL258" s="2" t="s">
        <v>492</v>
      </c>
      <c r="BM258" s="7"/>
      <c r="BN258" s="7"/>
      <c r="BO258" s="4"/>
      <c r="BP258" s="8"/>
      <c r="BQ258" s="4"/>
      <c r="BR258" s="8"/>
      <c r="BS258" s="7"/>
      <c r="BT258" s="7"/>
      <c r="BU258" s="2" t="s">
        <v>207</v>
      </c>
      <c r="BV258" s="2" t="s">
        <v>97</v>
      </c>
      <c r="BW258" s="2" t="s">
        <v>100</v>
      </c>
      <c r="BX258" s="2" t="s">
        <v>100</v>
      </c>
      <c r="BY258" s="2" t="s">
        <v>113</v>
      </c>
      <c r="BZ258" s="2" t="s">
        <v>100</v>
      </c>
    </row>
    <row r="259">
      <c r="A259" s="2" t="s">
        <v>1291</v>
      </c>
      <c r="B259" s="2" t="s">
        <v>87</v>
      </c>
      <c r="C259" s="2" t="s">
        <v>88</v>
      </c>
      <c r="D259" s="2" t="s">
        <v>803</v>
      </c>
      <c r="E259" s="2" t="s">
        <v>804</v>
      </c>
      <c r="F259" s="2" t="s">
        <v>1283</v>
      </c>
      <c r="G259" s="2" t="s">
        <v>1284</v>
      </c>
      <c r="H259" s="2" t="s">
        <v>1285</v>
      </c>
      <c r="I259" s="2" t="s">
        <v>1286</v>
      </c>
      <c r="J259" s="2" t="s">
        <v>817</v>
      </c>
      <c r="K259" s="2" t="s">
        <v>118</v>
      </c>
      <c r="L259" s="3">
        <v>50.28</v>
      </c>
      <c r="M259" s="3">
        <v>52.79</v>
      </c>
      <c r="N259" s="3">
        <v>109.99</v>
      </c>
      <c r="O259" s="2" t="s">
        <v>97</v>
      </c>
      <c r="P259" s="2" t="s">
        <v>119</v>
      </c>
      <c r="Q259" s="2" t="s">
        <v>99</v>
      </c>
      <c r="R259" s="2" t="s">
        <v>100</v>
      </c>
      <c r="S259" s="2" t="s">
        <v>1287</v>
      </c>
      <c r="T259" s="2" t="s">
        <v>218</v>
      </c>
      <c r="U259" s="2" t="s">
        <v>337</v>
      </c>
      <c r="V259" s="2" t="s">
        <v>350</v>
      </c>
      <c r="W259" s="2" t="s">
        <v>561</v>
      </c>
      <c r="X259" s="2" t="s">
        <v>104</v>
      </c>
      <c r="Y259" s="2" t="s">
        <v>1288</v>
      </c>
      <c r="Z259" s="4">
        <v>3</v>
      </c>
      <c r="AA259" s="4">
        <f>=ROUNDDOWN(0.428571428571429,0)</f>
      </c>
      <c r="AB259" s="5">
        <v>7</v>
      </c>
      <c r="AC259" s="2" t="s">
        <v>1292</v>
      </c>
      <c r="AD259" s="4">
        <v>100</v>
      </c>
      <c r="AE259" s="4">
        <v>320</v>
      </c>
      <c r="AF259" s="6">
        <v>69</v>
      </c>
      <c r="AG259" s="6"/>
      <c r="AH259" s="7">
        <v>0.8449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94</v>
      </c>
      <c r="BK259" s="8">
        <v>5116.21</v>
      </c>
      <c r="BL259" s="2" t="s">
        <v>492</v>
      </c>
      <c r="BM259" s="7"/>
      <c r="BN259" s="7"/>
      <c r="BO259" s="4"/>
      <c r="BP259" s="8"/>
      <c r="BQ259" s="4"/>
      <c r="BR259" s="8"/>
      <c r="BS259" s="7"/>
      <c r="BT259" s="7"/>
      <c r="BU259" s="2" t="s">
        <v>207</v>
      </c>
      <c r="BV259" s="2" t="s">
        <v>97</v>
      </c>
      <c r="BW259" s="2" t="s">
        <v>100</v>
      </c>
      <c r="BX259" s="2" t="s">
        <v>100</v>
      </c>
      <c r="BY259" s="2" t="s">
        <v>113</v>
      </c>
      <c r="BZ259" s="2" t="s">
        <v>100</v>
      </c>
    </row>
    <row r="260">
      <c r="A260" s="2" t="s">
        <v>1293</v>
      </c>
      <c r="B260" s="2" t="s">
        <v>87</v>
      </c>
      <c r="C260" s="2" t="s">
        <v>88</v>
      </c>
      <c r="D260" s="2" t="s">
        <v>803</v>
      </c>
      <c r="E260" s="2" t="s">
        <v>804</v>
      </c>
      <c r="F260" s="2" t="s">
        <v>1283</v>
      </c>
      <c r="G260" s="2" t="s">
        <v>1284</v>
      </c>
      <c r="H260" s="2" t="s">
        <v>1285</v>
      </c>
      <c r="I260" s="2" t="s">
        <v>1286</v>
      </c>
      <c r="J260" s="2" t="s">
        <v>706</v>
      </c>
      <c r="K260" s="2" t="s">
        <v>1294</v>
      </c>
      <c r="L260" s="3">
        <v>45.71</v>
      </c>
      <c r="M260" s="3">
        <v>48</v>
      </c>
      <c r="N260" s="3">
        <v>99.99</v>
      </c>
      <c r="O260" s="2" t="s">
        <v>97</v>
      </c>
      <c r="P260" s="2" t="s">
        <v>119</v>
      </c>
      <c r="Q260" s="2" t="s">
        <v>99</v>
      </c>
      <c r="R260" s="2" t="s">
        <v>100</v>
      </c>
      <c r="S260" s="2" t="s">
        <v>1295</v>
      </c>
      <c r="T260" s="2" t="s">
        <v>218</v>
      </c>
      <c r="U260" s="2" t="s">
        <v>337</v>
      </c>
      <c r="V260" s="2" t="s">
        <v>350</v>
      </c>
      <c r="W260" s="2" t="s">
        <v>561</v>
      </c>
      <c r="X260" s="2" t="s">
        <v>104</v>
      </c>
      <c r="Y260" s="2" t="s">
        <v>1296</v>
      </c>
      <c r="Z260" s="4">
        <v>1</v>
      </c>
      <c r="AA260" s="4">
        <f>=ROUNDDOWN(0.0285714285714286,0)</f>
      </c>
      <c r="AB260" s="5">
        <v>35</v>
      </c>
      <c r="AC260" s="2" t="s">
        <v>326</v>
      </c>
      <c r="AD260" s="4">
        <v>320</v>
      </c>
      <c r="AE260" s="4">
        <v>780</v>
      </c>
      <c r="AF260" s="6">
        <v>69</v>
      </c>
      <c r="AG260" s="6"/>
      <c r="AH260" s="7">
        <v>0.7059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269</v>
      </c>
      <c r="BK260" s="8">
        <v>13305.27</v>
      </c>
      <c r="BL260" s="2" t="s">
        <v>1289</v>
      </c>
      <c r="BM260" s="7"/>
      <c r="BN260" s="7"/>
      <c r="BO260" s="4"/>
      <c r="BP260" s="8"/>
      <c r="BQ260" s="4"/>
      <c r="BR260" s="8"/>
      <c r="BS260" s="7"/>
      <c r="BT260" s="7"/>
      <c r="BU260" s="2" t="s">
        <v>207</v>
      </c>
      <c r="BV260" s="2" t="s">
        <v>97</v>
      </c>
      <c r="BW260" s="2" t="s">
        <v>100</v>
      </c>
      <c r="BX260" s="2" t="s">
        <v>100</v>
      </c>
      <c r="BY260" s="2" t="s">
        <v>113</v>
      </c>
      <c r="BZ260" s="2" t="s">
        <v>100</v>
      </c>
    </row>
    <row r="261">
      <c r="A261" s="2" t="s">
        <v>1297</v>
      </c>
      <c r="B261" s="2" t="s">
        <v>87</v>
      </c>
      <c r="C261" s="2" t="s">
        <v>88</v>
      </c>
      <c r="D261" s="2" t="s">
        <v>803</v>
      </c>
      <c r="E261" s="2" t="s">
        <v>804</v>
      </c>
      <c r="F261" s="2" t="s">
        <v>1283</v>
      </c>
      <c r="G261" s="2" t="s">
        <v>1284</v>
      </c>
      <c r="H261" s="2" t="s">
        <v>1285</v>
      </c>
      <c r="I261" s="2" t="s">
        <v>1286</v>
      </c>
      <c r="J261" s="2" t="s">
        <v>714</v>
      </c>
      <c r="K261" s="2" t="s">
        <v>1294</v>
      </c>
      <c r="L261" s="3">
        <v>50.28</v>
      </c>
      <c r="M261" s="3">
        <v>52.79</v>
      </c>
      <c r="N261" s="3">
        <v>109.99</v>
      </c>
      <c r="O261" s="2" t="s">
        <v>97</v>
      </c>
      <c r="P261" s="2" t="s">
        <v>119</v>
      </c>
      <c r="Q261" s="2" t="s">
        <v>99</v>
      </c>
      <c r="R261" s="2" t="s">
        <v>100</v>
      </c>
      <c r="S261" s="2" t="s">
        <v>1295</v>
      </c>
      <c r="T261" s="2" t="s">
        <v>218</v>
      </c>
      <c r="U261" s="2" t="s">
        <v>337</v>
      </c>
      <c r="V261" s="2" t="s">
        <v>350</v>
      </c>
      <c r="W261" s="2" t="s">
        <v>561</v>
      </c>
      <c r="X261" s="2" t="s">
        <v>104</v>
      </c>
      <c r="Y261" s="2" t="s">
        <v>1296</v>
      </c>
      <c r="Z261" s="4">
        <v>1</v>
      </c>
      <c r="AA261" s="4">
        <f>=ROUNDDOWN(0.0384615384615385,0)</f>
      </c>
      <c r="AB261" s="5">
        <v>26</v>
      </c>
      <c r="AC261" s="2" t="s">
        <v>326</v>
      </c>
      <c r="AD261" s="4">
        <v>260</v>
      </c>
      <c r="AE261" s="4">
        <v>570</v>
      </c>
      <c r="AF261" s="6">
        <v>69</v>
      </c>
      <c r="AG261" s="6"/>
      <c r="AH261" s="7">
        <v>0.6471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203</v>
      </c>
      <c r="BK261" s="8">
        <v>11235.02</v>
      </c>
      <c r="BL261" s="2" t="s">
        <v>1298</v>
      </c>
      <c r="BM261" s="7"/>
      <c r="BN261" s="7"/>
      <c r="BO261" s="4"/>
      <c r="BP261" s="8"/>
      <c r="BQ261" s="4"/>
      <c r="BR261" s="8"/>
      <c r="BS261" s="7"/>
      <c r="BT261" s="7"/>
      <c r="BU261" s="2" t="s">
        <v>207</v>
      </c>
      <c r="BV261" s="2" t="s">
        <v>97</v>
      </c>
      <c r="BW261" s="2" t="s">
        <v>100</v>
      </c>
      <c r="BX261" s="2" t="s">
        <v>100</v>
      </c>
      <c r="BY261" s="2" t="s">
        <v>113</v>
      </c>
      <c r="BZ261" s="2" t="s">
        <v>100</v>
      </c>
    </row>
    <row r="262">
      <c r="A262" s="2" t="s">
        <v>1299</v>
      </c>
      <c r="B262" s="2" t="s">
        <v>87</v>
      </c>
      <c r="C262" s="2" t="s">
        <v>88</v>
      </c>
      <c r="D262" s="2" t="s">
        <v>803</v>
      </c>
      <c r="E262" s="2" t="s">
        <v>804</v>
      </c>
      <c r="F262" s="2" t="s">
        <v>1283</v>
      </c>
      <c r="G262" s="2" t="s">
        <v>1284</v>
      </c>
      <c r="H262" s="2" t="s">
        <v>1285</v>
      </c>
      <c r="I262" s="2" t="s">
        <v>1286</v>
      </c>
      <c r="J262" s="2" t="s">
        <v>817</v>
      </c>
      <c r="K262" s="2" t="s">
        <v>1294</v>
      </c>
      <c r="L262" s="3">
        <v>50.28</v>
      </c>
      <c r="M262" s="3">
        <v>52.79</v>
      </c>
      <c r="N262" s="3">
        <v>109.99</v>
      </c>
      <c r="O262" s="2" t="s">
        <v>97</v>
      </c>
      <c r="P262" s="2" t="s">
        <v>119</v>
      </c>
      <c r="Q262" s="2" t="s">
        <v>99</v>
      </c>
      <c r="R262" s="2" t="s">
        <v>100</v>
      </c>
      <c r="S262" s="2" t="s">
        <v>1295</v>
      </c>
      <c r="T262" s="2" t="s">
        <v>218</v>
      </c>
      <c r="U262" s="2" t="s">
        <v>337</v>
      </c>
      <c r="V262" s="2" t="s">
        <v>350</v>
      </c>
      <c r="W262" s="2" t="s">
        <v>561</v>
      </c>
      <c r="X262" s="2" t="s">
        <v>104</v>
      </c>
      <c r="Y262" s="2" t="s">
        <v>1296</v>
      </c>
      <c r="Z262" s="4">
        <v>6</v>
      </c>
      <c r="AA262" s="4">
        <f>=ROUNDDOWN(0.461538461538462,0)</f>
      </c>
      <c r="AB262" s="5">
        <v>13</v>
      </c>
      <c r="AC262" s="2" t="s">
        <v>326</v>
      </c>
      <c r="AD262" s="4">
        <v>220</v>
      </c>
      <c r="AE262" s="4">
        <v>280</v>
      </c>
      <c r="AF262" s="6">
        <v>69</v>
      </c>
      <c r="AG262" s="6"/>
      <c r="AH262" s="7">
        <v>0.9144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168</v>
      </c>
      <c r="BK262" s="8">
        <v>9234.7</v>
      </c>
      <c r="BL262" s="2" t="s">
        <v>1300</v>
      </c>
      <c r="BM262" s="7"/>
      <c r="BN262" s="7"/>
      <c r="BO262" s="4"/>
      <c r="BP262" s="8"/>
      <c r="BQ262" s="4"/>
      <c r="BR262" s="8"/>
      <c r="BS262" s="7"/>
      <c r="BT262" s="7"/>
      <c r="BU262" s="2" t="s">
        <v>207</v>
      </c>
      <c r="BV262" s="2" t="s">
        <v>97</v>
      </c>
      <c r="BW262" s="2" t="s">
        <v>100</v>
      </c>
      <c r="BX262" s="2" t="s">
        <v>100</v>
      </c>
      <c r="BY262" s="2" t="s">
        <v>113</v>
      </c>
      <c r="BZ262" s="2" t="s">
        <v>100</v>
      </c>
    </row>
    <row r="263">
      <c r="A263" s="2" t="s">
        <v>1301</v>
      </c>
      <c r="B263" s="2" t="s">
        <v>87</v>
      </c>
      <c r="C263" s="2" t="s">
        <v>88</v>
      </c>
      <c r="D263" s="2" t="s">
        <v>803</v>
      </c>
      <c r="E263" s="2" t="s">
        <v>804</v>
      </c>
      <c r="F263" s="2" t="s">
        <v>1302</v>
      </c>
      <c r="G263" s="2" t="s">
        <v>1303</v>
      </c>
      <c r="H263" s="2" t="s">
        <v>1304</v>
      </c>
      <c r="I263" s="2" t="s">
        <v>1305</v>
      </c>
      <c r="J263" s="2" t="s">
        <v>247</v>
      </c>
      <c r="K263" s="2" t="s">
        <v>1306</v>
      </c>
      <c r="L263" s="3">
        <v>41.14</v>
      </c>
      <c r="M263" s="3">
        <v>43.2</v>
      </c>
      <c r="N263" s="3">
        <v>89.99</v>
      </c>
      <c r="O263" s="2" t="s">
        <v>97</v>
      </c>
      <c r="P263" s="2" t="s">
        <v>225</v>
      </c>
      <c r="Q263" s="2" t="s">
        <v>99</v>
      </c>
      <c r="R263" s="2" t="s">
        <v>100</v>
      </c>
      <c r="S263" s="2" t="s">
        <v>1307</v>
      </c>
      <c r="T263" s="2" t="s">
        <v>280</v>
      </c>
      <c r="U263" s="2" t="s">
        <v>480</v>
      </c>
      <c r="V263" s="2" t="s">
        <v>256</v>
      </c>
      <c r="W263" s="2" t="s">
        <v>158</v>
      </c>
      <c r="X263" s="2" t="s">
        <v>339</v>
      </c>
      <c r="Y263" s="2" t="s">
        <v>1224</v>
      </c>
      <c r="Z263" s="4">
        <v>195</v>
      </c>
      <c r="AA263" s="4">
        <f>=ROUNDDOWN(17.7272727272727,0)</f>
      </c>
      <c r="AB263" s="5">
        <v>11</v>
      </c>
      <c r="AC263" s="2" t="s">
        <v>135</v>
      </c>
      <c r="AD263" s="4">
        <v>230</v>
      </c>
      <c r="AE263" s="4">
        <v>230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29</v>
      </c>
      <c r="BK263" s="8">
        <v>1352.86</v>
      </c>
      <c r="BL263" s="2" t="s">
        <v>1308</v>
      </c>
      <c r="BM263" s="7"/>
      <c r="BN263" s="7"/>
      <c r="BO263" s="4"/>
      <c r="BP263" s="8"/>
      <c r="BQ263" s="4"/>
      <c r="BR263" s="8"/>
      <c r="BS263" s="7"/>
      <c r="BT263" s="7"/>
      <c r="BU263" s="2" t="s">
        <v>230</v>
      </c>
      <c r="BV263" s="2" t="s">
        <v>97</v>
      </c>
      <c r="BW263" s="2" t="s">
        <v>100</v>
      </c>
      <c r="BX263" s="2" t="s">
        <v>100</v>
      </c>
      <c r="BY263" s="2" t="s">
        <v>113</v>
      </c>
      <c r="BZ263" s="2" t="s">
        <v>100</v>
      </c>
    </row>
    <row r="264">
      <c r="A264" s="2" t="s">
        <v>1309</v>
      </c>
      <c r="B264" s="2" t="s">
        <v>87</v>
      </c>
      <c r="C264" s="2" t="s">
        <v>88</v>
      </c>
      <c r="D264" s="2" t="s">
        <v>803</v>
      </c>
      <c r="E264" s="2" t="s">
        <v>804</v>
      </c>
      <c r="F264" s="2" t="s">
        <v>1302</v>
      </c>
      <c r="G264" s="2" t="s">
        <v>1303</v>
      </c>
      <c r="H264" s="2" t="s">
        <v>1304</v>
      </c>
      <c r="I264" s="2" t="s">
        <v>1305</v>
      </c>
      <c r="J264" s="2" t="s">
        <v>270</v>
      </c>
      <c r="K264" s="2" t="s">
        <v>1306</v>
      </c>
      <c r="L264" s="3">
        <v>45.71</v>
      </c>
      <c r="M264" s="3">
        <v>48</v>
      </c>
      <c r="N264" s="3">
        <v>99.99</v>
      </c>
      <c r="O264" s="2" t="s">
        <v>97</v>
      </c>
      <c r="P264" s="2" t="s">
        <v>225</v>
      </c>
      <c r="Q264" s="2" t="s">
        <v>99</v>
      </c>
      <c r="R264" s="2" t="s">
        <v>100</v>
      </c>
      <c r="S264" s="2" t="s">
        <v>1307</v>
      </c>
      <c r="T264" s="2" t="s">
        <v>280</v>
      </c>
      <c r="U264" s="2" t="s">
        <v>480</v>
      </c>
      <c r="V264" s="2" t="s">
        <v>256</v>
      </c>
      <c r="W264" s="2" t="s">
        <v>158</v>
      </c>
      <c r="X264" s="2" t="s">
        <v>339</v>
      </c>
      <c r="Y264" s="2" t="s">
        <v>1224</v>
      </c>
      <c r="Z264" s="4">
        <v>101</v>
      </c>
      <c r="AA264" s="4">
        <f>=ROUNDDOWN(7.21428571428571,0)</f>
      </c>
      <c r="AB264" s="5">
        <v>14</v>
      </c>
      <c r="AC264" s="2" t="s">
        <v>135</v>
      </c>
      <c r="AD264" s="4">
        <v>155</v>
      </c>
      <c r="AE264" s="4">
        <v>155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48</v>
      </c>
      <c r="BK264" s="8">
        <v>2490.21</v>
      </c>
      <c r="BL264" s="2" t="s">
        <v>1310</v>
      </c>
      <c r="BM264" s="7"/>
      <c r="BN264" s="7"/>
      <c r="BO264" s="4"/>
      <c r="BP264" s="8"/>
      <c r="BQ264" s="4"/>
      <c r="BR264" s="8"/>
      <c r="BS264" s="7"/>
      <c r="BT264" s="7"/>
      <c r="BU264" s="2" t="s">
        <v>230</v>
      </c>
      <c r="BV264" s="2" t="s">
        <v>97</v>
      </c>
      <c r="BW264" s="2" t="s">
        <v>100</v>
      </c>
      <c r="BX264" s="2" t="s">
        <v>100</v>
      </c>
      <c r="BY264" s="2" t="s">
        <v>113</v>
      </c>
      <c r="BZ264" s="2" t="s">
        <v>100</v>
      </c>
    </row>
    <row r="265">
      <c r="A265" s="2" t="s">
        <v>1311</v>
      </c>
      <c r="B265" s="2" t="s">
        <v>87</v>
      </c>
      <c r="C265" s="2" t="s">
        <v>88</v>
      </c>
      <c r="D265" s="2" t="s">
        <v>803</v>
      </c>
      <c r="E265" s="2" t="s">
        <v>804</v>
      </c>
      <c r="F265" s="2" t="s">
        <v>1312</v>
      </c>
      <c r="G265" s="2" t="s">
        <v>1313</v>
      </c>
      <c r="H265" s="2" t="s">
        <v>1314</v>
      </c>
      <c r="I265" s="2" t="s">
        <v>1315</v>
      </c>
      <c r="J265" s="2" t="s">
        <v>706</v>
      </c>
      <c r="K265" s="2" t="s">
        <v>198</v>
      </c>
      <c r="L265" s="3">
        <v>42.85</v>
      </c>
      <c r="M265" s="3">
        <v>44.99</v>
      </c>
      <c r="N265" s="3">
        <v>89.99</v>
      </c>
      <c r="O265" s="2" t="s">
        <v>97</v>
      </c>
      <c r="P265" s="2" t="s">
        <v>119</v>
      </c>
      <c r="Q265" s="2" t="s">
        <v>99</v>
      </c>
      <c r="R265" s="2" t="s">
        <v>100</v>
      </c>
      <c r="S265" s="2" t="s">
        <v>1316</v>
      </c>
      <c r="T265" s="2" t="s">
        <v>218</v>
      </c>
      <c r="U265" s="2" t="s">
        <v>337</v>
      </c>
      <c r="V265" s="2" t="s">
        <v>350</v>
      </c>
      <c r="W265" s="2" t="s">
        <v>104</v>
      </c>
      <c r="X265" s="2" t="s">
        <v>415</v>
      </c>
      <c r="Y265" s="2" t="s">
        <v>1317</v>
      </c>
      <c r="Z265" s="4">
        <v>1</v>
      </c>
      <c r="AA265" s="4">
        <f>=ROUNDDOWN(0.0344827586206897,0)</f>
      </c>
      <c r="AB265" s="5">
        <v>29</v>
      </c>
      <c r="AC265" s="2" t="s">
        <v>1318</v>
      </c>
      <c r="AD265" s="4">
        <v>100</v>
      </c>
      <c r="AE265" s="4">
        <v>510</v>
      </c>
      <c r="AF265" s="6">
        <v>64</v>
      </c>
      <c r="AG265" s="6"/>
      <c r="AH265" s="7">
        <v>0.9251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315</v>
      </c>
      <c r="BK265" s="8">
        <v>15055.28</v>
      </c>
      <c r="BL265" s="2" t="s">
        <v>272</v>
      </c>
      <c r="BM265" s="7"/>
      <c r="BN265" s="7"/>
      <c r="BO265" s="4"/>
      <c r="BP265" s="8"/>
      <c r="BQ265" s="4"/>
      <c r="BR265" s="8"/>
      <c r="BS265" s="7"/>
      <c r="BT265" s="7"/>
      <c r="BU265" s="2" t="s">
        <v>207</v>
      </c>
      <c r="BV265" s="2" t="s">
        <v>97</v>
      </c>
      <c r="BW265" s="2" t="s">
        <v>100</v>
      </c>
      <c r="BX265" s="2" t="s">
        <v>100</v>
      </c>
      <c r="BY265" s="2" t="s">
        <v>113</v>
      </c>
      <c r="BZ265" s="2" t="s">
        <v>100</v>
      </c>
    </row>
    <row r="266">
      <c r="A266" s="2" t="s">
        <v>1319</v>
      </c>
      <c r="B266" s="2" t="s">
        <v>87</v>
      </c>
      <c r="C266" s="2" t="s">
        <v>88</v>
      </c>
      <c r="D266" s="2" t="s">
        <v>803</v>
      </c>
      <c r="E266" s="2" t="s">
        <v>804</v>
      </c>
      <c r="F266" s="2" t="s">
        <v>1312</v>
      </c>
      <c r="G266" s="2" t="s">
        <v>1313</v>
      </c>
      <c r="H266" s="2" t="s">
        <v>1314</v>
      </c>
      <c r="I266" s="2" t="s">
        <v>1315</v>
      </c>
      <c r="J266" s="2" t="s">
        <v>714</v>
      </c>
      <c r="K266" s="2" t="s">
        <v>198</v>
      </c>
      <c r="L266" s="3">
        <v>47.61</v>
      </c>
      <c r="M266" s="3">
        <v>49.99</v>
      </c>
      <c r="N266" s="3">
        <v>99.99</v>
      </c>
      <c r="O266" s="2" t="s">
        <v>97</v>
      </c>
      <c r="P266" s="2" t="s">
        <v>119</v>
      </c>
      <c r="Q266" s="2" t="s">
        <v>99</v>
      </c>
      <c r="R266" s="2" t="s">
        <v>100</v>
      </c>
      <c r="S266" s="2" t="s">
        <v>1316</v>
      </c>
      <c r="T266" s="2" t="s">
        <v>218</v>
      </c>
      <c r="U266" s="2" t="s">
        <v>337</v>
      </c>
      <c r="V266" s="2" t="s">
        <v>350</v>
      </c>
      <c r="W266" s="2" t="s">
        <v>104</v>
      </c>
      <c r="X266" s="2" t="s">
        <v>415</v>
      </c>
      <c r="Y266" s="2" t="s">
        <v>1317</v>
      </c>
      <c r="Z266" s="4">
        <v>80</v>
      </c>
      <c r="AA266" s="4">
        <f>=ROUNDDOWN(3.80952380952381,0)</f>
      </c>
      <c r="AB266" s="5">
        <v>21</v>
      </c>
      <c r="AC266" s="2" t="s">
        <v>1318</v>
      </c>
      <c r="AD266" s="4">
        <v>70</v>
      </c>
      <c r="AE266" s="4">
        <v>370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246</v>
      </c>
      <c r="BK266" s="8">
        <v>13028.48</v>
      </c>
      <c r="BL266" s="2" t="s">
        <v>1056</v>
      </c>
      <c r="BM266" s="7"/>
      <c r="BN266" s="7"/>
      <c r="BO266" s="4"/>
      <c r="BP266" s="8"/>
      <c r="BQ266" s="4"/>
      <c r="BR266" s="8"/>
      <c r="BS266" s="7"/>
      <c r="BT266" s="7"/>
      <c r="BU266" s="2" t="s">
        <v>207</v>
      </c>
      <c r="BV266" s="2" t="s">
        <v>97</v>
      </c>
      <c r="BW266" s="2" t="s">
        <v>100</v>
      </c>
      <c r="BX266" s="2" t="s">
        <v>100</v>
      </c>
      <c r="BY266" s="2" t="s">
        <v>113</v>
      </c>
      <c r="BZ266" s="2" t="s">
        <v>245</v>
      </c>
    </row>
    <row r="267">
      <c r="A267" s="2" t="s">
        <v>1320</v>
      </c>
      <c r="B267" s="2" t="s">
        <v>87</v>
      </c>
      <c r="C267" s="2" t="s">
        <v>88</v>
      </c>
      <c r="D267" s="2" t="s">
        <v>803</v>
      </c>
      <c r="E267" s="2" t="s">
        <v>804</v>
      </c>
      <c r="F267" s="2" t="s">
        <v>1312</v>
      </c>
      <c r="G267" s="2" t="s">
        <v>1313</v>
      </c>
      <c r="H267" s="2" t="s">
        <v>1314</v>
      </c>
      <c r="I267" s="2" t="s">
        <v>1315</v>
      </c>
      <c r="J267" s="2" t="s">
        <v>817</v>
      </c>
      <c r="K267" s="2" t="s">
        <v>198</v>
      </c>
      <c r="L267" s="3">
        <v>47.61</v>
      </c>
      <c r="M267" s="3">
        <v>49.99</v>
      </c>
      <c r="N267" s="3">
        <v>99.99</v>
      </c>
      <c r="O267" s="2" t="s">
        <v>97</v>
      </c>
      <c r="P267" s="2" t="s">
        <v>119</v>
      </c>
      <c r="Q267" s="2" t="s">
        <v>99</v>
      </c>
      <c r="R267" s="2" t="s">
        <v>100</v>
      </c>
      <c r="S267" s="2" t="s">
        <v>1316</v>
      </c>
      <c r="T267" s="2" t="s">
        <v>218</v>
      </c>
      <c r="U267" s="2" t="s">
        <v>337</v>
      </c>
      <c r="V267" s="2" t="s">
        <v>350</v>
      </c>
      <c r="W267" s="2" t="s">
        <v>104</v>
      </c>
      <c r="X267" s="2" t="s">
        <v>415</v>
      </c>
      <c r="Y267" s="2" t="s">
        <v>1321</v>
      </c>
      <c r="Z267" s="4"/>
      <c r="AA267" s="4">
        <f>=ROUNDDOWN({0},0)</f>
      </c>
      <c r="AB267" s="5">
        <v>15</v>
      </c>
      <c r="AC267" s="2" t="s">
        <v>1318</v>
      </c>
      <c r="AD267" s="4">
        <v>60</v>
      </c>
      <c r="AE267" s="4">
        <v>260</v>
      </c>
      <c r="AF267" s="6">
        <v>64</v>
      </c>
      <c r="AG267" s="6"/>
      <c r="AH267" s="7">
        <v>0.9626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161</v>
      </c>
      <c r="BK267" s="8">
        <v>8566.61</v>
      </c>
      <c r="BL267" s="2" t="s">
        <v>418</v>
      </c>
      <c r="BM267" s="7"/>
      <c r="BN267" s="7"/>
      <c r="BO267" s="4"/>
      <c r="BP267" s="8"/>
      <c r="BQ267" s="4"/>
      <c r="BR267" s="8"/>
      <c r="BS267" s="7"/>
      <c r="BT267" s="7"/>
      <c r="BU267" s="2" t="s">
        <v>207</v>
      </c>
      <c r="BV267" s="2" t="s">
        <v>97</v>
      </c>
      <c r="BW267" s="2" t="s">
        <v>100</v>
      </c>
      <c r="BX267" s="2" t="s">
        <v>100</v>
      </c>
      <c r="BY267" s="2" t="s">
        <v>113</v>
      </c>
      <c r="BZ267" s="2" t="s">
        <v>100</v>
      </c>
    </row>
    <row r="268">
      <c r="A268" s="2" t="s">
        <v>1322</v>
      </c>
      <c r="B268" s="2" t="s">
        <v>87</v>
      </c>
      <c r="C268" s="2" t="s">
        <v>88</v>
      </c>
      <c r="D268" s="2" t="s">
        <v>803</v>
      </c>
      <c r="E268" s="2" t="s">
        <v>804</v>
      </c>
      <c r="F268" s="2" t="s">
        <v>1312</v>
      </c>
      <c r="G268" s="2" t="s">
        <v>1313</v>
      </c>
      <c r="H268" s="2" t="s">
        <v>1314</v>
      </c>
      <c r="I268" s="2" t="s">
        <v>1315</v>
      </c>
      <c r="J268" s="2" t="s">
        <v>706</v>
      </c>
      <c r="K268" s="2" t="s">
        <v>629</v>
      </c>
      <c r="L268" s="3">
        <v>42.85</v>
      </c>
      <c r="M268" s="3">
        <v>44.99</v>
      </c>
      <c r="N268" s="3">
        <v>89.99</v>
      </c>
      <c r="O268" s="2" t="s">
        <v>97</v>
      </c>
      <c r="P268" s="2" t="s">
        <v>119</v>
      </c>
      <c r="Q268" s="2" t="s">
        <v>99</v>
      </c>
      <c r="R268" s="2" t="s">
        <v>100</v>
      </c>
      <c r="S268" s="2" t="s">
        <v>1323</v>
      </c>
      <c r="T268" s="2" t="s">
        <v>218</v>
      </c>
      <c r="U268" s="2" t="s">
        <v>337</v>
      </c>
      <c r="V268" s="2" t="s">
        <v>350</v>
      </c>
      <c r="W268" s="2" t="s">
        <v>104</v>
      </c>
      <c r="X268" s="2" t="s">
        <v>415</v>
      </c>
      <c r="Y268" s="2" t="s">
        <v>1321</v>
      </c>
      <c r="Z268" s="4"/>
      <c r="AA268" s="4">
        <f>=ROUNDDOWN({0},0)</f>
      </c>
      <c r="AB268" s="5">
        <v>21</v>
      </c>
      <c r="AC268" s="2" t="s">
        <v>1318</v>
      </c>
      <c r="AD268" s="4">
        <v>140</v>
      </c>
      <c r="AE268" s="4">
        <v>470</v>
      </c>
      <c r="AF268" s="6">
        <v>64</v>
      </c>
      <c r="AG268" s="6"/>
      <c r="AH268" s="7">
        <v>0.8503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306</v>
      </c>
      <c r="BK268" s="8">
        <v>14788.21</v>
      </c>
      <c r="BL268" s="2" t="s">
        <v>1324</v>
      </c>
      <c r="BM268" s="7"/>
      <c r="BN268" s="7"/>
      <c r="BO268" s="4"/>
      <c r="BP268" s="8"/>
      <c r="BQ268" s="4"/>
      <c r="BR268" s="8"/>
      <c r="BS268" s="7"/>
      <c r="BT268" s="7"/>
      <c r="BU268" s="2" t="s">
        <v>207</v>
      </c>
      <c r="BV268" s="2" t="s">
        <v>97</v>
      </c>
      <c r="BW268" s="2" t="s">
        <v>100</v>
      </c>
      <c r="BX268" s="2" t="s">
        <v>100</v>
      </c>
      <c r="BY268" s="2" t="s">
        <v>113</v>
      </c>
      <c r="BZ268" s="2" t="s">
        <v>100</v>
      </c>
    </row>
    <row r="269">
      <c r="A269" s="2" t="s">
        <v>1325</v>
      </c>
      <c r="B269" s="2" t="s">
        <v>87</v>
      </c>
      <c r="C269" s="2" t="s">
        <v>88</v>
      </c>
      <c r="D269" s="2" t="s">
        <v>803</v>
      </c>
      <c r="E269" s="2" t="s">
        <v>804</v>
      </c>
      <c r="F269" s="2" t="s">
        <v>1312</v>
      </c>
      <c r="G269" s="2" t="s">
        <v>1313</v>
      </c>
      <c r="H269" s="2" t="s">
        <v>1314</v>
      </c>
      <c r="I269" s="2" t="s">
        <v>1315</v>
      </c>
      <c r="J269" s="2" t="s">
        <v>714</v>
      </c>
      <c r="K269" s="2" t="s">
        <v>629</v>
      </c>
      <c r="L269" s="3">
        <v>47.61</v>
      </c>
      <c r="M269" s="3">
        <v>49.99</v>
      </c>
      <c r="N269" s="3">
        <v>99.99</v>
      </c>
      <c r="O269" s="2" t="s">
        <v>97</v>
      </c>
      <c r="P269" s="2" t="s">
        <v>119</v>
      </c>
      <c r="Q269" s="2" t="s">
        <v>99</v>
      </c>
      <c r="R269" s="2" t="s">
        <v>100</v>
      </c>
      <c r="S269" s="2" t="s">
        <v>1323</v>
      </c>
      <c r="T269" s="2" t="s">
        <v>218</v>
      </c>
      <c r="U269" s="2" t="s">
        <v>337</v>
      </c>
      <c r="V269" s="2" t="s">
        <v>350</v>
      </c>
      <c r="W269" s="2" t="s">
        <v>104</v>
      </c>
      <c r="X269" s="2" t="s">
        <v>415</v>
      </c>
      <c r="Y269" s="2" t="s">
        <v>1321</v>
      </c>
      <c r="Z269" s="4"/>
      <c r="AA269" s="4">
        <f>=ROUNDDOWN({0},0)</f>
      </c>
      <c r="AB269" s="5">
        <v>21</v>
      </c>
      <c r="AC269" s="2" t="s">
        <v>1318</v>
      </c>
      <c r="AD269" s="4">
        <v>120</v>
      </c>
      <c r="AE269" s="4">
        <v>450</v>
      </c>
      <c r="AF269" s="6">
        <v>64</v>
      </c>
      <c r="AG269" s="6"/>
      <c r="AH269" s="7">
        <v>0.8824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329</v>
      </c>
      <c r="BK269" s="8">
        <v>17589.38</v>
      </c>
      <c r="BL269" s="2" t="s">
        <v>1326</v>
      </c>
      <c r="BM269" s="7"/>
      <c r="BN269" s="7"/>
      <c r="BO269" s="4"/>
      <c r="BP269" s="8"/>
      <c r="BQ269" s="4"/>
      <c r="BR269" s="8"/>
      <c r="BS269" s="7"/>
      <c r="BT269" s="7"/>
      <c r="BU269" s="2" t="s">
        <v>207</v>
      </c>
      <c r="BV269" s="2" t="s">
        <v>97</v>
      </c>
      <c r="BW269" s="2" t="s">
        <v>100</v>
      </c>
      <c r="BX269" s="2" t="s">
        <v>100</v>
      </c>
      <c r="BY269" s="2" t="s">
        <v>113</v>
      </c>
      <c r="BZ269" s="2" t="s">
        <v>100</v>
      </c>
    </row>
    <row r="270">
      <c r="A270" s="2" t="s">
        <v>1327</v>
      </c>
      <c r="B270" s="2" t="s">
        <v>87</v>
      </c>
      <c r="C270" s="2" t="s">
        <v>88</v>
      </c>
      <c r="D270" s="2" t="s">
        <v>803</v>
      </c>
      <c r="E270" s="2" t="s">
        <v>804</v>
      </c>
      <c r="F270" s="2" t="s">
        <v>1312</v>
      </c>
      <c r="G270" s="2" t="s">
        <v>1313</v>
      </c>
      <c r="H270" s="2" t="s">
        <v>1314</v>
      </c>
      <c r="I270" s="2" t="s">
        <v>1315</v>
      </c>
      <c r="J270" s="2" t="s">
        <v>817</v>
      </c>
      <c r="K270" s="2" t="s">
        <v>629</v>
      </c>
      <c r="L270" s="3">
        <v>47.61</v>
      </c>
      <c r="M270" s="3">
        <v>49.99</v>
      </c>
      <c r="N270" s="3">
        <v>99.99</v>
      </c>
      <c r="O270" s="2" t="s">
        <v>97</v>
      </c>
      <c r="P270" s="2" t="s">
        <v>119</v>
      </c>
      <c r="Q270" s="2" t="s">
        <v>99</v>
      </c>
      <c r="R270" s="2" t="s">
        <v>100</v>
      </c>
      <c r="S270" s="2" t="s">
        <v>1323</v>
      </c>
      <c r="T270" s="2" t="s">
        <v>218</v>
      </c>
      <c r="U270" s="2" t="s">
        <v>337</v>
      </c>
      <c r="V270" s="2" t="s">
        <v>350</v>
      </c>
      <c r="W270" s="2" t="s">
        <v>104</v>
      </c>
      <c r="X270" s="2" t="s">
        <v>415</v>
      </c>
      <c r="Y270" s="2" t="s">
        <v>1321</v>
      </c>
      <c r="Z270" s="4"/>
      <c r="AA270" s="4">
        <f>=ROUNDDOWN({0},0)</f>
      </c>
      <c r="AB270" s="5">
        <v>12</v>
      </c>
      <c r="AC270" s="2" t="s">
        <v>1318</v>
      </c>
      <c r="AD270" s="4">
        <v>70</v>
      </c>
      <c r="AE270" s="4">
        <v>250</v>
      </c>
      <c r="AF270" s="6">
        <v>64</v>
      </c>
      <c r="AG270" s="6"/>
      <c r="AH270" s="7">
        <v>0.861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168</v>
      </c>
      <c r="BK270" s="8">
        <v>9045.46</v>
      </c>
      <c r="BL270" s="2" t="s">
        <v>1328</v>
      </c>
      <c r="BM270" s="7"/>
      <c r="BN270" s="7"/>
      <c r="BO270" s="4"/>
      <c r="BP270" s="8"/>
      <c r="BQ270" s="4"/>
      <c r="BR270" s="8"/>
      <c r="BS270" s="7"/>
      <c r="BT270" s="7"/>
      <c r="BU270" s="2" t="s">
        <v>207</v>
      </c>
      <c r="BV270" s="2" t="s">
        <v>97</v>
      </c>
      <c r="BW270" s="2" t="s">
        <v>100</v>
      </c>
      <c r="BX270" s="2" t="s">
        <v>100</v>
      </c>
      <c r="BY270" s="2" t="s">
        <v>113</v>
      </c>
      <c r="BZ270" s="2" t="s">
        <v>100</v>
      </c>
    </row>
    <row r="271">
      <c r="A271" s="2" t="s">
        <v>1329</v>
      </c>
      <c r="B271" s="2" t="s">
        <v>87</v>
      </c>
      <c r="C271" s="2" t="s">
        <v>88</v>
      </c>
      <c r="D271" s="2" t="s">
        <v>803</v>
      </c>
      <c r="E271" s="2" t="s">
        <v>804</v>
      </c>
      <c r="F271" s="2" t="s">
        <v>1330</v>
      </c>
      <c r="G271" s="2" t="s">
        <v>1331</v>
      </c>
      <c r="H271" s="2" t="s">
        <v>1332</v>
      </c>
      <c r="I271" s="2" t="s">
        <v>1333</v>
      </c>
      <c r="J271" s="2" t="s">
        <v>247</v>
      </c>
      <c r="K271" s="2" t="s">
        <v>432</v>
      </c>
      <c r="L271" s="3">
        <v>45.71</v>
      </c>
      <c r="M271" s="3">
        <v>48</v>
      </c>
      <c r="N271" s="3">
        <v>99.99</v>
      </c>
      <c r="O271" s="2" t="s">
        <v>97</v>
      </c>
      <c r="P271" s="2" t="s">
        <v>225</v>
      </c>
      <c r="Q271" s="2" t="s">
        <v>99</v>
      </c>
      <c r="R271" s="2" t="s">
        <v>100</v>
      </c>
      <c r="S271" s="2" t="s">
        <v>1334</v>
      </c>
      <c r="T271" s="2" t="s">
        <v>672</v>
      </c>
      <c r="U271" s="2" t="s">
        <v>171</v>
      </c>
      <c r="V271" s="2" t="s">
        <v>146</v>
      </c>
      <c r="W271" s="2" t="s">
        <v>673</v>
      </c>
      <c r="X271" s="2" t="s">
        <v>100</v>
      </c>
      <c r="Y271" s="2" t="s">
        <v>1335</v>
      </c>
      <c r="Z271" s="4">
        <v>303</v>
      </c>
      <c r="AA271" s="4">
        <f>=ROUNDDOWN(37.875,0)</f>
      </c>
      <c r="AB271" s="5">
        <v>8</v>
      </c>
      <c r="AC271" s="2" t="s">
        <v>100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113</v>
      </c>
      <c r="BK271" s="8">
        <v>5948.56</v>
      </c>
      <c r="BL271" s="2" t="s">
        <v>1336</v>
      </c>
      <c r="BM271" s="7"/>
      <c r="BN271" s="7"/>
      <c r="BO271" s="4"/>
      <c r="BP271" s="8"/>
      <c r="BQ271" s="4"/>
      <c r="BR271" s="8"/>
      <c r="BS271" s="7"/>
      <c r="BT271" s="7"/>
      <c r="BU271" s="2" t="s">
        <v>207</v>
      </c>
      <c r="BV271" s="2" t="s">
        <v>97</v>
      </c>
      <c r="BW271" s="2" t="s">
        <v>100</v>
      </c>
      <c r="BX271" s="2" t="s">
        <v>100</v>
      </c>
      <c r="BY271" s="2" t="s">
        <v>113</v>
      </c>
      <c r="BZ271" s="2" t="s">
        <v>100</v>
      </c>
    </row>
    <row r="272">
      <c r="A272" s="2" t="s">
        <v>1337</v>
      </c>
      <c r="B272" s="2" t="s">
        <v>87</v>
      </c>
      <c r="C272" s="2" t="s">
        <v>88</v>
      </c>
      <c r="D272" s="2" t="s">
        <v>803</v>
      </c>
      <c r="E272" s="2" t="s">
        <v>804</v>
      </c>
      <c r="F272" s="2" t="s">
        <v>1330</v>
      </c>
      <c r="G272" s="2" t="s">
        <v>1331</v>
      </c>
      <c r="H272" s="2" t="s">
        <v>1332</v>
      </c>
      <c r="I272" s="2" t="s">
        <v>1333</v>
      </c>
      <c r="J272" s="2" t="s">
        <v>270</v>
      </c>
      <c r="K272" s="2" t="s">
        <v>432</v>
      </c>
      <c r="L272" s="3">
        <v>50.28</v>
      </c>
      <c r="M272" s="3">
        <v>52.79</v>
      </c>
      <c r="N272" s="3">
        <v>109.99</v>
      </c>
      <c r="O272" s="2" t="s">
        <v>97</v>
      </c>
      <c r="P272" s="2" t="s">
        <v>225</v>
      </c>
      <c r="Q272" s="2" t="s">
        <v>99</v>
      </c>
      <c r="R272" s="2" t="s">
        <v>100</v>
      </c>
      <c r="S272" s="2" t="s">
        <v>1334</v>
      </c>
      <c r="T272" s="2" t="s">
        <v>672</v>
      </c>
      <c r="U272" s="2" t="s">
        <v>171</v>
      </c>
      <c r="V272" s="2" t="s">
        <v>146</v>
      </c>
      <c r="W272" s="2" t="s">
        <v>673</v>
      </c>
      <c r="X272" s="2" t="s">
        <v>100</v>
      </c>
      <c r="Y272" s="2" t="s">
        <v>1338</v>
      </c>
      <c r="Z272" s="4">
        <v>197</v>
      </c>
      <c r="AA272" s="4">
        <f>=ROUNDDOWN(19.7,0)</f>
      </c>
      <c r="AB272" s="5">
        <v>10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129</v>
      </c>
      <c r="BK272" s="8">
        <v>7393.03</v>
      </c>
      <c r="BL272" s="2" t="s">
        <v>418</v>
      </c>
      <c r="BM272" s="7"/>
      <c r="BN272" s="7"/>
      <c r="BO272" s="4"/>
      <c r="BP272" s="8"/>
      <c r="BQ272" s="4"/>
      <c r="BR272" s="8"/>
      <c r="BS272" s="7"/>
      <c r="BT272" s="7"/>
      <c r="BU272" s="2" t="s">
        <v>207</v>
      </c>
      <c r="BV272" s="2" t="s">
        <v>97</v>
      </c>
      <c r="BW272" s="2" t="s">
        <v>100</v>
      </c>
      <c r="BX272" s="2" t="s">
        <v>100</v>
      </c>
      <c r="BY272" s="2" t="s">
        <v>113</v>
      </c>
      <c r="BZ272" s="2" t="s">
        <v>100</v>
      </c>
    </row>
    <row r="273">
      <c r="A273" s="2" t="s">
        <v>1339</v>
      </c>
      <c r="B273" s="2" t="s">
        <v>87</v>
      </c>
      <c r="C273" s="2" t="s">
        <v>88</v>
      </c>
      <c r="D273" s="2" t="s">
        <v>803</v>
      </c>
      <c r="E273" s="2" t="s">
        <v>804</v>
      </c>
      <c r="F273" s="2" t="s">
        <v>1330</v>
      </c>
      <c r="G273" s="2" t="s">
        <v>1331</v>
      </c>
      <c r="H273" s="2" t="s">
        <v>1332</v>
      </c>
      <c r="I273" s="2" t="s">
        <v>1333</v>
      </c>
      <c r="J273" s="2" t="s">
        <v>247</v>
      </c>
      <c r="K273" s="2" t="s">
        <v>1340</v>
      </c>
      <c r="L273" s="3">
        <v>45.71</v>
      </c>
      <c r="M273" s="3">
        <v>48</v>
      </c>
      <c r="N273" s="3">
        <v>99.99</v>
      </c>
      <c r="O273" s="2" t="s">
        <v>97</v>
      </c>
      <c r="P273" s="2" t="s">
        <v>225</v>
      </c>
      <c r="Q273" s="2" t="s">
        <v>99</v>
      </c>
      <c r="R273" s="2" t="s">
        <v>100</v>
      </c>
      <c r="S273" s="2" t="s">
        <v>1341</v>
      </c>
      <c r="T273" s="2" t="s">
        <v>672</v>
      </c>
      <c r="U273" s="2" t="s">
        <v>171</v>
      </c>
      <c r="V273" s="2" t="s">
        <v>146</v>
      </c>
      <c r="W273" s="2" t="s">
        <v>673</v>
      </c>
      <c r="X273" s="2" t="s">
        <v>100</v>
      </c>
      <c r="Y273" s="2" t="s">
        <v>1335</v>
      </c>
      <c r="Z273" s="4">
        <v>270</v>
      </c>
      <c r="AA273" s="4">
        <f>=ROUNDDOWN(38.5714285714286,0)</f>
      </c>
      <c r="AB273" s="5">
        <v>7</v>
      </c>
      <c r="AC273" s="2" t="s">
        <v>1342</v>
      </c>
      <c r="AD273" s="4">
        <v>130</v>
      </c>
      <c r="AE273" s="4">
        <v>130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133</v>
      </c>
      <c r="BK273" s="8">
        <v>6942.96</v>
      </c>
      <c r="BL273" s="2" t="s">
        <v>272</v>
      </c>
      <c r="BM273" s="7"/>
      <c r="BN273" s="7"/>
      <c r="BO273" s="4"/>
      <c r="BP273" s="8"/>
      <c r="BQ273" s="4"/>
      <c r="BR273" s="8"/>
      <c r="BS273" s="7"/>
      <c r="BT273" s="7"/>
      <c r="BU273" s="2" t="s">
        <v>207</v>
      </c>
      <c r="BV273" s="2" t="s">
        <v>97</v>
      </c>
      <c r="BW273" s="2" t="s">
        <v>100</v>
      </c>
      <c r="BX273" s="2" t="s">
        <v>100</v>
      </c>
      <c r="BY273" s="2" t="s">
        <v>113</v>
      </c>
      <c r="BZ273" s="2" t="s">
        <v>100</v>
      </c>
    </row>
    <row r="274">
      <c r="A274" s="2" t="s">
        <v>1343</v>
      </c>
      <c r="B274" s="2" t="s">
        <v>87</v>
      </c>
      <c r="C274" s="2" t="s">
        <v>88</v>
      </c>
      <c r="D274" s="2" t="s">
        <v>803</v>
      </c>
      <c r="E274" s="2" t="s">
        <v>804</v>
      </c>
      <c r="F274" s="2" t="s">
        <v>1330</v>
      </c>
      <c r="G274" s="2" t="s">
        <v>1331</v>
      </c>
      <c r="H274" s="2" t="s">
        <v>1332</v>
      </c>
      <c r="I274" s="2" t="s">
        <v>1333</v>
      </c>
      <c r="J274" s="2" t="s">
        <v>270</v>
      </c>
      <c r="K274" s="2" t="s">
        <v>1340</v>
      </c>
      <c r="L274" s="3">
        <v>50.28</v>
      </c>
      <c r="M274" s="3">
        <v>52.79</v>
      </c>
      <c r="N274" s="3">
        <v>109.99</v>
      </c>
      <c r="O274" s="2" t="s">
        <v>97</v>
      </c>
      <c r="P274" s="2" t="s">
        <v>225</v>
      </c>
      <c r="Q274" s="2" t="s">
        <v>99</v>
      </c>
      <c r="R274" s="2" t="s">
        <v>100</v>
      </c>
      <c r="S274" s="2" t="s">
        <v>1341</v>
      </c>
      <c r="T274" s="2" t="s">
        <v>672</v>
      </c>
      <c r="U274" s="2" t="s">
        <v>171</v>
      </c>
      <c r="V274" s="2" t="s">
        <v>146</v>
      </c>
      <c r="W274" s="2" t="s">
        <v>673</v>
      </c>
      <c r="X274" s="2" t="s">
        <v>100</v>
      </c>
      <c r="Y274" s="2" t="s">
        <v>1335</v>
      </c>
      <c r="Z274" s="4">
        <v>32</v>
      </c>
      <c r="AA274" s="4">
        <f>=ROUNDDOWN(2.66666666666667,0)</f>
      </c>
      <c r="AB274" s="5">
        <v>12</v>
      </c>
      <c r="AC274" s="2" t="s">
        <v>1342</v>
      </c>
      <c r="AD274" s="4">
        <v>470</v>
      </c>
      <c r="AE274" s="4">
        <v>470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256</v>
      </c>
      <c r="BK274" s="8">
        <v>14596.93</v>
      </c>
      <c r="BL274" s="2" t="s">
        <v>1056</v>
      </c>
      <c r="BM274" s="7"/>
      <c r="BN274" s="7"/>
      <c r="BO274" s="4"/>
      <c r="BP274" s="8"/>
      <c r="BQ274" s="4"/>
      <c r="BR274" s="8"/>
      <c r="BS274" s="7"/>
      <c r="BT274" s="7"/>
      <c r="BU274" s="2" t="s">
        <v>207</v>
      </c>
      <c r="BV274" s="2" t="s">
        <v>97</v>
      </c>
      <c r="BW274" s="2" t="s">
        <v>100</v>
      </c>
      <c r="BX274" s="2" t="s">
        <v>100</v>
      </c>
      <c r="BY274" s="2" t="s">
        <v>113</v>
      </c>
      <c r="BZ274" s="2" t="s">
        <v>100</v>
      </c>
    </row>
    <row r="275">
      <c r="A275" s="2" t="s">
        <v>1344</v>
      </c>
      <c r="B275" s="2" t="s">
        <v>87</v>
      </c>
      <c r="C275" s="2" t="s">
        <v>88</v>
      </c>
      <c r="D275" s="2" t="s">
        <v>803</v>
      </c>
      <c r="E275" s="2" t="s">
        <v>804</v>
      </c>
      <c r="F275" s="2" t="s">
        <v>1330</v>
      </c>
      <c r="G275" s="2" t="s">
        <v>1331</v>
      </c>
      <c r="H275" s="2" t="s">
        <v>1332</v>
      </c>
      <c r="I275" s="2" t="s">
        <v>1333</v>
      </c>
      <c r="J275" s="2" t="s">
        <v>247</v>
      </c>
      <c r="K275" s="2" t="s">
        <v>578</v>
      </c>
      <c r="L275" s="3">
        <v>45.71</v>
      </c>
      <c r="M275" s="3">
        <v>48</v>
      </c>
      <c r="N275" s="3">
        <v>99.99</v>
      </c>
      <c r="O275" s="2" t="s">
        <v>97</v>
      </c>
      <c r="P275" s="2" t="s">
        <v>225</v>
      </c>
      <c r="Q275" s="2" t="s">
        <v>99</v>
      </c>
      <c r="R275" s="2" t="s">
        <v>100</v>
      </c>
      <c r="S275" s="2" t="s">
        <v>1345</v>
      </c>
      <c r="T275" s="2" t="s">
        <v>672</v>
      </c>
      <c r="U275" s="2" t="s">
        <v>171</v>
      </c>
      <c r="V275" s="2" t="s">
        <v>146</v>
      </c>
      <c r="W275" s="2" t="s">
        <v>673</v>
      </c>
      <c r="X275" s="2" t="s">
        <v>100</v>
      </c>
      <c r="Y275" s="2" t="s">
        <v>1335</v>
      </c>
      <c r="Z275" s="4">
        <v>148</v>
      </c>
      <c r="AA275" s="4">
        <f>=ROUNDDOWN(12.3333333333333,0)</f>
      </c>
      <c r="AB275" s="5">
        <v>12</v>
      </c>
      <c r="AC275" s="2" t="s">
        <v>608</v>
      </c>
      <c r="AD275" s="4">
        <v>370</v>
      </c>
      <c r="AE275" s="4">
        <v>370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226</v>
      </c>
      <c r="BK275" s="8">
        <v>11486.61</v>
      </c>
      <c r="BL275" s="2" t="s">
        <v>418</v>
      </c>
      <c r="BM275" s="7"/>
      <c r="BN275" s="7"/>
      <c r="BO275" s="4"/>
      <c r="BP275" s="8"/>
      <c r="BQ275" s="4"/>
      <c r="BR275" s="8"/>
      <c r="BS275" s="7"/>
      <c r="BT275" s="7"/>
      <c r="BU275" s="2" t="s">
        <v>207</v>
      </c>
      <c r="BV275" s="2" t="s">
        <v>97</v>
      </c>
      <c r="BW275" s="2" t="s">
        <v>100</v>
      </c>
      <c r="BX275" s="2" t="s">
        <v>100</v>
      </c>
      <c r="BY275" s="2" t="s">
        <v>113</v>
      </c>
      <c r="BZ275" s="2" t="s">
        <v>100</v>
      </c>
    </row>
    <row r="276">
      <c r="A276" s="2" t="s">
        <v>1346</v>
      </c>
      <c r="B276" s="2" t="s">
        <v>87</v>
      </c>
      <c r="C276" s="2" t="s">
        <v>88</v>
      </c>
      <c r="D276" s="2" t="s">
        <v>803</v>
      </c>
      <c r="E276" s="2" t="s">
        <v>804</v>
      </c>
      <c r="F276" s="2" t="s">
        <v>1330</v>
      </c>
      <c r="G276" s="2" t="s">
        <v>1331</v>
      </c>
      <c r="H276" s="2" t="s">
        <v>1332</v>
      </c>
      <c r="I276" s="2" t="s">
        <v>1333</v>
      </c>
      <c r="J276" s="2" t="s">
        <v>270</v>
      </c>
      <c r="K276" s="2" t="s">
        <v>578</v>
      </c>
      <c r="L276" s="3">
        <v>50.28</v>
      </c>
      <c r="M276" s="3">
        <v>52.79</v>
      </c>
      <c r="N276" s="3">
        <v>109.99</v>
      </c>
      <c r="O276" s="2" t="s">
        <v>97</v>
      </c>
      <c r="P276" s="2" t="s">
        <v>225</v>
      </c>
      <c r="Q276" s="2" t="s">
        <v>99</v>
      </c>
      <c r="R276" s="2" t="s">
        <v>100</v>
      </c>
      <c r="S276" s="2" t="s">
        <v>1345</v>
      </c>
      <c r="T276" s="2" t="s">
        <v>672</v>
      </c>
      <c r="U276" s="2" t="s">
        <v>171</v>
      </c>
      <c r="V276" s="2" t="s">
        <v>146</v>
      </c>
      <c r="W276" s="2" t="s">
        <v>673</v>
      </c>
      <c r="X276" s="2" t="s">
        <v>100</v>
      </c>
      <c r="Y276" s="2" t="s">
        <v>1335</v>
      </c>
      <c r="Z276" s="4">
        <v>2</v>
      </c>
      <c r="AA276" s="4">
        <f>=ROUNDDOWN(0.133333333333333,0)</f>
      </c>
      <c r="AB276" s="5">
        <v>15</v>
      </c>
      <c r="AC276" s="2" t="s">
        <v>608</v>
      </c>
      <c r="AD276" s="4">
        <v>380</v>
      </c>
      <c r="AE276" s="4">
        <v>430</v>
      </c>
      <c r="AF276" s="6">
        <v>64</v>
      </c>
      <c r="AG276" s="6"/>
      <c r="AH276" s="7">
        <v>0.9251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276</v>
      </c>
      <c r="BK276" s="8">
        <v>15423.59</v>
      </c>
      <c r="BL276" s="2" t="s">
        <v>1198</v>
      </c>
      <c r="BM276" s="7"/>
      <c r="BN276" s="7"/>
      <c r="BO276" s="4"/>
      <c r="BP276" s="8"/>
      <c r="BQ276" s="4"/>
      <c r="BR276" s="8"/>
      <c r="BS276" s="7"/>
      <c r="BT276" s="7"/>
      <c r="BU276" s="2" t="s">
        <v>207</v>
      </c>
      <c r="BV276" s="2" t="s">
        <v>97</v>
      </c>
      <c r="BW276" s="2" t="s">
        <v>100</v>
      </c>
      <c r="BX276" s="2" t="s">
        <v>100</v>
      </c>
      <c r="BY276" s="2" t="s">
        <v>113</v>
      </c>
      <c r="BZ276" s="2" t="s">
        <v>100</v>
      </c>
    </row>
    <row r="277">
      <c r="A277" s="2" t="s">
        <v>1347</v>
      </c>
      <c r="B277" s="2" t="s">
        <v>87</v>
      </c>
      <c r="C277" s="2" t="s">
        <v>88</v>
      </c>
      <c r="D277" s="2" t="s">
        <v>803</v>
      </c>
      <c r="E277" s="2" t="s">
        <v>804</v>
      </c>
      <c r="F277" s="2" t="s">
        <v>1348</v>
      </c>
      <c r="G277" s="2" t="s">
        <v>1349</v>
      </c>
      <c r="H277" s="2" t="s">
        <v>1350</v>
      </c>
      <c r="I277" s="2" t="s">
        <v>1161</v>
      </c>
      <c r="J277" s="2" t="s">
        <v>247</v>
      </c>
      <c r="K277" s="2" t="s">
        <v>335</v>
      </c>
      <c r="L277" s="3">
        <v>41.14</v>
      </c>
      <c r="M277" s="3">
        <v>43.2</v>
      </c>
      <c r="N277" s="3">
        <v>89.99</v>
      </c>
      <c r="O277" s="2" t="s">
        <v>97</v>
      </c>
      <c r="P277" s="2" t="s">
        <v>225</v>
      </c>
      <c r="Q277" s="2" t="s">
        <v>99</v>
      </c>
      <c r="R277" s="2" t="s">
        <v>100</v>
      </c>
      <c r="S277" s="2" t="s">
        <v>1351</v>
      </c>
      <c r="T277" s="2" t="s">
        <v>200</v>
      </c>
      <c r="U277" s="2" t="s">
        <v>102</v>
      </c>
      <c r="V277" s="2" t="s">
        <v>434</v>
      </c>
      <c r="W277" s="2" t="s">
        <v>309</v>
      </c>
      <c r="X277" s="2" t="s">
        <v>100</v>
      </c>
      <c r="Y277" s="2" t="s">
        <v>1163</v>
      </c>
      <c r="Z277" s="4">
        <v>379</v>
      </c>
      <c r="AA277" s="4">
        <f>=ROUNDDOWN(47.375,0)</f>
      </c>
      <c r="AB277" s="5">
        <v>8</v>
      </c>
      <c r="AC277" s="2" t="s">
        <v>100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31</v>
      </c>
      <c r="BK277" s="8">
        <v>1443.91</v>
      </c>
      <c r="BL277" s="2" t="s">
        <v>1352</v>
      </c>
      <c r="BM277" s="7"/>
      <c r="BN277" s="7"/>
      <c r="BO277" s="4"/>
      <c r="BP277" s="8"/>
      <c r="BQ277" s="4"/>
      <c r="BR277" s="8"/>
      <c r="BS277" s="7"/>
      <c r="BT277" s="7"/>
      <c r="BU277" s="2" t="s">
        <v>207</v>
      </c>
      <c r="BV277" s="2" t="s">
        <v>97</v>
      </c>
      <c r="BW277" s="2" t="s">
        <v>100</v>
      </c>
      <c r="BX277" s="2" t="s">
        <v>100</v>
      </c>
      <c r="BY277" s="2" t="s">
        <v>113</v>
      </c>
      <c r="BZ277" s="2" t="s">
        <v>100</v>
      </c>
    </row>
    <row r="278">
      <c r="A278" s="2" t="s">
        <v>1353</v>
      </c>
      <c r="B278" s="2" t="s">
        <v>87</v>
      </c>
      <c r="C278" s="2" t="s">
        <v>88</v>
      </c>
      <c r="D278" s="2" t="s">
        <v>803</v>
      </c>
      <c r="E278" s="2" t="s">
        <v>804</v>
      </c>
      <c r="F278" s="2" t="s">
        <v>1348</v>
      </c>
      <c r="G278" s="2" t="s">
        <v>1349</v>
      </c>
      <c r="H278" s="2" t="s">
        <v>1350</v>
      </c>
      <c r="I278" s="2" t="s">
        <v>1161</v>
      </c>
      <c r="J278" s="2" t="s">
        <v>270</v>
      </c>
      <c r="K278" s="2" t="s">
        <v>335</v>
      </c>
      <c r="L278" s="3">
        <v>45.71</v>
      </c>
      <c r="M278" s="3">
        <v>48</v>
      </c>
      <c r="N278" s="3">
        <v>99.99</v>
      </c>
      <c r="O278" s="2" t="s">
        <v>97</v>
      </c>
      <c r="P278" s="2" t="s">
        <v>225</v>
      </c>
      <c r="Q278" s="2" t="s">
        <v>99</v>
      </c>
      <c r="R278" s="2" t="s">
        <v>100</v>
      </c>
      <c r="S278" s="2" t="s">
        <v>1351</v>
      </c>
      <c r="T278" s="2" t="s">
        <v>200</v>
      </c>
      <c r="U278" s="2" t="s">
        <v>102</v>
      </c>
      <c r="V278" s="2" t="s">
        <v>434</v>
      </c>
      <c r="W278" s="2" t="s">
        <v>309</v>
      </c>
      <c r="X278" s="2" t="s">
        <v>100</v>
      </c>
      <c r="Y278" s="2" t="s">
        <v>1163</v>
      </c>
      <c r="Z278" s="4">
        <v>294</v>
      </c>
      <c r="AA278" s="4">
        <f>=ROUNDDOWN(36.75,0)</f>
      </c>
      <c r="AB278" s="5">
        <v>8</v>
      </c>
      <c r="AC278" s="2" t="s">
        <v>100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42</v>
      </c>
      <c r="BK278" s="8">
        <v>2159.53</v>
      </c>
      <c r="BL278" s="2" t="s">
        <v>1354</v>
      </c>
      <c r="BM278" s="7"/>
      <c r="BN278" s="7"/>
      <c r="BO278" s="4"/>
      <c r="BP278" s="8"/>
      <c r="BQ278" s="4"/>
      <c r="BR278" s="8"/>
      <c r="BS278" s="7"/>
      <c r="BT278" s="7"/>
      <c r="BU278" s="2" t="s">
        <v>207</v>
      </c>
      <c r="BV278" s="2" t="s">
        <v>97</v>
      </c>
      <c r="BW278" s="2" t="s">
        <v>100</v>
      </c>
      <c r="BX278" s="2" t="s">
        <v>100</v>
      </c>
      <c r="BY278" s="2" t="s">
        <v>113</v>
      </c>
      <c r="BZ278" s="2" t="s">
        <v>100</v>
      </c>
    </row>
    <row r="279">
      <c r="A279" s="2" t="s">
        <v>1355</v>
      </c>
      <c r="B279" s="2" t="s">
        <v>87</v>
      </c>
      <c r="C279" s="2" t="s">
        <v>88</v>
      </c>
      <c r="D279" s="2" t="s">
        <v>803</v>
      </c>
      <c r="E279" s="2" t="s">
        <v>804</v>
      </c>
      <c r="F279" s="2" t="s">
        <v>1348</v>
      </c>
      <c r="G279" s="2" t="s">
        <v>1349</v>
      </c>
      <c r="H279" s="2" t="s">
        <v>1350</v>
      </c>
      <c r="I279" s="2" t="s">
        <v>1161</v>
      </c>
      <c r="J279" s="2" t="s">
        <v>247</v>
      </c>
      <c r="K279" s="2" t="s">
        <v>993</v>
      </c>
      <c r="L279" s="3">
        <v>41.14</v>
      </c>
      <c r="M279" s="3">
        <v>43.2</v>
      </c>
      <c r="N279" s="3">
        <v>89.99</v>
      </c>
      <c r="O279" s="2" t="s">
        <v>97</v>
      </c>
      <c r="P279" s="2" t="s">
        <v>225</v>
      </c>
      <c r="Q279" s="2" t="s">
        <v>99</v>
      </c>
      <c r="R279" s="2" t="s">
        <v>100</v>
      </c>
      <c r="S279" s="2" t="s">
        <v>1356</v>
      </c>
      <c r="T279" s="2" t="s">
        <v>200</v>
      </c>
      <c r="U279" s="2" t="s">
        <v>102</v>
      </c>
      <c r="V279" s="2" t="s">
        <v>434</v>
      </c>
      <c r="W279" s="2" t="s">
        <v>309</v>
      </c>
      <c r="X279" s="2" t="s">
        <v>100</v>
      </c>
      <c r="Y279" s="2" t="s">
        <v>1163</v>
      </c>
      <c r="Z279" s="4">
        <v>365</v>
      </c>
      <c r="AA279" s="4">
        <f>=ROUNDDOWN(60.8333333333333,0)</f>
      </c>
      <c r="AB279" s="5">
        <v>6</v>
      </c>
      <c r="AC279" s="2" t="s">
        <v>100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47</v>
      </c>
      <c r="BK279" s="8">
        <v>2197.5</v>
      </c>
      <c r="BL279" s="2" t="s">
        <v>780</v>
      </c>
      <c r="BM279" s="7"/>
      <c r="BN279" s="7"/>
      <c r="BO279" s="4"/>
      <c r="BP279" s="8"/>
      <c r="BQ279" s="4"/>
      <c r="BR279" s="8"/>
      <c r="BS279" s="7"/>
      <c r="BT279" s="7"/>
      <c r="BU279" s="2" t="s">
        <v>207</v>
      </c>
      <c r="BV279" s="2" t="s">
        <v>97</v>
      </c>
      <c r="BW279" s="2" t="s">
        <v>100</v>
      </c>
      <c r="BX279" s="2" t="s">
        <v>100</v>
      </c>
      <c r="BY279" s="2" t="s">
        <v>113</v>
      </c>
      <c r="BZ279" s="2" t="s">
        <v>100</v>
      </c>
    </row>
    <row r="280">
      <c r="A280" s="2" t="s">
        <v>1357</v>
      </c>
      <c r="B280" s="2" t="s">
        <v>87</v>
      </c>
      <c r="C280" s="2" t="s">
        <v>88</v>
      </c>
      <c r="D280" s="2" t="s">
        <v>803</v>
      </c>
      <c r="E280" s="2" t="s">
        <v>804</v>
      </c>
      <c r="F280" s="2" t="s">
        <v>1348</v>
      </c>
      <c r="G280" s="2" t="s">
        <v>1349</v>
      </c>
      <c r="H280" s="2" t="s">
        <v>1350</v>
      </c>
      <c r="I280" s="2" t="s">
        <v>1161</v>
      </c>
      <c r="J280" s="2" t="s">
        <v>270</v>
      </c>
      <c r="K280" s="2" t="s">
        <v>993</v>
      </c>
      <c r="L280" s="3">
        <v>45.71</v>
      </c>
      <c r="M280" s="3">
        <v>48</v>
      </c>
      <c r="N280" s="3">
        <v>99.99</v>
      </c>
      <c r="O280" s="2" t="s">
        <v>97</v>
      </c>
      <c r="P280" s="2" t="s">
        <v>225</v>
      </c>
      <c r="Q280" s="2" t="s">
        <v>99</v>
      </c>
      <c r="R280" s="2" t="s">
        <v>100</v>
      </c>
      <c r="S280" s="2" t="s">
        <v>1356</v>
      </c>
      <c r="T280" s="2" t="s">
        <v>200</v>
      </c>
      <c r="U280" s="2" t="s">
        <v>102</v>
      </c>
      <c r="V280" s="2" t="s">
        <v>434</v>
      </c>
      <c r="W280" s="2" t="s">
        <v>309</v>
      </c>
      <c r="X280" s="2" t="s">
        <v>100</v>
      </c>
      <c r="Y280" s="2" t="s">
        <v>1163</v>
      </c>
      <c r="Z280" s="4">
        <v>312</v>
      </c>
      <c r="AA280" s="4">
        <f>=ROUNDDOWN(52,0)</f>
      </c>
      <c r="AB280" s="5">
        <v>6</v>
      </c>
      <c r="AC280" s="2" t="s">
        <v>100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24</v>
      </c>
      <c r="BK280" s="8">
        <v>1240.78</v>
      </c>
      <c r="BL280" s="2" t="s">
        <v>1358</v>
      </c>
      <c r="BM280" s="7"/>
      <c r="BN280" s="7"/>
      <c r="BO280" s="4"/>
      <c r="BP280" s="8"/>
      <c r="BQ280" s="4"/>
      <c r="BR280" s="8"/>
      <c r="BS280" s="7"/>
      <c r="BT280" s="7"/>
      <c r="BU280" s="2" t="s">
        <v>207</v>
      </c>
      <c r="BV280" s="2" t="s">
        <v>97</v>
      </c>
      <c r="BW280" s="2" t="s">
        <v>100</v>
      </c>
      <c r="BX280" s="2" t="s">
        <v>100</v>
      </c>
      <c r="BY280" s="2" t="s">
        <v>113</v>
      </c>
      <c r="BZ280" s="2" t="s">
        <v>100</v>
      </c>
    </row>
    <row r="281">
      <c r="A281" s="2" t="s">
        <v>1359</v>
      </c>
      <c r="B281" s="2" t="s">
        <v>87</v>
      </c>
      <c r="C281" s="2" t="s">
        <v>88</v>
      </c>
      <c r="D281" s="2" t="s">
        <v>803</v>
      </c>
      <c r="E281" s="2" t="s">
        <v>804</v>
      </c>
      <c r="F281" s="2" t="s">
        <v>1360</v>
      </c>
      <c r="G281" s="2" t="s">
        <v>1095</v>
      </c>
      <c r="H281" s="2" t="s">
        <v>1361</v>
      </c>
      <c r="I281" s="2" t="s">
        <v>1161</v>
      </c>
      <c r="J281" s="2" t="s">
        <v>247</v>
      </c>
      <c r="K281" s="2" t="s">
        <v>1362</v>
      </c>
      <c r="L281" s="3">
        <v>41.14</v>
      </c>
      <c r="M281" s="3">
        <v>43.2</v>
      </c>
      <c r="N281" s="3">
        <v>89.99</v>
      </c>
      <c r="O281" s="2" t="s">
        <v>97</v>
      </c>
      <c r="P281" s="2" t="s">
        <v>225</v>
      </c>
      <c r="Q281" s="2" t="s">
        <v>99</v>
      </c>
      <c r="R281" s="2" t="s">
        <v>100</v>
      </c>
      <c r="S281" s="2" t="s">
        <v>1363</v>
      </c>
      <c r="T281" s="2" t="s">
        <v>200</v>
      </c>
      <c r="U281" s="2" t="s">
        <v>102</v>
      </c>
      <c r="V281" s="2" t="s">
        <v>350</v>
      </c>
      <c r="W281" s="2" t="s">
        <v>309</v>
      </c>
      <c r="X281" s="2" t="s">
        <v>104</v>
      </c>
      <c r="Y281" s="2" t="s">
        <v>1364</v>
      </c>
      <c r="Z281" s="4">
        <v>270</v>
      </c>
      <c r="AA281" s="4">
        <f>=ROUNDDOWN(24.5454545454545,0)</f>
      </c>
      <c r="AB281" s="5">
        <v>11</v>
      </c>
      <c r="AC281" s="2" t="s">
        <v>100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97</v>
      </c>
      <c r="BK281" s="8">
        <v>4505.93</v>
      </c>
      <c r="BL281" s="2" t="s">
        <v>1354</v>
      </c>
      <c r="BM281" s="7"/>
      <c r="BN281" s="7"/>
      <c r="BO281" s="4"/>
      <c r="BP281" s="8"/>
      <c r="BQ281" s="4"/>
      <c r="BR281" s="8"/>
      <c r="BS281" s="7"/>
      <c r="BT281" s="7"/>
      <c r="BU281" s="2" t="s">
        <v>207</v>
      </c>
      <c r="BV281" s="2" t="s">
        <v>97</v>
      </c>
      <c r="BW281" s="2" t="s">
        <v>100</v>
      </c>
      <c r="BX281" s="2" t="s">
        <v>100</v>
      </c>
      <c r="BY281" s="2" t="s">
        <v>113</v>
      </c>
      <c r="BZ281" s="2" t="s">
        <v>100</v>
      </c>
    </row>
    <row r="282">
      <c r="A282" s="2" t="s">
        <v>1365</v>
      </c>
      <c r="B282" s="2" t="s">
        <v>87</v>
      </c>
      <c r="C282" s="2" t="s">
        <v>88</v>
      </c>
      <c r="D282" s="2" t="s">
        <v>803</v>
      </c>
      <c r="E282" s="2" t="s">
        <v>804</v>
      </c>
      <c r="F282" s="2" t="s">
        <v>1360</v>
      </c>
      <c r="G282" s="2" t="s">
        <v>1095</v>
      </c>
      <c r="H282" s="2" t="s">
        <v>1361</v>
      </c>
      <c r="I282" s="2" t="s">
        <v>1161</v>
      </c>
      <c r="J282" s="2" t="s">
        <v>270</v>
      </c>
      <c r="K282" s="2" t="s">
        <v>1362</v>
      </c>
      <c r="L282" s="3">
        <v>45.71</v>
      </c>
      <c r="M282" s="3">
        <v>48</v>
      </c>
      <c r="N282" s="3">
        <v>99.99</v>
      </c>
      <c r="O282" s="2" t="s">
        <v>97</v>
      </c>
      <c r="P282" s="2" t="s">
        <v>225</v>
      </c>
      <c r="Q282" s="2" t="s">
        <v>99</v>
      </c>
      <c r="R282" s="2" t="s">
        <v>100</v>
      </c>
      <c r="S282" s="2" t="s">
        <v>1363</v>
      </c>
      <c r="T282" s="2" t="s">
        <v>200</v>
      </c>
      <c r="U282" s="2" t="s">
        <v>102</v>
      </c>
      <c r="V282" s="2" t="s">
        <v>350</v>
      </c>
      <c r="W282" s="2" t="s">
        <v>309</v>
      </c>
      <c r="X282" s="2" t="s">
        <v>104</v>
      </c>
      <c r="Y282" s="2" t="s">
        <v>1364</v>
      </c>
      <c r="Z282" s="4">
        <v>250</v>
      </c>
      <c r="AA282" s="4">
        <f>=ROUNDDOWN(22.7272727272727,0)</f>
      </c>
      <c r="AB282" s="5">
        <v>11</v>
      </c>
      <c r="AC282" s="2" t="s">
        <v>100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123</v>
      </c>
      <c r="BK282" s="8">
        <v>6422.66</v>
      </c>
      <c r="BL282" s="2" t="s">
        <v>1366</v>
      </c>
      <c r="BM282" s="7"/>
      <c r="BN282" s="7"/>
      <c r="BO282" s="4"/>
      <c r="BP282" s="8"/>
      <c r="BQ282" s="4"/>
      <c r="BR282" s="8"/>
      <c r="BS282" s="7"/>
      <c r="BT282" s="7"/>
      <c r="BU282" s="2" t="s">
        <v>207</v>
      </c>
      <c r="BV282" s="2" t="s">
        <v>97</v>
      </c>
      <c r="BW282" s="2" t="s">
        <v>100</v>
      </c>
      <c r="BX282" s="2" t="s">
        <v>100</v>
      </c>
      <c r="BY282" s="2" t="s">
        <v>113</v>
      </c>
      <c r="BZ282" s="2" t="s">
        <v>100</v>
      </c>
    </row>
    <row r="283">
      <c r="A283" s="2" t="s">
        <v>1367</v>
      </c>
      <c r="B283" s="2" t="s">
        <v>87</v>
      </c>
      <c r="C283" s="2" t="s">
        <v>88</v>
      </c>
      <c r="D283" s="2" t="s">
        <v>803</v>
      </c>
      <c r="E283" s="2" t="s">
        <v>804</v>
      </c>
      <c r="F283" s="2" t="s">
        <v>1360</v>
      </c>
      <c r="G283" s="2" t="s">
        <v>1095</v>
      </c>
      <c r="H283" s="2" t="s">
        <v>1361</v>
      </c>
      <c r="I283" s="2" t="s">
        <v>1161</v>
      </c>
      <c r="J283" s="2" t="s">
        <v>247</v>
      </c>
      <c r="K283" s="2" t="s">
        <v>1368</v>
      </c>
      <c r="L283" s="3">
        <v>41.14</v>
      </c>
      <c r="M283" s="3">
        <v>43.2</v>
      </c>
      <c r="N283" s="3">
        <v>89.99</v>
      </c>
      <c r="O283" s="2" t="s">
        <v>97</v>
      </c>
      <c r="P283" s="2" t="s">
        <v>225</v>
      </c>
      <c r="Q283" s="2" t="s">
        <v>99</v>
      </c>
      <c r="R283" s="2" t="s">
        <v>100</v>
      </c>
      <c r="S283" s="2" t="s">
        <v>1369</v>
      </c>
      <c r="T283" s="2" t="s">
        <v>200</v>
      </c>
      <c r="U283" s="2" t="s">
        <v>102</v>
      </c>
      <c r="V283" s="2" t="s">
        <v>350</v>
      </c>
      <c r="W283" s="2" t="s">
        <v>309</v>
      </c>
      <c r="X283" s="2" t="s">
        <v>104</v>
      </c>
      <c r="Y283" s="2" t="s">
        <v>1364</v>
      </c>
      <c r="Z283" s="4">
        <v>356</v>
      </c>
      <c r="AA283" s="4">
        <f>=ROUNDDOWN(44.5,0)</f>
      </c>
      <c r="AB283" s="5">
        <v>8</v>
      </c>
      <c r="AC283" s="2" t="s">
        <v>100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51</v>
      </c>
      <c r="BK283" s="8">
        <v>2360.53</v>
      </c>
      <c r="BL283" s="2" t="s">
        <v>1358</v>
      </c>
      <c r="BM283" s="7"/>
      <c r="BN283" s="7"/>
      <c r="BO283" s="4"/>
      <c r="BP283" s="8"/>
      <c r="BQ283" s="4"/>
      <c r="BR283" s="8"/>
      <c r="BS283" s="7"/>
      <c r="BT283" s="7"/>
      <c r="BU283" s="2" t="s">
        <v>207</v>
      </c>
      <c r="BV283" s="2" t="s">
        <v>97</v>
      </c>
      <c r="BW283" s="2" t="s">
        <v>100</v>
      </c>
      <c r="BX283" s="2" t="s">
        <v>100</v>
      </c>
      <c r="BY283" s="2" t="s">
        <v>113</v>
      </c>
      <c r="BZ283" s="2" t="s">
        <v>100</v>
      </c>
    </row>
    <row r="284">
      <c r="A284" s="2" t="s">
        <v>1370</v>
      </c>
      <c r="B284" s="2" t="s">
        <v>87</v>
      </c>
      <c r="C284" s="2" t="s">
        <v>88</v>
      </c>
      <c r="D284" s="2" t="s">
        <v>803</v>
      </c>
      <c r="E284" s="2" t="s">
        <v>804</v>
      </c>
      <c r="F284" s="2" t="s">
        <v>1360</v>
      </c>
      <c r="G284" s="2" t="s">
        <v>1095</v>
      </c>
      <c r="H284" s="2" t="s">
        <v>1361</v>
      </c>
      <c r="I284" s="2" t="s">
        <v>1161</v>
      </c>
      <c r="J284" s="2" t="s">
        <v>270</v>
      </c>
      <c r="K284" s="2" t="s">
        <v>1368</v>
      </c>
      <c r="L284" s="3">
        <v>45.71</v>
      </c>
      <c r="M284" s="3">
        <v>48</v>
      </c>
      <c r="N284" s="3">
        <v>99.99</v>
      </c>
      <c r="O284" s="2" t="s">
        <v>97</v>
      </c>
      <c r="P284" s="2" t="s">
        <v>225</v>
      </c>
      <c r="Q284" s="2" t="s">
        <v>99</v>
      </c>
      <c r="R284" s="2" t="s">
        <v>100</v>
      </c>
      <c r="S284" s="2" t="s">
        <v>1369</v>
      </c>
      <c r="T284" s="2" t="s">
        <v>200</v>
      </c>
      <c r="U284" s="2" t="s">
        <v>102</v>
      </c>
      <c r="V284" s="2" t="s">
        <v>350</v>
      </c>
      <c r="W284" s="2" t="s">
        <v>309</v>
      </c>
      <c r="X284" s="2" t="s">
        <v>104</v>
      </c>
      <c r="Y284" s="2" t="s">
        <v>1364</v>
      </c>
      <c r="Z284" s="4">
        <v>295</v>
      </c>
      <c r="AA284" s="4">
        <f>=ROUNDDOWN(42.1428571428571,0)</f>
      </c>
      <c r="AB284" s="5">
        <v>7</v>
      </c>
      <c r="AC284" s="2" t="s">
        <v>100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37</v>
      </c>
      <c r="BK284" s="8">
        <v>1907.05</v>
      </c>
      <c r="BL284" s="2" t="s">
        <v>1371</v>
      </c>
      <c r="BM284" s="7"/>
      <c r="BN284" s="7"/>
      <c r="BO284" s="4"/>
      <c r="BP284" s="8"/>
      <c r="BQ284" s="4"/>
      <c r="BR284" s="8"/>
      <c r="BS284" s="7"/>
      <c r="BT284" s="7"/>
      <c r="BU284" s="2" t="s">
        <v>207</v>
      </c>
      <c r="BV284" s="2" t="s">
        <v>97</v>
      </c>
      <c r="BW284" s="2" t="s">
        <v>100</v>
      </c>
      <c r="BX284" s="2" t="s">
        <v>100</v>
      </c>
      <c r="BY284" s="2" t="s">
        <v>113</v>
      </c>
      <c r="BZ284" s="2" t="s">
        <v>100</v>
      </c>
    </row>
    <row r="285">
      <c r="A285" s="2" t="s">
        <v>1372</v>
      </c>
      <c r="B285" s="2" t="s">
        <v>87</v>
      </c>
      <c r="C285" s="2" t="s">
        <v>88</v>
      </c>
      <c r="D285" s="2" t="s">
        <v>803</v>
      </c>
      <c r="E285" s="2" t="s">
        <v>804</v>
      </c>
      <c r="F285" s="2" t="s">
        <v>1373</v>
      </c>
      <c r="G285" s="2" t="s">
        <v>1374</v>
      </c>
      <c r="H285" s="2" t="s">
        <v>1375</v>
      </c>
      <c r="I285" s="2" t="s">
        <v>1376</v>
      </c>
      <c r="J285" s="2" t="s">
        <v>247</v>
      </c>
      <c r="K285" s="2" t="s">
        <v>360</v>
      </c>
      <c r="L285" s="3">
        <v>36.57</v>
      </c>
      <c r="M285" s="3">
        <v>38.4</v>
      </c>
      <c r="N285" s="3">
        <v>79.99</v>
      </c>
      <c r="O285" s="2" t="s">
        <v>97</v>
      </c>
      <c r="P285" s="2" t="s">
        <v>225</v>
      </c>
      <c r="Q285" s="2" t="s">
        <v>99</v>
      </c>
      <c r="R285" s="2" t="s">
        <v>100</v>
      </c>
      <c r="S285" s="2" t="s">
        <v>1377</v>
      </c>
      <c r="T285" s="2" t="s">
        <v>218</v>
      </c>
      <c r="U285" s="2" t="s">
        <v>402</v>
      </c>
      <c r="V285" s="2" t="s">
        <v>256</v>
      </c>
      <c r="W285" s="2" t="s">
        <v>415</v>
      </c>
      <c r="X285" s="2" t="s">
        <v>183</v>
      </c>
      <c r="Y285" s="2" t="s">
        <v>1378</v>
      </c>
      <c r="Z285" s="4">
        <v>256</v>
      </c>
      <c r="AA285" s="4">
        <f>=ROUNDDOWN(51.2,0)</f>
      </c>
      <c r="AB285" s="5">
        <v>5</v>
      </c>
      <c r="AC285" s="2" t="s">
        <v>100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42</v>
      </c>
      <c r="BK285" s="8">
        <v>1734.46</v>
      </c>
      <c r="BL285" s="2" t="s">
        <v>1379</v>
      </c>
      <c r="BM285" s="7"/>
      <c r="BN285" s="7"/>
      <c r="BO285" s="4"/>
      <c r="BP285" s="8"/>
      <c r="BQ285" s="4"/>
      <c r="BR285" s="8"/>
      <c r="BS285" s="7"/>
      <c r="BT285" s="7"/>
      <c r="BU285" s="2" t="s">
        <v>207</v>
      </c>
      <c r="BV285" s="2" t="s">
        <v>97</v>
      </c>
      <c r="BW285" s="2" t="s">
        <v>100</v>
      </c>
      <c r="BX285" s="2" t="s">
        <v>100</v>
      </c>
      <c r="BY285" s="2" t="s">
        <v>113</v>
      </c>
      <c r="BZ285" s="2" t="s">
        <v>100</v>
      </c>
    </row>
    <row r="286">
      <c r="A286" s="2" t="s">
        <v>1380</v>
      </c>
      <c r="B286" s="2" t="s">
        <v>87</v>
      </c>
      <c r="C286" s="2" t="s">
        <v>88</v>
      </c>
      <c r="D286" s="2" t="s">
        <v>803</v>
      </c>
      <c r="E286" s="2" t="s">
        <v>804</v>
      </c>
      <c r="F286" s="2" t="s">
        <v>1373</v>
      </c>
      <c r="G286" s="2" t="s">
        <v>1374</v>
      </c>
      <c r="H286" s="2" t="s">
        <v>1375</v>
      </c>
      <c r="I286" s="2" t="s">
        <v>1376</v>
      </c>
      <c r="J286" s="2" t="s">
        <v>270</v>
      </c>
      <c r="K286" s="2" t="s">
        <v>360</v>
      </c>
      <c r="L286" s="3">
        <v>41.14</v>
      </c>
      <c r="M286" s="3">
        <v>43.2</v>
      </c>
      <c r="N286" s="3">
        <v>89.99</v>
      </c>
      <c r="O286" s="2" t="s">
        <v>97</v>
      </c>
      <c r="P286" s="2" t="s">
        <v>225</v>
      </c>
      <c r="Q286" s="2" t="s">
        <v>99</v>
      </c>
      <c r="R286" s="2" t="s">
        <v>100</v>
      </c>
      <c r="S286" s="2" t="s">
        <v>1377</v>
      </c>
      <c r="T286" s="2" t="s">
        <v>218</v>
      </c>
      <c r="U286" s="2" t="s">
        <v>402</v>
      </c>
      <c r="V286" s="2" t="s">
        <v>256</v>
      </c>
      <c r="W286" s="2" t="s">
        <v>415</v>
      </c>
      <c r="X286" s="2" t="s">
        <v>183</v>
      </c>
      <c r="Y286" s="2" t="s">
        <v>1378</v>
      </c>
      <c r="Z286" s="4">
        <v>203</v>
      </c>
      <c r="AA286" s="4">
        <f>=ROUNDDOWN(50.75,0)</f>
      </c>
      <c r="AB286" s="5">
        <v>4</v>
      </c>
      <c r="AC286" s="2" t="s">
        <v>100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32</v>
      </c>
      <c r="BK286" s="8">
        <v>1482.47</v>
      </c>
      <c r="BL286" s="2" t="s">
        <v>1381</v>
      </c>
      <c r="BM286" s="7"/>
      <c r="BN286" s="7"/>
      <c r="BO286" s="4"/>
      <c r="BP286" s="8"/>
      <c r="BQ286" s="4"/>
      <c r="BR286" s="8"/>
      <c r="BS286" s="7"/>
      <c r="BT286" s="7"/>
      <c r="BU286" s="2" t="s">
        <v>207</v>
      </c>
      <c r="BV286" s="2" t="s">
        <v>97</v>
      </c>
      <c r="BW286" s="2" t="s">
        <v>100</v>
      </c>
      <c r="BX286" s="2" t="s">
        <v>100</v>
      </c>
      <c r="BY286" s="2" t="s">
        <v>113</v>
      </c>
      <c r="BZ286" s="2" t="s">
        <v>100</v>
      </c>
    </row>
    <row r="287">
      <c r="A287" s="2" t="s">
        <v>1382</v>
      </c>
      <c r="B287" s="2" t="s">
        <v>87</v>
      </c>
      <c r="C287" s="2" t="s">
        <v>88</v>
      </c>
      <c r="D287" s="2" t="s">
        <v>803</v>
      </c>
      <c r="E287" s="2" t="s">
        <v>804</v>
      </c>
      <c r="F287" s="2" t="s">
        <v>368</v>
      </c>
      <c r="G287" s="2" t="s">
        <v>369</v>
      </c>
      <c r="H287" s="2" t="s">
        <v>370</v>
      </c>
      <c r="I287" s="2" t="s">
        <v>1383</v>
      </c>
      <c r="J287" s="2" t="s">
        <v>247</v>
      </c>
      <c r="K287" s="2" t="s">
        <v>96</v>
      </c>
      <c r="L287" s="3">
        <v>63.35</v>
      </c>
      <c r="M287" s="3">
        <v>66.52</v>
      </c>
      <c r="N287" s="3">
        <v>129.99</v>
      </c>
      <c r="O287" s="2" t="s">
        <v>97</v>
      </c>
      <c r="P287" s="2" t="s">
        <v>119</v>
      </c>
      <c r="Q287" s="2" t="s">
        <v>99</v>
      </c>
      <c r="R287" s="2" t="s">
        <v>100</v>
      </c>
      <c r="S287" s="2" t="s">
        <v>1384</v>
      </c>
      <c r="T287" s="2" t="s">
        <v>218</v>
      </c>
      <c r="U287" s="2" t="s">
        <v>833</v>
      </c>
      <c r="V287" s="2" t="s">
        <v>350</v>
      </c>
      <c r="W287" s="2" t="s">
        <v>239</v>
      </c>
      <c r="X287" s="2" t="s">
        <v>378</v>
      </c>
      <c r="Y287" s="2" t="s">
        <v>1385</v>
      </c>
      <c r="Z287" s="4">
        <v>505</v>
      </c>
      <c r="AA287" s="4">
        <f>=ROUNDDOWN(38.8461538461538,0)</f>
      </c>
      <c r="AB287" s="5">
        <v>13</v>
      </c>
      <c r="AC287" s="2" t="s">
        <v>241</v>
      </c>
      <c r="AD287" s="4">
        <v>170</v>
      </c>
      <c r="AE287" s="4">
        <v>340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268</v>
      </c>
      <c r="BK287" s="8">
        <v>17983.16</v>
      </c>
      <c r="BL287" s="2" t="s">
        <v>850</v>
      </c>
      <c r="BM287" s="7"/>
      <c r="BN287" s="7"/>
      <c r="BO287" s="4"/>
      <c r="BP287" s="8"/>
      <c r="BQ287" s="4"/>
      <c r="BR287" s="8"/>
      <c r="BS287" s="7"/>
      <c r="BT287" s="7"/>
      <c r="BU287" s="2" t="s">
        <v>207</v>
      </c>
      <c r="BV287" s="2" t="s">
        <v>97</v>
      </c>
      <c r="BW287" s="2" t="s">
        <v>100</v>
      </c>
      <c r="BX287" s="2" t="s">
        <v>100</v>
      </c>
      <c r="BY287" s="2" t="s">
        <v>113</v>
      </c>
      <c r="BZ287" s="2" t="s">
        <v>100</v>
      </c>
    </row>
    <row r="288">
      <c r="A288" s="2" t="s">
        <v>1386</v>
      </c>
      <c r="B288" s="2" t="s">
        <v>87</v>
      </c>
      <c r="C288" s="2" t="s">
        <v>88</v>
      </c>
      <c r="D288" s="2" t="s">
        <v>803</v>
      </c>
      <c r="E288" s="2" t="s">
        <v>804</v>
      </c>
      <c r="F288" s="2" t="s">
        <v>368</v>
      </c>
      <c r="G288" s="2" t="s">
        <v>369</v>
      </c>
      <c r="H288" s="2" t="s">
        <v>370</v>
      </c>
      <c r="I288" s="2" t="s">
        <v>1383</v>
      </c>
      <c r="J288" s="2" t="s">
        <v>270</v>
      </c>
      <c r="K288" s="2" t="s">
        <v>96</v>
      </c>
      <c r="L288" s="3">
        <v>73.91</v>
      </c>
      <c r="M288" s="3">
        <v>77.61</v>
      </c>
      <c r="N288" s="3">
        <v>149.99</v>
      </c>
      <c r="O288" s="2" t="s">
        <v>97</v>
      </c>
      <c r="P288" s="2" t="s">
        <v>119</v>
      </c>
      <c r="Q288" s="2" t="s">
        <v>99</v>
      </c>
      <c r="R288" s="2" t="s">
        <v>100</v>
      </c>
      <c r="S288" s="2" t="s">
        <v>1384</v>
      </c>
      <c r="T288" s="2" t="s">
        <v>218</v>
      </c>
      <c r="U288" s="2" t="s">
        <v>833</v>
      </c>
      <c r="V288" s="2" t="s">
        <v>350</v>
      </c>
      <c r="W288" s="2" t="s">
        <v>239</v>
      </c>
      <c r="X288" s="2" t="s">
        <v>378</v>
      </c>
      <c r="Y288" s="2" t="s">
        <v>379</v>
      </c>
      <c r="Z288" s="4">
        <v>505</v>
      </c>
      <c r="AA288" s="4">
        <f>=ROUNDDOWN(56.1111111111111,0)</f>
      </c>
      <c r="AB288" s="5">
        <v>9</v>
      </c>
      <c r="AC288" s="2" t="s">
        <v>931</v>
      </c>
      <c r="AD288" s="4">
        <v>110</v>
      </c>
      <c r="AE288" s="4">
        <v>110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215</v>
      </c>
      <c r="BK288" s="8">
        <v>17131.18</v>
      </c>
      <c r="BL288" s="2" t="s">
        <v>1058</v>
      </c>
      <c r="BM288" s="7"/>
      <c r="BN288" s="7"/>
      <c r="BO288" s="4"/>
      <c r="BP288" s="8"/>
      <c r="BQ288" s="4"/>
      <c r="BR288" s="8"/>
      <c r="BS288" s="7"/>
      <c r="BT288" s="7"/>
      <c r="BU288" s="2" t="s">
        <v>207</v>
      </c>
      <c r="BV288" s="2" t="s">
        <v>97</v>
      </c>
      <c r="BW288" s="2" t="s">
        <v>100</v>
      </c>
      <c r="BX288" s="2" t="s">
        <v>100</v>
      </c>
      <c r="BY288" s="2" t="s">
        <v>113</v>
      </c>
      <c r="BZ288" s="2" t="s">
        <v>100</v>
      </c>
    </row>
    <row r="289">
      <c r="A289" s="2" t="s">
        <v>1387</v>
      </c>
      <c r="B289" s="2" t="s">
        <v>87</v>
      </c>
      <c r="C289" s="2" t="s">
        <v>88</v>
      </c>
      <c r="D289" s="2" t="s">
        <v>803</v>
      </c>
      <c r="E289" s="2" t="s">
        <v>804</v>
      </c>
      <c r="F289" s="2" t="s">
        <v>368</v>
      </c>
      <c r="G289" s="2" t="s">
        <v>369</v>
      </c>
      <c r="H289" s="2" t="s">
        <v>370</v>
      </c>
      <c r="I289" s="2" t="s">
        <v>1383</v>
      </c>
      <c r="J289" s="2" t="s">
        <v>247</v>
      </c>
      <c r="K289" s="2" t="s">
        <v>297</v>
      </c>
      <c r="L289" s="3">
        <v>63.35</v>
      </c>
      <c r="M289" s="3">
        <v>66.52</v>
      </c>
      <c r="N289" s="3">
        <v>129.99</v>
      </c>
      <c r="O289" s="2" t="s">
        <v>97</v>
      </c>
      <c r="P289" s="2" t="s">
        <v>119</v>
      </c>
      <c r="Q289" s="2" t="s">
        <v>99</v>
      </c>
      <c r="R289" s="2" t="s">
        <v>100</v>
      </c>
      <c r="S289" s="2" t="s">
        <v>1388</v>
      </c>
      <c r="T289" s="2" t="s">
        <v>218</v>
      </c>
      <c r="U289" s="2" t="s">
        <v>833</v>
      </c>
      <c r="V289" s="2" t="s">
        <v>350</v>
      </c>
      <c r="W289" s="2" t="s">
        <v>239</v>
      </c>
      <c r="X289" s="2" t="s">
        <v>378</v>
      </c>
      <c r="Y289" s="2" t="s">
        <v>1385</v>
      </c>
      <c r="Z289" s="4">
        <v>376</v>
      </c>
      <c r="AA289" s="4">
        <f>=ROUNDDOWN(53.7142857142857,0)</f>
      </c>
      <c r="AB289" s="5">
        <v>7</v>
      </c>
      <c r="AC289" s="2" t="s">
        <v>241</v>
      </c>
      <c r="AD289" s="4">
        <v>100</v>
      </c>
      <c r="AE289" s="4">
        <v>200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136</v>
      </c>
      <c r="BK289" s="8">
        <v>9406.6</v>
      </c>
      <c r="BL289" s="2" t="s">
        <v>1389</v>
      </c>
      <c r="BM289" s="7"/>
      <c r="BN289" s="7"/>
      <c r="BO289" s="4"/>
      <c r="BP289" s="8"/>
      <c r="BQ289" s="4"/>
      <c r="BR289" s="8"/>
      <c r="BS289" s="7"/>
      <c r="BT289" s="7"/>
      <c r="BU289" s="2" t="s">
        <v>207</v>
      </c>
      <c r="BV289" s="2" t="s">
        <v>97</v>
      </c>
      <c r="BW289" s="2" t="s">
        <v>100</v>
      </c>
      <c r="BX289" s="2" t="s">
        <v>100</v>
      </c>
      <c r="BY289" s="2" t="s">
        <v>113</v>
      </c>
      <c r="BZ289" s="2" t="s">
        <v>100</v>
      </c>
    </row>
    <row r="290">
      <c r="A290" s="2" t="s">
        <v>1390</v>
      </c>
      <c r="B290" s="2" t="s">
        <v>87</v>
      </c>
      <c r="C290" s="2" t="s">
        <v>88</v>
      </c>
      <c r="D290" s="2" t="s">
        <v>803</v>
      </c>
      <c r="E290" s="2" t="s">
        <v>804</v>
      </c>
      <c r="F290" s="2" t="s">
        <v>368</v>
      </c>
      <c r="G290" s="2" t="s">
        <v>369</v>
      </c>
      <c r="H290" s="2" t="s">
        <v>370</v>
      </c>
      <c r="I290" s="2" t="s">
        <v>1383</v>
      </c>
      <c r="J290" s="2" t="s">
        <v>270</v>
      </c>
      <c r="K290" s="2" t="s">
        <v>297</v>
      </c>
      <c r="L290" s="3">
        <v>73.91</v>
      </c>
      <c r="M290" s="3">
        <v>77.61</v>
      </c>
      <c r="N290" s="3">
        <v>149.99</v>
      </c>
      <c r="O290" s="2" t="s">
        <v>97</v>
      </c>
      <c r="P290" s="2" t="s">
        <v>119</v>
      </c>
      <c r="Q290" s="2" t="s">
        <v>99</v>
      </c>
      <c r="R290" s="2" t="s">
        <v>100</v>
      </c>
      <c r="S290" s="2" t="s">
        <v>1388</v>
      </c>
      <c r="T290" s="2" t="s">
        <v>218</v>
      </c>
      <c r="U290" s="2" t="s">
        <v>833</v>
      </c>
      <c r="V290" s="2" t="s">
        <v>350</v>
      </c>
      <c r="W290" s="2" t="s">
        <v>239</v>
      </c>
      <c r="X290" s="2" t="s">
        <v>378</v>
      </c>
      <c r="Y290" s="2" t="s">
        <v>1385</v>
      </c>
      <c r="Z290" s="4">
        <v>376</v>
      </c>
      <c r="AA290" s="4">
        <f>=ROUNDDOWN(62.6666666666667,0)</f>
      </c>
      <c r="AB290" s="5">
        <v>6</v>
      </c>
      <c r="AC290" s="2" t="s">
        <v>931</v>
      </c>
      <c r="AD290" s="4">
        <v>180</v>
      </c>
      <c r="AE290" s="4">
        <v>180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85</v>
      </c>
      <c r="BK290" s="8">
        <v>6925.4</v>
      </c>
      <c r="BL290" s="2" t="s">
        <v>1391</v>
      </c>
      <c r="BM290" s="7"/>
      <c r="BN290" s="7"/>
      <c r="BO290" s="4"/>
      <c r="BP290" s="8"/>
      <c r="BQ290" s="4"/>
      <c r="BR290" s="8"/>
      <c r="BS290" s="7"/>
      <c r="BT290" s="7"/>
      <c r="BU290" s="2" t="s">
        <v>207</v>
      </c>
      <c r="BV290" s="2" t="s">
        <v>97</v>
      </c>
      <c r="BW290" s="2" t="s">
        <v>100</v>
      </c>
      <c r="BX290" s="2" t="s">
        <v>100</v>
      </c>
      <c r="BY290" s="2" t="s">
        <v>113</v>
      </c>
      <c r="BZ290" s="2" t="s">
        <v>100</v>
      </c>
    </row>
    <row r="291">
      <c r="A291" s="2" t="s">
        <v>1392</v>
      </c>
      <c r="B291" s="2" t="s">
        <v>87</v>
      </c>
      <c r="C291" s="2" t="s">
        <v>88</v>
      </c>
      <c r="D291" s="2" t="s">
        <v>803</v>
      </c>
      <c r="E291" s="2" t="s">
        <v>804</v>
      </c>
      <c r="F291" s="2" t="s">
        <v>1393</v>
      </c>
      <c r="G291" s="2" t="s">
        <v>1394</v>
      </c>
      <c r="H291" s="2" t="s">
        <v>1395</v>
      </c>
      <c r="I291" s="2" t="s">
        <v>1396</v>
      </c>
      <c r="J291" s="2" t="s">
        <v>247</v>
      </c>
      <c r="K291" s="2" t="s">
        <v>913</v>
      </c>
      <c r="L291" s="3">
        <v>36.57</v>
      </c>
      <c r="M291" s="3">
        <v>38.4</v>
      </c>
      <c r="N291" s="3">
        <v>79.99</v>
      </c>
      <c r="O291" s="2" t="s">
        <v>97</v>
      </c>
      <c r="P291" s="2" t="s">
        <v>225</v>
      </c>
      <c r="Q291" s="2" t="s">
        <v>99</v>
      </c>
      <c r="R291" s="2" t="s">
        <v>100</v>
      </c>
      <c r="S291" s="2" t="s">
        <v>1397</v>
      </c>
      <c r="T291" s="2" t="s">
        <v>200</v>
      </c>
      <c r="U291" s="2" t="s">
        <v>171</v>
      </c>
      <c r="V291" s="2" t="s">
        <v>132</v>
      </c>
      <c r="W291" s="2" t="s">
        <v>133</v>
      </c>
      <c r="X291" s="2" t="s">
        <v>100</v>
      </c>
      <c r="Y291" s="2" t="s">
        <v>1398</v>
      </c>
      <c r="Z291" s="4">
        <v>441</v>
      </c>
      <c r="AA291" s="4">
        <f>=ROUNDDOWN(40.0909090909091,0)</f>
      </c>
      <c r="AB291" s="5">
        <v>11</v>
      </c>
      <c r="AC291" s="2" t="s">
        <v>100</v>
      </c>
      <c r="AD291" s="4"/>
      <c r="AE291" s="4"/>
      <c r="AF291" s="6">
        <v>64</v>
      </c>
      <c r="AG291" s="6"/>
      <c r="AH291" s="7">
        <v>0.6313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39</v>
      </c>
      <c r="BK291" s="8">
        <v>1625.03</v>
      </c>
      <c r="BL291" s="2" t="s">
        <v>1210</v>
      </c>
      <c r="BM291" s="7"/>
      <c r="BN291" s="7"/>
      <c r="BO291" s="4"/>
      <c r="BP291" s="8"/>
      <c r="BQ291" s="4"/>
      <c r="BR291" s="8"/>
      <c r="BS291" s="7"/>
      <c r="BT291" s="7"/>
      <c r="BU291" s="2" t="s">
        <v>207</v>
      </c>
      <c r="BV291" s="2" t="s">
        <v>97</v>
      </c>
      <c r="BW291" s="2" t="s">
        <v>100</v>
      </c>
      <c r="BX291" s="2" t="s">
        <v>100</v>
      </c>
      <c r="BY291" s="2" t="s">
        <v>113</v>
      </c>
      <c r="BZ291" s="2" t="s">
        <v>100</v>
      </c>
    </row>
    <row r="292">
      <c r="A292" s="2" t="s">
        <v>1399</v>
      </c>
      <c r="B292" s="2" t="s">
        <v>87</v>
      </c>
      <c r="C292" s="2" t="s">
        <v>88</v>
      </c>
      <c r="D292" s="2" t="s">
        <v>803</v>
      </c>
      <c r="E292" s="2" t="s">
        <v>804</v>
      </c>
      <c r="F292" s="2" t="s">
        <v>1393</v>
      </c>
      <c r="G292" s="2" t="s">
        <v>1394</v>
      </c>
      <c r="H292" s="2" t="s">
        <v>1395</v>
      </c>
      <c r="I292" s="2" t="s">
        <v>1396</v>
      </c>
      <c r="J292" s="2" t="s">
        <v>270</v>
      </c>
      <c r="K292" s="2" t="s">
        <v>913</v>
      </c>
      <c r="L292" s="3">
        <v>41.14</v>
      </c>
      <c r="M292" s="3">
        <v>43.2</v>
      </c>
      <c r="N292" s="3">
        <v>89.99</v>
      </c>
      <c r="O292" s="2" t="s">
        <v>97</v>
      </c>
      <c r="P292" s="2" t="s">
        <v>225</v>
      </c>
      <c r="Q292" s="2" t="s">
        <v>99</v>
      </c>
      <c r="R292" s="2" t="s">
        <v>100</v>
      </c>
      <c r="S292" s="2" t="s">
        <v>1397</v>
      </c>
      <c r="T292" s="2" t="s">
        <v>200</v>
      </c>
      <c r="U292" s="2" t="s">
        <v>171</v>
      </c>
      <c r="V292" s="2" t="s">
        <v>132</v>
      </c>
      <c r="W292" s="2" t="s">
        <v>133</v>
      </c>
      <c r="X292" s="2" t="s">
        <v>100</v>
      </c>
      <c r="Y292" s="2" t="s">
        <v>1398</v>
      </c>
      <c r="Z292" s="4">
        <v>286</v>
      </c>
      <c r="AA292" s="4">
        <f>=ROUNDDOWN(35.75,0)</f>
      </c>
      <c r="AB292" s="5">
        <v>8</v>
      </c>
      <c r="AC292" s="2" t="s">
        <v>100</v>
      </c>
      <c r="AD292" s="4"/>
      <c r="AE292" s="4"/>
      <c r="AF292" s="6">
        <v>64</v>
      </c>
      <c r="AG292" s="6"/>
      <c r="AH292" s="7">
        <v>0.6375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36</v>
      </c>
      <c r="BK292" s="8">
        <v>1682.86</v>
      </c>
      <c r="BL292" s="2" t="s">
        <v>1210</v>
      </c>
      <c r="BM292" s="7"/>
      <c r="BN292" s="7"/>
      <c r="BO292" s="4"/>
      <c r="BP292" s="8"/>
      <c r="BQ292" s="4"/>
      <c r="BR292" s="8"/>
      <c r="BS292" s="7"/>
      <c r="BT292" s="7"/>
      <c r="BU292" s="2" t="s">
        <v>207</v>
      </c>
      <c r="BV292" s="2" t="s">
        <v>97</v>
      </c>
      <c r="BW292" s="2" t="s">
        <v>100</v>
      </c>
      <c r="BX292" s="2" t="s">
        <v>100</v>
      </c>
      <c r="BY292" s="2" t="s">
        <v>113</v>
      </c>
      <c r="BZ292" s="2" t="s">
        <v>100</v>
      </c>
    </row>
    <row r="293">
      <c r="A293" s="2" t="s">
        <v>1400</v>
      </c>
      <c r="B293" s="2" t="s">
        <v>87</v>
      </c>
      <c r="C293" s="2" t="s">
        <v>88</v>
      </c>
      <c r="D293" s="2" t="s">
        <v>803</v>
      </c>
      <c r="E293" s="2" t="s">
        <v>804</v>
      </c>
      <c r="F293" s="2" t="s">
        <v>450</v>
      </c>
      <c r="G293" s="2" t="s">
        <v>451</v>
      </c>
      <c r="H293" s="2" t="s">
        <v>452</v>
      </c>
      <c r="I293" s="2" t="s">
        <v>1401</v>
      </c>
      <c r="J293" s="2" t="s">
        <v>706</v>
      </c>
      <c r="K293" s="2" t="s">
        <v>96</v>
      </c>
      <c r="L293" s="3">
        <v>75</v>
      </c>
      <c r="M293" s="3">
        <v>78.75</v>
      </c>
      <c r="N293" s="3">
        <v>149.99</v>
      </c>
      <c r="O293" s="2" t="s">
        <v>97</v>
      </c>
      <c r="P293" s="2" t="s">
        <v>119</v>
      </c>
      <c r="Q293" s="2" t="s">
        <v>99</v>
      </c>
      <c r="R293" s="2" t="s">
        <v>100</v>
      </c>
      <c r="S293" s="2" t="s">
        <v>1402</v>
      </c>
      <c r="T293" s="2" t="s">
        <v>280</v>
      </c>
      <c r="U293" s="2" t="s">
        <v>337</v>
      </c>
      <c r="V293" s="2" t="s">
        <v>239</v>
      </c>
      <c r="W293" s="2" t="s">
        <v>239</v>
      </c>
      <c r="X293" s="2" t="s">
        <v>203</v>
      </c>
      <c r="Y293" s="2" t="s">
        <v>455</v>
      </c>
      <c r="Z293" s="4">
        <v>692</v>
      </c>
      <c r="AA293" s="4">
        <f>=ROUNDDOWN(46.1333333333333,0)</f>
      </c>
      <c r="AB293" s="5">
        <v>15</v>
      </c>
      <c r="AC293" s="2" t="s">
        <v>356</v>
      </c>
      <c r="AD293" s="4">
        <v>4800</v>
      </c>
      <c r="AE293" s="4">
        <v>5060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489</v>
      </c>
      <c r="BK293" s="8">
        <v>35486.36</v>
      </c>
      <c r="BL293" s="2" t="s">
        <v>1403</v>
      </c>
      <c r="BM293" s="7"/>
      <c r="BN293" s="7"/>
      <c r="BO293" s="4"/>
      <c r="BP293" s="8"/>
      <c r="BQ293" s="4"/>
      <c r="BR293" s="8"/>
      <c r="BS293" s="7"/>
      <c r="BT293" s="7"/>
      <c r="BU293" s="2" t="s">
        <v>207</v>
      </c>
      <c r="BV293" s="2" t="s">
        <v>97</v>
      </c>
      <c r="BW293" s="2" t="s">
        <v>100</v>
      </c>
      <c r="BX293" s="2" t="s">
        <v>100</v>
      </c>
      <c r="BY293" s="2" t="s">
        <v>113</v>
      </c>
      <c r="BZ293" s="2" t="s">
        <v>245</v>
      </c>
    </row>
    <row r="294">
      <c r="A294" s="2" t="s">
        <v>1404</v>
      </c>
      <c r="B294" s="2" t="s">
        <v>87</v>
      </c>
      <c r="C294" s="2" t="s">
        <v>88</v>
      </c>
      <c r="D294" s="2" t="s">
        <v>803</v>
      </c>
      <c r="E294" s="2" t="s">
        <v>804</v>
      </c>
      <c r="F294" s="2" t="s">
        <v>450</v>
      </c>
      <c r="G294" s="2" t="s">
        <v>451</v>
      </c>
      <c r="H294" s="2" t="s">
        <v>452</v>
      </c>
      <c r="I294" s="2" t="s">
        <v>1401</v>
      </c>
      <c r="J294" s="2" t="s">
        <v>714</v>
      </c>
      <c r="K294" s="2" t="s">
        <v>96</v>
      </c>
      <c r="L294" s="3">
        <v>85</v>
      </c>
      <c r="M294" s="3">
        <v>89.25</v>
      </c>
      <c r="N294" s="3">
        <v>169.99</v>
      </c>
      <c r="O294" s="2" t="s">
        <v>97</v>
      </c>
      <c r="P294" s="2" t="s">
        <v>119</v>
      </c>
      <c r="Q294" s="2" t="s">
        <v>99</v>
      </c>
      <c r="R294" s="2" t="s">
        <v>100</v>
      </c>
      <c r="S294" s="2" t="s">
        <v>1402</v>
      </c>
      <c r="T294" s="2" t="s">
        <v>280</v>
      </c>
      <c r="U294" s="2" t="s">
        <v>337</v>
      </c>
      <c r="V294" s="2" t="s">
        <v>239</v>
      </c>
      <c r="W294" s="2" t="s">
        <v>239</v>
      </c>
      <c r="X294" s="2" t="s">
        <v>203</v>
      </c>
      <c r="Y294" s="2" t="s">
        <v>455</v>
      </c>
      <c r="Z294" s="4">
        <v>398</v>
      </c>
      <c r="AA294" s="4">
        <f>=ROUNDDOWN(39.8,0)</f>
      </c>
      <c r="AB294" s="5">
        <v>10</v>
      </c>
      <c r="AC294" s="2" t="s">
        <v>241</v>
      </c>
      <c r="AD294" s="4">
        <v>1700</v>
      </c>
      <c r="AE294" s="4">
        <v>1860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346</v>
      </c>
      <c r="BK294" s="8">
        <v>28971.6</v>
      </c>
      <c r="BL294" s="2" t="s">
        <v>1405</v>
      </c>
      <c r="BM294" s="7"/>
      <c r="BN294" s="7"/>
      <c r="BO294" s="4"/>
      <c r="BP294" s="8"/>
      <c r="BQ294" s="4"/>
      <c r="BR294" s="8"/>
      <c r="BS294" s="7"/>
      <c r="BT294" s="7"/>
      <c r="BU294" s="2" t="s">
        <v>207</v>
      </c>
      <c r="BV294" s="2" t="s">
        <v>97</v>
      </c>
      <c r="BW294" s="2" t="s">
        <v>100</v>
      </c>
      <c r="BX294" s="2" t="s">
        <v>100</v>
      </c>
      <c r="BY294" s="2" t="s">
        <v>113</v>
      </c>
      <c r="BZ294" s="2" t="s">
        <v>245</v>
      </c>
    </row>
    <row r="295">
      <c r="A295" s="2" t="s">
        <v>1406</v>
      </c>
      <c r="B295" s="2" t="s">
        <v>87</v>
      </c>
      <c r="C295" s="2" t="s">
        <v>88</v>
      </c>
      <c r="D295" s="2" t="s">
        <v>803</v>
      </c>
      <c r="E295" s="2" t="s">
        <v>804</v>
      </c>
      <c r="F295" s="2" t="s">
        <v>450</v>
      </c>
      <c r="G295" s="2" t="s">
        <v>451</v>
      </c>
      <c r="H295" s="2" t="s">
        <v>452</v>
      </c>
      <c r="I295" s="2" t="s">
        <v>1401</v>
      </c>
      <c r="J295" s="2" t="s">
        <v>817</v>
      </c>
      <c r="K295" s="2" t="s">
        <v>96</v>
      </c>
      <c r="L295" s="3">
        <v>85</v>
      </c>
      <c r="M295" s="3">
        <v>89.25</v>
      </c>
      <c r="N295" s="3">
        <v>169.99</v>
      </c>
      <c r="O295" s="2" t="s">
        <v>97</v>
      </c>
      <c r="P295" s="2" t="s">
        <v>119</v>
      </c>
      <c r="Q295" s="2" t="s">
        <v>99</v>
      </c>
      <c r="R295" s="2" t="s">
        <v>100</v>
      </c>
      <c r="S295" s="2" t="s">
        <v>1402</v>
      </c>
      <c r="T295" s="2" t="s">
        <v>280</v>
      </c>
      <c r="U295" s="2" t="s">
        <v>337</v>
      </c>
      <c r="V295" s="2" t="s">
        <v>239</v>
      </c>
      <c r="W295" s="2" t="s">
        <v>239</v>
      </c>
      <c r="X295" s="2" t="s">
        <v>203</v>
      </c>
      <c r="Y295" s="2" t="s">
        <v>455</v>
      </c>
      <c r="Z295" s="4">
        <v>173</v>
      </c>
      <c r="AA295" s="4">
        <f>=ROUNDDOWN(28.8333333333333,0)</f>
      </c>
      <c r="AB295" s="5">
        <v>6</v>
      </c>
      <c r="AC295" s="2" t="s">
        <v>997</v>
      </c>
      <c r="AD295" s="4">
        <v>140</v>
      </c>
      <c r="AE295" s="4">
        <v>140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130</v>
      </c>
      <c r="BK295" s="8">
        <v>10866.89</v>
      </c>
      <c r="BL295" s="2" t="s">
        <v>1407</v>
      </c>
      <c r="BM295" s="7"/>
      <c r="BN295" s="7"/>
      <c r="BO295" s="4"/>
      <c r="BP295" s="8"/>
      <c r="BQ295" s="4"/>
      <c r="BR295" s="8"/>
      <c r="BS295" s="7"/>
      <c r="BT295" s="7"/>
      <c r="BU295" s="2" t="s">
        <v>207</v>
      </c>
      <c r="BV295" s="2" t="s">
        <v>97</v>
      </c>
      <c r="BW295" s="2" t="s">
        <v>100</v>
      </c>
      <c r="BX295" s="2" t="s">
        <v>100</v>
      </c>
      <c r="BY295" s="2" t="s">
        <v>113</v>
      </c>
      <c r="BZ295" s="2" t="s">
        <v>245</v>
      </c>
    </row>
    <row r="296">
      <c r="A296" s="2" t="s">
        <v>1408</v>
      </c>
      <c r="B296" s="2" t="s">
        <v>87</v>
      </c>
      <c r="C296" s="2" t="s">
        <v>88</v>
      </c>
      <c r="D296" s="2" t="s">
        <v>803</v>
      </c>
      <c r="E296" s="2" t="s">
        <v>804</v>
      </c>
      <c r="F296" s="2" t="s">
        <v>1409</v>
      </c>
      <c r="G296" s="2" t="s">
        <v>1410</v>
      </c>
      <c r="H296" s="2" t="s">
        <v>1411</v>
      </c>
      <c r="I296" s="2" t="s">
        <v>1194</v>
      </c>
      <c r="J296" s="2" t="s">
        <v>247</v>
      </c>
      <c r="K296" s="2" t="s">
        <v>297</v>
      </c>
      <c r="L296" s="3">
        <v>36.57</v>
      </c>
      <c r="M296" s="3">
        <v>38.4</v>
      </c>
      <c r="N296" s="3">
        <v>79.99</v>
      </c>
      <c r="O296" s="2" t="s">
        <v>97</v>
      </c>
      <c r="P296" s="2" t="s">
        <v>119</v>
      </c>
      <c r="Q296" s="2" t="s">
        <v>99</v>
      </c>
      <c r="R296" s="2" t="s">
        <v>100</v>
      </c>
      <c r="S296" s="2" t="s">
        <v>1412</v>
      </c>
      <c r="T296" s="2" t="s">
        <v>218</v>
      </c>
      <c r="U296" s="2" t="s">
        <v>171</v>
      </c>
      <c r="V296" s="2" t="s">
        <v>256</v>
      </c>
      <c r="W296" s="2" t="s">
        <v>219</v>
      </c>
      <c r="X296" s="2" t="s">
        <v>415</v>
      </c>
      <c r="Y296" s="2" t="s">
        <v>1296</v>
      </c>
      <c r="Z296" s="4">
        <v>944</v>
      </c>
      <c r="AA296" s="4">
        <f>=ROUNDDOWN(49.6842105263158,0)</f>
      </c>
      <c r="AB296" s="5">
        <v>19</v>
      </c>
      <c r="AC296" s="2" t="s">
        <v>768</v>
      </c>
      <c r="AD296" s="4">
        <v>540</v>
      </c>
      <c r="AE296" s="4">
        <v>870</v>
      </c>
      <c r="AF296" s="6">
        <v>64</v>
      </c>
      <c r="AG296" s="6"/>
      <c r="AH296" s="7">
        <v>0.8075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420</v>
      </c>
      <c r="BK296" s="8">
        <v>17798.61</v>
      </c>
      <c r="BL296" s="2" t="s">
        <v>1413</v>
      </c>
      <c r="BM296" s="7"/>
      <c r="BN296" s="7"/>
      <c r="BO296" s="4"/>
      <c r="BP296" s="8"/>
      <c r="BQ296" s="4"/>
      <c r="BR296" s="8"/>
      <c r="BS296" s="7"/>
      <c r="BT296" s="7"/>
      <c r="BU296" s="2" t="s">
        <v>207</v>
      </c>
      <c r="BV296" s="2" t="s">
        <v>97</v>
      </c>
      <c r="BW296" s="2" t="s">
        <v>100</v>
      </c>
      <c r="BX296" s="2" t="s">
        <v>100</v>
      </c>
      <c r="BY296" s="2" t="s">
        <v>113</v>
      </c>
      <c r="BZ296" s="2" t="s">
        <v>245</v>
      </c>
    </row>
    <row r="297">
      <c r="A297" s="2" t="s">
        <v>1414</v>
      </c>
      <c r="B297" s="2" t="s">
        <v>87</v>
      </c>
      <c r="C297" s="2" t="s">
        <v>88</v>
      </c>
      <c r="D297" s="2" t="s">
        <v>803</v>
      </c>
      <c r="E297" s="2" t="s">
        <v>804</v>
      </c>
      <c r="F297" s="2" t="s">
        <v>1409</v>
      </c>
      <c r="G297" s="2" t="s">
        <v>1410</v>
      </c>
      <c r="H297" s="2" t="s">
        <v>1411</v>
      </c>
      <c r="I297" s="2" t="s">
        <v>1194</v>
      </c>
      <c r="J297" s="2" t="s">
        <v>270</v>
      </c>
      <c r="K297" s="2" t="s">
        <v>297</v>
      </c>
      <c r="L297" s="3">
        <v>41.14</v>
      </c>
      <c r="M297" s="3">
        <v>43.2</v>
      </c>
      <c r="N297" s="3">
        <v>89.99</v>
      </c>
      <c r="O297" s="2" t="s">
        <v>97</v>
      </c>
      <c r="P297" s="2" t="s">
        <v>119</v>
      </c>
      <c r="Q297" s="2" t="s">
        <v>99</v>
      </c>
      <c r="R297" s="2" t="s">
        <v>100</v>
      </c>
      <c r="S297" s="2" t="s">
        <v>1412</v>
      </c>
      <c r="T297" s="2" t="s">
        <v>218</v>
      </c>
      <c r="U297" s="2" t="s">
        <v>171</v>
      </c>
      <c r="V297" s="2" t="s">
        <v>256</v>
      </c>
      <c r="W297" s="2" t="s">
        <v>219</v>
      </c>
      <c r="X297" s="2" t="s">
        <v>415</v>
      </c>
      <c r="Y297" s="2" t="s">
        <v>1296</v>
      </c>
      <c r="Z297" s="4">
        <v>799</v>
      </c>
      <c r="AA297" s="4">
        <f>=ROUNDDOWN(49.9375,0)</f>
      </c>
      <c r="AB297" s="5">
        <v>16</v>
      </c>
      <c r="AC297" s="2" t="s">
        <v>768</v>
      </c>
      <c r="AD297" s="4">
        <v>330</v>
      </c>
      <c r="AE297" s="4">
        <v>330</v>
      </c>
      <c r="AF297" s="6">
        <v>64</v>
      </c>
      <c r="AG297" s="6"/>
      <c r="AH297" s="7">
        <v>0.738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270</v>
      </c>
      <c r="BK297" s="8">
        <v>13052.57</v>
      </c>
      <c r="BL297" s="2" t="s">
        <v>1413</v>
      </c>
      <c r="BM297" s="7"/>
      <c r="BN297" s="7"/>
      <c r="BO297" s="4"/>
      <c r="BP297" s="8"/>
      <c r="BQ297" s="4"/>
      <c r="BR297" s="8"/>
      <c r="BS297" s="7"/>
      <c r="BT297" s="7"/>
      <c r="BU297" s="2" t="s">
        <v>207</v>
      </c>
      <c r="BV297" s="2" t="s">
        <v>97</v>
      </c>
      <c r="BW297" s="2" t="s">
        <v>100</v>
      </c>
      <c r="BX297" s="2" t="s">
        <v>100</v>
      </c>
      <c r="BY297" s="2" t="s">
        <v>113</v>
      </c>
      <c r="BZ297" s="2" t="s">
        <v>245</v>
      </c>
    </row>
    <row r="298">
      <c r="A298" s="2" t="s">
        <v>1415</v>
      </c>
      <c r="B298" s="2" t="s">
        <v>87</v>
      </c>
      <c r="C298" s="2" t="s">
        <v>88</v>
      </c>
      <c r="D298" s="2" t="s">
        <v>803</v>
      </c>
      <c r="E298" s="2" t="s">
        <v>804</v>
      </c>
      <c r="F298" s="2" t="s">
        <v>1416</v>
      </c>
      <c r="G298" s="2" t="s">
        <v>1417</v>
      </c>
      <c r="H298" s="2" t="s">
        <v>1418</v>
      </c>
      <c r="I298" s="2" t="s">
        <v>1419</v>
      </c>
      <c r="J298" s="2" t="s">
        <v>247</v>
      </c>
      <c r="K298" s="2" t="s">
        <v>1420</v>
      </c>
      <c r="L298" s="3">
        <v>36.57</v>
      </c>
      <c r="M298" s="3">
        <v>38.4</v>
      </c>
      <c r="N298" s="3">
        <v>79.99</v>
      </c>
      <c r="O298" s="2" t="s">
        <v>97</v>
      </c>
      <c r="P298" s="2" t="s">
        <v>119</v>
      </c>
      <c r="Q298" s="2" t="s">
        <v>99</v>
      </c>
      <c r="R298" s="2" t="s">
        <v>100</v>
      </c>
      <c r="S298" s="2" t="s">
        <v>1421</v>
      </c>
      <c r="T298" s="2" t="s">
        <v>280</v>
      </c>
      <c r="U298" s="2" t="s">
        <v>402</v>
      </c>
      <c r="V298" s="2" t="s">
        <v>350</v>
      </c>
      <c r="W298" s="2" t="s">
        <v>415</v>
      </c>
      <c r="X298" s="2" t="s">
        <v>561</v>
      </c>
      <c r="Y298" s="2" t="s">
        <v>1422</v>
      </c>
      <c r="Z298" s="4">
        <v>123</v>
      </c>
      <c r="AA298" s="4">
        <f>=ROUNDDOWN(8.78571428571429,0)</f>
      </c>
      <c r="AB298" s="5">
        <v>14</v>
      </c>
      <c r="AC298" s="2" t="s">
        <v>326</v>
      </c>
      <c r="AD298" s="4">
        <v>440</v>
      </c>
      <c r="AE298" s="4">
        <v>440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228</v>
      </c>
      <c r="BK298" s="8">
        <v>9192.03</v>
      </c>
      <c r="BL298" s="2" t="s">
        <v>780</v>
      </c>
      <c r="BM298" s="7"/>
      <c r="BN298" s="7"/>
      <c r="BO298" s="4"/>
      <c r="BP298" s="8"/>
      <c r="BQ298" s="4"/>
      <c r="BR298" s="8"/>
      <c r="BS298" s="7"/>
      <c r="BT298" s="7"/>
      <c r="BU298" s="2" t="s">
        <v>207</v>
      </c>
      <c r="BV298" s="2" t="s">
        <v>97</v>
      </c>
      <c r="BW298" s="2" t="s">
        <v>100</v>
      </c>
      <c r="BX298" s="2" t="s">
        <v>100</v>
      </c>
      <c r="BY298" s="2" t="s">
        <v>113</v>
      </c>
      <c r="BZ298" s="2" t="s">
        <v>100</v>
      </c>
    </row>
    <row r="299">
      <c r="A299" s="2" t="s">
        <v>1423</v>
      </c>
      <c r="B299" s="2" t="s">
        <v>87</v>
      </c>
      <c r="C299" s="2" t="s">
        <v>88</v>
      </c>
      <c r="D299" s="2" t="s">
        <v>803</v>
      </c>
      <c r="E299" s="2" t="s">
        <v>804</v>
      </c>
      <c r="F299" s="2" t="s">
        <v>1416</v>
      </c>
      <c r="G299" s="2" t="s">
        <v>1417</v>
      </c>
      <c r="H299" s="2" t="s">
        <v>1418</v>
      </c>
      <c r="I299" s="2" t="s">
        <v>1419</v>
      </c>
      <c r="J299" s="2" t="s">
        <v>270</v>
      </c>
      <c r="K299" s="2" t="s">
        <v>1420</v>
      </c>
      <c r="L299" s="3">
        <v>41.14</v>
      </c>
      <c r="M299" s="3">
        <v>43.2</v>
      </c>
      <c r="N299" s="3">
        <v>89.99</v>
      </c>
      <c r="O299" s="2" t="s">
        <v>97</v>
      </c>
      <c r="P299" s="2" t="s">
        <v>119</v>
      </c>
      <c r="Q299" s="2" t="s">
        <v>99</v>
      </c>
      <c r="R299" s="2" t="s">
        <v>100</v>
      </c>
      <c r="S299" s="2" t="s">
        <v>1421</v>
      </c>
      <c r="T299" s="2" t="s">
        <v>280</v>
      </c>
      <c r="U299" s="2" t="s">
        <v>402</v>
      </c>
      <c r="V299" s="2" t="s">
        <v>350</v>
      </c>
      <c r="W299" s="2" t="s">
        <v>415</v>
      </c>
      <c r="X299" s="2" t="s">
        <v>561</v>
      </c>
      <c r="Y299" s="2" t="s">
        <v>1424</v>
      </c>
      <c r="Z299" s="4">
        <v>103</v>
      </c>
      <c r="AA299" s="4">
        <f>=ROUNDDOWN(10.3,0)</f>
      </c>
      <c r="AB299" s="5">
        <v>10</v>
      </c>
      <c r="AC299" s="2" t="s">
        <v>326</v>
      </c>
      <c r="AD299" s="4">
        <v>320</v>
      </c>
      <c r="AE299" s="4">
        <v>320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149</v>
      </c>
      <c r="BK299" s="8">
        <v>6786.63</v>
      </c>
      <c r="BL299" s="2" t="s">
        <v>1056</v>
      </c>
      <c r="BM299" s="7"/>
      <c r="BN299" s="7"/>
      <c r="BO299" s="4"/>
      <c r="BP299" s="8"/>
      <c r="BQ299" s="4"/>
      <c r="BR299" s="8"/>
      <c r="BS299" s="7"/>
      <c r="BT299" s="7"/>
      <c r="BU299" s="2" t="s">
        <v>207</v>
      </c>
      <c r="BV299" s="2" t="s">
        <v>97</v>
      </c>
      <c r="BW299" s="2" t="s">
        <v>100</v>
      </c>
      <c r="BX299" s="2" t="s">
        <v>100</v>
      </c>
      <c r="BY299" s="2" t="s">
        <v>113</v>
      </c>
      <c r="BZ299" s="2" t="s">
        <v>100</v>
      </c>
    </row>
    <row r="300">
      <c r="A300" s="2" t="s">
        <v>1425</v>
      </c>
      <c r="B300" s="2" t="s">
        <v>87</v>
      </c>
      <c r="C300" s="2" t="s">
        <v>88</v>
      </c>
      <c r="D300" s="2" t="s">
        <v>803</v>
      </c>
      <c r="E300" s="2" t="s">
        <v>804</v>
      </c>
      <c r="F300" s="2" t="s">
        <v>1426</v>
      </c>
      <c r="G300" s="2" t="s">
        <v>1427</v>
      </c>
      <c r="H300" s="2" t="s">
        <v>1428</v>
      </c>
      <c r="I300" s="2" t="s">
        <v>1429</v>
      </c>
      <c r="J300" s="2" t="s">
        <v>247</v>
      </c>
      <c r="K300" s="2" t="s">
        <v>335</v>
      </c>
      <c r="L300" s="3">
        <v>52.38</v>
      </c>
      <c r="M300" s="3">
        <v>55</v>
      </c>
      <c r="N300" s="3">
        <v>109.99</v>
      </c>
      <c r="O300" s="2" t="s">
        <v>97</v>
      </c>
      <c r="P300" s="2" t="s">
        <v>119</v>
      </c>
      <c r="Q300" s="2" t="s">
        <v>99</v>
      </c>
      <c r="R300" s="2" t="s">
        <v>100</v>
      </c>
      <c r="S300" s="2" t="s">
        <v>1430</v>
      </c>
      <c r="T300" s="2" t="s">
        <v>1431</v>
      </c>
      <c r="U300" s="2" t="s">
        <v>171</v>
      </c>
      <c r="V300" s="2" t="s">
        <v>292</v>
      </c>
      <c r="W300" s="2" t="s">
        <v>415</v>
      </c>
      <c r="X300" s="2" t="s">
        <v>1432</v>
      </c>
      <c r="Y300" s="2" t="s">
        <v>1433</v>
      </c>
      <c r="Z300" s="4">
        <v>653</v>
      </c>
      <c r="AA300" s="4">
        <f>=ROUNDDOWN(31.0952380952381,0)</f>
      </c>
      <c r="AB300" s="5">
        <v>21</v>
      </c>
      <c r="AC300" s="2" t="s">
        <v>931</v>
      </c>
      <c r="AD300" s="4">
        <v>200</v>
      </c>
      <c r="AE300" s="4">
        <v>350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489</v>
      </c>
      <c r="BK300" s="8">
        <v>26930.92</v>
      </c>
      <c r="BL300" s="2" t="s">
        <v>937</v>
      </c>
      <c r="BM300" s="7"/>
      <c r="BN300" s="7"/>
      <c r="BO300" s="4"/>
      <c r="BP300" s="8"/>
      <c r="BQ300" s="4"/>
      <c r="BR300" s="8"/>
      <c r="BS300" s="7"/>
      <c r="BT300" s="7"/>
      <c r="BU300" s="2" t="s">
        <v>207</v>
      </c>
      <c r="BV300" s="2" t="s">
        <v>97</v>
      </c>
      <c r="BW300" s="2" t="s">
        <v>100</v>
      </c>
      <c r="BX300" s="2" t="s">
        <v>100</v>
      </c>
      <c r="BY300" s="2" t="s">
        <v>113</v>
      </c>
      <c r="BZ300" s="2" t="s">
        <v>245</v>
      </c>
    </row>
    <row r="301">
      <c r="A301" s="2" t="s">
        <v>1434</v>
      </c>
      <c r="B301" s="2" t="s">
        <v>87</v>
      </c>
      <c r="C301" s="2" t="s">
        <v>88</v>
      </c>
      <c r="D301" s="2" t="s">
        <v>803</v>
      </c>
      <c r="E301" s="2" t="s">
        <v>804</v>
      </c>
      <c r="F301" s="2" t="s">
        <v>1426</v>
      </c>
      <c r="G301" s="2" t="s">
        <v>1427</v>
      </c>
      <c r="H301" s="2" t="s">
        <v>1428</v>
      </c>
      <c r="I301" s="2" t="s">
        <v>1429</v>
      </c>
      <c r="J301" s="2" t="s">
        <v>270</v>
      </c>
      <c r="K301" s="2" t="s">
        <v>335</v>
      </c>
      <c r="L301" s="3">
        <v>61.9</v>
      </c>
      <c r="M301" s="3">
        <v>65</v>
      </c>
      <c r="N301" s="3">
        <v>129.99</v>
      </c>
      <c r="O301" s="2" t="s">
        <v>97</v>
      </c>
      <c r="P301" s="2" t="s">
        <v>119</v>
      </c>
      <c r="Q301" s="2" t="s">
        <v>99</v>
      </c>
      <c r="R301" s="2" t="s">
        <v>100</v>
      </c>
      <c r="S301" s="2" t="s">
        <v>1430</v>
      </c>
      <c r="T301" s="2" t="s">
        <v>1431</v>
      </c>
      <c r="U301" s="2" t="s">
        <v>171</v>
      </c>
      <c r="V301" s="2" t="s">
        <v>292</v>
      </c>
      <c r="W301" s="2" t="s">
        <v>415</v>
      </c>
      <c r="X301" s="2" t="s">
        <v>1432</v>
      </c>
      <c r="Y301" s="2" t="s">
        <v>1433</v>
      </c>
      <c r="Z301" s="4">
        <v>559</v>
      </c>
      <c r="AA301" s="4">
        <f>=ROUNDDOWN(30.5464480874317,0)</f>
      </c>
      <c r="AB301" s="5">
        <v>18.3</v>
      </c>
      <c r="AC301" s="2" t="s">
        <v>931</v>
      </c>
      <c r="AD301" s="4">
        <v>300</v>
      </c>
      <c r="AE301" s="4">
        <v>450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540</v>
      </c>
      <c r="BK301" s="8">
        <v>35223.62</v>
      </c>
      <c r="BL301" s="2" t="s">
        <v>937</v>
      </c>
      <c r="BM301" s="7"/>
      <c r="BN301" s="7"/>
      <c r="BO301" s="4"/>
      <c r="BP301" s="8"/>
      <c r="BQ301" s="4"/>
      <c r="BR301" s="8"/>
      <c r="BS301" s="7"/>
      <c r="BT301" s="7"/>
      <c r="BU301" s="2" t="s">
        <v>207</v>
      </c>
      <c r="BV301" s="2" t="s">
        <v>97</v>
      </c>
      <c r="BW301" s="2" t="s">
        <v>100</v>
      </c>
      <c r="BX301" s="2" t="s">
        <v>100</v>
      </c>
      <c r="BY301" s="2" t="s">
        <v>113</v>
      </c>
      <c r="BZ301" s="2" t="s">
        <v>245</v>
      </c>
    </row>
    <row r="302">
      <c r="A302" s="2" t="s">
        <v>1435</v>
      </c>
      <c r="B302" s="2" t="s">
        <v>87</v>
      </c>
      <c r="C302" s="2" t="s">
        <v>88</v>
      </c>
      <c r="D302" s="2" t="s">
        <v>803</v>
      </c>
      <c r="E302" s="2" t="s">
        <v>804</v>
      </c>
      <c r="F302" s="2" t="s">
        <v>485</v>
      </c>
      <c r="G302" s="2" t="s">
        <v>486</v>
      </c>
      <c r="H302" s="2" t="s">
        <v>487</v>
      </c>
      <c r="I302" s="2" t="s">
        <v>1436</v>
      </c>
      <c r="J302" s="2" t="s">
        <v>706</v>
      </c>
      <c r="K302" s="2" t="s">
        <v>335</v>
      </c>
      <c r="L302" s="3">
        <v>61.73</v>
      </c>
      <c r="M302" s="3">
        <v>64.82</v>
      </c>
      <c r="N302" s="3">
        <v>129.99</v>
      </c>
      <c r="O302" s="2" t="s">
        <v>97</v>
      </c>
      <c r="P302" s="2" t="s">
        <v>119</v>
      </c>
      <c r="Q302" s="2" t="s">
        <v>99</v>
      </c>
      <c r="R302" s="2" t="s">
        <v>100</v>
      </c>
      <c r="S302" s="2" t="s">
        <v>1437</v>
      </c>
      <c r="T302" s="2" t="s">
        <v>280</v>
      </c>
      <c r="U302" s="2" t="s">
        <v>337</v>
      </c>
      <c r="V302" s="2" t="s">
        <v>489</v>
      </c>
      <c r="W302" s="2" t="s">
        <v>104</v>
      </c>
      <c r="X302" s="2" t="s">
        <v>490</v>
      </c>
      <c r="Y302" s="2" t="s">
        <v>1438</v>
      </c>
      <c r="Z302" s="4">
        <v>400</v>
      </c>
      <c r="AA302" s="4">
        <f>=ROUNDDOWN(36.3636363636364,0)</f>
      </c>
      <c r="AB302" s="5">
        <v>11</v>
      </c>
      <c r="AC302" s="2" t="s">
        <v>241</v>
      </c>
      <c r="AD302" s="4">
        <v>150</v>
      </c>
      <c r="AE302" s="4">
        <v>150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268</v>
      </c>
      <c r="BK302" s="8">
        <v>19375.97</v>
      </c>
      <c r="BL302" s="2" t="s">
        <v>763</v>
      </c>
      <c r="BM302" s="7"/>
      <c r="BN302" s="7"/>
      <c r="BO302" s="4"/>
      <c r="BP302" s="8"/>
      <c r="BQ302" s="4"/>
      <c r="BR302" s="8"/>
      <c r="BS302" s="7"/>
      <c r="BT302" s="7"/>
      <c r="BU302" s="2" t="s">
        <v>207</v>
      </c>
      <c r="BV302" s="2" t="s">
        <v>97</v>
      </c>
      <c r="BW302" s="2" t="s">
        <v>100</v>
      </c>
      <c r="BX302" s="2" t="s">
        <v>100</v>
      </c>
      <c r="BY302" s="2" t="s">
        <v>113</v>
      </c>
      <c r="BZ302" s="2" t="s">
        <v>100</v>
      </c>
    </row>
    <row r="303">
      <c r="A303" s="2" t="s">
        <v>1439</v>
      </c>
      <c r="B303" s="2" t="s">
        <v>87</v>
      </c>
      <c r="C303" s="2" t="s">
        <v>88</v>
      </c>
      <c r="D303" s="2" t="s">
        <v>803</v>
      </c>
      <c r="E303" s="2" t="s">
        <v>804</v>
      </c>
      <c r="F303" s="2" t="s">
        <v>485</v>
      </c>
      <c r="G303" s="2" t="s">
        <v>486</v>
      </c>
      <c r="H303" s="2" t="s">
        <v>487</v>
      </c>
      <c r="I303" s="2" t="s">
        <v>1436</v>
      </c>
      <c r="J303" s="2" t="s">
        <v>714</v>
      </c>
      <c r="K303" s="2" t="s">
        <v>335</v>
      </c>
      <c r="L303" s="3">
        <v>70.55</v>
      </c>
      <c r="M303" s="3">
        <v>74.08</v>
      </c>
      <c r="N303" s="3">
        <v>149.99</v>
      </c>
      <c r="O303" s="2" t="s">
        <v>97</v>
      </c>
      <c r="P303" s="2" t="s">
        <v>119</v>
      </c>
      <c r="Q303" s="2" t="s">
        <v>99</v>
      </c>
      <c r="R303" s="2" t="s">
        <v>100</v>
      </c>
      <c r="S303" s="2" t="s">
        <v>1437</v>
      </c>
      <c r="T303" s="2" t="s">
        <v>280</v>
      </c>
      <c r="U303" s="2" t="s">
        <v>337</v>
      </c>
      <c r="V303" s="2" t="s">
        <v>489</v>
      </c>
      <c r="W303" s="2" t="s">
        <v>104</v>
      </c>
      <c r="X303" s="2" t="s">
        <v>490</v>
      </c>
      <c r="Y303" s="2" t="s">
        <v>1438</v>
      </c>
      <c r="Z303" s="4">
        <v>292</v>
      </c>
      <c r="AA303" s="4">
        <f>=ROUNDDOWN(32.4444444444444,0)</f>
      </c>
      <c r="AB303" s="5">
        <v>9</v>
      </c>
      <c r="AC303" s="2" t="s">
        <v>100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242</v>
      </c>
      <c r="BK303" s="8">
        <v>20233.55</v>
      </c>
      <c r="BL303" s="2" t="s">
        <v>852</v>
      </c>
      <c r="BM303" s="7"/>
      <c r="BN303" s="7"/>
      <c r="BO303" s="4"/>
      <c r="BP303" s="8"/>
      <c r="BQ303" s="4"/>
      <c r="BR303" s="8"/>
      <c r="BS303" s="7"/>
      <c r="BT303" s="7"/>
      <c r="BU303" s="2" t="s">
        <v>207</v>
      </c>
      <c r="BV303" s="2" t="s">
        <v>97</v>
      </c>
      <c r="BW303" s="2" t="s">
        <v>100</v>
      </c>
      <c r="BX303" s="2" t="s">
        <v>100</v>
      </c>
      <c r="BY303" s="2" t="s">
        <v>113</v>
      </c>
      <c r="BZ303" s="2" t="s">
        <v>100</v>
      </c>
    </row>
    <row r="304">
      <c r="A304" s="2" t="s">
        <v>1440</v>
      </c>
      <c r="B304" s="2" t="s">
        <v>87</v>
      </c>
      <c r="C304" s="2" t="s">
        <v>88</v>
      </c>
      <c r="D304" s="2" t="s">
        <v>803</v>
      </c>
      <c r="E304" s="2" t="s">
        <v>804</v>
      </c>
      <c r="F304" s="2" t="s">
        <v>485</v>
      </c>
      <c r="G304" s="2" t="s">
        <v>486</v>
      </c>
      <c r="H304" s="2" t="s">
        <v>487</v>
      </c>
      <c r="I304" s="2" t="s">
        <v>1436</v>
      </c>
      <c r="J304" s="2" t="s">
        <v>817</v>
      </c>
      <c r="K304" s="2" t="s">
        <v>335</v>
      </c>
      <c r="L304" s="3">
        <v>70.55</v>
      </c>
      <c r="M304" s="3">
        <v>74.08</v>
      </c>
      <c r="N304" s="3">
        <v>149.99</v>
      </c>
      <c r="O304" s="2" t="s">
        <v>97</v>
      </c>
      <c r="P304" s="2" t="s">
        <v>119</v>
      </c>
      <c r="Q304" s="2" t="s">
        <v>99</v>
      </c>
      <c r="R304" s="2" t="s">
        <v>100</v>
      </c>
      <c r="S304" s="2" t="s">
        <v>1437</v>
      </c>
      <c r="T304" s="2" t="s">
        <v>280</v>
      </c>
      <c r="U304" s="2" t="s">
        <v>337</v>
      </c>
      <c r="V304" s="2" t="s">
        <v>489</v>
      </c>
      <c r="W304" s="2" t="s">
        <v>104</v>
      </c>
      <c r="X304" s="2" t="s">
        <v>490</v>
      </c>
      <c r="Y304" s="2" t="s">
        <v>1438</v>
      </c>
      <c r="Z304" s="4">
        <v>230</v>
      </c>
      <c r="AA304" s="4">
        <f>=ROUNDDOWN(28.75,0)</f>
      </c>
      <c r="AB304" s="5">
        <v>8</v>
      </c>
      <c r="AC304" s="2" t="s">
        <v>100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167</v>
      </c>
      <c r="BK304" s="8">
        <v>13752.26</v>
      </c>
      <c r="BL304" s="2" t="s">
        <v>763</v>
      </c>
      <c r="BM304" s="7"/>
      <c r="BN304" s="7"/>
      <c r="BO304" s="4"/>
      <c r="BP304" s="8"/>
      <c r="BQ304" s="4"/>
      <c r="BR304" s="8"/>
      <c r="BS304" s="7"/>
      <c r="BT304" s="7"/>
      <c r="BU304" s="2" t="s">
        <v>207</v>
      </c>
      <c r="BV304" s="2" t="s">
        <v>97</v>
      </c>
      <c r="BW304" s="2" t="s">
        <v>100</v>
      </c>
      <c r="BX304" s="2" t="s">
        <v>100</v>
      </c>
      <c r="BY304" s="2" t="s">
        <v>113</v>
      </c>
      <c r="BZ304" s="2" t="s">
        <v>100</v>
      </c>
    </row>
    <row r="305">
      <c r="A305" s="2" t="s">
        <v>1441</v>
      </c>
      <c r="B305" s="2" t="s">
        <v>87</v>
      </c>
      <c r="C305" s="2" t="s">
        <v>88</v>
      </c>
      <c r="D305" s="2" t="s">
        <v>803</v>
      </c>
      <c r="E305" s="2" t="s">
        <v>804</v>
      </c>
      <c r="F305" s="2" t="s">
        <v>1442</v>
      </c>
      <c r="G305" s="2" t="s">
        <v>1443</v>
      </c>
      <c r="H305" s="2" t="s">
        <v>1444</v>
      </c>
      <c r="I305" s="2" t="s">
        <v>1445</v>
      </c>
      <c r="J305" s="2" t="s">
        <v>706</v>
      </c>
      <c r="K305" s="2" t="s">
        <v>360</v>
      </c>
      <c r="L305" s="3">
        <v>52.8</v>
      </c>
      <c r="M305" s="3">
        <v>55.43</v>
      </c>
      <c r="N305" s="3">
        <v>109.99</v>
      </c>
      <c r="O305" s="2" t="s">
        <v>97</v>
      </c>
      <c r="P305" s="2" t="s">
        <v>119</v>
      </c>
      <c r="Q305" s="2" t="s">
        <v>99</v>
      </c>
      <c r="R305" s="2" t="s">
        <v>100</v>
      </c>
      <c r="S305" s="2" t="s">
        <v>1446</v>
      </c>
      <c r="T305" s="2" t="s">
        <v>100</v>
      </c>
      <c r="U305" s="2" t="s">
        <v>337</v>
      </c>
      <c r="V305" s="2" t="s">
        <v>146</v>
      </c>
      <c r="W305" s="2" t="s">
        <v>561</v>
      </c>
      <c r="X305" s="2" t="s">
        <v>1447</v>
      </c>
      <c r="Y305" s="2" t="s">
        <v>1448</v>
      </c>
      <c r="Z305" s="4">
        <v>142</v>
      </c>
      <c r="AA305" s="4">
        <f>=ROUNDDOWN(9.40397350993378,0)</f>
      </c>
      <c r="AB305" s="5">
        <v>15.1</v>
      </c>
      <c r="AC305" s="2" t="s">
        <v>768</v>
      </c>
      <c r="AD305" s="4">
        <v>220</v>
      </c>
      <c r="AE305" s="4">
        <v>500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347</v>
      </c>
      <c r="BK305" s="8">
        <v>18676.49</v>
      </c>
      <c r="BL305" s="2" t="s">
        <v>1449</v>
      </c>
      <c r="BM305" s="7"/>
      <c r="BN305" s="7"/>
      <c r="BO305" s="4"/>
      <c r="BP305" s="8"/>
      <c r="BQ305" s="4"/>
      <c r="BR305" s="8"/>
      <c r="BS305" s="7"/>
      <c r="BT305" s="7"/>
      <c r="BU305" s="2" t="s">
        <v>207</v>
      </c>
      <c r="BV305" s="2" t="s">
        <v>97</v>
      </c>
      <c r="BW305" s="2" t="s">
        <v>100</v>
      </c>
      <c r="BX305" s="2" t="s">
        <v>100</v>
      </c>
      <c r="BY305" s="2" t="s">
        <v>113</v>
      </c>
      <c r="BZ305" s="2" t="s">
        <v>100</v>
      </c>
    </row>
    <row r="306">
      <c r="A306" s="2" t="s">
        <v>1450</v>
      </c>
      <c r="B306" s="2" t="s">
        <v>87</v>
      </c>
      <c r="C306" s="2" t="s">
        <v>88</v>
      </c>
      <c r="D306" s="2" t="s">
        <v>803</v>
      </c>
      <c r="E306" s="2" t="s">
        <v>804</v>
      </c>
      <c r="F306" s="2" t="s">
        <v>1442</v>
      </c>
      <c r="G306" s="2" t="s">
        <v>1443</v>
      </c>
      <c r="H306" s="2" t="s">
        <v>1444</v>
      </c>
      <c r="I306" s="2" t="s">
        <v>1445</v>
      </c>
      <c r="J306" s="2" t="s">
        <v>714</v>
      </c>
      <c r="K306" s="2" t="s">
        <v>360</v>
      </c>
      <c r="L306" s="3">
        <v>63.7</v>
      </c>
      <c r="M306" s="3">
        <v>66.88</v>
      </c>
      <c r="N306" s="3">
        <v>129.99</v>
      </c>
      <c r="O306" s="2" t="s">
        <v>97</v>
      </c>
      <c r="P306" s="2" t="s">
        <v>119</v>
      </c>
      <c r="Q306" s="2" t="s">
        <v>99</v>
      </c>
      <c r="R306" s="2" t="s">
        <v>100</v>
      </c>
      <c r="S306" s="2" t="s">
        <v>1446</v>
      </c>
      <c r="T306" s="2" t="s">
        <v>100</v>
      </c>
      <c r="U306" s="2" t="s">
        <v>337</v>
      </c>
      <c r="V306" s="2" t="s">
        <v>146</v>
      </c>
      <c r="W306" s="2" t="s">
        <v>561</v>
      </c>
      <c r="X306" s="2" t="s">
        <v>1447</v>
      </c>
      <c r="Y306" s="2" t="s">
        <v>1448</v>
      </c>
      <c r="Z306" s="4">
        <v>306</v>
      </c>
      <c r="AA306" s="4">
        <f>=ROUNDDOWN(27.8181818181818,0)</f>
      </c>
      <c r="AB306" s="5">
        <v>11</v>
      </c>
      <c r="AC306" s="2" t="s">
        <v>768</v>
      </c>
      <c r="AD306" s="4">
        <v>70</v>
      </c>
      <c r="AE306" s="4">
        <v>130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220</v>
      </c>
      <c r="BK306" s="8">
        <v>14154.37</v>
      </c>
      <c r="BL306" s="2" t="s">
        <v>1451</v>
      </c>
      <c r="BM306" s="7"/>
      <c r="BN306" s="7"/>
      <c r="BO306" s="4"/>
      <c r="BP306" s="8"/>
      <c r="BQ306" s="4"/>
      <c r="BR306" s="8"/>
      <c r="BS306" s="7"/>
      <c r="BT306" s="7"/>
      <c r="BU306" s="2" t="s">
        <v>207</v>
      </c>
      <c r="BV306" s="2" t="s">
        <v>97</v>
      </c>
      <c r="BW306" s="2" t="s">
        <v>100</v>
      </c>
      <c r="BX306" s="2" t="s">
        <v>100</v>
      </c>
      <c r="BY306" s="2" t="s">
        <v>113</v>
      </c>
      <c r="BZ306" s="2" t="s">
        <v>100</v>
      </c>
    </row>
    <row r="307">
      <c r="A307" s="2" t="s">
        <v>1452</v>
      </c>
      <c r="B307" s="2" t="s">
        <v>87</v>
      </c>
      <c r="C307" s="2" t="s">
        <v>88</v>
      </c>
      <c r="D307" s="2" t="s">
        <v>803</v>
      </c>
      <c r="E307" s="2" t="s">
        <v>804</v>
      </c>
      <c r="F307" s="2" t="s">
        <v>1442</v>
      </c>
      <c r="G307" s="2" t="s">
        <v>1443</v>
      </c>
      <c r="H307" s="2" t="s">
        <v>1444</v>
      </c>
      <c r="I307" s="2" t="s">
        <v>1445</v>
      </c>
      <c r="J307" s="2" t="s">
        <v>817</v>
      </c>
      <c r="K307" s="2" t="s">
        <v>360</v>
      </c>
      <c r="L307" s="3">
        <v>63.7</v>
      </c>
      <c r="M307" s="3">
        <v>66.88</v>
      </c>
      <c r="N307" s="3">
        <v>129.99</v>
      </c>
      <c r="O307" s="2" t="s">
        <v>97</v>
      </c>
      <c r="P307" s="2" t="s">
        <v>119</v>
      </c>
      <c r="Q307" s="2" t="s">
        <v>99</v>
      </c>
      <c r="R307" s="2" t="s">
        <v>100</v>
      </c>
      <c r="S307" s="2" t="s">
        <v>1446</v>
      </c>
      <c r="T307" s="2" t="s">
        <v>100</v>
      </c>
      <c r="U307" s="2" t="s">
        <v>337</v>
      </c>
      <c r="V307" s="2" t="s">
        <v>146</v>
      </c>
      <c r="W307" s="2" t="s">
        <v>561</v>
      </c>
      <c r="X307" s="2" t="s">
        <v>1447</v>
      </c>
      <c r="Y307" s="2" t="s">
        <v>1448</v>
      </c>
      <c r="Z307" s="4">
        <v>157</v>
      </c>
      <c r="AA307" s="4">
        <f>=ROUNDDOWN(22.4285714285714,0)</f>
      </c>
      <c r="AB307" s="5">
        <v>7</v>
      </c>
      <c r="AC307" s="2" t="s">
        <v>768</v>
      </c>
      <c r="AD307" s="4">
        <v>140</v>
      </c>
      <c r="AE307" s="4">
        <v>170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133</v>
      </c>
      <c r="BK307" s="8">
        <v>8667.37</v>
      </c>
      <c r="BL307" s="2" t="s">
        <v>1453</v>
      </c>
      <c r="BM307" s="7"/>
      <c r="BN307" s="7"/>
      <c r="BO307" s="4"/>
      <c r="BP307" s="8"/>
      <c r="BQ307" s="4"/>
      <c r="BR307" s="8"/>
      <c r="BS307" s="7"/>
      <c r="BT307" s="7"/>
      <c r="BU307" s="2" t="s">
        <v>207</v>
      </c>
      <c r="BV307" s="2" t="s">
        <v>97</v>
      </c>
      <c r="BW307" s="2" t="s">
        <v>100</v>
      </c>
      <c r="BX307" s="2" t="s">
        <v>100</v>
      </c>
      <c r="BY307" s="2" t="s">
        <v>113</v>
      </c>
      <c r="BZ307" s="2" t="s">
        <v>100</v>
      </c>
    </row>
    <row r="308">
      <c r="A308" s="2" t="s">
        <v>1454</v>
      </c>
      <c r="B308" s="2" t="s">
        <v>87</v>
      </c>
      <c r="C308" s="2" t="s">
        <v>88</v>
      </c>
      <c r="D308" s="2" t="s">
        <v>803</v>
      </c>
      <c r="E308" s="2" t="s">
        <v>804</v>
      </c>
      <c r="F308" s="2" t="s">
        <v>1442</v>
      </c>
      <c r="G308" s="2" t="s">
        <v>1443</v>
      </c>
      <c r="H308" s="2" t="s">
        <v>1444</v>
      </c>
      <c r="I308" s="2" t="s">
        <v>1445</v>
      </c>
      <c r="J308" s="2" t="s">
        <v>706</v>
      </c>
      <c r="K308" s="2" t="s">
        <v>629</v>
      </c>
      <c r="L308" s="3">
        <v>52.8</v>
      </c>
      <c r="M308" s="3">
        <v>55.43</v>
      </c>
      <c r="N308" s="3">
        <v>109.99</v>
      </c>
      <c r="O308" s="2" t="s">
        <v>97</v>
      </c>
      <c r="P308" s="2" t="s">
        <v>119</v>
      </c>
      <c r="Q308" s="2" t="s">
        <v>99</v>
      </c>
      <c r="R308" s="2" t="s">
        <v>100</v>
      </c>
      <c r="S308" s="2" t="s">
        <v>1455</v>
      </c>
      <c r="T308" s="2" t="s">
        <v>100</v>
      </c>
      <c r="U308" s="2" t="s">
        <v>337</v>
      </c>
      <c r="V308" s="2" t="s">
        <v>146</v>
      </c>
      <c r="W308" s="2" t="s">
        <v>561</v>
      </c>
      <c r="X308" s="2" t="s">
        <v>1447</v>
      </c>
      <c r="Y308" s="2" t="s">
        <v>1456</v>
      </c>
      <c r="Z308" s="4">
        <v>317</v>
      </c>
      <c r="AA308" s="4">
        <f>=ROUNDDOWN(22.4822695035461,0)</f>
      </c>
      <c r="AB308" s="5">
        <v>14.1</v>
      </c>
      <c r="AC308" s="2" t="s">
        <v>1457</v>
      </c>
      <c r="AD308" s="4">
        <v>120</v>
      </c>
      <c r="AE308" s="4">
        <v>120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292</v>
      </c>
      <c r="BK308" s="8">
        <v>16126.07</v>
      </c>
      <c r="BL308" s="2" t="s">
        <v>1458</v>
      </c>
      <c r="BM308" s="7"/>
      <c r="BN308" s="7"/>
      <c r="BO308" s="4"/>
      <c r="BP308" s="8"/>
      <c r="BQ308" s="4"/>
      <c r="BR308" s="8"/>
      <c r="BS308" s="7"/>
      <c r="BT308" s="7"/>
      <c r="BU308" s="2" t="s">
        <v>207</v>
      </c>
      <c r="BV308" s="2" t="s">
        <v>97</v>
      </c>
      <c r="BW308" s="2" t="s">
        <v>100</v>
      </c>
      <c r="BX308" s="2" t="s">
        <v>100</v>
      </c>
      <c r="BY308" s="2" t="s">
        <v>113</v>
      </c>
      <c r="BZ308" s="2" t="s">
        <v>100</v>
      </c>
    </row>
    <row r="309">
      <c r="A309" s="2" t="s">
        <v>1459</v>
      </c>
      <c r="B309" s="2" t="s">
        <v>87</v>
      </c>
      <c r="C309" s="2" t="s">
        <v>88</v>
      </c>
      <c r="D309" s="2" t="s">
        <v>803</v>
      </c>
      <c r="E309" s="2" t="s">
        <v>804</v>
      </c>
      <c r="F309" s="2" t="s">
        <v>1442</v>
      </c>
      <c r="G309" s="2" t="s">
        <v>1443</v>
      </c>
      <c r="H309" s="2" t="s">
        <v>1444</v>
      </c>
      <c r="I309" s="2" t="s">
        <v>1445</v>
      </c>
      <c r="J309" s="2" t="s">
        <v>714</v>
      </c>
      <c r="K309" s="2" t="s">
        <v>629</v>
      </c>
      <c r="L309" s="3">
        <v>63.7</v>
      </c>
      <c r="M309" s="3">
        <v>66.88</v>
      </c>
      <c r="N309" s="3">
        <v>129.99</v>
      </c>
      <c r="O309" s="2" t="s">
        <v>97</v>
      </c>
      <c r="P309" s="2" t="s">
        <v>119</v>
      </c>
      <c r="Q309" s="2" t="s">
        <v>99</v>
      </c>
      <c r="R309" s="2" t="s">
        <v>100</v>
      </c>
      <c r="S309" s="2" t="s">
        <v>1455</v>
      </c>
      <c r="T309" s="2" t="s">
        <v>100</v>
      </c>
      <c r="U309" s="2" t="s">
        <v>337</v>
      </c>
      <c r="V309" s="2" t="s">
        <v>146</v>
      </c>
      <c r="W309" s="2" t="s">
        <v>561</v>
      </c>
      <c r="X309" s="2" t="s">
        <v>1447</v>
      </c>
      <c r="Y309" s="2" t="s">
        <v>1456</v>
      </c>
      <c r="Z309" s="4">
        <v>217</v>
      </c>
      <c r="AA309" s="4">
        <f>=ROUNDDOWN(16.6923076923077,0)</f>
      </c>
      <c r="AB309" s="5">
        <v>13</v>
      </c>
      <c r="AC309" s="2" t="s">
        <v>1457</v>
      </c>
      <c r="AD309" s="4">
        <v>250</v>
      </c>
      <c r="AE309" s="4">
        <v>250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283</v>
      </c>
      <c r="BK309" s="8">
        <v>18930.85</v>
      </c>
      <c r="BL309" s="2" t="s">
        <v>1460</v>
      </c>
      <c r="BM309" s="7"/>
      <c r="BN309" s="7"/>
      <c r="BO309" s="4"/>
      <c r="BP309" s="8"/>
      <c r="BQ309" s="4"/>
      <c r="BR309" s="8"/>
      <c r="BS309" s="7"/>
      <c r="BT309" s="7"/>
      <c r="BU309" s="2" t="s">
        <v>207</v>
      </c>
      <c r="BV309" s="2" t="s">
        <v>97</v>
      </c>
      <c r="BW309" s="2" t="s">
        <v>100</v>
      </c>
      <c r="BX309" s="2" t="s">
        <v>100</v>
      </c>
      <c r="BY309" s="2" t="s">
        <v>113</v>
      </c>
      <c r="BZ309" s="2" t="s">
        <v>100</v>
      </c>
    </row>
    <row r="310">
      <c r="A310" s="2" t="s">
        <v>1461</v>
      </c>
      <c r="B310" s="2" t="s">
        <v>87</v>
      </c>
      <c r="C310" s="2" t="s">
        <v>88</v>
      </c>
      <c r="D310" s="2" t="s">
        <v>803</v>
      </c>
      <c r="E310" s="2" t="s">
        <v>804</v>
      </c>
      <c r="F310" s="2" t="s">
        <v>1442</v>
      </c>
      <c r="G310" s="2" t="s">
        <v>1443</v>
      </c>
      <c r="H310" s="2" t="s">
        <v>1444</v>
      </c>
      <c r="I310" s="2" t="s">
        <v>1445</v>
      </c>
      <c r="J310" s="2" t="s">
        <v>817</v>
      </c>
      <c r="K310" s="2" t="s">
        <v>629</v>
      </c>
      <c r="L310" s="3">
        <v>63.7</v>
      </c>
      <c r="M310" s="3">
        <v>66.88</v>
      </c>
      <c r="N310" s="3">
        <v>129.99</v>
      </c>
      <c r="O310" s="2" t="s">
        <v>97</v>
      </c>
      <c r="P310" s="2" t="s">
        <v>119</v>
      </c>
      <c r="Q310" s="2" t="s">
        <v>99</v>
      </c>
      <c r="R310" s="2" t="s">
        <v>100</v>
      </c>
      <c r="S310" s="2" t="s">
        <v>1455</v>
      </c>
      <c r="T310" s="2" t="s">
        <v>100</v>
      </c>
      <c r="U310" s="2" t="s">
        <v>337</v>
      </c>
      <c r="V310" s="2" t="s">
        <v>146</v>
      </c>
      <c r="W310" s="2" t="s">
        <v>561</v>
      </c>
      <c r="X310" s="2" t="s">
        <v>1447</v>
      </c>
      <c r="Y310" s="2" t="s">
        <v>1456</v>
      </c>
      <c r="Z310" s="4">
        <v>202</v>
      </c>
      <c r="AA310" s="4">
        <f>=ROUNDDOWN(28.8571428571429,0)</f>
      </c>
      <c r="AB310" s="5">
        <v>7</v>
      </c>
      <c r="AC310" s="2" t="s">
        <v>1457</v>
      </c>
      <c r="AD310" s="4">
        <v>100</v>
      </c>
      <c r="AE310" s="4">
        <v>100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145</v>
      </c>
      <c r="BK310" s="8">
        <v>9763.69</v>
      </c>
      <c r="BL310" s="2" t="s">
        <v>1462</v>
      </c>
      <c r="BM310" s="7"/>
      <c r="BN310" s="7"/>
      <c r="BO310" s="4"/>
      <c r="BP310" s="8"/>
      <c r="BQ310" s="4"/>
      <c r="BR310" s="8"/>
      <c r="BS310" s="7"/>
      <c r="BT310" s="7"/>
      <c r="BU310" s="2" t="s">
        <v>207</v>
      </c>
      <c r="BV310" s="2" t="s">
        <v>97</v>
      </c>
      <c r="BW310" s="2" t="s">
        <v>100</v>
      </c>
      <c r="BX310" s="2" t="s">
        <v>100</v>
      </c>
      <c r="BY310" s="2" t="s">
        <v>113</v>
      </c>
      <c r="BZ310" s="2" t="s">
        <v>100</v>
      </c>
    </row>
    <row r="311">
      <c r="A311" s="2" t="s">
        <v>1463</v>
      </c>
      <c r="B311" s="2" t="s">
        <v>87</v>
      </c>
      <c r="C311" s="2" t="s">
        <v>88</v>
      </c>
      <c r="D311" s="2" t="s">
        <v>803</v>
      </c>
      <c r="E311" s="2" t="s">
        <v>804</v>
      </c>
      <c r="F311" s="2" t="s">
        <v>1464</v>
      </c>
      <c r="G311" s="2" t="s">
        <v>1465</v>
      </c>
      <c r="H311" s="2" t="s">
        <v>1466</v>
      </c>
      <c r="I311" s="2" t="s">
        <v>1467</v>
      </c>
      <c r="J311" s="2" t="s">
        <v>247</v>
      </c>
      <c r="K311" s="2" t="s">
        <v>1468</v>
      </c>
      <c r="L311" s="3">
        <v>52.8</v>
      </c>
      <c r="M311" s="3">
        <v>55.43</v>
      </c>
      <c r="N311" s="3">
        <v>109.99</v>
      </c>
      <c r="O311" s="2" t="s">
        <v>97</v>
      </c>
      <c r="P311" s="2" t="s">
        <v>119</v>
      </c>
      <c r="Q311" s="2" t="s">
        <v>99</v>
      </c>
      <c r="R311" s="2" t="s">
        <v>100</v>
      </c>
      <c r="S311" s="2" t="s">
        <v>1469</v>
      </c>
      <c r="T311" s="2" t="s">
        <v>218</v>
      </c>
      <c r="U311" s="2" t="s">
        <v>337</v>
      </c>
      <c r="V311" s="2" t="s">
        <v>256</v>
      </c>
      <c r="W311" s="2" t="s">
        <v>415</v>
      </c>
      <c r="X311" s="2" t="s">
        <v>1470</v>
      </c>
      <c r="Y311" s="2" t="s">
        <v>1471</v>
      </c>
      <c r="Z311" s="4">
        <v>817</v>
      </c>
      <c r="AA311" s="4">
        <f>=ROUNDDOWN(81.7,0)</f>
      </c>
      <c r="AB311" s="5">
        <v>10</v>
      </c>
      <c r="AC311" s="2" t="s">
        <v>100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194</v>
      </c>
      <c r="BK311" s="8">
        <v>10935.51</v>
      </c>
      <c r="BL311" s="2" t="s">
        <v>1472</v>
      </c>
      <c r="BM311" s="7"/>
      <c r="BN311" s="7"/>
      <c r="BO311" s="4"/>
      <c r="BP311" s="8"/>
      <c r="BQ311" s="4"/>
      <c r="BR311" s="8"/>
      <c r="BS311" s="7"/>
      <c r="BT311" s="7"/>
      <c r="BU311" s="2" t="s">
        <v>207</v>
      </c>
      <c r="BV311" s="2" t="s">
        <v>97</v>
      </c>
      <c r="BW311" s="2" t="s">
        <v>100</v>
      </c>
      <c r="BX311" s="2" t="s">
        <v>100</v>
      </c>
      <c r="BY311" s="2" t="s">
        <v>113</v>
      </c>
      <c r="BZ311" s="2" t="s">
        <v>100</v>
      </c>
    </row>
    <row r="312">
      <c r="A312" s="2" t="s">
        <v>1473</v>
      </c>
      <c r="B312" s="2" t="s">
        <v>87</v>
      </c>
      <c r="C312" s="2" t="s">
        <v>88</v>
      </c>
      <c r="D312" s="2" t="s">
        <v>803</v>
      </c>
      <c r="E312" s="2" t="s">
        <v>804</v>
      </c>
      <c r="F312" s="2" t="s">
        <v>1464</v>
      </c>
      <c r="G312" s="2" t="s">
        <v>1465</v>
      </c>
      <c r="H312" s="2" t="s">
        <v>1466</v>
      </c>
      <c r="I312" s="2" t="s">
        <v>1467</v>
      </c>
      <c r="J312" s="2" t="s">
        <v>270</v>
      </c>
      <c r="K312" s="2" t="s">
        <v>1468</v>
      </c>
      <c r="L312" s="3">
        <v>63.7</v>
      </c>
      <c r="M312" s="3">
        <v>66.88</v>
      </c>
      <c r="N312" s="3">
        <v>129.99</v>
      </c>
      <c r="O312" s="2" t="s">
        <v>97</v>
      </c>
      <c r="P312" s="2" t="s">
        <v>119</v>
      </c>
      <c r="Q312" s="2" t="s">
        <v>99</v>
      </c>
      <c r="R312" s="2" t="s">
        <v>100</v>
      </c>
      <c r="S312" s="2" t="s">
        <v>1469</v>
      </c>
      <c r="T312" s="2" t="s">
        <v>218</v>
      </c>
      <c r="U312" s="2" t="s">
        <v>337</v>
      </c>
      <c r="V312" s="2" t="s">
        <v>256</v>
      </c>
      <c r="W312" s="2" t="s">
        <v>415</v>
      </c>
      <c r="X312" s="2" t="s">
        <v>1470</v>
      </c>
      <c r="Y312" s="2" t="s">
        <v>1471</v>
      </c>
      <c r="Z312" s="4">
        <v>722</v>
      </c>
      <c r="AA312" s="4">
        <f>=ROUNDDOWN(103.142857142857,0)</f>
      </c>
      <c r="AB312" s="5">
        <v>7</v>
      </c>
      <c r="AC312" s="2" t="s">
        <v>100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143</v>
      </c>
      <c r="BK312" s="8">
        <v>9797.41</v>
      </c>
      <c r="BL312" s="2" t="s">
        <v>1472</v>
      </c>
      <c r="BM312" s="7"/>
      <c r="BN312" s="7"/>
      <c r="BO312" s="4"/>
      <c r="BP312" s="8"/>
      <c r="BQ312" s="4"/>
      <c r="BR312" s="8"/>
      <c r="BS312" s="7"/>
      <c r="BT312" s="7"/>
      <c r="BU312" s="2" t="s">
        <v>207</v>
      </c>
      <c r="BV312" s="2" t="s">
        <v>97</v>
      </c>
      <c r="BW312" s="2" t="s">
        <v>100</v>
      </c>
      <c r="BX312" s="2" t="s">
        <v>100</v>
      </c>
      <c r="BY312" s="2" t="s">
        <v>113</v>
      </c>
      <c r="BZ312" s="2" t="s">
        <v>100</v>
      </c>
    </row>
    <row r="313">
      <c r="A313" s="2" t="s">
        <v>1474</v>
      </c>
      <c r="B313" s="2" t="s">
        <v>87</v>
      </c>
      <c r="C313" s="2" t="s">
        <v>88</v>
      </c>
      <c r="D313" s="2" t="s">
        <v>803</v>
      </c>
      <c r="E313" s="2" t="s">
        <v>1475</v>
      </c>
      <c r="F313" s="2" t="s">
        <v>389</v>
      </c>
      <c r="G313" s="2" t="s">
        <v>390</v>
      </c>
      <c r="H313" s="2" t="s">
        <v>391</v>
      </c>
      <c r="I313" s="2" t="s">
        <v>1476</v>
      </c>
      <c r="J313" s="2" t="s">
        <v>706</v>
      </c>
      <c r="K313" s="2" t="s">
        <v>360</v>
      </c>
      <c r="L313" s="3">
        <v>83.79</v>
      </c>
      <c r="M313" s="3">
        <v>87.98</v>
      </c>
      <c r="N313" s="3">
        <v>179.99</v>
      </c>
      <c r="O313" s="2" t="s">
        <v>97</v>
      </c>
      <c r="P313" s="2" t="s">
        <v>98</v>
      </c>
      <c r="Q313" s="2" t="s">
        <v>99</v>
      </c>
      <c r="R313" s="2" t="s">
        <v>100</v>
      </c>
      <c r="S313" s="2" t="s">
        <v>1477</v>
      </c>
      <c r="T313" s="2" t="s">
        <v>100</v>
      </c>
      <c r="U313" s="2" t="s">
        <v>1478</v>
      </c>
      <c r="V313" s="2" t="s">
        <v>393</v>
      </c>
      <c r="W313" s="2" t="s">
        <v>309</v>
      </c>
      <c r="X313" s="2" t="s">
        <v>404</v>
      </c>
      <c r="Y313" s="2" t="s">
        <v>962</v>
      </c>
      <c r="Z313" s="4">
        <v>552</v>
      </c>
      <c r="AA313" s="4">
        <f>=ROUNDDOWN(21.2307692307692,0)</f>
      </c>
      <c r="AB313" s="5">
        <v>26</v>
      </c>
      <c r="AC313" s="2" t="s">
        <v>768</v>
      </c>
      <c r="AD313" s="4">
        <v>71</v>
      </c>
      <c r="AE313" s="4">
        <v>431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>
        <v>10</v>
      </c>
      <c r="AQ313" s="8">
        <v>963.8</v>
      </c>
      <c r="AR313" s="4"/>
      <c r="AS313" s="8"/>
      <c r="AT313" s="7"/>
      <c r="AU313" s="7"/>
      <c r="AV313" s="4">
        <v>20</v>
      </c>
      <c r="AW313" s="8">
        <v>2041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0.4722</v>
      </c>
      <c r="BC313" s="4">
        <v>32</v>
      </c>
      <c r="BD313" s="8">
        <v>3233.58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>
        <v>0.6312</v>
      </c>
      <c r="BJ313" s="4">
        <v>935</v>
      </c>
      <c r="BK313" s="8">
        <v>86284.96</v>
      </c>
      <c r="BL313" s="2" t="s">
        <v>1479</v>
      </c>
      <c r="BM313" s="7">
        <v>0.0107</v>
      </c>
      <c r="BN313" s="7">
        <v>0.0112</v>
      </c>
      <c r="BO313" s="4">
        <v>10</v>
      </c>
      <c r="BP313" s="8">
        <v>963.8</v>
      </c>
      <c r="BQ313" s="4"/>
      <c r="BR313" s="8"/>
      <c r="BS313" s="7"/>
      <c r="BT313" s="7"/>
      <c r="BU313" s="2" t="s">
        <v>109</v>
      </c>
      <c r="BV313" s="2" t="s">
        <v>110</v>
      </c>
      <c r="BW313" s="2" t="s">
        <v>471</v>
      </c>
      <c r="BX313" s="2" t="s">
        <v>1480</v>
      </c>
      <c r="BY313" s="2" t="s">
        <v>113</v>
      </c>
      <c r="BZ313" s="2" t="s">
        <v>100</v>
      </c>
    </row>
    <row r="314">
      <c r="A314" s="2" t="s">
        <v>1481</v>
      </c>
      <c r="B314" s="2" t="s">
        <v>87</v>
      </c>
      <c r="C314" s="2" t="s">
        <v>88</v>
      </c>
      <c r="D314" s="2" t="s">
        <v>803</v>
      </c>
      <c r="E314" s="2" t="s">
        <v>1475</v>
      </c>
      <c r="F314" s="2" t="s">
        <v>389</v>
      </c>
      <c r="G314" s="2" t="s">
        <v>390</v>
      </c>
      <c r="H314" s="2" t="s">
        <v>391</v>
      </c>
      <c r="I314" s="2" t="s">
        <v>1476</v>
      </c>
      <c r="J314" s="2" t="s">
        <v>714</v>
      </c>
      <c r="K314" s="2" t="s">
        <v>360</v>
      </c>
      <c r="L314" s="3">
        <v>94.5</v>
      </c>
      <c r="M314" s="3">
        <v>99.22</v>
      </c>
      <c r="N314" s="3">
        <v>199.99</v>
      </c>
      <c r="O314" s="2" t="s">
        <v>97</v>
      </c>
      <c r="P314" s="2" t="s">
        <v>98</v>
      </c>
      <c r="Q314" s="2" t="s">
        <v>99</v>
      </c>
      <c r="R314" s="2" t="s">
        <v>100</v>
      </c>
      <c r="S314" s="2" t="s">
        <v>1477</v>
      </c>
      <c r="T314" s="2" t="s">
        <v>100</v>
      </c>
      <c r="U314" s="2" t="s">
        <v>1478</v>
      </c>
      <c r="V314" s="2" t="s">
        <v>393</v>
      </c>
      <c r="W314" s="2" t="s">
        <v>309</v>
      </c>
      <c r="X314" s="2" t="s">
        <v>404</v>
      </c>
      <c r="Y314" s="2" t="s">
        <v>962</v>
      </c>
      <c r="Z314" s="4">
        <v>566</v>
      </c>
      <c r="AA314" s="4">
        <f>=ROUNDDOWN(20.962962962963,0)</f>
      </c>
      <c r="AB314" s="5">
        <v>27</v>
      </c>
      <c r="AC314" s="2" t="s">
        <v>768</v>
      </c>
      <c r="AD314" s="4">
        <v>390</v>
      </c>
      <c r="AE314" s="4">
        <v>540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>
        <v>1</v>
      </c>
      <c r="AQ314" s="8">
        <v>107.72</v>
      </c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0.0528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1113</v>
      </c>
      <c r="BK314" s="8">
        <v>120897.63</v>
      </c>
      <c r="BL314" s="2" t="s">
        <v>1482</v>
      </c>
      <c r="BM314" s="7">
        <v>0.0009</v>
      </c>
      <c r="BN314" s="7">
        <v>0.0009</v>
      </c>
      <c r="BO314" s="4">
        <v>1</v>
      </c>
      <c r="BP314" s="8">
        <v>107.72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471</v>
      </c>
      <c r="BX314" s="2" t="s">
        <v>1483</v>
      </c>
      <c r="BY314" s="2" t="s">
        <v>113</v>
      </c>
      <c r="BZ314" s="2" t="s">
        <v>100</v>
      </c>
    </row>
    <row r="315">
      <c r="A315" s="2" t="s">
        <v>1484</v>
      </c>
      <c r="B315" s="2" t="s">
        <v>87</v>
      </c>
      <c r="C315" s="2" t="s">
        <v>88</v>
      </c>
      <c r="D315" s="2" t="s">
        <v>803</v>
      </c>
      <c r="E315" s="2" t="s">
        <v>1475</v>
      </c>
      <c r="F315" s="2" t="s">
        <v>389</v>
      </c>
      <c r="G315" s="2" t="s">
        <v>390</v>
      </c>
      <c r="H315" s="2" t="s">
        <v>391</v>
      </c>
      <c r="I315" s="2" t="s">
        <v>1476</v>
      </c>
      <c r="J315" s="2" t="s">
        <v>817</v>
      </c>
      <c r="K315" s="2" t="s">
        <v>360</v>
      </c>
      <c r="L315" s="3">
        <v>94.5</v>
      </c>
      <c r="M315" s="3">
        <v>99.22</v>
      </c>
      <c r="N315" s="3">
        <v>199.99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1477</v>
      </c>
      <c r="T315" s="2" t="s">
        <v>100</v>
      </c>
      <c r="U315" s="2" t="s">
        <v>1478</v>
      </c>
      <c r="V315" s="2" t="s">
        <v>393</v>
      </c>
      <c r="W315" s="2" t="s">
        <v>309</v>
      </c>
      <c r="X315" s="2" t="s">
        <v>404</v>
      </c>
      <c r="Y315" s="2" t="s">
        <v>962</v>
      </c>
      <c r="Z315" s="4">
        <v>222</v>
      </c>
      <c r="AA315" s="4">
        <f>=ROUNDDOWN(17.0769230769231,0)</f>
      </c>
      <c r="AB315" s="5">
        <v>13</v>
      </c>
      <c r="AC315" s="2" t="s">
        <v>768</v>
      </c>
      <c r="AD315" s="4">
        <v>60</v>
      </c>
      <c r="AE315" s="4">
        <v>320</v>
      </c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>
        <v>9</v>
      </c>
      <c r="AQ315" s="8">
        <v>969.48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0.475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500</v>
      </c>
      <c r="BK315" s="8">
        <v>54571.44</v>
      </c>
      <c r="BL315" s="2" t="s">
        <v>1485</v>
      </c>
      <c r="BM315" s="7">
        <v>0.018</v>
      </c>
      <c r="BN315" s="7">
        <v>0.0178</v>
      </c>
      <c r="BO315" s="4">
        <v>9</v>
      </c>
      <c r="BP315" s="8">
        <v>969.48</v>
      </c>
      <c r="BQ315" s="4"/>
      <c r="BR315" s="8"/>
      <c r="BS315" s="7"/>
      <c r="BT315" s="7"/>
      <c r="BU315" s="2" t="s">
        <v>109</v>
      </c>
      <c r="BV315" s="2" t="s">
        <v>110</v>
      </c>
      <c r="BW315" s="2" t="s">
        <v>471</v>
      </c>
      <c r="BX315" s="2" t="s">
        <v>1486</v>
      </c>
      <c r="BY315" s="2" t="s">
        <v>113</v>
      </c>
      <c r="BZ315" s="2" t="s">
        <v>100</v>
      </c>
    </row>
    <row r="316">
      <c r="A316" s="2" t="s">
        <v>1487</v>
      </c>
      <c r="B316" s="2" t="s">
        <v>87</v>
      </c>
      <c r="C316" s="2" t="s">
        <v>88</v>
      </c>
      <c r="D316" s="2" t="s">
        <v>803</v>
      </c>
      <c r="E316" s="2" t="s">
        <v>1475</v>
      </c>
      <c r="F316" s="2" t="s">
        <v>389</v>
      </c>
      <c r="G316" s="2" t="s">
        <v>390</v>
      </c>
      <c r="H316" s="2" t="s">
        <v>391</v>
      </c>
      <c r="I316" s="2" t="s">
        <v>1476</v>
      </c>
      <c r="J316" s="2" t="s">
        <v>717</v>
      </c>
      <c r="K316" s="2" t="s">
        <v>335</v>
      </c>
      <c r="L316" s="3">
        <v>80.99</v>
      </c>
      <c r="M316" s="3">
        <v>85.04</v>
      </c>
      <c r="N316" s="3">
        <v>169.99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1488</v>
      </c>
      <c r="T316" s="2" t="s">
        <v>100</v>
      </c>
      <c r="U316" s="2" t="s">
        <v>1478</v>
      </c>
      <c r="V316" s="2" t="s">
        <v>393</v>
      </c>
      <c r="W316" s="2" t="s">
        <v>309</v>
      </c>
      <c r="X316" s="2" t="s">
        <v>404</v>
      </c>
      <c r="Y316" s="2" t="s">
        <v>240</v>
      </c>
      <c r="Z316" s="4">
        <v>231</v>
      </c>
      <c r="AA316" s="4">
        <f>=ROUNDDOWN(57.75,0)</f>
      </c>
      <c r="AB316" s="5">
        <v>4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>
        <v>4</v>
      </c>
      <c r="AQ316" s="8">
        <v>364.84</v>
      </c>
      <c r="AR316" s="4"/>
      <c r="AS316" s="8"/>
      <c r="AT316" s="7"/>
      <c r="AU316" s="7"/>
      <c r="AV316" s="4">
        <v>12</v>
      </c>
      <c r="AW316" s="8">
        <v>1192.58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0.3059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0.3688</v>
      </c>
      <c r="BJ316" s="4">
        <v>125</v>
      </c>
      <c r="BK316" s="8">
        <v>11231.12</v>
      </c>
      <c r="BL316" s="2" t="s">
        <v>1489</v>
      </c>
      <c r="BM316" s="7">
        <v>0.032</v>
      </c>
      <c r="BN316" s="7">
        <v>0.0325</v>
      </c>
      <c r="BO316" s="4">
        <v>4</v>
      </c>
      <c r="BP316" s="8">
        <v>364.84</v>
      </c>
      <c r="BQ316" s="4"/>
      <c r="BR316" s="8"/>
      <c r="BS316" s="7"/>
      <c r="BT316" s="7"/>
      <c r="BU316" s="2" t="s">
        <v>109</v>
      </c>
      <c r="BV316" s="2" t="s">
        <v>110</v>
      </c>
      <c r="BW316" s="2" t="s">
        <v>328</v>
      </c>
      <c r="BX316" s="2" t="s">
        <v>1490</v>
      </c>
      <c r="BY316" s="2" t="s">
        <v>113</v>
      </c>
      <c r="BZ316" s="2" t="s">
        <v>100</v>
      </c>
    </row>
    <row r="317">
      <c r="A317" s="2" t="s">
        <v>1491</v>
      </c>
      <c r="B317" s="2" t="s">
        <v>87</v>
      </c>
      <c r="C317" s="2" t="s">
        <v>88</v>
      </c>
      <c r="D317" s="2" t="s">
        <v>803</v>
      </c>
      <c r="E317" s="2" t="s">
        <v>1475</v>
      </c>
      <c r="F317" s="2" t="s">
        <v>389</v>
      </c>
      <c r="G317" s="2" t="s">
        <v>390</v>
      </c>
      <c r="H317" s="2" t="s">
        <v>391</v>
      </c>
      <c r="I317" s="2" t="s">
        <v>1476</v>
      </c>
      <c r="J317" s="2" t="s">
        <v>706</v>
      </c>
      <c r="K317" s="2" t="s">
        <v>335</v>
      </c>
      <c r="L317" s="3">
        <v>83.79</v>
      </c>
      <c r="M317" s="3">
        <v>87.98</v>
      </c>
      <c r="N317" s="3">
        <v>179.99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1488</v>
      </c>
      <c r="T317" s="2" t="s">
        <v>100</v>
      </c>
      <c r="U317" s="2" t="s">
        <v>1478</v>
      </c>
      <c r="V317" s="2" t="s">
        <v>393</v>
      </c>
      <c r="W317" s="2" t="s">
        <v>309</v>
      </c>
      <c r="X317" s="2" t="s">
        <v>404</v>
      </c>
      <c r="Y317" s="2" t="s">
        <v>240</v>
      </c>
      <c r="Z317" s="4">
        <v>699</v>
      </c>
      <c r="AA317" s="4">
        <f>=ROUNDDOWN(29.125,0)</f>
      </c>
      <c r="AB317" s="5">
        <v>24</v>
      </c>
      <c r="AC317" s="2" t="s">
        <v>931</v>
      </c>
      <c r="AD317" s="4">
        <v>180</v>
      </c>
      <c r="AE317" s="4">
        <v>180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>
        <v>3</v>
      </c>
      <c r="AQ317" s="8">
        <v>289.14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0.2424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732</v>
      </c>
      <c r="BK317" s="8">
        <v>68099.06</v>
      </c>
      <c r="BL317" s="2" t="s">
        <v>1492</v>
      </c>
      <c r="BM317" s="7">
        <v>0.0041</v>
      </c>
      <c r="BN317" s="7">
        <v>0.0042</v>
      </c>
      <c r="BO317" s="4">
        <v>3</v>
      </c>
      <c r="BP317" s="8">
        <v>289.14</v>
      </c>
      <c r="BQ317" s="4"/>
      <c r="BR317" s="8"/>
      <c r="BS317" s="7"/>
      <c r="BT317" s="7"/>
      <c r="BU317" s="2" t="s">
        <v>109</v>
      </c>
      <c r="BV317" s="2" t="s">
        <v>110</v>
      </c>
      <c r="BW317" s="2" t="s">
        <v>243</v>
      </c>
      <c r="BX317" s="2" t="s">
        <v>1493</v>
      </c>
      <c r="BY317" s="2" t="s">
        <v>113</v>
      </c>
      <c r="BZ317" s="2" t="s">
        <v>100</v>
      </c>
    </row>
    <row r="318">
      <c r="A318" s="2" t="s">
        <v>1494</v>
      </c>
      <c r="B318" s="2" t="s">
        <v>87</v>
      </c>
      <c r="C318" s="2" t="s">
        <v>88</v>
      </c>
      <c r="D318" s="2" t="s">
        <v>803</v>
      </c>
      <c r="E318" s="2" t="s">
        <v>1475</v>
      </c>
      <c r="F318" s="2" t="s">
        <v>389</v>
      </c>
      <c r="G318" s="2" t="s">
        <v>390</v>
      </c>
      <c r="H318" s="2" t="s">
        <v>391</v>
      </c>
      <c r="I318" s="2" t="s">
        <v>1476</v>
      </c>
      <c r="J318" s="2" t="s">
        <v>714</v>
      </c>
      <c r="K318" s="2" t="s">
        <v>335</v>
      </c>
      <c r="L318" s="3">
        <v>94.5</v>
      </c>
      <c r="M318" s="3">
        <v>99.22</v>
      </c>
      <c r="N318" s="3">
        <v>199.99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1488</v>
      </c>
      <c r="T318" s="2" t="s">
        <v>100</v>
      </c>
      <c r="U318" s="2" t="s">
        <v>1478</v>
      </c>
      <c r="V318" s="2" t="s">
        <v>393</v>
      </c>
      <c r="W318" s="2" t="s">
        <v>309</v>
      </c>
      <c r="X318" s="2" t="s">
        <v>404</v>
      </c>
      <c r="Y318" s="2" t="s">
        <v>240</v>
      </c>
      <c r="Z318" s="4">
        <v>887</v>
      </c>
      <c r="AA318" s="4">
        <f>=ROUNDDOWN(29.5666666666667,0)</f>
      </c>
      <c r="AB318" s="5">
        <v>30</v>
      </c>
      <c r="AC318" s="2" t="s">
        <v>931</v>
      </c>
      <c r="AD318" s="4">
        <v>350</v>
      </c>
      <c r="AE318" s="4">
        <v>350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>
        <v>4</v>
      </c>
      <c r="AQ318" s="8">
        <v>430.88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0.3613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899</v>
      </c>
      <c r="BK318" s="8">
        <v>97708.63</v>
      </c>
      <c r="BL318" s="2" t="s">
        <v>839</v>
      </c>
      <c r="BM318" s="7">
        <v>0.0044</v>
      </c>
      <c r="BN318" s="7">
        <v>0.0044</v>
      </c>
      <c r="BO318" s="4">
        <v>4</v>
      </c>
      <c r="BP318" s="8">
        <v>430.88</v>
      </c>
      <c r="BQ318" s="4"/>
      <c r="BR318" s="8"/>
      <c r="BS318" s="7"/>
      <c r="BT318" s="7"/>
      <c r="BU318" s="2" t="s">
        <v>109</v>
      </c>
      <c r="BV318" s="2" t="s">
        <v>110</v>
      </c>
      <c r="BW318" s="2" t="s">
        <v>243</v>
      </c>
      <c r="BX318" s="2" t="s">
        <v>1495</v>
      </c>
      <c r="BY318" s="2" t="s">
        <v>113</v>
      </c>
      <c r="BZ318" s="2" t="s">
        <v>100</v>
      </c>
    </row>
    <row r="319">
      <c r="A319" s="2" t="s">
        <v>1496</v>
      </c>
      <c r="B319" s="2" t="s">
        <v>87</v>
      </c>
      <c r="C319" s="2" t="s">
        <v>88</v>
      </c>
      <c r="D319" s="2" t="s">
        <v>803</v>
      </c>
      <c r="E319" s="2" t="s">
        <v>1475</v>
      </c>
      <c r="F319" s="2" t="s">
        <v>389</v>
      </c>
      <c r="G319" s="2" t="s">
        <v>390</v>
      </c>
      <c r="H319" s="2" t="s">
        <v>391</v>
      </c>
      <c r="I319" s="2" t="s">
        <v>1476</v>
      </c>
      <c r="J319" s="2" t="s">
        <v>817</v>
      </c>
      <c r="K319" s="2" t="s">
        <v>335</v>
      </c>
      <c r="L319" s="3">
        <v>94.5</v>
      </c>
      <c r="M319" s="3">
        <v>99.22</v>
      </c>
      <c r="N319" s="3">
        <v>199.99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1488</v>
      </c>
      <c r="T319" s="2" t="s">
        <v>100</v>
      </c>
      <c r="U319" s="2" t="s">
        <v>1478</v>
      </c>
      <c r="V319" s="2" t="s">
        <v>393</v>
      </c>
      <c r="W319" s="2" t="s">
        <v>309</v>
      </c>
      <c r="X319" s="2" t="s">
        <v>404</v>
      </c>
      <c r="Y319" s="2" t="s">
        <v>240</v>
      </c>
      <c r="Z319" s="4">
        <v>476</v>
      </c>
      <c r="AA319" s="4">
        <f>=ROUNDDOWN(43.2727272727273,0)</f>
      </c>
      <c r="AB319" s="5">
        <v>11</v>
      </c>
      <c r="AC319" s="2" t="s">
        <v>100</v>
      </c>
      <c r="AD319" s="4"/>
      <c r="AE319" s="4"/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>
        <v>1</v>
      </c>
      <c r="AQ319" s="8">
        <v>107.72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0.0903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293</v>
      </c>
      <c r="BK319" s="8">
        <v>29805.89</v>
      </c>
      <c r="BL319" s="2" t="s">
        <v>1492</v>
      </c>
      <c r="BM319" s="7">
        <v>0.0034</v>
      </c>
      <c r="BN319" s="7">
        <v>0.0036</v>
      </c>
      <c r="BO319" s="4">
        <v>1</v>
      </c>
      <c r="BP319" s="8">
        <v>107.72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243</v>
      </c>
      <c r="BX319" s="2" t="s">
        <v>1497</v>
      </c>
      <c r="BY319" s="2" t="s">
        <v>113</v>
      </c>
      <c r="BZ319" s="2" t="s">
        <v>100</v>
      </c>
    </row>
    <row r="320">
      <c r="A320" s="2" t="s">
        <v>1498</v>
      </c>
      <c r="B320" s="2" t="s">
        <v>87</v>
      </c>
      <c r="C320" s="2" t="s">
        <v>88</v>
      </c>
      <c r="D320" s="2" t="s">
        <v>803</v>
      </c>
      <c r="E320" s="2" t="s">
        <v>1475</v>
      </c>
      <c r="F320" s="2" t="s">
        <v>389</v>
      </c>
      <c r="G320" s="2" t="s">
        <v>390</v>
      </c>
      <c r="H320" s="2" t="s">
        <v>391</v>
      </c>
      <c r="I320" s="2" t="s">
        <v>1476</v>
      </c>
      <c r="J320" s="2" t="s">
        <v>706</v>
      </c>
      <c r="K320" s="2" t="s">
        <v>578</v>
      </c>
      <c r="L320" s="3">
        <v>83.79</v>
      </c>
      <c r="M320" s="3">
        <v>87.98</v>
      </c>
      <c r="N320" s="3">
        <v>179.99</v>
      </c>
      <c r="O320" s="2" t="s">
        <v>97</v>
      </c>
      <c r="P320" s="2" t="s">
        <v>119</v>
      </c>
      <c r="Q320" s="2" t="s">
        <v>99</v>
      </c>
      <c r="R320" s="2" t="s">
        <v>100</v>
      </c>
      <c r="S320" s="2" t="s">
        <v>778</v>
      </c>
      <c r="T320" s="2" t="s">
        <v>200</v>
      </c>
      <c r="U320" s="2" t="s">
        <v>1478</v>
      </c>
      <c r="V320" s="2" t="s">
        <v>393</v>
      </c>
      <c r="W320" s="2" t="s">
        <v>309</v>
      </c>
      <c r="X320" s="2" t="s">
        <v>100</v>
      </c>
      <c r="Y320" s="2" t="s">
        <v>779</v>
      </c>
      <c r="Z320" s="4">
        <v>211</v>
      </c>
      <c r="AA320" s="4">
        <f>=ROUNDDOWN(35.1666666666667,0)</f>
      </c>
      <c r="AB320" s="5">
        <v>6</v>
      </c>
      <c r="AC320" s="2" t="s">
        <v>872</v>
      </c>
      <c r="AD320" s="4">
        <v>70</v>
      </c>
      <c r="AE320" s="4">
        <v>70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208</v>
      </c>
      <c r="BK320" s="8">
        <v>18936.23</v>
      </c>
      <c r="BL320" s="2" t="s">
        <v>1499</v>
      </c>
      <c r="BM320" s="7"/>
      <c r="BN320" s="7"/>
      <c r="BO320" s="4"/>
      <c r="BP320" s="8"/>
      <c r="BQ320" s="4"/>
      <c r="BR320" s="8"/>
      <c r="BS320" s="7"/>
      <c r="BT320" s="7"/>
      <c r="BU320" s="2" t="s">
        <v>207</v>
      </c>
      <c r="BV320" s="2" t="s">
        <v>97</v>
      </c>
      <c r="BW320" s="2" t="s">
        <v>100</v>
      </c>
      <c r="BX320" s="2" t="s">
        <v>100</v>
      </c>
      <c r="BY320" s="2" t="s">
        <v>113</v>
      </c>
      <c r="BZ320" s="2" t="s">
        <v>245</v>
      </c>
    </row>
    <row r="321">
      <c r="A321" s="2" t="s">
        <v>1500</v>
      </c>
      <c r="B321" s="2" t="s">
        <v>87</v>
      </c>
      <c r="C321" s="2" t="s">
        <v>88</v>
      </c>
      <c r="D321" s="2" t="s">
        <v>803</v>
      </c>
      <c r="E321" s="2" t="s">
        <v>1475</v>
      </c>
      <c r="F321" s="2" t="s">
        <v>389</v>
      </c>
      <c r="G321" s="2" t="s">
        <v>390</v>
      </c>
      <c r="H321" s="2" t="s">
        <v>391</v>
      </c>
      <c r="I321" s="2" t="s">
        <v>1476</v>
      </c>
      <c r="J321" s="2" t="s">
        <v>714</v>
      </c>
      <c r="K321" s="2" t="s">
        <v>578</v>
      </c>
      <c r="L321" s="3">
        <v>94.5</v>
      </c>
      <c r="M321" s="3">
        <v>99.22</v>
      </c>
      <c r="N321" s="3">
        <v>199.99</v>
      </c>
      <c r="O321" s="2" t="s">
        <v>97</v>
      </c>
      <c r="P321" s="2" t="s">
        <v>119</v>
      </c>
      <c r="Q321" s="2" t="s">
        <v>99</v>
      </c>
      <c r="R321" s="2" t="s">
        <v>100</v>
      </c>
      <c r="S321" s="2" t="s">
        <v>778</v>
      </c>
      <c r="T321" s="2" t="s">
        <v>200</v>
      </c>
      <c r="U321" s="2" t="s">
        <v>1478</v>
      </c>
      <c r="V321" s="2" t="s">
        <v>393</v>
      </c>
      <c r="W321" s="2" t="s">
        <v>309</v>
      </c>
      <c r="X321" s="2" t="s">
        <v>100</v>
      </c>
      <c r="Y321" s="2" t="s">
        <v>779</v>
      </c>
      <c r="Z321" s="4">
        <v>320</v>
      </c>
      <c r="AA321" s="4">
        <f>=ROUNDDOWN(35.5555555555556,0)</f>
      </c>
      <c r="AB321" s="5">
        <v>9</v>
      </c>
      <c r="AC321" s="2" t="s">
        <v>872</v>
      </c>
      <c r="AD321" s="4">
        <v>100</v>
      </c>
      <c r="AE321" s="4">
        <v>100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260</v>
      </c>
      <c r="BK321" s="8">
        <v>27322.43</v>
      </c>
      <c r="BL321" s="2" t="s">
        <v>1499</v>
      </c>
      <c r="BM321" s="7"/>
      <c r="BN321" s="7"/>
      <c r="BO321" s="4"/>
      <c r="BP321" s="8"/>
      <c r="BQ321" s="4"/>
      <c r="BR321" s="8"/>
      <c r="BS321" s="7"/>
      <c r="BT321" s="7"/>
      <c r="BU321" s="2" t="s">
        <v>207</v>
      </c>
      <c r="BV321" s="2" t="s">
        <v>97</v>
      </c>
      <c r="BW321" s="2" t="s">
        <v>100</v>
      </c>
      <c r="BX321" s="2" t="s">
        <v>100</v>
      </c>
      <c r="BY321" s="2" t="s">
        <v>113</v>
      </c>
      <c r="BZ321" s="2" t="s">
        <v>245</v>
      </c>
    </row>
    <row r="322">
      <c r="A322" s="2" t="s">
        <v>1501</v>
      </c>
      <c r="B322" s="2" t="s">
        <v>87</v>
      </c>
      <c r="C322" s="2" t="s">
        <v>88</v>
      </c>
      <c r="D322" s="2" t="s">
        <v>803</v>
      </c>
      <c r="E322" s="2" t="s">
        <v>1475</v>
      </c>
      <c r="F322" s="2" t="s">
        <v>389</v>
      </c>
      <c r="G322" s="2" t="s">
        <v>390</v>
      </c>
      <c r="H322" s="2" t="s">
        <v>391</v>
      </c>
      <c r="I322" s="2" t="s">
        <v>1476</v>
      </c>
      <c r="J322" s="2" t="s">
        <v>817</v>
      </c>
      <c r="K322" s="2" t="s">
        <v>578</v>
      </c>
      <c r="L322" s="3">
        <v>94.5</v>
      </c>
      <c r="M322" s="3">
        <v>99.22</v>
      </c>
      <c r="N322" s="3">
        <v>199.99</v>
      </c>
      <c r="O322" s="2" t="s">
        <v>97</v>
      </c>
      <c r="P322" s="2" t="s">
        <v>119</v>
      </c>
      <c r="Q322" s="2" t="s">
        <v>99</v>
      </c>
      <c r="R322" s="2" t="s">
        <v>100</v>
      </c>
      <c r="S322" s="2" t="s">
        <v>778</v>
      </c>
      <c r="T322" s="2" t="s">
        <v>200</v>
      </c>
      <c r="U322" s="2" t="s">
        <v>1478</v>
      </c>
      <c r="V322" s="2" t="s">
        <v>393</v>
      </c>
      <c r="W322" s="2" t="s">
        <v>309</v>
      </c>
      <c r="X322" s="2" t="s">
        <v>100</v>
      </c>
      <c r="Y322" s="2" t="s">
        <v>779</v>
      </c>
      <c r="Z322" s="4">
        <v>146</v>
      </c>
      <c r="AA322" s="4">
        <f>=ROUNDDOWN(48.6666666666667,0)</f>
      </c>
      <c r="AB322" s="5">
        <v>3</v>
      </c>
      <c r="AC322" s="2" t="s">
        <v>872</v>
      </c>
      <c r="AD322" s="4">
        <v>30</v>
      </c>
      <c r="AE322" s="4">
        <v>30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92</v>
      </c>
      <c r="BK322" s="8">
        <v>9980.94</v>
      </c>
      <c r="BL322" s="2" t="s">
        <v>267</v>
      </c>
      <c r="BM322" s="7"/>
      <c r="BN322" s="7"/>
      <c r="BO322" s="4"/>
      <c r="BP322" s="8"/>
      <c r="BQ322" s="4"/>
      <c r="BR322" s="8"/>
      <c r="BS322" s="7"/>
      <c r="BT322" s="7"/>
      <c r="BU322" s="2" t="s">
        <v>207</v>
      </c>
      <c r="BV322" s="2" t="s">
        <v>97</v>
      </c>
      <c r="BW322" s="2" t="s">
        <v>100</v>
      </c>
      <c r="BX322" s="2" t="s">
        <v>100</v>
      </c>
      <c r="BY322" s="2" t="s">
        <v>113</v>
      </c>
      <c r="BZ322" s="2" t="s">
        <v>245</v>
      </c>
    </row>
    <row r="323">
      <c r="A323" s="2" t="s">
        <v>1502</v>
      </c>
      <c r="B323" s="2" t="s">
        <v>87</v>
      </c>
      <c r="C323" s="2" t="s">
        <v>88</v>
      </c>
      <c r="D323" s="2" t="s">
        <v>803</v>
      </c>
      <c r="E323" s="2" t="s">
        <v>1475</v>
      </c>
      <c r="F323" s="2" t="s">
        <v>1503</v>
      </c>
      <c r="G323" s="2" t="s">
        <v>1504</v>
      </c>
      <c r="H323" s="2" t="s">
        <v>1505</v>
      </c>
      <c r="I323" s="2" t="s">
        <v>1506</v>
      </c>
      <c r="J323" s="2" t="s">
        <v>714</v>
      </c>
      <c r="K323" s="2" t="s">
        <v>144</v>
      </c>
      <c r="L323" s="3">
        <v>79.85</v>
      </c>
      <c r="M323" s="3">
        <v>83.85</v>
      </c>
      <c r="N323" s="3">
        <v>169.9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1507</v>
      </c>
      <c r="T323" s="2" t="s">
        <v>100</v>
      </c>
      <c r="U323" s="2" t="s">
        <v>1478</v>
      </c>
      <c r="V323" s="2" t="s">
        <v>489</v>
      </c>
      <c r="W323" s="2" t="s">
        <v>309</v>
      </c>
      <c r="X323" s="2" t="s">
        <v>404</v>
      </c>
      <c r="Y323" s="2" t="s">
        <v>1508</v>
      </c>
      <c r="Z323" s="4">
        <v>411</v>
      </c>
      <c r="AA323" s="4">
        <f>=ROUNDDOWN(20.55,0)</f>
      </c>
      <c r="AB323" s="5">
        <v>20</v>
      </c>
      <c r="AC323" s="2" t="s">
        <v>1509</v>
      </c>
      <c r="AD323" s="4">
        <v>210</v>
      </c>
      <c r="AE323" s="4">
        <v>330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506</v>
      </c>
      <c r="BK323" s="8">
        <v>44870.18</v>
      </c>
      <c r="BL323" s="2" t="s">
        <v>1510</v>
      </c>
      <c r="BM323" s="7"/>
      <c r="BN323" s="7"/>
      <c r="BO323" s="4"/>
      <c r="BP323" s="8"/>
      <c r="BQ323" s="4"/>
      <c r="BR323" s="8"/>
      <c r="BS323" s="7"/>
      <c r="BT323" s="7"/>
      <c r="BU323" s="2" t="s">
        <v>207</v>
      </c>
      <c r="BV323" s="2" t="s">
        <v>97</v>
      </c>
      <c r="BW323" s="2" t="s">
        <v>100</v>
      </c>
      <c r="BX323" s="2" t="s">
        <v>100</v>
      </c>
      <c r="BY323" s="2" t="s">
        <v>113</v>
      </c>
      <c r="BZ323" s="2" t="s">
        <v>100</v>
      </c>
    </row>
    <row r="324">
      <c r="A324" s="2" t="s">
        <v>1511</v>
      </c>
      <c r="B324" s="2" t="s">
        <v>87</v>
      </c>
      <c r="C324" s="2" t="s">
        <v>88</v>
      </c>
      <c r="D324" s="2" t="s">
        <v>803</v>
      </c>
      <c r="E324" s="2" t="s">
        <v>1475</v>
      </c>
      <c r="F324" s="2" t="s">
        <v>1503</v>
      </c>
      <c r="G324" s="2" t="s">
        <v>1504</v>
      </c>
      <c r="H324" s="2" t="s">
        <v>1505</v>
      </c>
      <c r="I324" s="2" t="s">
        <v>1506</v>
      </c>
      <c r="J324" s="2" t="s">
        <v>817</v>
      </c>
      <c r="K324" s="2" t="s">
        <v>144</v>
      </c>
      <c r="L324" s="3">
        <v>79.9</v>
      </c>
      <c r="M324" s="3">
        <v>83.89</v>
      </c>
      <c r="N324" s="3">
        <v>169.99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1507</v>
      </c>
      <c r="T324" s="2" t="s">
        <v>100</v>
      </c>
      <c r="U324" s="2" t="s">
        <v>1478</v>
      </c>
      <c r="V324" s="2" t="s">
        <v>489</v>
      </c>
      <c r="W324" s="2" t="s">
        <v>309</v>
      </c>
      <c r="X324" s="2" t="s">
        <v>404</v>
      </c>
      <c r="Y324" s="2" t="s">
        <v>1512</v>
      </c>
      <c r="Z324" s="4">
        <v>282</v>
      </c>
      <c r="AA324" s="4">
        <f>=ROUNDDOWN(25.6363636363636,0)</f>
      </c>
      <c r="AB324" s="5">
        <v>11</v>
      </c>
      <c r="AC324" s="2" t="s">
        <v>1509</v>
      </c>
      <c r="AD324" s="4">
        <v>160</v>
      </c>
      <c r="AE324" s="4">
        <v>200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255</v>
      </c>
      <c r="BK324" s="8">
        <v>21742.51</v>
      </c>
      <c r="BL324" s="2" t="s">
        <v>886</v>
      </c>
      <c r="BM324" s="7"/>
      <c r="BN324" s="7"/>
      <c r="BO324" s="4"/>
      <c r="BP324" s="8"/>
      <c r="BQ324" s="4"/>
      <c r="BR324" s="8"/>
      <c r="BS324" s="7"/>
      <c r="BT324" s="7"/>
      <c r="BU324" s="2" t="s">
        <v>207</v>
      </c>
      <c r="BV324" s="2" t="s">
        <v>97</v>
      </c>
      <c r="BW324" s="2" t="s">
        <v>100</v>
      </c>
      <c r="BX324" s="2" t="s">
        <v>100</v>
      </c>
      <c r="BY324" s="2" t="s">
        <v>113</v>
      </c>
      <c r="BZ324" s="2" t="s">
        <v>100</v>
      </c>
    </row>
    <row r="325">
      <c r="A325" s="2" t="s">
        <v>1513</v>
      </c>
      <c r="B325" s="2" t="s">
        <v>87</v>
      </c>
      <c r="C325" s="2" t="s">
        <v>88</v>
      </c>
      <c r="D325" s="2" t="s">
        <v>803</v>
      </c>
      <c r="E325" s="2" t="s">
        <v>1475</v>
      </c>
      <c r="F325" s="2" t="s">
        <v>1503</v>
      </c>
      <c r="G325" s="2" t="s">
        <v>1504</v>
      </c>
      <c r="H325" s="2" t="s">
        <v>1505</v>
      </c>
      <c r="I325" s="2" t="s">
        <v>1506</v>
      </c>
      <c r="J325" s="2" t="s">
        <v>706</v>
      </c>
      <c r="K325" s="2" t="s">
        <v>1340</v>
      </c>
      <c r="L325" s="3">
        <v>70.5</v>
      </c>
      <c r="M325" s="3">
        <v>74.02</v>
      </c>
      <c r="N325" s="3">
        <v>149.99</v>
      </c>
      <c r="O325" s="2" t="s">
        <v>97</v>
      </c>
      <c r="P325" s="2" t="s">
        <v>225</v>
      </c>
      <c r="Q325" s="2" t="s">
        <v>99</v>
      </c>
      <c r="R325" s="2" t="s">
        <v>100</v>
      </c>
      <c r="S325" s="2" t="s">
        <v>1514</v>
      </c>
      <c r="T325" s="2" t="s">
        <v>200</v>
      </c>
      <c r="U325" s="2" t="s">
        <v>1478</v>
      </c>
      <c r="V325" s="2" t="s">
        <v>489</v>
      </c>
      <c r="W325" s="2" t="s">
        <v>309</v>
      </c>
      <c r="X325" s="2" t="s">
        <v>404</v>
      </c>
      <c r="Y325" s="2" t="s">
        <v>1515</v>
      </c>
      <c r="Z325" s="4">
        <v>224</v>
      </c>
      <c r="AA325" s="4">
        <f>=ROUNDDOWN(24.8888888888889,0)</f>
      </c>
      <c r="AB325" s="5">
        <v>9</v>
      </c>
      <c r="AC325" s="2" t="s">
        <v>1516</v>
      </c>
      <c r="AD325" s="4">
        <v>200</v>
      </c>
      <c r="AE325" s="4">
        <v>200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54</v>
      </c>
      <c r="BK325" s="8">
        <v>4047.01</v>
      </c>
      <c r="BL325" s="2" t="s">
        <v>1165</v>
      </c>
      <c r="BM325" s="7"/>
      <c r="BN325" s="7"/>
      <c r="BO325" s="4"/>
      <c r="BP325" s="8"/>
      <c r="BQ325" s="4"/>
      <c r="BR325" s="8"/>
      <c r="BS325" s="7"/>
      <c r="BT325" s="7"/>
      <c r="BU325" s="2" t="s">
        <v>207</v>
      </c>
      <c r="BV325" s="2" t="s">
        <v>97</v>
      </c>
      <c r="BW325" s="2" t="s">
        <v>100</v>
      </c>
      <c r="BX325" s="2" t="s">
        <v>100</v>
      </c>
      <c r="BY325" s="2" t="s">
        <v>113</v>
      </c>
      <c r="BZ325" s="2" t="s">
        <v>100</v>
      </c>
    </row>
    <row r="326">
      <c r="A326" s="2" t="s">
        <v>1517</v>
      </c>
      <c r="B326" s="2" t="s">
        <v>87</v>
      </c>
      <c r="C326" s="2" t="s">
        <v>88</v>
      </c>
      <c r="D326" s="2" t="s">
        <v>803</v>
      </c>
      <c r="E326" s="2" t="s">
        <v>1475</v>
      </c>
      <c r="F326" s="2" t="s">
        <v>1503</v>
      </c>
      <c r="G326" s="2" t="s">
        <v>1504</v>
      </c>
      <c r="H326" s="2" t="s">
        <v>1505</v>
      </c>
      <c r="I326" s="2" t="s">
        <v>1506</v>
      </c>
      <c r="J326" s="2" t="s">
        <v>714</v>
      </c>
      <c r="K326" s="2" t="s">
        <v>1340</v>
      </c>
      <c r="L326" s="3">
        <v>79.85</v>
      </c>
      <c r="M326" s="3">
        <v>83.85</v>
      </c>
      <c r="N326" s="3">
        <v>169.99</v>
      </c>
      <c r="O326" s="2" t="s">
        <v>97</v>
      </c>
      <c r="P326" s="2" t="s">
        <v>225</v>
      </c>
      <c r="Q326" s="2" t="s">
        <v>99</v>
      </c>
      <c r="R326" s="2" t="s">
        <v>100</v>
      </c>
      <c r="S326" s="2" t="s">
        <v>1514</v>
      </c>
      <c r="T326" s="2" t="s">
        <v>200</v>
      </c>
      <c r="U326" s="2" t="s">
        <v>1478</v>
      </c>
      <c r="V326" s="2" t="s">
        <v>489</v>
      </c>
      <c r="W326" s="2" t="s">
        <v>309</v>
      </c>
      <c r="X326" s="2" t="s">
        <v>404</v>
      </c>
      <c r="Y326" s="2" t="s">
        <v>1515</v>
      </c>
      <c r="Z326" s="4">
        <v>263</v>
      </c>
      <c r="AA326" s="4">
        <f>=ROUNDDOWN(29.2222222222222,0)</f>
      </c>
      <c r="AB326" s="5">
        <v>9</v>
      </c>
      <c r="AC326" s="2" t="s">
        <v>1516</v>
      </c>
      <c r="AD326" s="4">
        <v>160</v>
      </c>
      <c r="AE326" s="4">
        <v>160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52</v>
      </c>
      <c r="BK326" s="8">
        <v>4481.43</v>
      </c>
      <c r="BL326" s="2" t="s">
        <v>1518</v>
      </c>
      <c r="BM326" s="7"/>
      <c r="BN326" s="7"/>
      <c r="BO326" s="4"/>
      <c r="BP326" s="8"/>
      <c r="BQ326" s="4"/>
      <c r="BR326" s="8"/>
      <c r="BS326" s="7"/>
      <c r="BT326" s="7"/>
      <c r="BU326" s="2" t="s">
        <v>207</v>
      </c>
      <c r="BV326" s="2" t="s">
        <v>97</v>
      </c>
      <c r="BW326" s="2" t="s">
        <v>100</v>
      </c>
      <c r="BX326" s="2" t="s">
        <v>100</v>
      </c>
      <c r="BY326" s="2" t="s">
        <v>113</v>
      </c>
      <c r="BZ326" s="2" t="s">
        <v>100</v>
      </c>
    </row>
    <row r="327">
      <c r="A327" s="2" t="s">
        <v>1519</v>
      </c>
      <c r="B327" s="2" t="s">
        <v>87</v>
      </c>
      <c r="C327" s="2" t="s">
        <v>88</v>
      </c>
      <c r="D327" s="2" t="s">
        <v>803</v>
      </c>
      <c r="E327" s="2" t="s">
        <v>1475</v>
      </c>
      <c r="F327" s="2" t="s">
        <v>1503</v>
      </c>
      <c r="G327" s="2" t="s">
        <v>1504</v>
      </c>
      <c r="H327" s="2" t="s">
        <v>1505</v>
      </c>
      <c r="I327" s="2" t="s">
        <v>1506</v>
      </c>
      <c r="J327" s="2" t="s">
        <v>817</v>
      </c>
      <c r="K327" s="2" t="s">
        <v>1340</v>
      </c>
      <c r="L327" s="3">
        <v>79.9</v>
      </c>
      <c r="M327" s="3">
        <v>83.89</v>
      </c>
      <c r="N327" s="3">
        <v>169.99</v>
      </c>
      <c r="O327" s="2" t="s">
        <v>97</v>
      </c>
      <c r="P327" s="2" t="s">
        <v>225</v>
      </c>
      <c r="Q327" s="2" t="s">
        <v>99</v>
      </c>
      <c r="R327" s="2" t="s">
        <v>100</v>
      </c>
      <c r="S327" s="2" t="s">
        <v>1514</v>
      </c>
      <c r="T327" s="2" t="s">
        <v>200</v>
      </c>
      <c r="U327" s="2" t="s">
        <v>1478</v>
      </c>
      <c r="V327" s="2" t="s">
        <v>489</v>
      </c>
      <c r="W327" s="2" t="s">
        <v>309</v>
      </c>
      <c r="X327" s="2" t="s">
        <v>404</v>
      </c>
      <c r="Y327" s="2" t="s">
        <v>1515</v>
      </c>
      <c r="Z327" s="4">
        <v>174</v>
      </c>
      <c r="AA327" s="4">
        <f>=ROUNDDOWN(34.8,0)</f>
      </c>
      <c r="AB327" s="5">
        <v>5</v>
      </c>
      <c r="AC327" s="2" t="s">
        <v>1516</v>
      </c>
      <c r="AD327" s="4">
        <v>60</v>
      </c>
      <c r="AE327" s="4">
        <v>60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23</v>
      </c>
      <c r="BK327" s="8">
        <v>1938.11</v>
      </c>
      <c r="BL327" s="2" t="s">
        <v>1520</v>
      </c>
      <c r="BM327" s="7"/>
      <c r="BN327" s="7"/>
      <c r="BO327" s="4"/>
      <c r="BP327" s="8"/>
      <c r="BQ327" s="4"/>
      <c r="BR327" s="8"/>
      <c r="BS327" s="7"/>
      <c r="BT327" s="7"/>
      <c r="BU327" s="2" t="s">
        <v>207</v>
      </c>
      <c r="BV327" s="2" t="s">
        <v>97</v>
      </c>
      <c r="BW327" s="2" t="s">
        <v>100</v>
      </c>
      <c r="BX327" s="2" t="s">
        <v>100</v>
      </c>
      <c r="BY327" s="2" t="s">
        <v>113</v>
      </c>
      <c r="BZ327" s="2" t="s">
        <v>100</v>
      </c>
    </row>
    <row r="328">
      <c r="A328" s="2" t="s">
        <v>1521</v>
      </c>
      <c r="B328" s="2" t="s">
        <v>87</v>
      </c>
      <c r="C328" s="2" t="s">
        <v>88</v>
      </c>
      <c r="D328" s="2" t="s">
        <v>803</v>
      </c>
      <c r="E328" s="2" t="s">
        <v>1475</v>
      </c>
      <c r="F328" s="2" t="s">
        <v>1522</v>
      </c>
      <c r="G328" s="2" t="s">
        <v>1523</v>
      </c>
      <c r="H328" s="2" t="s">
        <v>1524</v>
      </c>
      <c r="I328" s="2" t="s">
        <v>1476</v>
      </c>
      <c r="J328" s="2" t="s">
        <v>706</v>
      </c>
      <c r="K328" s="2" t="s">
        <v>118</v>
      </c>
      <c r="L328" s="3">
        <v>98</v>
      </c>
      <c r="M328" s="3">
        <v>102.89</v>
      </c>
      <c r="N328" s="3">
        <v>199.99</v>
      </c>
      <c r="O328" s="2" t="s">
        <v>97</v>
      </c>
      <c r="P328" s="2" t="s">
        <v>119</v>
      </c>
      <c r="Q328" s="2" t="s">
        <v>99</v>
      </c>
      <c r="R328" s="2" t="s">
        <v>100</v>
      </c>
      <c r="S328" s="2" t="s">
        <v>1525</v>
      </c>
      <c r="T328" s="2" t="s">
        <v>100</v>
      </c>
      <c r="U328" s="2" t="s">
        <v>1478</v>
      </c>
      <c r="V328" s="2" t="s">
        <v>103</v>
      </c>
      <c r="W328" s="2" t="s">
        <v>309</v>
      </c>
      <c r="X328" s="2" t="s">
        <v>404</v>
      </c>
      <c r="Y328" s="2" t="s">
        <v>240</v>
      </c>
      <c r="Z328" s="4">
        <v>219</v>
      </c>
      <c r="AA328" s="4">
        <f>=ROUNDDOWN(21.9,0)</f>
      </c>
      <c r="AB328" s="5">
        <v>10</v>
      </c>
      <c r="AC328" s="2" t="s">
        <v>997</v>
      </c>
      <c r="AD328" s="4">
        <v>70</v>
      </c>
      <c r="AE328" s="4">
        <v>290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248</v>
      </c>
      <c r="BK328" s="8">
        <v>24184.12</v>
      </c>
      <c r="BL328" s="2" t="s">
        <v>674</v>
      </c>
      <c r="BM328" s="7"/>
      <c r="BN328" s="7"/>
      <c r="BO328" s="4"/>
      <c r="BP328" s="8"/>
      <c r="BQ328" s="4"/>
      <c r="BR328" s="8"/>
      <c r="BS328" s="7"/>
      <c r="BT328" s="7"/>
      <c r="BU328" s="2" t="s">
        <v>109</v>
      </c>
      <c r="BV328" s="2" t="s">
        <v>97</v>
      </c>
      <c r="BW328" s="2" t="s">
        <v>1085</v>
      </c>
      <c r="BX328" s="2" t="s">
        <v>1526</v>
      </c>
      <c r="BY328" s="2" t="s">
        <v>113</v>
      </c>
      <c r="BZ328" s="2" t="s">
        <v>100</v>
      </c>
    </row>
    <row r="329">
      <c r="A329" s="2" t="s">
        <v>1527</v>
      </c>
      <c r="B329" s="2" t="s">
        <v>87</v>
      </c>
      <c r="C329" s="2" t="s">
        <v>88</v>
      </c>
      <c r="D329" s="2" t="s">
        <v>803</v>
      </c>
      <c r="E329" s="2" t="s">
        <v>1475</v>
      </c>
      <c r="F329" s="2" t="s">
        <v>1522</v>
      </c>
      <c r="G329" s="2" t="s">
        <v>1523</v>
      </c>
      <c r="H329" s="2" t="s">
        <v>1524</v>
      </c>
      <c r="I329" s="2" t="s">
        <v>1476</v>
      </c>
      <c r="J329" s="2" t="s">
        <v>714</v>
      </c>
      <c r="K329" s="2" t="s">
        <v>118</v>
      </c>
      <c r="L329" s="3">
        <v>107.8</v>
      </c>
      <c r="M329" s="3">
        <v>113.18</v>
      </c>
      <c r="N329" s="3">
        <v>219.99</v>
      </c>
      <c r="O329" s="2" t="s">
        <v>97</v>
      </c>
      <c r="P329" s="2" t="s">
        <v>119</v>
      </c>
      <c r="Q329" s="2" t="s">
        <v>99</v>
      </c>
      <c r="R329" s="2" t="s">
        <v>100</v>
      </c>
      <c r="S329" s="2" t="s">
        <v>1525</v>
      </c>
      <c r="T329" s="2" t="s">
        <v>100</v>
      </c>
      <c r="U329" s="2" t="s">
        <v>1478</v>
      </c>
      <c r="V329" s="2" t="s">
        <v>103</v>
      </c>
      <c r="W329" s="2" t="s">
        <v>309</v>
      </c>
      <c r="X329" s="2" t="s">
        <v>404</v>
      </c>
      <c r="Y329" s="2" t="s">
        <v>240</v>
      </c>
      <c r="Z329" s="4">
        <v>417</v>
      </c>
      <c r="AA329" s="4">
        <f>=ROUNDDOWN(34.75,0)</f>
      </c>
      <c r="AB329" s="5">
        <v>12</v>
      </c>
      <c r="AC329" s="2" t="s">
        <v>997</v>
      </c>
      <c r="AD329" s="4">
        <v>30</v>
      </c>
      <c r="AE329" s="4">
        <v>170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207</v>
      </c>
      <c r="BK329" s="8">
        <v>21822.65</v>
      </c>
      <c r="BL329" s="2" t="s">
        <v>1528</v>
      </c>
      <c r="BM329" s="7"/>
      <c r="BN329" s="7"/>
      <c r="BO329" s="4"/>
      <c r="BP329" s="8"/>
      <c r="BQ329" s="4"/>
      <c r="BR329" s="8"/>
      <c r="BS329" s="7"/>
      <c r="BT329" s="7"/>
      <c r="BU329" s="2" t="s">
        <v>109</v>
      </c>
      <c r="BV329" s="2" t="s">
        <v>97</v>
      </c>
      <c r="BW329" s="2" t="s">
        <v>1085</v>
      </c>
      <c r="BX329" s="2" t="s">
        <v>1529</v>
      </c>
      <c r="BY329" s="2" t="s">
        <v>113</v>
      </c>
      <c r="BZ329" s="2" t="s">
        <v>100</v>
      </c>
    </row>
    <row r="330">
      <c r="A330" s="2" t="s">
        <v>1530</v>
      </c>
      <c r="B330" s="2" t="s">
        <v>87</v>
      </c>
      <c r="C330" s="2" t="s">
        <v>88</v>
      </c>
      <c r="D330" s="2" t="s">
        <v>803</v>
      </c>
      <c r="E330" s="2" t="s">
        <v>1475</v>
      </c>
      <c r="F330" s="2" t="s">
        <v>1522</v>
      </c>
      <c r="G330" s="2" t="s">
        <v>1523</v>
      </c>
      <c r="H330" s="2" t="s">
        <v>1524</v>
      </c>
      <c r="I330" s="2" t="s">
        <v>1476</v>
      </c>
      <c r="J330" s="2" t="s">
        <v>817</v>
      </c>
      <c r="K330" s="2" t="s">
        <v>118</v>
      </c>
      <c r="L330" s="3">
        <v>107.8</v>
      </c>
      <c r="M330" s="3">
        <v>113.18</v>
      </c>
      <c r="N330" s="3">
        <v>219.99</v>
      </c>
      <c r="O330" s="2" t="s">
        <v>97</v>
      </c>
      <c r="P330" s="2" t="s">
        <v>119</v>
      </c>
      <c r="Q330" s="2" t="s">
        <v>99</v>
      </c>
      <c r="R330" s="2" t="s">
        <v>100</v>
      </c>
      <c r="S330" s="2" t="s">
        <v>1525</v>
      </c>
      <c r="T330" s="2" t="s">
        <v>100</v>
      </c>
      <c r="U330" s="2" t="s">
        <v>1478</v>
      </c>
      <c r="V330" s="2" t="s">
        <v>103</v>
      </c>
      <c r="W330" s="2" t="s">
        <v>309</v>
      </c>
      <c r="X330" s="2" t="s">
        <v>404</v>
      </c>
      <c r="Y330" s="2" t="s">
        <v>240</v>
      </c>
      <c r="Z330" s="4">
        <v>246</v>
      </c>
      <c r="AA330" s="4">
        <f>=ROUNDDOWN(35.1428571428571,0)</f>
      </c>
      <c r="AB330" s="5">
        <v>7</v>
      </c>
      <c r="AC330" s="2" t="s">
        <v>997</v>
      </c>
      <c r="AD330" s="4">
        <v>100</v>
      </c>
      <c r="AE330" s="4">
        <v>140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133</v>
      </c>
      <c r="BK330" s="8">
        <v>14605.17</v>
      </c>
      <c r="BL330" s="2" t="s">
        <v>1499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97</v>
      </c>
      <c r="BW330" s="2" t="s">
        <v>1085</v>
      </c>
      <c r="BX330" s="2" t="s">
        <v>916</v>
      </c>
      <c r="BY330" s="2" t="s">
        <v>113</v>
      </c>
      <c r="BZ330" s="2" t="s">
        <v>100</v>
      </c>
    </row>
    <row r="331">
      <c r="A331" s="2" t="s">
        <v>1531</v>
      </c>
      <c r="B331" s="2" t="s">
        <v>87</v>
      </c>
      <c r="C331" s="2" t="s">
        <v>88</v>
      </c>
      <c r="D331" s="2" t="s">
        <v>803</v>
      </c>
      <c r="E331" s="2" t="s">
        <v>1532</v>
      </c>
      <c r="F331" s="2" t="s">
        <v>614</v>
      </c>
      <c r="G331" s="2" t="s">
        <v>615</v>
      </c>
      <c r="H331" s="2" t="s">
        <v>616</v>
      </c>
      <c r="I331" s="2" t="s">
        <v>1533</v>
      </c>
      <c r="J331" s="2" t="s">
        <v>237</v>
      </c>
      <c r="K331" s="2" t="s">
        <v>169</v>
      </c>
      <c r="L331" s="3">
        <v>58.5</v>
      </c>
      <c r="M331" s="3">
        <v>61.42</v>
      </c>
      <c r="N331" s="3">
        <v>129.99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625</v>
      </c>
      <c r="T331" s="2" t="s">
        <v>100</v>
      </c>
      <c r="U331" s="2" t="s">
        <v>514</v>
      </c>
      <c r="V331" s="2" t="s">
        <v>103</v>
      </c>
      <c r="W331" s="2" t="s">
        <v>158</v>
      </c>
      <c r="X331" s="2" t="s">
        <v>1534</v>
      </c>
      <c r="Y331" s="2" t="s">
        <v>1535</v>
      </c>
      <c r="Z331" s="4">
        <v>769</v>
      </c>
      <c r="AA331" s="4">
        <f>=ROUNDDOWN(128.166666666667,0)</f>
      </c>
      <c r="AB331" s="5">
        <v>6</v>
      </c>
      <c r="AC331" s="2" t="s">
        <v>100</v>
      </c>
      <c r="AD331" s="4"/>
      <c r="AE331" s="4"/>
      <c r="AF331" s="6">
        <v>71</v>
      </c>
      <c r="AG331" s="6">
        <v>79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>
        <v>5</v>
      </c>
      <c r="AW331" s="8">
        <v>435.45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>
        <v>5</v>
      </c>
      <c r="BD331" s="8">
        <v>435.45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>
        <v>1</v>
      </c>
      <c r="BJ331" s="4">
        <v>250</v>
      </c>
      <c r="BK331" s="8">
        <v>15633.48</v>
      </c>
      <c r="BL331" s="2" t="s">
        <v>553</v>
      </c>
      <c r="BM331" s="7"/>
      <c r="BN331" s="7"/>
      <c r="BO331" s="4"/>
      <c r="BP331" s="8"/>
      <c r="BQ331" s="4"/>
      <c r="BR331" s="8"/>
      <c r="BS331" s="7"/>
      <c r="BT331" s="7"/>
      <c r="BU331" s="2" t="s">
        <v>268</v>
      </c>
      <c r="BV331" s="2" t="s">
        <v>97</v>
      </c>
      <c r="BW331" s="2" t="s">
        <v>100</v>
      </c>
      <c r="BX331" s="2" t="s">
        <v>100</v>
      </c>
      <c r="BY331" s="2" t="s">
        <v>113</v>
      </c>
      <c r="BZ331" s="2" t="s">
        <v>100</v>
      </c>
    </row>
    <row r="332">
      <c r="A332" s="2" t="s">
        <v>1536</v>
      </c>
      <c r="B332" s="2" t="s">
        <v>87</v>
      </c>
      <c r="C332" s="2" t="s">
        <v>88</v>
      </c>
      <c r="D332" s="2" t="s">
        <v>803</v>
      </c>
      <c r="E332" s="2" t="s">
        <v>1532</v>
      </c>
      <c r="F332" s="2" t="s">
        <v>614</v>
      </c>
      <c r="G332" s="2" t="s">
        <v>615</v>
      </c>
      <c r="H332" s="2" t="s">
        <v>616</v>
      </c>
      <c r="I332" s="2" t="s">
        <v>1537</v>
      </c>
      <c r="J332" s="2" t="s">
        <v>270</v>
      </c>
      <c r="K332" s="2" t="s">
        <v>169</v>
      </c>
      <c r="L332" s="3">
        <v>84.6</v>
      </c>
      <c r="M332" s="3">
        <v>88.83</v>
      </c>
      <c r="N332" s="3">
        <v>179.99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625</v>
      </c>
      <c r="T332" s="2" t="s">
        <v>280</v>
      </c>
      <c r="U332" s="2" t="s">
        <v>480</v>
      </c>
      <c r="V332" s="2" t="s">
        <v>103</v>
      </c>
      <c r="W332" s="2" t="s">
        <v>158</v>
      </c>
      <c r="X332" s="2" t="s">
        <v>1534</v>
      </c>
      <c r="Y332" s="2" t="s">
        <v>620</v>
      </c>
      <c r="Z332" s="4">
        <v>1528</v>
      </c>
      <c r="AA332" s="4">
        <f>=ROUNDDOWN(72.7619047619048,0)</f>
      </c>
      <c r="AB332" s="5">
        <v>21</v>
      </c>
      <c r="AC332" s="2" t="s">
        <v>123</v>
      </c>
      <c r="AD332" s="4">
        <v>150</v>
      </c>
      <c r="AE332" s="4">
        <v>420</v>
      </c>
      <c r="AF332" s="6">
        <v>71</v>
      </c>
      <c r="AG332" s="6">
        <v>79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>
        <v>5</v>
      </c>
      <c r="AQ332" s="8">
        <v>435.45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1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798</v>
      </c>
      <c r="BK332" s="8">
        <v>70076.45</v>
      </c>
      <c r="BL332" s="2" t="s">
        <v>1538</v>
      </c>
      <c r="BM332" s="7">
        <v>0.0063</v>
      </c>
      <c r="BN332" s="7">
        <v>0.0062</v>
      </c>
      <c r="BO332" s="4">
        <v>5</v>
      </c>
      <c r="BP332" s="8">
        <v>435.45</v>
      </c>
      <c r="BQ332" s="4"/>
      <c r="BR332" s="8"/>
      <c r="BS332" s="7"/>
      <c r="BT332" s="7"/>
      <c r="BU332" s="2" t="s">
        <v>109</v>
      </c>
      <c r="BV332" s="2" t="s">
        <v>110</v>
      </c>
      <c r="BW332" s="2" t="s">
        <v>1539</v>
      </c>
      <c r="BX332" s="2" t="s">
        <v>1540</v>
      </c>
      <c r="BY332" s="2" t="s">
        <v>113</v>
      </c>
      <c r="BZ332" s="2" t="s">
        <v>100</v>
      </c>
    </row>
    <row r="333">
      <c r="A333" s="2" t="s">
        <v>1541</v>
      </c>
      <c r="B333" s="2" t="s">
        <v>87</v>
      </c>
      <c r="C333" s="2" t="s">
        <v>88</v>
      </c>
      <c r="D333" s="2" t="s">
        <v>803</v>
      </c>
      <c r="E333" s="2" t="s">
        <v>1532</v>
      </c>
      <c r="F333" s="2" t="s">
        <v>614</v>
      </c>
      <c r="G333" s="2" t="s">
        <v>615</v>
      </c>
      <c r="H333" s="2" t="s">
        <v>616</v>
      </c>
      <c r="I333" s="2" t="s">
        <v>1542</v>
      </c>
      <c r="J333" s="2" t="s">
        <v>247</v>
      </c>
      <c r="K333" s="2" t="s">
        <v>629</v>
      </c>
      <c r="L333" s="3">
        <v>73.6</v>
      </c>
      <c r="M333" s="3">
        <v>77.28</v>
      </c>
      <c r="N333" s="3">
        <v>159.99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630</v>
      </c>
      <c r="T333" s="2" t="s">
        <v>280</v>
      </c>
      <c r="U333" s="2" t="s">
        <v>480</v>
      </c>
      <c r="V333" s="2" t="s">
        <v>103</v>
      </c>
      <c r="W333" s="2" t="s">
        <v>158</v>
      </c>
      <c r="X333" s="2" t="s">
        <v>1534</v>
      </c>
      <c r="Y333" s="2" t="s">
        <v>1543</v>
      </c>
      <c r="Z333" s="4">
        <v>395</v>
      </c>
      <c r="AA333" s="4">
        <f>=ROUNDDOWN(39.5,0)</f>
      </c>
      <c r="AB333" s="5">
        <v>10</v>
      </c>
      <c r="AC333" s="2" t="s">
        <v>123</v>
      </c>
      <c r="AD333" s="4">
        <v>80</v>
      </c>
      <c r="AE333" s="4">
        <v>240</v>
      </c>
      <c r="AF333" s="6">
        <v>71</v>
      </c>
      <c r="AG333" s="6">
        <v>79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233</v>
      </c>
      <c r="BK333" s="8">
        <v>18152.6</v>
      </c>
      <c r="BL333" s="2" t="s">
        <v>1544</v>
      </c>
      <c r="BM333" s="7"/>
      <c r="BN333" s="7"/>
      <c r="BO333" s="4"/>
      <c r="BP333" s="8"/>
      <c r="BQ333" s="4"/>
      <c r="BR333" s="8"/>
      <c r="BS333" s="7"/>
      <c r="BT333" s="7"/>
      <c r="BU333" s="2" t="s">
        <v>268</v>
      </c>
      <c r="BV333" s="2" t="s">
        <v>97</v>
      </c>
      <c r="BW333" s="2" t="s">
        <v>100</v>
      </c>
      <c r="BX333" s="2" t="s">
        <v>100</v>
      </c>
      <c r="BY333" s="2" t="s">
        <v>113</v>
      </c>
      <c r="BZ333" s="2" t="s">
        <v>100</v>
      </c>
    </row>
    <row r="334">
      <c r="A334" s="2" t="s">
        <v>1545</v>
      </c>
      <c r="B334" s="2" t="s">
        <v>87</v>
      </c>
      <c r="C334" s="2" t="s">
        <v>88</v>
      </c>
      <c r="D334" s="2" t="s">
        <v>803</v>
      </c>
      <c r="E334" s="2" t="s">
        <v>1532</v>
      </c>
      <c r="F334" s="2" t="s">
        <v>614</v>
      </c>
      <c r="G334" s="2" t="s">
        <v>615</v>
      </c>
      <c r="H334" s="2" t="s">
        <v>616</v>
      </c>
      <c r="I334" s="2" t="s">
        <v>1542</v>
      </c>
      <c r="J334" s="2" t="s">
        <v>270</v>
      </c>
      <c r="K334" s="2" t="s">
        <v>629</v>
      </c>
      <c r="L334" s="3">
        <v>84.6</v>
      </c>
      <c r="M334" s="3">
        <v>88.83</v>
      </c>
      <c r="N334" s="3">
        <v>179.99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630</v>
      </c>
      <c r="T334" s="2" t="s">
        <v>280</v>
      </c>
      <c r="U334" s="2" t="s">
        <v>480</v>
      </c>
      <c r="V334" s="2" t="s">
        <v>103</v>
      </c>
      <c r="W334" s="2" t="s">
        <v>158</v>
      </c>
      <c r="X334" s="2" t="s">
        <v>1534</v>
      </c>
      <c r="Y334" s="2" t="s">
        <v>1543</v>
      </c>
      <c r="Z334" s="4">
        <v>1019</v>
      </c>
      <c r="AA334" s="4">
        <f>=ROUNDDOWN(56.6111111111111,0)</f>
      </c>
      <c r="AB334" s="5">
        <v>18</v>
      </c>
      <c r="AC334" s="2" t="s">
        <v>1546</v>
      </c>
      <c r="AD334" s="4">
        <v>110</v>
      </c>
      <c r="AE334" s="4">
        <v>110</v>
      </c>
      <c r="AF334" s="6">
        <v>71</v>
      </c>
      <c r="AG334" s="6">
        <v>79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389</v>
      </c>
      <c r="BK334" s="8">
        <v>34977.52</v>
      </c>
      <c r="BL334" s="2" t="s">
        <v>1547</v>
      </c>
      <c r="BM334" s="7"/>
      <c r="BN334" s="7"/>
      <c r="BO334" s="4"/>
      <c r="BP334" s="8"/>
      <c r="BQ334" s="4"/>
      <c r="BR334" s="8"/>
      <c r="BS334" s="7"/>
      <c r="BT334" s="7"/>
      <c r="BU334" s="2" t="s">
        <v>268</v>
      </c>
      <c r="BV334" s="2" t="s">
        <v>97</v>
      </c>
      <c r="BW334" s="2" t="s">
        <v>100</v>
      </c>
      <c r="BX334" s="2" t="s">
        <v>100</v>
      </c>
      <c r="BY334" s="2" t="s">
        <v>113</v>
      </c>
      <c r="BZ334" s="2" t="s">
        <v>100</v>
      </c>
    </row>
    <row r="335">
      <c r="A335" s="2" t="s">
        <v>1548</v>
      </c>
      <c r="B335" s="2" t="s">
        <v>87</v>
      </c>
      <c r="C335" s="2" t="s">
        <v>88</v>
      </c>
      <c r="D335" s="2" t="s">
        <v>803</v>
      </c>
      <c r="E335" s="2" t="s">
        <v>1532</v>
      </c>
      <c r="F335" s="2" t="s">
        <v>1549</v>
      </c>
      <c r="G335" s="2" t="s">
        <v>1550</v>
      </c>
      <c r="H335" s="2" t="s">
        <v>1551</v>
      </c>
      <c r="I335" s="2" t="s">
        <v>1552</v>
      </c>
      <c r="J335" s="2" t="s">
        <v>270</v>
      </c>
      <c r="K335" s="2" t="s">
        <v>169</v>
      </c>
      <c r="L335" s="3">
        <v>82.07</v>
      </c>
      <c r="M335" s="3">
        <v>86.17</v>
      </c>
      <c r="N335" s="3">
        <v>159.99</v>
      </c>
      <c r="O335" s="2" t="s">
        <v>97</v>
      </c>
      <c r="P335" s="2" t="s">
        <v>950</v>
      </c>
      <c r="Q335" s="2" t="s">
        <v>99</v>
      </c>
      <c r="R335" s="2" t="s">
        <v>100</v>
      </c>
      <c r="S335" s="2" t="s">
        <v>1553</v>
      </c>
      <c r="T335" s="2" t="s">
        <v>280</v>
      </c>
      <c r="U335" s="2" t="s">
        <v>480</v>
      </c>
      <c r="V335" s="2" t="s">
        <v>489</v>
      </c>
      <c r="W335" s="2" t="s">
        <v>158</v>
      </c>
      <c r="X335" s="2" t="s">
        <v>697</v>
      </c>
      <c r="Y335" s="2" t="s">
        <v>1554</v>
      </c>
      <c r="Z335" s="4">
        <v>1187</v>
      </c>
      <c r="AA335" s="4">
        <f>=ROUNDDOWN(59.35,0)</f>
      </c>
      <c r="AB335" s="5">
        <v>20</v>
      </c>
      <c r="AC335" s="2" t="s">
        <v>1555</v>
      </c>
      <c r="AD335" s="4">
        <v>40</v>
      </c>
      <c r="AE335" s="4">
        <v>320</v>
      </c>
      <c r="AF335" s="6">
        <v>71</v>
      </c>
      <c r="AG335" s="6">
        <v>79</v>
      </c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>
        <v>1</v>
      </c>
      <c r="AQ335" s="8">
        <v>87.09</v>
      </c>
      <c r="AR335" s="4"/>
      <c r="AS335" s="8"/>
      <c r="AT335" s="7"/>
      <c r="AU335" s="7"/>
      <c r="AV335" s="4">
        <v>1</v>
      </c>
      <c r="AW335" s="8">
        <v>87.09</v>
      </c>
      <c r="AX335" s="4"/>
      <c r="AY335" s="8"/>
      <c r="AZ335" s="7"/>
      <c r="BA335" s="7"/>
      <c r="BB335" s="7">
        <v>1</v>
      </c>
      <c r="BC335" s="4">
        <v>1</v>
      </c>
      <c r="BD335" s="8">
        <v>87.09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1</v>
      </c>
      <c r="BJ335" s="4">
        <v>726</v>
      </c>
      <c r="BK335" s="8">
        <v>65606.72</v>
      </c>
      <c r="BL335" s="2" t="s">
        <v>1556</v>
      </c>
      <c r="BM335" s="7">
        <v>0.0014</v>
      </c>
      <c r="BN335" s="7">
        <v>0.0013</v>
      </c>
      <c r="BO335" s="4">
        <v>1</v>
      </c>
      <c r="BP335" s="8">
        <v>87.09</v>
      </c>
      <c r="BQ335" s="4"/>
      <c r="BR335" s="8"/>
      <c r="BS335" s="7"/>
      <c r="BT335" s="7"/>
      <c r="BU335" s="2" t="s">
        <v>109</v>
      </c>
      <c r="BV335" s="2" t="s">
        <v>110</v>
      </c>
      <c r="BW335" s="2" t="s">
        <v>1557</v>
      </c>
      <c r="BX335" s="2" t="s">
        <v>1558</v>
      </c>
      <c r="BY335" s="2" t="s">
        <v>113</v>
      </c>
      <c r="BZ335" s="2" t="s">
        <v>245</v>
      </c>
    </row>
    <row r="336">
      <c r="A336" s="2" t="s">
        <v>1559</v>
      </c>
      <c r="B336" s="2" t="s">
        <v>87</v>
      </c>
      <c r="C336" s="2" t="s">
        <v>88</v>
      </c>
      <c r="D336" s="2" t="s">
        <v>803</v>
      </c>
      <c r="E336" s="2" t="s">
        <v>1532</v>
      </c>
      <c r="F336" s="2" t="s">
        <v>1549</v>
      </c>
      <c r="G336" s="2" t="s">
        <v>1550</v>
      </c>
      <c r="H336" s="2" t="s">
        <v>1551</v>
      </c>
      <c r="I336" s="2" t="s">
        <v>1560</v>
      </c>
      <c r="J336" s="2" t="s">
        <v>270</v>
      </c>
      <c r="K336" s="2" t="s">
        <v>629</v>
      </c>
      <c r="L336" s="3">
        <v>82.07</v>
      </c>
      <c r="M336" s="3">
        <v>86.17</v>
      </c>
      <c r="N336" s="3">
        <v>159.99</v>
      </c>
      <c r="O336" s="2" t="s">
        <v>97</v>
      </c>
      <c r="P336" s="2" t="s">
        <v>119</v>
      </c>
      <c r="Q336" s="2" t="s">
        <v>99</v>
      </c>
      <c r="R336" s="2" t="s">
        <v>100</v>
      </c>
      <c r="S336" s="2" t="s">
        <v>1561</v>
      </c>
      <c r="T336" s="2" t="s">
        <v>100</v>
      </c>
      <c r="U336" s="2" t="s">
        <v>480</v>
      </c>
      <c r="V336" s="2" t="s">
        <v>489</v>
      </c>
      <c r="W336" s="2" t="s">
        <v>158</v>
      </c>
      <c r="X336" s="2" t="s">
        <v>697</v>
      </c>
      <c r="Y336" s="2" t="s">
        <v>1543</v>
      </c>
      <c r="Z336" s="4">
        <v>1192</v>
      </c>
      <c r="AA336" s="4">
        <f>=ROUNDDOWN(79.4666666666667,0)</f>
      </c>
      <c r="AB336" s="5">
        <v>15</v>
      </c>
      <c r="AC336" s="2" t="s">
        <v>100</v>
      </c>
      <c r="AD336" s="4"/>
      <c r="AE336" s="4"/>
      <c r="AF336" s="6">
        <v>71</v>
      </c>
      <c r="AG336" s="6">
        <v>79</v>
      </c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422</v>
      </c>
      <c r="BK336" s="8">
        <v>38510.83</v>
      </c>
      <c r="BL336" s="2" t="s">
        <v>1562</v>
      </c>
      <c r="BM336" s="7"/>
      <c r="BN336" s="7"/>
      <c r="BO336" s="4"/>
      <c r="BP336" s="8"/>
      <c r="BQ336" s="4"/>
      <c r="BR336" s="8"/>
      <c r="BS336" s="7"/>
      <c r="BT336" s="7"/>
      <c r="BU336" s="2" t="s">
        <v>268</v>
      </c>
      <c r="BV336" s="2" t="s">
        <v>97</v>
      </c>
      <c r="BW336" s="2" t="s">
        <v>100</v>
      </c>
      <c r="BX336" s="2" t="s">
        <v>100</v>
      </c>
      <c r="BY336" s="2" t="s">
        <v>113</v>
      </c>
      <c r="BZ336" s="2" t="s">
        <v>100</v>
      </c>
    </row>
    <row r="337">
      <c r="A337" s="2" t="s">
        <v>1563</v>
      </c>
      <c r="B337" s="2" t="s">
        <v>87</v>
      </c>
      <c r="C337" s="2" t="s">
        <v>88</v>
      </c>
      <c r="D337" s="2" t="s">
        <v>803</v>
      </c>
      <c r="E337" s="2" t="s">
        <v>1532</v>
      </c>
      <c r="F337" s="2" t="s">
        <v>1564</v>
      </c>
      <c r="G337" s="2" t="s">
        <v>1565</v>
      </c>
      <c r="H337" s="2" t="s">
        <v>1566</v>
      </c>
      <c r="I337" s="2" t="s">
        <v>1567</v>
      </c>
      <c r="J337" s="2" t="s">
        <v>247</v>
      </c>
      <c r="K337" s="2" t="s">
        <v>118</v>
      </c>
      <c r="L337" s="3">
        <v>41.14</v>
      </c>
      <c r="M337" s="3">
        <v>43.2</v>
      </c>
      <c r="N337" s="3">
        <v>89.99</v>
      </c>
      <c r="O337" s="2" t="s">
        <v>97</v>
      </c>
      <c r="P337" s="2" t="s">
        <v>225</v>
      </c>
      <c r="Q337" s="2" t="s">
        <v>99</v>
      </c>
      <c r="R337" s="2" t="s">
        <v>100</v>
      </c>
      <c r="S337" s="2" t="s">
        <v>1568</v>
      </c>
      <c r="T337" s="2" t="s">
        <v>280</v>
      </c>
      <c r="U337" s="2" t="s">
        <v>480</v>
      </c>
      <c r="V337" s="2" t="s">
        <v>256</v>
      </c>
      <c r="W337" s="2" t="s">
        <v>561</v>
      </c>
      <c r="X337" s="2" t="s">
        <v>100</v>
      </c>
      <c r="Y337" s="2" t="s">
        <v>1569</v>
      </c>
      <c r="Z337" s="4">
        <v>249</v>
      </c>
      <c r="AA337" s="4">
        <f>=ROUNDDOWN(35.5714285714286,0)</f>
      </c>
      <c r="AB337" s="5">
        <v>7</v>
      </c>
      <c r="AC337" s="2" t="s">
        <v>100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96</v>
      </c>
      <c r="BK337" s="8">
        <v>4479.33</v>
      </c>
      <c r="BL337" s="2" t="s">
        <v>1570</v>
      </c>
      <c r="BM337" s="7"/>
      <c r="BN337" s="7"/>
      <c r="BO337" s="4"/>
      <c r="BP337" s="8"/>
      <c r="BQ337" s="4"/>
      <c r="BR337" s="8"/>
      <c r="BS337" s="7"/>
      <c r="BT337" s="7"/>
      <c r="BU337" s="2" t="s">
        <v>207</v>
      </c>
      <c r="BV337" s="2" t="s">
        <v>97</v>
      </c>
      <c r="BW337" s="2" t="s">
        <v>100</v>
      </c>
      <c r="BX337" s="2" t="s">
        <v>100</v>
      </c>
      <c r="BY337" s="2" t="s">
        <v>113</v>
      </c>
      <c r="BZ337" s="2" t="s">
        <v>100</v>
      </c>
    </row>
    <row r="338">
      <c r="A338" s="2" t="s">
        <v>1571</v>
      </c>
      <c r="B338" s="2" t="s">
        <v>87</v>
      </c>
      <c r="C338" s="2" t="s">
        <v>88</v>
      </c>
      <c r="D338" s="2" t="s">
        <v>803</v>
      </c>
      <c r="E338" s="2" t="s">
        <v>1532</v>
      </c>
      <c r="F338" s="2" t="s">
        <v>1564</v>
      </c>
      <c r="G338" s="2" t="s">
        <v>1565</v>
      </c>
      <c r="H338" s="2" t="s">
        <v>1566</v>
      </c>
      <c r="I338" s="2" t="s">
        <v>1567</v>
      </c>
      <c r="J338" s="2" t="s">
        <v>270</v>
      </c>
      <c r="K338" s="2" t="s">
        <v>118</v>
      </c>
      <c r="L338" s="3">
        <v>45.71</v>
      </c>
      <c r="M338" s="3">
        <v>48</v>
      </c>
      <c r="N338" s="3">
        <v>99.99</v>
      </c>
      <c r="O338" s="2" t="s">
        <v>97</v>
      </c>
      <c r="P338" s="2" t="s">
        <v>225</v>
      </c>
      <c r="Q338" s="2" t="s">
        <v>99</v>
      </c>
      <c r="R338" s="2" t="s">
        <v>100</v>
      </c>
      <c r="S338" s="2" t="s">
        <v>1568</v>
      </c>
      <c r="T338" s="2" t="s">
        <v>280</v>
      </c>
      <c r="U338" s="2" t="s">
        <v>480</v>
      </c>
      <c r="V338" s="2" t="s">
        <v>256</v>
      </c>
      <c r="W338" s="2" t="s">
        <v>561</v>
      </c>
      <c r="X338" s="2" t="s">
        <v>100</v>
      </c>
      <c r="Y338" s="2" t="s">
        <v>1572</v>
      </c>
      <c r="Z338" s="4">
        <v>319</v>
      </c>
      <c r="AA338" s="4">
        <f>=ROUNDDOWN(31.9,0)</f>
      </c>
      <c r="AB338" s="5">
        <v>10</v>
      </c>
      <c r="AC338" s="2" t="s">
        <v>100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104</v>
      </c>
      <c r="BK338" s="8">
        <v>5307.22</v>
      </c>
      <c r="BL338" s="2" t="s">
        <v>780</v>
      </c>
      <c r="BM338" s="7"/>
      <c r="BN338" s="7"/>
      <c r="BO338" s="4"/>
      <c r="BP338" s="8"/>
      <c r="BQ338" s="4"/>
      <c r="BR338" s="8"/>
      <c r="BS338" s="7"/>
      <c r="BT338" s="7"/>
      <c r="BU338" s="2" t="s">
        <v>207</v>
      </c>
      <c r="BV338" s="2" t="s">
        <v>97</v>
      </c>
      <c r="BW338" s="2" t="s">
        <v>100</v>
      </c>
      <c r="BX338" s="2" t="s">
        <v>100</v>
      </c>
      <c r="BY338" s="2" t="s">
        <v>113</v>
      </c>
      <c r="BZ338" s="2" t="s">
        <v>100</v>
      </c>
    </row>
    <row r="339">
      <c r="A339" s="2" t="s">
        <v>1573</v>
      </c>
      <c r="B339" s="2" t="s">
        <v>87</v>
      </c>
      <c r="C339" s="2" t="s">
        <v>88</v>
      </c>
      <c r="D339" s="2" t="s">
        <v>803</v>
      </c>
      <c r="E339" s="2" t="s">
        <v>1532</v>
      </c>
      <c r="F339" s="2" t="s">
        <v>1574</v>
      </c>
      <c r="G339" s="2" t="s">
        <v>1575</v>
      </c>
      <c r="H339" s="2" t="s">
        <v>1576</v>
      </c>
      <c r="I339" s="2" t="s">
        <v>1577</v>
      </c>
      <c r="J339" s="2" t="s">
        <v>247</v>
      </c>
      <c r="K339" s="2" t="s">
        <v>1578</v>
      </c>
      <c r="L339" s="3">
        <v>41.14</v>
      </c>
      <c r="M339" s="3">
        <v>43.2</v>
      </c>
      <c r="N339" s="3">
        <v>89.99</v>
      </c>
      <c r="O339" s="2" t="s">
        <v>97</v>
      </c>
      <c r="P339" s="2" t="s">
        <v>225</v>
      </c>
      <c r="Q339" s="2" t="s">
        <v>99</v>
      </c>
      <c r="R339" s="2" t="s">
        <v>100</v>
      </c>
      <c r="S339" s="2" t="s">
        <v>1579</v>
      </c>
      <c r="T339" s="2" t="s">
        <v>280</v>
      </c>
      <c r="U339" s="2" t="s">
        <v>480</v>
      </c>
      <c r="V339" s="2" t="s">
        <v>256</v>
      </c>
      <c r="W339" s="2" t="s">
        <v>1580</v>
      </c>
      <c r="X339" s="2" t="s">
        <v>561</v>
      </c>
      <c r="Y339" s="2" t="s">
        <v>1581</v>
      </c>
      <c r="Z339" s="4">
        <v>135</v>
      </c>
      <c r="AA339" s="4">
        <f>=ROUNDDOWN(30,0)</f>
      </c>
      <c r="AB339" s="5">
        <v>4.5</v>
      </c>
      <c r="AC339" s="2" t="s">
        <v>100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106</v>
      </c>
      <c r="BK339" s="8">
        <v>5155.42</v>
      </c>
      <c r="BL339" s="2" t="s">
        <v>1570</v>
      </c>
      <c r="BM339" s="7"/>
      <c r="BN339" s="7"/>
      <c r="BO339" s="4"/>
      <c r="BP339" s="8"/>
      <c r="BQ339" s="4"/>
      <c r="BR339" s="8"/>
      <c r="BS339" s="7"/>
      <c r="BT339" s="7"/>
      <c r="BU339" s="2" t="s">
        <v>207</v>
      </c>
      <c r="BV339" s="2" t="s">
        <v>97</v>
      </c>
      <c r="BW339" s="2" t="s">
        <v>100</v>
      </c>
      <c r="BX339" s="2" t="s">
        <v>100</v>
      </c>
      <c r="BY339" s="2" t="s">
        <v>113</v>
      </c>
      <c r="BZ339" s="2" t="s">
        <v>245</v>
      </c>
    </row>
    <row r="340">
      <c r="A340" s="2" t="s">
        <v>1582</v>
      </c>
      <c r="B340" s="2" t="s">
        <v>87</v>
      </c>
      <c r="C340" s="2" t="s">
        <v>88</v>
      </c>
      <c r="D340" s="2" t="s">
        <v>803</v>
      </c>
      <c r="E340" s="2" t="s">
        <v>1532</v>
      </c>
      <c r="F340" s="2" t="s">
        <v>1574</v>
      </c>
      <c r="G340" s="2" t="s">
        <v>1575</v>
      </c>
      <c r="H340" s="2" t="s">
        <v>1576</v>
      </c>
      <c r="I340" s="2" t="s">
        <v>1577</v>
      </c>
      <c r="J340" s="2" t="s">
        <v>270</v>
      </c>
      <c r="K340" s="2" t="s">
        <v>1578</v>
      </c>
      <c r="L340" s="3">
        <v>45.71</v>
      </c>
      <c r="M340" s="3">
        <v>48</v>
      </c>
      <c r="N340" s="3">
        <v>99.99</v>
      </c>
      <c r="O340" s="2" t="s">
        <v>97</v>
      </c>
      <c r="P340" s="2" t="s">
        <v>225</v>
      </c>
      <c r="Q340" s="2" t="s">
        <v>99</v>
      </c>
      <c r="R340" s="2" t="s">
        <v>100</v>
      </c>
      <c r="S340" s="2" t="s">
        <v>1579</v>
      </c>
      <c r="T340" s="2" t="s">
        <v>280</v>
      </c>
      <c r="U340" s="2" t="s">
        <v>480</v>
      </c>
      <c r="V340" s="2" t="s">
        <v>256</v>
      </c>
      <c r="W340" s="2" t="s">
        <v>1580</v>
      </c>
      <c r="X340" s="2" t="s">
        <v>561</v>
      </c>
      <c r="Y340" s="2" t="s">
        <v>1581</v>
      </c>
      <c r="Z340" s="4">
        <v>126</v>
      </c>
      <c r="AA340" s="4">
        <f>=ROUNDDOWN(31.5,0)</f>
      </c>
      <c r="AB340" s="5">
        <v>4</v>
      </c>
      <c r="AC340" s="2" t="s">
        <v>100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78</v>
      </c>
      <c r="BK340" s="8">
        <v>4207.21</v>
      </c>
      <c r="BL340" s="2" t="s">
        <v>1570</v>
      </c>
      <c r="BM340" s="7"/>
      <c r="BN340" s="7"/>
      <c r="BO340" s="4"/>
      <c r="BP340" s="8"/>
      <c r="BQ340" s="4"/>
      <c r="BR340" s="8"/>
      <c r="BS340" s="7"/>
      <c r="BT340" s="7"/>
      <c r="BU340" s="2" t="s">
        <v>207</v>
      </c>
      <c r="BV340" s="2" t="s">
        <v>97</v>
      </c>
      <c r="BW340" s="2" t="s">
        <v>100</v>
      </c>
      <c r="BX340" s="2" t="s">
        <v>100</v>
      </c>
      <c r="BY340" s="2" t="s">
        <v>113</v>
      </c>
      <c r="BZ340" s="2" t="s">
        <v>245</v>
      </c>
    </row>
    <row r="341">
      <c r="A341" s="2" t="s">
        <v>1583</v>
      </c>
      <c r="B341" s="2" t="s">
        <v>87</v>
      </c>
      <c r="C341" s="2" t="s">
        <v>88</v>
      </c>
      <c r="D341" s="2" t="s">
        <v>803</v>
      </c>
      <c r="E341" s="2" t="s">
        <v>1532</v>
      </c>
      <c r="F341" s="2" t="s">
        <v>1584</v>
      </c>
      <c r="G341" s="2" t="s">
        <v>1585</v>
      </c>
      <c r="H341" s="2" t="s">
        <v>1586</v>
      </c>
      <c r="I341" s="2" t="s">
        <v>1587</v>
      </c>
      <c r="J341" s="2" t="s">
        <v>247</v>
      </c>
      <c r="K341" s="2" t="s">
        <v>198</v>
      </c>
      <c r="L341" s="3">
        <v>45.71</v>
      </c>
      <c r="M341" s="3">
        <v>48</v>
      </c>
      <c r="N341" s="3">
        <v>99.99</v>
      </c>
      <c r="O341" s="2" t="s">
        <v>97</v>
      </c>
      <c r="P341" s="2" t="s">
        <v>225</v>
      </c>
      <c r="Q341" s="2" t="s">
        <v>99</v>
      </c>
      <c r="R341" s="2" t="s">
        <v>100</v>
      </c>
      <c r="S341" s="2" t="s">
        <v>1588</v>
      </c>
      <c r="T341" s="2" t="s">
        <v>218</v>
      </c>
      <c r="U341" s="2" t="s">
        <v>480</v>
      </c>
      <c r="V341" s="2" t="s">
        <v>146</v>
      </c>
      <c r="W341" s="2" t="s">
        <v>158</v>
      </c>
      <c r="X341" s="2" t="s">
        <v>219</v>
      </c>
      <c r="Y341" s="2" t="s">
        <v>1589</v>
      </c>
      <c r="Z341" s="4">
        <v>222</v>
      </c>
      <c r="AA341" s="4">
        <f>=ROUNDDOWN(55.5,0)</f>
      </c>
      <c r="AB341" s="5">
        <v>4</v>
      </c>
      <c r="AC341" s="2" t="s">
        <v>1590</v>
      </c>
      <c r="AD341" s="4">
        <v>250</v>
      </c>
      <c r="AE341" s="4">
        <v>250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23</v>
      </c>
      <c r="BK341" s="8">
        <v>1220.23</v>
      </c>
      <c r="BL341" s="2" t="s">
        <v>1591</v>
      </c>
      <c r="BM341" s="7"/>
      <c r="BN341" s="7"/>
      <c r="BO341" s="4"/>
      <c r="BP341" s="8"/>
      <c r="BQ341" s="4"/>
      <c r="BR341" s="8"/>
      <c r="BS341" s="7"/>
      <c r="BT341" s="7"/>
      <c r="BU341" s="2" t="s">
        <v>207</v>
      </c>
      <c r="BV341" s="2" t="s">
        <v>97</v>
      </c>
      <c r="BW341" s="2" t="s">
        <v>100</v>
      </c>
      <c r="BX341" s="2" t="s">
        <v>100</v>
      </c>
      <c r="BY341" s="2" t="s">
        <v>113</v>
      </c>
      <c r="BZ341" s="2" t="s">
        <v>100</v>
      </c>
    </row>
    <row r="342">
      <c r="A342" s="2" t="s">
        <v>1592</v>
      </c>
      <c r="B342" s="2" t="s">
        <v>87</v>
      </c>
      <c r="C342" s="2" t="s">
        <v>88</v>
      </c>
      <c r="D342" s="2" t="s">
        <v>803</v>
      </c>
      <c r="E342" s="2" t="s">
        <v>1532</v>
      </c>
      <c r="F342" s="2" t="s">
        <v>1584</v>
      </c>
      <c r="G342" s="2" t="s">
        <v>1585</v>
      </c>
      <c r="H342" s="2" t="s">
        <v>1586</v>
      </c>
      <c r="I342" s="2" t="s">
        <v>1587</v>
      </c>
      <c r="J342" s="2" t="s">
        <v>270</v>
      </c>
      <c r="K342" s="2" t="s">
        <v>198</v>
      </c>
      <c r="L342" s="3">
        <v>50.28</v>
      </c>
      <c r="M342" s="3">
        <v>52.79</v>
      </c>
      <c r="N342" s="3">
        <v>109.99</v>
      </c>
      <c r="O342" s="2" t="s">
        <v>97</v>
      </c>
      <c r="P342" s="2" t="s">
        <v>225</v>
      </c>
      <c r="Q342" s="2" t="s">
        <v>99</v>
      </c>
      <c r="R342" s="2" t="s">
        <v>100</v>
      </c>
      <c r="S342" s="2" t="s">
        <v>1588</v>
      </c>
      <c r="T342" s="2" t="s">
        <v>218</v>
      </c>
      <c r="U342" s="2" t="s">
        <v>480</v>
      </c>
      <c r="V342" s="2" t="s">
        <v>146</v>
      </c>
      <c r="W342" s="2" t="s">
        <v>158</v>
      </c>
      <c r="X342" s="2" t="s">
        <v>219</v>
      </c>
      <c r="Y342" s="2" t="s">
        <v>1589</v>
      </c>
      <c r="Z342" s="4">
        <v>105</v>
      </c>
      <c r="AA342" s="4">
        <f>=ROUNDDOWN(26.25,0)</f>
      </c>
      <c r="AB342" s="5">
        <v>4</v>
      </c>
      <c r="AC342" s="2" t="s">
        <v>1590</v>
      </c>
      <c r="AD342" s="4">
        <v>150</v>
      </c>
      <c r="AE342" s="4">
        <v>150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31</v>
      </c>
      <c r="BK342" s="8">
        <v>1785.22</v>
      </c>
      <c r="BL342" s="2" t="s">
        <v>1593</v>
      </c>
      <c r="BM342" s="7"/>
      <c r="BN342" s="7"/>
      <c r="BO342" s="4"/>
      <c r="BP342" s="8"/>
      <c r="BQ342" s="4"/>
      <c r="BR342" s="8"/>
      <c r="BS342" s="7"/>
      <c r="BT342" s="7"/>
      <c r="BU342" s="2" t="s">
        <v>207</v>
      </c>
      <c r="BV342" s="2" t="s">
        <v>97</v>
      </c>
      <c r="BW342" s="2" t="s">
        <v>100</v>
      </c>
      <c r="BX342" s="2" t="s">
        <v>100</v>
      </c>
      <c r="BY342" s="2" t="s">
        <v>113</v>
      </c>
      <c r="BZ342" s="2" t="s">
        <v>100</v>
      </c>
    </row>
    <row r="343">
      <c r="A343" s="2" t="s">
        <v>1594</v>
      </c>
      <c r="B343" s="2" t="s">
        <v>87</v>
      </c>
      <c r="C343" s="2" t="s">
        <v>88</v>
      </c>
      <c r="D343" s="2" t="s">
        <v>803</v>
      </c>
      <c r="E343" s="2" t="s">
        <v>1532</v>
      </c>
      <c r="F343" s="2" t="s">
        <v>1584</v>
      </c>
      <c r="G343" s="2" t="s">
        <v>1585</v>
      </c>
      <c r="H343" s="2" t="s">
        <v>1586</v>
      </c>
      <c r="I343" s="2" t="s">
        <v>1587</v>
      </c>
      <c r="J343" s="2" t="s">
        <v>247</v>
      </c>
      <c r="K343" s="2" t="s">
        <v>189</v>
      </c>
      <c r="L343" s="3">
        <v>45.71</v>
      </c>
      <c r="M343" s="3">
        <v>48</v>
      </c>
      <c r="N343" s="3">
        <v>99.99</v>
      </c>
      <c r="O343" s="2" t="s">
        <v>97</v>
      </c>
      <c r="P343" s="2" t="s">
        <v>225</v>
      </c>
      <c r="Q343" s="2" t="s">
        <v>99</v>
      </c>
      <c r="R343" s="2" t="s">
        <v>100</v>
      </c>
      <c r="S343" s="2" t="s">
        <v>1595</v>
      </c>
      <c r="T343" s="2" t="s">
        <v>218</v>
      </c>
      <c r="U343" s="2" t="s">
        <v>480</v>
      </c>
      <c r="V343" s="2" t="s">
        <v>146</v>
      </c>
      <c r="W343" s="2" t="s">
        <v>158</v>
      </c>
      <c r="X343" s="2" t="s">
        <v>219</v>
      </c>
      <c r="Y343" s="2" t="s">
        <v>1589</v>
      </c>
      <c r="Z343" s="4">
        <v>205</v>
      </c>
      <c r="AA343" s="4">
        <f>=ROUNDDOWN(41,0)</f>
      </c>
      <c r="AB343" s="5">
        <v>5</v>
      </c>
      <c r="AC343" s="2" t="s">
        <v>1590</v>
      </c>
      <c r="AD343" s="4">
        <v>250</v>
      </c>
      <c r="AE343" s="4">
        <v>250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36</v>
      </c>
      <c r="BK343" s="8">
        <v>1869.22</v>
      </c>
      <c r="BL343" s="2" t="s">
        <v>1596</v>
      </c>
      <c r="BM343" s="7"/>
      <c r="BN343" s="7"/>
      <c r="BO343" s="4"/>
      <c r="BP343" s="8"/>
      <c r="BQ343" s="4"/>
      <c r="BR343" s="8"/>
      <c r="BS343" s="7"/>
      <c r="BT343" s="7"/>
      <c r="BU343" s="2" t="s">
        <v>207</v>
      </c>
      <c r="BV343" s="2" t="s">
        <v>97</v>
      </c>
      <c r="BW343" s="2" t="s">
        <v>100</v>
      </c>
      <c r="BX343" s="2" t="s">
        <v>100</v>
      </c>
      <c r="BY343" s="2" t="s">
        <v>113</v>
      </c>
      <c r="BZ343" s="2" t="s">
        <v>100</v>
      </c>
    </row>
    <row r="344">
      <c r="A344" s="2" t="s">
        <v>1597</v>
      </c>
      <c r="B344" s="2" t="s">
        <v>87</v>
      </c>
      <c r="C344" s="2" t="s">
        <v>88</v>
      </c>
      <c r="D344" s="2" t="s">
        <v>803</v>
      </c>
      <c r="E344" s="2" t="s">
        <v>1532</v>
      </c>
      <c r="F344" s="2" t="s">
        <v>1584</v>
      </c>
      <c r="G344" s="2" t="s">
        <v>1585</v>
      </c>
      <c r="H344" s="2" t="s">
        <v>1586</v>
      </c>
      <c r="I344" s="2" t="s">
        <v>1587</v>
      </c>
      <c r="J344" s="2" t="s">
        <v>270</v>
      </c>
      <c r="K344" s="2" t="s">
        <v>189</v>
      </c>
      <c r="L344" s="3">
        <v>50.28</v>
      </c>
      <c r="M344" s="3">
        <v>52.79</v>
      </c>
      <c r="N344" s="3">
        <v>109.99</v>
      </c>
      <c r="O344" s="2" t="s">
        <v>97</v>
      </c>
      <c r="P344" s="2" t="s">
        <v>225</v>
      </c>
      <c r="Q344" s="2" t="s">
        <v>99</v>
      </c>
      <c r="R344" s="2" t="s">
        <v>100</v>
      </c>
      <c r="S344" s="2" t="s">
        <v>1595</v>
      </c>
      <c r="T344" s="2" t="s">
        <v>218</v>
      </c>
      <c r="U344" s="2" t="s">
        <v>480</v>
      </c>
      <c r="V344" s="2" t="s">
        <v>146</v>
      </c>
      <c r="W344" s="2" t="s">
        <v>158</v>
      </c>
      <c r="X344" s="2" t="s">
        <v>219</v>
      </c>
      <c r="Y344" s="2" t="s">
        <v>1589</v>
      </c>
      <c r="Z344" s="4">
        <v>114</v>
      </c>
      <c r="AA344" s="4">
        <f>=ROUNDDOWN(38,0)</f>
      </c>
      <c r="AB344" s="5">
        <v>3</v>
      </c>
      <c r="AC344" s="2" t="s">
        <v>1590</v>
      </c>
      <c r="AD344" s="4">
        <v>150</v>
      </c>
      <c r="AE344" s="4">
        <v>150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28</v>
      </c>
      <c r="BK344" s="8">
        <v>1611.36</v>
      </c>
      <c r="BL344" s="2" t="s">
        <v>1072</v>
      </c>
      <c r="BM344" s="7"/>
      <c r="BN344" s="7"/>
      <c r="BO344" s="4"/>
      <c r="BP344" s="8"/>
      <c r="BQ344" s="4"/>
      <c r="BR344" s="8"/>
      <c r="BS344" s="7"/>
      <c r="BT344" s="7"/>
      <c r="BU344" s="2" t="s">
        <v>207</v>
      </c>
      <c r="BV344" s="2" t="s">
        <v>97</v>
      </c>
      <c r="BW344" s="2" t="s">
        <v>100</v>
      </c>
      <c r="BX344" s="2" t="s">
        <v>100</v>
      </c>
      <c r="BY344" s="2" t="s">
        <v>113</v>
      </c>
      <c r="BZ344" s="2" t="s">
        <v>100</v>
      </c>
    </row>
    <row r="345">
      <c r="A345" s="2" t="s">
        <v>1598</v>
      </c>
      <c r="B345" s="2" t="s">
        <v>87</v>
      </c>
      <c r="C345" s="2" t="s">
        <v>88</v>
      </c>
      <c r="D345" s="2" t="s">
        <v>803</v>
      </c>
      <c r="E345" s="2" t="s">
        <v>1532</v>
      </c>
      <c r="F345" s="2" t="s">
        <v>1599</v>
      </c>
      <c r="G345" s="2" t="s">
        <v>1600</v>
      </c>
      <c r="H345" s="2" t="s">
        <v>1601</v>
      </c>
      <c r="I345" s="2" t="s">
        <v>1602</v>
      </c>
      <c r="J345" s="2" t="s">
        <v>247</v>
      </c>
      <c r="K345" s="2" t="s">
        <v>1603</v>
      </c>
      <c r="L345" s="3">
        <v>36.57</v>
      </c>
      <c r="M345" s="3">
        <v>38.4</v>
      </c>
      <c r="N345" s="3">
        <v>79.99</v>
      </c>
      <c r="O345" s="2" t="s">
        <v>97</v>
      </c>
      <c r="P345" s="2" t="s">
        <v>225</v>
      </c>
      <c r="Q345" s="2" t="s">
        <v>99</v>
      </c>
      <c r="R345" s="2" t="s">
        <v>100</v>
      </c>
      <c r="S345" s="2" t="s">
        <v>1604</v>
      </c>
      <c r="T345" s="2" t="s">
        <v>280</v>
      </c>
      <c r="U345" s="2" t="s">
        <v>480</v>
      </c>
      <c r="V345" s="2" t="s">
        <v>256</v>
      </c>
      <c r="W345" s="2" t="s">
        <v>158</v>
      </c>
      <c r="X345" s="2" t="s">
        <v>561</v>
      </c>
      <c r="Y345" s="2" t="s">
        <v>1605</v>
      </c>
      <c r="Z345" s="4">
        <v>242</v>
      </c>
      <c r="AA345" s="4">
        <f>=ROUNDDOWN(30.25,0)</f>
      </c>
      <c r="AB345" s="5">
        <v>8</v>
      </c>
      <c r="AC345" s="2" t="s">
        <v>100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126</v>
      </c>
      <c r="BK345" s="8">
        <v>5198.48</v>
      </c>
      <c r="BL345" s="2" t="s">
        <v>1326</v>
      </c>
      <c r="BM345" s="7"/>
      <c r="BN345" s="7"/>
      <c r="BO345" s="4"/>
      <c r="BP345" s="8"/>
      <c r="BQ345" s="4"/>
      <c r="BR345" s="8"/>
      <c r="BS345" s="7"/>
      <c r="BT345" s="7"/>
      <c r="BU345" s="2" t="s">
        <v>207</v>
      </c>
      <c r="BV345" s="2" t="s">
        <v>97</v>
      </c>
      <c r="BW345" s="2" t="s">
        <v>100</v>
      </c>
      <c r="BX345" s="2" t="s">
        <v>100</v>
      </c>
      <c r="BY345" s="2" t="s">
        <v>113</v>
      </c>
      <c r="BZ345" s="2" t="s">
        <v>100</v>
      </c>
    </row>
    <row r="346">
      <c r="A346" s="2" t="s">
        <v>1606</v>
      </c>
      <c r="B346" s="2" t="s">
        <v>87</v>
      </c>
      <c r="C346" s="2" t="s">
        <v>88</v>
      </c>
      <c r="D346" s="2" t="s">
        <v>803</v>
      </c>
      <c r="E346" s="2" t="s">
        <v>1532</v>
      </c>
      <c r="F346" s="2" t="s">
        <v>1599</v>
      </c>
      <c r="G346" s="2" t="s">
        <v>1600</v>
      </c>
      <c r="H346" s="2" t="s">
        <v>1601</v>
      </c>
      <c r="I346" s="2" t="s">
        <v>1602</v>
      </c>
      <c r="J346" s="2" t="s">
        <v>270</v>
      </c>
      <c r="K346" s="2" t="s">
        <v>1603</v>
      </c>
      <c r="L346" s="3">
        <v>41.14</v>
      </c>
      <c r="M346" s="3">
        <v>43.2</v>
      </c>
      <c r="N346" s="3">
        <v>89.99</v>
      </c>
      <c r="O346" s="2" t="s">
        <v>97</v>
      </c>
      <c r="P346" s="2" t="s">
        <v>225</v>
      </c>
      <c r="Q346" s="2" t="s">
        <v>99</v>
      </c>
      <c r="R346" s="2" t="s">
        <v>100</v>
      </c>
      <c r="S346" s="2" t="s">
        <v>1604</v>
      </c>
      <c r="T346" s="2" t="s">
        <v>280</v>
      </c>
      <c r="U346" s="2" t="s">
        <v>480</v>
      </c>
      <c r="V346" s="2" t="s">
        <v>256</v>
      </c>
      <c r="W346" s="2" t="s">
        <v>158</v>
      </c>
      <c r="X346" s="2" t="s">
        <v>561</v>
      </c>
      <c r="Y346" s="2" t="s">
        <v>1607</v>
      </c>
      <c r="Z346" s="4">
        <v>102</v>
      </c>
      <c r="AA346" s="4">
        <f>=ROUNDDOWN(17,0)</f>
      </c>
      <c r="AB346" s="5">
        <v>6</v>
      </c>
      <c r="AC346" s="2" t="s">
        <v>100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111</v>
      </c>
      <c r="BK346" s="8">
        <v>5194.04</v>
      </c>
      <c r="BL346" s="2" t="s">
        <v>1608</v>
      </c>
      <c r="BM346" s="7"/>
      <c r="BN346" s="7"/>
      <c r="BO346" s="4"/>
      <c r="BP346" s="8"/>
      <c r="BQ346" s="4"/>
      <c r="BR346" s="8"/>
      <c r="BS346" s="7"/>
      <c r="BT346" s="7"/>
      <c r="BU346" s="2" t="s">
        <v>207</v>
      </c>
      <c r="BV346" s="2" t="s">
        <v>97</v>
      </c>
      <c r="BW346" s="2" t="s">
        <v>100</v>
      </c>
      <c r="BX346" s="2" t="s">
        <v>100</v>
      </c>
      <c r="BY346" s="2" t="s">
        <v>113</v>
      </c>
      <c r="BZ346" s="2" t="s">
        <v>100</v>
      </c>
    </row>
    <row r="347">
      <c r="A347" s="2" t="s">
        <v>1609</v>
      </c>
      <c r="B347" s="2" t="s">
        <v>87</v>
      </c>
      <c r="C347" s="2" t="s">
        <v>88</v>
      </c>
      <c r="D347" s="2" t="s">
        <v>803</v>
      </c>
      <c r="E347" s="2" t="s">
        <v>1532</v>
      </c>
      <c r="F347" s="2" t="s">
        <v>1610</v>
      </c>
      <c r="G347" s="2" t="s">
        <v>1611</v>
      </c>
      <c r="H347" s="2" t="s">
        <v>1612</v>
      </c>
      <c r="I347" s="2" t="s">
        <v>1613</v>
      </c>
      <c r="J347" s="2" t="s">
        <v>247</v>
      </c>
      <c r="K347" s="2" t="s">
        <v>1614</v>
      </c>
      <c r="L347" s="3">
        <v>47.61</v>
      </c>
      <c r="M347" s="3">
        <v>49.99</v>
      </c>
      <c r="N347" s="3">
        <v>99.99</v>
      </c>
      <c r="O347" s="2" t="s">
        <v>97</v>
      </c>
      <c r="P347" s="2" t="s">
        <v>225</v>
      </c>
      <c r="Q347" s="2" t="s">
        <v>99</v>
      </c>
      <c r="R347" s="2" t="s">
        <v>100</v>
      </c>
      <c r="S347" s="2" t="s">
        <v>1615</v>
      </c>
      <c r="T347" s="2" t="s">
        <v>200</v>
      </c>
      <c r="U347" s="2" t="s">
        <v>480</v>
      </c>
      <c r="V347" s="2" t="s">
        <v>103</v>
      </c>
      <c r="W347" s="2" t="s">
        <v>219</v>
      </c>
      <c r="X347" s="2" t="s">
        <v>158</v>
      </c>
      <c r="Y347" s="2" t="s">
        <v>1616</v>
      </c>
      <c r="Z347" s="4">
        <v>339</v>
      </c>
      <c r="AA347" s="4">
        <f>=ROUNDDOWN(37.6666666666667,0)</f>
      </c>
      <c r="AB347" s="5">
        <v>9</v>
      </c>
      <c r="AC347" s="2" t="s">
        <v>100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84</v>
      </c>
      <c r="BK347" s="8">
        <v>4509.48</v>
      </c>
      <c r="BL347" s="2" t="s">
        <v>1617</v>
      </c>
      <c r="BM347" s="7"/>
      <c r="BN347" s="7"/>
      <c r="BO347" s="4"/>
      <c r="BP347" s="8"/>
      <c r="BQ347" s="4"/>
      <c r="BR347" s="8"/>
      <c r="BS347" s="7"/>
      <c r="BT347" s="7"/>
      <c r="BU347" s="2" t="s">
        <v>207</v>
      </c>
      <c r="BV347" s="2" t="s">
        <v>97</v>
      </c>
      <c r="BW347" s="2" t="s">
        <v>100</v>
      </c>
      <c r="BX347" s="2" t="s">
        <v>100</v>
      </c>
      <c r="BY347" s="2" t="s">
        <v>113</v>
      </c>
      <c r="BZ347" s="2" t="s">
        <v>100</v>
      </c>
    </row>
    <row r="348">
      <c r="A348" s="2" t="s">
        <v>1618</v>
      </c>
      <c r="B348" s="2" t="s">
        <v>87</v>
      </c>
      <c r="C348" s="2" t="s">
        <v>88</v>
      </c>
      <c r="D348" s="2" t="s">
        <v>803</v>
      </c>
      <c r="E348" s="2" t="s">
        <v>1532</v>
      </c>
      <c r="F348" s="2" t="s">
        <v>1610</v>
      </c>
      <c r="G348" s="2" t="s">
        <v>1611</v>
      </c>
      <c r="H348" s="2" t="s">
        <v>1612</v>
      </c>
      <c r="I348" s="2" t="s">
        <v>1613</v>
      </c>
      <c r="J348" s="2" t="s">
        <v>270</v>
      </c>
      <c r="K348" s="2" t="s">
        <v>1614</v>
      </c>
      <c r="L348" s="3">
        <v>57.14</v>
      </c>
      <c r="M348" s="3">
        <v>60</v>
      </c>
      <c r="N348" s="3">
        <v>119.99</v>
      </c>
      <c r="O348" s="2" t="s">
        <v>97</v>
      </c>
      <c r="P348" s="2" t="s">
        <v>225</v>
      </c>
      <c r="Q348" s="2" t="s">
        <v>99</v>
      </c>
      <c r="R348" s="2" t="s">
        <v>100</v>
      </c>
      <c r="S348" s="2" t="s">
        <v>1615</v>
      </c>
      <c r="T348" s="2" t="s">
        <v>200</v>
      </c>
      <c r="U348" s="2" t="s">
        <v>480</v>
      </c>
      <c r="V348" s="2" t="s">
        <v>103</v>
      </c>
      <c r="W348" s="2" t="s">
        <v>219</v>
      </c>
      <c r="X348" s="2" t="s">
        <v>158</v>
      </c>
      <c r="Y348" s="2" t="s">
        <v>1616</v>
      </c>
      <c r="Z348" s="4">
        <v>427</v>
      </c>
      <c r="AA348" s="4">
        <f>=ROUNDDOWN(35.5833333333333,0)</f>
      </c>
      <c r="AB348" s="5">
        <v>12</v>
      </c>
      <c r="AC348" s="2" t="s">
        <v>100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112</v>
      </c>
      <c r="BK348" s="8">
        <v>7220.73</v>
      </c>
      <c r="BL348" s="2" t="s">
        <v>1619</v>
      </c>
      <c r="BM348" s="7"/>
      <c r="BN348" s="7"/>
      <c r="BO348" s="4"/>
      <c r="BP348" s="8"/>
      <c r="BQ348" s="4"/>
      <c r="BR348" s="8"/>
      <c r="BS348" s="7"/>
      <c r="BT348" s="7"/>
      <c r="BU348" s="2" t="s">
        <v>207</v>
      </c>
      <c r="BV348" s="2" t="s">
        <v>97</v>
      </c>
      <c r="BW348" s="2" t="s">
        <v>100</v>
      </c>
      <c r="BX348" s="2" t="s">
        <v>100</v>
      </c>
      <c r="BY348" s="2" t="s">
        <v>113</v>
      </c>
      <c r="BZ348" s="2" t="s">
        <v>100</v>
      </c>
    </row>
    <row r="349">
      <c r="A349" s="2" t="s">
        <v>1620</v>
      </c>
      <c r="B349" s="2" t="s">
        <v>87</v>
      </c>
      <c r="C349" s="2" t="s">
        <v>88</v>
      </c>
      <c r="D349" s="2" t="s">
        <v>803</v>
      </c>
      <c r="E349" s="2" t="s">
        <v>1532</v>
      </c>
      <c r="F349" s="2" t="s">
        <v>1621</v>
      </c>
      <c r="G349" s="2" t="s">
        <v>1622</v>
      </c>
      <c r="H349" s="2" t="s">
        <v>1623</v>
      </c>
      <c r="I349" s="2" t="s">
        <v>1624</v>
      </c>
      <c r="J349" s="2" t="s">
        <v>247</v>
      </c>
      <c r="K349" s="2" t="s">
        <v>169</v>
      </c>
      <c r="L349" s="3">
        <v>73.5</v>
      </c>
      <c r="M349" s="3">
        <v>77.17</v>
      </c>
      <c r="N349" s="3">
        <v>149.99</v>
      </c>
      <c r="O349" s="2" t="s">
        <v>97</v>
      </c>
      <c r="P349" s="2" t="s">
        <v>119</v>
      </c>
      <c r="Q349" s="2" t="s">
        <v>99</v>
      </c>
      <c r="R349" s="2" t="s">
        <v>100</v>
      </c>
      <c r="S349" s="2" t="s">
        <v>1625</v>
      </c>
      <c r="T349" s="2" t="s">
        <v>280</v>
      </c>
      <c r="U349" s="2" t="s">
        <v>480</v>
      </c>
      <c r="V349" s="2" t="s">
        <v>256</v>
      </c>
      <c r="W349" s="2" t="s">
        <v>158</v>
      </c>
      <c r="X349" s="2" t="s">
        <v>1626</v>
      </c>
      <c r="Y349" s="2" t="s">
        <v>1627</v>
      </c>
      <c r="Z349" s="4">
        <v>219</v>
      </c>
      <c r="AA349" s="4">
        <f>=ROUNDDOWN(31.2857142857143,0)</f>
      </c>
      <c r="AB349" s="5">
        <v>7</v>
      </c>
      <c r="AC349" s="2" t="s">
        <v>1035</v>
      </c>
      <c r="AD349" s="4">
        <v>80</v>
      </c>
      <c r="AE349" s="4">
        <v>150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154</v>
      </c>
      <c r="BK349" s="8">
        <v>12064.32</v>
      </c>
      <c r="BL349" s="2" t="s">
        <v>1628</v>
      </c>
      <c r="BM349" s="7"/>
      <c r="BN349" s="7"/>
      <c r="BO349" s="4"/>
      <c r="BP349" s="8"/>
      <c r="BQ349" s="4"/>
      <c r="BR349" s="8"/>
      <c r="BS349" s="7"/>
      <c r="BT349" s="7"/>
      <c r="BU349" s="2" t="s">
        <v>207</v>
      </c>
      <c r="BV349" s="2" t="s">
        <v>97</v>
      </c>
      <c r="BW349" s="2" t="s">
        <v>100</v>
      </c>
      <c r="BX349" s="2" t="s">
        <v>100</v>
      </c>
      <c r="BY349" s="2" t="s">
        <v>113</v>
      </c>
      <c r="BZ349" s="2" t="s">
        <v>100</v>
      </c>
    </row>
    <row r="350">
      <c r="A350" s="2" t="s">
        <v>1629</v>
      </c>
      <c r="B350" s="2" t="s">
        <v>87</v>
      </c>
      <c r="C350" s="2" t="s">
        <v>88</v>
      </c>
      <c r="D350" s="2" t="s">
        <v>803</v>
      </c>
      <c r="E350" s="2" t="s">
        <v>1532</v>
      </c>
      <c r="F350" s="2" t="s">
        <v>1621</v>
      </c>
      <c r="G350" s="2" t="s">
        <v>1622</v>
      </c>
      <c r="H350" s="2" t="s">
        <v>1623</v>
      </c>
      <c r="I350" s="2" t="s">
        <v>1624</v>
      </c>
      <c r="J350" s="2" t="s">
        <v>270</v>
      </c>
      <c r="K350" s="2" t="s">
        <v>169</v>
      </c>
      <c r="L350" s="3">
        <v>83.3</v>
      </c>
      <c r="M350" s="3">
        <v>87.46</v>
      </c>
      <c r="N350" s="3">
        <v>169.99</v>
      </c>
      <c r="O350" s="2" t="s">
        <v>97</v>
      </c>
      <c r="P350" s="2" t="s">
        <v>119</v>
      </c>
      <c r="Q350" s="2" t="s">
        <v>99</v>
      </c>
      <c r="R350" s="2" t="s">
        <v>100</v>
      </c>
      <c r="S350" s="2" t="s">
        <v>1625</v>
      </c>
      <c r="T350" s="2" t="s">
        <v>280</v>
      </c>
      <c r="U350" s="2" t="s">
        <v>480</v>
      </c>
      <c r="V350" s="2" t="s">
        <v>256</v>
      </c>
      <c r="W350" s="2" t="s">
        <v>158</v>
      </c>
      <c r="X350" s="2" t="s">
        <v>1626</v>
      </c>
      <c r="Y350" s="2" t="s">
        <v>1627</v>
      </c>
      <c r="Z350" s="4">
        <v>247</v>
      </c>
      <c r="AA350" s="4">
        <f>=ROUNDDOWN(35.2857142857143,0)</f>
      </c>
      <c r="AB350" s="5">
        <v>7</v>
      </c>
      <c r="AC350" s="2" t="s">
        <v>1035</v>
      </c>
      <c r="AD350" s="4">
        <v>80</v>
      </c>
      <c r="AE350" s="4">
        <v>140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154</v>
      </c>
      <c r="BK350" s="8">
        <v>13666.89</v>
      </c>
      <c r="BL350" s="2" t="s">
        <v>1630</v>
      </c>
      <c r="BM350" s="7"/>
      <c r="BN350" s="7"/>
      <c r="BO350" s="4"/>
      <c r="BP350" s="8"/>
      <c r="BQ350" s="4"/>
      <c r="BR350" s="8"/>
      <c r="BS350" s="7"/>
      <c r="BT350" s="7"/>
      <c r="BU350" s="2" t="s">
        <v>207</v>
      </c>
      <c r="BV350" s="2" t="s">
        <v>97</v>
      </c>
      <c r="BW350" s="2" t="s">
        <v>100</v>
      </c>
      <c r="BX350" s="2" t="s">
        <v>100</v>
      </c>
      <c r="BY350" s="2" t="s">
        <v>113</v>
      </c>
      <c r="BZ350" s="2" t="s">
        <v>245</v>
      </c>
    </row>
    <row r="351">
      <c r="A351" s="2" t="s">
        <v>1631</v>
      </c>
      <c r="B351" s="2" t="s">
        <v>87</v>
      </c>
      <c r="C351" s="2" t="s">
        <v>88</v>
      </c>
      <c r="D351" s="2" t="s">
        <v>803</v>
      </c>
      <c r="E351" s="2" t="s">
        <v>1532</v>
      </c>
      <c r="F351" s="2" t="s">
        <v>635</v>
      </c>
      <c r="G351" s="2" t="s">
        <v>636</v>
      </c>
      <c r="H351" s="2" t="s">
        <v>637</v>
      </c>
      <c r="I351" s="2" t="s">
        <v>1632</v>
      </c>
      <c r="J351" s="2" t="s">
        <v>247</v>
      </c>
      <c r="K351" s="2" t="s">
        <v>639</v>
      </c>
      <c r="L351" s="3">
        <v>75.2</v>
      </c>
      <c r="M351" s="3">
        <v>78.96</v>
      </c>
      <c r="N351" s="3">
        <v>159.99</v>
      </c>
      <c r="O351" s="2" t="s">
        <v>97</v>
      </c>
      <c r="P351" s="2" t="s">
        <v>119</v>
      </c>
      <c r="Q351" s="2" t="s">
        <v>99</v>
      </c>
      <c r="R351" s="2" t="s">
        <v>100</v>
      </c>
      <c r="S351" s="2" t="s">
        <v>1633</v>
      </c>
      <c r="T351" s="2" t="s">
        <v>280</v>
      </c>
      <c r="U351" s="2" t="s">
        <v>480</v>
      </c>
      <c r="V351" s="2" t="s">
        <v>103</v>
      </c>
      <c r="W351" s="2" t="s">
        <v>319</v>
      </c>
      <c r="X351" s="2" t="s">
        <v>100</v>
      </c>
      <c r="Y351" s="2" t="s">
        <v>1634</v>
      </c>
      <c r="Z351" s="4">
        <v>265</v>
      </c>
      <c r="AA351" s="4">
        <f>=ROUNDDOWN(26.5,0)</f>
      </c>
      <c r="AB351" s="5">
        <v>10</v>
      </c>
      <c r="AC351" s="2" t="s">
        <v>562</v>
      </c>
      <c r="AD351" s="4">
        <v>90</v>
      </c>
      <c r="AE351" s="4">
        <v>220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240</v>
      </c>
      <c r="BK351" s="8">
        <v>19742.16</v>
      </c>
      <c r="BL351" s="2" t="s">
        <v>1635</v>
      </c>
      <c r="BM351" s="7"/>
      <c r="BN351" s="7"/>
      <c r="BO351" s="4"/>
      <c r="BP351" s="8"/>
      <c r="BQ351" s="4"/>
      <c r="BR351" s="8"/>
      <c r="BS351" s="7"/>
      <c r="BT351" s="7"/>
      <c r="BU351" s="2" t="s">
        <v>268</v>
      </c>
      <c r="BV351" s="2" t="s">
        <v>97</v>
      </c>
      <c r="BW351" s="2" t="s">
        <v>100</v>
      </c>
      <c r="BX351" s="2" t="s">
        <v>100</v>
      </c>
      <c r="BY351" s="2" t="s">
        <v>113</v>
      </c>
      <c r="BZ351" s="2" t="s">
        <v>100</v>
      </c>
    </row>
    <row r="352">
      <c r="A352" s="2" t="s">
        <v>1636</v>
      </c>
      <c r="B352" s="2" t="s">
        <v>87</v>
      </c>
      <c r="C352" s="2" t="s">
        <v>88</v>
      </c>
      <c r="D352" s="2" t="s">
        <v>803</v>
      </c>
      <c r="E352" s="2" t="s">
        <v>1532</v>
      </c>
      <c r="F352" s="2" t="s">
        <v>635</v>
      </c>
      <c r="G352" s="2" t="s">
        <v>636</v>
      </c>
      <c r="H352" s="2" t="s">
        <v>637</v>
      </c>
      <c r="I352" s="2" t="s">
        <v>1632</v>
      </c>
      <c r="J352" s="2" t="s">
        <v>270</v>
      </c>
      <c r="K352" s="2" t="s">
        <v>639</v>
      </c>
      <c r="L352" s="3">
        <v>86.4</v>
      </c>
      <c r="M352" s="3">
        <v>90.71</v>
      </c>
      <c r="N352" s="3">
        <v>179.99</v>
      </c>
      <c r="O352" s="2" t="s">
        <v>97</v>
      </c>
      <c r="P352" s="2" t="s">
        <v>119</v>
      </c>
      <c r="Q352" s="2" t="s">
        <v>99</v>
      </c>
      <c r="R352" s="2" t="s">
        <v>100</v>
      </c>
      <c r="S352" s="2" t="s">
        <v>1633</v>
      </c>
      <c r="T352" s="2" t="s">
        <v>280</v>
      </c>
      <c r="U352" s="2" t="s">
        <v>480</v>
      </c>
      <c r="V352" s="2" t="s">
        <v>103</v>
      </c>
      <c r="W352" s="2" t="s">
        <v>319</v>
      </c>
      <c r="X352" s="2" t="s">
        <v>100</v>
      </c>
      <c r="Y352" s="2" t="s">
        <v>1634</v>
      </c>
      <c r="Z352" s="4">
        <v>290</v>
      </c>
      <c r="AA352" s="4">
        <f>=ROUNDDOWN(18.125,0)</f>
      </c>
      <c r="AB352" s="5">
        <v>16</v>
      </c>
      <c r="AC352" s="2" t="s">
        <v>562</v>
      </c>
      <c r="AD352" s="4">
        <v>300</v>
      </c>
      <c r="AE352" s="4">
        <v>470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415</v>
      </c>
      <c r="BK352" s="8">
        <v>38571.35</v>
      </c>
      <c r="BL352" s="2" t="s">
        <v>1635</v>
      </c>
      <c r="BM352" s="7"/>
      <c r="BN352" s="7"/>
      <c r="BO352" s="4"/>
      <c r="BP352" s="8"/>
      <c r="BQ352" s="4"/>
      <c r="BR352" s="8"/>
      <c r="BS352" s="7"/>
      <c r="BT352" s="7"/>
      <c r="BU352" s="2" t="s">
        <v>268</v>
      </c>
      <c r="BV352" s="2" t="s">
        <v>97</v>
      </c>
      <c r="BW352" s="2" t="s">
        <v>100</v>
      </c>
      <c r="BX352" s="2" t="s">
        <v>100</v>
      </c>
      <c r="BY352" s="2" t="s">
        <v>113</v>
      </c>
      <c r="BZ352" s="2" t="s">
        <v>100</v>
      </c>
    </row>
    <row r="353">
      <c r="A353" s="2" t="s">
        <v>1637</v>
      </c>
      <c r="B353" s="2" t="s">
        <v>87</v>
      </c>
      <c r="C353" s="2" t="s">
        <v>88</v>
      </c>
      <c r="D353" s="2" t="s">
        <v>1638</v>
      </c>
      <c r="E353" s="2" t="s">
        <v>1639</v>
      </c>
      <c r="F353" s="2" t="s">
        <v>614</v>
      </c>
      <c r="G353" s="2" t="s">
        <v>615</v>
      </c>
      <c r="H353" s="2" t="s">
        <v>616</v>
      </c>
      <c r="I353" s="2" t="s">
        <v>1640</v>
      </c>
      <c r="J353" s="2" t="s">
        <v>247</v>
      </c>
      <c r="K353" s="2" t="s">
        <v>432</v>
      </c>
      <c r="L353" s="3">
        <v>53.9</v>
      </c>
      <c r="M353" s="3">
        <v>56.59</v>
      </c>
      <c r="N353" s="3">
        <v>109.99</v>
      </c>
      <c r="O353" s="2" t="s">
        <v>97</v>
      </c>
      <c r="P353" s="2" t="s">
        <v>119</v>
      </c>
      <c r="Q353" s="2" t="s">
        <v>99</v>
      </c>
      <c r="R353" s="2" t="s">
        <v>100</v>
      </c>
      <c r="S353" s="2" t="s">
        <v>618</v>
      </c>
      <c r="T353" s="2" t="s">
        <v>280</v>
      </c>
      <c r="U353" s="2" t="s">
        <v>480</v>
      </c>
      <c r="V353" s="2" t="s">
        <v>103</v>
      </c>
      <c r="W353" s="2" t="s">
        <v>158</v>
      </c>
      <c r="X353" s="2" t="s">
        <v>1534</v>
      </c>
      <c r="Y353" s="2" t="s">
        <v>620</v>
      </c>
      <c r="Z353" s="4">
        <v>285</v>
      </c>
      <c r="AA353" s="4">
        <f>=ROUNDDOWN(40.7142857142857,0)</f>
      </c>
      <c r="AB353" s="5">
        <v>7</v>
      </c>
      <c r="AC353" s="2" t="s">
        <v>100</v>
      </c>
      <c r="AD353" s="4"/>
      <c r="AE353" s="4"/>
      <c r="AF353" s="6">
        <v>71</v>
      </c>
      <c r="AG353" s="6">
        <v>79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>
        <v>3</v>
      </c>
      <c r="AQ353" s="8">
        <v>166.32</v>
      </c>
      <c r="AR353" s="4"/>
      <c r="AS353" s="8"/>
      <c r="AT353" s="7"/>
      <c r="AU353" s="7"/>
      <c r="AV353" s="4">
        <v>5</v>
      </c>
      <c r="AW353" s="8">
        <v>299.38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0.5555</v>
      </c>
      <c r="BC353" s="4">
        <v>6</v>
      </c>
      <c r="BD353" s="8">
        <v>365.91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>
        <v>0.8182</v>
      </c>
      <c r="BJ353" s="4">
        <v>186</v>
      </c>
      <c r="BK353" s="8">
        <v>10191.41</v>
      </c>
      <c r="BL353" s="2" t="s">
        <v>786</v>
      </c>
      <c r="BM353" s="7">
        <v>0.0161</v>
      </c>
      <c r="BN353" s="7">
        <v>0.0163</v>
      </c>
      <c r="BO353" s="4">
        <v>3</v>
      </c>
      <c r="BP353" s="8">
        <v>166.32</v>
      </c>
      <c r="BQ353" s="4"/>
      <c r="BR353" s="8"/>
      <c r="BS353" s="7"/>
      <c r="BT353" s="7"/>
      <c r="BU353" s="2" t="s">
        <v>109</v>
      </c>
      <c r="BV353" s="2" t="s">
        <v>97</v>
      </c>
      <c r="BW353" s="2" t="s">
        <v>1539</v>
      </c>
      <c r="BX353" s="2" t="s">
        <v>1641</v>
      </c>
      <c r="BY353" s="2" t="s">
        <v>113</v>
      </c>
      <c r="BZ353" s="2" t="s">
        <v>100</v>
      </c>
    </row>
    <row r="354">
      <c r="A354" s="2" t="s">
        <v>1642</v>
      </c>
      <c r="B354" s="2" t="s">
        <v>87</v>
      </c>
      <c r="C354" s="2" t="s">
        <v>88</v>
      </c>
      <c r="D354" s="2" t="s">
        <v>1638</v>
      </c>
      <c r="E354" s="2" t="s">
        <v>1639</v>
      </c>
      <c r="F354" s="2" t="s">
        <v>614</v>
      </c>
      <c r="G354" s="2" t="s">
        <v>615</v>
      </c>
      <c r="H354" s="2" t="s">
        <v>616</v>
      </c>
      <c r="I354" s="2" t="s">
        <v>1640</v>
      </c>
      <c r="J354" s="2" t="s">
        <v>270</v>
      </c>
      <c r="K354" s="2" t="s">
        <v>432</v>
      </c>
      <c r="L354" s="3">
        <v>63.7</v>
      </c>
      <c r="M354" s="3">
        <v>66.88</v>
      </c>
      <c r="N354" s="3">
        <v>129.99</v>
      </c>
      <c r="O354" s="2" t="s">
        <v>97</v>
      </c>
      <c r="P354" s="2" t="s">
        <v>119</v>
      </c>
      <c r="Q354" s="2" t="s">
        <v>99</v>
      </c>
      <c r="R354" s="2" t="s">
        <v>100</v>
      </c>
      <c r="S354" s="2" t="s">
        <v>618</v>
      </c>
      <c r="T354" s="2" t="s">
        <v>280</v>
      </c>
      <c r="U354" s="2" t="s">
        <v>480</v>
      </c>
      <c r="V354" s="2" t="s">
        <v>103</v>
      </c>
      <c r="W354" s="2" t="s">
        <v>158</v>
      </c>
      <c r="X354" s="2" t="s">
        <v>1534</v>
      </c>
      <c r="Y354" s="2" t="s">
        <v>620</v>
      </c>
      <c r="Z354" s="4">
        <v>222</v>
      </c>
      <c r="AA354" s="4">
        <f>=ROUNDDOWN(55.5,0)</f>
      </c>
      <c r="AB354" s="5">
        <v>4</v>
      </c>
      <c r="AC354" s="2" t="s">
        <v>100</v>
      </c>
      <c r="AD354" s="4"/>
      <c r="AE354" s="4"/>
      <c r="AF354" s="6">
        <v>71</v>
      </c>
      <c r="AG354" s="6">
        <v>79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>
        <v>2</v>
      </c>
      <c r="AQ354" s="8">
        <v>133.06</v>
      </c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0.4445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95</v>
      </c>
      <c r="BK354" s="8">
        <v>6382.58</v>
      </c>
      <c r="BL354" s="2" t="s">
        <v>749</v>
      </c>
      <c r="BM354" s="7">
        <v>0.0211</v>
      </c>
      <c r="BN354" s="7">
        <v>0.0208</v>
      </c>
      <c r="BO354" s="4">
        <v>2</v>
      </c>
      <c r="BP354" s="8">
        <v>133.06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1539</v>
      </c>
      <c r="BX354" s="2" t="s">
        <v>1643</v>
      </c>
      <c r="BY354" s="2" t="s">
        <v>113</v>
      </c>
      <c r="BZ354" s="2" t="s">
        <v>100</v>
      </c>
    </row>
    <row r="355">
      <c r="A355" s="2" t="s">
        <v>1644</v>
      </c>
      <c r="B355" s="2" t="s">
        <v>87</v>
      </c>
      <c r="C355" s="2" t="s">
        <v>88</v>
      </c>
      <c r="D355" s="2" t="s">
        <v>1638</v>
      </c>
      <c r="E355" s="2" t="s">
        <v>1639</v>
      </c>
      <c r="F355" s="2" t="s">
        <v>614</v>
      </c>
      <c r="G355" s="2" t="s">
        <v>615</v>
      </c>
      <c r="H355" s="2" t="s">
        <v>616</v>
      </c>
      <c r="I355" s="2" t="s">
        <v>1640</v>
      </c>
      <c r="J355" s="2" t="s">
        <v>247</v>
      </c>
      <c r="K355" s="2" t="s">
        <v>198</v>
      </c>
      <c r="L355" s="3">
        <v>53.9</v>
      </c>
      <c r="M355" s="3">
        <v>56.59</v>
      </c>
      <c r="N355" s="3">
        <v>109.99</v>
      </c>
      <c r="O355" s="2" t="s">
        <v>97</v>
      </c>
      <c r="P355" s="2" t="s">
        <v>119</v>
      </c>
      <c r="Q355" s="2" t="s">
        <v>99</v>
      </c>
      <c r="R355" s="2" t="s">
        <v>100</v>
      </c>
      <c r="S355" s="2" t="s">
        <v>1645</v>
      </c>
      <c r="T355" s="2" t="s">
        <v>280</v>
      </c>
      <c r="U355" s="2" t="s">
        <v>480</v>
      </c>
      <c r="V355" s="2" t="s">
        <v>103</v>
      </c>
      <c r="W355" s="2" t="s">
        <v>158</v>
      </c>
      <c r="X355" s="2" t="s">
        <v>1534</v>
      </c>
      <c r="Y355" s="2" t="s">
        <v>620</v>
      </c>
      <c r="Z355" s="4">
        <v>264</v>
      </c>
      <c r="AA355" s="4">
        <f>=ROUNDDOWN(88,0)</f>
      </c>
      <c r="AB355" s="5">
        <v>3</v>
      </c>
      <c r="AC355" s="2" t="s">
        <v>100</v>
      </c>
      <c r="AD355" s="4"/>
      <c r="AE355" s="4"/>
      <c r="AF355" s="6">
        <v>71</v>
      </c>
      <c r="AG355" s="6">
        <v>79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>
        <v>1</v>
      </c>
      <c r="AW355" s="8">
        <v>66.53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>
        <v>0.1818</v>
      </c>
      <c r="BJ355" s="4">
        <v>49</v>
      </c>
      <c r="BK355" s="8">
        <v>2734.87</v>
      </c>
      <c r="BL355" s="2" t="s">
        <v>1646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97</v>
      </c>
      <c r="BW355" s="2" t="s">
        <v>1539</v>
      </c>
      <c r="BX355" s="2" t="s">
        <v>1025</v>
      </c>
      <c r="BY355" s="2" t="s">
        <v>113</v>
      </c>
      <c r="BZ355" s="2" t="s">
        <v>100</v>
      </c>
    </row>
    <row r="356">
      <c r="A356" s="2" t="s">
        <v>1647</v>
      </c>
      <c r="B356" s="2" t="s">
        <v>87</v>
      </c>
      <c r="C356" s="2" t="s">
        <v>88</v>
      </c>
      <c r="D356" s="2" t="s">
        <v>1638</v>
      </c>
      <c r="E356" s="2" t="s">
        <v>1639</v>
      </c>
      <c r="F356" s="2" t="s">
        <v>614</v>
      </c>
      <c r="G356" s="2" t="s">
        <v>615</v>
      </c>
      <c r="H356" s="2" t="s">
        <v>616</v>
      </c>
      <c r="I356" s="2" t="s">
        <v>1640</v>
      </c>
      <c r="J356" s="2" t="s">
        <v>270</v>
      </c>
      <c r="K356" s="2" t="s">
        <v>198</v>
      </c>
      <c r="L356" s="3">
        <v>63.7</v>
      </c>
      <c r="M356" s="3">
        <v>66.88</v>
      </c>
      <c r="N356" s="3">
        <v>129.99</v>
      </c>
      <c r="O356" s="2" t="s">
        <v>97</v>
      </c>
      <c r="P356" s="2" t="s">
        <v>119</v>
      </c>
      <c r="Q356" s="2" t="s">
        <v>99</v>
      </c>
      <c r="R356" s="2" t="s">
        <v>100</v>
      </c>
      <c r="S356" s="2" t="s">
        <v>1645</v>
      </c>
      <c r="T356" s="2" t="s">
        <v>280</v>
      </c>
      <c r="U356" s="2" t="s">
        <v>480</v>
      </c>
      <c r="V356" s="2" t="s">
        <v>103</v>
      </c>
      <c r="W356" s="2" t="s">
        <v>158</v>
      </c>
      <c r="X356" s="2" t="s">
        <v>1534</v>
      </c>
      <c r="Y356" s="2" t="s">
        <v>620</v>
      </c>
      <c r="Z356" s="4">
        <v>406</v>
      </c>
      <c r="AA356" s="4">
        <f>=ROUNDDOWN(81.2,0)</f>
      </c>
      <c r="AB356" s="5">
        <v>5</v>
      </c>
      <c r="AC356" s="2" t="s">
        <v>123</v>
      </c>
      <c r="AD356" s="4">
        <v>50</v>
      </c>
      <c r="AE356" s="4">
        <v>50</v>
      </c>
      <c r="AF356" s="6">
        <v>71</v>
      </c>
      <c r="AG356" s="6">
        <v>79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>
        <v>1</v>
      </c>
      <c r="AQ356" s="8">
        <v>66.53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1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102</v>
      </c>
      <c r="BK356" s="8">
        <v>6826.82</v>
      </c>
      <c r="BL356" s="2" t="s">
        <v>124</v>
      </c>
      <c r="BM356" s="7">
        <v>0.0098</v>
      </c>
      <c r="BN356" s="7">
        <v>0.0097</v>
      </c>
      <c r="BO356" s="4">
        <v>1</v>
      </c>
      <c r="BP356" s="8">
        <v>66.53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1539</v>
      </c>
      <c r="BX356" s="2" t="s">
        <v>840</v>
      </c>
      <c r="BY356" s="2" t="s">
        <v>113</v>
      </c>
      <c r="BZ356" s="2" t="s">
        <v>100</v>
      </c>
    </row>
    <row r="357">
      <c r="A357" s="2" t="s">
        <v>1648</v>
      </c>
      <c r="B357" s="2" t="s">
        <v>87</v>
      </c>
      <c r="C357" s="2" t="s">
        <v>88</v>
      </c>
      <c r="D357" s="2" t="s">
        <v>1638</v>
      </c>
      <c r="E357" s="2" t="s">
        <v>1639</v>
      </c>
      <c r="F357" s="2" t="s">
        <v>614</v>
      </c>
      <c r="G357" s="2" t="s">
        <v>615</v>
      </c>
      <c r="H357" s="2" t="s">
        <v>616</v>
      </c>
      <c r="I357" s="2" t="s">
        <v>1640</v>
      </c>
      <c r="J357" s="2" t="s">
        <v>247</v>
      </c>
      <c r="K357" s="2" t="s">
        <v>169</v>
      </c>
      <c r="L357" s="3">
        <v>53.9</v>
      </c>
      <c r="M357" s="3">
        <v>56.59</v>
      </c>
      <c r="N357" s="3">
        <v>109.99</v>
      </c>
      <c r="O357" s="2" t="s">
        <v>97</v>
      </c>
      <c r="P357" s="2" t="s">
        <v>119</v>
      </c>
      <c r="Q357" s="2" t="s">
        <v>99</v>
      </c>
      <c r="R357" s="2" t="s">
        <v>100</v>
      </c>
      <c r="S357" s="2" t="s">
        <v>625</v>
      </c>
      <c r="T357" s="2" t="s">
        <v>280</v>
      </c>
      <c r="U357" s="2" t="s">
        <v>480</v>
      </c>
      <c r="V357" s="2" t="s">
        <v>103</v>
      </c>
      <c r="W357" s="2" t="s">
        <v>158</v>
      </c>
      <c r="X357" s="2" t="s">
        <v>1534</v>
      </c>
      <c r="Y357" s="2" t="s">
        <v>620</v>
      </c>
      <c r="Z357" s="4">
        <v>609</v>
      </c>
      <c r="AA357" s="4">
        <f>=ROUNDDOWN(76.125,0)</f>
      </c>
      <c r="AB357" s="5">
        <v>8</v>
      </c>
      <c r="AC357" s="2" t="s">
        <v>100</v>
      </c>
      <c r="AD357" s="4"/>
      <c r="AE357" s="4"/>
      <c r="AF357" s="6">
        <v>71</v>
      </c>
      <c r="AG357" s="6">
        <v>79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199</v>
      </c>
      <c r="BK357" s="8">
        <v>11014.29</v>
      </c>
      <c r="BL357" s="2" t="s">
        <v>1649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97</v>
      </c>
      <c r="BW357" s="2" t="s">
        <v>1650</v>
      </c>
      <c r="BX357" s="2" t="s">
        <v>1651</v>
      </c>
      <c r="BY357" s="2" t="s">
        <v>113</v>
      </c>
      <c r="BZ357" s="2" t="s">
        <v>100</v>
      </c>
    </row>
    <row r="358">
      <c r="A358" s="2" t="s">
        <v>1652</v>
      </c>
      <c r="B358" s="2" t="s">
        <v>87</v>
      </c>
      <c r="C358" s="2" t="s">
        <v>88</v>
      </c>
      <c r="D358" s="2" t="s">
        <v>1638</v>
      </c>
      <c r="E358" s="2" t="s">
        <v>1639</v>
      </c>
      <c r="F358" s="2" t="s">
        <v>614</v>
      </c>
      <c r="G358" s="2" t="s">
        <v>615</v>
      </c>
      <c r="H358" s="2" t="s">
        <v>616</v>
      </c>
      <c r="I358" s="2" t="s">
        <v>1653</v>
      </c>
      <c r="J358" s="2" t="s">
        <v>247</v>
      </c>
      <c r="K358" s="2" t="s">
        <v>629</v>
      </c>
      <c r="L358" s="3">
        <v>53.9</v>
      </c>
      <c r="M358" s="3">
        <v>56.59</v>
      </c>
      <c r="N358" s="3">
        <v>109.99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630</v>
      </c>
      <c r="T358" s="2" t="s">
        <v>100</v>
      </c>
      <c r="U358" s="2" t="s">
        <v>480</v>
      </c>
      <c r="V358" s="2" t="s">
        <v>103</v>
      </c>
      <c r="W358" s="2" t="s">
        <v>158</v>
      </c>
      <c r="X358" s="2" t="s">
        <v>1534</v>
      </c>
      <c r="Y358" s="2" t="s">
        <v>1654</v>
      </c>
      <c r="Z358" s="4">
        <v>274</v>
      </c>
      <c r="AA358" s="4">
        <f>=ROUNDDOWN(54.8,0)</f>
      </c>
      <c r="AB358" s="5">
        <v>5</v>
      </c>
      <c r="AC358" s="2" t="s">
        <v>123</v>
      </c>
      <c r="AD358" s="4">
        <v>60</v>
      </c>
      <c r="AE358" s="4">
        <v>60</v>
      </c>
      <c r="AF358" s="6">
        <v>71</v>
      </c>
      <c r="AG358" s="6">
        <v>79</v>
      </c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103</v>
      </c>
      <c r="BK358" s="8">
        <v>5748.45</v>
      </c>
      <c r="BL358" s="2" t="s">
        <v>1655</v>
      </c>
      <c r="BM358" s="7"/>
      <c r="BN358" s="7"/>
      <c r="BO358" s="4"/>
      <c r="BP358" s="8"/>
      <c r="BQ358" s="4"/>
      <c r="BR358" s="8"/>
      <c r="BS358" s="7"/>
      <c r="BT358" s="7"/>
      <c r="BU358" s="2" t="s">
        <v>207</v>
      </c>
      <c r="BV358" s="2" t="s">
        <v>97</v>
      </c>
      <c r="BW358" s="2" t="s">
        <v>100</v>
      </c>
      <c r="BX358" s="2" t="s">
        <v>100</v>
      </c>
      <c r="BY358" s="2" t="s">
        <v>113</v>
      </c>
      <c r="BZ358" s="2" t="s">
        <v>100</v>
      </c>
    </row>
    <row r="359">
      <c r="A359" s="2" t="s">
        <v>1656</v>
      </c>
      <c r="B359" s="2" t="s">
        <v>87</v>
      </c>
      <c r="C359" s="2" t="s">
        <v>88</v>
      </c>
      <c r="D359" s="2" t="s">
        <v>1638</v>
      </c>
      <c r="E359" s="2" t="s">
        <v>1639</v>
      </c>
      <c r="F359" s="2" t="s">
        <v>614</v>
      </c>
      <c r="G359" s="2" t="s">
        <v>615</v>
      </c>
      <c r="H359" s="2" t="s">
        <v>616</v>
      </c>
      <c r="I359" s="2" t="s">
        <v>1653</v>
      </c>
      <c r="J359" s="2" t="s">
        <v>270</v>
      </c>
      <c r="K359" s="2" t="s">
        <v>629</v>
      </c>
      <c r="L359" s="3">
        <v>63.7</v>
      </c>
      <c r="M359" s="3">
        <v>66.88</v>
      </c>
      <c r="N359" s="3">
        <v>129.99</v>
      </c>
      <c r="O359" s="2" t="s">
        <v>97</v>
      </c>
      <c r="P359" s="2" t="s">
        <v>98</v>
      </c>
      <c r="Q359" s="2" t="s">
        <v>99</v>
      </c>
      <c r="R359" s="2" t="s">
        <v>100</v>
      </c>
      <c r="S359" s="2" t="s">
        <v>630</v>
      </c>
      <c r="T359" s="2" t="s">
        <v>100</v>
      </c>
      <c r="U359" s="2" t="s">
        <v>480</v>
      </c>
      <c r="V359" s="2" t="s">
        <v>103</v>
      </c>
      <c r="W359" s="2" t="s">
        <v>158</v>
      </c>
      <c r="X359" s="2" t="s">
        <v>1534</v>
      </c>
      <c r="Y359" s="2" t="s">
        <v>631</v>
      </c>
      <c r="Z359" s="4">
        <v>432</v>
      </c>
      <c r="AA359" s="4">
        <f>=ROUNDDOWN(61.7142857142857,0)</f>
      </c>
      <c r="AB359" s="5">
        <v>7</v>
      </c>
      <c r="AC359" s="2" t="s">
        <v>100</v>
      </c>
      <c r="AD359" s="4"/>
      <c r="AE359" s="4"/>
      <c r="AF359" s="6">
        <v>71</v>
      </c>
      <c r="AG359" s="6">
        <v>79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142</v>
      </c>
      <c r="BK359" s="8">
        <v>9676.3</v>
      </c>
      <c r="BL359" s="2" t="s">
        <v>1657</v>
      </c>
      <c r="BM359" s="7"/>
      <c r="BN359" s="7"/>
      <c r="BO359" s="4"/>
      <c r="BP359" s="8"/>
      <c r="BQ359" s="4"/>
      <c r="BR359" s="8"/>
      <c r="BS359" s="7"/>
      <c r="BT359" s="7"/>
      <c r="BU359" s="2" t="s">
        <v>207</v>
      </c>
      <c r="BV359" s="2" t="s">
        <v>97</v>
      </c>
      <c r="BW359" s="2" t="s">
        <v>100</v>
      </c>
      <c r="BX359" s="2" t="s">
        <v>100</v>
      </c>
      <c r="BY359" s="2" t="s">
        <v>113</v>
      </c>
      <c r="BZ359" s="2" t="s">
        <v>100</v>
      </c>
    </row>
    <row r="360">
      <c r="A360" s="2" t="s">
        <v>1658</v>
      </c>
      <c r="B360" s="2" t="s">
        <v>87</v>
      </c>
      <c r="C360" s="2" t="s">
        <v>88</v>
      </c>
      <c r="D360" s="2" t="s">
        <v>1638</v>
      </c>
      <c r="E360" s="2" t="s">
        <v>1639</v>
      </c>
      <c r="F360" s="2" t="s">
        <v>1549</v>
      </c>
      <c r="G360" s="2" t="s">
        <v>1550</v>
      </c>
      <c r="H360" s="2" t="s">
        <v>1551</v>
      </c>
      <c r="I360" s="2" t="s">
        <v>1659</v>
      </c>
      <c r="J360" s="2" t="s">
        <v>247</v>
      </c>
      <c r="K360" s="2" t="s">
        <v>169</v>
      </c>
      <c r="L360" s="3">
        <v>51.2</v>
      </c>
      <c r="M360" s="3">
        <v>53.76</v>
      </c>
      <c r="N360" s="3">
        <v>99.99</v>
      </c>
      <c r="O360" s="2" t="s">
        <v>97</v>
      </c>
      <c r="P360" s="2" t="s">
        <v>307</v>
      </c>
      <c r="Q360" s="2" t="s">
        <v>99</v>
      </c>
      <c r="R360" s="2" t="s">
        <v>100</v>
      </c>
      <c r="S360" s="2" t="s">
        <v>1553</v>
      </c>
      <c r="T360" s="2" t="s">
        <v>280</v>
      </c>
      <c r="U360" s="2" t="s">
        <v>480</v>
      </c>
      <c r="V360" s="2" t="s">
        <v>489</v>
      </c>
      <c r="W360" s="2" t="s">
        <v>158</v>
      </c>
      <c r="X360" s="2" t="s">
        <v>697</v>
      </c>
      <c r="Y360" s="2" t="s">
        <v>1660</v>
      </c>
      <c r="Z360" s="4">
        <v>1847</v>
      </c>
      <c r="AA360" s="4">
        <f>=ROUNDDOWN(102.611111111111,0)</f>
      </c>
      <c r="AB360" s="5">
        <v>18</v>
      </c>
      <c r="AC360" s="2" t="s">
        <v>100</v>
      </c>
      <c r="AD360" s="4"/>
      <c r="AE360" s="4"/>
      <c r="AF360" s="6">
        <v>71</v>
      </c>
      <c r="AG360" s="6">
        <v>79</v>
      </c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>
        <v>5</v>
      </c>
      <c r="AQ360" s="8">
        <v>277.2</v>
      </c>
      <c r="AR360" s="4"/>
      <c r="AS360" s="8"/>
      <c r="AT360" s="7"/>
      <c r="AU360" s="7"/>
      <c r="AV360" s="4">
        <v>6</v>
      </c>
      <c r="AW360" s="8">
        <v>343.73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0.8064</v>
      </c>
      <c r="BC360" s="4">
        <v>6</v>
      </c>
      <c r="BD360" s="8">
        <v>343.73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1</v>
      </c>
      <c r="BJ360" s="4">
        <v>640</v>
      </c>
      <c r="BK360" s="8">
        <v>33607.64</v>
      </c>
      <c r="BL360" s="2" t="s">
        <v>1661</v>
      </c>
      <c r="BM360" s="7">
        <v>0.0078</v>
      </c>
      <c r="BN360" s="7">
        <v>0.0082</v>
      </c>
      <c r="BO360" s="4">
        <v>5</v>
      </c>
      <c r="BP360" s="8">
        <v>277.2</v>
      </c>
      <c r="BQ360" s="4"/>
      <c r="BR360" s="8"/>
      <c r="BS360" s="7"/>
      <c r="BT360" s="7"/>
      <c r="BU360" s="2" t="s">
        <v>109</v>
      </c>
      <c r="BV360" s="2" t="s">
        <v>110</v>
      </c>
      <c r="BW360" s="2" t="s">
        <v>1662</v>
      </c>
      <c r="BX360" s="2" t="s">
        <v>1663</v>
      </c>
      <c r="BY360" s="2" t="s">
        <v>113</v>
      </c>
      <c r="BZ360" s="2" t="s">
        <v>100</v>
      </c>
    </row>
    <row r="361">
      <c r="A361" s="2" t="s">
        <v>1664</v>
      </c>
      <c r="B361" s="2" t="s">
        <v>87</v>
      </c>
      <c r="C361" s="2" t="s">
        <v>88</v>
      </c>
      <c r="D361" s="2" t="s">
        <v>1638</v>
      </c>
      <c r="E361" s="2" t="s">
        <v>1639</v>
      </c>
      <c r="F361" s="2" t="s">
        <v>1549</v>
      </c>
      <c r="G361" s="2" t="s">
        <v>1550</v>
      </c>
      <c r="H361" s="2" t="s">
        <v>1551</v>
      </c>
      <c r="I361" s="2" t="s">
        <v>1659</v>
      </c>
      <c r="J361" s="2" t="s">
        <v>270</v>
      </c>
      <c r="K361" s="2" t="s">
        <v>169</v>
      </c>
      <c r="L361" s="3">
        <v>60.51</v>
      </c>
      <c r="M361" s="3">
        <v>63.54</v>
      </c>
      <c r="N361" s="3">
        <v>119.99</v>
      </c>
      <c r="O361" s="2" t="s">
        <v>97</v>
      </c>
      <c r="P361" s="2" t="s">
        <v>307</v>
      </c>
      <c r="Q361" s="2" t="s">
        <v>99</v>
      </c>
      <c r="R361" s="2" t="s">
        <v>100</v>
      </c>
      <c r="S361" s="2" t="s">
        <v>1553</v>
      </c>
      <c r="T361" s="2" t="s">
        <v>280</v>
      </c>
      <c r="U361" s="2" t="s">
        <v>480</v>
      </c>
      <c r="V361" s="2" t="s">
        <v>489</v>
      </c>
      <c r="W361" s="2" t="s">
        <v>158</v>
      </c>
      <c r="X361" s="2" t="s">
        <v>697</v>
      </c>
      <c r="Y361" s="2" t="s">
        <v>1660</v>
      </c>
      <c r="Z361" s="4">
        <v>2786</v>
      </c>
      <c r="AA361" s="4">
        <f>=ROUNDDOWN(132.666666666667,0)</f>
      </c>
      <c r="AB361" s="5">
        <v>21</v>
      </c>
      <c r="AC361" s="2" t="s">
        <v>100</v>
      </c>
      <c r="AD361" s="4"/>
      <c r="AE361" s="4"/>
      <c r="AF361" s="6">
        <v>71</v>
      </c>
      <c r="AG361" s="6">
        <v>79</v>
      </c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1</v>
      </c>
      <c r="AQ361" s="8">
        <v>66.53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0.1936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854</v>
      </c>
      <c r="BK361" s="8">
        <v>55933.67</v>
      </c>
      <c r="BL361" s="2" t="s">
        <v>1665</v>
      </c>
      <c r="BM361" s="7">
        <v>0.0012</v>
      </c>
      <c r="BN361" s="7">
        <v>0.0012</v>
      </c>
      <c r="BO361" s="4">
        <v>1</v>
      </c>
      <c r="BP361" s="8">
        <v>66.53</v>
      </c>
      <c r="BQ361" s="4"/>
      <c r="BR361" s="8"/>
      <c r="BS361" s="7"/>
      <c r="BT361" s="7"/>
      <c r="BU361" s="2" t="s">
        <v>109</v>
      </c>
      <c r="BV361" s="2" t="s">
        <v>110</v>
      </c>
      <c r="BW361" s="2" t="s">
        <v>1662</v>
      </c>
      <c r="BX361" s="2" t="s">
        <v>1666</v>
      </c>
      <c r="BY361" s="2" t="s">
        <v>113</v>
      </c>
      <c r="BZ361" s="2" t="s">
        <v>100</v>
      </c>
    </row>
    <row r="362">
      <c r="A362" s="2" t="s">
        <v>1667</v>
      </c>
      <c r="B362" s="2" t="s">
        <v>87</v>
      </c>
      <c r="C362" s="2" t="s">
        <v>88</v>
      </c>
      <c r="D362" s="2" t="s">
        <v>1638</v>
      </c>
      <c r="E362" s="2" t="s">
        <v>1639</v>
      </c>
      <c r="F362" s="2" t="s">
        <v>1549</v>
      </c>
      <c r="G362" s="2" t="s">
        <v>1550</v>
      </c>
      <c r="H362" s="2" t="s">
        <v>1551</v>
      </c>
      <c r="I362" s="2" t="s">
        <v>1668</v>
      </c>
      <c r="J362" s="2" t="s">
        <v>247</v>
      </c>
      <c r="K362" s="2" t="s">
        <v>629</v>
      </c>
      <c r="L362" s="3">
        <v>51.2</v>
      </c>
      <c r="M362" s="3">
        <v>53.76</v>
      </c>
      <c r="N362" s="3">
        <v>99.99</v>
      </c>
      <c r="O362" s="2" t="s">
        <v>97</v>
      </c>
      <c r="P362" s="2" t="s">
        <v>119</v>
      </c>
      <c r="Q362" s="2" t="s">
        <v>99</v>
      </c>
      <c r="R362" s="2" t="s">
        <v>100</v>
      </c>
      <c r="S362" s="2" t="s">
        <v>1561</v>
      </c>
      <c r="T362" s="2" t="s">
        <v>100</v>
      </c>
      <c r="U362" s="2" t="s">
        <v>480</v>
      </c>
      <c r="V362" s="2" t="s">
        <v>489</v>
      </c>
      <c r="W362" s="2" t="s">
        <v>158</v>
      </c>
      <c r="X362" s="2" t="s">
        <v>697</v>
      </c>
      <c r="Y362" s="2" t="s">
        <v>1669</v>
      </c>
      <c r="Z362" s="4">
        <v>718</v>
      </c>
      <c r="AA362" s="4">
        <f>=ROUNDDOWN(102.571428571429,0)</f>
      </c>
      <c r="AB362" s="5">
        <v>7</v>
      </c>
      <c r="AC362" s="2" t="s">
        <v>100</v>
      </c>
      <c r="AD362" s="4"/>
      <c r="AE362" s="4"/>
      <c r="AF362" s="6">
        <v>71</v>
      </c>
      <c r="AG362" s="6">
        <v>79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175</v>
      </c>
      <c r="BK362" s="8">
        <v>9795.07</v>
      </c>
      <c r="BL362" s="2" t="s">
        <v>1670</v>
      </c>
      <c r="BM362" s="7"/>
      <c r="BN362" s="7"/>
      <c r="BO362" s="4"/>
      <c r="BP362" s="8"/>
      <c r="BQ362" s="4"/>
      <c r="BR362" s="8"/>
      <c r="BS362" s="7"/>
      <c r="BT362" s="7"/>
      <c r="BU362" s="2" t="s">
        <v>268</v>
      </c>
      <c r="BV362" s="2" t="s">
        <v>97</v>
      </c>
      <c r="BW362" s="2" t="s">
        <v>100</v>
      </c>
      <c r="BX362" s="2" t="s">
        <v>100</v>
      </c>
      <c r="BY362" s="2" t="s">
        <v>113</v>
      </c>
      <c r="BZ362" s="2" t="s">
        <v>100</v>
      </c>
    </row>
    <row r="363">
      <c r="A363" s="2" t="s">
        <v>1671</v>
      </c>
      <c r="B363" s="2" t="s">
        <v>87</v>
      </c>
      <c r="C363" s="2" t="s">
        <v>88</v>
      </c>
      <c r="D363" s="2" t="s">
        <v>1638</v>
      </c>
      <c r="E363" s="2" t="s">
        <v>1639</v>
      </c>
      <c r="F363" s="2" t="s">
        <v>1549</v>
      </c>
      <c r="G363" s="2" t="s">
        <v>1550</v>
      </c>
      <c r="H363" s="2" t="s">
        <v>1551</v>
      </c>
      <c r="I363" s="2" t="s">
        <v>1668</v>
      </c>
      <c r="J363" s="2" t="s">
        <v>270</v>
      </c>
      <c r="K363" s="2" t="s">
        <v>629</v>
      </c>
      <c r="L363" s="3">
        <v>60.51</v>
      </c>
      <c r="M363" s="3">
        <v>63.54</v>
      </c>
      <c r="N363" s="3">
        <v>119.99</v>
      </c>
      <c r="O363" s="2" t="s">
        <v>97</v>
      </c>
      <c r="P363" s="2" t="s">
        <v>119</v>
      </c>
      <c r="Q363" s="2" t="s">
        <v>99</v>
      </c>
      <c r="R363" s="2" t="s">
        <v>100</v>
      </c>
      <c r="S363" s="2" t="s">
        <v>1561</v>
      </c>
      <c r="T363" s="2" t="s">
        <v>100</v>
      </c>
      <c r="U363" s="2" t="s">
        <v>480</v>
      </c>
      <c r="V363" s="2" t="s">
        <v>489</v>
      </c>
      <c r="W363" s="2" t="s">
        <v>158</v>
      </c>
      <c r="X363" s="2" t="s">
        <v>697</v>
      </c>
      <c r="Y363" s="2" t="s">
        <v>1669</v>
      </c>
      <c r="Z363" s="4">
        <v>1081</v>
      </c>
      <c r="AA363" s="4">
        <f>=ROUNDDOWN(98.2727272727273,0)</f>
      </c>
      <c r="AB363" s="5">
        <v>11</v>
      </c>
      <c r="AC363" s="2" t="s">
        <v>100</v>
      </c>
      <c r="AD363" s="4"/>
      <c r="AE363" s="4"/>
      <c r="AF363" s="6">
        <v>71</v>
      </c>
      <c r="AG363" s="6">
        <v>79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339</v>
      </c>
      <c r="BK363" s="8">
        <v>22989.47</v>
      </c>
      <c r="BL363" s="2" t="s">
        <v>1672</v>
      </c>
      <c r="BM363" s="7"/>
      <c r="BN363" s="7"/>
      <c r="BO363" s="4"/>
      <c r="BP363" s="8"/>
      <c r="BQ363" s="4"/>
      <c r="BR363" s="8"/>
      <c r="BS363" s="7"/>
      <c r="BT363" s="7"/>
      <c r="BU363" s="2" t="s">
        <v>268</v>
      </c>
      <c r="BV363" s="2" t="s">
        <v>97</v>
      </c>
      <c r="BW363" s="2" t="s">
        <v>100</v>
      </c>
      <c r="BX363" s="2" t="s">
        <v>100</v>
      </c>
      <c r="BY363" s="2" t="s">
        <v>113</v>
      </c>
      <c r="BZ363" s="2" t="s">
        <v>100</v>
      </c>
    </row>
    <row r="364">
      <c r="A364" s="2" t="s">
        <v>1673</v>
      </c>
      <c r="B364" s="2" t="s">
        <v>87</v>
      </c>
      <c r="C364" s="2" t="s">
        <v>88</v>
      </c>
      <c r="D364" s="2" t="s">
        <v>1638</v>
      </c>
      <c r="E364" s="2" t="s">
        <v>1639</v>
      </c>
      <c r="F364" s="2" t="s">
        <v>635</v>
      </c>
      <c r="G364" s="2" t="s">
        <v>636</v>
      </c>
      <c r="H364" s="2" t="s">
        <v>637</v>
      </c>
      <c r="I364" s="2" t="s">
        <v>1674</v>
      </c>
      <c r="J364" s="2" t="s">
        <v>247</v>
      </c>
      <c r="K364" s="2" t="s">
        <v>639</v>
      </c>
      <c r="L364" s="3">
        <v>53.9</v>
      </c>
      <c r="M364" s="3">
        <v>56.59</v>
      </c>
      <c r="N364" s="3">
        <v>109.99</v>
      </c>
      <c r="O364" s="2" t="s">
        <v>97</v>
      </c>
      <c r="P364" s="2" t="s">
        <v>119</v>
      </c>
      <c r="Q364" s="2" t="s">
        <v>99</v>
      </c>
      <c r="R364" s="2" t="s">
        <v>100</v>
      </c>
      <c r="S364" s="2" t="s">
        <v>1675</v>
      </c>
      <c r="T364" s="2" t="s">
        <v>280</v>
      </c>
      <c r="U364" s="2" t="s">
        <v>480</v>
      </c>
      <c r="V364" s="2" t="s">
        <v>103</v>
      </c>
      <c r="W364" s="2" t="s">
        <v>319</v>
      </c>
      <c r="X364" s="2" t="s">
        <v>100</v>
      </c>
      <c r="Y364" s="2" t="s">
        <v>641</v>
      </c>
      <c r="Z364" s="4">
        <v>120</v>
      </c>
      <c r="AA364" s="4">
        <f>=ROUNDDOWN(20,0)</f>
      </c>
      <c r="AB364" s="5">
        <v>6</v>
      </c>
      <c r="AC364" s="2" t="s">
        <v>562</v>
      </c>
      <c r="AD364" s="4">
        <v>24</v>
      </c>
      <c r="AE364" s="4">
        <v>259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>
        <v>2</v>
      </c>
      <c r="AQ364" s="8">
        <v>110.88</v>
      </c>
      <c r="AR364" s="4"/>
      <c r="AS364" s="8"/>
      <c r="AT364" s="7"/>
      <c r="AU364" s="7"/>
      <c r="AV364" s="4">
        <v>5</v>
      </c>
      <c r="AW364" s="8">
        <v>310.47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0.3571</v>
      </c>
      <c r="BC364" s="4">
        <v>5</v>
      </c>
      <c r="BD364" s="8">
        <v>310.47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145</v>
      </c>
      <c r="BK364" s="8">
        <v>8460.99</v>
      </c>
      <c r="BL364" s="2" t="s">
        <v>1676</v>
      </c>
      <c r="BM364" s="7">
        <v>0.0138</v>
      </c>
      <c r="BN364" s="7">
        <v>0.0131</v>
      </c>
      <c r="BO364" s="4">
        <v>2</v>
      </c>
      <c r="BP364" s="8">
        <v>110.88</v>
      </c>
      <c r="BQ364" s="4"/>
      <c r="BR364" s="8"/>
      <c r="BS364" s="7"/>
      <c r="BT364" s="7"/>
      <c r="BU364" s="2" t="s">
        <v>109</v>
      </c>
      <c r="BV364" s="2" t="s">
        <v>110</v>
      </c>
      <c r="BW364" s="2" t="s">
        <v>643</v>
      </c>
      <c r="BX364" s="2" t="s">
        <v>1677</v>
      </c>
      <c r="BY364" s="2" t="s">
        <v>113</v>
      </c>
      <c r="BZ364" s="2" t="s">
        <v>100</v>
      </c>
    </row>
    <row r="365">
      <c r="A365" s="2" t="s">
        <v>1678</v>
      </c>
      <c r="B365" s="2" t="s">
        <v>87</v>
      </c>
      <c r="C365" s="2" t="s">
        <v>88</v>
      </c>
      <c r="D365" s="2" t="s">
        <v>1638</v>
      </c>
      <c r="E365" s="2" t="s">
        <v>1639</v>
      </c>
      <c r="F365" s="2" t="s">
        <v>635</v>
      </c>
      <c r="G365" s="2" t="s">
        <v>636</v>
      </c>
      <c r="H365" s="2" t="s">
        <v>637</v>
      </c>
      <c r="I365" s="2" t="s">
        <v>1674</v>
      </c>
      <c r="J365" s="2" t="s">
        <v>270</v>
      </c>
      <c r="K365" s="2" t="s">
        <v>639</v>
      </c>
      <c r="L365" s="3">
        <v>63.7</v>
      </c>
      <c r="M365" s="3">
        <v>66.88</v>
      </c>
      <c r="N365" s="3">
        <v>129.99</v>
      </c>
      <c r="O365" s="2" t="s">
        <v>97</v>
      </c>
      <c r="P365" s="2" t="s">
        <v>119</v>
      </c>
      <c r="Q365" s="2" t="s">
        <v>99</v>
      </c>
      <c r="R365" s="2" t="s">
        <v>100</v>
      </c>
      <c r="S365" s="2" t="s">
        <v>1675</v>
      </c>
      <c r="T365" s="2" t="s">
        <v>280</v>
      </c>
      <c r="U365" s="2" t="s">
        <v>480</v>
      </c>
      <c r="V365" s="2" t="s">
        <v>103</v>
      </c>
      <c r="W365" s="2" t="s">
        <v>319</v>
      </c>
      <c r="X365" s="2" t="s">
        <v>100</v>
      </c>
      <c r="Y365" s="2" t="s">
        <v>641</v>
      </c>
      <c r="Z365" s="4">
        <v>197</v>
      </c>
      <c r="AA365" s="4">
        <f>=ROUNDDOWN(21.8888888888889,0)</f>
      </c>
      <c r="AB365" s="5">
        <v>9</v>
      </c>
      <c r="AC365" s="2" t="s">
        <v>562</v>
      </c>
      <c r="AD365" s="4">
        <v>73</v>
      </c>
      <c r="AE365" s="4">
        <v>103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>
        <v>3</v>
      </c>
      <c r="AQ365" s="8">
        <v>199.59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0.6429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171</v>
      </c>
      <c r="BK365" s="8">
        <v>12001.5</v>
      </c>
      <c r="BL365" s="2" t="s">
        <v>149</v>
      </c>
      <c r="BM365" s="7">
        <v>0.0175</v>
      </c>
      <c r="BN365" s="7">
        <v>0.0166</v>
      </c>
      <c r="BO365" s="4">
        <v>3</v>
      </c>
      <c r="BP365" s="8">
        <v>199.59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643</v>
      </c>
      <c r="BX365" s="2" t="s">
        <v>1679</v>
      </c>
      <c r="BY365" s="2" t="s">
        <v>113</v>
      </c>
      <c r="BZ365" s="2" t="s">
        <v>100</v>
      </c>
    </row>
    <row r="366">
      <c r="A366" s="2" t="s">
        <v>1680</v>
      </c>
      <c r="B366" s="2" t="s">
        <v>87</v>
      </c>
      <c r="C366" s="2" t="s">
        <v>88</v>
      </c>
      <c r="D366" s="2" t="s">
        <v>1638</v>
      </c>
      <c r="E366" s="2" t="s">
        <v>1639</v>
      </c>
      <c r="F366" s="2" t="s">
        <v>1681</v>
      </c>
      <c r="G366" s="2" t="s">
        <v>1682</v>
      </c>
      <c r="H366" s="2" t="s">
        <v>1683</v>
      </c>
      <c r="I366" s="2" t="s">
        <v>1684</v>
      </c>
      <c r="J366" s="2" t="s">
        <v>247</v>
      </c>
      <c r="K366" s="2" t="s">
        <v>169</v>
      </c>
      <c r="L366" s="3">
        <v>53.9</v>
      </c>
      <c r="M366" s="3">
        <v>56.59</v>
      </c>
      <c r="N366" s="3">
        <v>109.99</v>
      </c>
      <c r="O366" s="2" t="s">
        <v>97</v>
      </c>
      <c r="P366" s="2" t="s">
        <v>119</v>
      </c>
      <c r="Q366" s="2" t="s">
        <v>99</v>
      </c>
      <c r="R366" s="2" t="s">
        <v>100</v>
      </c>
      <c r="S366" s="2" t="s">
        <v>1685</v>
      </c>
      <c r="T366" s="2" t="s">
        <v>100</v>
      </c>
      <c r="U366" s="2" t="s">
        <v>480</v>
      </c>
      <c r="V366" s="2" t="s">
        <v>403</v>
      </c>
      <c r="W366" s="2" t="s">
        <v>158</v>
      </c>
      <c r="X366" s="2" t="s">
        <v>697</v>
      </c>
      <c r="Y366" s="2" t="s">
        <v>1686</v>
      </c>
      <c r="Z366" s="4">
        <v>70</v>
      </c>
      <c r="AA366" s="4">
        <f>=ROUNDDOWN(8.75,0)</f>
      </c>
      <c r="AB366" s="5">
        <v>8</v>
      </c>
      <c r="AC366" s="2" t="s">
        <v>241</v>
      </c>
      <c r="AD366" s="4">
        <v>170</v>
      </c>
      <c r="AE366" s="4">
        <v>220</v>
      </c>
      <c r="AF366" s="6">
        <v>69</v>
      </c>
      <c r="AG366" s="6">
        <v>77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>
        <v>5</v>
      </c>
      <c r="AQ366" s="8">
        <v>277.2</v>
      </c>
      <c r="AR366" s="4"/>
      <c r="AS366" s="8"/>
      <c r="AT366" s="7"/>
      <c r="AU366" s="7"/>
      <c r="AV366" s="4">
        <v>5</v>
      </c>
      <c r="AW366" s="8">
        <v>277.2</v>
      </c>
      <c r="AX366" s="4"/>
      <c r="AY366" s="8"/>
      <c r="AZ366" s="7"/>
      <c r="BA366" s="7"/>
      <c r="BB366" s="7">
        <v>1</v>
      </c>
      <c r="BC366" s="4">
        <v>5</v>
      </c>
      <c r="BD366" s="8">
        <v>277.2</v>
      </c>
      <c r="BE366" s="4"/>
      <c r="BF366" s="8"/>
      <c r="BG366" s="7"/>
      <c r="BH366" s="7"/>
      <c r="BI366" s="7">
        <v>1</v>
      </c>
      <c r="BJ366" s="4">
        <v>193</v>
      </c>
      <c r="BK366" s="8">
        <v>11019.7</v>
      </c>
      <c r="BL366" s="2" t="s">
        <v>1687</v>
      </c>
      <c r="BM366" s="7">
        <v>0.0259</v>
      </c>
      <c r="BN366" s="7">
        <v>0.0252</v>
      </c>
      <c r="BO366" s="4">
        <v>5</v>
      </c>
      <c r="BP366" s="8">
        <v>277.2</v>
      </c>
      <c r="BQ366" s="4"/>
      <c r="BR366" s="8"/>
      <c r="BS366" s="7"/>
      <c r="BT366" s="7"/>
      <c r="BU366" s="2" t="s">
        <v>109</v>
      </c>
      <c r="BV366" s="2" t="s">
        <v>110</v>
      </c>
      <c r="BW366" s="2" t="s">
        <v>1539</v>
      </c>
      <c r="BX366" s="2" t="s">
        <v>1688</v>
      </c>
      <c r="BY366" s="2" t="s">
        <v>113</v>
      </c>
      <c r="BZ366" s="2" t="s">
        <v>100</v>
      </c>
    </row>
    <row r="367">
      <c r="A367" s="2" t="s">
        <v>1689</v>
      </c>
      <c r="B367" s="2" t="s">
        <v>87</v>
      </c>
      <c r="C367" s="2" t="s">
        <v>88</v>
      </c>
      <c r="D367" s="2" t="s">
        <v>1638</v>
      </c>
      <c r="E367" s="2" t="s">
        <v>1639</v>
      </c>
      <c r="F367" s="2" t="s">
        <v>828</v>
      </c>
      <c r="G367" s="2" t="s">
        <v>829</v>
      </c>
      <c r="H367" s="2" t="s">
        <v>830</v>
      </c>
      <c r="I367" s="2" t="s">
        <v>1690</v>
      </c>
      <c r="J367" s="2" t="s">
        <v>247</v>
      </c>
      <c r="K367" s="2" t="s">
        <v>432</v>
      </c>
      <c r="L367" s="3">
        <v>32.2</v>
      </c>
      <c r="M367" s="3">
        <v>33.81</v>
      </c>
      <c r="N367" s="3">
        <v>69.99</v>
      </c>
      <c r="O367" s="2" t="s">
        <v>97</v>
      </c>
      <c r="P367" s="2" t="s">
        <v>119</v>
      </c>
      <c r="Q367" s="2" t="s">
        <v>99</v>
      </c>
      <c r="R367" s="2" t="s">
        <v>100</v>
      </c>
      <c r="S367" s="2" t="s">
        <v>832</v>
      </c>
      <c r="T367" s="2" t="s">
        <v>280</v>
      </c>
      <c r="U367" s="2" t="s">
        <v>480</v>
      </c>
      <c r="V367" s="2" t="s">
        <v>256</v>
      </c>
      <c r="W367" s="2" t="s">
        <v>158</v>
      </c>
      <c r="X367" s="2" t="s">
        <v>378</v>
      </c>
      <c r="Y367" s="2" t="s">
        <v>1691</v>
      </c>
      <c r="Z367" s="4">
        <v>530</v>
      </c>
      <c r="AA367" s="4">
        <f>=ROUNDDOWN(27.8947368421053,0)</f>
      </c>
      <c r="AB367" s="5">
        <v>19</v>
      </c>
      <c r="AC367" s="2" t="s">
        <v>320</v>
      </c>
      <c r="AD367" s="4">
        <v>240</v>
      </c>
      <c r="AE367" s="4">
        <v>382</v>
      </c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/>
      <c r="AP367" s="4">
        <v>6</v>
      </c>
      <c r="AQ367" s="8">
        <v>199.56</v>
      </c>
      <c r="AR367" s="4"/>
      <c r="AS367" s="8"/>
      <c r="AT367" s="7"/>
      <c r="AU367" s="7"/>
      <c r="AV367" s="4">
        <v>6</v>
      </c>
      <c r="AW367" s="8">
        <v>199.56</v>
      </c>
      <c r="AX367" s="4"/>
      <c r="AY367" s="8"/>
      <c r="AZ367" s="7"/>
      <c r="BA367" s="7"/>
      <c r="BB367" s="7">
        <v>1</v>
      </c>
      <c r="BC367" s="4">
        <v>6</v>
      </c>
      <c r="BD367" s="8">
        <v>199.56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>
        <v>1</v>
      </c>
      <c r="BJ367" s="4">
        <v>477</v>
      </c>
      <c r="BK367" s="8">
        <v>15866.98</v>
      </c>
      <c r="BL367" s="2" t="s">
        <v>1692</v>
      </c>
      <c r="BM367" s="7">
        <v>0.0126</v>
      </c>
      <c r="BN367" s="7">
        <v>0.0126</v>
      </c>
      <c r="BO367" s="4">
        <v>6</v>
      </c>
      <c r="BP367" s="8">
        <v>199.56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836</v>
      </c>
      <c r="BX367" s="2" t="s">
        <v>844</v>
      </c>
      <c r="BY367" s="2" t="s">
        <v>113</v>
      </c>
      <c r="BZ367" s="2" t="s">
        <v>100</v>
      </c>
    </row>
    <row r="368">
      <c r="A368" s="2" t="s">
        <v>1693</v>
      </c>
      <c r="B368" s="2" t="s">
        <v>87</v>
      </c>
      <c r="C368" s="2" t="s">
        <v>88</v>
      </c>
      <c r="D368" s="2" t="s">
        <v>1638</v>
      </c>
      <c r="E368" s="2" t="s">
        <v>1639</v>
      </c>
      <c r="F368" s="2" t="s">
        <v>828</v>
      </c>
      <c r="G368" s="2" t="s">
        <v>829</v>
      </c>
      <c r="H368" s="2" t="s">
        <v>830</v>
      </c>
      <c r="I368" s="2" t="s">
        <v>1690</v>
      </c>
      <c r="J368" s="2" t="s">
        <v>247</v>
      </c>
      <c r="K368" s="2" t="s">
        <v>118</v>
      </c>
      <c r="L368" s="3">
        <v>32.2</v>
      </c>
      <c r="M368" s="3">
        <v>33.81</v>
      </c>
      <c r="N368" s="3">
        <v>69.99</v>
      </c>
      <c r="O368" s="2" t="s">
        <v>97</v>
      </c>
      <c r="P368" s="2" t="s">
        <v>119</v>
      </c>
      <c r="Q368" s="2" t="s">
        <v>99</v>
      </c>
      <c r="R368" s="2" t="s">
        <v>100</v>
      </c>
      <c r="S368" s="2" t="s">
        <v>1694</v>
      </c>
      <c r="T368" s="2" t="s">
        <v>280</v>
      </c>
      <c r="U368" s="2" t="s">
        <v>480</v>
      </c>
      <c r="V368" s="2" t="s">
        <v>256</v>
      </c>
      <c r="W368" s="2" t="s">
        <v>158</v>
      </c>
      <c r="X368" s="2" t="s">
        <v>378</v>
      </c>
      <c r="Y368" s="2" t="s">
        <v>1695</v>
      </c>
      <c r="Z368" s="4">
        <v>200</v>
      </c>
      <c r="AA368" s="4">
        <f>=ROUNDDOWN(33.3333333333333,0)</f>
      </c>
      <c r="AB368" s="5">
        <v>6</v>
      </c>
      <c r="AC368" s="2" t="s">
        <v>271</v>
      </c>
      <c r="AD368" s="4">
        <v>70</v>
      </c>
      <c r="AE368" s="4">
        <v>70</v>
      </c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 t="s">
        <v>100</v>
      </c>
      <c r="BJ368" s="4">
        <v>148</v>
      </c>
      <c r="BK368" s="8">
        <v>5052.4</v>
      </c>
      <c r="BL368" s="2" t="s">
        <v>852</v>
      </c>
      <c r="BM368" s="7"/>
      <c r="BN368" s="7"/>
      <c r="BO368" s="4"/>
      <c r="BP368" s="8"/>
      <c r="BQ368" s="4"/>
      <c r="BR368" s="8"/>
      <c r="BS368" s="7"/>
      <c r="BT368" s="7"/>
      <c r="BU368" s="2" t="s">
        <v>207</v>
      </c>
      <c r="BV368" s="2" t="s">
        <v>97</v>
      </c>
      <c r="BW368" s="2" t="s">
        <v>100</v>
      </c>
      <c r="BX368" s="2" t="s">
        <v>100</v>
      </c>
      <c r="BY368" s="2" t="s">
        <v>113</v>
      </c>
      <c r="BZ368" s="2" t="s">
        <v>100</v>
      </c>
    </row>
    <row r="369">
      <c r="A369" s="2" t="s">
        <v>1696</v>
      </c>
      <c r="B369" s="2" t="s">
        <v>87</v>
      </c>
      <c r="C369" s="2" t="s">
        <v>88</v>
      </c>
      <c r="D369" s="2" t="s">
        <v>1638</v>
      </c>
      <c r="E369" s="2" t="s">
        <v>1639</v>
      </c>
      <c r="F369" s="2" t="s">
        <v>828</v>
      </c>
      <c r="G369" s="2" t="s">
        <v>829</v>
      </c>
      <c r="H369" s="2" t="s">
        <v>830</v>
      </c>
      <c r="I369" s="2" t="s">
        <v>1690</v>
      </c>
      <c r="J369" s="2" t="s">
        <v>270</v>
      </c>
      <c r="K369" s="2" t="s">
        <v>118</v>
      </c>
      <c r="L369" s="3">
        <v>36.8</v>
      </c>
      <c r="M369" s="3">
        <v>38.64</v>
      </c>
      <c r="N369" s="3">
        <v>79.99</v>
      </c>
      <c r="O369" s="2" t="s">
        <v>97</v>
      </c>
      <c r="P369" s="2" t="s">
        <v>119</v>
      </c>
      <c r="Q369" s="2" t="s">
        <v>99</v>
      </c>
      <c r="R369" s="2" t="s">
        <v>100</v>
      </c>
      <c r="S369" s="2" t="s">
        <v>1694</v>
      </c>
      <c r="T369" s="2" t="s">
        <v>280</v>
      </c>
      <c r="U369" s="2" t="s">
        <v>480</v>
      </c>
      <c r="V369" s="2" t="s">
        <v>256</v>
      </c>
      <c r="W369" s="2" t="s">
        <v>158</v>
      </c>
      <c r="X369" s="2" t="s">
        <v>378</v>
      </c>
      <c r="Y369" s="2" t="s">
        <v>1695</v>
      </c>
      <c r="Z369" s="4">
        <v>194</v>
      </c>
      <c r="AA369" s="4">
        <f>=ROUNDDOWN(32.3333333333333,0)</f>
      </c>
      <c r="AB369" s="5">
        <v>6</v>
      </c>
      <c r="AC369" s="2" t="s">
        <v>271</v>
      </c>
      <c r="AD369" s="4">
        <v>60</v>
      </c>
      <c r="AE369" s="4">
        <v>60</v>
      </c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111</v>
      </c>
      <c r="BK369" s="8">
        <v>4499.31</v>
      </c>
      <c r="BL369" s="2" t="s">
        <v>1697</v>
      </c>
      <c r="BM369" s="7"/>
      <c r="BN369" s="7"/>
      <c r="BO369" s="4"/>
      <c r="BP369" s="8"/>
      <c r="BQ369" s="4"/>
      <c r="BR369" s="8"/>
      <c r="BS369" s="7"/>
      <c r="BT369" s="7"/>
      <c r="BU369" s="2" t="s">
        <v>207</v>
      </c>
      <c r="BV369" s="2" t="s">
        <v>97</v>
      </c>
      <c r="BW369" s="2" t="s">
        <v>100</v>
      </c>
      <c r="BX369" s="2" t="s">
        <v>100</v>
      </c>
      <c r="BY369" s="2" t="s">
        <v>113</v>
      </c>
      <c r="BZ369" s="2" t="s">
        <v>100</v>
      </c>
    </row>
    <row r="370">
      <c r="A370" s="2" t="s">
        <v>1698</v>
      </c>
      <c r="B370" s="2" t="s">
        <v>87</v>
      </c>
      <c r="C370" s="2" t="s">
        <v>88</v>
      </c>
      <c r="D370" s="2" t="s">
        <v>1638</v>
      </c>
      <c r="E370" s="2" t="s">
        <v>1639</v>
      </c>
      <c r="F370" s="2" t="s">
        <v>1621</v>
      </c>
      <c r="G370" s="2" t="s">
        <v>1622</v>
      </c>
      <c r="H370" s="2" t="s">
        <v>1623</v>
      </c>
      <c r="I370" s="2" t="s">
        <v>1699</v>
      </c>
      <c r="J370" s="2" t="s">
        <v>247</v>
      </c>
      <c r="K370" s="2" t="s">
        <v>1700</v>
      </c>
      <c r="L370" s="3">
        <v>53.9</v>
      </c>
      <c r="M370" s="3">
        <v>56.59</v>
      </c>
      <c r="N370" s="3">
        <v>109.99</v>
      </c>
      <c r="O370" s="2" t="s">
        <v>97</v>
      </c>
      <c r="P370" s="2" t="s">
        <v>119</v>
      </c>
      <c r="Q370" s="2" t="s">
        <v>99</v>
      </c>
      <c r="R370" s="2" t="s">
        <v>100</v>
      </c>
      <c r="S370" s="2" t="s">
        <v>1701</v>
      </c>
      <c r="T370" s="2" t="s">
        <v>280</v>
      </c>
      <c r="U370" s="2" t="s">
        <v>480</v>
      </c>
      <c r="V370" s="2" t="s">
        <v>256</v>
      </c>
      <c r="W370" s="2" t="s">
        <v>158</v>
      </c>
      <c r="X370" s="2" t="s">
        <v>1626</v>
      </c>
      <c r="Y370" s="2" t="s">
        <v>1702</v>
      </c>
      <c r="Z370" s="4">
        <v>117</v>
      </c>
      <c r="AA370" s="4">
        <f>=ROUNDDOWN(14.625,0)</f>
      </c>
      <c r="AB370" s="5">
        <v>8</v>
      </c>
      <c r="AC370" s="2" t="s">
        <v>1035</v>
      </c>
      <c r="AD370" s="4">
        <v>150</v>
      </c>
      <c r="AE370" s="4">
        <v>230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>
        <v>2</v>
      </c>
      <c r="AQ370" s="8">
        <v>110.88</v>
      </c>
      <c r="AR370" s="4"/>
      <c r="AS370" s="8"/>
      <c r="AT370" s="7"/>
      <c r="AU370" s="7"/>
      <c r="AV370" s="4">
        <v>2</v>
      </c>
      <c r="AW370" s="8">
        <v>110.88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1</v>
      </c>
      <c r="BC370" s="4">
        <v>2</v>
      </c>
      <c r="BD370" s="8">
        <v>110.88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>
        <v>1</v>
      </c>
      <c r="BJ370" s="4">
        <v>186</v>
      </c>
      <c r="BK370" s="8">
        <v>10194.18</v>
      </c>
      <c r="BL370" s="2" t="s">
        <v>1703</v>
      </c>
      <c r="BM370" s="7">
        <v>0.0108</v>
      </c>
      <c r="BN370" s="7">
        <v>0.0109</v>
      </c>
      <c r="BO370" s="4">
        <v>2</v>
      </c>
      <c r="BP370" s="8">
        <v>110.88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787</v>
      </c>
      <c r="BX370" s="2" t="s">
        <v>1704</v>
      </c>
      <c r="BY370" s="2" t="s">
        <v>113</v>
      </c>
      <c r="BZ370" s="2" t="s">
        <v>100</v>
      </c>
    </row>
    <row r="371">
      <c r="A371" s="2" t="s">
        <v>1705</v>
      </c>
      <c r="B371" s="2" t="s">
        <v>87</v>
      </c>
      <c r="C371" s="2" t="s">
        <v>88</v>
      </c>
      <c r="D371" s="2" t="s">
        <v>1638</v>
      </c>
      <c r="E371" s="2" t="s">
        <v>1639</v>
      </c>
      <c r="F371" s="2" t="s">
        <v>1621</v>
      </c>
      <c r="G371" s="2" t="s">
        <v>1622</v>
      </c>
      <c r="H371" s="2" t="s">
        <v>1623</v>
      </c>
      <c r="I371" s="2" t="s">
        <v>1699</v>
      </c>
      <c r="J371" s="2" t="s">
        <v>270</v>
      </c>
      <c r="K371" s="2" t="s">
        <v>1700</v>
      </c>
      <c r="L371" s="3">
        <v>63.7</v>
      </c>
      <c r="M371" s="3">
        <v>66.88</v>
      </c>
      <c r="N371" s="3">
        <v>129.99</v>
      </c>
      <c r="O371" s="2" t="s">
        <v>97</v>
      </c>
      <c r="P371" s="2" t="s">
        <v>119</v>
      </c>
      <c r="Q371" s="2" t="s">
        <v>99</v>
      </c>
      <c r="R371" s="2" t="s">
        <v>100</v>
      </c>
      <c r="S371" s="2" t="s">
        <v>1701</v>
      </c>
      <c r="T371" s="2" t="s">
        <v>280</v>
      </c>
      <c r="U371" s="2" t="s">
        <v>480</v>
      </c>
      <c r="V371" s="2" t="s">
        <v>256</v>
      </c>
      <c r="W371" s="2" t="s">
        <v>158</v>
      </c>
      <c r="X371" s="2" t="s">
        <v>1626</v>
      </c>
      <c r="Y371" s="2" t="s">
        <v>1702</v>
      </c>
      <c r="Z371" s="4">
        <v>219</v>
      </c>
      <c r="AA371" s="4">
        <f>=ROUNDDOWN(27.375,0)</f>
      </c>
      <c r="AB371" s="5">
        <v>8</v>
      </c>
      <c r="AC371" s="2" t="s">
        <v>1035</v>
      </c>
      <c r="AD371" s="4">
        <v>70</v>
      </c>
      <c r="AE371" s="4">
        <v>130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176</v>
      </c>
      <c r="BK371" s="8">
        <v>11431.34</v>
      </c>
      <c r="BL371" s="2" t="s">
        <v>492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97</v>
      </c>
      <c r="BW371" s="2" t="s">
        <v>787</v>
      </c>
      <c r="BX371" s="2" t="s">
        <v>1706</v>
      </c>
      <c r="BY371" s="2" t="s">
        <v>113</v>
      </c>
      <c r="BZ371" s="2" t="s">
        <v>100</v>
      </c>
    </row>
    <row r="372">
      <c r="A372" s="2" t="s">
        <v>1707</v>
      </c>
      <c r="B372" s="2" t="s">
        <v>87</v>
      </c>
      <c r="C372" s="2" t="s">
        <v>88</v>
      </c>
      <c r="D372" s="2" t="s">
        <v>1638</v>
      </c>
      <c r="E372" s="2" t="s">
        <v>1639</v>
      </c>
      <c r="F372" s="2" t="s">
        <v>1621</v>
      </c>
      <c r="G372" s="2" t="s">
        <v>1622</v>
      </c>
      <c r="H372" s="2" t="s">
        <v>1623</v>
      </c>
      <c r="I372" s="2" t="s">
        <v>1699</v>
      </c>
      <c r="J372" s="2" t="s">
        <v>247</v>
      </c>
      <c r="K372" s="2" t="s">
        <v>169</v>
      </c>
      <c r="L372" s="3">
        <v>53.9</v>
      </c>
      <c r="M372" s="3">
        <v>56.6</v>
      </c>
      <c r="N372" s="3">
        <v>109.99</v>
      </c>
      <c r="O372" s="2" t="s">
        <v>97</v>
      </c>
      <c r="P372" s="2" t="s">
        <v>119</v>
      </c>
      <c r="Q372" s="2" t="s">
        <v>99</v>
      </c>
      <c r="R372" s="2" t="s">
        <v>100</v>
      </c>
      <c r="S372" s="2" t="s">
        <v>1708</v>
      </c>
      <c r="T372" s="2" t="s">
        <v>280</v>
      </c>
      <c r="U372" s="2" t="s">
        <v>480</v>
      </c>
      <c r="V372" s="2" t="s">
        <v>256</v>
      </c>
      <c r="W372" s="2" t="s">
        <v>158</v>
      </c>
      <c r="X372" s="2" t="s">
        <v>1626</v>
      </c>
      <c r="Y372" s="2" t="s">
        <v>1627</v>
      </c>
      <c r="Z372" s="4">
        <v>226</v>
      </c>
      <c r="AA372" s="4">
        <f>=ROUNDDOWN(28.25,0)</f>
      </c>
      <c r="AB372" s="5">
        <v>8</v>
      </c>
      <c r="AC372" s="2" t="s">
        <v>1035</v>
      </c>
      <c r="AD372" s="4">
        <v>100</v>
      </c>
      <c r="AE372" s="4">
        <v>180</v>
      </c>
      <c r="AF372" s="6">
        <v>65</v>
      </c>
      <c r="AG372" s="6"/>
      <c r="AH372" s="7">
        <v>0.8556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 t="s">
        <v>100</v>
      </c>
      <c r="BJ372" s="4">
        <v>158</v>
      </c>
      <c r="BK372" s="8">
        <v>9075.14</v>
      </c>
      <c r="BL372" s="2" t="s">
        <v>494</v>
      </c>
      <c r="BM372" s="7"/>
      <c r="BN372" s="7"/>
      <c r="BO372" s="4"/>
      <c r="BP372" s="8"/>
      <c r="BQ372" s="4"/>
      <c r="BR372" s="8"/>
      <c r="BS372" s="7"/>
      <c r="BT372" s="7"/>
      <c r="BU372" s="2" t="s">
        <v>207</v>
      </c>
      <c r="BV372" s="2" t="s">
        <v>97</v>
      </c>
      <c r="BW372" s="2" t="s">
        <v>100</v>
      </c>
      <c r="BX372" s="2" t="s">
        <v>100</v>
      </c>
      <c r="BY372" s="2" t="s">
        <v>113</v>
      </c>
      <c r="BZ372" s="2" t="s">
        <v>100</v>
      </c>
    </row>
    <row r="373">
      <c r="A373" s="2" t="s">
        <v>1709</v>
      </c>
      <c r="B373" s="2" t="s">
        <v>87</v>
      </c>
      <c r="C373" s="2" t="s">
        <v>88</v>
      </c>
      <c r="D373" s="2" t="s">
        <v>1638</v>
      </c>
      <c r="E373" s="2" t="s">
        <v>1639</v>
      </c>
      <c r="F373" s="2" t="s">
        <v>1621</v>
      </c>
      <c r="G373" s="2" t="s">
        <v>1622</v>
      </c>
      <c r="H373" s="2" t="s">
        <v>1623</v>
      </c>
      <c r="I373" s="2" t="s">
        <v>1699</v>
      </c>
      <c r="J373" s="2" t="s">
        <v>270</v>
      </c>
      <c r="K373" s="2" t="s">
        <v>169</v>
      </c>
      <c r="L373" s="3">
        <v>63.7</v>
      </c>
      <c r="M373" s="3">
        <v>66.89</v>
      </c>
      <c r="N373" s="3">
        <v>129.99</v>
      </c>
      <c r="O373" s="2" t="s">
        <v>97</v>
      </c>
      <c r="P373" s="2" t="s">
        <v>119</v>
      </c>
      <c r="Q373" s="2" t="s">
        <v>99</v>
      </c>
      <c r="R373" s="2" t="s">
        <v>100</v>
      </c>
      <c r="S373" s="2" t="s">
        <v>1708</v>
      </c>
      <c r="T373" s="2" t="s">
        <v>280</v>
      </c>
      <c r="U373" s="2" t="s">
        <v>480</v>
      </c>
      <c r="V373" s="2" t="s">
        <v>256</v>
      </c>
      <c r="W373" s="2" t="s">
        <v>158</v>
      </c>
      <c r="X373" s="2" t="s">
        <v>1626</v>
      </c>
      <c r="Y373" s="2" t="s">
        <v>1627</v>
      </c>
      <c r="Z373" s="4">
        <v>186</v>
      </c>
      <c r="AA373" s="4">
        <f>=ROUNDDOWN(23.25,0)</f>
      </c>
      <c r="AB373" s="5">
        <v>8</v>
      </c>
      <c r="AC373" s="2" t="s">
        <v>1035</v>
      </c>
      <c r="AD373" s="4">
        <v>120</v>
      </c>
      <c r="AE373" s="4">
        <v>230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137</v>
      </c>
      <c r="BK373" s="8">
        <v>9253.15</v>
      </c>
      <c r="BL373" s="2" t="s">
        <v>494</v>
      </c>
      <c r="BM373" s="7"/>
      <c r="BN373" s="7"/>
      <c r="BO373" s="4"/>
      <c r="BP373" s="8"/>
      <c r="BQ373" s="4"/>
      <c r="BR373" s="8"/>
      <c r="BS373" s="7"/>
      <c r="BT373" s="7"/>
      <c r="BU373" s="2" t="s">
        <v>207</v>
      </c>
      <c r="BV373" s="2" t="s">
        <v>97</v>
      </c>
      <c r="BW373" s="2" t="s">
        <v>100</v>
      </c>
      <c r="BX373" s="2" t="s">
        <v>100</v>
      </c>
      <c r="BY373" s="2" t="s">
        <v>113</v>
      </c>
      <c r="BZ373" s="2" t="s">
        <v>100</v>
      </c>
    </row>
    <row r="374">
      <c r="A374" s="2" t="s">
        <v>1710</v>
      </c>
      <c r="B374" s="2" t="s">
        <v>87</v>
      </c>
      <c r="C374" s="2" t="s">
        <v>88</v>
      </c>
      <c r="D374" s="2" t="s">
        <v>1638</v>
      </c>
      <c r="E374" s="2" t="s">
        <v>1639</v>
      </c>
      <c r="F374" s="2" t="s">
        <v>1711</v>
      </c>
      <c r="G374" s="2" t="s">
        <v>1712</v>
      </c>
      <c r="H374" s="2" t="s">
        <v>1713</v>
      </c>
      <c r="I374" s="2" t="s">
        <v>1714</v>
      </c>
      <c r="J374" s="2" t="s">
        <v>247</v>
      </c>
      <c r="K374" s="2" t="s">
        <v>189</v>
      </c>
      <c r="L374" s="3">
        <v>58.8</v>
      </c>
      <c r="M374" s="3">
        <v>61.73</v>
      </c>
      <c r="N374" s="3">
        <v>119.99</v>
      </c>
      <c r="O374" s="2" t="s">
        <v>97</v>
      </c>
      <c r="P374" s="2" t="s">
        <v>119</v>
      </c>
      <c r="Q374" s="2" t="s">
        <v>99</v>
      </c>
      <c r="R374" s="2" t="s">
        <v>100</v>
      </c>
      <c r="S374" s="2" t="s">
        <v>1715</v>
      </c>
      <c r="T374" s="2" t="s">
        <v>100</v>
      </c>
      <c r="U374" s="2" t="s">
        <v>480</v>
      </c>
      <c r="V374" s="2" t="s">
        <v>146</v>
      </c>
      <c r="W374" s="2" t="s">
        <v>561</v>
      </c>
      <c r="X374" s="2" t="s">
        <v>100</v>
      </c>
      <c r="Y374" s="2" t="s">
        <v>1716</v>
      </c>
      <c r="Z374" s="4">
        <v>138</v>
      </c>
      <c r="AA374" s="4">
        <f>=ROUNDDOWN(34.5,0)</f>
      </c>
      <c r="AB374" s="5">
        <v>4</v>
      </c>
      <c r="AC374" s="2" t="s">
        <v>100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>
        <v>1</v>
      </c>
      <c r="AQ374" s="8">
        <v>60.98</v>
      </c>
      <c r="AR374" s="4"/>
      <c r="AS374" s="8"/>
      <c r="AT374" s="7"/>
      <c r="AU374" s="7"/>
      <c r="AV374" s="4">
        <v>1</v>
      </c>
      <c r="AW374" s="8">
        <v>60.98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1</v>
      </c>
      <c r="BC374" s="4">
        <v>1</v>
      </c>
      <c r="BD374" s="8">
        <v>60.98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1</v>
      </c>
      <c r="BJ374" s="4">
        <v>90</v>
      </c>
      <c r="BK374" s="8">
        <v>5132.24</v>
      </c>
      <c r="BL374" s="2" t="s">
        <v>1717</v>
      </c>
      <c r="BM374" s="7">
        <v>0.0111</v>
      </c>
      <c r="BN374" s="7">
        <v>0.0119</v>
      </c>
      <c r="BO374" s="4">
        <v>1</v>
      </c>
      <c r="BP374" s="8">
        <v>60.98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580</v>
      </c>
      <c r="BX374" s="2" t="s">
        <v>1718</v>
      </c>
      <c r="BY374" s="2" t="s">
        <v>113</v>
      </c>
      <c r="BZ374" s="2" t="s">
        <v>100</v>
      </c>
    </row>
    <row r="375">
      <c r="A375" s="2" t="s">
        <v>1719</v>
      </c>
      <c r="B375" s="2" t="s">
        <v>87</v>
      </c>
      <c r="C375" s="2" t="s">
        <v>88</v>
      </c>
      <c r="D375" s="2" t="s">
        <v>1638</v>
      </c>
      <c r="E375" s="2" t="s">
        <v>1639</v>
      </c>
      <c r="F375" s="2" t="s">
        <v>1711</v>
      </c>
      <c r="G375" s="2" t="s">
        <v>1712</v>
      </c>
      <c r="H375" s="2" t="s">
        <v>1713</v>
      </c>
      <c r="I375" s="2" t="s">
        <v>1714</v>
      </c>
      <c r="J375" s="2" t="s">
        <v>270</v>
      </c>
      <c r="K375" s="2" t="s">
        <v>189</v>
      </c>
      <c r="L375" s="3">
        <v>68.6</v>
      </c>
      <c r="M375" s="3">
        <v>72.02</v>
      </c>
      <c r="N375" s="3">
        <v>139.99</v>
      </c>
      <c r="O375" s="2" t="s">
        <v>97</v>
      </c>
      <c r="P375" s="2" t="s">
        <v>119</v>
      </c>
      <c r="Q375" s="2" t="s">
        <v>99</v>
      </c>
      <c r="R375" s="2" t="s">
        <v>100</v>
      </c>
      <c r="S375" s="2" t="s">
        <v>1715</v>
      </c>
      <c r="T375" s="2" t="s">
        <v>100</v>
      </c>
      <c r="U375" s="2" t="s">
        <v>480</v>
      </c>
      <c r="V375" s="2" t="s">
        <v>146</v>
      </c>
      <c r="W375" s="2" t="s">
        <v>561</v>
      </c>
      <c r="X375" s="2" t="s">
        <v>100</v>
      </c>
      <c r="Y375" s="2" t="s">
        <v>1716</v>
      </c>
      <c r="Z375" s="4">
        <v>92</v>
      </c>
      <c r="AA375" s="4">
        <f>=ROUNDDOWN(30.6666666666667,0)</f>
      </c>
      <c r="AB375" s="5">
        <v>3</v>
      </c>
      <c r="AC375" s="2" t="s">
        <v>100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104</v>
      </c>
      <c r="BK375" s="8">
        <v>7174.59</v>
      </c>
      <c r="BL375" s="2" t="s">
        <v>1720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582</v>
      </c>
      <c r="BX375" s="2" t="s">
        <v>1721</v>
      </c>
      <c r="BY375" s="2" t="s">
        <v>113</v>
      </c>
      <c r="BZ375" s="2" t="s">
        <v>100</v>
      </c>
    </row>
    <row r="376">
      <c r="A376" s="2" t="s">
        <v>1722</v>
      </c>
      <c r="B376" s="2" t="s">
        <v>87</v>
      </c>
      <c r="C376" s="2" t="s">
        <v>88</v>
      </c>
      <c r="D376" s="2" t="s">
        <v>1638</v>
      </c>
      <c r="E376" s="2" t="s">
        <v>1639</v>
      </c>
      <c r="F376" s="2" t="s">
        <v>1723</v>
      </c>
      <c r="G376" s="2" t="s">
        <v>1724</v>
      </c>
      <c r="H376" s="2" t="s">
        <v>1725</v>
      </c>
      <c r="I376" s="2" t="s">
        <v>1726</v>
      </c>
      <c r="J376" s="2" t="s">
        <v>270</v>
      </c>
      <c r="K376" s="2" t="s">
        <v>169</v>
      </c>
      <c r="L376" s="3">
        <v>63.7</v>
      </c>
      <c r="M376" s="3">
        <v>66.88</v>
      </c>
      <c r="N376" s="3">
        <v>129.99</v>
      </c>
      <c r="O376" s="2" t="s">
        <v>97</v>
      </c>
      <c r="P376" s="2" t="s">
        <v>119</v>
      </c>
      <c r="Q376" s="2" t="s">
        <v>99</v>
      </c>
      <c r="R376" s="2" t="s">
        <v>100</v>
      </c>
      <c r="S376" s="2" t="s">
        <v>1727</v>
      </c>
      <c r="T376" s="2" t="s">
        <v>100</v>
      </c>
      <c r="U376" s="2" t="s">
        <v>480</v>
      </c>
      <c r="V376" s="2" t="s">
        <v>239</v>
      </c>
      <c r="W376" s="2" t="s">
        <v>239</v>
      </c>
      <c r="X376" s="2" t="s">
        <v>203</v>
      </c>
      <c r="Y376" s="2" t="s">
        <v>1691</v>
      </c>
      <c r="Z376" s="4">
        <v>173</v>
      </c>
      <c r="AA376" s="4">
        <f>=ROUNDDOWN(15.7272727272727,0)</f>
      </c>
      <c r="AB376" s="5">
        <v>11</v>
      </c>
      <c r="AC376" s="2" t="s">
        <v>1728</v>
      </c>
      <c r="AD376" s="4">
        <v>220</v>
      </c>
      <c r="AE376" s="4">
        <v>320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198</v>
      </c>
      <c r="BK376" s="8">
        <v>13189.99</v>
      </c>
      <c r="BL376" s="2" t="s">
        <v>1729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836</v>
      </c>
      <c r="BX376" s="2" t="s">
        <v>1730</v>
      </c>
      <c r="BY376" s="2" t="s">
        <v>113</v>
      </c>
      <c r="BZ376" s="2" t="s">
        <v>100</v>
      </c>
    </row>
    <row r="377">
      <c r="A377" s="2" t="s">
        <v>1731</v>
      </c>
      <c r="B377" s="2" t="s">
        <v>87</v>
      </c>
      <c r="C377" s="2" t="s">
        <v>88</v>
      </c>
      <c r="D377" s="2" t="s">
        <v>1638</v>
      </c>
      <c r="E377" s="2" t="s">
        <v>1639</v>
      </c>
      <c r="F377" s="2" t="s">
        <v>1564</v>
      </c>
      <c r="G377" s="2" t="s">
        <v>1565</v>
      </c>
      <c r="H377" s="2" t="s">
        <v>1566</v>
      </c>
      <c r="I377" s="2" t="s">
        <v>1732</v>
      </c>
      <c r="J377" s="2" t="s">
        <v>247</v>
      </c>
      <c r="K377" s="2" t="s">
        <v>118</v>
      </c>
      <c r="L377" s="3">
        <v>32</v>
      </c>
      <c r="M377" s="3">
        <v>33.6</v>
      </c>
      <c r="N377" s="3">
        <v>69.99</v>
      </c>
      <c r="O377" s="2" t="s">
        <v>97</v>
      </c>
      <c r="P377" s="2" t="s">
        <v>225</v>
      </c>
      <c r="Q377" s="2" t="s">
        <v>99</v>
      </c>
      <c r="R377" s="2" t="s">
        <v>100</v>
      </c>
      <c r="S377" s="2" t="s">
        <v>1568</v>
      </c>
      <c r="T377" s="2" t="s">
        <v>280</v>
      </c>
      <c r="U377" s="2" t="s">
        <v>480</v>
      </c>
      <c r="V377" s="2" t="s">
        <v>256</v>
      </c>
      <c r="W377" s="2" t="s">
        <v>561</v>
      </c>
      <c r="X377" s="2" t="s">
        <v>100</v>
      </c>
      <c r="Y377" s="2" t="s">
        <v>1569</v>
      </c>
      <c r="Z377" s="4">
        <v>121</v>
      </c>
      <c r="AA377" s="4">
        <f>=ROUNDDOWN(60.5,0)</f>
      </c>
      <c r="AB377" s="5">
        <v>2</v>
      </c>
      <c r="AC377" s="2" t="s">
        <v>100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32</v>
      </c>
      <c r="BK377" s="8">
        <v>1173.1</v>
      </c>
      <c r="BL377" s="2" t="s">
        <v>1733</v>
      </c>
      <c r="BM377" s="7"/>
      <c r="BN377" s="7"/>
      <c r="BO377" s="4"/>
      <c r="BP377" s="8"/>
      <c r="BQ377" s="4"/>
      <c r="BR377" s="8"/>
      <c r="BS377" s="7"/>
      <c r="BT377" s="7"/>
      <c r="BU377" s="2" t="s">
        <v>207</v>
      </c>
      <c r="BV377" s="2" t="s">
        <v>97</v>
      </c>
      <c r="BW377" s="2" t="s">
        <v>100</v>
      </c>
      <c r="BX377" s="2" t="s">
        <v>100</v>
      </c>
      <c r="BY377" s="2" t="s">
        <v>113</v>
      </c>
      <c r="BZ377" s="2" t="s">
        <v>100</v>
      </c>
    </row>
    <row r="378">
      <c r="A378" s="2" t="s">
        <v>1734</v>
      </c>
      <c r="B378" s="2" t="s">
        <v>87</v>
      </c>
      <c r="C378" s="2" t="s">
        <v>88</v>
      </c>
      <c r="D378" s="2" t="s">
        <v>1638</v>
      </c>
      <c r="E378" s="2" t="s">
        <v>1639</v>
      </c>
      <c r="F378" s="2" t="s">
        <v>1564</v>
      </c>
      <c r="G378" s="2" t="s">
        <v>1565</v>
      </c>
      <c r="H378" s="2" t="s">
        <v>1566</v>
      </c>
      <c r="I378" s="2" t="s">
        <v>1732</v>
      </c>
      <c r="J378" s="2" t="s">
        <v>270</v>
      </c>
      <c r="K378" s="2" t="s">
        <v>118</v>
      </c>
      <c r="L378" s="3">
        <v>36.57</v>
      </c>
      <c r="M378" s="3">
        <v>38.4</v>
      </c>
      <c r="N378" s="3">
        <v>79.99</v>
      </c>
      <c r="O378" s="2" t="s">
        <v>97</v>
      </c>
      <c r="P378" s="2" t="s">
        <v>225</v>
      </c>
      <c r="Q378" s="2" t="s">
        <v>99</v>
      </c>
      <c r="R378" s="2" t="s">
        <v>100</v>
      </c>
      <c r="S378" s="2" t="s">
        <v>1568</v>
      </c>
      <c r="T378" s="2" t="s">
        <v>280</v>
      </c>
      <c r="U378" s="2" t="s">
        <v>480</v>
      </c>
      <c r="V378" s="2" t="s">
        <v>256</v>
      </c>
      <c r="W378" s="2" t="s">
        <v>561</v>
      </c>
      <c r="X378" s="2" t="s">
        <v>100</v>
      </c>
      <c r="Y378" s="2" t="s">
        <v>1569</v>
      </c>
      <c r="Z378" s="4">
        <v>135</v>
      </c>
      <c r="AA378" s="4">
        <f>=ROUNDDOWN(51.9230769230769,0)</f>
      </c>
      <c r="AB378" s="5">
        <v>2.6</v>
      </c>
      <c r="AC378" s="2" t="s">
        <v>100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50</v>
      </c>
      <c r="BK378" s="8">
        <v>2043.7</v>
      </c>
      <c r="BL378" s="2" t="s">
        <v>1735</v>
      </c>
      <c r="BM378" s="7"/>
      <c r="BN378" s="7"/>
      <c r="BO378" s="4"/>
      <c r="BP378" s="8"/>
      <c r="BQ378" s="4"/>
      <c r="BR378" s="8"/>
      <c r="BS378" s="7"/>
      <c r="BT378" s="7"/>
      <c r="BU378" s="2" t="s">
        <v>207</v>
      </c>
      <c r="BV378" s="2" t="s">
        <v>97</v>
      </c>
      <c r="BW378" s="2" t="s">
        <v>100</v>
      </c>
      <c r="BX378" s="2" t="s">
        <v>100</v>
      </c>
      <c r="BY378" s="2" t="s">
        <v>113</v>
      </c>
      <c r="BZ378" s="2" t="s">
        <v>100</v>
      </c>
    </row>
    <row r="379">
      <c r="A379" s="2" t="s">
        <v>1736</v>
      </c>
      <c r="B379" s="2" t="s">
        <v>87</v>
      </c>
      <c r="C379" s="2" t="s">
        <v>88</v>
      </c>
      <c r="D379" s="2" t="s">
        <v>1638</v>
      </c>
      <c r="E379" s="2" t="s">
        <v>1639</v>
      </c>
      <c r="F379" s="2" t="s">
        <v>1574</v>
      </c>
      <c r="G379" s="2" t="s">
        <v>1575</v>
      </c>
      <c r="H379" s="2" t="s">
        <v>1576</v>
      </c>
      <c r="I379" s="2" t="s">
        <v>1737</v>
      </c>
      <c r="J379" s="2" t="s">
        <v>247</v>
      </c>
      <c r="K379" s="2" t="s">
        <v>1578</v>
      </c>
      <c r="L379" s="3">
        <v>32</v>
      </c>
      <c r="M379" s="3">
        <v>33.6</v>
      </c>
      <c r="N379" s="3">
        <v>69.99</v>
      </c>
      <c r="O379" s="2" t="s">
        <v>97</v>
      </c>
      <c r="P379" s="2" t="s">
        <v>225</v>
      </c>
      <c r="Q379" s="2" t="s">
        <v>99</v>
      </c>
      <c r="R379" s="2" t="s">
        <v>100</v>
      </c>
      <c r="S379" s="2" t="s">
        <v>1579</v>
      </c>
      <c r="T379" s="2" t="s">
        <v>280</v>
      </c>
      <c r="U379" s="2" t="s">
        <v>480</v>
      </c>
      <c r="V379" s="2" t="s">
        <v>256</v>
      </c>
      <c r="W379" s="2" t="s">
        <v>1580</v>
      </c>
      <c r="X379" s="2" t="s">
        <v>561</v>
      </c>
      <c r="Y379" s="2" t="s">
        <v>1581</v>
      </c>
      <c r="Z379" s="4">
        <v>126</v>
      </c>
      <c r="AA379" s="4">
        <f>=ROUNDDOWN(63,0)</f>
      </c>
      <c r="AB379" s="5">
        <v>2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53</v>
      </c>
      <c r="BK379" s="8">
        <v>1900.05</v>
      </c>
      <c r="BL379" s="2" t="s">
        <v>1738</v>
      </c>
      <c r="BM379" s="7"/>
      <c r="BN379" s="7"/>
      <c r="BO379" s="4"/>
      <c r="BP379" s="8"/>
      <c r="BQ379" s="4"/>
      <c r="BR379" s="8"/>
      <c r="BS379" s="7"/>
      <c r="BT379" s="7"/>
      <c r="BU379" s="2" t="s">
        <v>207</v>
      </c>
      <c r="BV379" s="2" t="s">
        <v>97</v>
      </c>
      <c r="BW379" s="2" t="s">
        <v>100</v>
      </c>
      <c r="BX379" s="2" t="s">
        <v>100</v>
      </c>
      <c r="BY379" s="2" t="s">
        <v>113</v>
      </c>
      <c r="BZ379" s="2" t="s">
        <v>100</v>
      </c>
    </row>
    <row r="380">
      <c r="A380" s="2" t="s">
        <v>1739</v>
      </c>
      <c r="B380" s="2" t="s">
        <v>87</v>
      </c>
      <c r="C380" s="2" t="s">
        <v>88</v>
      </c>
      <c r="D380" s="2" t="s">
        <v>1638</v>
      </c>
      <c r="E380" s="2" t="s">
        <v>1639</v>
      </c>
      <c r="F380" s="2" t="s">
        <v>1574</v>
      </c>
      <c r="G380" s="2" t="s">
        <v>1575</v>
      </c>
      <c r="H380" s="2" t="s">
        <v>1576</v>
      </c>
      <c r="I380" s="2" t="s">
        <v>1737</v>
      </c>
      <c r="J380" s="2" t="s">
        <v>270</v>
      </c>
      <c r="K380" s="2" t="s">
        <v>1578</v>
      </c>
      <c r="L380" s="3">
        <v>36.57</v>
      </c>
      <c r="M380" s="3">
        <v>38.4</v>
      </c>
      <c r="N380" s="3">
        <v>79.99</v>
      </c>
      <c r="O380" s="2" t="s">
        <v>97</v>
      </c>
      <c r="P380" s="2" t="s">
        <v>225</v>
      </c>
      <c r="Q380" s="2" t="s">
        <v>99</v>
      </c>
      <c r="R380" s="2" t="s">
        <v>100</v>
      </c>
      <c r="S380" s="2" t="s">
        <v>1579</v>
      </c>
      <c r="T380" s="2" t="s">
        <v>280</v>
      </c>
      <c r="U380" s="2" t="s">
        <v>480</v>
      </c>
      <c r="V380" s="2" t="s">
        <v>256</v>
      </c>
      <c r="W380" s="2" t="s">
        <v>1580</v>
      </c>
      <c r="X380" s="2" t="s">
        <v>561</v>
      </c>
      <c r="Y380" s="2" t="s">
        <v>1581</v>
      </c>
      <c r="Z380" s="4">
        <v>151</v>
      </c>
      <c r="AA380" s="4">
        <f>=ROUNDDOWN(75.5,0)</f>
      </c>
      <c r="AB380" s="5">
        <v>2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47</v>
      </c>
      <c r="BK380" s="8">
        <v>1907.99</v>
      </c>
      <c r="BL380" s="2" t="s">
        <v>1740</v>
      </c>
      <c r="BM380" s="7"/>
      <c r="BN380" s="7"/>
      <c r="BO380" s="4"/>
      <c r="BP380" s="8"/>
      <c r="BQ380" s="4"/>
      <c r="BR380" s="8"/>
      <c r="BS380" s="7"/>
      <c r="BT380" s="7"/>
      <c r="BU380" s="2" t="s">
        <v>207</v>
      </c>
      <c r="BV380" s="2" t="s">
        <v>97</v>
      </c>
      <c r="BW380" s="2" t="s">
        <v>100</v>
      </c>
      <c r="BX380" s="2" t="s">
        <v>100</v>
      </c>
      <c r="BY380" s="2" t="s">
        <v>113</v>
      </c>
      <c r="BZ380" s="2" t="s">
        <v>100</v>
      </c>
    </row>
    <row r="381">
      <c r="A381" s="2" t="s">
        <v>1741</v>
      </c>
      <c r="B381" s="2" t="s">
        <v>87</v>
      </c>
      <c r="C381" s="2" t="s">
        <v>88</v>
      </c>
      <c r="D381" s="2" t="s">
        <v>1638</v>
      </c>
      <c r="E381" s="2" t="s">
        <v>1639</v>
      </c>
      <c r="F381" s="2" t="s">
        <v>1302</v>
      </c>
      <c r="G381" s="2" t="s">
        <v>1303</v>
      </c>
      <c r="H381" s="2" t="s">
        <v>1304</v>
      </c>
      <c r="I381" s="2" t="s">
        <v>1742</v>
      </c>
      <c r="J381" s="2" t="s">
        <v>247</v>
      </c>
      <c r="K381" s="2" t="s">
        <v>1306</v>
      </c>
      <c r="L381" s="3">
        <v>32</v>
      </c>
      <c r="M381" s="3">
        <v>33.6</v>
      </c>
      <c r="N381" s="3">
        <v>69.99</v>
      </c>
      <c r="O381" s="2" t="s">
        <v>97</v>
      </c>
      <c r="P381" s="2" t="s">
        <v>225</v>
      </c>
      <c r="Q381" s="2" t="s">
        <v>99</v>
      </c>
      <c r="R381" s="2" t="s">
        <v>100</v>
      </c>
      <c r="S381" s="2" t="s">
        <v>1307</v>
      </c>
      <c r="T381" s="2" t="s">
        <v>280</v>
      </c>
      <c r="U381" s="2" t="s">
        <v>480</v>
      </c>
      <c r="V381" s="2" t="s">
        <v>256</v>
      </c>
      <c r="W381" s="2" t="s">
        <v>158</v>
      </c>
      <c r="X381" s="2" t="s">
        <v>339</v>
      </c>
      <c r="Y381" s="2" t="s">
        <v>1224</v>
      </c>
      <c r="Z381" s="4">
        <v>81</v>
      </c>
      <c r="AA381" s="4">
        <f>=ROUNDDOWN(11.5714285714286,0)</f>
      </c>
      <c r="AB381" s="5">
        <v>7</v>
      </c>
      <c r="AC381" s="2" t="s">
        <v>135</v>
      </c>
      <c r="AD381" s="4">
        <v>110</v>
      </c>
      <c r="AE381" s="4">
        <v>110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26</v>
      </c>
      <c r="BK381" s="8">
        <v>947.56</v>
      </c>
      <c r="BL381" s="2" t="s">
        <v>1743</v>
      </c>
      <c r="BM381" s="7"/>
      <c r="BN381" s="7"/>
      <c r="BO381" s="4"/>
      <c r="BP381" s="8"/>
      <c r="BQ381" s="4"/>
      <c r="BR381" s="8"/>
      <c r="BS381" s="7"/>
      <c r="BT381" s="7"/>
      <c r="BU381" s="2" t="s">
        <v>230</v>
      </c>
      <c r="BV381" s="2" t="s">
        <v>97</v>
      </c>
      <c r="BW381" s="2" t="s">
        <v>100</v>
      </c>
      <c r="BX381" s="2" t="s">
        <v>100</v>
      </c>
      <c r="BY381" s="2" t="s">
        <v>113</v>
      </c>
      <c r="BZ381" s="2" t="s">
        <v>100</v>
      </c>
    </row>
    <row r="382">
      <c r="A382" s="2" t="s">
        <v>1744</v>
      </c>
      <c r="B382" s="2" t="s">
        <v>87</v>
      </c>
      <c r="C382" s="2" t="s">
        <v>88</v>
      </c>
      <c r="D382" s="2" t="s">
        <v>1638</v>
      </c>
      <c r="E382" s="2" t="s">
        <v>1639</v>
      </c>
      <c r="F382" s="2" t="s">
        <v>1302</v>
      </c>
      <c r="G382" s="2" t="s">
        <v>1303</v>
      </c>
      <c r="H382" s="2" t="s">
        <v>1304</v>
      </c>
      <c r="I382" s="2" t="s">
        <v>1742</v>
      </c>
      <c r="J382" s="2" t="s">
        <v>270</v>
      </c>
      <c r="K382" s="2" t="s">
        <v>1306</v>
      </c>
      <c r="L382" s="3">
        <v>36.57</v>
      </c>
      <c r="M382" s="3">
        <v>38.4</v>
      </c>
      <c r="N382" s="3">
        <v>79.99</v>
      </c>
      <c r="O382" s="2" t="s">
        <v>97</v>
      </c>
      <c r="P382" s="2" t="s">
        <v>225</v>
      </c>
      <c r="Q382" s="2" t="s">
        <v>99</v>
      </c>
      <c r="R382" s="2" t="s">
        <v>100</v>
      </c>
      <c r="S382" s="2" t="s">
        <v>1307</v>
      </c>
      <c r="T382" s="2" t="s">
        <v>280</v>
      </c>
      <c r="U382" s="2" t="s">
        <v>480</v>
      </c>
      <c r="V382" s="2" t="s">
        <v>256</v>
      </c>
      <c r="W382" s="2" t="s">
        <v>158</v>
      </c>
      <c r="X382" s="2" t="s">
        <v>339</v>
      </c>
      <c r="Y382" s="2" t="s">
        <v>1224</v>
      </c>
      <c r="Z382" s="4">
        <v>71</v>
      </c>
      <c r="AA382" s="4">
        <f>=ROUNDDOWN(10.1428571428571,0)</f>
      </c>
      <c r="AB382" s="5">
        <v>7</v>
      </c>
      <c r="AC382" s="2" t="s">
        <v>135</v>
      </c>
      <c r="AD382" s="4">
        <v>105</v>
      </c>
      <c r="AE382" s="4">
        <v>105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26</v>
      </c>
      <c r="BK382" s="8">
        <v>1076.69</v>
      </c>
      <c r="BL382" s="2" t="s">
        <v>1745</v>
      </c>
      <c r="BM382" s="7"/>
      <c r="BN382" s="7"/>
      <c r="BO382" s="4"/>
      <c r="BP382" s="8"/>
      <c r="BQ382" s="4"/>
      <c r="BR382" s="8"/>
      <c r="BS382" s="7"/>
      <c r="BT382" s="7"/>
      <c r="BU382" s="2" t="s">
        <v>230</v>
      </c>
      <c r="BV382" s="2" t="s">
        <v>97</v>
      </c>
      <c r="BW382" s="2" t="s">
        <v>100</v>
      </c>
      <c r="BX382" s="2" t="s">
        <v>100</v>
      </c>
      <c r="BY382" s="2" t="s">
        <v>113</v>
      </c>
      <c r="BZ382" s="2" t="s">
        <v>100</v>
      </c>
    </row>
    <row r="383">
      <c r="A383" s="2" t="s">
        <v>1746</v>
      </c>
      <c r="B383" s="2" t="s">
        <v>87</v>
      </c>
      <c r="C383" s="2" t="s">
        <v>88</v>
      </c>
      <c r="D383" s="2" t="s">
        <v>1638</v>
      </c>
      <c r="E383" s="2" t="s">
        <v>1639</v>
      </c>
      <c r="F383" s="2" t="s">
        <v>1373</v>
      </c>
      <c r="G383" s="2" t="s">
        <v>1374</v>
      </c>
      <c r="H383" s="2" t="s">
        <v>1375</v>
      </c>
      <c r="I383" s="2" t="s">
        <v>1747</v>
      </c>
      <c r="J383" s="2" t="s">
        <v>247</v>
      </c>
      <c r="K383" s="2" t="s">
        <v>360</v>
      </c>
      <c r="L383" s="3">
        <v>22.85</v>
      </c>
      <c r="M383" s="3">
        <v>23.99</v>
      </c>
      <c r="N383" s="3">
        <v>49.99</v>
      </c>
      <c r="O383" s="2" t="s">
        <v>97</v>
      </c>
      <c r="P383" s="2" t="s">
        <v>225</v>
      </c>
      <c r="Q383" s="2" t="s">
        <v>99</v>
      </c>
      <c r="R383" s="2" t="s">
        <v>100</v>
      </c>
      <c r="S383" s="2" t="s">
        <v>1377</v>
      </c>
      <c r="T383" s="2" t="s">
        <v>218</v>
      </c>
      <c r="U383" s="2" t="s">
        <v>480</v>
      </c>
      <c r="V383" s="2" t="s">
        <v>256</v>
      </c>
      <c r="W383" s="2" t="s">
        <v>415</v>
      </c>
      <c r="X383" s="2" t="s">
        <v>183</v>
      </c>
      <c r="Y383" s="2" t="s">
        <v>1378</v>
      </c>
      <c r="Z383" s="4">
        <v>109</v>
      </c>
      <c r="AA383" s="4">
        <f>=ROUNDDOWN(54.5,0)</f>
      </c>
      <c r="AB383" s="5">
        <v>2</v>
      </c>
      <c r="AC383" s="2" t="s">
        <v>100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19</v>
      </c>
      <c r="BK383" s="8">
        <v>483.89</v>
      </c>
      <c r="BL383" s="2" t="s">
        <v>492</v>
      </c>
      <c r="BM383" s="7"/>
      <c r="BN383" s="7"/>
      <c r="BO383" s="4"/>
      <c r="BP383" s="8"/>
      <c r="BQ383" s="4"/>
      <c r="BR383" s="8"/>
      <c r="BS383" s="7"/>
      <c r="BT383" s="7"/>
      <c r="BU383" s="2" t="s">
        <v>207</v>
      </c>
      <c r="BV383" s="2" t="s">
        <v>97</v>
      </c>
      <c r="BW383" s="2" t="s">
        <v>100</v>
      </c>
      <c r="BX383" s="2" t="s">
        <v>100</v>
      </c>
      <c r="BY383" s="2" t="s">
        <v>113</v>
      </c>
      <c r="BZ383" s="2" t="s">
        <v>100</v>
      </c>
    </row>
    <row r="384">
      <c r="A384" s="2" t="s">
        <v>1748</v>
      </c>
      <c r="B384" s="2" t="s">
        <v>87</v>
      </c>
      <c r="C384" s="2" t="s">
        <v>88</v>
      </c>
      <c r="D384" s="2" t="s">
        <v>1638</v>
      </c>
      <c r="E384" s="2" t="s">
        <v>1639</v>
      </c>
      <c r="F384" s="2" t="s">
        <v>1373</v>
      </c>
      <c r="G384" s="2" t="s">
        <v>1374</v>
      </c>
      <c r="H384" s="2" t="s">
        <v>1375</v>
      </c>
      <c r="I384" s="2" t="s">
        <v>1747</v>
      </c>
      <c r="J384" s="2" t="s">
        <v>270</v>
      </c>
      <c r="K384" s="2" t="s">
        <v>360</v>
      </c>
      <c r="L384" s="3">
        <v>27.42</v>
      </c>
      <c r="M384" s="3">
        <v>28.79</v>
      </c>
      <c r="N384" s="3">
        <v>59.99</v>
      </c>
      <c r="O384" s="2" t="s">
        <v>97</v>
      </c>
      <c r="P384" s="2" t="s">
        <v>225</v>
      </c>
      <c r="Q384" s="2" t="s">
        <v>99</v>
      </c>
      <c r="R384" s="2" t="s">
        <v>100</v>
      </c>
      <c r="S384" s="2" t="s">
        <v>1377</v>
      </c>
      <c r="T384" s="2" t="s">
        <v>218</v>
      </c>
      <c r="U384" s="2" t="s">
        <v>480</v>
      </c>
      <c r="V384" s="2" t="s">
        <v>256</v>
      </c>
      <c r="W384" s="2" t="s">
        <v>415</v>
      </c>
      <c r="X384" s="2" t="s">
        <v>183</v>
      </c>
      <c r="Y384" s="2" t="s">
        <v>1378</v>
      </c>
      <c r="Z384" s="4">
        <v>115</v>
      </c>
      <c r="AA384" s="4">
        <f>=ROUNDDOWN(57.5,0)</f>
      </c>
      <c r="AB384" s="5">
        <v>2</v>
      </c>
      <c r="AC384" s="2" t="s">
        <v>100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15</v>
      </c>
      <c r="BK384" s="8">
        <v>486.04</v>
      </c>
      <c r="BL384" s="2" t="s">
        <v>1749</v>
      </c>
      <c r="BM384" s="7"/>
      <c r="BN384" s="7"/>
      <c r="BO384" s="4"/>
      <c r="BP384" s="8"/>
      <c r="BQ384" s="4"/>
      <c r="BR384" s="8"/>
      <c r="BS384" s="7"/>
      <c r="BT384" s="7"/>
      <c r="BU384" s="2" t="s">
        <v>207</v>
      </c>
      <c r="BV384" s="2" t="s">
        <v>97</v>
      </c>
      <c r="BW384" s="2" t="s">
        <v>100</v>
      </c>
      <c r="BX384" s="2" t="s">
        <v>100</v>
      </c>
      <c r="BY384" s="2" t="s">
        <v>113</v>
      </c>
      <c r="BZ384" s="2" t="s">
        <v>100</v>
      </c>
    </row>
    <row r="385">
      <c r="A385" s="2" t="s">
        <v>1750</v>
      </c>
      <c r="B385" s="2" t="s">
        <v>87</v>
      </c>
      <c r="C385" s="2" t="s">
        <v>88</v>
      </c>
      <c r="D385" s="2" t="s">
        <v>1638</v>
      </c>
      <c r="E385" s="2" t="s">
        <v>1639</v>
      </c>
      <c r="F385" s="2" t="s">
        <v>1599</v>
      </c>
      <c r="G385" s="2" t="s">
        <v>1600</v>
      </c>
      <c r="H385" s="2" t="s">
        <v>1601</v>
      </c>
      <c r="I385" s="2" t="s">
        <v>1751</v>
      </c>
      <c r="J385" s="2" t="s">
        <v>247</v>
      </c>
      <c r="K385" s="2" t="s">
        <v>1603</v>
      </c>
      <c r="L385" s="3">
        <v>27.42</v>
      </c>
      <c r="M385" s="3">
        <v>28.79</v>
      </c>
      <c r="N385" s="3">
        <v>59.99</v>
      </c>
      <c r="O385" s="2" t="s">
        <v>97</v>
      </c>
      <c r="P385" s="2" t="s">
        <v>225</v>
      </c>
      <c r="Q385" s="2" t="s">
        <v>99</v>
      </c>
      <c r="R385" s="2" t="s">
        <v>100</v>
      </c>
      <c r="S385" s="2" t="s">
        <v>1604</v>
      </c>
      <c r="T385" s="2" t="s">
        <v>280</v>
      </c>
      <c r="U385" s="2" t="s">
        <v>480</v>
      </c>
      <c r="V385" s="2" t="s">
        <v>256</v>
      </c>
      <c r="W385" s="2" t="s">
        <v>158</v>
      </c>
      <c r="X385" s="2" t="s">
        <v>561</v>
      </c>
      <c r="Y385" s="2" t="s">
        <v>1607</v>
      </c>
      <c r="Z385" s="4">
        <v>134</v>
      </c>
      <c r="AA385" s="4">
        <f>=ROUNDDOWN(44.6666666666667,0)</f>
      </c>
      <c r="AB385" s="5">
        <v>3</v>
      </c>
      <c r="AC385" s="2" t="s">
        <v>100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38</v>
      </c>
      <c r="BK385" s="8">
        <v>1188.66</v>
      </c>
      <c r="BL385" s="2" t="s">
        <v>1745</v>
      </c>
      <c r="BM385" s="7"/>
      <c r="BN385" s="7"/>
      <c r="BO385" s="4"/>
      <c r="BP385" s="8"/>
      <c r="BQ385" s="4"/>
      <c r="BR385" s="8"/>
      <c r="BS385" s="7"/>
      <c r="BT385" s="7"/>
      <c r="BU385" s="2" t="s">
        <v>207</v>
      </c>
      <c r="BV385" s="2" t="s">
        <v>97</v>
      </c>
      <c r="BW385" s="2" t="s">
        <v>100</v>
      </c>
      <c r="BX385" s="2" t="s">
        <v>100</v>
      </c>
      <c r="BY385" s="2" t="s">
        <v>113</v>
      </c>
      <c r="BZ385" s="2" t="s">
        <v>100</v>
      </c>
    </row>
    <row r="386">
      <c r="A386" s="2" t="s">
        <v>1752</v>
      </c>
      <c r="B386" s="2" t="s">
        <v>87</v>
      </c>
      <c r="C386" s="2" t="s">
        <v>88</v>
      </c>
      <c r="D386" s="2" t="s">
        <v>1638</v>
      </c>
      <c r="E386" s="2" t="s">
        <v>1639</v>
      </c>
      <c r="F386" s="2" t="s">
        <v>1599</v>
      </c>
      <c r="G386" s="2" t="s">
        <v>1600</v>
      </c>
      <c r="H386" s="2" t="s">
        <v>1601</v>
      </c>
      <c r="I386" s="2" t="s">
        <v>1751</v>
      </c>
      <c r="J386" s="2" t="s">
        <v>270</v>
      </c>
      <c r="K386" s="2" t="s">
        <v>1603</v>
      </c>
      <c r="L386" s="3">
        <v>32</v>
      </c>
      <c r="M386" s="3">
        <v>33.6</v>
      </c>
      <c r="N386" s="3">
        <v>69.99</v>
      </c>
      <c r="O386" s="2" t="s">
        <v>97</v>
      </c>
      <c r="P386" s="2" t="s">
        <v>225</v>
      </c>
      <c r="Q386" s="2" t="s">
        <v>99</v>
      </c>
      <c r="R386" s="2" t="s">
        <v>100</v>
      </c>
      <c r="S386" s="2" t="s">
        <v>1604</v>
      </c>
      <c r="T386" s="2" t="s">
        <v>280</v>
      </c>
      <c r="U386" s="2" t="s">
        <v>480</v>
      </c>
      <c r="V386" s="2" t="s">
        <v>256</v>
      </c>
      <c r="W386" s="2" t="s">
        <v>158</v>
      </c>
      <c r="X386" s="2" t="s">
        <v>561</v>
      </c>
      <c r="Y386" s="2" t="s">
        <v>1607</v>
      </c>
      <c r="Z386" s="4">
        <v>105</v>
      </c>
      <c r="AA386" s="4">
        <f>=ROUNDDOWN(52.5,0)</f>
      </c>
      <c r="AB386" s="5">
        <v>2</v>
      </c>
      <c r="AC386" s="2" t="s">
        <v>100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35</v>
      </c>
      <c r="BK386" s="8">
        <v>1274.47</v>
      </c>
      <c r="BL386" s="2" t="s">
        <v>1745</v>
      </c>
      <c r="BM386" s="7"/>
      <c r="BN386" s="7"/>
      <c r="BO386" s="4"/>
      <c r="BP386" s="8"/>
      <c r="BQ386" s="4"/>
      <c r="BR386" s="8"/>
      <c r="BS386" s="7"/>
      <c r="BT386" s="7"/>
      <c r="BU386" s="2" t="s">
        <v>207</v>
      </c>
      <c r="BV386" s="2" t="s">
        <v>97</v>
      </c>
      <c r="BW386" s="2" t="s">
        <v>100</v>
      </c>
      <c r="BX386" s="2" t="s">
        <v>100</v>
      </c>
      <c r="BY386" s="2" t="s">
        <v>113</v>
      </c>
      <c r="BZ386" s="2" t="s">
        <v>100</v>
      </c>
    </row>
    <row r="387">
      <c r="A387" s="2" t="s">
        <v>1753</v>
      </c>
      <c r="B387" s="2" t="s">
        <v>87</v>
      </c>
      <c r="C387" s="2" t="s">
        <v>88</v>
      </c>
      <c r="D387" s="2" t="s">
        <v>1638</v>
      </c>
      <c r="E387" s="2" t="s">
        <v>1639</v>
      </c>
      <c r="F387" s="2" t="s">
        <v>1416</v>
      </c>
      <c r="G387" s="2" t="s">
        <v>1417</v>
      </c>
      <c r="H387" s="2" t="s">
        <v>1418</v>
      </c>
      <c r="I387" s="2" t="s">
        <v>1754</v>
      </c>
      <c r="J387" s="2" t="s">
        <v>247</v>
      </c>
      <c r="K387" s="2" t="s">
        <v>1420</v>
      </c>
      <c r="L387" s="3">
        <v>27.42</v>
      </c>
      <c r="M387" s="3">
        <v>28.79</v>
      </c>
      <c r="N387" s="3">
        <v>59.99</v>
      </c>
      <c r="O387" s="2" t="s">
        <v>97</v>
      </c>
      <c r="P387" s="2" t="s">
        <v>119</v>
      </c>
      <c r="Q387" s="2" t="s">
        <v>99</v>
      </c>
      <c r="R387" s="2" t="s">
        <v>100</v>
      </c>
      <c r="S387" s="2" t="s">
        <v>1421</v>
      </c>
      <c r="T387" s="2" t="s">
        <v>280</v>
      </c>
      <c r="U387" s="2" t="s">
        <v>480</v>
      </c>
      <c r="V387" s="2" t="s">
        <v>350</v>
      </c>
      <c r="W387" s="2" t="s">
        <v>415</v>
      </c>
      <c r="X387" s="2" t="s">
        <v>561</v>
      </c>
      <c r="Y387" s="2" t="s">
        <v>1422</v>
      </c>
      <c r="Z387" s="4">
        <v>65</v>
      </c>
      <c r="AA387" s="4">
        <f>=ROUNDDOWN(32.5,0)</f>
      </c>
      <c r="AB387" s="5">
        <v>2</v>
      </c>
      <c r="AC387" s="2" t="s">
        <v>1755</v>
      </c>
      <c r="AD387" s="4">
        <v>30</v>
      </c>
      <c r="AE387" s="4">
        <v>30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37</v>
      </c>
      <c r="BK387" s="8">
        <v>1105.45</v>
      </c>
      <c r="BL387" s="2" t="s">
        <v>1756</v>
      </c>
      <c r="BM387" s="7"/>
      <c r="BN387" s="7"/>
      <c r="BO387" s="4"/>
      <c r="BP387" s="8"/>
      <c r="BQ387" s="4"/>
      <c r="BR387" s="8"/>
      <c r="BS387" s="7"/>
      <c r="BT387" s="7"/>
      <c r="BU387" s="2" t="s">
        <v>207</v>
      </c>
      <c r="BV387" s="2" t="s">
        <v>97</v>
      </c>
      <c r="BW387" s="2" t="s">
        <v>100</v>
      </c>
      <c r="BX387" s="2" t="s">
        <v>100</v>
      </c>
      <c r="BY387" s="2" t="s">
        <v>113</v>
      </c>
      <c r="BZ387" s="2" t="s">
        <v>100</v>
      </c>
    </row>
    <row r="388">
      <c r="A388" s="2" t="s">
        <v>1757</v>
      </c>
      <c r="B388" s="2" t="s">
        <v>87</v>
      </c>
      <c r="C388" s="2" t="s">
        <v>88</v>
      </c>
      <c r="D388" s="2" t="s">
        <v>1638</v>
      </c>
      <c r="E388" s="2" t="s">
        <v>1639</v>
      </c>
      <c r="F388" s="2" t="s">
        <v>1416</v>
      </c>
      <c r="G388" s="2" t="s">
        <v>1417</v>
      </c>
      <c r="H388" s="2" t="s">
        <v>1418</v>
      </c>
      <c r="I388" s="2" t="s">
        <v>1754</v>
      </c>
      <c r="J388" s="2" t="s">
        <v>270</v>
      </c>
      <c r="K388" s="2" t="s">
        <v>1420</v>
      </c>
      <c r="L388" s="3">
        <v>32</v>
      </c>
      <c r="M388" s="3">
        <v>33.6</v>
      </c>
      <c r="N388" s="3">
        <v>69.99</v>
      </c>
      <c r="O388" s="2" t="s">
        <v>97</v>
      </c>
      <c r="P388" s="2" t="s">
        <v>119</v>
      </c>
      <c r="Q388" s="2" t="s">
        <v>99</v>
      </c>
      <c r="R388" s="2" t="s">
        <v>100</v>
      </c>
      <c r="S388" s="2" t="s">
        <v>1421</v>
      </c>
      <c r="T388" s="2" t="s">
        <v>280</v>
      </c>
      <c r="U388" s="2" t="s">
        <v>480</v>
      </c>
      <c r="V388" s="2" t="s">
        <v>350</v>
      </c>
      <c r="W388" s="2" t="s">
        <v>415</v>
      </c>
      <c r="X388" s="2" t="s">
        <v>561</v>
      </c>
      <c r="Y388" s="2" t="s">
        <v>1422</v>
      </c>
      <c r="Z388" s="4">
        <v>70</v>
      </c>
      <c r="AA388" s="4">
        <f>=ROUNDDOWN(35,0)</f>
      </c>
      <c r="AB388" s="5">
        <v>2</v>
      </c>
      <c r="AC388" s="2" t="s">
        <v>1755</v>
      </c>
      <c r="AD388" s="4">
        <v>30</v>
      </c>
      <c r="AE388" s="4">
        <v>30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26</v>
      </c>
      <c r="BK388" s="8">
        <v>915.61</v>
      </c>
      <c r="BL388" s="2" t="s">
        <v>482</v>
      </c>
      <c r="BM388" s="7"/>
      <c r="BN388" s="7"/>
      <c r="BO388" s="4"/>
      <c r="BP388" s="8"/>
      <c r="BQ388" s="4"/>
      <c r="BR388" s="8"/>
      <c r="BS388" s="7"/>
      <c r="BT388" s="7"/>
      <c r="BU388" s="2" t="s">
        <v>207</v>
      </c>
      <c r="BV388" s="2" t="s">
        <v>97</v>
      </c>
      <c r="BW388" s="2" t="s">
        <v>100</v>
      </c>
      <c r="BX388" s="2" t="s">
        <v>100</v>
      </c>
      <c r="BY388" s="2" t="s">
        <v>113</v>
      </c>
      <c r="BZ388" s="2" t="s">
        <v>100</v>
      </c>
    </row>
    <row r="389">
      <c r="A389" s="2" t="s">
        <v>1758</v>
      </c>
      <c r="B389" s="2" t="s">
        <v>87</v>
      </c>
      <c r="C389" s="2" t="s">
        <v>88</v>
      </c>
      <c r="D389" s="2" t="s">
        <v>1638</v>
      </c>
      <c r="E389" s="2" t="s">
        <v>1759</v>
      </c>
      <c r="F389" s="2" t="s">
        <v>485</v>
      </c>
      <c r="G389" s="2" t="s">
        <v>486</v>
      </c>
      <c r="H389" s="2" t="s">
        <v>487</v>
      </c>
      <c r="I389" s="2" t="s">
        <v>1760</v>
      </c>
      <c r="J389" s="2" t="s">
        <v>247</v>
      </c>
      <c r="K389" s="2" t="s">
        <v>198</v>
      </c>
      <c r="L389" s="3">
        <v>48.5</v>
      </c>
      <c r="M389" s="3">
        <v>50.92</v>
      </c>
      <c r="N389" s="3">
        <v>99.99</v>
      </c>
      <c r="O389" s="2" t="s">
        <v>97</v>
      </c>
      <c r="P389" s="2" t="s">
        <v>119</v>
      </c>
      <c r="Q389" s="2" t="s">
        <v>99</v>
      </c>
      <c r="R389" s="2" t="s">
        <v>100</v>
      </c>
      <c r="S389" s="2" t="s">
        <v>1761</v>
      </c>
      <c r="T389" s="2" t="s">
        <v>100</v>
      </c>
      <c r="U389" s="2" t="s">
        <v>102</v>
      </c>
      <c r="V389" s="2" t="s">
        <v>489</v>
      </c>
      <c r="W389" s="2" t="s">
        <v>104</v>
      </c>
      <c r="X389" s="2" t="s">
        <v>105</v>
      </c>
      <c r="Y389" s="2" t="s">
        <v>240</v>
      </c>
      <c r="Z389" s="4">
        <v>238</v>
      </c>
      <c r="AA389" s="4">
        <f>=ROUNDDOWN(119,0)</f>
      </c>
      <c r="AB389" s="5">
        <v>2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>
        <v>8</v>
      </c>
      <c r="AQ389" s="8">
        <v>485.12</v>
      </c>
      <c r="AR389" s="4"/>
      <c r="AS389" s="8"/>
      <c r="AT389" s="7"/>
      <c r="AU389" s="7"/>
      <c r="AV389" s="4">
        <v>9</v>
      </c>
      <c r="AW389" s="8">
        <v>551.54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0.8796</v>
      </c>
      <c r="BC389" s="4">
        <v>12</v>
      </c>
      <c r="BD389" s="8">
        <v>728.94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0.7566</v>
      </c>
      <c r="BJ389" s="4">
        <v>46</v>
      </c>
      <c r="BK389" s="8">
        <v>2547.71</v>
      </c>
      <c r="BL389" s="2" t="s">
        <v>1762</v>
      </c>
      <c r="BM389" s="7">
        <v>0.1739</v>
      </c>
      <c r="BN389" s="7">
        <v>0.1904</v>
      </c>
      <c r="BO389" s="4">
        <v>8</v>
      </c>
      <c r="BP389" s="8">
        <v>485.12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243</v>
      </c>
      <c r="BX389" s="2" t="s">
        <v>593</v>
      </c>
      <c r="BY389" s="2" t="s">
        <v>113</v>
      </c>
      <c r="BZ389" s="2" t="s">
        <v>100</v>
      </c>
    </row>
    <row r="390">
      <c r="A390" s="2" t="s">
        <v>1763</v>
      </c>
      <c r="B390" s="2" t="s">
        <v>87</v>
      </c>
      <c r="C390" s="2" t="s">
        <v>88</v>
      </c>
      <c r="D390" s="2" t="s">
        <v>1638</v>
      </c>
      <c r="E390" s="2" t="s">
        <v>1759</v>
      </c>
      <c r="F390" s="2" t="s">
        <v>485</v>
      </c>
      <c r="G390" s="2" t="s">
        <v>486</v>
      </c>
      <c r="H390" s="2" t="s">
        <v>487</v>
      </c>
      <c r="I390" s="2" t="s">
        <v>1760</v>
      </c>
      <c r="J390" s="2" t="s">
        <v>270</v>
      </c>
      <c r="K390" s="2" t="s">
        <v>198</v>
      </c>
      <c r="L390" s="3">
        <v>52.91</v>
      </c>
      <c r="M390" s="3">
        <v>55.56</v>
      </c>
      <c r="N390" s="3">
        <v>109.99</v>
      </c>
      <c r="O390" s="2" t="s">
        <v>97</v>
      </c>
      <c r="P390" s="2" t="s">
        <v>119</v>
      </c>
      <c r="Q390" s="2" t="s">
        <v>99</v>
      </c>
      <c r="R390" s="2" t="s">
        <v>100</v>
      </c>
      <c r="S390" s="2" t="s">
        <v>1761</v>
      </c>
      <c r="T390" s="2" t="s">
        <v>100</v>
      </c>
      <c r="U390" s="2" t="s">
        <v>102</v>
      </c>
      <c r="V390" s="2" t="s">
        <v>489</v>
      </c>
      <c r="W390" s="2" t="s">
        <v>104</v>
      </c>
      <c r="X390" s="2" t="s">
        <v>105</v>
      </c>
      <c r="Y390" s="2" t="s">
        <v>240</v>
      </c>
      <c r="Z390" s="4">
        <v>207</v>
      </c>
      <c r="AA390" s="4">
        <f>=ROUNDDOWN(69,0)</f>
      </c>
      <c r="AB390" s="5">
        <v>3</v>
      </c>
      <c r="AC390" s="2" t="s">
        <v>100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>
        <v>1</v>
      </c>
      <c r="AQ390" s="8">
        <v>66.42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0.1204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84</v>
      </c>
      <c r="BK390" s="8">
        <v>4876.99</v>
      </c>
      <c r="BL390" s="2" t="s">
        <v>1764</v>
      </c>
      <c r="BM390" s="7">
        <v>0.0119</v>
      </c>
      <c r="BN390" s="7">
        <v>0.0136</v>
      </c>
      <c r="BO390" s="4">
        <v>1</v>
      </c>
      <c r="BP390" s="8">
        <v>66.42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243</v>
      </c>
      <c r="BX390" s="2" t="s">
        <v>312</v>
      </c>
      <c r="BY390" s="2" t="s">
        <v>113</v>
      </c>
      <c r="BZ390" s="2" t="s">
        <v>100</v>
      </c>
    </row>
    <row r="391">
      <c r="A391" s="2" t="s">
        <v>1765</v>
      </c>
      <c r="B391" s="2" t="s">
        <v>87</v>
      </c>
      <c r="C391" s="2" t="s">
        <v>88</v>
      </c>
      <c r="D391" s="2" t="s">
        <v>1638</v>
      </c>
      <c r="E391" s="2" t="s">
        <v>1759</v>
      </c>
      <c r="F391" s="2" t="s">
        <v>485</v>
      </c>
      <c r="G391" s="2" t="s">
        <v>486</v>
      </c>
      <c r="H391" s="2" t="s">
        <v>487</v>
      </c>
      <c r="I391" s="2" t="s">
        <v>1760</v>
      </c>
      <c r="J391" s="2" t="s">
        <v>247</v>
      </c>
      <c r="K391" s="2" t="s">
        <v>496</v>
      </c>
      <c r="L391" s="3">
        <v>48.5</v>
      </c>
      <c r="M391" s="3">
        <v>50.92</v>
      </c>
      <c r="N391" s="3">
        <v>99.99</v>
      </c>
      <c r="O391" s="2" t="s">
        <v>97</v>
      </c>
      <c r="P391" s="2" t="s">
        <v>119</v>
      </c>
      <c r="Q391" s="2" t="s">
        <v>99</v>
      </c>
      <c r="R391" s="2" t="s">
        <v>100</v>
      </c>
      <c r="S391" s="2" t="s">
        <v>1766</v>
      </c>
      <c r="T391" s="2" t="s">
        <v>100</v>
      </c>
      <c r="U391" s="2" t="s">
        <v>102</v>
      </c>
      <c r="V391" s="2" t="s">
        <v>489</v>
      </c>
      <c r="W391" s="2" t="s">
        <v>104</v>
      </c>
      <c r="X391" s="2" t="s">
        <v>105</v>
      </c>
      <c r="Y391" s="2" t="s">
        <v>240</v>
      </c>
      <c r="Z391" s="4">
        <v>337</v>
      </c>
      <c r="AA391" s="4">
        <f>=ROUNDDOWN(56.1666666666667,0)</f>
      </c>
      <c r="AB391" s="5">
        <v>6</v>
      </c>
      <c r="AC391" s="2" t="s">
        <v>241</v>
      </c>
      <c r="AD391" s="4">
        <v>150</v>
      </c>
      <c r="AE391" s="4">
        <v>150</v>
      </c>
      <c r="AF391" s="6">
        <v>65</v>
      </c>
      <c r="AG391" s="6">
        <v>73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>
        <v>1</v>
      </c>
      <c r="AQ391" s="8">
        <v>55.44</v>
      </c>
      <c r="AR391" s="4"/>
      <c r="AS391" s="8"/>
      <c r="AT391" s="7"/>
      <c r="AU391" s="7"/>
      <c r="AV391" s="4">
        <v>3</v>
      </c>
      <c r="AW391" s="8">
        <v>177.4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0.3125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0.2434</v>
      </c>
      <c r="BJ391" s="4">
        <v>113</v>
      </c>
      <c r="BK391" s="8">
        <v>6278.55</v>
      </c>
      <c r="BL391" s="2" t="s">
        <v>1767</v>
      </c>
      <c r="BM391" s="7">
        <v>0.0088</v>
      </c>
      <c r="BN391" s="7">
        <v>0.0088</v>
      </c>
      <c r="BO391" s="4">
        <v>1</v>
      </c>
      <c r="BP391" s="8">
        <v>55.44</v>
      </c>
      <c r="BQ391" s="4"/>
      <c r="BR391" s="8"/>
      <c r="BS391" s="7"/>
      <c r="BT391" s="7"/>
      <c r="BU391" s="2" t="s">
        <v>109</v>
      </c>
      <c r="BV391" s="2" t="s">
        <v>110</v>
      </c>
      <c r="BW391" s="2" t="s">
        <v>111</v>
      </c>
      <c r="BX391" s="2" t="s">
        <v>1768</v>
      </c>
      <c r="BY391" s="2" t="s">
        <v>113</v>
      </c>
      <c r="BZ391" s="2" t="s">
        <v>100</v>
      </c>
    </row>
    <row r="392">
      <c r="A392" s="2" t="s">
        <v>1769</v>
      </c>
      <c r="B392" s="2" t="s">
        <v>87</v>
      </c>
      <c r="C392" s="2" t="s">
        <v>88</v>
      </c>
      <c r="D392" s="2" t="s">
        <v>1638</v>
      </c>
      <c r="E392" s="2" t="s">
        <v>1759</v>
      </c>
      <c r="F392" s="2" t="s">
        <v>485</v>
      </c>
      <c r="G392" s="2" t="s">
        <v>486</v>
      </c>
      <c r="H392" s="2" t="s">
        <v>487</v>
      </c>
      <c r="I392" s="2" t="s">
        <v>1760</v>
      </c>
      <c r="J392" s="2" t="s">
        <v>270</v>
      </c>
      <c r="K392" s="2" t="s">
        <v>496</v>
      </c>
      <c r="L392" s="3">
        <v>52.91</v>
      </c>
      <c r="M392" s="3">
        <v>55.56</v>
      </c>
      <c r="N392" s="3">
        <v>109.99</v>
      </c>
      <c r="O392" s="2" t="s">
        <v>97</v>
      </c>
      <c r="P392" s="2" t="s">
        <v>119</v>
      </c>
      <c r="Q392" s="2" t="s">
        <v>99</v>
      </c>
      <c r="R392" s="2" t="s">
        <v>100</v>
      </c>
      <c r="S392" s="2" t="s">
        <v>1766</v>
      </c>
      <c r="T392" s="2" t="s">
        <v>100</v>
      </c>
      <c r="U392" s="2" t="s">
        <v>102</v>
      </c>
      <c r="V392" s="2" t="s">
        <v>489</v>
      </c>
      <c r="W392" s="2" t="s">
        <v>104</v>
      </c>
      <c r="X392" s="2" t="s">
        <v>105</v>
      </c>
      <c r="Y392" s="2" t="s">
        <v>1770</v>
      </c>
      <c r="Z392" s="4">
        <v>170</v>
      </c>
      <c r="AA392" s="4">
        <f>=ROUNDDOWN(15.4545454545455,0)</f>
      </c>
      <c r="AB392" s="5">
        <v>11</v>
      </c>
      <c r="AC392" s="2" t="s">
        <v>1771</v>
      </c>
      <c r="AD392" s="4">
        <v>150</v>
      </c>
      <c r="AE392" s="4">
        <v>250</v>
      </c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>
        <v>2</v>
      </c>
      <c r="AQ392" s="8">
        <v>121.96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0.6875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270</v>
      </c>
      <c r="BK392" s="8">
        <v>16186.91</v>
      </c>
      <c r="BL392" s="2" t="s">
        <v>1772</v>
      </c>
      <c r="BM392" s="7">
        <v>0.0074</v>
      </c>
      <c r="BN392" s="7">
        <v>0.0075</v>
      </c>
      <c r="BO392" s="4">
        <v>2</v>
      </c>
      <c r="BP392" s="8">
        <v>121.96</v>
      </c>
      <c r="BQ392" s="4"/>
      <c r="BR392" s="8"/>
      <c r="BS392" s="7"/>
      <c r="BT392" s="7"/>
      <c r="BU392" s="2" t="s">
        <v>109</v>
      </c>
      <c r="BV392" s="2" t="s">
        <v>110</v>
      </c>
      <c r="BW392" s="2" t="s">
        <v>111</v>
      </c>
      <c r="BX392" s="2" t="s">
        <v>1773</v>
      </c>
      <c r="BY392" s="2" t="s">
        <v>113</v>
      </c>
      <c r="BZ392" s="2" t="s">
        <v>100</v>
      </c>
    </row>
    <row r="393">
      <c r="A393" s="2" t="s">
        <v>1774</v>
      </c>
      <c r="B393" s="2" t="s">
        <v>87</v>
      </c>
      <c r="C393" s="2" t="s">
        <v>88</v>
      </c>
      <c r="D393" s="2" t="s">
        <v>1638</v>
      </c>
      <c r="E393" s="2" t="s">
        <v>1759</v>
      </c>
      <c r="F393" s="2" t="s">
        <v>485</v>
      </c>
      <c r="G393" s="2" t="s">
        <v>486</v>
      </c>
      <c r="H393" s="2" t="s">
        <v>487</v>
      </c>
      <c r="I393" s="2" t="s">
        <v>1760</v>
      </c>
      <c r="J393" s="2" t="s">
        <v>247</v>
      </c>
      <c r="K393" s="2" t="s">
        <v>335</v>
      </c>
      <c r="L393" s="3">
        <v>48.5</v>
      </c>
      <c r="M393" s="3">
        <v>50.92</v>
      </c>
      <c r="N393" s="3">
        <v>99.99</v>
      </c>
      <c r="O393" s="2" t="s">
        <v>97</v>
      </c>
      <c r="P393" s="2" t="s">
        <v>119</v>
      </c>
      <c r="Q393" s="2" t="s">
        <v>99</v>
      </c>
      <c r="R393" s="2" t="s">
        <v>100</v>
      </c>
      <c r="S393" s="2" t="s">
        <v>1775</v>
      </c>
      <c r="T393" s="2" t="s">
        <v>280</v>
      </c>
      <c r="U393" s="2" t="s">
        <v>102</v>
      </c>
      <c r="V393" s="2" t="s">
        <v>489</v>
      </c>
      <c r="W393" s="2" t="s">
        <v>104</v>
      </c>
      <c r="X393" s="2" t="s">
        <v>490</v>
      </c>
      <c r="Y393" s="2" t="s">
        <v>455</v>
      </c>
      <c r="Z393" s="4">
        <v>103</v>
      </c>
      <c r="AA393" s="4">
        <f>=ROUNDDOWN(51.5,0)</f>
      </c>
      <c r="AB393" s="5">
        <v>2</v>
      </c>
      <c r="AC393" s="2" t="s">
        <v>100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43</v>
      </c>
      <c r="BK393" s="8">
        <v>2290.28</v>
      </c>
      <c r="BL393" s="2" t="s">
        <v>494</v>
      </c>
      <c r="BM393" s="7"/>
      <c r="BN393" s="7"/>
      <c r="BO393" s="4"/>
      <c r="BP393" s="8"/>
      <c r="BQ393" s="4"/>
      <c r="BR393" s="8"/>
      <c r="BS393" s="7"/>
      <c r="BT393" s="7"/>
      <c r="BU393" s="2" t="s">
        <v>207</v>
      </c>
      <c r="BV393" s="2" t="s">
        <v>97</v>
      </c>
      <c r="BW393" s="2" t="s">
        <v>100</v>
      </c>
      <c r="BX393" s="2" t="s">
        <v>100</v>
      </c>
      <c r="BY393" s="2" t="s">
        <v>113</v>
      </c>
      <c r="BZ393" s="2" t="s">
        <v>100</v>
      </c>
    </row>
    <row r="394">
      <c r="A394" s="2" t="s">
        <v>1776</v>
      </c>
      <c r="B394" s="2" t="s">
        <v>87</v>
      </c>
      <c r="C394" s="2" t="s">
        <v>88</v>
      </c>
      <c r="D394" s="2" t="s">
        <v>1638</v>
      </c>
      <c r="E394" s="2" t="s">
        <v>1759</v>
      </c>
      <c r="F394" s="2" t="s">
        <v>485</v>
      </c>
      <c r="G394" s="2" t="s">
        <v>486</v>
      </c>
      <c r="H394" s="2" t="s">
        <v>487</v>
      </c>
      <c r="I394" s="2" t="s">
        <v>1760</v>
      </c>
      <c r="J394" s="2" t="s">
        <v>270</v>
      </c>
      <c r="K394" s="2" t="s">
        <v>335</v>
      </c>
      <c r="L394" s="3">
        <v>52.91</v>
      </c>
      <c r="M394" s="3">
        <v>55.56</v>
      </c>
      <c r="N394" s="3">
        <v>109.99</v>
      </c>
      <c r="O394" s="2" t="s">
        <v>97</v>
      </c>
      <c r="P394" s="2" t="s">
        <v>119</v>
      </c>
      <c r="Q394" s="2" t="s">
        <v>99</v>
      </c>
      <c r="R394" s="2" t="s">
        <v>100</v>
      </c>
      <c r="S394" s="2" t="s">
        <v>1775</v>
      </c>
      <c r="T394" s="2" t="s">
        <v>280</v>
      </c>
      <c r="U394" s="2" t="s">
        <v>102</v>
      </c>
      <c r="V394" s="2" t="s">
        <v>489</v>
      </c>
      <c r="W394" s="2" t="s">
        <v>104</v>
      </c>
      <c r="X394" s="2" t="s">
        <v>490</v>
      </c>
      <c r="Y394" s="2" t="s">
        <v>455</v>
      </c>
      <c r="Z394" s="4">
        <v>106</v>
      </c>
      <c r="AA394" s="4">
        <f>=ROUNDDOWN(26.5,0)</f>
      </c>
      <c r="AB394" s="5">
        <v>4</v>
      </c>
      <c r="AC394" s="2" t="s">
        <v>100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79</v>
      </c>
      <c r="BK394" s="8">
        <v>4758.58</v>
      </c>
      <c r="BL394" s="2" t="s">
        <v>852</v>
      </c>
      <c r="BM394" s="7"/>
      <c r="BN394" s="7"/>
      <c r="BO394" s="4"/>
      <c r="BP394" s="8"/>
      <c r="BQ394" s="4"/>
      <c r="BR394" s="8"/>
      <c r="BS394" s="7"/>
      <c r="BT394" s="7"/>
      <c r="BU394" s="2" t="s">
        <v>207</v>
      </c>
      <c r="BV394" s="2" t="s">
        <v>97</v>
      </c>
      <c r="BW394" s="2" t="s">
        <v>100</v>
      </c>
      <c r="BX394" s="2" t="s">
        <v>100</v>
      </c>
      <c r="BY394" s="2" t="s">
        <v>113</v>
      </c>
      <c r="BZ394" s="2" t="s">
        <v>100</v>
      </c>
    </row>
    <row r="395">
      <c r="A395" s="2" t="s">
        <v>1777</v>
      </c>
      <c r="B395" s="2" t="s">
        <v>87</v>
      </c>
      <c r="C395" s="2" t="s">
        <v>88</v>
      </c>
      <c r="D395" s="2" t="s">
        <v>1638</v>
      </c>
      <c r="E395" s="2" t="s">
        <v>1759</v>
      </c>
      <c r="F395" s="2" t="s">
        <v>250</v>
      </c>
      <c r="G395" s="2" t="s">
        <v>251</v>
      </c>
      <c r="H395" s="2" t="s">
        <v>252</v>
      </c>
      <c r="I395" s="2" t="s">
        <v>1760</v>
      </c>
      <c r="J395" s="2" t="s">
        <v>247</v>
      </c>
      <c r="K395" s="2" t="s">
        <v>254</v>
      </c>
      <c r="L395" s="3">
        <v>54.99</v>
      </c>
      <c r="M395" s="3">
        <v>57.74</v>
      </c>
      <c r="N395" s="3">
        <v>109.99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255</v>
      </c>
      <c r="T395" s="2" t="s">
        <v>100</v>
      </c>
      <c r="U395" s="2" t="s">
        <v>102</v>
      </c>
      <c r="V395" s="2" t="s">
        <v>256</v>
      </c>
      <c r="W395" s="2" t="s">
        <v>104</v>
      </c>
      <c r="X395" s="2" t="s">
        <v>257</v>
      </c>
      <c r="Y395" s="2" t="s">
        <v>240</v>
      </c>
      <c r="Z395" s="4">
        <v>179</v>
      </c>
      <c r="AA395" s="4">
        <f>=ROUNDDOWN(35.8,0)</f>
      </c>
      <c r="AB395" s="5">
        <v>5</v>
      </c>
      <c r="AC395" s="2" t="s">
        <v>135</v>
      </c>
      <c r="AD395" s="4">
        <v>40</v>
      </c>
      <c r="AE395" s="4">
        <v>40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>
        <v>1</v>
      </c>
      <c r="AQ395" s="8">
        <v>57.75</v>
      </c>
      <c r="AR395" s="4"/>
      <c r="AS395" s="8"/>
      <c r="AT395" s="7"/>
      <c r="AU395" s="7"/>
      <c r="AV395" s="4">
        <v>2</v>
      </c>
      <c r="AW395" s="8">
        <v>121.28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0.4762</v>
      </c>
      <c r="BC395" s="4">
        <v>2</v>
      </c>
      <c r="BD395" s="8">
        <v>121.28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1</v>
      </c>
      <c r="BJ395" s="4">
        <v>122</v>
      </c>
      <c r="BK395" s="8">
        <v>6907.68</v>
      </c>
      <c r="BL395" s="2" t="s">
        <v>1778</v>
      </c>
      <c r="BM395" s="7">
        <v>0.0082</v>
      </c>
      <c r="BN395" s="7">
        <v>0.0084</v>
      </c>
      <c r="BO395" s="4">
        <v>1</v>
      </c>
      <c r="BP395" s="8">
        <v>57.75</v>
      </c>
      <c r="BQ395" s="4"/>
      <c r="BR395" s="8"/>
      <c r="BS395" s="7"/>
      <c r="BT395" s="7"/>
      <c r="BU395" s="2" t="s">
        <v>109</v>
      </c>
      <c r="BV395" s="2" t="s">
        <v>110</v>
      </c>
      <c r="BW395" s="2" t="s">
        <v>243</v>
      </c>
      <c r="BX395" s="2" t="s">
        <v>312</v>
      </c>
      <c r="BY395" s="2" t="s">
        <v>113</v>
      </c>
      <c r="BZ395" s="2" t="s">
        <v>100</v>
      </c>
    </row>
    <row r="396">
      <c r="A396" s="2" t="s">
        <v>1779</v>
      </c>
      <c r="B396" s="2" t="s">
        <v>87</v>
      </c>
      <c r="C396" s="2" t="s">
        <v>88</v>
      </c>
      <c r="D396" s="2" t="s">
        <v>1638</v>
      </c>
      <c r="E396" s="2" t="s">
        <v>1759</v>
      </c>
      <c r="F396" s="2" t="s">
        <v>250</v>
      </c>
      <c r="G396" s="2" t="s">
        <v>251</v>
      </c>
      <c r="H396" s="2" t="s">
        <v>252</v>
      </c>
      <c r="I396" s="2" t="s">
        <v>1760</v>
      </c>
      <c r="J396" s="2" t="s">
        <v>270</v>
      </c>
      <c r="K396" s="2" t="s">
        <v>254</v>
      </c>
      <c r="L396" s="3">
        <v>59.99</v>
      </c>
      <c r="M396" s="3">
        <v>62.99</v>
      </c>
      <c r="N396" s="3">
        <v>119.99</v>
      </c>
      <c r="O396" s="2" t="s">
        <v>97</v>
      </c>
      <c r="P396" s="2" t="s">
        <v>98</v>
      </c>
      <c r="Q396" s="2" t="s">
        <v>99</v>
      </c>
      <c r="R396" s="2" t="s">
        <v>100</v>
      </c>
      <c r="S396" s="2" t="s">
        <v>255</v>
      </c>
      <c r="T396" s="2" t="s">
        <v>100</v>
      </c>
      <c r="U396" s="2" t="s">
        <v>102</v>
      </c>
      <c r="V396" s="2" t="s">
        <v>256</v>
      </c>
      <c r="W396" s="2" t="s">
        <v>104</v>
      </c>
      <c r="X396" s="2" t="s">
        <v>257</v>
      </c>
      <c r="Y396" s="2" t="s">
        <v>240</v>
      </c>
      <c r="Z396" s="4">
        <v>156</v>
      </c>
      <c r="AA396" s="4">
        <f>=ROUNDDOWN(39,0)</f>
      </c>
      <c r="AB396" s="5">
        <v>4</v>
      </c>
      <c r="AC396" s="2" t="s">
        <v>100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>
        <v>1</v>
      </c>
      <c r="AQ396" s="8">
        <v>63.53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0.5238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92</v>
      </c>
      <c r="BK396" s="8">
        <v>5797.77</v>
      </c>
      <c r="BL396" s="2" t="s">
        <v>1780</v>
      </c>
      <c r="BM396" s="7">
        <v>0.0109</v>
      </c>
      <c r="BN396" s="7">
        <v>0.011</v>
      </c>
      <c r="BO396" s="4">
        <v>1</v>
      </c>
      <c r="BP396" s="8">
        <v>63.53</v>
      </c>
      <c r="BQ396" s="4"/>
      <c r="BR396" s="8"/>
      <c r="BS396" s="7"/>
      <c r="BT396" s="7"/>
      <c r="BU396" s="2" t="s">
        <v>109</v>
      </c>
      <c r="BV396" s="2" t="s">
        <v>110</v>
      </c>
      <c r="BW396" s="2" t="s">
        <v>243</v>
      </c>
      <c r="BX396" s="2" t="s">
        <v>874</v>
      </c>
      <c r="BY396" s="2" t="s">
        <v>113</v>
      </c>
      <c r="BZ396" s="2" t="s">
        <v>100</v>
      </c>
    </row>
    <row r="397">
      <c r="A397" s="2" t="s">
        <v>1781</v>
      </c>
      <c r="B397" s="2" t="s">
        <v>87</v>
      </c>
      <c r="C397" s="2" t="s">
        <v>88</v>
      </c>
      <c r="D397" s="2" t="s">
        <v>1638</v>
      </c>
      <c r="E397" s="2" t="s">
        <v>1759</v>
      </c>
      <c r="F397" s="2" t="s">
        <v>1119</v>
      </c>
      <c r="G397" s="2" t="s">
        <v>1120</v>
      </c>
      <c r="H397" s="2" t="s">
        <v>1121</v>
      </c>
      <c r="I397" s="2" t="s">
        <v>1782</v>
      </c>
      <c r="J397" s="2" t="s">
        <v>247</v>
      </c>
      <c r="K397" s="2" t="s">
        <v>189</v>
      </c>
      <c r="L397" s="3">
        <v>47</v>
      </c>
      <c r="M397" s="3">
        <v>49.35</v>
      </c>
      <c r="N397" s="3">
        <v>99.99</v>
      </c>
      <c r="O397" s="2" t="s">
        <v>97</v>
      </c>
      <c r="P397" s="2" t="s">
        <v>98</v>
      </c>
      <c r="Q397" s="2" t="s">
        <v>99</v>
      </c>
      <c r="R397" s="2" t="s">
        <v>100</v>
      </c>
      <c r="S397" s="2" t="s">
        <v>1123</v>
      </c>
      <c r="T397" s="2" t="s">
        <v>100</v>
      </c>
      <c r="U397" s="2" t="s">
        <v>402</v>
      </c>
      <c r="V397" s="2" t="s">
        <v>146</v>
      </c>
      <c r="W397" s="2" t="s">
        <v>158</v>
      </c>
      <c r="X397" s="2" t="s">
        <v>697</v>
      </c>
      <c r="Y397" s="2" t="s">
        <v>240</v>
      </c>
      <c r="Z397" s="4">
        <v>124</v>
      </c>
      <c r="AA397" s="4">
        <f>=ROUNDDOWN(6.52631578947368,0)</f>
      </c>
      <c r="AB397" s="5">
        <v>19</v>
      </c>
      <c r="AC397" s="2" t="s">
        <v>356</v>
      </c>
      <c r="AD397" s="4">
        <v>670</v>
      </c>
      <c r="AE397" s="4">
        <v>1160</v>
      </c>
      <c r="AF397" s="6">
        <v>65</v>
      </c>
      <c r="AG397" s="6">
        <v>48</v>
      </c>
      <c r="AH397" s="7">
        <v>0.9947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>
        <v>1</v>
      </c>
      <c r="AQ397" s="8">
        <v>49.67</v>
      </c>
      <c r="AR397" s="4"/>
      <c r="AS397" s="8"/>
      <c r="AT397" s="7"/>
      <c r="AU397" s="7"/>
      <c r="AV397" s="4">
        <v>2</v>
      </c>
      <c r="AW397" s="8">
        <v>105.11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0.4726</v>
      </c>
      <c r="BC397" s="4">
        <v>2</v>
      </c>
      <c r="BD397" s="8">
        <v>105.11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1</v>
      </c>
      <c r="BJ397" s="4">
        <v>370</v>
      </c>
      <c r="BK397" s="8">
        <v>17984.88</v>
      </c>
      <c r="BL397" s="2" t="s">
        <v>1783</v>
      </c>
      <c r="BM397" s="7">
        <v>0.0027</v>
      </c>
      <c r="BN397" s="7">
        <v>0.0028</v>
      </c>
      <c r="BO397" s="4">
        <v>1</v>
      </c>
      <c r="BP397" s="8">
        <v>49.67</v>
      </c>
      <c r="BQ397" s="4"/>
      <c r="BR397" s="8"/>
      <c r="BS397" s="7"/>
      <c r="BT397" s="7"/>
      <c r="BU397" s="2" t="s">
        <v>109</v>
      </c>
      <c r="BV397" s="2" t="s">
        <v>110</v>
      </c>
      <c r="BW397" s="2" t="s">
        <v>1085</v>
      </c>
      <c r="BX397" s="2" t="s">
        <v>1784</v>
      </c>
      <c r="BY397" s="2" t="s">
        <v>113</v>
      </c>
      <c r="BZ397" s="2" t="s">
        <v>100</v>
      </c>
    </row>
    <row r="398">
      <c r="A398" s="2" t="s">
        <v>1785</v>
      </c>
      <c r="B398" s="2" t="s">
        <v>87</v>
      </c>
      <c r="C398" s="2" t="s">
        <v>88</v>
      </c>
      <c r="D398" s="2" t="s">
        <v>1638</v>
      </c>
      <c r="E398" s="2" t="s">
        <v>1759</v>
      </c>
      <c r="F398" s="2" t="s">
        <v>1119</v>
      </c>
      <c r="G398" s="2" t="s">
        <v>1120</v>
      </c>
      <c r="H398" s="2" t="s">
        <v>1121</v>
      </c>
      <c r="I398" s="2" t="s">
        <v>1782</v>
      </c>
      <c r="J398" s="2" t="s">
        <v>270</v>
      </c>
      <c r="K398" s="2" t="s">
        <v>189</v>
      </c>
      <c r="L398" s="3">
        <v>53.9</v>
      </c>
      <c r="M398" s="3">
        <v>56.59</v>
      </c>
      <c r="N398" s="3">
        <v>109.99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1123</v>
      </c>
      <c r="T398" s="2" t="s">
        <v>100</v>
      </c>
      <c r="U398" s="2" t="s">
        <v>402</v>
      </c>
      <c r="V398" s="2" t="s">
        <v>146</v>
      </c>
      <c r="W398" s="2" t="s">
        <v>158</v>
      </c>
      <c r="X398" s="2" t="s">
        <v>697</v>
      </c>
      <c r="Y398" s="2" t="s">
        <v>240</v>
      </c>
      <c r="Z398" s="4">
        <v>213</v>
      </c>
      <c r="AA398" s="4">
        <f>=ROUNDDOWN(35.5,0)</f>
      </c>
      <c r="AB398" s="5">
        <v>6</v>
      </c>
      <c r="AC398" s="2" t="s">
        <v>356</v>
      </c>
      <c r="AD398" s="4">
        <v>480</v>
      </c>
      <c r="AE398" s="4">
        <v>560</v>
      </c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</v>
      </c>
      <c r="AQ398" s="8">
        <v>55.44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0.5274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131</v>
      </c>
      <c r="BK398" s="8">
        <v>7054.68</v>
      </c>
      <c r="BL398" s="2" t="s">
        <v>1786</v>
      </c>
      <c r="BM398" s="7">
        <v>0.0076</v>
      </c>
      <c r="BN398" s="7">
        <v>0.0079</v>
      </c>
      <c r="BO398" s="4">
        <v>1</v>
      </c>
      <c r="BP398" s="8">
        <v>55.44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1085</v>
      </c>
      <c r="BX398" s="2" t="s">
        <v>1787</v>
      </c>
      <c r="BY398" s="2" t="s">
        <v>113</v>
      </c>
      <c r="BZ398" s="2" t="s">
        <v>100</v>
      </c>
    </row>
    <row r="399">
      <c r="A399" s="2" t="s">
        <v>1788</v>
      </c>
      <c r="B399" s="2" t="s">
        <v>87</v>
      </c>
      <c r="C399" s="2" t="s">
        <v>88</v>
      </c>
      <c r="D399" s="2" t="s">
        <v>1638</v>
      </c>
      <c r="E399" s="2" t="s">
        <v>1759</v>
      </c>
      <c r="F399" s="2" t="s">
        <v>1789</v>
      </c>
      <c r="G399" s="2" t="s">
        <v>1790</v>
      </c>
      <c r="H399" s="2" t="s">
        <v>1791</v>
      </c>
      <c r="I399" s="2" t="s">
        <v>1792</v>
      </c>
      <c r="J399" s="2" t="s">
        <v>247</v>
      </c>
      <c r="K399" s="2" t="s">
        <v>360</v>
      </c>
      <c r="L399" s="3">
        <v>53.9</v>
      </c>
      <c r="M399" s="3">
        <v>56.59</v>
      </c>
      <c r="N399" s="3">
        <v>109.99</v>
      </c>
      <c r="O399" s="2" t="s">
        <v>97</v>
      </c>
      <c r="P399" s="2" t="s">
        <v>119</v>
      </c>
      <c r="Q399" s="2" t="s">
        <v>99</v>
      </c>
      <c r="R399" s="2" t="s">
        <v>100</v>
      </c>
      <c r="S399" s="2" t="s">
        <v>1793</v>
      </c>
      <c r="T399" s="2" t="s">
        <v>100</v>
      </c>
      <c r="U399" s="2" t="s">
        <v>102</v>
      </c>
      <c r="V399" s="2" t="s">
        <v>403</v>
      </c>
      <c r="W399" s="2" t="s">
        <v>104</v>
      </c>
      <c r="X399" s="2" t="s">
        <v>1794</v>
      </c>
      <c r="Y399" s="2" t="s">
        <v>240</v>
      </c>
      <c r="Z399" s="4">
        <v>138</v>
      </c>
      <c r="AA399" s="4">
        <f>=ROUNDDOWN(19.7142857142857,0)</f>
      </c>
      <c r="AB399" s="5">
        <v>7</v>
      </c>
      <c r="AC399" s="2" t="s">
        <v>100</v>
      </c>
      <c r="AD399" s="4"/>
      <c r="AE399" s="4"/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138</v>
      </c>
      <c r="BK399" s="8">
        <v>6974.29</v>
      </c>
      <c r="BL399" s="2" t="s">
        <v>1795</v>
      </c>
      <c r="BM399" s="7"/>
      <c r="BN399" s="7"/>
      <c r="BO399" s="4"/>
      <c r="BP399" s="8"/>
      <c r="BQ399" s="4"/>
      <c r="BR399" s="8"/>
      <c r="BS399" s="7"/>
      <c r="BT399" s="7"/>
      <c r="BU399" s="2" t="s">
        <v>109</v>
      </c>
      <c r="BV399" s="2" t="s">
        <v>97</v>
      </c>
      <c r="BW399" s="2" t="s">
        <v>1796</v>
      </c>
      <c r="BX399" s="2" t="s">
        <v>100</v>
      </c>
      <c r="BY399" s="2" t="s">
        <v>113</v>
      </c>
      <c r="BZ399" s="2" t="s">
        <v>100</v>
      </c>
    </row>
    <row r="400">
      <c r="A400" s="2" t="s">
        <v>1797</v>
      </c>
      <c r="B400" s="2" t="s">
        <v>87</v>
      </c>
      <c r="C400" s="2" t="s">
        <v>88</v>
      </c>
      <c r="D400" s="2" t="s">
        <v>1638</v>
      </c>
      <c r="E400" s="2" t="s">
        <v>1759</v>
      </c>
      <c r="F400" s="2" t="s">
        <v>1789</v>
      </c>
      <c r="G400" s="2" t="s">
        <v>1790</v>
      </c>
      <c r="H400" s="2" t="s">
        <v>1791</v>
      </c>
      <c r="I400" s="2" t="s">
        <v>1792</v>
      </c>
      <c r="J400" s="2" t="s">
        <v>270</v>
      </c>
      <c r="K400" s="2" t="s">
        <v>360</v>
      </c>
      <c r="L400" s="3">
        <v>59.99</v>
      </c>
      <c r="M400" s="3">
        <v>62.99</v>
      </c>
      <c r="N400" s="3">
        <v>119.99</v>
      </c>
      <c r="O400" s="2" t="s">
        <v>97</v>
      </c>
      <c r="P400" s="2" t="s">
        <v>119</v>
      </c>
      <c r="Q400" s="2" t="s">
        <v>99</v>
      </c>
      <c r="R400" s="2" t="s">
        <v>100</v>
      </c>
      <c r="S400" s="2" t="s">
        <v>1793</v>
      </c>
      <c r="T400" s="2" t="s">
        <v>100</v>
      </c>
      <c r="U400" s="2" t="s">
        <v>102</v>
      </c>
      <c r="V400" s="2" t="s">
        <v>403</v>
      </c>
      <c r="W400" s="2" t="s">
        <v>104</v>
      </c>
      <c r="X400" s="2" t="s">
        <v>1794</v>
      </c>
      <c r="Y400" s="2" t="s">
        <v>240</v>
      </c>
      <c r="Z400" s="4">
        <v>267</v>
      </c>
      <c r="AA400" s="4">
        <f>=ROUNDDOWN(33.375,0)</f>
      </c>
      <c r="AB400" s="5">
        <v>8</v>
      </c>
      <c r="AC400" s="2" t="s">
        <v>100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156</v>
      </c>
      <c r="BK400" s="8">
        <v>9348.85</v>
      </c>
      <c r="BL400" s="2" t="s">
        <v>1795</v>
      </c>
      <c r="BM400" s="7"/>
      <c r="BN400" s="7"/>
      <c r="BO400" s="4"/>
      <c r="BP400" s="8"/>
      <c r="BQ400" s="4"/>
      <c r="BR400" s="8"/>
      <c r="BS400" s="7"/>
      <c r="BT400" s="7"/>
      <c r="BU400" s="2" t="s">
        <v>109</v>
      </c>
      <c r="BV400" s="2" t="s">
        <v>97</v>
      </c>
      <c r="BW400" s="2" t="s">
        <v>1796</v>
      </c>
      <c r="BX400" s="2" t="s">
        <v>1798</v>
      </c>
      <c r="BY400" s="2" t="s">
        <v>113</v>
      </c>
      <c r="BZ400" s="2" t="s">
        <v>100</v>
      </c>
    </row>
    <row r="401">
      <c r="A401" s="2" t="s">
        <v>1799</v>
      </c>
      <c r="B401" s="2" t="s">
        <v>87</v>
      </c>
      <c r="C401" s="2" t="s">
        <v>88</v>
      </c>
      <c r="D401" s="2" t="s">
        <v>1638</v>
      </c>
      <c r="E401" s="2" t="s">
        <v>1759</v>
      </c>
      <c r="F401" s="2" t="s">
        <v>1789</v>
      </c>
      <c r="G401" s="2" t="s">
        <v>1790</v>
      </c>
      <c r="H401" s="2" t="s">
        <v>1791</v>
      </c>
      <c r="I401" s="2" t="s">
        <v>1792</v>
      </c>
      <c r="J401" s="2" t="s">
        <v>247</v>
      </c>
      <c r="K401" s="2" t="s">
        <v>878</v>
      </c>
      <c r="L401" s="3">
        <v>53.9</v>
      </c>
      <c r="M401" s="3">
        <v>56.59</v>
      </c>
      <c r="N401" s="3">
        <v>109.99</v>
      </c>
      <c r="O401" s="2" t="s">
        <v>97</v>
      </c>
      <c r="P401" s="2" t="s">
        <v>119</v>
      </c>
      <c r="Q401" s="2" t="s">
        <v>99</v>
      </c>
      <c r="R401" s="2" t="s">
        <v>100</v>
      </c>
      <c r="S401" s="2" t="s">
        <v>1800</v>
      </c>
      <c r="T401" s="2" t="s">
        <v>100</v>
      </c>
      <c r="U401" s="2" t="s">
        <v>102</v>
      </c>
      <c r="V401" s="2" t="s">
        <v>403</v>
      </c>
      <c r="W401" s="2" t="s">
        <v>104</v>
      </c>
      <c r="X401" s="2" t="s">
        <v>1794</v>
      </c>
      <c r="Y401" s="2" t="s">
        <v>240</v>
      </c>
      <c r="Z401" s="4">
        <v>188</v>
      </c>
      <c r="AA401" s="4">
        <f>=ROUNDDOWN(37.6,0)</f>
      </c>
      <c r="AB401" s="5">
        <v>5</v>
      </c>
      <c r="AC401" s="2" t="s">
        <v>100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101</v>
      </c>
      <c r="BK401" s="8">
        <v>5118.63</v>
      </c>
      <c r="BL401" s="2" t="s">
        <v>1241</v>
      </c>
      <c r="BM401" s="7"/>
      <c r="BN401" s="7"/>
      <c r="BO401" s="4"/>
      <c r="BP401" s="8"/>
      <c r="BQ401" s="4"/>
      <c r="BR401" s="8"/>
      <c r="BS401" s="7"/>
      <c r="BT401" s="7"/>
      <c r="BU401" s="2" t="s">
        <v>109</v>
      </c>
      <c r="BV401" s="2" t="s">
        <v>97</v>
      </c>
      <c r="BW401" s="2" t="s">
        <v>260</v>
      </c>
      <c r="BX401" s="2" t="s">
        <v>1801</v>
      </c>
      <c r="BY401" s="2" t="s">
        <v>113</v>
      </c>
      <c r="BZ401" s="2" t="s">
        <v>100</v>
      </c>
    </row>
    <row r="402">
      <c r="A402" s="2" t="s">
        <v>1802</v>
      </c>
      <c r="B402" s="2" t="s">
        <v>87</v>
      </c>
      <c r="C402" s="2" t="s">
        <v>88</v>
      </c>
      <c r="D402" s="2" t="s">
        <v>1638</v>
      </c>
      <c r="E402" s="2" t="s">
        <v>1759</v>
      </c>
      <c r="F402" s="2" t="s">
        <v>1789</v>
      </c>
      <c r="G402" s="2" t="s">
        <v>1790</v>
      </c>
      <c r="H402" s="2" t="s">
        <v>1791</v>
      </c>
      <c r="I402" s="2" t="s">
        <v>1792</v>
      </c>
      <c r="J402" s="2" t="s">
        <v>270</v>
      </c>
      <c r="K402" s="2" t="s">
        <v>878</v>
      </c>
      <c r="L402" s="3">
        <v>59.99</v>
      </c>
      <c r="M402" s="3">
        <v>62.99</v>
      </c>
      <c r="N402" s="3">
        <v>119.99</v>
      </c>
      <c r="O402" s="2" t="s">
        <v>97</v>
      </c>
      <c r="P402" s="2" t="s">
        <v>119</v>
      </c>
      <c r="Q402" s="2" t="s">
        <v>99</v>
      </c>
      <c r="R402" s="2" t="s">
        <v>100</v>
      </c>
      <c r="S402" s="2" t="s">
        <v>1800</v>
      </c>
      <c r="T402" s="2" t="s">
        <v>100</v>
      </c>
      <c r="U402" s="2" t="s">
        <v>102</v>
      </c>
      <c r="V402" s="2" t="s">
        <v>403</v>
      </c>
      <c r="W402" s="2" t="s">
        <v>104</v>
      </c>
      <c r="X402" s="2" t="s">
        <v>1794</v>
      </c>
      <c r="Y402" s="2" t="s">
        <v>240</v>
      </c>
      <c r="Z402" s="4">
        <v>255</v>
      </c>
      <c r="AA402" s="4">
        <f>=ROUNDDOWN(42.5,0)</f>
      </c>
      <c r="AB402" s="5">
        <v>6</v>
      </c>
      <c r="AC402" s="2" t="s">
        <v>100</v>
      </c>
      <c r="AD402" s="4"/>
      <c r="AE402" s="4"/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109</v>
      </c>
      <c r="BK402" s="8">
        <v>6769.54</v>
      </c>
      <c r="BL402" s="2" t="s">
        <v>1803</v>
      </c>
      <c r="BM402" s="7"/>
      <c r="BN402" s="7"/>
      <c r="BO402" s="4"/>
      <c r="BP402" s="8"/>
      <c r="BQ402" s="4"/>
      <c r="BR402" s="8"/>
      <c r="BS402" s="7"/>
      <c r="BT402" s="7"/>
      <c r="BU402" s="2" t="s">
        <v>109</v>
      </c>
      <c r="BV402" s="2" t="s">
        <v>97</v>
      </c>
      <c r="BW402" s="2" t="s">
        <v>260</v>
      </c>
      <c r="BX402" s="2" t="s">
        <v>1770</v>
      </c>
      <c r="BY402" s="2" t="s">
        <v>113</v>
      </c>
      <c r="BZ402" s="2" t="s">
        <v>100</v>
      </c>
    </row>
    <row r="403">
      <c r="A403" s="2" t="s">
        <v>1804</v>
      </c>
      <c r="B403" s="2" t="s">
        <v>87</v>
      </c>
      <c r="C403" s="2" t="s">
        <v>88</v>
      </c>
      <c r="D403" s="2" t="s">
        <v>1638</v>
      </c>
      <c r="E403" s="2" t="s">
        <v>1759</v>
      </c>
      <c r="F403" s="2" t="s">
        <v>1273</v>
      </c>
      <c r="G403" s="2" t="s">
        <v>1274</v>
      </c>
      <c r="H403" s="2" t="s">
        <v>1275</v>
      </c>
      <c r="I403" s="2" t="s">
        <v>1805</v>
      </c>
      <c r="J403" s="2" t="s">
        <v>247</v>
      </c>
      <c r="K403" s="2" t="s">
        <v>1277</v>
      </c>
      <c r="L403" s="3">
        <v>22.85</v>
      </c>
      <c r="M403" s="3">
        <v>23.99</v>
      </c>
      <c r="N403" s="3">
        <v>49.99</v>
      </c>
      <c r="O403" s="2" t="s">
        <v>97</v>
      </c>
      <c r="P403" s="2" t="s">
        <v>119</v>
      </c>
      <c r="Q403" s="2" t="s">
        <v>99</v>
      </c>
      <c r="R403" s="2" t="s">
        <v>100</v>
      </c>
      <c r="S403" s="2" t="s">
        <v>1278</v>
      </c>
      <c r="T403" s="2" t="s">
        <v>218</v>
      </c>
      <c r="U403" s="2" t="s">
        <v>402</v>
      </c>
      <c r="V403" s="2" t="s">
        <v>403</v>
      </c>
      <c r="W403" s="2" t="s">
        <v>319</v>
      </c>
      <c r="X403" s="2" t="s">
        <v>100</v>
      </c>
      <c r="Y403" s="2" t="s">
        <v>1281</v>
      </c>
      <c r="Z403" s="4">
        <v>29</v>
      </c>
      <c r="AA403" s="4">
        <f>=ROUNDDOWN(5.8,0)</f>
      </c>
      <c r="AB403" s="5">
        <v>5</v>
      </c>
      <c r="AC403" s="2" t="s">
        <v>326</v>
      </c>
      <c r="AD403" s="4">
        <v>110</v>
      </c>
      <c r="AE403" s="4">
        <v>195</v>
      </c>
      <c r="AF403" s="6">
        <v>69</v>
      </c>
      <c r="AG403" s="6"/>
      <c r="AH403" s="7">
        <v>0.7273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63</v>
      </c>
      <c r="BK403" s="8">
        <v>1575.72</v>
      </c>
      <c r="BL403" s="2" t="s">
        <v>1806</v>
      </c>
      <c r="BM403" s="7"/>
      <c r="BN403" s="7"/>
      <c r="BO403" s="4"/>
      <c r="BP403" s="8"/>
      <c r="BQ403" s="4"/>
      <c r="BR403" s="8"/>
      <c r="BS403" s="7"/>
      <c r="BT403" s="7"/>
      <c r="BU403" s="2" t="s">
        <v>207</v>
      </c>
      <c r="BV403" s="2" t="s">
        <v>97</v>
      </c>
      <c r="BW403" s="2" t="s">
        <v>100</v>
      </c>
      <c r="BX403" s="2" t="s">
        <v>100</v>
      </c>
      <c r="BY403" s="2" t="s">
        <v>113</v>
      </c>
      <c r="BZ403" s="2" t="s">
        <v>100</v>
      </c>
    </row>
    <row r="404">
      <c r="A404" s="2" t="s">
        <v>1807</v>
      </c>
      <c r="B404" s="2" t="s">
        <v>87</v>
      </c>
      <c r="C404" s="2" t="s">
        <v>88</v>
      </c>
      <c r="D404" s="2" t="s">
        <v>1638</v>
      </c>
      <c r="E404" s="2" t="s">
        <v>1759</v>
      </c>
      <c r="F404" s="2" t="s">
        <v>1273</v>
      </c>
      <c r="G404" s="2" t="s">
        <v>1274</v>
      </c>
      <c r="H404" s="2" t="s">
        <v>1275</v>
      </c>
      <c r="I404" s="2" t="s">
        <v>1805</v>
      </c>
      <c r="J404" s="2" t="s">
        <v>270</v>
      </c>
      <c r="K404" s="2" t="s">
        <v>1277</v>
      </c>
      <c r="L404" s="3">
        <v>27.42</v>
      </c>
      <c r="M404" s="3">
        <v>28.79</v>
      </c>
      <c r="N404" s="3">
        <v>59.99</v>
      </c>
      <c r="O404" s="2" t="s">
        <v>97</v>
      </c>
      <c r="P404" s="2" t="s">
        <v>119</v>
      </c>
      <c r="Q404" s="2" t="s">
        <v>99</v>
      </c>
      <c r="R404" s="2" t="s">
        <v>100</v>
      </c>
      <c r="S404" s="2" t="s">
        <v>1278</v>
      </c>
      <c r="T404" s="2" t="s">
        <v>218</v>
      </c>
      <c r="U404" s="2" t="s">
        <v>402</v>
      </c>
      <c r="V404" s="2" t="s">
        <v>403</v>
      </c>
      <c r="W404" s="2" t="s">
        <v>319</v>
      </c>
      <c r="X404" s="2" t="s">
        <v>100</v>
      </c>
      <c r="Y404" s="2" t="s">
        <v>1281</v>
      </c>
      <c r="Z404" s="4">
        <v>66</v>
      </c>
      <c r="AA404" s="4">
        <f>=ROUNDDOWN(11,0)</f>
      </c>
      <c r="AB404" s="5">
        <v>6</v>
      </c>
      <c r="AC404" s="2" t="s">
        <v>326</v>
      </c>
      <c r="AD404" s="4">
        <v>125</v>
      </c>
      <c r="AE404" s="4">
        <v>225</v>
      </c>
      <c r="AF404" s="6">
        <v>69</v>
      </c>
      <c r="AG404" s="6"/>
      <c r="AH404" s="7">
        <v>0.7594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82</v>
      </c>
      <c r="BK404" s="8">
        <v>2517.99</v>
      </c>
      <c r="BL404" s="2" t="s">
        <v>1808</v>
      </c>
      <c r="BM404" s="7"/>
      <c r="BN404" s="7"/>
      <c r="BO404" s="4"/>
      <c r="BP404" s="8"/>
      <c r="BQ404" s="4"/>
      <c r="BR404" s="8"/>
      <c r="BS404" s="7"/>
      <c r="BT404" s="7"/>
      <c r="BU404" s="2" t="s">
        <v>207</v>
      </c>
      <c r="BV404" s="2" t="s">
        <v>97</v>
      </c>
      <c r="BW404" s="2" t="s">
        <v>100</v>
      </c>
      <c r="BX404" s="2" t="s">
        <v>100</v>
      </c>
      <c r="BY404" s="2" t="s">
        <v>113</v>
      </c>
      <c r="BZ404" s="2" t="s">
        <v>100</v>
      </c>
    </row>
    <row r="405">
      <c r="A405" s="2" t="s">
        <v>1809</v>
      </c>
      <c r="B405" s="2" t="s">
        <v>87</v>
      </c>
      <c r="C405" s="2" t="s">
        <v>88</v>
      </c>
      <c r="D405" s="2" t="s">
        <v>1638</v>
      </c>
      <c r="E405" s="2" t="s">
        <v>1759</v>
      </c>
      <c r="F405" s="2" t="s">
        <v>1810</v>
      </c>
      <c r="G405" s="2" t="s">
        <v>1811</v>
      </c>
      <c r="H405" s="2" t="s">
        <v>1812</v>
      </c>
      <c r="I405" s="2" t="s">
        <v>1813</v>
      </c>
      <c r="J405" s="2" t="s">
        <v>247</v>
      </c>
      <c r="K405" s="2" t="s">
        <v>1614</v>
      </c>
      <c r="L405" s="3">
        <v>53.9</v>
      </c>
      <c r="M405" s="3">
        <v>56.59</v>
      </c>
      <c r="N405" s="3">
        <v>109.99</v>
      </c>
      <c r="O405" s="2" t="s">
        <v>97</v>
      </c>
      <c r="P405" s="2" t="s">
        <v>119</v>
      </c>
      <c r="Q405" s="2" t="s">
        <v>99</v>
      </c>
      <c r="R405" s="2" t="s">
        <v>100</v>
      </c>
      <c r="S405" s="2" t="s">
        <v>1814</v>
      </c>
      <c r="T405" s="2" t="s">
        <v>100</v>
      </c>
      <c r="U405" s="2" t="s">
        <v>402</v>
      </c>
      <c r="V405" s="2" t="s">
        <v>146</v>
      </c>
      <c r="W405" s="2" t="s">
        <v>158</v>
      </c>
      <c r="X405" s="2" t="s">
        <v>1470</v>
      </c>
      <c r="Y405" s="2" t="s">
        <v>1815</v>
      </c>
      <c r="Z405" s="4">
        <v>317</v>
      </c>
      <c r="AA405" s="4">
        <f>=ROUNDDOWN(45.2857142857143,0)</f>
      </c>
      <c r="AB405" s="5">
        <v>7</v>
      </c>
      <c r="AC405" s="2" t="s">
        <v>100</v>
      </c>
      <c r="AD405" s="4"/>
      <c r="AE405" s="4"/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136</v>
      </c>
      <c r="BK405" s="8">
        <v>7822.68</v>
      </c>
      <c r="BL405" s="2" t="s">
        <v>1816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97</v>
      </c>
      <c r="BW405" s="2" t="s">
        <v>1669</v>
      </c>
      <c r="BX405" s="2" t="s">
        <v>1817</v>
      </c>
      <c r="BY405" s="2" t="s">
        <v>113</v>
      </c>
      <c r="BZ405" s="2" t="s">
        <v>100</v>
      </c>
    </row>
    <row r="406">
      <c r="A406" s="2" t="s">
        <v>1818</v>
      </c>
      <c r="B406" s="2" t="s">
        <v>87</v>
      </c>
      <c r="C406" s="2" t="s">
        <v>88</v>
      </c>
      <c r="D406" s="2" t="s">
        <v>1638</v>
      </c>
      <c r="E406" s="2" t="s">
        <v>1759</v>
      </c>
      <c r="F406" s="2" t="s">
        <v>1810</v>
      </c>
      <c r="G406" s="2" t="s">
        <v>1811</v>
      </c>
      <c r="H406" s="2" t="s">
        <v>1812</v>
      </c>
      <c r="I406" s="2" t="s">
        <v>1813</v>
      </c>
      <c r="J406" s="2" t="s">
        <v>270</v>
      </c>
      <c r="K406" s="2" t="s">
        <v>1614</v>
      </c>
      <c r="L406" s="3">
        <v>58.8</v>
      </c>
      <c r="M406" s="3">
        <v>61.73</v>
      </c>
      <c r="N406" s="3">
        <v>119.99</v>
      </c>
      <c r="O406" s="2" t="s">
        <v>97</v>
      </c>
      <c r="P406" s="2" t="s">
        <v>119</v>
      </c>
      <c r="Q406" s="2" t="s">
        <v>99</v>
      </c>
      <c r="R406" s="2" t="s">
        <v>100</v>
      </c>
      <c r="S406" s="2" t="s">
        <v>1814</v>
      </c>
      <c r="T406" s="2" t="s">
        <v>100</v>
      </c>
      <c r="U406" s="2" t="s">
        <v>402</v>
      </c>
      <c r="V406" s="2" t="s">
        <v>146</v>
      </c>
      <c r="W406" s="2" t="s">
        <v>158</v>
      </c>
      <c r="X406" s="2" t="s">
        <v>1470</v>
      </c>
      <c r="Y406" s="2" t="s">
        <v>1815</v>
      </c>
      <c r="Z406" s="4">
        <v>414</v>
      </c>
      <c r="AA406" s="4">
        <f>=ROUNDDOWN(46,0)</f>
      </c>
      <c r="AB406" s="5">
        <v>9</v>
      </c>
      <c r="AC406" s="2" t="s">
        <v>100</v>
      </c>
      <c r="AD406" s="4"/>
      <c r="AE406" s="4"/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163</v>
      </c>
      <c r="BK406" s="8">
        <v>10301.65</v>
      </c>
      <c r="BL406" s="2" t="s">
        <v>1819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1669</v>
      </c>
      <c r="BX406" s="2" t="s">
        <v>1820</v>
      </c>
      <c r="BY406" s="2" t="s">
        <v>113</v>
      </c>
      <c r="BZ406" s="2" t="s">
        <v>100</v>
      </c>
    </row>
    <row r="407">
      <c r="A407" s="2" t="s">
        <v>1821</v>
      </c>
      <c r="B407" s="2" t="s">
        <v>87</v>
      </c>
      <c r="C407" s="2" t="s">
        <v>88</v>
      </c>
      <c r="D407" s="2" t="s">
        <v>1638</v>
      </c>
      <c r="E407" s="2" t="s">
        <v>1759</v>
      </c>
      <c r="F407" s="2" t="s">
        <v>450</v>
      </c>
      <c r="G407" s="2" t="s">
        <v>451</v>
      </c>
      <c r="H407" s="2" t="s">
        <v>452</v>
      </c>
      <c r="I407" s="2" t="s">
        <v>1822</v>
      </c>
      <c r="J407" s="2" t="s">
        <v>247</v>
      </c>
      <c r="K407" s="2" t="s">
        <v>96</v>
      </c>
      <c r="L407" s="3">
        <v>58.8</v>
      </c>
      <c r="M407" s="3">
        <v>61.74</v>
      </c>
      <c r="N407" s="3">
        <v>119.99</v>
      </c>
      <c r="O407" s="2" t="s">
        <v>97</v>
      </c>
      <c r="P407" s="2" t="s">
        <v>119</v>
      </c>
      <c r="Q407" s="2" t="s">
        <v>99</v>
      </c>
      <c r="R407" s="2" t="s">
        <v>100</v>
      </c>
      <c r="S407" s="2" t="s">
        <v>1823</v>
      </c>
      <c r="T407" s="2" t="s">
        <v>280</v>
      </c>
      <c r="U407" s="2" t="s">
        <v>102</v>
      </c>
      <c r="V407" s="2" t="s">
        <v>239</v>
      </c>
      <c r="W407" s="2" t="s">
        <v>239</v>
      </c>
      <c r="X407" s="2" t="s">
        <v>203</v>
      </c>
      <c r="Y407" s="2" t="s">
        <v>455</v>
      </c>
      <c r="Z407" s="4">
        <v>128</v>
      </c>
      <c r="AA407" s="4">
        <f>=ROUNDDOWN(32,0)</f>
      </c>
      <c r="AB407" s="5">
        <v>4</v>
      </c>
      <c r="AC407" s="2" t="s">
        <v>241</v>
      </c>
      <c r="AD407" s="4">
        <v>300</v>
      </c>
      <c r="AE407" s="4">
        <v>360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109</v>
      </c>
      <c r="BK407" s="8">
        <v>6602.15</v>
      </c>
      <c r="BL407" s="2" t="s">
        <v>553</v>
      </c>
      <c r="BM407" s="7"/>
      <c r="BN407" s="7"/>
      <c r="BO407" s="4"/>
      <c r="BP407" s="8"/>
      <c r="BQ407" s="4"/>
      <c r="BR407" s="8"/>
      <c r="BS407" s="7"/>
      <c r="BT407" s="7"/>
      <c r="BU407" s="2" t="s">
        <v>207</v>
      </c>
      <c r="BV407" s="2" t="s">
        <v>97</v>
      </c>
      <c r="BW407" s="2" t="s">
        <v>100</v>
      </c>
      <c r="BX407" s="2" t="s">
        <v>100</v>
      </c>
      <c r="BY407" s="2" t="s">
        <v>113</v>
      </c>
      <c r="BZ407" s="2" t="s">
        <v>100</v>
      </c>
    </row>
    <row r="408">
      <c r="A408" s="2" t="s">
        <v>1824</v>
      </c>
      <c r="B408" s="2" t="s">
        <v>87</v>
      </c>
      <c r="C408" s="2" t="s">
        <v>88</v>
      </c>
      <c r="D408" s="2" t="s">
        <v>1638</v>
      </c>
      <c r="E408" s="2" t="s">
        <v>1759</v>
      </c>
      <c r="F408" s="2" t="s">
        <v>450</v>
      </c>
      <c r="G408" s="2" t="s">
        <v>451</v>
      </c>
      <c r="H408" s="2" t="s">
        <v>452</v>
      </c>
      <c r="I408" s="2" t="s">
        <v>1822</v>
      </c>
      <c r="J408" s="2" t="s">
        <v>270</v>
      </c>
      <c r="K408" s="2" t="s">
        <v>96</v>
      </c>
      <c r="L408" s="3">
        <v>63.7</v>
      </c>
      <c r="M408" s="3">
        <v>66.89</v>
      </c>
      <c r="N408" s="3">
        <v>129.99</v>
      </c>
      <c r="O408" s="2" t="s">
        <v>97</v>
      </c>
      <c r="P408" s="2" t="s">
        <v>119</v>
      </c>
      <c r="Q408" s="2" t="s">
        <v>99</v>
      </c>
      <c r="R408" s="2" t="s">
        <v>100</v>
      </c>
      <c r="S408" s="2" t="s">
        <v>1823</v>
      </c>
      <c r="T408" s="2" t="s">
        <v>280</v>
      </c>
      <c r="U408" s="2" t="s">
        <v>102</v>
      </c>
      <c r="V408" s="2" t="s">
        <v>239</v>
      </c>
      <c r="W408" s="2" t="s">
        <v>239</v>
      </c>
      <c r="X408" s="2" t="s">
        <v>203</v>
      </c>
      <c r="Y408" s="2" t="s">
        <v>455</v>
      </c>
      <c r="Z408" s="4">
        <v>137</v>
      </c>
      <c r="AA408" s="4">
        <f>=ROUNDDOWN(34.25,0)</f>
      </c>
      <c r="AB408" s="5">
        <v>4</v>
      </c>
      <c r="AC408" s="2" t="s">
        <v>100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97</v>
      </c>
      <c r="BK408" s="8">
        <v>6228.47</v>
      </c>
      <c r="BL408" s="2" t="s">
        <v>1738</v>
      </c>
      <c r="BM408" s="7"/>
      <c r="BN408" s="7"/>
      <c r="BO408" s="4"/>
      <c r="BP408" s="8"/>
      <c r="BQ408" s="4"/>
      <c r="BR408" s="8"/>
      <c r="BS408" s="7"/>
      <c r="BT408" s="7"/>
      <c r="BU408" s="2" t="s">
        <v>207</v>
      </c>
      <c r="BV408" s="2" t="s">
        <v>97</v>
      </c>
      <c r="BW408" s="2" t="s">
        <v>100</v>
      </c>
      <c r="BX408" s="2" t="s">
        <v>100</v>
      </c>
      <c r="BY408" s="2" t="s">
        <v>113</v>
      </c>
      <c r="BZ408" s="2" t="s">
        <v>100</v>
      </c>
    </row>
    <row r="409">
      <c r="A409" s="2" t="s">
        <v>1825</v>
      </c>
      <c r="B409" s="2" t="s">
        <v>87</v>
      </c>
      <c r="C409" s="2" t="s">
        <v>88</v>
      </c>
      <c r="D409" s="2" t="s">
        <v>1638</v>
      </c>
      <c r="E409" s="2" t="s">
        <v>1759</v>
      </c>
      <c r="F409" s="2" t="s">
        <v>450</v>
      </c>
      <c r="G409" s="2" t="s">
        <v>451</v>
      </c>
      <c r="H409" s="2" t="s">
        <v>452</v>
      </c>
      <c r="I409" s="2" t="s">
        <v>1822</v>
      </c>
      <c r="J409" s="2" t="s">
        <v>247</v>
      </c>
      <c r="K409" s="2" t="s">
        <v>921</v>
      </c>
      <c r="L409" s="3">
        <v>58.8</v>
      </c>
      <c r="M409" s="3">
        <v>61.73</v>
      </c>
      <c r="N409" s="3">
        <v>119.99</v>
      </c>
      <c r="O409" s="2" t="s">
        <v>97</v>
      </c>
      <c r="P409" s="2" t="s">
        <v>119</v>
      </c>
      <c r="Q409" s="2" t="s">
        <v>99</v>
      </c>
      <c r="R409" s="2" t="s">
        <v>100</v>
      </c>
      <c r="S409" s="2" t="s">
        <v>1826</v>
      </c>
      <c r="T409" s="2" t="s">
        <v>280</v>
      </c>
      <c r="U409" s="2" t="s">
        <v>102</v>
      </c>
      <c r="V409" s="2" t="s">
        <v>239</v>
      </c>
      <c r="W409" s="2" t="s">
        <v>239</v>
      </c>
      <c r="X409" s="2" t="s">
        <v>281</v>
      </c>
      <c r="Y409" s="2" t="s">
        <v>240</v>
      </c>
      <c r="Z409" s="4">
        <v>181</v>
      </c>
      <c r="AA409" s="4">
        <f>=ROUNDDOWN(36.2,0)</f>
      </c>
      <c r="AB409" s="5">
        <v>5</v>
      </c>
      <c r="AC409" s="2" t="s">
        <v>241</v>
      </c>
      <c r="AD409" s="4">
        <v>1700</v>
      </c>
      <c r="AE409" s="4">
        <v>1790</v>
      </c>
      <c r="AF409" s="6">
        <v>65</v>
      </c>
      <c r="AG409" s="6"/>
      <c r="AH409" s="7">
        <v>0.893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151</v>
      </c>
      <c r="BK409" s="8">
        <v>9405.72</v>
      </c>
      <c r="BL409" s="2" t="s">
        <v>1827</v>
      </c>
      <c r="BM409" s="7"/>
      <c r="BN409" s="7"/>
      <c r="BO409" s="4"/>
      <c r="BP409" s="8"/>
      <c r="BQ409" s="4"/>
      <c r="BR409" s="8"/>
      <c r="BS409" s="7"/>
      <c r="BT409" s="7"/>
      <c r="BU409" s="2" t="s">
        <v>109</v>
      </c>
      <c r="BV409" s="2" t="s">
        <v>97</v>
      </c>
      <c r="BW409" s="2" t="s">
        <v>1085</v>
      </c>
      <c r="BX409" s="2" t="s">
        <v>1526</v>
      </c>
      <c r="BY409" s="2" t="s">
        <v>113</v>
      </c>
      <c r="BZ409" s="2" t="s">
        <v>100</v>
      </c>
    </row>
    <row r="410">
      <c r="A410" s="2" t="s">
        <v>1828</v>
      </c>
      <c r="B410" s="2" t="s">
        <v>87</v>
      </c>
      <c r="C410" s="2" t="s">
        <v>88</v>
      </c>
      <c r="D410" s="2" t="s">
        <v>1638</v>
      </c>
      <c r="E410" s="2" t="s">
        <v>1759</v>
      </c>
      <c r="F410" s="2" t="s">
        <v>450</v>
      </c>
      <c r="G410" s="2" t="s">
        <v>451</v>
      </c>
      <c r="H410" s="2" t="s">
        <v>452</v>
      </c>
      <c r="I410" s="2" t="s">
        <v>1822</v>
      </c>
      <c r="J410" s="2" t="s">
        <v>270</v>
      </c>
      <c r="K410" s="2" t="s">
        <v>921</v>
      </c>
      <c r="L410" s="3">
        <v>63.7</v>
      </c>
      <c r="M410" s="3">
        <v>66.88</v>
      </c>
      <c r="N410" s="3">
        <v>129.99</v>
      </c>
      <c r="O410" s="2" t="s">
        <v>97</v>
      </c>
      <c r="P410" s="2" t="s">
        <v>119</v>
      </c>
      <c r="Q410" s="2" t="s">
        <v>99</v>
      </c>
      <c r="R410" s="2" t="s">
        <v>100</v>
      </c>
      <c r="S410" s="2" t="s">
        <v>1826</v>
      </c>
      <c r="T410" s="2" t="s">
        <v>280</v>
      </c>
      <c r="U410" s="2" t="s">
        <v>102</v>
      </c>
      <c r="V410" s="2" t="s">
        <v>239</v>
      </c>
      <c r="W410" s="2" t="s">
        <v>239</v>
      </c>
      <c r="X410" s="2" t="s">
        <v>281</v>
      </c>
      <c r="Y410" s="2" t="s">
        <v>240</v>
      </c>
      <c r="Z410" s="4">
        <v>128</v>
      </c>
      <c r="AA410" s="4">
        <f>=ROUNDDOWN(32,0)</f>
      </c>
      <c r="AB410" s="5">
        <v>4</v>
      </c>
      <c r="AC410" s="2" t="s">
        <v>241</v>
      </c>
      <c r="AD410" s="4">
        <v>600</v>
      </c>
      <c r="AE410" s="4">
        <v>650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77</v>
      </c>
      <c r="BK410" s="8">
        <v>5240.55</v>
      </c>
      <c r="BL410" s="2" t="s">
        <v>1827</v>
      </c>
      <c r="BM410" s="7"/>
      <c r="BN410" s="7"/>
      <c r="BO410" s="4"/>
      <c r="BP410" s="8"/>
      <c r="BQ410" s="4"/>
      <c r="BR410" s="8"/>
      <c r="BS410" s="7"/>
      <c r="BT410" s="7"/>
      <c r="BU410" s="2" t="s">
        <v>109</v>
      </c>
      <c r="BV410" s="2" t="s">
        <v>97</v>
      </c>
      <c r="BW410" s="2" t="s">
        <v>1085</v>
      </c>
      <c r="BX410" s="2" t="s">
        <v>1829</v>
      </c>
      <c r="BY410" s="2" t="s">
        <v>113</v>
      </c>
      <c r="BZ410" s="2" t="s">
        <v>100</v>
      </c>
    </row>
    <row r="411">
      <c r="A411" s="2" t="s">
        <v>1830</v>
      </c>
      <c r="B411" s="2" t="s">
        <v>87</v>
      </c>
      <c r="C411" s="2" t="s">
        <v>88</v>
      </c>
      <c r="D411" s="2" t="s">
        <v>1638</v>
      </c>
      <c r="E411" s="2" t="s">
        <v>1759</v>
      </c>
      <c r="F411" s="2" t="s">
        <v>194</v>
      </c>
      <c r="G411" s="2" t="s">
        <v>195</v>
      </c>
      <c r="H411" s="2" t="s">
        <v>196</v>
      </c>
      <c r="I411" s="2" t="s">
        <v>1831</v>
      </c>
      <c r="J411" s="2" t="s">
        <v>247</v>
      </c>
      <c r="K411" s="2" t="s">
        <v>209</v>
      </c>
      <c r="L411" s="3">
        <v>53.9</v>
      </c>
      <c r="M411" s="3">
        <v>56.59</v>
      </c>
      <c r="N411" s="3">
        <v>109.99</v>
      </c>
      <c r="O411" s="2" t="s">
        <v>97</v>
      </c>
      <c r="P411" s="2" t="s">
        <v>119</v>
      </c>
      <c r="Q411" s="2" t="s">
        <v>99</v>
      </c>
      <c r="R411" s="2" t="s">
        <v>100</v>
      </c>
      <c r="S411" s="2" t="s">
        <v>1832</v>
      </c>
      <c r="T411" s="2" t="s">
        <v>100</v>
      </c>
      <c r="U411" s="2" t="s">
        <v>102</v>
      </c>
      <c r="V411" s="2" t="s">
        <v>201</v>
      </c>
      <c r="W411" s="2" t="s">
        <v>202</v>
      </c>
      <c r="X411" s="2" t="s">
        <v>203</v>
      </c>
      <c r="Y411" s="2" t="s">
        <v>464</v>
      </c>
      <c r="Z411" s="4">
        <v>312</v>
      </c>
      <c r="AA411" s="4">
        <f>=ROUNDDOWN(78,0)</f>
      </c>
      <c r="AB411" s="5">
        <v>4</v>
      </c>
      <c r="AC411" s="2" t="s">
        <v>100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136</v>
      </c>
      <c r="BK411" s="8">
        <v>7376.03</v>
      </c>
      <c r="BL411" s="2" t="s">
        <v>1833</v>
      </c>
      <c r="BM411" s="7"/>
      <c r="BN411" s="7"/>
      <c r="BO411" s="4"/>
      <c r="BP411" s="8"/>
      <c r="BQ411" s="4"/>
      <c r="BR411" s="8"/>
      <c r="BS411" s="7"/>
      <c r="BT411" s="7"/>
      <c r="BU411" s="2" t="s">
        <v>207</v>
      </c>
      <c r="BV411" s="2" t="s">
        <v>97</v>
      </c>
      <c r="BW411" s="2" t="s">
        <v>100</v>
      </c>
      <c r="BX411" s="2" t="s">
        <v>100</v>
      </c>
      <c r="BY411" s="2" t="s">
        <v>113</v>
      </c>
      <c r="BZ411" s="2" t="s">
        <v>100</v>
      </c>
    </row>
    <row r="412">
      <c r="A412" s="2" t="s">
        <v>1834</v>
      </c>
      <c r="B412" s="2" t="s">
        <v>87</v>
      </c>
      <c r="C412" s="2" t="s">
        <v>88</v>
      </c>
      <c r="D412" s="2" t="s">
        <v>1638</v>
      </c>
      <c r="E412" s="2" t="s">
        <v>1759</v>
      </c>
      <c r="F412" s="2" t="s">
        <v>194</v>
      </c>
      <c r="G412" s="2" t="s">
        <v>195</v>
      </c>
      <c r="H412" s="2" t="s">
        <v>196</v>
      </c>
      <c r="I412" s="2" t="s">
        <v>1831</v>
      </c>
      <c r="J412" s="2" t="s">
        <v>270</v>
      </c>
      <c r="K412" s="2" t="s">
        <v>209</v>
      </c>
      <c r="L412" s="3">
        <v>58.8</v>
      </c>
      <c r="M412" s="3">
        <v>61.73</v>
      </c>
      <c r="N412" s="3">
        <v>119.99</v>
      </c>
      <c r="O412" s="2" t="s">
        <v>97</v>
      </c>
      <c r="P412" s="2" t="s">
        <v>119</v>
      </c>
      <c r="Q412" s="2" t="s">
        <v>99</v>
      </c>
      <c r="R412" s="2" t="s">
        <v>100</v>
      </c>
      <c r="S412" s="2" t="s">
        <v>1832</v>
      </c>
      <c r="T412" s="2" t="s">
        <v>100</v>
      </c>
      <c r="U412" s="2" t="s">
        <v>102</v>
      </c>
      <c r="V412" s="2" t="s">
        <v>201</v>
      </c>
      <c r="W412" s="2" t="s">
        <v>202</v>
      </c>
      <c r="X412" s="2" t="s">
        <v>203</v>
      </c>
      <c r="Y412" s="2" t="s">
        <v>464</v>
      </c>
      <c r="Z412" s="4">
        <v>411</v>
      </c>
      <c r="AA412" s="4">
        <f>=ROUNDDOWN(102.75,0)</f>
      </c>
      <c r="AB412" s="5">
        <v>4</v>
      </c>
      <c r="AC412" s="2" t="s">
        <v>100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155</v>
      </c>
      <c r="BK412" s="8">
        <v>9361.06</v>
      </c>
      <c r="BL412" s="2" t="s">
        <v>1835</v>
      </c>
      <c r="BM412" s="7"/>
      <c r="BN412" s="7"/>
      <c r="BO412" s="4"/>
      <c r="BP412" s="8"/>
      <c r="BQ412" s="4"/>
      <c r="BR412" s="8"/>
      <c r="BS412" s="7"/>
      <c r="BT412" s="7"/>
      <c r="BU412" s="2" t="s">
        <v>207</v>
      </c>
      <c r="BV412" s="2" t="s">
        <v>97</v>
      </c>
      <c r="BW412" s="2" t="s">
        <v>100</v>
      </c>
      <c r="BX412" s="2" t="s">
        <v>100</v>
      </c>
      <c r="BY412" s="2" t="s">
        <v>113</v>
      </c>
      <c r="BZ412" s="2" t="s">
        <v>100</v>
      </c>
    </row>
    <row r="413">
      <c r="A413" s="2" t="s">
        <v>1836</v>
      </c>
      <c r="B413" s="2" t="s">
        <v>87</v>
      </c>
      <c r="C413" s="2" t="s">
        <v>88</v>
      </c>
      <c r="D413" s="2" t="s">
        <v>1638</v>
      </c>
      <c r="E413" s="2" t="s">
        <v>1759</v>
      </c>
      <c r="F413" s="2" t="s">
        <v>194</v>
      </c>
      <c r="G413" s="2" t="s">
        <v>195</v>
      </c>
      <c r="H413" s="2" t="s">
        <v>196</v>
      </c>
      <c r="I413" s="2" t="s">
        <v>1831</v>
      </c>
      <c r="J413" s="2" t="s">
        <v>247</v>
      </c>
      <c r="K413" s="2" t="s">
        <v>469</v>
      </c>
      <c r="L413" s="3">
        <v>53.9</v>
      </c>
      <c r="M413" s="3">
        <v>56.59</v>
      </c>
      <c r="N413" s="3">
        <v>109.99</v>
      </c>
      <c r="O413" s="2" t="s">
        <v>97</v>
      </c>
      <c r="P413" s="2" t="s">
        <v>119</v>
      </c>
      <c r="Q413" s="2" t="s">
        <v>99</v>
      </c>
      <c r="R413" s="2" t="s">
        <v>100</v>
      </c>
      <c r="S413" s="2" t="s">
        <v>100</v>
      </c>
      <c r="T413" s="2" t="s">
        <v>100</v>
      </c>
      <c r="U413" s="2" t="s">
        <v>102</v>
      </c>
      <c r="V413" s="2" t="s">
        <v>201</v>
      </c>
      <c r="W413" s="2" t="s">
        <v>202</v>
      </c>
      <c r="X413" s="2" t="s">
        <v>203</v>
      </c>
      <c r="Y413" s="2" t="s">
        <v>470</v>
      </c>
      <c r="Z413" s="4">
        <v>129</v>
      </c>
      <c r="AA413" s="4">
        <f>=ROUNDDOWN(43,0)</f>
      </c>
      <c r="AB413" s="5">
        <v>3</v>
      </c>
      <c r="AC413" s="2" t="s">
        <v>356</v>
      </c>
      <c r="AD413" s="4">
        <v>120</v>
      </c>
      <c r="AE413" s="4">
        <v>120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53</v>
      </c>
      <c r="BK413" s="8">
        <v>2705.19</v>
      </c>
      <c r="BL413" s="2" t="s">
        <v>1837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97</v>
      </c>
      <c r="BW413" s="2" t="s">
        <v>471</v>
      </c>
      <c r="BX413" s="2" t="s">
        <v>948</v>
      </c>
      <c r="BY413" s="2" t="s">
        <v>113</v>
      </c>
      <c r="BZ413" s="2" t="s">
        <v>100</v>
      </c>
    </row>
    <row r="414">
      <c r="A414" s="2" t="s">
        <v>1838</v>
      </c>
      <c r="B414" s="2" t="s">
        <v>87</v>
      </c>
      <c r="C414" s="2" t="s">
        <v>88</v>
      </c>
      <c r="D414" s="2" t="s">
        <v>1638</v>
      </c>
      <c r="E414" s="2" t="s">
        <v>1759</v>
      </c>
      <c r="F414" s="2" t="s">
        <v>194</v>
      </c>
      <c r="G414" s="2" t="s">
        <v>195</v>
      </c>
      <c r="H414" s="2" t="s">
        <v>196</v>
      </c>
      <c r="I414" s="2" t="s">
        <v>1831</v>
      </c>
      <c r="J414" s="2" t="s">
        <v>270</v>
      </c>
      <c r="K414" s="2" t="s">
        <v>469</v>
      </c>
      <c r="L414" s="3">
        <v>58.8</v>
      </c>
      <c r="M414" s="3">
        <v>61.73</v>
      </c>
      <c r="N414" s="3">
        <v>119.99</v>
      </c>
      <c r="O414" s="2" t="s">
        <v>97</v>
      </c>
      <c r="P414" s="2" t="s">
        <v>119</v>
      </c>
      <c r="Q414" s="2" t="s">
        <v>99</v>
      </c>
      <c r="R414" s="2" t="s">
        <v>100</v>
      </c>
      <c r="S414" s="2" t="s">
        <v>100</v>
      </c>
      <c r="T414" s="2" t="s">
        <v>100</v>
      </c>
      <c r="U414" s="2" t="s">
        <v>102</v>
      </c>
      <c r="V414" s="2" t="s">
        <v>201</v>
      </c>
      <c r="W414" s="2" t="s">
        <v>202</v>
      </c>
      <c r="X414" s="2" t="s">
        <v>203</v>
      </c>
      <c r="Y414" s="2" t="s">
        <v>470</v>
      </c>
      <c r="Z414" s="4">
        <v>189</v>
      </c>
      <c r="AA414" s="4">
        <f>=ROUNDDOWN(94.5,0)</f>
      </c>
      <c r="AB414" s="5">
        <v>2</v>
      </c>
      <c r="AC414" s="2" t="s">
        <v>356</v>
      </c>
      <c r="AD414" s="4">
        <v>90</v>
      </c>
      <c r="AE414" s="4">
        <v>90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41</v>
      </c>
      <c r="BK414" s="8">
        <v>2463.56</v>
      </c>
      <c r="BL414" s="2" t="s">
        <v>1839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97</v>
      </c>
      <c r="BW414" s="2" t="s">
        <v>471</v>
      </c>
      <c r="BX414" s="2" t="s">
        <v>1840</v>
      </c>
      <c r="BY414" s="2" t="s">
        <v>113</v>
      </c>
      <c r="BZ414" s="2" t="s">
        <v>100</v>
      </c>
    </row>
    <row r="415">
      <c r="A415" s="2" t="s">
        <v>1841</v>
      </c>
      <c r="B415" s="2" t="s">
        <v>87</v>
      </c>
      <c r="C415" s="2" t="s">
        <v>88</v>
      </c>
      <c r="D415" s="2" t="s">
        <v>1842</v>
      </c>
      <c r="E415" s="2" t="s">
        <v>1843</v>
      </c>
      <c r="F415" s="2" t="s">
        <v>213</v>
      </c>
      <c r="G415" s="2" t="s">
        <v>214</v>
      </c>
      <c r="H415" s="2" t="s">
        <v>215</v>
      </c>
      <c r="I415" s="2" t="s">
        <v>1844</v>
      </c>
      <c r="J415" s="2" t="s">
        <v>1845</v>
      </c>
      <c r="K415" s="2" t="s">
        <v>512</v>
      </c>
      <c r="L415" s="3">
        <v>19.2</v>
      </c>
      <c r="M415" s="3">
        <v>20.15</v>
      </c>
      <c r="N415" s="3">
        <v>39.99</v>
      </c>
      <c r="O415" s="2" t="s">
        <v>97</v>
      </c>
      <c r="P415" s="2" t="s">
        <v>119</v>
      </c>
      <c r="Q415" s="2" t="s">
        <v>99</v>
      </c>
      <c r="R415" s="2" t="s">
        <v>100</v>
      </c>
      <c r="S415" s="2" t="s">
        <v>1846</v>
      </c>
      <c r="T415" s="2" t="s">
        <v>218</v>
      </c>
      <c r="U415" s="2" t="s">
        <v>1847</v>
      </c>
      <c r="V415" s="2" t="s">
        <v>256</v>
      </c>
      <c r="W415" s="2" t="s">
        <v>219</v>
      </c>
      <c r="X415" s="2" t="s">
        <v>183</v>
      </c>
      <c r="Y415" s="2" t="s">
        <v>240</v>
      </c>
      <c r="Z415" s="4">
        <v>1359</v>
      </c>
      <c r="AA415" s="4">
        <f>=ROUNDDOWN(39.9705882352941,0)</f>
      </c>
      <c r="AB415" s="5">
        <v>34</v>
      </c>
      <c r="AC415" s="2" t="s">
        <v>872</v>
      </c>
      <c r="AD415" s="4">
        <v>500</v>
      </c>
      <c r="AE415" s="4">
        <v>500</v>
      </c>
      <c r="AF415" s="6">
        <v>64</v>
      </c>
      <c r="AG415" s="6"/>
      <c r="AH415" s="7">
        <v>0.8396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/>
      <c r="AP415" s="4">
        <v>44</v>
      </c>
      <c r="AQ415" s="8">
        <v>872.96</v>
      </c>
      <c r="AR415" s="4"/>
      <c r="AS415" s="8"/>
      <c r="AT415" s="7"/>
      <c r="AU415" s="7"/>
      <c r="AV415" s="4">
        <v>44</v>
      </c>
      <c r="AW415" s="8">
        <v>872.96</v>
      </c>
      <c r="AX415" s="4"/>
      <c r="AY415" s="8"/>
      <c r="AZ415" s="7"/>
      <c r="BA415" s="7"/>
      <c r="BB415" s="7">
        <v>1</v>
      </c>
      <c r="BC415" s="4">
        <v>44</v>
      </c>
      <c r="BD415" s="8">
        <v>872.96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>
        <v>1</v>
      </c>
      <c r="BJ415" s="4">
        <v>805</v>
      </c>
      <c r="BK415" s="8">
        <v>16142.29</v>
      </c>
      <c r="BL415" s="2" t="s">
        <v>1848</v>
      </c>
      <c r="BM415" s="7">
        <v>0.0547</v>
      </c>
      <c r="BN415" s="7">
        <v>0.0541</v>
      </c>
      <c r="BO415" s="4">
        <v>44</v>
      </c>
      <c r="BP415" s="8">
        <v>872.96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750</v>
      </c>
      <c r="BX415" s="2" t="s">
        <v>1849</v>
      </c>
      <c r="BY415" s="2" t="s">
        <v>113</v>
      </c>
      <c r="BZ415" s="2" t="s">
        <v>100</v>
      </c>
    </row>
    <row r="416">
      <c r="A416" s="2" t="s">
        <v>1850</v>
      </c>
      <c r="B416" s="2" t="s">
        <v>87</v>
      </c>
      <c r="C416" s="2" t="s">
        <v>88</v>
      </c>
      <c r="D416" s="2" t="s">
        <v>1842</v>
      </c>
      <c r="E416" s="2" t="s">
        <v>1843</v>
      </c>
      <c r="F416" s="2" t="s">
        <v>213</v>
      </c>
      <c r="G416" s="2" t="s">
        <v>214</v>
      </c>
      <c r="H416" s="2" t="s">
        <v>215</v>
      </c>
      <c r="I416" s="2" t="s">
        <v>1844</v>
      </c>
      <c r="J416" s="2" t="s">
        <v>1845</v>
      </c>
      <c r="K416" s="2" t="s">
        <v>118</v>
      </c>
      <c r="L416" s="3">
        <v>19.2</v>
      </c>
      <c r="M416" s="3">
        <v>20.15</v>
      </c>
      <c r="N416" s="3">
        <v>39.99</v>
      </c>
      <c r="O416" s="2" t="s">
        <v>97</v>
      </c>
      <c r="P416" s="2" t="s">
        <v>119</v>
      </c>
      <c r="Q416" s="2" t="s">
        <v>99</v>
      </c>
      <c r="R416" s="2" t="s">
        <v>100</v>
      </c>
      <c r="S416" s="2" t="s">
        <v>217</v>
      </c>
      <c r="T416" s="2" t="s">
        <v>218</v>
      </c>
      <c r="U416" s="2" t="s">
        <v>1847</v>
      </c>
      <c r="V416" s="2" t="s">
        <v>146</v>
      </c>
      <c r="W416" s="2" t="s">
        <v>219</v>
      </c>
      <c r="X416" s="2" t="s">
        <v>183</v>
      </c>
      <c r="Y416" s="2" t="s">
        <v>221</v>
      </c>
      <c r="Z416" s="4">
        <v>632</v>
      </c>
      <c r="AA416" s="4">
        <f>=ROUNDDOWN(24.3076923076923,0)</f>
      </c>
      <c r="AB416" s="5">
        <v>26</v>
      </c>
      <c r="AC416" s="2" t="s">
        <v>222</v>
      </c>
      <c r="AD416" s="4">
        <v>450</v>
      </c>
      <c r="AE416" s="4">
        <v>450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350</v>
      </c>
      <c r="BK416" s="8">
        <v>7242.66</v>
      </c>
      <c r="BL416" s="2" t="s">
        <v>1827</v>
      </c>
      <c r="BM416" s="7"/>
      <c r="BN416" s="7"/>
      <c r="BO416" s="4"/>
      <c r="BP416" s="8"/>
      <c r="BQ416" s="4"/>
      <c r="BR416" s="8"/>
      <c r="BS416" s="7"/>
      <c r="BT416" s="7"/>
      <c r="BU416" s="2" t="s">
        <v>207</v>
      </c>
      <c r="BV416" s="2" t="s">
        <v>97</v>
      </c>
      <c r="BW416" s="2" t="s">
        <v>100</v>
      </c>
      <c r="BX416" s="2" t="s">
        <v>100</v>
      </c>
      <c r="BY416" s="2" t="s">
        <v>113</v>
      </c>
      <c r="BZ416" s="2" t="s">
        <v>100</v>
      </c>
    </row>
    <row r="417">
      <c r="A417" s="2" t="s">
        <v>1851</v>
      </c>
      <c r="B417" s="2" t="s">
        <v>87</v>
      </c>
      <c r="C417" s="2" t="s">
        <v>88</v>
      </c>
      <c r="D417" s="2" t="s">
        <v>1842</v>
      </c>
      <c r="E417" s="2" t="s">
        <v>1843</v>
      </c>
      <c r="F417" s="2" t="s">
        <v>450</v>
      </c>
      <c r="G417" s="2" t="s">
        <v>451</v>
      </c>
      <c r="H417" s="2" t="s">
        <v>452</v>
      </c>
      <c r="I417" s="2" t="s">
        <v>1852</v>
      </c>
      <c r="J417" s="2" t="s">
        <v>1853</v>
      </c>
      <c r="K417" s="2" t="s">
        <v>921</v>
      </c>
      <c r="L417" s="3">
        <v>19.2</v>
      </c>
      <c r="M417" s="3">
        <v>20.15</v>
      </c>
      <c r="N417" s="3">
        <v>39.99</v>
      </c>
      <c r="O417" s="2" t="s">
        <v>97</v>
      </c>
      <c r="P417" s="2" t="s">
        <v>119</v>
      </c>
      <c r="Q417" s="2" t="s">
        <v>99</v>
      </c>
      <c r="R417" s="2" t="s">
        <v>100</v>
      </c>
      <c r="S417" s="2" t="s">
        <v>1826</v>
      </c>
      <c r="T417" s="2" t="s">
        <v>100</v>
      </c>
      <c r="U417" s="2" t="s">
        <v>100</v>
      </c>
      <c r="V417" s="2" t="s">
        <v>239</v>
      </c>
      <c r="W417" s="2" t="s">
        <v>239</v>
      </c>
      <c r="X417" s="2" t="s">
        <v>100</v>
      </c>
      <c r="Y417" s="2" t="s">
        <v>240</v>
      </c>
      <c r="Z417" s="4">
        <v>975</v>
      </c>
      <c r="AA417" s="4">
        <f>=ROUNDDOWN(22.1590909090909,0)</f>
      </c>
      <c r="AB417" s="5">
        <v>44</v>
      </c>
      <c r="AC417" s="2" t="s">
        <v>241</v>
      </c>
      <c r="AD417" s="4">
        <v>500</v>
      </c>
      <c r="AE417" s="4">
        <v>1500</v>
      </c>
      <c r="AF417" s="6">
        <v>64</v>
      </c>
      <c r="AG417" s="6"/>
      <c r="AH417" s="7">
        <v>0.8342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>
        <v>34</v>
      </c>
      <c r="AQ417" s="8">
        <v>674.9</v>
      </c>
      <c r="AR417" s="4"/>
      <c r="AS417" s="8"/>
      <c r="AT417" s="7"/>
      <c r="AU417" s="7"/>
      <c r="AV417" s="4">
        <v>34</v>
      </c>
      <c r="AW417" s="8">
        <v>674.9</v>
      </c>
      <c r="AX417" s="4"/>
      <c r="AY417" s="8"/>
      <c r="AZ417" s="7"/>
      <c r="BA417" s="7"/>
      <c r="BB417" s="7">
        <v>1</v>
      </c>
      <c r="BC417" s="4">
        <v>34</v>
      </c>
      <c r="BD417" s="8">
        <v>674.9</v>
      </c>
      <c r="BE417" s="4"/>
      <c r="BF417" s="8"/>
      <c r="BG417" s="7"/>
      <c r="BH417" s="7"/>
      <c r="BI417" s="7">
        <v>1</v>
      </c>
      <c r="BJ417" s="4">
        <v>1199</v>
      </c>
      <c r="BK417" s="8">
        <v>24105.68</v>
      </c>
      <c r="BL417" s="2" t="s">
        <v>1854</v>
      </c>
      <c r="BM417" s="7">
        <v>0.0284</v>
      </c>
      <c r="BN417" s="7">
        <v>0.028</v>
      </c>
      <c r="BO417" s="4">
        <v>34</v>
      </c>
      <c r="BP417" s="8">
        <v>674.9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1796</v>
      </c>
      <c r="BX417" s="2" t="s">
        <v>1855</v>
      </c>
      <c r="BY417" s="2" t="s">
        <v>113</v>
      </c>
      <c r="BZ417" s="2" t="s">
        <v>100</v>
      </c>
    </row>
    <row r="418">
      <c r="A418" s="2" t="s">
        <v>1856</v>
      </c>
      <c r="B418" s="2" t="s">
        <v>87</v>
      </c>
      <c r="C418" s="2" t="s">
        <v>88</v>
      </c>
      <c r="D418" s="2" t="s">
        <v>1857</v>
      </c>
      <c r="E418" s="2" t="s">
        <v>1858</v>
      </c>
      <c r="F418" s="2" t="s">
        <v>1859</v>
      </c>
      <c r="G418" s="2" t="s">
        <v>1859</v>
      </c>
      <c r="H418" s="2" t="s">
        <v>1859</v>
      </c>
      <c r="I418" s="2" t="s">
        <v>1860</v>
      </c>
      <c r="J418" s="2" t="s">
        <v>1861</v>
      </c>
      <c r="K418" s="2" t="s">
        <v>189</v>
      </c>
      <c r="L418" s="3">
        <v>6.4</v>
      </c>
      <c r="M418" s="3">
        <v>6.72</v>
      </c>
      <c r="N418" s="3">
        <v>15.99</v>
      </c>
      <c r="O418" s="2" t="s">
        <v>97</v>
      </c>
      <c r="P418" s="2" t="s">
        <v>119</v>
      </c>
      <c r="Q418" s="2" t="s">
        <v>99</v>
      </c>
      <c r="R418" s="2" t="s">
        <v>100</v>
      </c>
      <c r="S418" s="2" t="s">
        <v>1862</v>
      </c>
      <c r="T418" s="2" t="s">
        <v>100</v>
      </c>
      <c r="U418" s="2" t="s">
        <v>1847</v>
      </c>
      <c r="V418" s="2" t="s">
        <v>146</v>
      </c>
      <c r="W418" s="2" t="s">
        <v>561</v>
      </c>
      <c r="X418" s="2" t="s">
        <v>100</v>
      </c>
      <c r="Y418" s="2" t="s">
        <v>1863</v>
      </c>
      <c r="Z418" s="4">
        <v>241</v>
      </c>
      <c r="AA418" s="4">
        <f>=ROUNDDOWN(4.72549019607843,0)</f>
      </c>
      <c r="AB418" s="5">
        <v>51</v>
      </c>
      <c r="AC418" s="2" t="s">
        <v>184</v>
      </c>
      <c r="AD418" s="4">
        <v>300</v>
      </c>
      <c r="AE418" s="4">
        <v>1146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>
        <v>15</v>
      </c>
      <c r="AQ418" s="8">
        <v>103.95</v>
      </c>
      <c r="AR418" s="4"/>
      <c r="AS418" s="8"/>
      <c r="AT418" s="7"/>
      <c r="AU418" s="7"/>
      <c r="AV418" s="4">
        <v>15</v>
      </c>
      <c r="AW418" s="8">
        <v>103.95</v>
      </c>
      <c r="AX418" s="4"/>
      <c r="AY418" s="8"/>
      <c r="AZ418" s="7"/>
      <c r="BA418" s="7"/>
      <c r="BB418" s="7">
        <v>1</v>
      </c>
      <c r="BC418" s="4">
        <v>15</v>
      </c>
      <c r="BD418" s="8">
        <v>103.95</v>
      </c>
      <c r="BE418" s="4"/>
      <c r="BF418" s="8"/>
      <c r="BG418" s="7"/>
      <c r="BH418" s="7"/>
      <c r="BI418" s="7">
        <v>1</v>
      </c>
      <c r="BJ418" s="4">
        <v>1470</v>
      </c>
      <c r="BK418" s="8">
        <v>10165.03</v>
      </c>
      <c r="BL418" s="2" t="s">
        <v>1864</v>
      </c>
      <c r="BM418" s="7">
        <v>0.0102</v>
      </c>
      <c r="BN418" s="7">
        <v>0.0102</v>
      </c>
      <c r="BO418" s="4">
        <v>15</v>
      </c>
      <c r="BP418" s="8">
        <v>103.95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500</v>
      </c>
      <c r="BX418" s="2" t="s">
        <v>1865</v>
      </c>
      <c r="BY418" s="2" t="s">
        <v>113</v>
      </c>
      <c r="BZ418" s="2" t="s">
        <v>100</v>
      </c>
    </row>
    <row r="419">
      <c r="A419" s="2" t="s">
        <v>1866</v>
      </c>
      <c r="B419" s="2" t="s">
        <v>87</v>
      </c>
      <c r="C419" s="2" t="s">
        <v>1867</v>
      </c>
      <c r="D419" s="2" t="s">
        <v>803</v>
      </c>
      <c r="E419" s="2" t="s">
        <v>1868</v>
      </c>
      <c r="F419" s="2" t="s">
        <v>1869</v>
      </c>
      <c r="G419" s="2" t="s">
        <v>1870</v>
      </c>
      <c r="H419" s="2" t="s">
        <v>1871</v>
      </c>
      <c r="I419" s="2" t="s">
        <v>1872</v>
      </c>
      <c r="J419" s="2" t="s">
        <v>706</v>
      </c>
      <c r="K419" s="2" t="s">
        <v>360</v>
      </c>
      <c r="L419" s="3">
        <v>100</v>
      </c>
      <c r="M419" s="3">
        <v>104.99</v>
      </c>
      <c r="N419" s="3">
        <v>199.99</v>
      </c>
      <c r="O419" s="2" t="s">
        <v>97</v>
      </c>
      <c r="P419" s="2" t="s">
        <v>119</v>
      </c>
      <c r="Q419" s="2" t="s">
        <v>99</v>
      </c>
      <c r="R419" s="2" t="s">
        <v>100</v>
      </c>
      <c r="S419" s="2" t="s">
        <v>1873</v>
      </c>
      <c r="T419" s="2" t="s">
        <v>100</v>
      </c>
      <c r="U419" s="2" t="s">
        <v>1874</v>
      </c>
      <c r="V419" s="2" t="s">
        <v>434</v>
      </c>
      <c r="W419" s="2" t="s">
        <v>309</v>
      </c>
      <c r="X419" s="2" t="s">
        <v>404</v>
      </c>
      <c r="Y419" s="2" t="s">
        <v>1875</v>
      </c>
      <c r="Z419" s="4">
        <v>476</v>
      </c>
      <c r="AA419" s="4">
        <f>=ROUNDDOWN(29.75,0)</f>
      </c>
      <c r="AB419" s="5">
        <v>16</v>
      </c>
      <c r="AC419" s="2" t="s">
        <v>1115</v>
      </c>
      <c r="AD419" s="4">
        <v>100</v>
      </c>
      <c r="AE419" s="4">
        <v>310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>
        <v>44</v>
      </c>
      <c r="AQ419" s="8">
        <v>4366.12</v>
      </c>
      <c r="AR419" s="4"/>
      <c r="AS419" s="8"/>
      <c r="AT419" s="7"/>
      <c r="AU419" s="7"/>
      <c r="AV419" s="4">
        <v>58</v>
      </c>
      <c r="AW419" s="8">
        <v>5909.62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0.7388</v>
      </c>
      <c r="BC419" s="4">
        <v>67</v>
      </c>
      <c r="BD419" s="8">
        <v>6835.75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0.8645</v>
      </c>
      <c r="BJ419" s="4">
        <v>424</v>
      </c>
      <c r="BK419" s="8">
        <v>43996.76</v>
      </c>
      <c r="BL419" s="2" t="s">
        <v>1876</v>
      </c>
      <c r="BM419" s="7">
        <v>0.1038</v>
      </c>
      <c r="BN419" s="7">
        <v>0.0992</v>
      </c>
      <c r="BO419" s="4">
        <v>44</v>
      </c>
      <c r="BP419" s="8">
        <v>4366.12</v>
      </c>
      <c r="BQ419" s="4"/>
      <c r="BR419" s="8"/>
      <c r="BS419" s="7"/>
      <c r="BT419" s="7"/>
      <c r="BU419" s="2" t="s">
        <v>109</v>
      </c>
      <c r="BV419" s="2" t="s">
        <v>110</v>
      </c>
      <c r="BW419" s="2" t="s">
        <v>150</v>
      </c>
      <c r="BX419" s="2" t="s">
        <v>1543</v>
      </c>
      <c r="BY419" s="2" t="s">
        <v>113</v>
      </c>
      <c r="BZ419" s="2" t="s">
        <v>100</v>
      </c>
    </row>
    <row r="420">
      <c r="A420" s="2" t="s">
        <v>1877</v>
      </c>
      <c r="B420" s="2" t="s">
        <v>87</v>
      </c>
      <c r="C420" s="2" t="s">
        <v>1867</v>
      </c>
      <c r="D420" s="2" t="s">
        <v>803</v>
      </c>
      <c r="E420" s="2" t="s">
        <v>1868</v>
      </c>
      <c r="F420" s="2" t="s">
        <v>1869</v>
      </c>
      <c r="G420" s="2" t="s">
        <v>1870</v>
      </c>
      <c r="H420" s="2" t="s">
        <v>1871</v>
      </c>
      <c r="I420" s="2" t="s">
        <v>1872</v>
      </c>
      <c r="J420" s="2" t="s">
        <v>817</v>
      </c>
      <c r="K420" s="2" t="s">
        <v>360</v>
      </c>
      <c r="L420" s="3">
        <v>110</v>
      </c>
      <c r="M420" s="3">
        <v>115.49</v>
      </c>
      <c r="N420" s="3">
        <v>219.99</v>
      </c>
      <c r="O420" s="2" t="s">
        <v>97</v>
      </c>
      <c r="P420" s="2" t="s">
        <v>119</v>
      </c>
      <c r="Q420" s="2" t="s">
        <v>99</v>
      </c>
      <c r="R420" s="2" t="s">
        <v>100</v>
      </c>
      <c r="S420" s="2" t="s">
        <v>1873</v>
      </c>
      <c r="T420" s="2" t="s">
        <v>100</v>
      </c>
      <c r="U420" s="2" t="s">
        <v>1874</v>
      </c>
      <c r="V420" s="2" t="s">
        <v>434</v>
      </c>
      <c r="W420" s="2" t="s">
        <v>309</v>
      </c>
      <c r="X420" s="2" t="s">
        <v>404</v>
      </c>
      <c r="Y420" s="2" t="s">
        <v>1875</v>
      </c>
      <c r="Z420" s="4">
        <v>124</v>
      </c>
      <c r="AA420" s="4">
        <f>=ROUNDDOWN(17.7142857142857,0)</f>
      </c>
      <c r="AB420" s="5">
        <v>7</v>
      </c>
      <c r="AC420" s="2" t="s">
        <v>1115</v>
      </c>
      <c r="AD420" s="4">
        <v>40</v>
      </c>
      <c r="AE420" s="4">
        <v>160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>
        <v>14</v>
      </c>
      <c r="AQ420" s="8">
        <v>1543.5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0.2612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235</v>
      </c>
      <c r="BK420" s="8">
        <v>27287.79</v>
      </c>
      <c r="BL420" s="2" t="s">
        <v>1878</v>
      </c>
      <c r="BM420" s="7">
        <v>0.0596</v>
      </c>
      <c r="BN420" s="7">
        <v>0.0566</v>
      </c>
      <c r="BO420" s="4">
        <v>14</v>
      </c>
      <c r="BP420" s="8">
        <v>1543.5</v>
      </c>
      <c r="BQ420" s="4"/>
      <c r="BR420" s="8"/>
      <c r="BS420" s="7"/>
      <c r="BT420" s="7"/>
      <c r="BU420" s="2" t="s">
        <v>109</v>
      </c>
      <c r="BV420" s="2" t="s">
        <v>110</v>
      </c>
      <c r="BW420" s="2" t="s">
        <v>150</v>
      </c>
      <c r="BX420" s="2" t="s">
        <v>1879</v>
      </c>
      <c r="BY420" s="2" t="s">
        <v>113</v>
      </c>
      <c r="BZ420" s="2" t="s">
        <v>100</v>
      </c>
    </row>
    <row r="421">
      <c r="A421" s="2" t="s">
        <v>1880</v>
      </c>
      <c r="B421" s="2" t="s">
        <v>87</v>
      </c>
      <c r="C421" s="2" t="s">
        <v>1867</v>
      </c>
      <c r="D421" s="2" t="s">
        <v>803</v>
      </c>
      <c r="E421" s="2" t="s">
        <v>1868</v>
      </c>
      <c r="F421" s="2" t="s">
        <v>1869</v>
      </c>
      <c r="G421" s="2" t="s">
        <v>1870</v>
      </c>
      <c r="H421" s="2" t="s">
        <v>1871</v>
      </c>
      <c r="I421" s="2" t="s">
        <v>1872</v>
      </c>
      <c r="J421" s="2" t="s">
        <v>706</v>
      </c>
      <c r="K421" s="2" t="s">
        <v>469</v>
      </c>
      <c r="L421" s="3">
        <v>100</v>
      </c>
      <c r="M421" s="3">
        <v>104.99</v>
      </c>
      <c r="N421" s="3">
        <v>199.99</v>
      </c>
      <c r="O421" s="2" t="s">
        <v>97</v>
      </c>
      <c r="P421" s="2" t="s">
        <v>98</v>
      </c>
      <c r="Q421" s="2" t="s">
        <v>99</v>
      </c>
      <c r="R421" s="2" t="s">
        <v>100</v>
      </c>
      <c r="S421" s="2" t="s">
        <v>1881</v>
      </c>
      <c r="T421" s="2" t="s">
        <v>100</v>
      </c>
      <c r="U421" s="2" t="s">
        <v>1874</v>
      </c>
      <c r="V421" s="2" t="s">
        <v>434</v>
      </c>
      <c r="W421" s="2" t="s">
        <v>309</v>
      </c>
      <c r="X421" s="2" t="s">
        <v>404</v>
      </c>
      <c r="Y421" s="2" t="s">
        <v>1863</v>
      </c>
      <c r="Z421" s="4">
        <v>261</v>
      </c>
      <c r="AA421" s="4">
        <f>=ROUNDDOWN(16.3125,0)</f>
      </c>
      <c r="AB421" s="5">
        <v>16</v>
      </c>
      <c r="AC421" s="2" t="s">
        <v>417</v>
      </c>
      <c r="AD421" s="4">
        <v>280</v>
      </c>
      <c r="AE421" s="4">
        <v>280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>
        <v>6</v>
      </c>
      <c r="AQ421" s="8">
        <v>595.38</v>
      </c>
      <c r="AR421" s="4"/>
      <c r="AS421" s="8"/>
      <c r="AT421" s="7"/>
      <c r="AU421" s="7"/>
      <c r="AV421" s="4">
        <v>9</v>
      </c>
      <c r="AW421" s="8">
        <v>926.13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0.6429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0.1355</v>
      </c>
      <c r="BJ421" s="4">
        <v>424</v>
      </c>
      <c r="BK421" s="8">
        <v>45314.12</v>
      </c>
      <c r="BL421" s="2" t="s">
        <v>1882</v>
      </c>
      <c r="BM421" s="7">
        <v>0.0142</v>
      </c>
      <c r="BN421" s="7">
        <v>0.0131</v>
      </c>
      <c r="BO421" s="4">
        <v>6</v>
      </c>
      <c r="BP421" s="8">
        <v>595.38</v>
      </c>
      <c r="BQ421" s="4"/>
      <c r="BR421" s="8"/>
      <c r="BS421" s="7"/>
      <c r="BT421" s="7"/>
      <c r="BU421" s="2" t="s">
        <v>109</v>
      </c>
      <c r="BV421" s="2" t="s">
        <v>110</v>
      </c>
      <c r="BW421" s="2" t="s">
        <v>1883</v>
      </c>
      <c r="BX421" s="2" t="s">
        <v>1884</v>
      </c>
      <c r="BY421" s="2" t="s">
        <v>113</v>
      </c>
      <c r="BZ421" s="2" t="s">
        <v>100</v>
      </c>
    </row>
    <row r="422">
      <c r="A422" s="2" t="s">
        <v>1885</v>
      </c>
      <c r="B422" s="2" t="s">
        <v>87</v>
      </c>
      <c r="C422" s="2" t="s">
        <v>1867</v>
      </c>
      <c r="D422" s="2" t="s">
        <v>803</v>
      </c>
      <c r="E422" s="2" t="s">
        <v>1868</v>
      </c>
      <c r="F422" s="2" t="s">
        <v>1869</v>
      </c>
      <c r="G422" s="2" t="s">
        <v>1870</v>
      </c>
      <c r="H422" s="2" t="s">
        <v>1871</v>
      </c>
      <c r="I422" s="2" t="s">
        <v>1872</v>
      </c>
      <c r="J422" s="2" t="s">
        <v>817</v>
      </c>
      <c r="K422" s="2" t="s">
        <v>469</v>
      </c>
      <c r="L422" s="3">
        <v>110</v>
      </c>
      <c r="M422" s="3">
        <v>115.49</v>
      </c>
      <c r="N422" s="3">
        <v>219.99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1881</v>
      </c>
      <c r="T422" s="2" t="s">
        <v>100</v>
      </c>
      <c r="U422" s="2" t="s">
        <v>1874</v>
      </c>
      <c r="V422" s="2" t="s">
        <v>434</v>
      </c>
      <c r="W422" s="2" t="s">
        <v>309</v>
      </c>
      <c r="X422" s="2" t="s">
        <v>404</v>
      </c>
      <c r="Y422" s="2" t="s">
        <v>1863</v>
      </c>
      <c r="Z422" s="4">
        <v>333</v>
      </c>
      <c r="AA422" s="4">
        <f>=ROUNDDOWN(47.5714285714286,0)</f>
      </c>
      <c r="AB422" s="5">
        <v>7</v>
      </c>
      <c r="AC422" s="2" t="s">
        <v>100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>
        <v>3</v>
      </c>
      <c r="AQ422" s="8">
        <v>330.75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0.3571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166</v>
      </c>
      <c r="BK422" s="8">
        <v>19376.86</v>
      </c>
      <c r="BL422" s="2" t="s">
        <v>1886</v>
      </c>
      <c r="BM422" s="7">
        <v>0.0181</v>
      </c>
      <c r="BN422" s="7">
        <v>0.0171</v>
      </c>
      <c r="BO422" s="4">
        <v>3</v>
      </c>
      <c r="BP422" s="8">
        <v>330.75</v>
      </c>
      <c r="BQ422" s="4"/>
      <c r="BR422" s="8"/>
      <c r="BS422" s="7"/>
      <c r="BT422" s="7"/>
      <c r="BU422" s="2" t="s">
        <v>109</v>
      </c>
      <c r="BV422" s="2" t="s">
        <v>110</v>
      </c>
      <c r="BW422" s="2" t="s">
        <v>1883</v>
      </c>
      <c r="BX422" s="2" t="s">
        <v>1887</v>
      </c>
      <c r="BY422" s="2" t="s">
        <v>113</v>
      </c>
      <c r="BZ422" s="2" t="s">
        <v>100</v>
      </c>
    </row>
    <row r="423">
      <c r="A423" s="2" t="s">
        <v>1888</v>
      </c>
      <c r="B423" s="2" t="s">
        <v>87</v>
      </c>
      <c r="C423" s="2" t="s">
        <v>1867</v>
      </c>
      <c r="D423" s="2" t="s">
        <v>803</v>
      </c>
      <c r="E423" s="2" t="s">
        <v>1868</v>
      </c>
      <c r="F423" s="2" t="s">
        <v>1889</v>
      </c>
      <c r="G423" s="2" t="s">
        <v>1890</v>
      </c>
      <c r="H423" s="2" t="s">
        <v>1891</v>
      </c>
      <c r="I423" s="2" t="s">
        <v>1872</v>
      </c>
      <c r="J423" s="2" t="s">
        <v>706</v>
      </c>
      <c r="K423" s="2" t="s">
        <v>993</v>
      </c>
      <c r="L423" s="3">
        <v>88.19</v>
      </c>
      <c r="M423" s="3">
        <v>92.6</v>
      </c>
      <c r="N423" s="3">
        <v>179.99</v>
      </c>
      <c r="O423" s="2" t="s">
        <v>97</v>
      </c>
      <c r="P423" s="2" t="s">
        <v>98</v>
      </c>
      <c r="Q423" s="2" t="s">
        <v>99</v>
      </c>
      <c r="R423" s="2" t="s">
        <v>100</v>
      </c>
      <c r="S423" s="2" t="s">
        <v>1892</v>
      </c>
      <c r="T423" s="2" t="s">
        <v>100</v>
      </c>
      <c r="U423" s="2" t="s">
        <v>1874</v>
      </c>
      <c r="V423" s="2" t="s">
        <v>146</v>
      </c>
      <c r="W423" s="2" t="s">
        <v>104</v>
      </c>
      <c r="X423" s="2" t="s">
        <v>1893</v>
      </c>
      <c r="Y423" s="2" t="s">
        <v>1863</v>
      </c>
      <c r="Z423" s="4">
        <v>615</v>
      </c>
      <c r="AA423" s="4">
        <f>=ROUNDDOWN(15,0)</f>
      </c>
      <c r="AB423" s="5">
        <v>41</v>
      </c>
      <c r="AC423" s="2" t="s">
        <v>562</v>
      </c>
      <c r="AD423" s="4">
        <v>400</v>
      </c>
      <c r="AE423" s="4">
        <v>800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>
        <v>2</v>
      </c>
      <c r="AQ423" s="8">
        <v>198.46</v>
      </c>
      <c r="AR423" s="4"/>
      <c r="AS423" s="8"/>
      <c r="AT423" s="7"/>
      <c r="AU423" s="7"/>
      <c r="AV423" s="4">
        <v>23</v>
      </c>
      <c r="AW423" s="8">
        <v>2513.71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0.079</v>
      </c>
      <c r="BC423" s="4">
        <v>64</v>
      </c>
      <c r="BD423" s="8">
        <v>6703.36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>
        <v>0.375</v>
      </c>
      <c r="BJ423" s="4">
        <v>738</v>
      </c>
      <c r="BK423" s="8">
        <v>72601.36</v>
      </c>
      <c r="BL423" s="2" t="s">
        <v>1894</v>
      </c>
      <c r="BM423" s="7">
        <v>0.0027</v>
      </c>
      <c r="BN423" s="7">
        <v>0.0027</v>
      </c>
      <c r="BO423" s="4">
        <v>2</v>
      </c>
      <c r="BP423" s="8">
        <v>198.46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1883</v>
      </c>
      <c r="BX423" s="2" t="s">
        <v>1895</v>
      </c>
      <c r="BY423" s="2" t="s">
        <v>113</v>
      </c>
      <c r="BZ423" s="2" t="s">
        <v>100</v>
      </c>
    </row>
    <row r="424">
      <c r="A424" s="2" t="s">
        <v>1896</v>
      </c>
      <c r="B424" s="2" t="s">
        <v>87</v>
      </c>
      <c r="C424" s="2" t="s">
        <v>1867</v>
      </c>
      <c r="D424" s="2" t="s">
        <v>803</v>
      </c>
      <c r="E424" s="2" t="s">
        <v>1868</v>
      </c>
      <c r="F424" s="2" t="s">
        <v>1889</v>
      </c>
      <c r="G424" s="2" t="s">
        <v>1890</v>
      </c>
      <c r="H424" s="2" t="s">
        <v>1891</v>
      </c>
      <c r="I424" s="2" t="s">
        <v>1897</v>
      </c>
      <c r="J424" s="2" t="s">
        <v>714</v>
      </c>
      <c r="K424" s="2" t="s">
        <v>993</v>
      </c>
      <c r="L424" s="3">
        <v>98.99</v>
      </c>
      <c r="M424" s="3">
        <v>103.94</v>
      </c>
      <c r="N424" s="3">
        <v>199.99</v>
      </c>
      <c r="O424" s="2" t="s">
        <v>97</v>
      </c>
      <c r="P424" s="2" t="s">
        <v>98</v>
      </c>
      <c r="Q424" s="2" t="s">
        <v>99</v>
      </c>
      <c r="R424" s="2" t="s">
        <v>100</v>
      </c>
      <c r="S424" s="2" t="s">
        <v>1892</v>
      </c>
      <c r="T424" s="2" t="s">
        <v>100</v>
      </c>
      <c r="U424" s="2" t="s">
        <v>1874</v>
      </c>
      <c r="V424" s="2" t="s">
        <v>146</v>
      </c>
      <c r="W424" s="2" t="s">
        <v>104</v>
      </c>
      <c r="X424" s="2" t="s">
        <v>1893</v>
      </c>
      <c r="Y424" s="2" t="s">
        <v>1863</v>
      </c>
      <c r="Z424" s="4">
        <v>643</v>
      </c>
      <c r="AA424" s="4">
        <f>=ROUNDDOWN(26.7916666666667,0)</f>
      </c>
      <c r="AB424" s="5">
        <v>24</v>
      </c>
      <c r="AC424" s="2" t="s">
        <v>148</v>
      </c>
      <c r="AD424" s="4">
        <v>150</v>
      </c>
      <c r="AE424" s="4">
        <v>150</v>
      </c>
      <c r="AF424" s="6">
        <v>64</v>
      </c>
      <c r="AG424" s="6">
        <v>47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>
        <v>14</v>
      </c>
      <c r="AQ424" s="8">
        <v>1543.5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0.614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544</v>
      </c>
      <c r="BK424" s="8">
        <v>60901.82</v>
      </c>
      <c r="BL424" s="2" t="s">
        <v>1898</v>
      </c>
      <c r="BM424" s="7">
        <v>0.0257</v>
      </c>
      <c r="BN424" s="7">
        <v>0.0253</v>
      </c>
      <c r="BO424" s="4">
        <v>14</v>
      </c>
      <c r="BP424" s="8">
        <v>1543.5</v>
      </c>
      <c r="BQ424" s="4"/>
      <c r="BR424" s="8"/>
      <c r="BS424" s="7"/>
      <c r="BT424" s="7"/>
      <c r="BU424" s="2" t="s">
        <v>109</v>
      </c>
      <c r="BV424" s="2" t="s">
        <v>110</v>
      </c>
      <c r="BW424" s="2" t="s">
        <v>1883</v>
      </c>
      <c r="BX424" s="2" t="s">
        <v>1899</v>
      </c>
      <c r="BY424" s="2" t="s">
        <v>113</v>
      </c>
      <c r="BZ424" s="2" t="s">
        <v>100</v>
      </c>
    </row>
    <row r="425">
      <c r="A425" s="2" t="s">
        <v>1900</v>
      </c>
      <c r="B425" s="2" t="s">
        <v>87</v>
      </c>
      <c r="C425" s="2" t="s">
        <v>1867</v>
      </c>
      <c r="D425" s="2" t="s">
        <v>803</v>
      </c>
      <c r="E425" s="2" t="s">
        <v>1868</v>
      </c>
      <c r="F425" s="2" t="s">
        <v>1889</v>
      </c>
      <c r="G425" s="2" t="s">
        <v>1890</v>
      </c>
      <c r="H425" s="2" t="s">
        <v>1891</v>
      </c>
      <c r="I425" s="2" t="s">
        <v>1897</v>
      </c>
      <c r="J425" s="2" t="s">
        <v>817</v>
      </c>
      <c r="K425" s="2" t="s">
        <v>993</v>
      </c>
      <c r="L425" s="3">
        <v>98.99</v>
      </c>
      <c r="M425" s="3">
        <v>103.94</v>
      </c>
      <c r="N425" s="3">
        <v>199.99</v>
      </c>
      <c r="O425" s="2" t="s">
        <v>97</v>
      </c>
      <c r="P425" s="2" t="s">
        <v>98</v>
      </c>
      <c r="Q425" s="2" t="s">
        <v>99</v>
      </c>
      <c r="R425" s="2" t="s">
        <v>100</v>
      </c>
      <c r="S425" s="2" t="s">
        <v>1892</v>
      </c>
      <c r="T425" s="2" t="s">
        <v>100</v>
      </c>
      <c r="U425" s="2" t="s">
        <v>1874</v>
      </c>
      <c r="V425" s="2" t="s">
        <v>146</v>
      </c>
      <c r="W425" s="2" t="s">
        <v>104</v>
      </c>
      <c r="X425" s="2" t="s">
        <v>1893</v>
      </c>
      <c r="Y425" s="2" t="s">
        <v>1863</v>
      </c>
      <c r="Z425" s="4">
        <v>431</v>
      </c>
      <c r="AA425" s="4">
        <f>=ROUNDDOWN(26.9375,0)</f>
      </c>
      <c r="AB425" s="5">
        <v>16</v>
      </c>
      <c r="AC425" s="2" t="s">
        <v>562</v>
      </c>
      <c r="AD425" s="4">
        <v>200</v>
      </c>
      <c r="AE425" s="4">
        <v>250</v>
      </c>
      <c r="AF425" s="6">
        <v>64</v>
      </c>
      <c r="AG425" s="6">
        <v>47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>
        <v>7</v>
      </c>
      <c r="AQ425" s="8">
        <v>771.75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0.307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345</v>
      </c>
      <c r="BK425" s="8">
        <v>38376.41</v>
      </c>
      <c r="BL425" s="2" t="s">
        <v>1901</v>
      </c>
      <c r="BM425" s="7">
        <v>0.0203</v>
      </c>
      <c r="BN425" s="7">
        <v>0.0201</v>
      </c>
      <c r="BO425" s="4">
        <v>7</v>
      </c>
      <c r="BP425" s="8">
        <v>771.75</v>
      </c>
      <c r="BQ425" s="4"/>
      <c r="BR425" s="8"/>
      <c r="BS425" s="7"/>
      <c r="BT425" s="7"/>
      <c r="BU425" s="2" t="s">
        <v>109</v>
      </c>
      <c r="BV425" s="2" t="s">
        <v>110</v>
      </c>
      <c r="BW425" s="2" t="s">
        <v>1883</v>
      </c>
      <c r="BX425" s="2" t="s">
        <v>1902</v>
      </c>
      <c r="BY425" s="2" t="s">
        <v>113</v>
      </c>
      <c r="BZ425" s="2" t="s">
        <v>100</v>
      </c>
    </row>
    <row r="426">
      <c r="A426" s="2" t="s">
        <v>1903</v>
      </c>
      <c r="B426" s="2" t="s">
        <v>87</v>
      </c>
      <c r="C426" s="2" t="s">
        <v>1867</v>
      </c>
      <c r="D426" s="2" t="s">
        <v>803</v>
      </c>
      <c r="E426" s="2" t="s">
        <v>1868</v>
      </c>
      <c r="F426" s="2" t="s">
        <v>1889</v>
      </c>
      <c r="G426" s="2" t="s">
        <v>1890</v>
      </c>
      <c r="H426" s="2" t="s">
        <v>1891</v>
      </c>
      <c r="I426" s="2" t="s">
        <v>1897</v>
      </c>
      <c r="J426" s="2" t="s">
        <v>706</v>
      </c>
      <c r="K426" s="2" t="s">
        <v>198</v>
      </c>
      <c r="L426" s="3">
        <v>88.19</v>
      </c>
      <c r="M426" s="3">
        <v>92.6</v>
      </c>
      <c r="N426" s="3">
        <v>179.99</v>
      </c>
      <c r="O426" s="2" t="s">
        <v>97</v>
      </c>
      <c r="P426" s="2" t="s">
        <v>119</v>
      </c>
      <c r="Q426" s="2" t="s">
        <v>99</v>
      </c>
      <c r="R426" s="2" t="s">
        <v>100</v>
      </c>
      <c r="S426" s="2" t="s">
        <v>1904</v>
      </c>
      <c r="T426" s="2" t="s">
        <v>100</v>
      </c>
      <c r="U426" s="2" t="s">
        <v>1874</v>
      </c>
      <c r="V426" s="2" t="s">
        <v>146</v>
      </c>
      <c r="W426" s="2" t="s">
        <v>104</v>
      </c>
      <c r="X426" s="2" t="s">
        <v>1905</v>
      </c>
      <c r="Y426" s="2" t="s">
        <v>1906</v>
      </c>
      <c r="Z426" s="4">
        <v>525</v>
      </c>
      <c r="AA426" s="4">
        <f>=ROUNDDOWN(27.6315789473684,0)</f>
      </c>
      <c r="AB426" s="5">
        <v>19</v>
      </c>
      <c r="AC426" s="2" t="s">
        <v>1259</v>
      </c>
      <c r="AD426" s="4">
        <v>200</v>
      </c>
      <c r="AE426" s="4">
        <v>350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>
        <v>13</v>
      </c>
      <c r="AQ426" s="8">
        <v>1289.99</v>
      </c>
      <c r="AR426" s="4"/>
      <c r="AS426" s="8"/>
      <c r="AT426" s="7"/>
      <c r="AU426" s="7"/>
      <c r="AV426" s="4">
        <v>15</v>
      </c>
      <c r="AW426" s="8">
        <v>1510.49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0.854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0.2253</v>
      </c>
      <c r="BJ426" s="4">
        <v>524</v>
      </c>
      <c r="BK426" s="8">
        <v>52157.48</v>
      </c>
      <c r="BL426" s="2" t="s">
        <v>1907</v>
      </c>
      <c r="BM426" s="7">
        <v>0.0248</v>
      </c>
      <c r="BN426" s="7">
        <v>0.0247</v>
      </c>
      <c r="BO426" s="4">
        <v>13</v>
      </c>
      <c r="BP426" s="8">
        <v>1289.99</v>
      </c>
      <c r="BQ426" s="4"/>
      <c r="BR426" s="8"/>
      <c r="BS426" s="7"/>
      <c r="BT426" s="7"/>
      <c r="BU426" s="2" t="s">
        <v>109</v>
      </c>
      <c r="BV426" s="2" t="s">
        <v>110</v>
      </c>
      <c r="BW426" s="2" t="s">
        <v>1908</v>
      </c>
      <c r="BX426" s="2" t="s">
        <v>1660</v>
      </c>
      <c r="BY426" s="2" t="s">
        <v>113</v>
      </c>
      <c r="BZ426" s="2" t="s">
        <v>100</v>
      </c>
    </row>
    <row r="427">
      <c r="A427" s="2" t="s">
        <v>1909</v>
      </c>
      <c r="B427" s="2" t="s">
        <v>87</v>
      </c>
      <c r="C427" s="2" t="s">
        <v>1867</v>
      </c>
      <c r="D427" s="2" t="s">
        <v>803</v>
      </c>
      <c r="E427" s="2" t="s">
        <v>1868</v>
      </c>
      <c r="F427" s="2" t="s">
        <v>1889</v>
      </c>
      <c r="G427" s="2" t="s">
        <v>1890</v>
      </c>
      <c r="H427" s="2" t="s">
        <v>1891</v>
      </c>
      <c r="I427" s="2" t="s">
        <v>1897</v>
      </c>
      <c r="J427" s="2" t="s">
        <v>817</v>
      </c>
      <c r="K427" s="2" t="s">
        <v>198</v>
      </c>
      <c r="L427" s="3">
        <v>98.99</v>
      </c>
      <c r="M427" s="3">
        <v>103.94</v>
      </c>
      <c r="N427" s="3">
        <v>199.99</v>
      </c>
      <c r="O427" s="2" t="s">
        <v>97</v>
      </c>
      <c r="P427" s="2" t="s">
        <v>119</v>
      </c>
      <c r="Q427" s="2" t="s">
        <v>99</v>
      </c>
      <c r="R427" s="2" t="s">
        <v>100</v>
      </c>
      <c r="S427" s="2" t="s">
        <v>1904</v>
      </c>
      <c r="T427" s="2" t="s">
        <v>100</v>
      </c>
      <c r="U427" s="2" t="s">
        <v>1874</v>
      </c>
      <c r="V427" s="2" t="s">
        <v>146</v>
      </c>
      <c r="W427" s="2" t="s">
        <v>104</v>
      </c>
      <c r="X427" s="2" t="s">
        <v>1905</v>
      </c>
      <c r="Y427" s="2" t="s">
        <v>1906</v>
      </c>
      <c r="Z427" s="4">
        <v>252</v>
      </c>
      <c r="AA427" s="4">
        <f>=ROUNDDOWN(31.5,0)</f>
      </c>
      <c r="AB427" s="5">
        <v>8</v>
      </c>
      <c r="AC427" s="2" t="s">
        <v>1259</v>
      </c>
      <c r="AD427" s="4">
        <v>50</v>
      </c>
      <c r="AE427" s="4">
        <v>120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>
        <v>2</v>
      </c>
      <c r="AQ427" s="8">
        <v>220.5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0.146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154</v>
      </c>
      <c r="BK427" s="8">
        <v>17089.51</v>
      </c>
      <c r="BL427" s="2" t="s">
        <v>1886</v>
      </c>
      <c r="BM427" s="7">
        <v>0.013</v>
      </c>
      <c r="BN427" s="7">
        <v>0.0129</v>
      </c>
      <c r="BO427" s="4">
        <v>2</v>
      </c>
      <c r="BP427" s="8">
        <v>220.5</v>
      </c>
      <c r="BQ427" s="4"/>
      <c r="BR427" s="8"/>
      <c r="BS427" s="7"/>
      <c r="BT427" s="7"/>
      <c r="BU427" s="2" t="s">
        <v>109</v>
      </c>
      <c r="BV427" s="2" t="s">
        <v>110</v>
      </c>
      <c r="BW427" s="2" t="s">
        <v>1908</v>
      </c>
      <c r="BX427" s="2" t="s">
        <v>1910</v>
      </c>
      <c r="BY427" s="2" t="s">
        <v>113</v>
      </c>
      <c r="BZ427" s="2" t="s">
        <v>100</v>
      </c>
    </row>
    <row r="428">
      <c r="A428" s="2" t="s">
        <v>1911</v>
      </c>
      <c r="B428" s="2" t="s">
        <v>87</v>
      </c>
      <c r="C428" s="2" t="s">
        <v>1867</v>
      </c>
      <c r="D428" s="2" t="s">
        <v>803</v>
      </c>
      <c r="E428" s="2" t="s">
        <v>1868</v>
      </c>
      <c r="F428" s="2" t="s">
        <v>1889</v>
      </c>
      <c r="G428" s="2" t="s">
        <v>1890</v>
      </c>
      <c r="H428" s="2" t="s">
        <v>1891</v>
      </c>
      <c r="I428" s="2" t="s">
        <v>1897</v>
      </c>
      <c r="J428" s="2" t="s">
        <v>706</v>
      </c>
      <c r="K428" s="2" t="s">
        <v>629</v>
      </c>
      <c r="L428" s="3">
        <v>88.19</v>
      </c>
      <c r="M428" s="3">
        <v>92.6</v>
      </c>
      <c r="N428" s="3">
        <v>179.99</v>
      </c>
      <c r="O428" s="2" t="s">
        <v>97</v>
      </c>
      <c r="P428" s="2" t="s">
        <v>372</v>
      </c>
      <c r="Q428" s="2" t="s">
        <v>99</v>
      </c>
      <c r="R428" s="2" t="s">
        <v>100</v>
      </c>
      <c r="S428" s="2" t="s">
        <v>1912</v>
      </c>
      <c r="T428" s="2" t="s">
        <v>100</v>
      </c>
      <c r="U428" s="2" t="s">
        <v>1874</v>
      </c>
      <c r="V428" s="2" t="s">
        <v>146</v>
      </c>
      <c r="W428" s="2" t="s">
        <v>104</v>
      </c>
      <c r="X428" s="2" t="s">
        <v>1893</v>
      </c>
      <c r="Y428" s="2" t="s">
        <v>675</v>
      </c>
      <c r="Z428" s="4">
        <v>706</v>
      </c>
      <c r="AA428" s="4">
        <f>=ROUNDDOWN(20.7647058823529,0)</f>
      </c>
      <c r="AB428" s="5">
        <v>34</v>
      </c>
      <c r="AC428" s="2" t="s">
        <v>356</v>
      </c>
      <c r="AD428" s="4">
        <v>300</v>
      </c>
      <c r="AE428" s="4">
        <v>830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14</v>
      </c>
      <c r="AQ428" s="8">
        <v>1389.22</v>
      </c>
      <c r="AR428" s="4"/>
      <c r="AS428" s="8"/>
      <c r="AT428" s="7"/>
      <c r="AU428" s="7"/>
      <c r="AV428" s="4">
        <v>14</v>
      </c>
      <c r="AW428" s="8">
        <v>1389.22</v>
      </c>
      <c r="AX428" s="4"/>
      <c r="AY428" s="8"/>
      <c r="AZ428" s="7"/>
      <c r="BA428" s="7"/>
      <c r="BB428" s="7">
        <v>1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>
        <v>0.2072</v>
      </c>
      <c r="BJ428" s="4">
        <v>834</v>
      </c>
      <c r="BK428" s="8">
        <v>82934.89</v>
      </c>
      <c r="BL428" s="2" t="s">
        <v>1913</v>
      </c>
      <c r="BM428" s="7">
        <v>0.0168</v>
      </c>
      <c r="BN428" s="7">
        <v>0.0168</v>
      </c>
      <c r="BO428" s="4">
        <v>14</v>
      </c>
      <c r="BP428" s="8">
        <v>1389.22</v>
      </c>
      <c r="BQ428" s="4"/>
      <c r="BR428" s="8"/>
      <c r="BS428" s="7"/>
      <c r="BT428" s="7"/>
      <c r="BU428" s="2" t="s">
        <v>109</v>
      </c>
      <c r="BV428" s="2" t="s">
        <v>110</v>
      </c>
      <c r="BW428" s="2" t="s">
        <v>137</v>
      </c>
      <c r="BX428" s="2" t="s">
        <v>1914</v>
      </c>
      <c r="BY428" s="2" t="s">
        <v>113</v>
      </c>
      <c r="BZ428" s="2" t="s">
        <v>100</v>
      </c>
    </row>
    <row r="429">
      <c r="A429" s="2" t="s">
        <v>1915</v>
      </c>
      <c r="B429" s="2" t="s">
        <v>87</v>
      </c>
      <c r="C429" s="2" t="s">
        <v>1867</v>
      </c>
      <c r="D429" s="2" t="s">
        <v>803</v>
      </c>
      <c r="E429" s="2" t="s">
        <v>1868</v>
      </c>
      <c r="F429" s="2" t="s">
        <v>1889</v>
      </c>
      <c r="G429" s="2" t="s">
        <v>1890</v>
      </c>
      <c r="H429" s="2" t="s">
        <v>1891</v>
      </c>
      <c r="I429" s="2" t="s">
        <v>1897</v>
      </c>
      <c r="J429" s="2" t="s">
        <v>706</v>
      </c>
      <c r="K429" s="2" t="s">
        <v>1614</v>
      </c>
      <c r="L429" s="3">
        <v>88.19</v>
      </c>
      <c r="M429" s="3">
        <v>92.6</v>
      </c>
      <c r="N429" s="3">
        <v>179.99</v>
      </c>
      <c r="O429" s="2" t="s">
        <v>97</v>
      </c>
      <c r="P429" s="2" t="s">
        <v>119</v>
      </c>
      <c r="Q429" s="2" t="s">
        <v>99</v>
      </c>
      <c r="R429" s="2" t="s">
        <v>100</v>
      </c>
      <c r="S429" s="2" t="s">
        <v>1916</v>
      </c>
      <c r="T429" s="2" t="s">
        <v>100</v>
      </c>
      <c r="U429" s="2" t="s">
        <v>1874</v>
      </c>
      <c r="V429" s="2" t="s">
        <v>146</v>
      </c>
      <c r="W429" s="2" t="s">
        <v>104</v>
      </c>
      <c r="X429" s="2" t="s">
        <v>1893</v>
      </c>
      <c r="Y429" s="2" t="s">
        <v>1917</v>
      </c>
      <c r="Z429" s="4">
        <v>149</v>
      </c>
      <c r="AA429" s="4">
        <f>=ROUNDDOWN(9.3125,0)</f>
      </c>
      <c r="AB429" s="5">
        <v>16</v>
      </c>
      <c r="AC429" s="2" t="s">
        <v>542</v>
      </c>
      <c r="AD429" s="4">
        <v>100</v>
      </c>
      <c r="AE429" s="4">
        <v>450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>
        <v>3</v>
      </c>
      <c r="AQ429" s="8">
        <v>297.69</v>
      </c>
      <c r="AR429" s="4"/>
      <c r="AS429" s="8"/>
      <c r="AT429" s="7"/>
      <c r="AU429" s="7"/>
      <c r="AV429" s="4">
        <v>12</v>
      </c>
      <c r="AW429" s="8">
        <v>1289.94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0.2308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0.1924</v>
      </c>
      <c r="BJ429" s="4">
        <v>459</v>
      </c>
      <c r="BK429" s="8">
        <v>44139.45</v>
      </c>
      <c r="BL429" s="2" t="s">
        <v>1918</v>
      </c>
      <c r="BM429" s="7">
        <v>0.0065</v>
      </c>
      <c r="BN429" s="7">
        <v>0.0067</v>
      </c>
      <c r="BO429" s="4">
        <v>3</v>
      </c>
      <c r="BP429" s="8">
        <v>297.69</v>
      </c>
      <c r="BQ429" s="4"/>
      <c r="BR429" s="8"/>
      <c r="BS429" s="7"/>
      <c r="BT429" s="7"/>
      <c r="BU429" s="2" t="s">
        <v>109</v>
      </c>
      <c r="BV429" s="2" t="s">
        <v>110</v>
      </c>
      <c r="BW429" s="2" t="s">
        <v>137</v>
      </c>
      <c r="BX429" s="2" t="s">
        <v>1919</v>
      </c>
      <c r="BY429" s="2" t="s">
        <v>113</v>
      </c>
      <c r="BZ429" s="2" t="s">
        <v>100</v>
      </c>
    </row>
    <row r="430">
      <c r="A430" s="2" t="s">
        <v>1920</v>
      </c>
      <c r="B430" s="2" t="s">
        <v>87</v>
      </c>
      <c r="C430" s="2" t="s">
        <v>1867</v>
      </c>
      <c r="D430" s="2" t="s">
        <v>803</v>
      </c>
      <c r="E430" s="2" t="s">
        <v>1868</v>
      </c>
      <c r="F430" s="2" t="s">
        <v>1889</v>
      </c>
      <c r="G430" s="2" t="s">
        <v>1890</v>
      </c>
      <c r="H430" s="2" t="s">
        <v>1891</v>
      </c>
      <c r="I430" s="2" t="s">
        <v>1897</v>
      </c>
      <c r="J430" s="2" t="s">
        <v>714</v>
      </c>
      <c r="K430" s="2" t="s">
        <v>1614</v>
      </c>
      <c r="L430" s="3">
        <v>98.99</v>
      </c>
      <c r="M430" s="3">
        <v>103.94</v>
      </c>
      <c r="N430" s="3">
        <v>199.99</v>
      </c>
      <c r="O430" s="2" t="s">
        <v>97</v>
      </c>
      <c r="P430" s="2" t="s">
        <v>119</v>
      </c>
      <c r="Q430" s="2" t="s">
        <v>99</v>
      </c>
      <c r="R430" s="2" t="s">
        <v>100</v>
      </c>
      <c r="S430" s="2" t="s">
        <v>1916</v>
      </c>
      <c r="T430" s="2" t="s">
        <v>100</v>
      </c>
      <c r="U430" s="2" t="s">
        <v>1874</v>
      </c>
      <c r="V430" s="2" t="s">
        <v>146</v>
      </c>
      <c r="W430" s="2" t="s">
        <v>104</v>
      </c>
      <c r="X430" s="2" t="s">
        <v>1893</v>
      </c>
      <c r="Y430" s="2" t="s">
        <v>1917</v>
      </c>
      <c r="Z430" s="4">
        <v>152</v>
      </c>
      <c r="AA430" s="4">
        <f>=ROUNDDOWN(9.5,0)</f>
      </c>
      <c r="AB430" s="5">
        <v>16</v>
      </c>
      <c r="AC430" s="2" t="s">
        <v>542</v>
      </c>
      <c r="AD430" s="4">
        <v>200</v>
      </c>
      <c r="AE430" s="4">
        <v>520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7</v>
      </c>
      <c r="AQ430" s="8">
        <v>771.75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0.5983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347</v>
      </c>
      <c r="BK430" s="8">
        <v>38109.22</v>
      </c>
      <c r="BL430" s="2" t="s">
        <v>1921</v>
      </c>
      <c r="BM430" s="7">
        <v>0.0202</v>
      </c>
      <c r="BN430" s="7">
        <v>0.0203</v>
      </c>
      <c r="BO430" s="4">
        <v>7</v>
      </c>
      <c r="BP430" s="8">
        <v>771.75</v>
      </c>
      <c r="BQ430" s="4"/>
      <c r="BR430" s="8"/>
      <c r="BS430" s="7"/>
      <c r="BT430" s="7"/>
      <c r="BU430" s="2" t="s">
        <v>109</v>
      </c>
      <c r="BV430" s="2" t="s">
        <v>110</v>
      </c>
      <c r="BW430" s="2" t="s">
        <v>137</v>
      </c>
      <c r="BX430" s="2" t="s">
        <v>1922</v>
      </c>
      <c r="BY430" s="2" t="s">
        <v>113</v>
      </c>
      <c r="BZ430" s="2" t="s">
        <v>100</v>
      </c>
    </row>
    <row r="431">
      <c r="A431" s="2" t="s">
        <v>1923</v>
      </c>
      <c r="B431" s="2" t="s">
        <v>87</v>
      </c>
      <c r="C431" s="2" t="s">
        <v>1867</v>
      </c>
      <c r="D431" s="2" t="s">
        <v>803</v>
      </c>
      <c r="E431" s="2" t="s">
        <v>1868</v>
      </c>
      <c r="F431" s="2" t="s">
        <v>1889</v>
      </c>
      <c r="G431" s="2" t="s">
        <v>1890</v>
      </c>
      <c r="H431" s="2" t="s">
        <v>1891</v>
      </c>
      <c r="I431" s="2" t="s">
        <v>1897</v>
      </c>
      <c r="J431" s="2" t="s">
        <v>817</v>
      </c>
      <c r="K431" s="2" t="s">
        <v>1614</v>
      </c>
      <c r="L431" s="3">
        <v>98.99</v>
      </c>
      <c r="M431" s="3">
        <v>103.94</v>
      </c>
      <c r="N431" s="3">
        <v>199.99</v>
      </c>
      <c r="O431" s="2" t="s">
        <v>97</v>
      </c>
      <c r="P431" s="2" t="s">
        <v>119</v>
      </c>
      <c r="Q431" s="2" t="s">
        <v>99</v>
      </c>
      <c r="R431" s="2" t="s">
        <v>100</v>
      </c>
      <c r="S431" s="2" t="s">
        <v>1916</v>
      </c>
      <c r="T431" s="2" t="s">
        <v>100</v>
      </c>
      <c r="U431" s="2" t="s">
        <v>1874</v>
      </c>
      <c r="V431" s="2" t="s">
        <v>146</v>
      </c>
      <c r="W431" s="2" t="s">
        <v>104</v>
      </c>
      <c r="X431" s="2" t="s">
        <v>1893</v>
      </c>
      <c r="Y431" s="2" t="s">
        <v>1917</v>
      </c>
      <c r="Z431" s="4">
        <v>130</v>
      </c>
      <c r="AA431" s="4">
        <f>=ROUNDDOWN(14.4444444444444,0)</f>
      </c>
      <c r="AB431" s="5">
        <v>9</v>
      </c>
      <c r="AC431" s="2" t="s">
        <v>542</v>
      </c>
      <c r="AD431" s="4">
        <v>150</v>
      </c>
      <c r="AE431" s="4">
        <v>230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>
        <v>2</v>
      </c>
      <c r="AQ431" s="8">
        <v>220.5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0.1709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183</v>
      </c>
      <c r="BK431" s="8">
        <v>19488.03</v>
      </c>
      <c r="BL431" s="2" t="s">
        <v>1924</v>
      </c>
      <c r="BM431" s="7">
        <v>0.0109</v>
      </c>
      <c r="BN431" s="7">
        <v>0.0113</v>
      </c>
      <c r="BO431" s="4">
        <v>2</v>
      </c>
      <c r="BP431" s="8">
        <v>220.5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137</v>
      </c>
      <c r="BX431" s="2" t="s">
        <v>1925</v>
      </c>
      <c r="BY431" s="2" t="s">
        <v>113</v>
      </c>
      <c r="BZ431" s="2" t="s">
        <v>100</v>
      </c>
    </row>
    <row r="432">
      <c r="A432" s="2" t="s">
        <v>1926</v>
      </c>
      <c r="B432" s="2" t="s">
        <v>87</v>
      </c>
      <c r="C432" s="2" t="s">
        <v>1867</v>
      </c>
      <c r="D432" s="2" t="s">
        <v>803</v>
      </c>
      <c r="E432" s="2" t="s">
        <v>1868</v>
      </c>
      <c r="F432" s="2" t="s">
        <v>1889</v>
      </c>
      <c r="G432" s="2" t="s">
        <v>1890</v>
      </c>
      <c r="H432" s="2" t="s">
        <v>1891</v>
      </c>
      <c r="I432" s="2" t="s">
        <v>1897</v>
      </c>
      <c r="J432" s="2" t="s">
        <v>714</v>
      </c>
      <c r="K432" s="2" t="s">
        <v>432</v>
      </c>
      <c r="L432" s="3">
        <v>98.99</v>
      </c>
      <c r="M432" s="3">
        <v>103.94</v>
      </c>
      <c r="N432" s="3">
        <v>199.99</v>
      </c>
      <c r="O432" s="2" t="s">
        <v>97</v>
      </c>
      <c r="P432" s="2" t="s">
        <v>119</v>
      </c>
      <c r="Q432" s="2" t="s">
        <v>99</v>
      </c>
      <c r="R432" s="2" t="s">
        <v>100</v>
      </c>
      <c r="S432" s="2" t="s">
        <v>1927</v>
      </c>
      <c r="T432" s="2" t="s">
        <v>100</v>
      </c>
      <c r="U432" s="2" t="s">
        <v>1874</v>
      </c>
      <c r="V432" s="2" t="s">
        <v>146</v>
      </c>
      <c r="W432" s="2" t="s">
        <v>104</v>
      </c>
      <c r="X432" s="2" t="s">
        <v>1905</v>
      </c>
      <c r="Y432" s="2" t="s">
        <v>1928</v>
      </c>
      <c r="Z432" s="4">
        <v>217</v>
      </c>
      <c r="AA432" s="4">
        <f>=ROUNDDOWN(36.1666666666667,0)</f>
      </c>
      <c r="AB432" s="5">
        <v>6</v>
      </c>
      <c r="AC432" s="2" t="s">
        <v>100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138</v>
      </c>
      <c r="BK432" s="8">
        <v>15323.02</v>
      </c>
      <c r="BL432" s="2" t="s">
        <v>1929</v>
      </c>
      <c r="BM432" s="7"/>
      <c r="BN432" s="7"/>
      <c r="BO432" s="4"/>
      <c r="BP432" s="8"/>
      <c r="BQ432" s="4"/>
      <c r="BR432" s="8"/>
      <c r="BS432" s="7"/>
      <c r="BT432" s="7"/>
      <c r="BU432" s="2" t="s">
        <v>268</v>
      </c>
      <c r="BV432" s="2" t="s">
        <v>97</v>
      </c>
      <c r="BW432" s="2" t="s">
        <v>100</v>
      </c>
      <c r="BX432" s="2" t="s">
        <v>100</v>
      </c>
      <c r="BY432" s="2" t="s">
        <v>113</v>
      </c>
      <c r="BZ432" s="2" t="s">
        <v>100</v>
      </c>
    </row>
    <row r="433">
      <c r="A433" s="2" t="s">
        <v>1930</v>
      </c>
      <c r="B433" s="2" t="s">
        <v>87</v>
      </c>
      <c r="C433" s="2" t="s">
        <v>1867</v>
      </c>
      <c r="D433" s="2" t="s">
        <v>803</v>
      </c>
      <c r="E433" s="2" t="s">
        <v>1868</v>
      </c>
      <c r="F433" s="2" t="s">
        <v>1889</v>
      </c>
      <c r="G433" s="2" t="s">
        <v>1890</v>
      </c>
      <c r="H433" s="2" t="s">
        <v>1891</v>
      </c>
      <c r="I433" s="2" t="s">
        <v>1897</v>
      </c>
      <c r="J433" s="2" t="s">
        <v>817</v>
      </c>
      <c r="K433" s="2" t="s">
        <v>432</v>
      </c>
      <c r="L433" s="3">
        <v>98.99</v>
      </c>
      <c r="M433" s="3">
        <v>103.94</v>
      </c>
      <c r="N433" s="3">
        <v>199.99</v>
      </c>
      <c r="O433" s="2" t="s">
        <v>97</v>
      </c>
      <c r="P433" s="2" t="s">
        <v>119</v>
      </c>
      <c r="Q433" s="2" t="s">
        <v>99</v>
      </c>
      <c r="R433" s="2" t="s">
        <v>100</v>
      </c>
      <c r="S433" s="2" t="s">
        <v>1927</v>
      </c>
      <c r="T433" s="2" t="s">
        <v>100</v>
      </c>
      <c r="U433" s="2" t="s">
        <v>1874</v>
      </c>
      <c r="V433" s="2" t="s">
        <v>146</v>
      </c>
      <c r="W433" s="2" t="s">
        <v>104</v>
      </c>
      <c r="X433" s="2" t="s">
        <v>1905</v>
      </c>
      <c r="Y433" s="2" t="s">
        <v>1928</v>
      </c>
      <c r="Z433" s="4">
        <v>80</v>
      </c>
      <c r="AA433" s="4">
        <f>=ROUNDDOWN(16,0)</f>
      </c>
      <c r="AB433" s="5">
        <v>5</v>
      </c>
      <c r="AC433" s="2" t="s">
        <v>977</v>
      </c>
      <c r="AD433" s="4">
        <v>200</v>
      </c>
      <c r="AE433" s="4">
        <v>200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75</v>
      </c>
      <c r="BK433" s="8">
        <v>8362.42</v>
      </c>
      <c r="BL433" s="2" t="s">
        <v>1931</v>
      </c>
      <c r="BM433" s="7"/>
      <c r="BN433" s="7"/>
      <c r="BO433" s="4"/>
      <c r="BP433" s="8"/>
      <c r="BQ433" s="4"/>
      <c r="BR433" s="8"/>
      <c r="BS433" s="7"/>
      <c r="BT433" s="7"/>
      <c r="BU433" s="2" t="s">
        <v>268</v>
      </c>
      <c r="BV433" s="2" t="s">
        <v>97</v>
      </c>
      <c r="BW433" s="2" t="s">
        <v>100</v>
      </c>
      <c r="BX433" s="2" t="s">
        <v>100</v>
      </c>
      <c r="BY433" s="2" t="s">
        <v>113</v>
      </c>
      <c r="BZ433" s="2" t="s">
        <v>100</v>
      </c>
    </row>
    <row r="434">
      <c r="A434" s="2" t="s">
        <v>1932</v>
      </c>
      <c r="B434" s="2" t="s">
        <v>87</v>
      </c>
      <c r="C434" s="2" t="s">
        <v>1867</v>
      </c>
      <c r="D434" s="2" t="s">
        <v>803</v>
      </c>
      <c r="E434" s="2" t="s">
        <v>1475</v>
      </c>
      <c r="F434" s="2" t="s">
        <v>1933</v>
      </c>
      <c r="G434" s="2" t="s">
        <v>1221</v>
      </c>
      <c r="H434" s="2" t="s">
        <v>1934</v>
      </c>
      <c r="I434" s="2" t="s">
        <v>1935</v>
      </c>
      <c r="J434" s="2" t="s">
        <v>1936</v>
      </c>
      <c r="K434" s="2" t="s">
        <v>96</v>
      </c>
      <c r="L434" s="3">
        <v>50.77</v>
      </c>
      <c r="M434" s="3">
        <v>53.31</v>
      </c>
      <c r="N434" s="3">
        <v>89.99</v>
      </c>
      <c r="O434" s="2" t="s">
        <v>97</v>
      </c>
      <c r="P434" s="2" t="s">
        <v>119</v>
      </c>
      <c r="Q434" s="2" t="s">
        <v>99</v>
      </c>
      <c r="R434" s="2" t="s">
        <v>100</v>
      </c>
      <c r="S434" s="2" t="s">
        <v>1937</v>
      </c>
      <c r="T434" s="2" t="s">
        <v>100</v>
      </c>
      <c r="U434" s="2" t="s">
        <v>337</v>
      </c>
      <c r="V434" s="2" t="s">
        <v>256</v>
      </c>
      <c r="W434" s="2" t="s">
        <v>104</v>
      </c>
      <c r="X434" s="2" t="s">
        <v>159</v>
      </c>
      <c r="Y434" s="2" t="s">
        <v>1938</v>
      </c>
      <c r="Z434" s="4">
        <v>177</v>
      </c>
      <c r="AA434" s="4">
        <f>=ROUNDDOWN(44.25,0)</f>
      </c>
      <c r="AB434" s="5">
        <v>4</v>
      </c>
      <c r="AC434" s="2" t="s">
        <v>135</v>
      </c>
      <c r="AD434" s="4">
        <v>40</v>
      </c>
      <c r="AE434" s="4">
        <v>40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>
        <v>12</v>
      </c>
      <c r="AQ434" s="8">
        <v>650.04</v>
      </c>
      <c r="AR434" s="4"/>
      <c r="AS434" s="8"/>
      <c r="AT434" s="7"/>
      <c r="AU434" s="7"/>
      <c r="AV434" s="4">
        <v>29</v>
      </c>
      <c r="AW434" s="8">
        <v>1781.54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0.3649</v>
      </c>
      <c r="BC434" s="4">
        <v>56</v>
      </c>
      <c r="BD434" s="8">
        <v>3508.91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>
        <v>0.5077</v>
      </c>
      <c r="BJ434" s="4">
        <v>87</v>
      </c>
      <c r="BK434" s="8">
        <v>4562.56</v>
      </c>
      <c r="BL434" s="2" t="s">
        <v>1939</v>
      </c>
      <c r="BM434" s="7">
        <v>0.1379</v>
      </c>
      <c r="BN434" s="7">
        <v>0.1425</v>
      </c>
      <c r="BO434" s="4">
        <v>12</v>
      </c>
      <c r="BP434" s="8">
        <v>650.04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1940</v>
      </c>
      <c r="BX434" s="2" t="s">
        <v>1941</v>
      </c>
      <c r="BY434" s="2" t="s">
        <v>113</v>
      </c>
      <c r="BZ434" s="2" t="s">
        <v>100</v>
      </c>
    </row>
    <row r="435">
      <c r="A435" s="2" t="s">
        <v>1942</v>
      </c>
      <c r="B435" s="2" t="s">
        <v>87</v>
      </c>
      <c r="C435" s="2" t="s">
        <v>1867</v>
      </c>
      <c r="D435" s="2" t="s">
        <v>803</v>
      </c>
      <c r="E435" s="2" t="s">
        <v>1475</v>
      </c>
      <c r="F435" s="2" t="s">
        <v>1933</v>
      </c>
      <c r="G435" s="2" t="s">
        <v>1221</v>
      </c>
      <c r="H435" s="2" t="s">
        <v>1934</v>
      </c>
      <c r="I435" s="2" t="s">
        <v>1943</v>
      </c>
      <c r="J435" s="2" t="s">
        <v>717</v>
      </c>
      <c r="K435" s="2" t="s">
        <v>96</v>
      </c>
      <c r="L435" s="3">
        <v>55.61</v>
      </c>
      <c r="M435" s="3">
        <v>58.39</v>
      </c>
      <c r="N435" s="3">
        <v>99.99</v>
      </c>
      <c r="O435" s="2" t="s">
        <v>97</v>
      </c>
      <c r="P435" s="2" t="s">
        <v>119</v>
      </c>
      <c r="Q435" s="2" t="s">
        <v>99</v>
      </c>
      <c r="R435" s="2" t="s">
        <v>100</v>
      </c>
      <c r="S435" s="2" t="s">
        <v>1937</v>
      </c>
      <c r="T435" s="2" t="s">
        <v>100</v>
      </c>
      <c r="U435" s="2" t="s">
        <v>1240</v>
      </c>
      <c r="V435" s="2" t="s">
        <v>256</v>
      </c>
      <c r="W435" s="2" t="s">
        <v>104</v>
      </c>
      <c r="X435" s="2" t="s">
        <v>159</v>
      </c>
      <c r="Y435" s="2" t="s">
        <v>1938</v>
      </c>
      <c r="Z435" s="4">
        <v>310</v>
      </c>
      <c r="AA435" s="4">
        <f>=ROUNDDOWN(44.2857142857143,0)</f>
      </c>
      <c r="AB435" s="5">
        <v>7</v>
      </c>
      <c r="AC435" s="2" t="s">
        <v>135</v>
      </c>
      <c r="AD435" s="4">
        <v>60</v>
      </c>
      <c r="AE435" s="4">
        <v>110</v>
      </c>
      <c r="AF435" s="6">
        <v>65</v>
      </c>
      <c r="AG435" s="6">
        <v>73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>
        <v>8</v>
      </c>
      <c r="AQ435" s="8">
        <v>481.52</v>
      </c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0.2703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161</v>
      </c>
      <c r="BK435" s="8">
        <v>9713.41</v>
      </c>
      <c r="BL435" s="2" t="s">
        <v>1944</v>
      </c>
      <c r="BM435" s="7">
        <v>0.0497</v>
      </c>
      <c r="BN435" s="7">
        <v>0.0496</v>
      </c>
      <c r="BO435" s="4">
        <v>8</v>
      </c>
      <c r="BP435" s="8">
        <v>481.52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1940</v>
      </c>
      <c r="BX435" s="2" t="s">
        <v>1945</v>
      </c>
      <c r="BY435" s="2" t="s">
        <v>113</v>
      </c>
      <c r="BZ435" s="2" t="s">
        <v>245</v>
      </c>
    </row>
    <row r="436">
      <c r="A436" s="2" t="s">
        <v>1946</v>
      </c>
      <c r="B436" s="2" t="s">
        <v>87</v>
      </c>
      <c r="C436" s="2" t="s">
        <v>1867</v>
      </c>
      <c r="D436" s="2" t="s">
        <v>803</v>
      </c>
      <c r="E436" s="2" t="s">
        <v>1475</v>
      </c>
      <c r="F436" s="2" t="s">
        <v>1933</v>
      </c>
      <c r="G436" s="2" t="s">
        <v>1221</v>
      </c>
      <c r="H436" s="2" t="s">
        <v>1934</v>
      </c>
      <c r="I436" s="2" t="s">
        <v>1943</v>
      </c>
      <c r="J436" s="2" t="s">
        <v>714</v>
      </c>
      <c r="K436" s="2" t="s">
        <v>96</v>
      </c>
      <c r="L436" s="3">
        <v>65.28</v>
      </c>
      <c r="M436" s="3">
        <v>68.54</v>
      </c>
      <c r="N436" s="3">
        <v>119.99</v>
      </c>
      <c r="O436" s="2" t="s">
        <v>97</v>
      </c>
      <c r="P436" s="2" t="s">
        <v>119</v>
      </c>
      <c r="Q436" s="2" t="s">
        <v>99</v>
      </c>
      <c r="R436" s="2" t="s">
        <v>100</v>
      </c>
      <c r="S436" s="2" t="s">
        <v>1937</v>
      </c>
      <c r="T436" s="2" t="s">
        <v>100</v>
      </c>
      <c r="U436" s="2" t="s">
        <v>1240</v>
      </c>
      <c r="V436" s="2" t="s">
        <v>256</v>
      </c>
      <c r="W436" s="2" t="s">
        <v>104</v>
      </c>
      <c r="X436" s="2" t="s">
        <v>159</v>
      </c>
      <c r="Y436" s="2" t="s">
        <v>1938</v>
      </c>
      <c r="Z436" s="4">
        <v>423</v>
      </c>
      <c r="AA436" s="4">
        <f>=ROUNDDOWN(47,0)</f>
      </c>
      <c r="AB436" s="5">
        <v>9</v>
      </c>
      <c r="AC436" s="2" t="s">
        <v>135</v>
      </c>
      <c r="AD436" s="4">
        <v>150</v>
      </c>
      <c r="AE436" s="4">
        <v>200</v>
      </c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>
        <v>9</v>
      </c>
      <c r="AQ436" s="8">
        <v>649.98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0.3648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245</v>
      </c>
      <c r="BK436" s="8">
        <v>17370.04</v>
      </c>
      <c r="BL436" s="2" t="s">
        <v>1947</v>
      </c>
      <c r="BM436" s="7">
        <v>0.0367</v>
      </c>
      <c r="BN436" s="7">
        <v>0.0374</v>
      </c>
      <c r="BO436" s="4">
        <v>9</v>
      </c>
      <c r="BP436" s="8">
        <v>649.98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1940</v>
      </c>
      <c r="BX436" s="2" t="s">
        <v>1910</v>
      </c>
      <c r="BY436" s="2" t="s">
        <v>113</v>
      </c>
      <c r="BZ436" s="2" t="s">
        <v>245</v>
      </c>
    </row>
    <row r="437">
      <c r="A437" s="2" t="s">
        <v>1948</v>
      </c>
      <c r="B437" s="2" t="s">
        <v>87</v>
      </c>
      <c r="C437" s="2" t="s">
        <v>1867</v>
      </c>
      <c r="D437" s="2" t="s">
        <v>803</v>
      </c>
      <c r="E437" s="2" t="s">
        <v>1475</v>
      </c>
      <c r="F437" s="2" t="s">
        <v>1933</v>
      </c>
      <c r="G437" s="2" t="s">
        <v>1221</v>
      </c>
      <c r="H437" s="2" t="s">
        <v>1934</v>
      </c>
      <c r="I437" s="2" t="s">
        <v>1943</v>
      </c>
      <c r="J437" s="2" t="s">
        <v>817</v>
      </c>
      <c r="K437" s="2" t="s">
        <v>96</v>
      </c>
      <c r="L437" s="3">
        <v>65.28</v>
      </c>
      <c r="M437" s="3">
        <v>68.54</v>
      </c>
      <c r="N437" s="3">
        <v>119.99</v>
      </c>
      <c r="O437" s="2" t="s">
        <v>97</v>
      </c>
      <c r="P437" s="2" t="s">
        <v>119</v>
      </c>
      <c r="Q437" s="2" t="s">
        <v>99</v>
      </c>
      <c r="R437" s="2" t="s">
        <v>100</v>
      </c>
      <c r="S437" s="2" t="s">
        <v>1937</v>
      </c>
      <c r="T437" s="2" t="s">
        <v>100</v>
      </c>
      <c r="U437" s="2" t="s">
        <v>1240</v>
      </c>
      <c r="V437" s="2" t="s">
        <v>256</v>
      </c>
      <c r="W437" s="2" t="s">
        <v>104</v>
      </c>
      <c r="X437" s="2" t="s">
        <v>159</v>
      </c>
      <c r="Y437" s="2" t="s">
        <v>1938</v>
      </c>
      <c r="Z437" s="4">
        <v>156</v>
      </c>
      <c r="AA437" s="4">
        <f>=ROUNDDOWN(39,0)</f>
      </c>
      <c r="AB437" s="5">
        <v>4</v>
      </c>
      <c r="AC437" s="2" t="s">
        <v>135</v>
      </c>
      <c r="AD437" s="4">
        <v>110</v>
      </c>
      <c r="AE437" s="4">
        <v>110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79</v>
      </c>
      <c r="BK437" s="8">
        <v>5895.43</v>
      </c>
      <c r="BL437" s="2" t="s">
        <v>1949</v>
      </c>
      <c r="BM437" s="7"/>
      <c r="BN437" s="7"/>
      <c r="BO437" s="4"/>
      <c r="BP437" s="8"/>
      <c r="BQ437" s="4"/>
      <c r="BR437" s="8"/>
      <c r="BS437" s="7"/>
      <c r="BT437" s="7"/>
      <c r="BU437" s="2" t="s">
        <v>109</v>
      </c>
      <c r="BV437" s="2" t="s">
        <v>97</v>
      </c>
      <c r="BW437" s="2" t="s">
        <v>1940</v>
      </c>
      <c r="BX437" s="2" t="s">
        <v>1950</v>
      </c>
      <c r="BY437" s="2" t="s">
        <v>113</v>
      </c>
      <c r="BZ437" s="2" t="s">
        <v>245</v>
      </c>
    </row>
    <row r="438">
      <c r="A438" s="2" t="s">
        <v>1951</v>
      </c>
      <c r="B438" s="2" t="s">
        <v>87</v>
      </c>
      <c r="C438" s="2" t="s">
        <v>1867</v>
      </c>
      <c r="D438" s="2" t="s">
        <v>803</v>
      </c>
      <c r="E438" s="2" t="s">
        <v>1475</v>
      </c>
      <c r="F438" s="2" t="s">
        <v>1933</v>
      </c>
      <c r="G438" s="2" t="s">
        <v>1221</v>
      </c>
      <c r="H438" s="2" t="s">
        <v>1934</v>
      </c>
      <c r="I438" s="2" t="s">
        <v>1935</v>
      </c>
      <c r="J438" s="2" t="s">
        <v>1936</v>
      </c>
      <c r="K438" s="2" t="s">
        <v>1952</v>
      </c>
      <c r="L438" s="3">
        <v>50.77</v>
      </c>
      <c r="M438" s="3">
        <v>53.31</v>
      </c>
      <c r="N438" s="3">
        <v>89.99</v>
      </c>
      <c r="O438" s="2" t="s">
        <v>97</v>
      </c>
      <c r="P438" s="2" t="s">
        <v>119</v>
      </c>
      <c r="Q438" s="2" t="s">
        <v>99</v>
      </c>
      <c r="R438" s="2" t="s">
        <v>100</v>
      </c>
      <c r="S438" s="2" t="s">
        <v>1953</v>
      </c>
      <c r="T438" s="2" t="s">
        <v>100</v>
      </c>
      <c r="U438" s="2" t="s">
        <v>337</v>
      </c>
      <c r="V438" s="2" t="s">
        <v>256</v>
      </c>
      <c r="W438" s="2" t="s">
        <v>104</v>
      </c>
      <c r="X438" s="2" t="s">
        <v>378</v>
      </c>
      <c r="Y438" s="2" t="s">
        <v>1954</v>
      </c>
      <c r="Z438" s="4">
        <v>232</v>
      </c>
      <c r="AA438" s="4">
        <f>=ROUNDDOWN(58,0)</f>
      </c>
      <c r="AB438" s="5">
        <v>4</v>
      </c>
      <c r="AC438" s="2" t="s">
        <v>100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>
        <v>14</v>
      </c>
      <c r="AW438" s="8">
        <v>938.9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0.2676</v>
      </c>
      <c r="BJ438" s="4">
        <v>112</v>
      </c>
      <c r="BK438" s="8">
        <v>5569.93</v>
      </c>
      <c r="BL438" s="2" t="s">
        <v>780</v>
      </c>
      <c r="BM438" s="7"/>
      <c r="BN438" s="7"/>
      <c r="BO438" s="4"/>
      <c r="BP438" s="8"/>
      <c r="BQ438" s="4"/>
      <c r="BR438" s="8"/>
      <c r="BS438" s="7"/>
      <c r="BT438" s="7"/>
      <c r="BU438" s="2" t="s">
        <v>109</v>
      </c>
      <c r="BV438" s="2" t="s">
        <v>97</v>
      </c>
      <c r="BW438" s="2" t="s">
        <v>1940</v>
      </c>
      <c r="BX438" s="2" t="s">
        <v>844</v>
      </c>
      <c r="BY438" s="2" t="s">
        <v>113</v>
      </c>
      <c r="BZ438" s="2" t="s">
        <v>100</v>
      </c>
    </row>
    <row r="439">
      <c r="A439" s="2" t="s">
        <v>1955</v>
      </c>
      <c r="B439" s="2" t="s">
        <v>87</v>
      </c>
      <c r="C439" s="2" t="s">
        <v>1867</v>
      </c>
      <c r="D439" s="2" t="s">
        <v>803</v>
      </c>
      <c r="E439" s="2" t="s">
        <v>1475</v>
      </c>
      <c r="F439" s="2" t="s">
        <v>1933</v>
      </c>
      <c r="G439" s="2" t="s">
        <v>1221</v>
      </c>
      <c r="H439" s="2" t="s">
        <v>1934</v>
      </c>
      <c r="I439" s="2" t="s">
        <v>1943</v>
      </c>
      <c r="J439" s="2" t="s">
        <v>717</v>
      </c>
      <c r="K439" s="2" t="s">
        <v>1952</v>
      </c>
      <c r="L439" s="3">
        <v>55.61</v>
      </c>
      <c r="M439" s="3">
        <v>58.39</v>
      </c>
      <c r="N439" s="3">
        <v>99.99</v>
      </c>
      <c r="O439" s="2" t="s">
        <v>97</v>
      </c>
      <c r="P439" s="2" t="s">
        <v>119</v>
      </c>
      <c r="Q439" s="2" t="s">
        <v>99</v>
      </c>
      <c r="R439" s="2" t="s">
        <v>100</v>
      </c>
      <c r="S439" s="2" t="s">
        <v>1953</v>
      </c>
      <c r="T439" s="2" t="s">
        <v>100</v>
      </c>
      <c r="U439" s="2" t="s">
        <v>1240</v>
      </c>
      <c r="V439" s="2" t="s">
        <v>256</v>
      </c>
      <c r="W439" s="2" t="s">
        <v>104</v>
      </c>
      <c r="X439" s="2" t="s">
        <v>378</v>
      </c>
      <c r="Y439" s="2" t="s">
        <v>1954</v>
      </c>
      <c r="Z439" s="4">
        <v>321</v>
      </c>
      <c r="AA439" s="4">
        <f>=ROUNDDOWN(53.5,0)</f>
      </c>
      <c r="AB439" s="5">
        <v>6</v>
      </c>
      <c r="AC439" s="2" t="s">
        <v>100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>
        <v>6</v>
      </c>
      <c r="AQ439" s="8">
        <v>361.14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0.3846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171</v>
      </c>
      <c r="BK439" s="8">
        <v>9532.32</v>
      </c>
      <c r="BL439" s="2" t="s">
        <v>1956</v>
      </c>
      <c r="BM439" s="7">
        <v>0.0351</v>
      </c>
      <c r="BN439" s="7">
        <v>0.0379</v>
      </c>
      <c r="BO439" s="4">
        <v>6</v>
      </c>
      <c r="BP439" s="8">
        <v>361.14</v>
      </c>
      <c r="BQ439" s="4"/>
      <c r="BR439" s="8"/>
      <c r="BS439" s="7"/>
      <c r="BT439" s="7"/>
      <c r="BU439" s="2" t="s">
        <v>109</v>
      </c>
      <c r="BV439" s="2" t="s">
        <v>110</v>
      </c>
      <c r="BW439" s="2" t="s">
        <v>1940</v>
      </c>
      <c r="BX439" s="2" t="s">
        <v>1957</v>
      </c>
      <c r="BY439" s="2" t="s">
        <v>113</v>
      </c>
      <c r="BZ439" s="2" t="s">
        <v>100</v>
      </c>
    </row>
    <row r="440">
      <c r="A440" s="2" t="s">
        <v>1958</v>
      </c>
      <c r="B440" s="2" t="s">
        <v>87</v>
      </c>
      <c r="C440" s="2" t="s">
        <v>1867</v>
      </c>
      <c r="D440" s="2" t="s">
        <v>803</v>
      </c>
      <c r="E440" s="2" t="s">
        <v>1475</v>
      </c>
      <c r="F440" s="2" t="s">
        <v>1933</v>
      </c>
      <c r="G440" s="2" t="s">
        <v>1221</v>
      </c>
      <c r="H440" s="2" t="s">
        <v>1934</v>
      </c>
      <c r="I440" s="2" t="s">
        <v>1943</v>
      </c>
      <c r="J440" s="2" t="s">
        <v>714</v>
      </c>
      <c r="K440" s="2" t="s">
        <v>1952</v>
      </c>
      <c r="L440" s="3">
        <v>65.28</v>
      </c>
      <c r="M440" s="3">
        <v>68.54</v>
      </c>
      <c r="N440" s="3">
        <v>119.99</v>
      </c>
      <c r="O440" s="2" t="s">
        <v>97</v>
      </c>
      <c r="P440" s="2" t="s">
        <v>119</v>
      </c>
      <c r="Q440" s="2" t="s">
        <v>99</v>
      </c>
      <c r="R440" s="2" t="s">
        <v>100</v>
      </c>
      <c r="S440" s="2" t="s">
        <v>1953</v>
      </c>
      <c r="T440" s="2" t="s">
        <v>100</v>
      </c>
      <c r="U440" s="2" t="s">
        <v>1240</v>
      </c>
      <c r="V440" s="2" t="s">
        <v>256</v>
      </c>
      <c r="W440" s="2" t="s">
        <v>104</v>
      </c>
      <c r="X440" s="2" t="s">
        <v>378</v>
      </c>
      <c r="Y440" s="2" t="s">
        <v>1954</v>
      </c>
      <c r="Z440" s="4">
        <v>488</v>
      </c>
      <c r="AA440" s="4">
        <f>=ROUNDDOWN(44.3636363636364,0)</f>
      </c>
      <c r="AB440" s="5">
        <v>11</v>
      </c>
      <c r="AC440" s="2" t="s">
        <v>100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>
        <v>6</v>
      </c>
      <c r="AQ440" s="8">
        <v>433.32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0.4615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325</v>
      </c>
      <c r="BK440" s="8">
        <v>23322.84</v>
      </c>
      <c r="BL440" s="2" t="s">
        <v>1959</v>
      </c>
      <c r="BM440" s="7">
        <v>0.0185</v>
      </c>
      <c r="BN440" s="7">
        <v>0.0186</v>
      </c>
      <c r="BO440" s="4">
        <v>6</v>
      </c>
      <c r="BP440" s="8">
        <v>433.32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1940</v>
      </c>
      <c r="BX440" s="2" t="s">
        <v>841</v>
      </c>
      <c r="BY440" s="2" t="s">
        <v>113</v>
      </c>
      <c r="BZ440" s="2" t="s">
        <v>100</v>
      </c>
    </row>
    <row r="441">
      <c r="A441" s="2" t="s">
        <v>1960</v>
      </c>
      <c r="B441" s="2" t="s">
        <v>87</v>
      </c>
      <c r="C441" s="2" t="s">
        <v>1867</v>
      </c>
      <c r="D441" s="2" t="s">
        <v>803</v>
      </c>
      <c r="E441" s="2" t="s">
        <v>1475</v>
      </c>
      <c r="F441" s="2" t="s">
        <v>1933</v>
      </c>
      <c r="G441" s="2" t="s">
        <v>1221</v>
      </c>
      <c r="H441" s="2" t="s">
        <v>1934</v>
      </c>
      <c r="I441" s="2" t="s">
        <v>1943</v>
      </c>
      <c r="J441" s="2" t="s">
        <v>817</v>
      </c>
      <c r="K441" s="2" t="s">
        <v>1952</v>
      </c>
      <c r="L441" s="3">
        <v>65.28</v>
      </c>
      <c r="M441" s="3">
        <v>68.54</v>
      </c>
      <c r="N441" s="3">
        <v>119.99</v>
      </c>
      <c r="O441" s="2" t="s">
        <v>97</v>
      </c>
      <c r="P441" s="2" t="s">
        <v>119</v>
      </c>
      <c r="Q441" s="2" t="s">
        <v>99</v>
      </c>
      <c r="R441" s="2" t="s">
        <v>100</v>
      </c>
      <c r="S441" s="2" t="s">
        <v>1953</v>
      </c>
      <c r="T441" s="2" t="s">
        <v>100</v>
      </c>
      <c r="U441" s="2" t="s">
        <v>1240</v>
      </c>
      <c r="V441" s="2" t="s">
        <v>256</v>
      </c>
      <c r="W441" s="2" t="s">
        <v>104</v>
      </c>
      <c r="X441" s="2" t="s">
        <v>378</v>
      </c>
      <c r="Y441" s="2" t="s">
        <v>1954</v>
      </c>
      <c r="Z441" s="4">
        <v>399</v>
      </c>
      <c r="AA441" s="4">
        <f>=ROUNDDOWN(79.8,0)</f>
      </c>
      <c r="AB441" s="5">
        <v>5</v>
      </c>
      <c r="AC441" s="2" t="s">
        <v>100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/>
      <c r="AP441" s="4">
        <v>2</v>
      </c>
      <c r="AQ441" s="8">
        <v>144.44</v>
      </c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0.1538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 t="s">
        <v>100</v>
      </c>
      <c r="BJ441" s="4">
        <v>130</v>
      </c>
      <c r="BK441" s="8">
        <v>9554.1</v>
      </c>
      <c r="BL441" s="2" t="s">
        <v>1961</v>
      </c>
      <c r="BM441" s="7">
        <v>0.0154</v>
      </c>
      <c r="BN441" s="7">
        <v>0.0151</v>
      </c>
      <c r="BO441" s="4">
        <v>2</v>
      </c>
      <c r="BP441" s="8">
        <v>144.44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1940</v>
      </c>
      <c r="BX441" s="2" t="s">
        <v>1962</v>
      </c>
      <c r="BY441" s="2" t="s">
        <v>113</v>
      </c>
      <c r="BZ441" s="2" t="s">
        <v>100</v>
      </c>
    </row>
    <row r="442">
      <c r="A442" s="2" t="s">
        <v>1963</v>
      </c>
      <c r="B442" s="2" t="s">
        <v>87</v>
      </c>
      <c r="C442" s="2" t="s">
        <v>1867</v>
      </c>
      <c r="D442" s="2" t="s">
        <v>803</v>
      </c>
      <c r="E442" s="2" t="s">
        <v>1475</v>
      </c>
      <c r="F442" s="2" t="s">
        <v>1933</v>
      </c>
      <c r="G442" s="2" t="s">
        <v>1221</v>
      </c>
      <c r="H442" s="2" t="s">
        <v>1934</v>
      </c>
      <c r="I442" s="2" t="s">
        <v>1935</v>
      </c>
      <c r="J442" s="2" t="s">
        <v>1936</v>
      </c>
      <c r="K442" s="2" t="s">
        <v>878</v>
      </c>
      <c r="L442" s="3">
        <v>50.77</v>
      </c>
      <c r="M442" s="3">
        <v>53.31</v>
      </c>
      <c r="N442" s="3">
        <v>89.99</v>
      </c>
      <c r="O442" s="2" t="s">
        <v>97</v>
      </c>
      <c r="P442" s="2" t="s">
        <v>119</v>
      </c>
      <c r="Q442" s="2" t="s">
        <v>99</v>
      </c>
      <c r="R442" s="2" t="s">
        <v>100</v>
      </c>
      <c r="S442" s="2" t="s">
        <v>1964</v>
      </c>
      <c r="T442" s="2" t="s">
        <v>100</v>
      </c>
      <c r="U442" s="2" t="s">
        <v>337</v>
      </c>
      <c r="V442" s="2" t="s">
        <v>256</v>
      </c>
      <c r="W442" s="2" t="s">
        <v>104</v>
      </c>
      <c r="X442" s="2" t="s">
        <v>159</v>
      </c>
      <c r="Y442" s="2" t="s">
        <v>1938</v>
      </c>
      <c r="Z442" s="4">
        <v>243</v>
      </c>
      <c r="AA442" s="4">
        <f>=ROUNDDOWN(60.75,0)</f>
      </c>
      <c r="AB442" s="5">
        <v>4</v>
      </c>
      <c r="AC442" s="2" t="s">
        <v>100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>
        <v>3</v>
      </c>
      <c r="AQ442" s="8">
        <v>162.51</v>
      </c>
      <c r="AR442" s="4"/>
      <c r="AS442" s="8"/>
      <c r="AT442" s="7"/>
      <c r="AU442" s="7"/>
      <c r="AV442" s="4">
        <v>13</v>
      </c>
      <c r="AW442" s="8">
        <v>788.47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0.2061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>
        <v>0.2247</v>
      </c>
      <c r="BJ442" s="4">
        <v>78</v>
      </c>
      <c r="BK442" s="8">
        <v>4243.27</v>
      </c>
      <c r="BL442" s="2" t="s">
        <v>1965</v>
      </c>
      <c r="BM442" s="7">
        <v>0.0385</v>
      </c>
      <c r="BN442" s="7">
        <v>0.0383</v>
      </c>
      <c r="BO442" s="4">
        <v>3</v>
      </c>
      <c r="BP442" s="8">
        <v>162.51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1940</v>
      </c>
      <c r="BX442" s="2" t="s">
        <v>1966</v>
      </c>
      <c r="BY442" s="2" t="s">
        <v>113</v>
      </c>
      <c r="BZ442" s="2" t="s">
        <v>100</v>
      </c>
    </row>
    <row r="443">
      <c r="A443" s="2" t="s">
        <v>1967</v>
      </c>
      <c r="B443" s="2" t="s">
        <v>87</v>
      </c>
      <c r="C443" s="2" t="s">
        <v>1867</v>
      </c>
      <c r="D443" s="2" t="s">
        <v>803</v>
      </c>
      <c r="E443" s="2" t="s">
        <v>1475</v>
      </c>
      <c r="F443" s="2" t="s">
        <v>1933</v>
      </c>
      <c r="G443" s="2" t="s">
        <v>1221</v>
      </c>
      <c r="H443" s="2" t="s">
        <v>1934</v>
      </c>
      <c r="I443" s="2" t="s">
        <v>1943</v>
      </c>
      <c r="J443" s="2" t="s">
        <v>717</v>
      </c>
      <c r="K443" s="2" t="s">
        <v>878</v>
      </c>
      <c r="L443" s="3">
        <v>55.61</v>
      </c>
      <c r="M443" s="3">
        <v>58.39</v>
      </c>
      <c r="N443" s="3">
        <v>99.99</v>
      </c>
      <c r="O443" s="2" t="s">
        <v>97</v>
      </c>
      <c r="P443" s="2" t="s">
        <v>119</v>
      </c>
      <c r="Q443" s="2" t="s">
        <v>99</v>
      </c>
      <c r="R443" s="2" t="s">
        <v>100</v>
      </c>
      <c r="S443" s="2" t="s">
        <v>1964</v>
      </c>
      <c r="T443" s="2" t="s">
        <v>100</v>
      </c>
      <c r="U443" s="2" t="s">
        <v>1240</v>
      </c>
      <c r="V443" s="2" t="s">
        <v>256</v>
      </c>
      <c r="W443" s="2" t="s">
        <v>104</v>
      </c>
      <c r="X443" s="2" t="s">
        <v>159</v>
      </c>
      <c r="Y443" s="2" t="s">
        <v>1938</v>
      </c>
      <c r="Z443" s="4">
        <v>202</v>
      </c>
      <c r="AA443" s="4">
        <f>=ROUNDDOWN(28.8571428571429,0)</f>
      </c>
      <c r="AB443" s="5">
        <v>7</v>
      </c>
      <c r="AC443" s="2" t="s">
        <v>107</v>
      </c>
      <c r="AD443" s="4">
        <v>180</v>
      </c>
      <c r="AE443" s="4">
        <v>180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>
        <v>8</v>
      </c>
      <c r="AQ443" s="8">
        <v>481.52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0.6107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152</v>
      </c>
      <c r="BK443" s="8">
        <v>8954.56</v>
      </c>
      <c r="BL443" s="2" t="s">
        <v>1968</v>
      </c>
      <c r="BM443" s="7">
        <v>0.0526</v>
      </c>
      <c r="BN443" s="7">
        <v>0.0538</v>
      </c>
      <c r="BO443" s="4">
        <v>8</v>
      </c>
      <c r="BP443" s="8">
        <v>481.52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1940</v>
      </c>
      <c r="BX443" s="2" t="s">
        <v>1941</v>
      </c>
      <c r="BY443" s="2" t="s">
        <v>113</v>
      </c>
      <c r="BZ443" s="2" t="s">
        <v>100</v>
      </c>
    </row>
    <row r="444">
      <c r="A444" s="2" t="s">
        <v>1969</v>
      </c>
      <c r="B444" s="2" t="s">
        <v>87</v>
      </c>
      <c r="C444" s="2" t="s">
        <v>1867</v>
      </c>
      <c r="D444" s="2" t="s">
        <v>803</v>
      </c>
      <c r="E444" s="2" t="s">
        <v>1475</v>
      </c>
      <c r="F444" s="2" t="s">
        <v>1933</v>
      </c>
      <c r="G444" s="2" t="s">
        <v>1221</v>
      </c>
      <c r="H444" s="2" t="s">
        <v>1934</v>
      </c>
      <c r="I444" s="2" t="s">
        <v>1943</v>
      </c>
      <c r="J444" s="2" t="s">
        <v>714</v>
      </c>
      <c r="K444" s="2" t="s">
        <v>878</v>
      </c>
      <c r="L444" s="3">
        <v>65.28</v>
      </c>
      <c r="M444" s="3">
        <v>68.54</v>
      </c>
      <c r="N444" s="3">
        <v>119.99</v>
      </c>
      <c r="O444" s="2" t="s">
        <v>97</v>
      </c>
      <c r="P444" s="2" t="s">
        <v>119</v>
      </c>
      <c r="Q444" s="2" t="s">
        <v>99</v>
      </c>
      <c r="R444" s="2" t="s">
        <v>100</v>
      </c>
      <c r="S444" s="2" t="s">
        <v>1964</v>
      </c>
      <c r="T444" s="2" t="s">
        <v>100</v>
      </c>
      <c r="U444" s="2" t="s">
        <v>1240</v>
      </c>
      <c r="V444" s="2" t="s">
        <v>256</v>
      </c>
      <c r="W444" s="2" t="s">
        <v>104</v>
      </c>
      <c r="X444" s="2" t="s">
        <v>159</v>
      </c>
      <c r="Y444" s="2" t="s">
        <v>1938</v>
      </c>
      <c r="Z444" s="4">
        <v>239</v>
      </c>
      <c r="AA444" s="4">
        <f>=ROUNDDOWN(29.875,0)</f>
      </c>
      <c r="AB444" s="5">
        <v>8</v>
      </c>
      <c r="AC444" s="2" t="s">
        <v>107</v>
      </c>
      <c r="AD444" s="4">
        <v>140</v>
      </c>
      <c r="AE444" s="4">
        <v>140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>
        <v>1</v>
      </c>
      <c r="AQ444" s="8">
        <v>72.22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0.0916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185</v>
      </c>
      <c r="BK444" s="8">
        <v>13337.74</v>
      </c>
      <c r="BL444" s="2" t="s">
        <v>1970</v>
      </c>
      <c r="BM444" s="7">
        <v>0.0054</v>
      </c>
      <c r="BN444" s="7">
        <v>0.0054</v>
      </c>
      <c r="BO444" s="4">
        <v>1</v>
      </c>
      <c r="BP444" s="8">
        <v>72.22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1940</v>
      </c>
      <c r="BX444" s="2" t="s">
        <v>1971</v>
      </c>
      <c r="BY444" s="2" t="s">
        <v>113</v>
      </c>
      <c r="BZ444" s="2" t="s">
        <v>100</v>
      </c>
    </row>
    <row r="445">
      <c r="A445" s="2" t="s">
        <v>1972</v>
      </c>
      <c r="B445" s="2" t="s">
        <v>87</v>
      </c>
      <c r="C445" s="2" t="s">
        <v>1867</v>
      </c>
      <c r="D445" s="2" t="s">
        <v>803</v>
      </c>
      <c r="E445" s="2" t="s">
        <v>1475</v>
      </c>
      <c r="F445" s="2" t="s">
        <v>1933</v>
      </c>
      <c r="G445" s="2" t="s">
        <v>1221</v>
      </c>
      <c r="H445" s="2" t="s">
        <v>1934</v>
      </c>
      <c r="I445" s="2" t="s">
        <v>1943</v>
      </c>
      <c r="J445" s="2" t="s">
        <v>817</v>
      </c>
      <c r="K445" s="2" t="s">
        <v>878</v>
      </c>
      <c r="L445" s="3">
        <v>65.28</v>
      </c>
      <c r="M445" s="3">
        <v>68.54</v>
      </c>
      <c r="N445" s="3">
        <v>119.99</v>
      </c>
      <c r="O445" s="2" t="s">
        <v>97</v>
      </c>
      <c r="P445" s="2" t="s">
        <v>119</v>
      </c>
      <c r="Q445" s="2" t="s">
        <v>99</v>
      </c>
      <c r="R445" s="2" t="s">
        <v>100</v>
      </c>
      <c r="S445" s="2" t="s">
        <v>1964</v>
      </c>
      <c r="T445" s="2" t="s">
        <v>100</v>
      </c>
      <c r="U445" s="2" t="s">
        <v>1240</v>
      </c>
      <c r="V445" s="2" t="s">
        <v>256</v>
      </c>
      <c r="W445" s="2" t="s">
        <v>104</v>
      </c>
      <c r="X445" s="2" t="s">
        <v>159</v>
      </c>
      <c r="Y445" s="2" t="s">
        <v>1938</v>
      </c>
      <c r="Z445" s="4">
        <v>130</v>
      </c>
      <c r="AA445" s="4">
        <f>=ROUNDDOWN(65,0)</f>
      </c>
      <c r="AB445" s="5">
        <v>2</v>
      </c>
      <c r="AC445" s="2" t="s">
        <v>107</v>
      </c>
      <c r="AD445" s="4">
        <v>20</v>
      </c>
      <c r="AE445" s="4">
        <v>20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>
        <v>1</v>
      </c>
      <c r="AQ445" s="8">
        <v>72.22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0.0916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58</v>
      </c>
      <c r="BK445" s="8">
        <v>4130.2</v>
      </c>
      <c r="BL445" s="2" t="s">
        <v>1973</v>
      </c>
      <c r="BM445" s="7">
        <v>0.0172</v>
      </c>
      <c r="BN445" s="7">
        <v>0.0175</v>
      </c>
      <c r="BO445" s="4">
        <v>1</v>
      </c>
      <c r="BP445" s="8">
        <v>72.22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1940</v>
      </c>
      <c r="BX445" s="2" t="s">
        <v>1950</v>
      </c>
      <c r="BY445" s="2" t="s">
        <v>113</v>
      </c>
      <c r="BZ445" s="2" t="s">
        <v>100</v>
      </c>
    </row>
    <row r="446">
      <c r="A446" s="2" t="s">
        <v>1974</v>
      </c>
      <c r="B446" s="2" t="s">
        <v>87</v>
      </c>
      <c r="C446" s="2" t="s">
        <v>1867</v>
      </c>
      <c r="D446" s="2" t="s">
        <v>803</v>
      </c>
      <c r="E446" s="2" t="s">
        <v>1475</v>
      </c>
      <c r="F446" s="2" t="s">
        <v>1975</v>
      </c>
      <c r="G446" s="2" t="s">
        <v>1976</v>
      </c>
      <c r="H446" s="2" t="s">
        <v>1977</v>
      </c>
      <c r="I446" s="2" t="s">
        <v>1935</v>
      </c>
      <c r="J446" s="2" t="s">
        <v>1936</v>
      </c>
      <c r="K446" s="2" t="s">
        <v>198</v>
      </c>
      <c r="L446" s="3">
        <v>51.99</v>
      </c>
      <c r="M446" s="3">
        <v>54.59</v>
      </c>
      <c r="N446" s="3">
        <v>99.99</v>
      </c>
      <c r="O446" s="2" t="s">
        <v>97</v>
      </c>
      <c r="P446" s="2" t="s">
        <v>119</v>
      </c>
      <c r="Q446" s="2" t="s">
        <v>99</v>
      </c>
      <c r="R446" s="2" t="s">
        <v>100</v>
      </c>
      <c r="S446" s="2" t="s">
        <v>1978</v>
      </c>
      <c r="T446" s="2" t="s">
        <v>100</v>
      </c>
      <c r="U446" s="2" t="s">
        <v>337</v>
      </c>
      <c r="V446" s="2" t="s">
        <v>403</v>
      </c>
      <c r="W446" s="2" t="s">
        <v>561</v>
      </c>
      <c r="X446" s="2" t="s">
        <v>100</v>
      </c>
      <c r="Y446" s="2" t="s">
        <v>240</v>
      </c>
      <c r="Z446" s="4">
        <v>203</v>
      </c>
      <c r="AA446" s="4">
        <f>=ROUNDDOWN(101.5,0)</f>
      </c>
      <c r="AB446" s="5">
        <v>2</v>
      </c>
      <c r="AC446" s="2" t="s">
        <v>100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>
        <v>11</v>
      </c>
      <c r="AW446" s="8">
        <v>682.1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>
        <v>18</v>
      </c>
      <c r="BD446" s="8">
        <v>1094.81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0.623</v>
      </c>
      <c r="BJ446" s="4">
        <v>49</v>
      </c>
      <c r="BK446" s="8">
        <v>2531.99</v>
      </c>
      <c r="BL446" s="2" t="s">
        <v>1979</v>
      </c>
      <c r="BM446" s="7"/>
      <c r="BN446" s="7"/>
      <c r="BO446" s="4"/>
      <c r="BP446" s="8"/>
      <c r="BQ446" s="4"/>
      <c r="BR446" s="8"/>
      <c r="BS446" s="7"/>
      <c r="BT446" s="7"/>
      <c r="BU446" s="2" t="s">
        <v>109</v>
      </c>
      <c r="BV446" s="2" t="s">
        <v>97</v>
      </c>
      <c r="BW446" s="2" t="s">
        <v>243</v>
      </c>
      <c r="BX446" s="2" t="s">
        <v>1980</v>
      </c>
      <c r="BY446" s="2" t="s">
        <v>113</v>
      </c>
      <c r="BZ446" s="2" t="s">
        <v>100</v>
      </c>
    </row>
    <row r="447">
      <c r="A447" s="2" t="s">
        <v>1981</v>
      </c>
      <c r="B447" s="2" t="s">
        <v>87</v>
      </c>
      <c r="C447" s="2" t="s">
        <v>1867</v>
      </c>
      <c r="D447" s="2" t="s">
        <v>803</v>
      </c>
      <c r="E447" s="2" t="s">
        <v>1475</v>
      </c>
      <c r="F447" s="2" t="s">
        <v>1975</v>
      </c>
      <c r="G447" s="2" t="s">
        <v>1976</v>
      </c>
      <c r="H447" s="2" t="s">
        <v>1977</v>
      </c>
      <c r="I447" s="2" t="s">
        <v>1943</v>
      </c>
      <c r="J447" s="2" t="s">
        <v>717</v>
      </c>
      <c r="K447" s="2" t="s">
        <v>198</v>
      </c>
      <c r="L447" s="3">
        <v>57.19</v>
      </c>
      <c r="M447" s="3">
        <v>60.05</v>
      </c>
      <c r="N447" s="3">
        <v>109.99</v>
      </c>
      <c r="O447" s="2" t="s">
        <v>97</v>
      </c>
      <c r="P447" s="2" t="s">
        <v>119</v>
      </c>
      <c r="Q447" s="2" t="s">
        <v>99</v>
      </c>
      <c r="R447" s="2" t="s">
        <v>100</v>
      </c>
      <c r="S447" s="2" t="s">
        <v>1978</v>
      </c>
      <c r="T447" s="2" t="s">
        <v>100</v>
      </c>
      <c r="U447" s="2" t="s">
        <v>1240</v>
      </c>
      <c r="V447" s="2" t="s">
        <v>403</v>
      </c>
      <c r="W447" s="2" t="s">
        <v>561</v>
      </c>
      <c r="X447" s="2" t="s">
        <v>100</v>
      </c>
      <c r="Y447" s="2" t="s">
        <v>240</v>
      </c>
      <c r="Z447" s="4">
        <v>120</v>
      </c>
      <c r="AA447" s="4">
        <f>=ROUNDDOWN(30,0)</f>
      </c>
      <c r="AB447" s="5">
        <v>4</v>
      </c>
      <c r="AC447" s="2" t="s">
        <v>241</v>
      </c>
      <c r="AD447" s="4">
        <v>350</v>
      </c>
      <c r="AE447" s="4">
        <v>430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>
        <v>3</v>
      </c>
      <c r="AQ447" s="8">
        <v>171.96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0.2521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97</v>
      </c>
      <c r="BK447" s="8">
        <v>5660.89</v>
      </c>
      <c r="BL447" s="2" t="s">
        <v>327</v>
      </c>
      <c r="BM447" s="7">
        <v>0.0309</v>
      </c>
      <c r="BN447" s="7">
        <v>0.0304</v>
      </c>
      <c r="BO447" s="4">
        <v>3</v>
      </c>
      <c r="BP447" s="8">
        <v>171.96</v>
      </c>
      <c r="BQ447" s="4"/>
      <c r="BR447" s="8"/>
      <c r="BS447" s="7"/>
      <c r="BT447" s="7"/>
      <c r="BU447" s="2" t="s">
        <v>109</v>
      </c>
      <c r="BV447" s="2" t="s">
        <v>110</v>
      </c>
      <c r="BW447" s="2" t="s">
        <v>243</v>
      </c>
      <c r="BX447" s="2" t="s">
        <v>322</v>
      </c>
      <c r="BY447" s="2" t="s">
        <v>113</v>
      </c>
      <c r="BZ447" s="2" t="s">
        <v>100</v>
      </c>
    </row>
    <row r="448">
      <c r="A448" s="2" t="s">
        <v>1982</v>
      </c>
      <c r="B448" s="2" t="s">
        <v>87</v>
      </c>
      <c r="C448" s="2" t="s">
        <v>1867</v>
      </c>
      <c r="D448" s="2" t="s">
        <v>803</v>
      </c>
      <c r="E448" s="2" t="s">
        <v>1475</v>
      </c>
      <c r="F448" s="2" t="s">
        <v>1975</v>
      </c>
      <c r="G448" s="2" t="s">
        <v>1976</v>
      </c>
      <c r="H448" s="2" t="s">
        <v>1977</v>
      </c>
      <c r="I448" s="2" t="s">
        <v>1943</v>
      </c>
      <c r="J448" s="2" t="s">
        <v>706</v>
      </c>
      <c r="K448" s="2" t="s">
        <v>198</v>
      </c>
      <c r="L448" s="3">
        <v>62.39</v>
      </c>
      <c r="M448" s="3">
        <v>65.51</v>
      </c>
      <c r="N448" s="3">
        <v>119.99</v>
      </c>
      <c r="O448" s="2" t="s">
        <v>97</v>
      </c>
      <c r="P448" s="2" t="s">
        <v>119</v>
      </c>
      <c r="Q448" s="2" t="s">
        <v>99</v>
      </c>
      <c r="R448" s="2" t="s">
        <v>100</v>
      </c>
      <c r="S448" s="2" t="s">
        <v>1978</v>
      </c>
      <c r="T448" s="2" t="s">
        <v>100</v>
      </c>
      <c r="U448" s="2" t="s">
        <v>1240</v>
      </c>
      <c r="V448" s="2" t="s">
        <v>403</v>
      </c>
      <c r="W448" s="2" t="s">
        <v>561</v>
      </c>
      <c r="X448" s="2" t="s">
        <v>100</v>
      </c>
      <c r="Y448" s="2" t="s">
        <v>240</v>
      </c>
      <c r="Z448" s="4">
        <v>307</v>
      </c>
      <c r="AA448" s="4">
        <f>=ROUNDDOWN(34.1111111111111,0)</f>
      </c>
      <c r="AB448" s="5">
        <v>9</v>
      </c>
      <c r="AC448" s="2" t="s">
        <v>1457</v>
      </c>
      <c r="AD448" s="4">
        <v>140</v>
      </c>
      <c r="AE448" s="4">
        <v>140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>
        <v>7</v>
      </c>
      <c r="AQ448" s="8">
        <v>441.35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0.647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210</v>
      </c>
      <c r="BK448" s="8">
        <v>13507.37</v>
      </c>
      <c r="BL448" s="2" t="s">
        <v>1983</v>
      </c>
      <c r="BM448" s="7">
        <v>0.0333</v>
      </c>
      <c r="BN448" s="7">
        <v>0.0327</v>
      </c>
      <c r="BO448" s="4">
        <v>7</v>
      </c>
      <c r="BP448" s="8">
        <v>441.35</v>
      </c>
      <c r="BQ448" s="4"/>
      <c r="BR448" s="8"/>
      <c r="BS448" s="7"/>
      <c r="BT448" s="7"/>
      <c r="BU448" s="2" t="s">
        <v>109</v>
      </c>
      <c r="BV448" s="2" t="s">
        <v>110</v>
      </c>
      <c r="BW448" s="2" t="s">
        <v>243</v>
      </c>
      <c r="BX448" s="2" t="s">
        <v>1984</v>
      </c>
      <c r="BY448" s="2" t="s">
        <v>113</v>
      </c>
      <c r="BZ448" s="2" t="s">
        <v>100</v>
      </c>
    </row>
    <row r="449">
      <c r="A449" s="2" t="s">
        <v>1985</v>
      </c>
      <c r="B449" s="2" t="s">
        <v>87</v>
      </c>
      <c r="C449" s="2" t="s">
        <v>1867</v>
      </c>
      <c r="D449" s="2" t="s">
        <v>803</v>
      </c>
      <c r="E449" s="2" t="s">
        <v>1475</v>
      </c>
      <c r="F449" s="2" t="s">
        <v>1975</v>
      </c>
      <c r="G449" s="2" t="s">
        <v>1976</v>
      </c>
      <c r="H449" s="2" t="s">
        <v>1977</v>
      </c>
      <c r="I449" s="2" t="s">
        <v>1943</v>
      </c>
      <c r="J449" s="2" t="s">
        <v>714</v>
      </c>
      <c r="K449" s="2" t="s">
        <v>198</v>
      </c>
      <c r="L449" s="3">
        <v>67.59</v>
      </c>
      <c r="M449" s="3">
        <v>70.97</v>
      </c>
      <c r="N449" s="3">
        <v>129.99</v>
      </c>
      <c r="O449" s="2" t="s">
        <v>97</v>
      </c>
      <c r="P449" s="2" t="s">
        <v>119</v>
      </c>
      <c r="Q449" s="2" t="s">
        <v>99</v>
      </c>
      <c r="R449" s="2" t="s">
        <v>100</v>
      </c>
      <c r="S449" s="2" t="s">
        <v>1978</v>
      </c>
      <c r="T449" s="2" t="s">
        <v>100</v>
      </c>
      <c r="U449" s="2" t="s">
        <v>1240</v>
      </c>
      <c r="V449" s="2" t="s">
        <v>403</v>
      </c>
      <c r="W449" s="2" t="s">
        <v>561</v>
      </c>
      <c r="X449" s="2" t="s">
        <v>100</v>
      </c>
      <c r="Y449" s="2" t="s">
        <v>240</v>
      </c>
      <c r="Z449" s="4">
        <v>245</v>
      </c>
      <c r="AA449" s="4">
        <f>=ROUNDDOWN(40.8333333333333,0)</f>
      </c>
      <c r="AB449" s="5">
        <v>6</v>
      </c>
      <c r="AC449" s="2" t="s">
        <v>1457</v>
      </c>
      <c r="AD449" s="4">
        <v>60</v>
      </c>
      <c r="AE449" s="4">
        <v>60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>
        <v>1</v>
      </c>
      <c r="AQ449" s="8">
        <v>68.79</v>
      </c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0.1009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 t="s">
        <v>100</v>
      </c>
      <c r="BJ449" s="4">
        <v>119</v>
      </c>
      <c r="BK449" s="8">
        <v>8357.89</v>
      </c>
      <c r="BL449" s="2" t="s">
        <v>1986</v>
      </c>
      <c r="BM449" s="7">
        <v>0.0084</v>
      </c>
      <c r="BN449" s="7">
        <v>0.0082</v>
      </c>
      <c r="BO449" s="4">
        <v>1</v>
      </c>
      <c r="BP449" s="8">
        <v>68.79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243</v>
      </c>
      <c r="BX449" s="2" t="s">
        <v>295</v>
      </c>
      <c r="BY449" s="2" t="s">
        <v>113</v>
      </c>
      <c r="BZ449" s="2" t="s">
        <v>100</v>
      </c>
    </row>
    <row r="450">
      <c r="A450" s="2" t="s">
        <v>1987</v>
      </c>
      <c r="B450" s="2" t="s">
        <v>87</v>
      </c>
      <c r="C450" s="2" t="s">
        <v>1867</v>
      </c>
      <c r="D450" s="2" t="s">
        <v>803</v>
      </c>
      <c r="E450" s="2" t="s">
        <v>1475</v>
      </c>
      <c r="F450" s="2" t="s">
        <v>1975</v>
      </c>
      <c r="G450" s="2" t="s">
        <v>1976</v>
      </c>
      <c r="H450" s="2" t="s">
        <v>1977</v>
      </c>
      <c r="I450" s="2" t="s">
        <v>1943</v>
      </c>
      <c r="J450" s="2" t="s">
        <v>817</v>
      </c>
      <c r="K450" s="2" t="s">
        <v>198</v>
      </c>
      <c r="L450" s="3">
        <v>67.59</v>
      </c>
      <c r="M450" s="3">
        <v>70.97</v>
      </c>
      <c r="N450" s="3">
        <v>129.99</v>
      </c>
      <c r="O450" s="2" t="s">
        <v>97</v>
      </c>
      <c r="P450" s="2" t="s">
        <v>119</v>
      </c>
      <c r="Q450" s="2" t="s">
        <v>99</v>
      </c>
      <c r="R450" s="2" t="s">
        <v>100</v>
      </c>
      <c r="S450" s="2" t="s">
        <v>1978</v>
      </c>
      <c r="T450" s="2" t="s">
        <v>100</v>
      </c>
      <c r="U450" s="2" t="s">
        <v>1240</v>
      </c>
      <c r="V450" s="2" t="s">
        <v>403</v>
      </c>
      <c r="W450" s="2" t="s">
        <v>561</v>
      </c>
      <c r="X450" s="2" t="s">
        <v>100</v>
      </c>
      <c r="Y450" s="2" t="s">
        <v>240</v>
      </c>
      <c r="Z450" s="4">
        <v>141</v>
      </c>
      <c r="AA450" s="4">
        <f>=ROUNDDOWN(47,0)</f>
      </c>
      <c r="AB450" s="5">
        <v>3</v>
      </c>
      <c r="AC450" s="2" t="s">
        <v>241</v>
      </c>
      <c r="AD450" s="4">
        <v>700</v>
      </c>
      <c r="AE450" s="4">
        <v>720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84</v>
      </c>
      <c r="BK450" s="8">
        <v>5700.2</v>
      </c>
      <c r="BL450" s="2" t="s">
        <v>1988</v>
      </c>
      <c r="BM450" s="7"/>
      <c r="BN450" s="7"/>
      <c r="BO450" s="4"/>
      <c r="BP450" s="8"/>
      <c r="BQ450" s="4"/>
      <c r="BR450" s="8"/>
      <c r="BS450" s="7"/>
      <c r="BT450" s="7"/>
      <c r="BU450" s="2" t="s">
        <v>109</v>
      </c>
      <c r="BV450" s="2" t="s">
        <v>97</v>
      </c>
      <c r="BW450" s="2" t="s">
        <v>243</v>
      </c>
      <c r="BX450" s="2" t="s">
        <v>1989</v>
      </c>
      <c r="BY450" s="2" t="s">
        <v>113</v>
      </c>
      <c r="BZ450" s="2" t="s">
        <v>100</v>
      </c>
    </row>
    <row r="451">
      <c r="A451" s="2" t="s">
        <v>1990</v>
      </c>
      <c r="B451" s="2" t="s">
        <v>87</v>
      </c>
      <c r="C451" s="2" t="s">
        <v>1867</v>
      </c>
      <c r="D451" s="2" t="s">
        <v>803</v>
      </c>
      <c r="E451" s="2" t="s">
        <v>1475</v>
      </c>
      <c r="F451" s="2" t="s">
        <v>1975</v>
      </c>
      <c r="G451" s="2" t="s">
        <v>1976</v>
      </c>
      <c r="H451" s="2" t="s">
        <v>1977</v>
      </c>
      <c r="I451" s="2" t="s">
        <v>1935</v>
      </c>
      <c r="J451" s="2" t="s">
        <v>1936</v>
      </c>
      <c r="K451" s="2" t="s">
        <v>96</v>
      </c>
      <c r="L451" s="3">
        <v>51.99</v>
      </c>
      <c r="M451" s="3">
        <v>54.59</v>
      </c>
      <c r="N451" s="3">
        <v>99.99</v>
      </c>
      <c r="O451" s="2" t="s">
        <v>97</v>
      </c>
      <c r="P451" s="2" t="s">
        <v>119</v>
      </c>
      <c r="Q451" s="2" t="s">
        <v>99</v>
      </c>
      <c r="R451" s="2" t="s">
        <v>100</v>
      </c>
      <c r="S451" s="2" t="s">
        <v>1991</v>
      </c>
      <c r="T451" s="2" t="s">
        <v>100</v>
      </c>
      <c r="U451" s="2" t="s">
        <v>337</v>
      </c>
      <c r="V451" s="2" t="s">
        <v>403</v>
      </c>
      <c r="W451" s="2" t="s">
        <v>561</v>
      </c>
      <c r="X451" s="2" t="s">
        <v>100</v>
      </c>
      <c r="Y451" s="2" t="s">
        <v>240</v>
      </c>
      <c r="Z451" s="4">
        <v>98</v>
      </c>
      <c r="AA451" s="4">
        <f>=ROUNDDOWN(24.5,0)</f>
      </c>
      <c r="AB451" s="5">
        <v>4</v>
      </c>
      <c r="AC451" s="2" t="s">
        <v>241</v>
      </c>
      <c r="AD451" s="4">
        <v>280</v>
      </c>
      <c r="AE451" s="4">
        <v>380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>
        <v>2</v>
      </c>
      <c r="AQ451" s="8">
        <v>103.18</v>
      </c>
      <c r="AR451" s="4"/>
      <c r="AS451" s="8"/>
      <c r="AT451" s="7"/>
      <c r="AU451" s="7"/>
      <c r="AV451" s="4">
        <v>7</v>
      </c>
      <c r="AW451" s="8">
        <v>412.71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0.25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0.377</v>
      </c>
      <c r="BJ451" s="4">
        <v>143</v>
      </c>
      <c r="BK451" s="8">
        <v>7368.19</v>
      </c>
      <c r="BL451" s="2" t="s">
        <v>1992</v>
      </c>
      <c r="BM451" s="7">
        <v>0.014</v>
      </c>
      <c r="BN451" s="7">
        <v>0.014</v>
      </c>
      <c r="BO451" s="4">
        <v>2</v>
      </c>
      <c r="BP451" s="8">
        <v>103.18</v>
      </c>
      <c r="BQ451" s="4"/>
      <c r="BR451" s="8"/>
      <c r="BS451" s="7"/>
      <c r="BT451" s="7"/>
      <c r="BU451" s="2" t="s">
        <v>109</v>
      </c>
      <c r="BV451" s="2" t="s">
        <v>110</v>
      </c>
      <c r="BW451" s="2" t="s">
        <v>328</v>
      </c>
      <c r="BX451" s="2" t="s">
        <v>1993</v>
      </c>
      <c r="BY451" s="2" t="s">
        <v>113</v>
      </c>
      <c r="BZ451" s="2" t="s">
        <v>100</v>
      </c>
    </row>
    <row r="452">
      <c r="A452" s="2" t="s">
        <v>1994</v>
      </c>
      <c r="B452" s="2" t="s">
        <v>87</v>
      </c>
      <c r="C452" s="2" t="s">
        <v>1867</v>
      </c>
      <c r="D452" s="2" t="s">
        <v>803</v>
      </c>
      <c r="E452" s="2" t="s">
        <v>1475</v>
      </c>
      <c r="F452" s="2" t="s">
        <v>1975</v>
      </c>
      <c r="G452" s="2" t="s">
        <v>1976</v>
      </c>
      <c r="H452" s="2" t="s">
        <v>1977</v>
      </c>
      <c r="I452" s="2" t="s">
        <v>1943</v>
      </c>
      <c r="J452" s="2" t="s">
        <v>717</v>
      </c>
      <c r="K452" s="2" t="s">
        <v>96</v>
      </c>
      <c r="L452" s="3">
        <v>57.19</v>
      </c>
      <c r="M452" s="3">
        <v>60.05</v>
      </c>
      <c r="N452" s="3">
        <v>109.99</v>
      </c>
      <c r="O452" s="2" t="s">
        <v>97</v>
      </c>
      <c r="P452" s="2" t="s">
        <v>119</v>
      </c>
      <c r="Q452" s="2" t="s">
        <v>99</v>
      </c>
      <c r="R452" s="2" t="s">
        <v>100</v>
      </c>
      <c r="S452" s="2" t="s">
        <v>1991</v>
      </c>
      <c r="T452" s="2" t="s">
        <v>100</v>
      </c>
      <c r="U452" s="2" t="s">
        <v>1240</v>
      </c>
      <c r="V452" s="2" t="s">
        <v>403</v>
      </c>
      <c r="W452" s="2" t="s">
        <v>561</v>
      </c>
      <c r="X452" s="2" t="s">
        <v>100</v>
      </c>
      <c r="Y452" s="2" t="s">
        <v>240</v>
      </c>
      <c r="Z452" s="4">
        <v>181</v>
      </c>
      <c r="AA452" s="4">
        <f>=ROUNDDOWN(36.2,0)</f>
      </c>
      <c r="AB452" s="5">
        <v>5</v>
      </c>
      <c r="AC452" s="2" t="s">
        <v>241</v>
      </c>
      <c r="AD452" s="4">
        <v>770</v>
      </c>
      <c r="AE452" s="4">
        <v>810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>
        <v>2</v>
      </c>
      <c r="AQ452" s="8">
        <v>114.64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0.2778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143</v>
      </c>
      <c r="BK452" s="8">
        <v>8281.69</v>
      </c>
      <c r="BL452" s="2" t="s">
        <v>786</v>
      </c>
      <c r="BM452" s="7">
        <v>0.014</v>
      </c>
      <c r="BN452" s="7">
        <v>0.0138</v>
      </c>
      <c r="BO452" s="4">
        <v>2</v>
      </c>
      <c r="BP452" s="8">
        <v>114.64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328</v>
      </c>
      <c r="BX452" s="2" t="s">
        <v>1995</v>
      </c>
      <c r="BY452" s="2" t="s">
        <v>113</v>
      </c>
      <c r="BZ452" s="2" t="s">
        <v>100</v>
      </c>
    </row>
    <row r="453">
      <c r="A453" s="2" t="s">
        <v>1996</v>
      </c>
      <c r="B453" s="2" t="s">
        <v>87</v>
      </c>
      <c r="C453" s="2" t="s">
        <v>1867</v>
      </c>
      <c r="D453" s="2" t="s">
        <v>803</v>
      </c>
      <c r="E453" s="2" t="s">
        <v>1475</v>
      </c>
      <c r="F453" s="2" t="s">
        <v>1975</v>
      </c>
      <c r="G453" s="2" t="s">
        <v>1976</v>
      </c>
      <c r="H453" s="2" t="s">
        <v>1977</v>
      </c>
      <c r="I453" s="2" t="s">
        <v>1943</v>
      </c>
      <c r="J453" s="2" t="s">
        <v>706</v>
      </c>
      <c r="K453" s="2" t="s">
        <v>96</v>
      </c>
      <c r="L453" s="3">
        <v>62.39</v>
      </c>
      <c r="M453" s="3">
        <v>65.51</v>
      </c>
      <c r="N453" s="3">
        <v>119.99</v>
      </c>
      <c r="O453" s="2" t="s">
        <v>97</v>
      </c>
      <c r="P453" s="2" t="s">
        <v>119</v>
      </c>
      <c r="Q453" s="2" t="s">
        <v>99</v>
      </c>
      <c r="R453" s="2" t="s">
        <v>100</v>
      </c>
      <c r="S453" s="2" t="s">
        <v>1991</v>
      </c>
      <c r="T453" s="2" t="s">
        <v>100</v>
      </c>
      <c r="U453" s="2" t="s">
        <v>1240</v>
      </c>
      <c r="V453" s="2" t="s">
        <v>403</v>
      </c>
      <c r="W453" s="2" t="s">
        <v>561</v>
      </c>
      <c r="X453" s="2" t="s">
        <v>100</v>
      </c>
      <c r="Y453" s="2" t="s">
        <v>240</v>
      </c>
      <c r="Z453" s="4">
        <v>278</v>
      </c>
      <c r="AA453" s="4">
        <f>=ROUNDDOWN(21.3846153846154,0)</f>
      </c>
      <c r="AB453" s="5">
        <v>13</v>
      </c>
      <c r="AC453" s="2" t="s">
        <v>1457</v>
      </c>
      <c r="AD453" s="4">
        <v>150</v>
      </c>
      <c r="AE453" s="4">
        <v>150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/>
      <c r="AP453" s="4">
        <v>2</v>
      </c>
      <c r="AQ453" s="8">
        <v>126.1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0.3055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373</v>
      </c>
      <c r="BK453" s="8">
        <v>23718.88</v>
      </c>
      <c r="BL453" s="2" t="s">
        <v>1997</v>
      </c>
      <c r="BM453" s="7">
        <v>0.0054</v>
      </c>
      <c r="BN453" s="7">
        <v>0.0053</v>
      </c>
      <c r="BO453" s="4">
        <v>2</v>
      </c>
      <c r="BP453" s="8">
        <v>126.1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328</v>
      </c>
      <c r="BX453" s="2" t="s">
        <v>1998</v>
      </c>
      <c r="BY453" s="2" t="s">
        <v>113</v>
      </c>
      <c r="BZ453" s="2" t="s">
        <v>100</v>
      </c>
    </row>
    <row r="454">
      <c r="A454" s="2" t="s">
        <v>1999</v>
      </c>
      <c r="B454" s="2" t="s">
        <v>87</v>
      </c>
      <c r="C454" s="2" t="s">
        <v>1867</v>
      </c>
      <c r="D454" s="2" t="s">
        <v>803</v>
      </c>
      <c r="E454" s="2" t="s">
        <v>1475</v>
      </c>
      <c r="F454" s="2" t="s">
        <v>1975</v>
      </c>
      <c r="G454" s="2" t="s">
        <v>1976</v>
      </c>
      <c r="H454" s="2" t="s">
        <v>1977</v>
      </c>
      <c r="I454" s="2" t="s">
        <v>1943</v>
      </c>
      <c r="J454" s="2" t="s">
        <v>714</v>
      </c>
      <c r="K454" s="2" t="s">
        <v>96</v>
      </c>
      <c r="L454" s="3">
        <v>67.59</v>
      </c>
      <c r="M454" s="3">
        <v>70.97</v>
      </c>
      <c r="N454" s="3">
        <v>129.99</v>
      </c>
      <c r="O454" s="2" t="s">
        <v>97</v>
      </c>
      <c r="P454" s="2" t="s">
        <v>119</v>
      </c>
      <c r="Q454" s="2" t="s">
        <v>99</v>
      </c>
      <c r="R454" s="2" t="s">
        <v>100</v>
      </c>
      <c r="S454" s="2" t="s">
        <v>1991</v>
      </c>
      <c r="T454" s="2" t="s">
        <v>100</v>
      </c>
      <c r="U454" s="2" t="s">
        <v>1240</v>
      </c>
      <c r="V454" s="2" t="s">
        <v>403</v>
      </c>
      <c r="W454" s="2" t="s">
        <v>561</v>
      </c>
      <c r="X454" s="2" t="s">
        <v>100</v>
      </c>
      <c r="Y454" s="2" t="s">
        <v>240</v>
      </c>
      <c r="Z454" s="4">
        <v>133</v>
      </c>
      <c r="AA454" s="4">
        <f>=ROUNDDOWN(16.625,0)</f>
      </c>
      <c r="AB454" s="5">
        <v>8</v>
      </c>
      <c r="AC454" s="2" t="s">
        <v>241</v>
      </c>
      <c r="AD454" s="4">
        <v>210</v>
      </c>
      <c r="AE454" s="4">
        <v>320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>
        <v>1</v>
      </c>
      <c r="AQ454" s="8">
        <v>68.79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0.1667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196</v>
      </c>
      <c r="BK454" s="8">
        <v>13684.83</v>
      </c>
      <c r="BL454" s="2" t="s">
        <v>2000</v>
      </c>
      <c r="BM454" s="7">
        <v>0.0051</v>
      </c>
      <c r="BN454" s="7">
        <v>0.005</v>
      </c>
      <c r="BO454" s="4">
        <v>1</v>
      </c>
      <c r="BP454" s="8">
        <v>68.79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328</v>
      </c>
      <c r="BX454" s="2" t="s">
        <v>2001</v>
      </c>
      <c r="BY454" s="2" t="s">
        <v>113</v>
      </c>
      <c r="BZ454" s="2" t="s">
        <v>100</v>
      </c>
    </row>
    <row r="455">
      <c r="A455" s="2" t="s">
        <v>2002</v>
      </c>
      <c r="B455" s="2" t="s">
        <v>87</v>
      </c>
      <c r="C455" s="2" t="s">
        <v>1867</v>
      </c>
      <c r="D455" s="2" t="s">
        <v>803</v>
      </c>
      <c r="E455" s="2" t="s">
        <v>1475</v>
      </c>
      <c r="F455" s="2" t="s">
        <v>1975</v>
      </c>
      <c r="G455" s="2" t="s">
        <v>1976</v>
      </c>
      <c r="H455" s="2" t="s">
        <v>1977</v>
      </c>
      <c r="I455" s="2" t="s">
        <v>1943</v>
      </c>
      <c r="J455" s="2" t="s">
        <v>817</v>
      </c>
      <c r="K455" s="2" t="s">
        <v>96</v>
      </c>
      <c r="L455" s="3">
        <v>67.59</v>
      </c>
      <c r="M455" s="3">
        <v>70.97</v>
      </c>
      <c r="N455" s="3">
        <v>129.99</v>
      </c>
      <c r="O455" s="2" t="s">
        <v>97</v>
      </c>
      <c r="P455" s="2" t="s">
        <v>119</v>
      </c>
      <c r="Q455" s="2" t="s">
        <v>99</v>
      </c>
      <c r="R455" s="2" t="s">
        <v>100</v>
      </c>
      <c r="S455" s="2" t="s">
        <v>1991</v>
      </c>
      <c r="T455" s="2" t="s">
        <v>100</v>
      </c>
      <c r="U455" s="2" t="s">
        <v>1240</v>
      </c>
      <c r="V455" s="2" t="s">
        <v>403</v>
      </c>
      <c r="W455" s="2" t="s">
        <v>561</v>
      </c>
      <c r="X455" s="2" t="s">
        <v>100</v>
      </c>
      <c r="Y455" s="2" t="s">
        <v>240</v>
      </c>
      <c r="Z455" s="4">
        <v>200</v>
      </c>
      <c r="AA455" s="4">
        <f>=ROUNDDOWN(50,0)</f>
      </c>
      <c r="AB455" s="5">
        <v>4</v>
      </c>
      <c r="AC455" s="2" t="s">
        <v>241</v>
      </c>
      <c r="AD455" s="4">
        <v>1400</v>
      </c>
      <c r="AE455" s="4">
        <v>1400</v>
      </c>
      <c r="AF455" s="6">
        <v>65</v>
      </c>
      <c r="AG455" s="6"/>
      <c r="AH455" s="7">
        <v>0.9626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129</v>
      </c>
      <c r="BK455" s="8">
        <v>9110.17</v>
      </c>
      <c r="BL455" s="2" t="s">
        <v>1803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97</v>
      </c>
      <c r="BW455" s="2" t="s">
        <v>328</v>
      </c>
      <c r="BX455" s="2" t="s">
        <v>2003</v>
      </c>
      <c r="BY455" s="2" t="s">
        <v>113</v>
      </c>
      <c r="BZ455" s="2" t="s">
        <v>100</v>
      </c>
    </row>
    <row r="456">
      <c r="A456" s="2" t="s">
        <v>2004</v>
      </c>
      <c r="B456" s="2" t="s">
        <v>87</v>
      </c>
      <c r="C456" s="2" t="s">
        <v>1867</v>
      </c>
      <c r="D456" s="2" t="s">
        <v>803</v>
      </c>
      <c r="E456" s="2" t="s">
        <v>1475</v>
      </c>
      <c r="F456" s="2" t="s">
        <v>2005</v>
      </c>
      <c r="G456" s="2" t="s">
        <v>2006</v>
      </c>
      <c r="H456" s="2" t="s">
        <v>2007</v>
      </c>
      <c r="I456" s="2" t="s">
        <v>2008</v>
      </c>
      <c r="J456" s="2" t="s">
        <v>1936</v>
      </c>
      <c r="K456" s="2" t="s">
        <v>118</v>
      </c>
      <c r="L456" s="3">
        <v>38.4</v>
      </c>
      <c r="M456" s="3">
        <v>40.31</v>
      </c>
      <c r="N456" s="3">
        <v>79.99</v>
      </c>
      <c r="O456" s="2" t="s">
        <v>97</v>
      </c>
      <c r="P456" s="2" t="s">
        <v>307</v>
      </c>
      <c r="Q456" s="2" t="s">
        <v>99</v>
      </c>
      <c r="R456" s="2" t="s">
        <v>100</v>
      </c>
      <c r="S456" s="2" t="s">
        <v>2009</v>
      </c>
      <c r="T456" s="2" t="s">
        <v>100</v>
      </c>
      <c r="U456" s="2" t="s">
        <v>102</v>
      </c>
      <c r="V456" s="2" t="s">
        <v>292</v>
      </c>
      <c r="W456" s="2" t="s">
        <v>2010</v>
      </c>
      <c r="X456" s="2" t="s">
        <v>100</v>
      </c>
      <c r="Y456" s="2" t="s">
        <v>2011</v>
      </c>
      <c r="Z456" s="4">
        <v>405</v>
      </c>
      <c r="AA456" s="4">
        <f>=ROUNDDOWN(27,0)</f>
      </c>
      <c r="AB456" s="5">
        <v>15</v>
      </c>
      <c r="AC456" s="2" t="s">
        <v>356</v>
      </c>
      <c r="AD456" s="4">
        <v>200</v>
      </c>
      <c r="AE456" s="4">
        <v>350</v>
      </c>
      <c r="AF456" s="6">
        <v>65</v>
      </c>
      <c r="AG456" s="6">
        <v>73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>
        <v>3</v>
      </c>
      <c r="AQ456" s="8">
        <v>115.77</v>
      </c>
      <c r="AR456" s="4"/>
      <c r="AS456" s="8"/>
      <c r="AT456" s="7"/>
      <c r="AU456" s="7"/>
      <c r="AV456" s="4">
        <v>13</v>
      </c>
      <c r="AW456" s="8">
        <v>633.95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0.1826</v>
      </c>
      <c r="BC456" s="4">
        <v>13</v>
      </c>
      <c r="BD456" s="8">
        <v>633.95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1</v>
      </c>
      <c r="BJ456" s="4">
        <v>334</v>
      </c>
      <c r="BK456" s="8">
        <v>13958.6</v>
      </c>
      <c r="BL456" s="2" t="s">
        <v>2012</v>
      </c>
      <c r="BM456" s="7">
        <v>0.009</v>
      </c>
      <c r="BN456" s="7">
        <v>0.0083</v>
      </c>
      <c r="BO456" s="4">
        <v>3</v>
      </c>
      <c r="BP456" s="8">
        <v>115.77</v>
      </c>
      <c r="BQ456" s="4"/>
      <c r="BR456" s="8"/>
      <c r="BS456" s="7"/>
      <c r="BT456" s="7"/>
      <c r="BU456" s="2" t="s">
        <v>109</v>
      </c>
      <c r="BV456" s="2" t="s">
        <v>110</v>
      </c>
      <c r="BW456" s="2" t="s">
        <v>622</v>
      </c>
      <c r="BX456" s="2" t="s">
        <v>2013</v>
      </c>
      <c r="BY456" s="2" t="s">
        <v>113</v>
      </c>
      <c r="BZ456" s="2" t="s">
        <v>100</v>
      </c>
    </row>
    <row r="457">
      <c r="A457" s="2" t="s">
        <v>2014</v>
      </c>
      <c r="B457" s="2" t="s">
        <v>87</v>
      </c>
      <c r="C457" s="2" t="s">
        <v>1867</v>
      </c>
      <c r="D457" s="2" t="s">
        <v>803</v>
      </c>
      <c r="E457" s="2" t="s">
        <v>1475</v>
      </c>
      <c r="F457" s="2" t="s">
        <v>2005</v>
      </c>
      <c r="G457" s="2" t="s">
        <v>2006</v>
      </c>
      <c r="H457" s="2" t="s">
        <v>2007</v>
      </c>
      <c r="I457" s="2" t="s">
        <v>2015</v>
      </c>
      <c r="J457" s="2" t="s">
        <v>706</v>
      </c>
      <c r="K457" s="2" t="s">
        <v>118</v>
      </c>
      <c r="L457" s="3">
        <v>49.99</v>
      </c>
      <c r="M457" s="3">
        <v>52.49</v>
      </c>
      <c r="N457" s="3">
        <v>99.99</v>
      </c>
      <c r="O457" s="2" t="s">
        <v>97</v>
      </c>
      <c r="P457" s="2" t="s">
        <v>307</v>
      </c>
      <c r="Q457" s="2" t="s">
        <v>99</v>
      </c>
      <c r="R457" s="2" t="s">
        <v>100</v>
      </c>
      <c r="S457" s="2" t="s">
        <v>2009</v>
      </c>
      <c r="T457" s="2" t="s">
        <v>100</v>
      </c>
      <c r="U457" s="2" t="s">
        <v>833</v>
      </c>
      <c r="V457" s="2" t="s">
        <v>292</v>
      </c>
      <c r="W457" s="2" t="s">
        <v>2010</v>
      </c>
      <c r="X457" s="2" t="s">
        <v>100</v>
      </c>
      <c r="Y457" s="2" t="s">
        <v>2016</v>
      </c>
      <c r="Z457" s="4">
        <v>773</v>
      </c>
      <c r="AA457" s="4">
        <f>=ROUNDDOWN(22.7352941176471,0)</f>
      </c>
      <c r="AB457" s="5">
        <v>34</v>
      </c>
      <c r="AC457" s="2" t="s">
        <v>241</v>
      </c>
      <c r="AD457" s="4">
        <v>350</v>
      </c>
      <c r="AE457" s="4">
        <v>800</v>
      </c>
      <c r="AF457" s="6">
        <v>65</v>
      </c>
      <c r="AG457" s="6">
        <v>73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>
        <v>6</v>
      </c>
      <c r="AQ457" s="8">
        <v>297.66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0.4695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851</v>
      </c>
      <c r="BK457" s="8">
        <v>45217.6</v>
      </c>
      <c r="BL457" s="2" t="s">
        <v>2017</v>
      </c>
      <c r="BM457" s="7">
        <v>0.0071</v>
      </c>
      <c r="BN457" s="7">
        <v>0.0066</v>
      </c>
      <c r="BO457" s="4">
        <v>6</v>
      </c>
      <c r="BP457" s="8">
        <v>297.66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2016</v>
      </c>
      <c r="BX457" s="2" t="s">
        <v>2018</v>
      </c>
      <c r="BY457" s="2" t="s">
        <v>113</v>
      </c>
      <c r="BZ457" s="2" t="s">
        <v>100</v>
      </c>
    </row>
    <row r="458">
      <c r="A458" s="2" t="s">
        <v>2019</v>
      </c>
      <c r="B458" s="2" t="s">
        <v>87</v>
      </c>
      <c r="C458" s="2" t="s">
        <v>1867</v>
      </c>
      <c r="D458" s="2" t="s">
        <v>803</v>
      </c>
      <c r="E458" s="2" t="s">
        <v>1475</v>
      </c>
      <c r="F458" s="2" t="s">
        <v>2005</v>
      </c>
      <c r="G458" s="2" t="s">
        <v>2006</v>
      </c>
      <c r="H458" s="2" t="s">
        <v>2007</v>
      </c>
      <c r="I458" s="2" t="s">
        <v>2015</v>
      </c>
      <c r="J458" s="2" t="s">
        <v>714</v>
      </c>
      <c r="K458" s="2" t="s">
        <v>118</v>
      </c>
      <c r="L458" s="3">
        <v>54.99</v>
      </c>
      <c r="M458" s="3">
        <v>57.74</v>
      </c>
      <c r="N458" s="3">
        <v>109.99</v>
      </c>
      <c r="O458" s="2" t="s">
        <v>97</v>
      </c>
      <c r="P458" s="2" t="s">
        <v>307</v>
      </c>
      <c r="Q458" s="2" t="s">
        <v>99</v>
      </c>
      <c r="R458" s="2" t="s">
        <v>100</v>
      </c>
      <c r="S458" s="2" t="s">
        <v>2009</v>
      </c>
      <c r="T458" s="2" t="s">
        <v>100</v>
      </c>
      <c r="U458" s="2" t="s">
        <v>833</v>
      </c>
      <c r="V458" s="2" t="s">
        <v>292</v>
      </c>
      <c r="W458" s="2" t="s">
        <v>2010</v>
      </c>
      <c r="X458" s="2" t="s">
        <v>100</v>
      </c>
      <c r="Y458" s="2" t="s">
        <v>2011</v>
      </c>
      <c r="Z458" s="4">
        <v>670</v>
      </c>
      <c r="AA458" s="4">
        <f>=ROUNDDOWN(33.5,0)</f>
      </c>
      <c r="AB458" s="5">
        <v>20</v>
      </c>
      <c r="AC458" s="2" t="s">
        <v>241</v>
      </c>
      <c r="AD458" s="4">
        <v>230</v>
      </c>
      <c r="AE458" s="4">
        <v>280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>
        <v>4</v>
      </c>
      <c r="AQ458" s="8">
        <v>220.52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0.3479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468</v>
      </c>
      <c r="BK458" s="8">
        <v>27532.47</v>
      </c>
      <c r="BL458" s="2" t="s">
        <v>2020</v>
      </c>
      <c r="BM458" s="7">
        <v>0.0085</v>
      </c>
      <c r="BN458" s="7">
        <v>0.008</v>
      </c>
      <c r="BO458" s="4">
        <v>4</v>
      </c>
      <c r="BP458" s="8">
        <v>220.52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622</v>
      </c>
      <c r="BX458" s="2" t="s">
        <v>2021</v>
      </c>
      <c r="BY458" s="2" t="s">
        <v>113</v>
      </c>
      <c r="BZ458" s="2" t="s">
        <v>100</v>
      </c>
    </row>
    <row r="459">
      <c r="A459" s="2" t="s">
        <v>2022</v>
      </c>
      <c r="B459" s="2" t="s">
        <v>87</v>
      </c>
      <c r="C459" s="2" t="s">
        <v>1867</v>
      </c>
      <c r="D459" s="2" t="s">
        <v>803</v>
      </c>
      <c r="E459" s="2" t="s">
        <v>1475</v>
      </c>
      <c r="F459" s="2" t="s">
        <v>2023</v>
      </c>
      <c r="G459" s="2" t="s">
        <v>2024</v>
      </c>
      <c r="H459" s="2" t="s">
        <v>2025</v>
      </c>
      <c r="I459" s="2" t="s">
        <v>2026</v>
      </c>
      <c r="J459" s="2" t="s">
        <v>706</v>
      </c>
      <c r="K459" s="2" t="s">
        <v>913</v>
      </c>
      <c r="L459" s="3">
        <v>79.9</v>
      </c>
      <c r="M459" s="3">
        <v>83.89</v>
      </c>
      <c r="N459" s="3">
        <v>169.99</v>
      </c>
      <c r="O459" s="2" t="s">
        <v>97</v>
      </c>
      <c r="P459" s="2" t="s">
        <v>119</v>
      </c>
      <c r="Q459" s="2" t="s">
        <v>99</v>
      </c>
      <c r="R459" s="2" t="s">
        <v>100</v>
      </c>
      <c r="S459" s="2" t="s">
        <v>2027</v>
      </c>
      <c r="T459" s="2" t="s">
        <v>100</v>
      </c>
      <c r="U459" s="2" t="s">
        <v>2028</v>
      </c>
      <c r="V459" s="2" t="s">
        <v>434</v>
      </c>
      <c r="W459" s="2" t="s">
        <v>309</v>
      </c>
      <c r="X459" s="2" t="s">
        <v>404</v>
      </c>
      <c r="Y459" s="2" t="s">
        <v>2029</v>
      </c>
      <c r="Z459" s="4">
        <v>318</v>
      </c>
      <c r="AA459" s="4">
        <f>=ROUNDDOWN(39.75,0)</f>
      </c>
      <c r="AB459" s="5">
        <v>8</v>
      </c>
      <c r="AC459" s="2" t="s">
        <v>100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>
        <v>1</v>
      </c>
      <c r="AQ459" s="8">
        <v>79.38</v>
      </c>
      <c r="AR459" s="4"/>
      <c r="AS459" s="8"/>
      <c r="AT459" s="7"/>
      <c r="AU459" s="7"/>
      <c r="AV459" s="4">
        <v>6</v>
      </c>
      <c r="AW459" s="8">
        <v>502.73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0.1579</v>
      </c>
      <c r="BC459" s="4">
        <v>6</v>
      </c>
      <c r="BD459" s="8">
        <v>502.73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1</v>
      </c>
      <c r="BJ459" s="4">
        <v>256</v>
      </c>
      <c r="BK459" s="8">
        <v>21541.19</v>
      </c>
      <c r="BL459" s="2" t="s">
        <v>2030</v>
      </c>
      <c r="BM459" s="7">
        <v>0.0039</v>
      </c>
      <c r="BN459" s="7">
        <v>0.0037</v>
      </c>
      <c r="BO459" s="4">
        <v>1</v>
      </c>
      <c r="BP459" s="8">
        <v>79.38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1662</v>
      </c>
      <c r="BX459" s="2" t="s">
        <v>2031</v>
      </c>
      <c r="BY459" s="2" t="s">
        <v>113</v>
      </c>
      <c r="BZ459" s="2" t="s">
        <v>100</v>
      </c>
    </row>
    <row r="460">
      <c r="A460" s="2" t="s">
        <v>2032</v>
      </c>
      <c r="B460" s="2" t="s">
        <v>87</v>
      </c>
      <c r="C460" s="2" t="s">
        <v>1867</v>
      </c>
      <c r="D460" s="2" t="s">
        <v>803</v>
      </c>
      <c r="E460" s="2" t="s">
        <v>1475</v>
      </c>
      <c r="F460" s="2" t="s">
        <v>2023</v>
      </c>
      <c r="G460" s="2" t="s">
        <v>2024</v>
      </c>
      <c r="H460" s="2" t="s">
        <v>2025</v>
      </c>
      <c r="I460" s="2" t="s">
        <v>2026</v>
      </c>
      <c r="J460" s="2" t="s">
        <v>714</v>
      </c>
      <c r="K460" s="2" t="s">
        <v>913</v>
      </c>
      <c r="L460" s="3">
        <v>84.6</v>
      </c>
      <c r="M460" s="3">
        <v>88.83</v>
      </c>
      <c r="N460" s="3">
        <v>179.99</v>
      </c>
      <c r="O460" s="2" t="s">
        <v>97</v>
      </c>
      <c r="P460" s="2" t="s">
        <v>119</v>
      </c>
      <c r="Q460" s="2" t="s">
        <v>99</v>
      </c>
      <c r="R460" s="2" t="s">
        <v>100</v>
      </c>
      <c r="S460" s="2" t="s">
        <v>2027</v>
      </c>
      <c r="T460" s="2" t="s">
        <v>100</v>
      </c>
      <c r="U460" s="2" t="s">
        <v>2028</v>
      </c>
      <c r="V460" s="2" t="s">
        <v>434</v>
      </c>
      <c r="W460" s="2" t="s">
        <v>309</v>
      </c>
      <c r="X460" s="2" t="s">
        <v>404</v>
      </c>
      <c r="Y460" s="2" t="s">
        <v>2029</v>
      </c>
      <c r="Z460" s="4">
        <v>270</v>
      </c>
      <c r="AA460" s="4">
        <f>=ROUNDDOWN(27,0)</f>
      </c>
      <c r="AB460" s="5">
        <v>10</v>
      </c>
      <c r="AC460" s="2" t="s">
        <v>100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>
        <v>3</v>
      </c>
      <c r="AQ460" s="8">
        <v>254.01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0.5053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273</v>
      </c>
      <c r="BK460" s="8">
        <v>24954.43</v>
      </c>
      <c r="BL460" s="2" t="s">
        <v>2033</v>
      </c>
      <c r="BM460" s="7">
        <v>0.011</v>
      </c>
      <c r="BN460" s="7">
        <v>0.0102</v>
      </c>
      <c r="BO460" s="4">
        <v>3</v>
      </c>
      <c r="BP460" s="8">
        <v>254.01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1662</v>
      </c>
      <c r="BX460" s="2" t="s">
        <v>2034</v>
      </c>
      <c r="BY460" s="2" t="s">
        <v>113</v>
      </c>
      <c r="BZ460" s="2" t="s">
        <v>100</v>
      </c>
    </row>
    <row r="461">
      <c r="A461" s="2" t="s">
        <v>2035</v>
      </c>
      <c r="B461" s="2" t="s">
        <v>87</v>
      </c>
      <c r="C461" s="2" t="s">
        <v>1867</v>
      </c>
      <c r="D461" s="2" t="s">
        <v>803</v>
      </c>
      <c r="E461" s="2" t="s">
        <v>1475</v>
      </c>
      <c r="F461" s="2" t="s">
        <v>2023</v>
      </c>
      <c r="G461" s="2" t="s">
        <v>2024</v>
      </c>
      <c r="H461" s="2" t="s">
        <v>2025</v>
      </c>
      <c r="I461" s="2" t="s">
        <v>2026</v>
      </c>
      <c r="J461" s="2" t="s">
        <v>817</v>
      </c>
      <c r="K461" s="2" t="s">
        <v>913</v>
      </c>
      <c r="L461" s="3">
        <v>84.6</v>
      </c>
      <c r="M461" s="3">
        <v>88.83</v>
      </c>
      <c r="N461" s="3">
        <v>179.99</v>
      </c>
      <c r="O461" s="2" t="s">
        <v>97</v>
      </c>
      <c r="P461" s="2" t="s">
        <v>119</v>
      </c>
      <c r="Q461" s="2" t="s">
        <v>99</v>
      </c>
      <c r="R461" s="2" t="s">
        <v>100</v>
      </c>
      <c r="S461" s="2" t="s">
        <v>2027</v>
      </c>
      <c r="T461" s="2" t="s">
        <v>100</v>
      </c>
      <c r="U461" s="2" t="s">
        <v>2028</v>
      </c>
      <c r="V461" s="2" t="s">
        <v>434</v>
      </c>
      <c r="W461" s="2" t="s">
        <v>309</v>
      </c>
      <c r="X461" s="2" t="s">
        <v>404</v>
      </c>
      <c r="Y461" s="2" t="s">
        <v>2029</v>
      </c>
      <c r="Z461" s="4">
        <v>190</v>
      </c>
      <c r="AA461" s="4">
        <f>=ROUNDDOWN(27.1428571428571,0)</f>
      </c>
      <c r="AB461" s="5">
        <v>7</v>
      </c>
      <c r="AC461" s="2" t="s">
        <v>100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>
        <v>2</v>
      </c>
      <c r="AQ461" s="8">
        <v>169.34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0.3368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166</v>
      </c>
      <c r="BK461" s="8">
        <v>15089.27</v>
      </c>
      <c r="BL461" s="2" t="s">
        <v>2036</v>
      </c>
      <c r="BM461" s="7">
        <v>0.012</v>
      </c>
      <c r="BN461" s="7">
        <v>0.0112</v>
      </c>
      <c r="BO461" s="4">
        <v>2</v>
      </c>
      <c r="BP461" s="8">
        <v>169.34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1662</v>
      </c>
      <c r="BX461" s="2" t="s">
        <v>1730</v>
      </c>
      <c r="BY461" s="2" t="s">
        <v>113</v>
      </c>
      <c r="BZ461" s="2" t="s">
        <v>100</v>
      </c>
    </row>
    <row r="462">
      <c r="A462" s="2" t="s">
        <v>2037</v>
      </c>
      <c r="B462" s="2" t="s">
        <v>87</v>
      </c>
      <c r="C462" s="2" t="s">
        <v>1867</v>
      </c>
      <c r="D462" s="2" t="s">
        <v>803</v>
      </c>
      <c r="E462" s="2" t="s">
        <v>1475</v>
      </c>
      <c r="F462" s="2" t="s">
        <v>2038</v>
      </c>
      <c r="G462" s="2" t="s">
        <v>2039</v>
      </c>
      <c r="H462" s="2" t="s">
        <v>2040</v>
      </c>
      <c r="I462" s="2" t="s">
        <v>1935</v>
      </c>
      <c r="J462" s="2" t="s">
        <v>1936</v>
      </c>
      <c r="K462" s="2" t="s">
        <v>878</v>
      </c>
      <c r="L462" s="3">
        <v>51.99</v>
      </c>
      <c r="M462" s="3">
        <v>54.59</v>
      </c>
      <c r="N462" s="3">
        <v>114.99</v>
      </c>
      <c r="O462" s="2" t="s">
        <v>97</v>
      </c>
      <c r="P462" s="2" t="s">
        <v>119</v>
      </c>
      <c r="Q462" s="2" t="s">
        <v>99</v>
      </c>
      <c r="R462" s="2" t="s">
        <v>100</v>
      </c>
      <c r="S462" s="2" t="s">
        <v>2041</v>
      </c>
      <c r="T462" s="2" t="s">
        <v>100</v>
      </c>
      <c r="U462" s="2" t="s">
        <v>337</v>
      </c>
      <c r="V462" s="2" t="s">
        <v>256</v>
      </c>
      <c r="W462" s="2" t="s">
        <v>104</v>
      </c>
      <c r="X462" s="2" t="s">
        <v>378</v>
      </c>
      <c r="Y462" s="2" t="s">
        <v>240</v>
      </c>
      <c r="Z462" s="4">
        <v>275</v>
      </c>
      <c r="AA462" s="4">
        <f>=ROUNDDOWN(55,0)</f>
      </c>
      <c r="AB462" s="5">
        <v>5</v>
      </c>
      <c r="AC462" s="2" t="s">
        <v>100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>
        <v>7</v>
      </c>
      <c r="AQ462" s="8">
        <v>361.13</v>
      </c>
      <c r="AR462" s="4"/>
      <c r="AS462" s="8"/>
      <c r="AT462" s="7"/>
      <c r="AU462" s="7"/>
      <c r="AV462" s="4">
        <v>8</v>
      </c>
      <c r="AW462" s="8">
        <v>429.92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0.84</v>
      </c>
      <c r="BC462" s="4">
        <v>8</v>
      </c>
      <c r="BD462" s="8">
        <v>429.92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1</v>
      </c>
      <c r="BJ462" s="4">
        <v>110</v>
      </c>
      <c r="BK462" s="8">
        <v>6169.53</v>
      </c>
      <c r="BL462" s="2" t="s">
        <v>1762</v>
      </c>
      <c r="BM462" s="7">
        <v>0.0636</v>
      </c>
      <c r="BN462" s="7">
        <v>0.0585</v>
      </c>
      <c r="BO462" s="4">
        <v>7</v>
      </c>
      <c r="BP462" s="8">
        <v>361.13</v>
      </c>
      <c r="BQ462" s="4"/>
      <c r="BR462" s="8"/>
      <c r="BS462" s="7"/>
      <c r="BT462" s="7"/>
      <c r="BU462" s="2" t="s">
        <v>109</v>
      </c>
      <c r="BV462" s="2" t="s">
        <v>110</v>
      </c>
      <c r="BW462" s="2" t="s">
        <v>2042</v>
      </c>
      <c r="BX462" s="2" t="s">
        <v>2043</v>
      </c>
      <c r="BY462" s="2" t="s">
        <v>113</v>
      </c>
      <c r="BZ462" s="2" t="s">
        <v>245</v>
      </c>
    </row>
    <row r="463">
      <c r="A463" s="2" t="s">
        <v>2044</v>
      </c>
      <c r="B463" s="2" t="s">
        <v>87</v>
      </c>
      <c r="C463" s="2" t="s">
        <v>1867</v>
      </c>
      <c r="D463" s="2" t="s">
        <v>803</v>
      </c>
      <c r="E463" s="2" t="s">
        <v>1475</v>
      </c>
      <c r="F463" s="2" t="s">
        <v>2038</v>
      </c>
      <c r="G463" s="2" t="s">
        <v>2039</v>
      </c>
      <c r="H463" s="2" t="s">
        <v>2040</v>
      </c>
      <c r="I463" s="2" t="s">
        <v>1943</v>
      </c>
      <c r="J463" s="2" t="s">
        <v>717</v>
      </c>
      <c r="K463" s="2" t="s">
        <v>878</v>
      </c>
      <c r="L463" s="3">
        <v>57.19</v>
      </c>
      <c r="M463" s="3">
        <v>60.05</v>
      </c>
      <c r="N463" s="3">
        <v>124.99</v>
      </c>
      <c r="O463" s="2" t="s">
        <v>97</v>
      </c>
      <c r="P463" s="2" t="s">
        <v>119</v>
      </c>
      <c r="Q463" s="2" t="s">
        <v>99</v>
      </c>
      <c r="R463" s="2" t="s">
        <v>100</v>
      </c>
      <c r="S463" s="2" t="s">
        <v>2041</v>
      </c>
      <c r="T463" s="2" t="s">
        <v>100</v>
      </c>
      <c r="U463" s="2" t="s">
        <v>1240</v>
      </c>
      <c r="V463" s="2" t="s">
        <v>256</v>
      </c>
      <c r="W463" s="2" t="s">
        <v>104</v>
      </c>
      <c r="X463" s="2" t="s">
        <v>378</v>
      </c>
      <c r="Y463" s="2" t="s">
        <v>240</v>
      </c>
      <c r="Z463" s="4">
        <v>188</v>
      </c>
      <c r="AA463" s="4">
        <f>=ROUNDDOWN(26.8571428571429,0)</f>
      </c>
      <c r="AB463" s="5">
        <v>7</v>
      </c>
      <c r="AC463" s="2" t="s">
        <v>100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153</v>
      </c>
      <c r="BK463" s="8">
        <v>9444.65</v>
      </c>
      <c r="BL463" s="2" t="s">
        <v>1619</v>
      </c>
      <c r="BM463" s="7"/>
      <c r="BN463" s="7"/>
      <c r="BO463" s="4"/>
      <c r="BP463" s="8"/>
      <c r="BQ463" s="4"/>
      <c r="BR463" s="8"/>
      <c r="BS463" s="7"/>
      <c r="BT463" s="7"/>
      <c r="BU463" s="2" t="s">
        <v>109</v>
      </c>
      <c r="BV463" s="2" t="s">
        <v>97</v>
      </c>
      <c r="BW463" s="2" t="s">
        <v>2042</v>
      </c>
      <c r="BX463" s="2" t="s">
        <v>2045</v>
      </c>
      <c r="BY463" s="2" t="s">
        <v>113</v>
      </c>
      <c r="BZ463" s="2" t="s">
        <v>245</v>
      </c>
    </row>
    <row r="464">
      <c r="A464" s="2" t="s">
        <v>2046</v>
      </c>
      <c r="B464" s="2" t="s">
        <v>87</v>
      </c>
      <c r="C464" s="2" t="s">
        <v>1867</v>
      </c>
      <c r="D464" s="2" t="s">
        <v>803</v>
      </c>
      <c r="E464" s="2" t="s">
        <v>1475</v>
      </c>
      <c r="F464" s="2" t="s">
        <v>2038</v>
      </c>
      <c r="G464" s="2" t="s">
        <v>2039</v>
      </c>
      <c r="H464" s="2" t="s">
        <v>2040</v>
      </c>
      <c r="I464" s="2" t="s">
        <v>1943</v>
      </c>
      <c r="J464" s="2" t="s">
        <v>817</v>
      </c>
      <c r="K464" s="2" t="s">
        <v>878</v>
      </c>
      <c r="L464" s="3">
        <v>67.59</v>
      </c>
      <c r="M464" s="3">
        <v>70.97</v>
      </c>
      <c r="N464" s="3">
        <v>144.99</v>
      </c>
      <c r="O464" s="2" t="s">
        <v>97</v>
      </c>
      <c r="P464" s="2" t="s">
        <v>119</v>
      </c>
      <c r="Q464" s="2" t="s">
        <v>99</v>
      </c>
      <c r="R464" s="2" t="s">
        <v>100</v>
      </c>
      <c r="S464" s="2" t="s">
        <v>2041</v>
      </c>
      <c r="T464" s="2" t="s">
        <v>100</v>
      </c>
      <c r="U464" s="2" t="s">
        <v>1240</v>
      </c>
      <c r="V464" s="2" t="s">
        <v>256</v>
      </c>
      <c r="W464" s="2" t="s">
        <v>104</v>
      </c>
      <c r="X464" s="2" t="s">
        <v>378</v>
      </c>
      <c r="Y464" s="2" t="s">
        <v>240</v>
      </c>
      <c r="Z464" s="4">
        <v>129</v>
      </c>
      <c r="AA464" s="4">
        <f>=ROUNDDOWN(64.5,0)</f>
      </c>
      <c r="AB464" s="5">
        <v>2</v>
      </c>
      <c r="AC464" s="2" t="s">
        <v>100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>
        <v>1</v>
      </c>
      <c r="AQ464" s="8">
        <v>68.79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0.16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50</v>
      </c>
      <c r="BK464" s="8">
        <v>3716.13</v>
      </c>
      <c r="BL464" s="2" t="s">
        <v>2047</v>
      </c>
      <c r="BM464" s="7">
        <v>0.02</v>
      </c>
      <c r="BN464" s="7">
        <v>0.0185</v>
      </c>
      <c r="BO464" s="4">
        <v>1</v>
      </c>
      <c r="BP464" s="8">
        <v>68.79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2042</v>
      </c>
      <c r="BX464" s="2" t="s">
        <v>2048</v>
      </c>
      <c r="BY464" s="2" t="s">
        <v>113</v>
      </c>
      <c r="BZ464" s="2" t="s">
        <v>245</v>
      </c>
    </row>
    <row r="465">
      <c r="A465" s="2" t="s">
        <v>2049</v>
      </c>
      <c r="B465" s="2" t="s">
        <v>87</v>
      </c>
      <c r="C465" s="2" t="s">
        <v>1867</v>
      </c>
      <c r="D465" s="2" t="s">
        <v>803</v>
      </c>
      <c r="E465" s="2" t="s">
        <v>1475</v>
      </c>
      <c r="F465" s="2" t="s">
        <v>2050</v>
      </c>
      <c r="G465" s="2" t="s">
        <v>2051</v>
      </c>
      <c r="H465" s="2" t="s">
        <v>2052</v>
      </c>
      <c r="I465" s="2" t="s">
        <v>1935</v>
      </c>
      <c r="J465" s="2" t="s">
        <v>1936</v>
      </c>
      <c r="K465" s="2" t="s">
        <v>96</v>
      </c>
      <c r="L465" s="3">
        <v>50.53</v>
      </c>
      <c r="M465" s="3">
        <v>53.06</v>
      </c>
      <c r="N465" s="3">
        <v>89.99</v>
      </c>
      <c r="O465" s="2" t="s">
        <v>97</v>
      </c>
      <c r="P465" s="2" t="s">
        <v>307</v>
      </c>
      <c r="Q465" s="2" t="s">
        <v>99</v>
      </c>
      <c r="R465" s="2" t="s">
        <v>100</v>
      </c>
      <c r="S465" s="2" t="s">
        <v>2053</v>
      </c>
      <c r="T465" s="2" t="s">
        <v>100</v>
      </c>
      <c r="U465" s="2" t="s">
        <v>337</v>
      </c>
      <c r="V465" s="2" t="s">
        <v>350</v>
      </c>
      <c r="W465" s="2" t="s">
        <v>561</v>
      </c>
      <c r="X465" s="2" t="s">
        <v>100</v>
      </c>
      <c r="Y465" s="2" t="s">
        <v>2054</v>
      </c>
      <c r="Z465" s="4">
        <v>387</v>
      </c>
      <c r="AA465" s="4">
        <f>=ROUNDDOWN(48.375,0)</f>
      </c>
      <c r="AB465" s="5">
        <v>8</v>
      </c>
      <c r="AC465" s="2" t="s">
        <v>107</v>
      </c>
      <c r="AD465" s="4">
        <v>30</v>
      </c>
      <c r="AE465" s="4">
        <v>150</v>
      </c>
      <c r="AF465" s="6">
        <v>65</v>
      </c>
      <c r="AG465" s="6">
        <v>73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>
        <v>1</v>
      </c>
      <c r="AQ465" s="8">
        <v>51.59</v>
      </c>
      <c r="AR465" s="4"/>
      <c r="AS465" s="8"/>
      <c r="AT465" s="7"/>
      <c r="AU465" s="7"/>
      <c r="AV465" s="4">
        <v>6</v>
      </c>
      <c r="AW465" s="8">
        <v>395.54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0.1304</v>
      </c>
      <c r="BC465" s="4">
        <v>6</v>
      </c>
      <c r="BD465" s="8">
        <v>395.54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>
        <v>1</v>
      </c>
      <c r="BJ465" s="4">
        <v>234</v>
      </c>
      <c r="BK465" s="8">
        <v>12765.43</v>
      </c>
      <c r="BL465" s="2" t="s">
        <v>811</v>
      </c>
      <c r="BM465" s="7">
        <v>0.0043</v>
      </c>
      <c r="BN465" s="7">
        <v>0.004</v>
      </c>
      <c r="BO465" s="4">
        <v>1</v>
      </c>
      <c r="BP465" s="8">
        <v>51.59</v>
      </c>
      <c r="BQ465" s="4"/>
      <c r="BR465" s="8"/>
      <c r="BS465" s="7"/>
      <c r="BT465" s="7"/>
      <c r="BU465" s="2" t="s">
        <v>109</v>
      </c>
      <c r="BV465" s="2" t="s">
        <v>110</v>
      </c>
      <c r="BW465" s="2" t="s">
        <v>500</v>
      </c>
      <c r="BX465" s="2" t="s">
        <v>2055</v>
      </c>
      <c r="BY465" s="2" t="s">
        <v>113</v>
      </c>
      <c r="BZ465" s="2" t="s">
        <v>100</v>
      </c>
    </row>
    <row r="466">
      <c r="A466" s="2" t="s">
        <v>2056</v>
      </c>
      <c r="B466" s="2" t="s">
        <v>87</v>
      </c>
      <c r="C466" s="2" t="s">
        <v>1867</v>
      </c>
      <c r="D466" s="2" t="s">
        <v>803</v>
      </c>
      <c r="E466" s="2" t="s">
        <v>1475</v>
      </c>
      <c r="F466" s="2" t="s">
        <v>2050</v>
      </c>
      <c r="G466" s="2" t="s">
        <v>2051</v>
      </c>
      <c r="H466" s="2" t="s">
        <v>2052</v>
      </c>
      <c r="I466" s="2" t="s">
        <v>1943</v>
      </c>
      <c r="J466" s="2" t="s">
        <v>717</v>
      </c>
      <c r="K466" s="2" t="s">
        <v>96</v>
      </c>
      <c r="L466" s="3">
        <v>55.59</v>
      </c>
      <c r="M466" s="3">
        <v>58.37</v>
      </c>
      <c r="N466" s="3">
        <v>99.99</v>
      </c>
      <c r="O466" s="2" t="s">
        <v>97</v>
      </c>
      <c r="P466" s="2" t="s">
        <v>307</v>
      </c>
      <c r="Q466" s="2" t="s">
        <v>99</v>
      </c>
      <c r="R466" s="2" t="s">
        <v>100</v>
      </c>
      <c r="S466" s="2" t="s">
        <v>2053</v>
      </c>
      <c r="T466" s="2" t="s">
        <v>100</v>
      </c>
      <c r="U466" s="2" t="s">
        <v>1240</v>
      </c>
      <c r="V466" s="2" t="s">
        <v>350</v>
      </c>
      <c r="W466" s="2" t="s">
        <v>561</v>
      </c>
      <c r="X466" s="2" t="s">
        <v>100</v>
      </c>
      <c r="Y466" s="2" t="s">
        <v>2054</v>
      </c>
      <c r="Z466" s="4">
        <v>420</v>
      </c>
      <c r="AA466" s="4">
        <f>=ROUNDDOWN(38.1818181818182,0)</f>
      </c>
      <c r="AB466" s="5">
        <v>11</v>
      </c>
      <c r="AC466" s="2" t="s">
        <v>107</v>
      </c>
      <c r="AD466" s="4">
        <v>110</v>
      </c>
      <c r="AE466" s="4">
        <v>190</v>
      </c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309</v>
      </c>
      <c r="BK466" s="8">
        <v>19781.06</v>
      </c>
      <c r="BL466" s="2" t="s">
        <v>2057</v>
      </c>
      <c r="BM466" s="7"/>
      <c r="BN466" s="7"/>
      <c r="BO466" s="4"/>
      <c r="BP466" s="8"/>
      <c r="BQ466" s="4"/>
      <c r="BR466" s="8"/>
      <c r="BS466" s="7"/>
      <c r="BT466" s="7"/>
      <c r="BU466" s="2" t="s">
        <v>109</v>
      </c>
      <c r="BV466" s="2" t="s">
        <v>97</v>
      </c>
      <c r="BW466" s="2" t="s">
        <v>500</v>
      </c>
      <c r="BX466" s="2" t="s">
        <v>2058</v>
      </c>
      <c r="BY466" s="2" t="s">
        <v>113</v>
      </c>
      <c r="BZ466" s="2" t="s">
        <v>100</v>
      </c>
    </row>
    <row r="467">
      <c r="A467" s="2" t="s">
        <v>2059</v>
      </c>
      <c r="B467" s="2" t="s">
        <v>87</v>
      </c>
      <c r="C467" s="2" t="s">
        <v>1867</v>
      </c>
      <c r="D467" s="2" t="s">
        <v>803</v>
      </c>
      <c r="E467" s="2" t="s">
        <v>1475</v>
      </c>
      <c r="F467" s="2" t="s">
        <v>2050</v>
      </c>
      <c r="G467" s="2" t="s">
        <v>2051</v>
      </c>
      <c r="H467" s="2" t="s">
        <v>2052</v>
      </c>
      <c r="I467" s="2" t="s">
        <v>1943</v>
      </c>
      <c r="J467" s="2" t="s">
        <v>714</v>
      </c>
      <c r="K467" s="2" t="s">
        <v>96</v>
      </c>
      <c r="L467" s="3">
        <v>65.7</v>
      </c>
      <c r="M467" s="3">
        <v>68.98</v>
      </c>
      <c r="N467" s="3">
        <v>119.99</v>
      </c>
      <c r="O467" s="2" t="s">
        <v>97</v>
      </c>
      <c r="P467" s="2" t="s">
        <v>307</v>
      </c>
      <c r="Q467" s="2" t="s">
        <v>99</v>
      </c>
      <c r="R467" s="2" t="s">
        <v>100</v>
      </c>
      <c r="S467" s="2" t="s">
        <v>2053</v>
      </c>
      <c r="T467" s="2" t="s">
        <v>100</v>
      </c>
      <c r="U467" s="2" t="s">
        <v>1240</v>
      </c>
      <c r="V467" s="2" t="s">
        <v>350</v>
      </c>
      <c r="W467" s="2" t="s">
        <v>561</v>
      </c>
      <c r="X467" s="2" t="s">
        <v>100</v>
      </c>
      <c r="Y467" s="2" t="s">
        <v>2054</v>
      </c>
      <c r="Z467" s="4">
        <v>1083</v>
      </c>
      <c r="AA467" s="4">
        <f>=ROUNDDOWN(31.8529411764706,0)</f>
      </c>
      <c r="AB467" s="5">
        <v>34</v>
      </c>
      <c r="AC467" s="2" t="s">
        <v>107</v>
      </c>
      <c r="AD467" s="4">
        <v>350</v>
      </c>
      <c r="AE467" s="4">
        <v>750</v>
      </c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>
        <v>4</v>
      </c>
      <c r="AQ467" s="8">
        <v>275.16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0.6957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1004</v>
      </c>
      <c r="BK467" s="8">
        <v>78194.84</v>
      </c>
      <c r="BL467" s="2" t="s">
        <v>2060</v>
      </c>
      <c r="BM467" s="7">
        <v>0.004</v>
      </c>
      <c r="BN467" s="7">
        <v>0.0035</v>
      </c>
      <c r="BO467" s="4">
        <v>4</v>
      </c>
      <c r="BP467" s="8">
        <v>275.16</v>
      </c>
      <c r="BQ467" s="4"/>
      <c r="BR467" s="8"/>
      <c r="BS467" s="7"/>
      <c r="BT467" s="7"/>
      <c r="BU467" s="2" t="s">
        <v>109</v>
      </c>
      <c r="BV467" s="2" t="s">
        <v>110</v>
      </c>
      <c r="BW467" s="2" t="s">
        <v>500</v>
      </c>
      <c r="BX467" s="2" t="s">
        <v>2061</v>
      </c>
      <c r="BY467" s="2" t="s">
        <v>113</v>
      </c>
      <c r="BZ467" s="2" t="s">
        <v>100</v>
      </c>
    </row>
    <row r="468">
      <c r="A468" s="2" t="s">
        <v>2062</v>
      </c>
      <c r="B468" s="2" t="s">
        <v>87</v>
      </c>
      <c r="C468" s="2" t="s">
        <v>1867</v>
      </c>
      <c r="D468" s="2" t="s">
        <v>803</v>
      </c>
      <c r="E468" s="2" t="s">
        <v>1475</v>
      </c>
      <c r="F468" s="2" t="s">
        <v>2050</v>
      </c>
      <c r="G468" s="2" t="s">
        <v>2051</v>
      </c>
      <c r="H468" s="2" t="s">
        <v>2052</v>
      </c>
      <c r="I468" s="2" t="s">
        <v>1943</v>
      </c>
      <c r="J468" s="2" t="s">
        <v>817</v>
      </c>
      <c r="K468" s="2" t="s">
        <v>96</v>
      </c>
      <c r="L468" s="3">
        <v>65.7</v>
      </c>
      <c r="M468" s="3">
        <v>68.98</v>
      </c>
      <c r="N468" s="3">
        <v>119.99</v>
      </c>
      <c r="O468" s="2" t="s">
        <v>97</v>
      </c>
      <c r="P468" s="2" t="s">
        <v>307</v>
      </c>
      <c r="Q468" s="2" t="s">
        <v>99</v>
      </c>
      <c r="R468" s="2" t="s">
        <v>100</v>
      </c>
      <c r="S468" s="2" t="s">
        <v>2053</v>
      </c>
      <c r="T468" s="2" t="s">
        <v>100</v>
      </c>
      <c r="U468" s="2" t="s">
        <v>1240</v>
      </c>
      <c r="V468" s="2" t="s">
        <v>350</v>
      </c>
      <c r="W468" s="2" t="s">
        <v>561</v>
      </c>
      <c r="X468" s="2" t="s">
        <v>100</v>
      </c>
      <c r="Y468" s="2" t="s">
        <v>2054</v>
      </c>
      <c r="Z468" s="4">
        <v>438</v>
      </c>
      <c r="AA468" s="4">
        <f>=ROUNDDOWN(27.375,0)</f>
      </c>
      <c r="AB468" s="5">
        <v>16</v>
      </c>
      <c r="AC468" s="2" t="s">
        <v>107</v>
      </c>
      <c r="AD468" s="4">
        <v>130</v>
      </c>
      <c r="AE468" s="4">
        <v>320</v>
      </c>
      <c r="AF468" s="6">
        <v>65</v>
      </c>
      <c r="AG468" s="6">
        <v>73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/>
      <c r="AP468" s="4">
        <v>1</v>
      </c>
      <c r="AQ468" s="8">
        <v>68.79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0.1739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493</v>
      </c>
      <c r="BK468" s="8">
        <v>37970.96</v>
      </c>
      <c r="BL468" s="2" t="s">
        <v>2063</v>
      </c>
      <c r="BM468" s="7">
        <v>0.002</v>
      </c>
      <c r="BN468" s="7">
        <v>0.0018</v>
      </c>
      <c r="BO468" s="4">
        <v>1</v>
      </c>
      <c r="BP468" s="8">
        <v>68.79</v>
      </c>
      <c r="BQ468" s="4"/>
      <c r="BR468" s="8"/>
      <c r="BS468" s="7"/>
      <c r="BT468" s="7"/>
      <c r="BU468" s="2" t="s">
        <v>109</v>
      </c>
      <c r="BV468" s="2" t="s">
        <v>110</v>
      </c>
      <c r="BW468" s="2" t="s">
        <v>500</v>
      </c>
      <c r="BX468" s="2" t="s">
        <v>2064</v>
      </c>
      <c r="BY468" s="2" t="s">
        <v>113</v>
      </c>
      <c r="BZ468" s="2" t="s">
        <v>100</v>
      </c>
    </row>
    <row r="469">
      <c r="A469" s="2" t="s">
        <v>2065</v>
      </c>
      <c r="B469" s="2" t="s">
        <v>87</v>
      </c>
      <c r="C469" s="2" t="s">
        <v>1867</v>
      </c>
      <c r="D469" s="2" t="s">
        <v>803</v>
      </c>
      <c r="E469" s="2" t="s">
        <v>1475</v>
      </c>
      <c r="F469" s="2" t="s">
        <v>1121</v>
      </c>
      <c r="G469" s="2" t="s">
        <v>2066</v>
      </c>
      <c r="H469" s="2" t="s">
        <v>2067</v>
      </c>
      <c r="I469" s="2" t="s">
        <v>2068</v>
      </c>
      <c r="J469" s="2" t="s">
        <v>1936</v>
      </c>
      <c r="K469" s="2" t="s">
        <v>118</v>
      </c>
      <c r="L469" s="3">
        <v>24</v>
      </c>
      <c r="M469" s="3">
        <v>25.2</v>
      </c>
      <c r="N469" s="3">
        <v>49.99</v>
      </c>
      <c r="O469" s="2" t="s">
        <v>97</v>
      </c>
      <c r="P469" s="2" t="s">
        <v>225</v>
      </c>
      <c r="Q469" s="2" t="s">
        <v>99</v>
      </c>
      <c r="R469" s="2" t="s">
        <v>100</v>
      </c>
      <c r="S469" s="2" t="s">
        <v>2069</v>
      </c>
      <c r="T469" s="2" t="s">
        <v>218</v>
      </c>
      <c r="U469" s="2" t="s">
        <v>102</v>
      </c>
      <c r="V469" s="2" t="s">
        <v>256</v>
      </c>
      <c r="W469" s="2" t="s">
        <v>2010</v>
      </c>
      <c r="X469" s="2" t="s">
        <v>100</v>
      </c>
      <c r="Y469" s="2" t="s">
        <v>2070</v>
      </c>
      <c r="Z469" s="4">
        <v>326</v>
      </c>
      <c r="AA469" s="4">
        <f>=ROUNDDOWN(32.6,0)</f>
      </c>
      <c r="AB469" s="5">
        <v>10</v>
      </c>
      <c r="AC469" s="2" t="s">
        <v>100</v>
      </c>
      <c r="AD469" s="4"/>
      <c r="AE469" s="4"/>
      <c r="AF469" s="6">
        <v>65</v>
      </c>
      <c r="AG469" s="6"/>
      <c r="AH469" s="7">
        <v>0.7263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/>
      <c r="BJ469" s="4">
        <v>60</v>
      </c>
      <c r="BK469" s="8">
        <v>1613.76</v>
      </c>
      <c r="BL469" s="2" t="s">
        <v>1310</v>
      </c>
      <c r="BM469" s="7"/>
      <c r="BN469" s="7"/>
      <c r="BO469" s="4"/>
      <c r="BP469" s="8"/>
      <c r="BQ469" s="4"/>
      <c r="BR469" s="8"/>
      <c r="BS469" s="7"/>
      <c r="BT469" s="7"/>
      <c r="BU469" s="2" t="s">
        <v>207</v>
      </c>
      <c r="BV469" s="2" t="s">
        <v>97</v>
      </c>
      <c r="BW469" s="2" t="s">
        <v>100</v>
      </c>
      <c r="BX469" s="2" t="s">
        <v>100</v>
      </c>
      <c r="BY469" s="2" t="s">
        <v>113</v>
      </c>
      <c r="BZ469" s="2" t="s">
        <v>100</v>
      </c>
    </row>
    <row r="470">
      <c r="A470" s="2" t="s">
        <v>2071</v>
      </c>
      <c r="B470" s="2" t="s">
        <v>87</v>
      </c>
      <c r="C470" s="2" t="s">
        <v>1867</v>
      </c>
      <c r="D470" s="2" t="s">
        <v>803</v>
      </c>
      <c r="E470" s="2" t="s">
        <v>1475</v>
      </c>
      <c r="F470" s="2" t="s">
        <v>1121</v>
      </c>
      <c r="G470" s="2" t="s">
        <v>2066</v>
      </c>
      <c r="H470" s="2" t="s">
        <v>2067</v>
      </c>
      <c r="I470" s="2" t="s">
        <v>2068</v>
      </c>
      <c r="J470" s="2" t="s">
        <v>2072</v>
      </c>
      <c r="K470" s="2" t="s">
        <v>118</v>
      </c>
      <c r="L470" s="3">
        <v>24</v>
      </c>
      <c r="M470" s="3">
        <v>25.2</v>
      </c>
      <c r="N470" s="3">
        <v>49.99</v>
      </c>
      <c r="O470" s="2" t="s">
        <v>97</v>
      </c>
      <c r="P470" s="2" t="s">
        <v>225</v>
      </c>
      <c r="Q470" s="2" t="s">
        <v>99</v>
      </c>
      <c r="R470" s="2" t="s">
        <v>100</v>
      </c>
      <c r="S470" s="2" t="s">
        <v>2069</v>
      </c>
      <c r="T470" s="2" t="s">
        <v>218</v>
      </c>
      <c r="U470" s="2" t="s">
        <v>102</v>
      </c>
      <c r="V470" s="2" t="s">
        <v>256</v>
      </c>
      <c r="W470" s="2" t="s">
        <v>2010</v>
      </c>
      <c r="X470" s="2" t="s">
        <v>100</v>
      </c>
      <c r="Y470" s="2" t="s">
        <v>2070</v>
      </c>
      <c r="Z470" s="4">
        <v>220</v>
      </c>
      <c r="AA470" s="4">
        <f>=ROUNDDOWN(18.3333333333333,0)</f>
      </c>
      <c r="AB470" s="5">
        <v>12</v>
      </c>
      <c r="AC470" s="2" t="s">
        <v>100</v>
      </c>
      <c r="AD470" s="4"/>
      <c r="AE470" s="4"/>
      <c r="AF470" s="6">
        <v>65</v>
      </c>
      <c r="AG470" s="6"/>
      <c r="AH470" s="7">
        <v>0.7263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/>
      <c r="BJ470" s="4">
        <v>60</v>
      </c>
      <c r="BK470" s="8">
        <v>1614.02</v>
      </c>
      <c r="BL470" s="2" t="s">
        <v>2073</v>
      </c>
      <c r="BM470" s="7"/>
      <c r="BN470" s="7"/>
      <c r="BO470" s="4"/>
      <c r="BP470" s="8"/>
      <c r="BQ470" s="4"/>
      <c r="BR470" s="8"/>
      <c r="BS470" s="7"/>
      <c r="BT470" s="7"/>
      <c r="BU470" s="2" t="s">
        <v>207</v>
      </c>
      <c r="BV470" s="2" t="s">
        <v>97</v>
      </c>
      <c r="BW470" s="2" t="s">
        <v>100</v>
      </c>
      <c r="BX470" s="2" t="s">
        <v>100</v>
      </c>
      <c r="BY470" s="2" t="s">
        <v>113</v>
      </c>
      <c r="BZ470" s="2" t="s">
        <v>100</v>
      </c>
    </row>
    <row r="471">
      <c r="A471" s="2" t="s">
        <v>2074</v>
      </c>
      <c r="B471" s="2" t="s">
        <v>87</v>
      </c>
      <c r="C471" s="2" t="s">
        <v>1867</v>
      </c>
      <c r="D471" s="2" t="s">
        <v>803</v>
      </c>
      <c r="E471" s="2" t="s">
        <v>1475</v>
      </c>
      <c r="F471" s="2" t="s">
        <v>1121</v>
      </c>
      <c r="G471" s="2" t="s">
        <v>2066</v>
      </c>
      <c r="H471" s="2" t="s">
        <v>2067</v>
      </c>
      <c r="I471" s="2" t="s">
        <v>2068</v>
      </c>
      <c r="J471" s="2" t="s">
        <v>717</v>
      </c>
      <c r="K471" s="2" t="s">
        <v>118</v>
      </c>
      <c r="L471" s="3">
        <v>26.4</v>
      </c>
      <c r="M471" s="3">
        <v>27.72</v>
      </c>
      <c r="N471" s="3">
        <v>54.99</v>
      </c>
      <c r="O471" s="2" t="s">
        <v>97</v>
      </c>
      <c r="P471" s="2" t="s">
        <v>225</v>
      </c>
      <c r="Q471" s="2" t="s">
        <v>99</v>
      </c>
      <c r="R471" s="2" t="s">
        <v>100</v>
      </c>
      <c r="S471" s="2" t="s">
        <v>2069</v>
      </c>
      <c r="T471" s="2" t="s">
        <v>218</v>
      </c>
      <c r="U471" s="2" t="s">
        <v>1240</v>
      </c>
      <c r="V471" s="2" t="s">
        <v>256</v>
      </c>
      <c r="W471" s="2" t="s">
        <v>2010</v>
      </c>
      <c r="X471" s="2" t="s">
        <v>100</v>
      </c>
      <c r="Y471" s="2" t="s">
        <v>2070</v>
      </c>
      <c r="Z471" s="4">
        <v>317</v>
      </c>
      <c r="AA471" s="4">
        <f>=ROUNDDOWN(19.8125,0)</f>
      </c>
      <c r="AB471" s="5">
        <v>16</v>
      </c>
      <c r="AC471" s="2" t="s">
        <v>100</v>
      </c>
      <c r="AD471" s="4"/>
      <c r="AE471" s="4"/>
      <c r="AF471" s="6">
        <v>65</v>
      </c>
      <c r="AG471" s="6"/>
      <c r="AH471" s="7">
        <v>0.7263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/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/>
      <c r="BJ471" s="4">
        <v>88</v>
      </c>
      <c r="BK471" s="8">
        <v>2618.91</v>
      </c>
      <c r="BL471" s="2" t="s">
        <v>1310</v>
      </c>
      <c r="BM471" s="7"/>
      <c r="BN471" s="7"/>
      <c r="BO471" s="4"/>
      <c r="BP471" s="8"/>
      <c r="BQ471" s="4"/>
      <c r="BR471" s="8"/>
      <c r="BS471" s="7"/>
      <c r="BT471" s="7"/>
      <c r="BU471" s="2" t="s">
        <v>207</v>
      </c>
      <c r="BV471" s="2" t="s">
        <v>97</v>
      </c>
      <c r="BW471" s="2" t="s">
        <v>100</v>
      </c>
      <c r="BX471" s="2" t="s">
        <v>100</v>
      </c>
      <c r="BY471" s="2" t="s">
        <v>113</v>
      </c>
      <c r="BZ471" s="2" t="s">
        <v>100</v>
      </c>
    </row>
    <row r="472">
      <c r="A472" s="2" t="s">
        <v>2075</v>
      </c>
      <c r="B472" s="2" t="s">
        <v>87</v>
      </c>
      <c r="C472" s="2" t="s">
        <v>1867</v>
      </c>
      <c r="D472" s="2" t="s">
        <v>803</v>
      </c>
      <c r="E472" s="2" t="s">
        <v>1475</v>
      </c>
      <c r="F472" s="2" t="s">
        <v>1121</v>
      </c>
      <c r="G472" s="2" t="s">
        <v>2066</v>
      </c>
      <c r="H472" s="2" t="s">
        <v>2067</v>
      </c>
      <c r="I472" s="2" t="s">
        <v>2068</v>
      </c>
      <c r="J472" s="2" t="s">
        <v>706</v>
      </c>
      <c r="K472" s="2" t="s">
        <v>118</v>
      </c>
      <c r="L472" s="3">
        <v>28.8</v>
      </c>
      <c r="M472" s="3">
        <v>30.24</v>
      </c>
      <c r="N472" s="3">
        <v>59.99</v>
      </c>
      <c r="O472" s="2" t="s">
        <v>97</v>
      </c>
      <c r="P472" s="2" t="s">
        <v>225</v>
      </c>
      <c r="Q472" s="2" t="s">
        <v>99</v>
      </c>
      <c r="R472" s="2" t="s">
        <v>100</v>
      </c>
      <c r="S472" s="2" t="s">
        <v>2069</v>
      </c>
      <c r="T472" s="2" t="s">
        <v>218</v>
      </c>
      <c r="U472" s="2" t="s">
        <v>1240</v>
      </c>
      <c r="V472" s="2" t="s">
        <v>256</v>
      </c>
      <c r="W472" s="2" t="s">
        <v>2010</v>
      </c>
      <c r="X472" s="2" t="s">
        <v>100</v>
      </c>
      <c r="Y472" s="2" t="s">
        <v>2070</v>
      </c>
      <c r="Z472" s="4">
        <v>370</v>
      </c>
      <c r="AA472" s="4">
        <f>=ROUNDDOWN(13.7037037037037,0)</f>
      </c>
      <c r="AB472" s="5">
        <v>27</v>
      </c>
      <c r="AC472" s="2" t="s">
        <v>100</v>
      </c>
      <c r="AD472" s="4"/>
      <c r="AE472" s="4"/>
      <c r="AF472" s="6">
        <v>65</v>
      </c>
      <c r="AG472" s="6"/>
      <c r="AH472" s="7">
        <v>0.7263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/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/>
      <c r="BJ472" s="4">
        <v>234</v>
      </c>
      <c r="BK472" s="8">
        <v>7544.65</v>
      </c>
      <c r="BL472" s="2" t="s">
        <v>2076</v>
      </c>
      <c r="BM472" s="7"/>
      <c r="BN472" s="7"/>
      <c r="BO472" s="4"/>
      <c r="BP472" s="8"/>
      <c r="BQ472" s="4"/>
      <c r="BR472" s="8"/>
      <c r="BS472" s="7"/>
      <c r="BT472" s="7"/>
      <c r="BU472" s="2" t="s">
        <v>207</v>
      </c>
      <c r="BV472" s="2" t="s">
        <v>97</v>
      </c>
      <c r="BW472" s="2" t="s">
        <v>100</v>
      </c>
      <c r="BX472" s="2" t="s">
        <v>100</v>
      </c>
      <c r="BY472" s="2" t="s">
        <v>113</v>
      </c>
      <c r="BZ472" s="2" t="s">
        <v>100</v>
      </c>
    </row>
    <row r="473">
      <c r="A473" s="2" t="s">
        <v>2077</v>
      </c>
      <c r="B473" s="2" t="s">
        <v>87</v>
      </c>
      <c r="C473" s="2" t="s">
        <v>1867</v>
      </c>
      <c r="D473" s="2" t="s">
        <v>803</v>
      </c>
      <c r="E473" s="2" t="s">
        <v>1475</v>
      </c>
      <c r="F473" s="2" t="s">
        <v>1121</v>
      </c>
      <c r="G473" s="2" t="s">
        <v>2066</v>
      </c>
      <c r="H473" s="2" t="s">
        <v>2067</v>
      </c>
      <c r="I473" s="2" t="s">
        <v>2068</v>
      </c>
      <c r="J473" s="2" t="s">
        <v>714</v>
      </c>
      <c r="K473" s="2" t="s">
        <v>118</v>
      </c>
      <c r="L473" s="3">
        <v>33.6</v>
      </c>
      <c r="M473" s="3">
        <v>35.28</v>
      </c>
      <c r="N473" s="3">
        <v>69.99</v>
      </c>
      <c r="O473" s="2" t="s">
        <v>97</v>
      </c>
      <c r="P473" s="2" t="s">
        <v>225</v>
      </c>
      <c r="Q473" s="2" t="s">
        <v>99</v>
      </c>
      <c r="R473" s="2" t="s">
        <v>100</v>
      </c>
      <c r="S473" s="2" t="s">
        <v>2069</v>
      </c>
      <c r="T473" s="2" t="s">
        <v>218</v>
      </c>
      <c r="U473" s="2" t="s">
        <v>1240</v>
      </c>
      <c r="V473" s="2" t="s">
        <v>256</v>
      </c>
      <c r="W473" s="2" t="s">
        <v>2010</v>
      </c>
      <c r="X473" s="2" t="s">
        <v>100</v>
      </c>
      <c r="Y473" s="2" t="s">
        <v>2070</v>
      </c>
      <c r="Z473" s="4">
        <v>327</v>
      </c>
      <c r="AA473" s="4">
        <f>=ROUNDDOWN(17.2105263157895,0)</f>
      </c>
      <c r="AB473" s="5">
        <v>19</v>
      </c>
      <c r="AC473" s="2" t="s">
        <v>100</v>
      </c>
      <c r="AD473" s="4"/>
      <c r="AE473" s="4"/>
      <c r="AF473" s="6">
        <v>65</v>
      </c>
      <c r="AG473" s="6"/>
      <c r="AH473" s="7">
        <v>0.7263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/>
      <c r="BJ473" s="4">
        <v>107</v>
      </c>
      <c r="BK473" s="8">
        <v>4080.93</v>
      </c>
      <c r="BL473" s="2" t="s">
        <v>1210</v>
      </c>
      <c r="BM473" s="7"/>
      <c r="BN473" s="7"/>
      <c r="BO473" s="4"/>
      <c r="BP473" s="8"/>
      <c r="BQ473" s="4"/>
      <c r="BR473" s="8"/>
      <c r="BS473" s="7"/>
      <c r="BT473" s="7"/>
      <c r="BU473" s="2" t="s">
        <v>207</v>
      </c>
      <c r="BV473" s="2" t="s">
        <v>97</v>
      </c>
      <c r="BW473" s="2" t="s">
        <v>100</v>
      </c>
      <c r="BX473" s="2" t="s">
        <v>100</v>
      </c>
      <c r="BY473" s="2" t="s">
        <v>113</v>
      </c>
      <c r="BZ473" s="2" t="s">
        <v>100</v>
      </c>
    </row>
    <row r="474">
      <c r="A474" s="2" t="s">
        <v>2078</v>
      </c>
      <c r="B474" s="2" t="s">
        <v>87</v>
      </c>
      <c r="C474" s="2" t="s">
        <v>1867</v>
      </c>
      <c r="D474" s="2" t="s">
        <v>803</v>
      </c>
      <c r="E474" s="2" t="s">
        <v>1475</v>
      </c>
      <c r="F474" s="2" t="s">
        <v>1121</v>
      </c>
      <c r="G474" s="2" t="s">
        <v>2066</v>
      </c>
      <c r="H474" s="2" t="s">
        <v>2067</v>
      </c>
      <c r="I474" s="2" t="s">
        <v>2068</v>
      </c>
      <c r="J474" s="2" t="s">
        <v>1936</v>
      </c>
      <c r="K474" s="2" t="s">
        <v>297</v>
      </c>
      <c r="L474" s="3">
        <v>24</v>
      </c>
      <c r="M474" s="3">
        <v>25.2</v>
      </c>
      <c r="N474" s="3">
        <v>49.99</v>
      </c>
      <c r="O474" s="2" t="s">
        <v>97</v>
      </c>
      <c r="P474" s="2" t="s">
        <v>119</v>
      </c>
      <c r="Q474" s="2" t="s">
        <v>99</v>
      </c>
      <c r="R474" s="2" t="s">
        <v>100</v>
      </c>
      <c r="S474" s="2" t="s">
        <v>2079</v>
      </c>
      <c r="T474" s="2" t="s">
        <v>218</v>
      </c>
      <c r="U474" s="2" t="s">
        <v>102</v>
      </c>
      <c r="V474" s="2" t="s">
        <v>292</v>
      </c>
      <c r="W474" s="2" t="s">
        <v>2010</v>
      </c>
      <c r="X474" s="2" t="s">
        <v>100</v>
      </c>
      <c r="Y474" s="2" t="s">
        <v>688</v>
      </c>
      <c r="Z474" s="4">
        <v>313</v>
      </c>
      <c r="AA474" s="4">
        <f>=ROUNDDOWN(34.7777777777778,0)</f>
      </c>
      <c r="AB474" s="5">
        <v>9</v>
      </c>
      <c r="AC474" s="2" t="s">
        <v>100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/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/>
      <c r="BJ474" s="4">
        <v>231</v>
      </c>
      <c r="BK474" s="8">
        <v>7362.05</v>
      </c>
      <c r="BL474" s="2" t="s">
        <v>267</v>
      </c>
      <c r="BM474" s="7"/>
      <c r="BN474" s="7"/>
      <c r="BO474" s="4"/>
      <c r="BP474" s="8"/>
      <c r="BQ474" s="4"/>
      <c r="BR474" s="8"/>
      <c r="BS474" s="7"/>
      <c r="BT474" s="7"/>
      <c r="BU474" s="2" t="s">
        <v>207</v>
      </c>
      <c r="BV474" s="2" t="s">
        <v>97</v>
      </c>
      <c r="BW474" s="2" t="s">
        <v>100</v>
      </c>
      <c r="BX474" s="2" t="s">
        <v>100</v>
      </c>
      <c r="BY474" s="2" t="s">
        <v>113</v>
      </c>
      <c r="BZ474" s="2" t="s">
        <v>245</v>
      </c>
    </row>
    <row r="475">
      <c r="A475" s="2" t="s">
        <v>2080</v>
      </c>
      <c r="B475" s="2" t="s">
        <v>87</v>
      </c>
      <c r="C475" s="2" t="s">
        <v>1867</v>
      </c>
      <c r="D475" s="2" t="s">
        <v>803</v>
      </c>
      <c r="E475" s="2" t="s">
        <v>1475</v>
      </c>
      <c r="F475" s="2" t="s">
        <v>1121</v>
      </c>
      <c r="G475" s="2" t="s">
        <v>2066</v>
      </c>
      <c r="H475" s="2" t="s">
        <v>2067</v>
      </c>
      <c r="I475" s="2" t="s">
        <v>2068</v>
      </c>
      <c r="J475" s="2" t="s">
        <v>2072</v>
      </c>
      <c r="K475" s="2" t="s">
        <v>297</v>
      </c>
      <c r="L475" s="3">
        <v>24</v>
      </c>
      <c r="M475" s="3">
        <v>25.2</v>
      </c>
      <c r="N475" s="3">
        <v>49.99</v>
      </c>
      <c r="O475" s="2" t="s">
        <v>97</v>
      </c>
      <c r="P475" s="2" t="s">
        <v>119</v>
      </c>
      <c r="Q475" s="2" t="s">
        <v>99</v>
      </c>
      <c r="R475" s="2" t="s">
        <v>100</v>
      </c>
      <c r="S475" s="2" t="s">
        <v>2079</v>
      </c>
      <c r="T475" s="2" t="s">
        <v>218</v>
      </c>
      <c r="U475" s="2" t="s">
        <v>102</v>
      </c>
      <c r="V475" s="2" t="s">
        <v>292</v>
      </c>
      <c r="W475" s="2" t="s">
        <v>2010</v>
      </c>
      <c r="X475" s="2" t="s">
        <v>100</v>
      </c>
      <c r="Y475" s="2" t="s">
        <v>688</v>
      </c>
      <c r="Z475" s="4">
        <v>377</v>
      </c>
      <c r="AA475" s="4">
        <f>=ROUNDDOWN(47.125,0)</f>
      </c>
      <c r="AB475" s="5">
        <v>8</v>
      </c>
      <c r="AC475" s="2" t="s">
        <v>100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/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/>
      <c r="BJ475" s="4">
        <v>228</v>
      </c>
      <c r="BK475" s="8">
        <v>7359.69</v>
      </c>
      <c r="BL475" s="2" t="s">
        <v>1499</v>
      </c>
      <c r="BM475" s="7"/>
      <c r="BN475" s="7"/>
      <c r="BO475" s="4"/>
      <c r="BP475" s="8"/>
      <c r="BQ475" s="4"/>
      <c r="BR475" s="8"/>
      <c r="BS475" s="7"/>
      <c r="BT475" s="7"/>
      <c r="BU475" s="2" t="s">
        <v>207</v>
      </c>
      <c r="BV475" s="2" t="s">
        <v>97</v>
      </c>
      <c r="BW475" s="2" t="s">
        <v>100</v>
      </c>
      <c r="BX475" s="2" t="s">
        <v>100</v>
      </c>
      <c r="BY475" s="2" t="s">
        <v>113</v>
      </c>
      <c r="BZ475" s="2" t="s">
        <v>245</v>
      </c>
    </row>
    <row r="476">
      <c r="A476" s="2" t="s">
        <v>2081</v>
      </c>
      <c r="B476" s="2" t="s">
        <v>87</v>
      </c>
      <c r="C476" s="2" t="s">
        <v>1867</v>
      </c>
      <c r="D476" s="2" t="s">
        <v>803</v>
      </c>
      <c r="E476" s="2" t="s">
        <v>1475</v>
      </c>
      <c r="F476" s="2" t="s">
        <v>1121</v>
      </c>
      <c r="G476" s="2" t="s">
        <v>2066</v>
      </c>
      <c r="H476" s="2" t="s">
        <v>2067</v>
      </c>
      <c r="I476" s="2" t="s">
        <v>2068</v>
      </c>
      <c r="J476" s="2" t="s">
        <v>717</v>
      </c>
      <c r="K476" s="2" t="s">
        <v>297</v>
      </c>
      <c r="L476" s="3">
        <v>26.4</v>
      </c>
      <c r="M476" s="3">
        <v>27.72</v>
      </c>
      <c r="N476" s="3">
        <v>54.99</v>
      </c>
      <c r="O476" s="2" t="s">
        <v>97</v>
      </c>
      <c r="P476" s="2" t="s">
        <v>119</v>
      </c>
      <c r="Q476" s="2" t="s">
        <v>99</v>
      </c>
      <c r="R476" s="2" t="s">
        <v>100</v>
      </c>
      <c r="S476" s="2" t="s">
        <v>2079</v>
      </c>
      <c r="T476" s="2" t="s">
        <v>218</v>
      </c>
      <c r="U476" s="2" t="s">
        <v>1240</v>
      </c>
      <c r="V476" s="2" t="s">
        <v>292</v>
      </c>
      <c r="W476" s="2" t="s">
        <v>2010</v>
      </c>
      <c r="X476" s="2" t="s">
        <v>100</v>
      </c>
      <c r="Y476" s="2" t="s">
        <v>2082</v>
      </c>
      <c r="Z476" s="4">
        <v>950</v>
      </c>
      <c r="AA476" s="4">
        <f>=ROUNDDOWN(73.0769230769231,0)</f>
      </c>
      <c r="AB476" s="5">
        <v>13</v>
      </c>
      <c r="AC476" s="2" t="s">
        <v>100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/>
      <c r="BJ476" s="4">
        <v>292</v>
      </c>
      <c r="BK476" s="8">
        <v>9332.97</v>
      </c>
      <c r="BL476" s="2" t="s">
        <v>776</v>
      </c>
      <c r="BM476" s="7"/>
      <c r="BN476" s="7"/>
      <c r="BO476" s="4"/>
      <c r="BP476" s="8"/>
      <c r="BQ476" s="4"/>
      <c r="BR476" s="8"/>
      <c r="BS476" s="7"/>
      <c r="BT476" s="7"/>
      <c r="BU476" s="2" t="s">
        <v>207</v>
      </c>
      <c r="BV476" s="2" t="s">
        <v>97</v>
      </c>
      <c r="BW476" s="2" t="s">
        <v>100</v>
      </c>
      <c r="BX476" s="2" t="s">
        <v>100</v>
      </c>
      <c r="BY476" s="2" t="s">
        <v>113</v>
      </c>
      <c r="BZ476" s="2" t="s">
        <v>245</v>
      </c>
    </row>
    <row r="477">
      <c r="A477" s="2" t="s">
        <v>2083</v>
      </c>
      <c r="B477" s="2" t="s">
        <v>87</v>
      </c>
      <c r="C477" s="2" t="s">
        <v>1867</v>
      </c>
      <c r="D477" s="2" t="s">
        <v>803</v>
      </c>
      <c r="E477" s="2" t="s">
        <v>1475</v>
      </c>
      <c r="F477" s="2" t="s">
        <v>1121</v>
      </c>
      <c r="G477" s="2" t="s">
        <v>2066</v>
      </c>
      <c r="H477" s="2" t="s">
        <v>2067</v>
      </c>
      <c r="I477" s="2" t="s">
        <v>2068</v>
      </c>
      <c r="J477" s="2" t="s">
        <v>706</v>
      </c>
      <c r="K477" s="2" t="s">
        <v>297</v>
      </c>
      <c r="L477" s="3">
        <v>28.8</v>
      </c>
      <c r="M477" s="3">
        <v>30.24</v>
      </c>
      <c r="N477" s="3">
        <v>59.99</v>
      </c>
      <c r="O477" s="2" t="s">
        <v>97</v>
      </c>
      <c r="P477" s="2" t="s">
        <v>119</v>
      </c>
      <c r="Q477" s="2" t="s">
        <v>99</v>
      </c>
      <c r="R477" s="2" t="s">
        <v>100</v>
      </c>
      <c r="S477" s="2" t="s">
        <v>2079</v>
      </c>
      <c r="T477" s="2" t="s">
        <v>218</v>
      </c>
      <c r="U477" s="2" t="s">
        <v>1240</v>
      </c>
      <c r="V477" s="2" t="s">
        <v>292</v>
      </c>
      <c r="W477" s="2" t="s">
        <v>2010</v>
      </c>
      <c r="X477" s="2" t="s">
        <v>100</v>
      </c>
      <c r="Y477" s="2" t="s">
        <v>688</v>
      </c>
      <c r="Z477" s="4">
        <v>2011</v>
      </c>
      <c r="AA477" s="4">
        <f>=ROUNDDOWN(43.7173913043478,0)</f>
      </c>
      <c r="AB477" s="5">
        <v>46</v>
      </c>
      <c r="AC477" s="2" t="s">
        <v>100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/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/>
      <c r="BJ477" s="4">
        <v>1002</v>
      </c>
      <c r="BK477" s="8">
        <v>35546.3</v>
      </c>
      <c r="BL477" s="2" t="s">
        <v>272</v>
      </c>
      <c r="BM477" s="7"/>
      <c r="BN477" s="7"/>
      <c r="BO477" s="4"/>
      <c r="BP477" s="8"/>
      <c r="BQ477" s="4"/>
      <c r="BR477" s="8"/>
      <c r="BS477" s="7"/>
      <c r="BT477" s="7"/>
      <c r="BU477" s="2" t="s">
        <v>207</v>
      </c>
      <c r="BV477" s="2" t="s">
        <v>97</v>
      </c>
      <c r="BW477" s="2" t="s">
        <v>100</v>
      </c>
      <c r="BX477" s="2" t="s">
        <v>100</v>
      </c>
      <c r="BY477" s="2" t="s">
        <v>113</v>
      </c>
      <c r="BZ477" s="2" t="s">
        <v>245</v>
      </c>
    </row>
    <row r="478">
      <c r="A478" s="2" t="s">
        <v>2084</v>
      </c>
      <c r="B478" s="2" t="s">
        <v>87</v>
      </c>
      <c r="C478" s="2" t="s">
        <v>1867</v>
      </c>
      <c r="D478" s="2" t="s">
        <v>803</v>
      </c>
      <c r="E478" s="2" t="s">
        <v>1475</v>
      </c>
      <c r="F478" s="2" t="s">
        <v>1121</v>
      </c>
      <c r="G478" s="2" t="s">
        <v>2066</v>
      </c>
      <c r="H478" s="2" t="s">
        <v>2067</v>
      </c>
      <c r="I478" s="2" t="s">
        <v>2068</v>
      </c>
      <c r="J478" s="2" t="s">
        <v>714</v>
      </c>
      <c r="K478" s="2" t="s">
        <v>297</v>
      </c>
      <c r="L478" s="3">
        <v>33.6</v>
      </c>
      <c r="M478" s="3">
        <v>35.28</v>
      </c>
      <c r="N478" s="3">
        <v>69.99</v>
      </c>
      <c r="O478" s="2" t="s">
        <v>97</v>
      </c>
      <c r="P478" s="2" t="s">
        <v>119</v>
      </c>
      <c r="Q478" s="2" t="s">
        <v>99</v>
      </c>
      <c r="R478" s="2" t="s">
        <v>100</v>
      </c>
      <c r="S478" s="2" t="s">
        <v>2079</v>
      </c>
      <c r="T478" s="2" t="s">
        <v>218</v>
      </c>
      <c r="U478" s="2" t="s">
        <v>1240</v>
      </c>
      <c r="V478" s="2" t="s">
        <v>292</v>
      </c>
      <c r="W478" s="2" t="s">
        <v>2010</v>
      </c>
      <c r="X478" s="2" t="s">
        <v>100</v>
      </c>
      <c r="Y478" s="2" t="s">
        <v>2082</v>
      </c>
      <c r="Z478" s="4">
        <v>1261</v>
      </c>
      <c r="AA478" s="4">
        <f>=ROUNDDOWN(42.0333333333333,0)</f>
      </c>
      <c r="AB478" s="5">
        <v>30</v>
      </c>
      <c r="AC478" s="2" t="s">
        <v>100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/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/>
      <c r="BJ478" s="4">
        <v>577</v>
      </c>
      <c r="BK478" s="8">
        <v>23046.15</v>
      </c>
      <c r="BL478" s="2" t="s">
        <v>267</v>
      </c>
      <c r="BM478" s="7"/>
      <c r="BN478" s="7"/>
      <c r="BO478" s="4"/>
      <c r="BP478" s="8"/>
      <c r="BQ478" s="4"/>
      <c r="BR478" s="8"/>
      <c r="BS478" s="7"/>
      <c r="BT478" s="7"/>
      <c r="BU478" s="2" t="s">
        <v>207</v>
      </c>
      <c r="BV478" s="2" t="s">
        <v>97</v>
      </c>
      <c r="BW478" s="2" t="s">
        <v>100</v>
      </c>
      <c r="BX478" s="2" t="s">
        <v>100</v>
      </c>
      <c r="BY478" s="2" t="s">
        <v>113</v>
      </c>
      <c r="BZ478" s="2" t="s">
        <v>245</v>
      </c>
    </row>
    <row r="479">
      <c r="A479" s="2" t="s">
        <v>2085</v>
      </c>
      <c r="B479" s="2" t="s">
        <v>87</v>
      </c>
      <c r="C479" s="2" t="s">
        <v>1867</v>
      </c>
      <c r="D479" s="2" t="s">
        <v>803</v>
      </c>
      <c r="E479" s="2" t="s">
        <v>1475</v>
      </c>
      <c r="F479" s="2" t="s">
        <v>2086</v>
      </c>
      <c r="G479" s="2" t="s">
        <v>1683</v>
      </c>
      <c r="H479" s="2" t="s">
        <v>2087</v>
      </c>
      <c r="I479" s="2" t="s">
        <v>2088</v>
      </c>
      <c r="J479" s="2" t="s">
        <v>1936</v>
      </c>
      <c r="K479" s="2" t="s">
        <v>2089</v>
      </c>
      <c r="L479" s="3">
        <v>26.19</v>
      </c>
      <c r="M479" s="3">
        <v>27.5</v>
      </c>
      <c r="N479" s="3">
        <v>54.99</v>
      </c>
      <c r="O479" s="2" t="s">
        <v>97</v>
      </c>
      <c r="P479" s="2" t="s">
        <v>119</v>
      </c>
      <c r="Q479" s="2" t="s">
        <v>99</v>
      </c>
      <c r="R479" s="2" t="s">
        <v>100</v>
      </c>
      <c r="S479" s="2" t="s">
        <v>2090</v>
      </c>
      <c r="T479" s="2" t="s">
        <v>218</v>
      </c>
      <c r="U479" s="2" t="s">
        <v>171</v>
      </c>
      <c r="V479" s="2" t="s">
        <v>256</v>
      </c>
      <c r="W479" s="2" t="s">
        <v>104</v>
      </c>
      <c r="X479" s="2" t="s">
        <v>183</v>
      </c>
      <c r="Y479" s="2" t="s">
        <v>2091</v>
      </c>
      <c r="Z479" s="4">
        <v>195</v>
      </c>
      <c r="AA479" s="4">
        <f>=ROUNDDOWN(39.7959183673469,0)</f>
      </c>
      <c r="AB479" s="5">
        <v>4.9</v>
      </c>
      <c r="AC479" s="2" t="s">
        <v>100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/>
      <c r="BJ479" s="4">
        <v>149</v>
      </c>
      <c r="BK479" s="8">
        <v>4479.19</v>
      </c>
      <c r="BL479" s="2" t="s">
        <v>2092</v>
      </c>
      <c r="BM479" s="7"/>
      <c r="BN479" s="7"/>
      <c r="BO479" s="4"/>
      <c r="BP479" s="8"/>
      <c r="BQ479" s="4"/>
      <c r="BR479" s="8"/>
      <c r="BS479" s="7"/>
      <c r="BT479" s="7"/>
      <c r="BU479" s="2" t="s">
        <v>207</v>
      </c>
      <c r="BV479" s="2" t="s">
        <v>97</v>
      </c>
      <c r="BW479" s="2" t="s">
        <v>100</v>
      </c>
      <c r="BX479" s="2" t="s">
        <v>100</v>
      </c>
      <c r="BY479" s="2" t="s">
        <v>113</v>
      </c>
      <c r="BZ479" s="2" t="s">
        <v>245</v>
      </c>
    </row>
    <row r="480">
      <c r="A480" s="2" t="s">
        <v>2093</v>
      </c>
      <c r="B480" s="2" t="s">
        <v>87</v>
      </c>
      <c r="C480" s="2" t="s">
        <v>1867</v>
      </c>
      <c r="D480" s="2" t="s">
        <v>803</v>
      </c>
      <c r="E480" s="2" t="s">
        <v>1475</v>
      </c>
      <c r="F480" s="2" t="s">
        <v>2086</v>
      </c>
      <c r="G480" s="2" t="s">
        <v>1683</v>
      </c>
      <c r="H480" s="2" t="s">
        <v>2087</v>
      </c>
      <c r="I480" s="2" t="s">
        <v>2088</v>
      </c>
      <c r="J480" s="2" t="s">
        <v>717</v>
      </c>
      <c r="K480" s="2" t="s">
        <v>2089</v>
      </c>
      <c r="L480" s="3">
        <v>28.57</v>
      </c>
      <c r="M480" s="3">
        <v>30</v>
      </c>
      <c r="N480" s="3">
        <v>59.99</v>
      </c>
      <c r="O480" s="2" t="s">
        <v>97</v>
      </c>
      <c r="P480" s="2" t="s">
        <v>119</v>
      </c>
      <c r="Q480" s="2" t="s">
        <v>99</v>
      </c>
      <c r="R480" s="2" t="s">
        <v>100</v>
      </c>
      <c r="S480" s="2" t="s">
        <v>2090</v>
      </c>
      <c r="T480" s="2" t="s">
        <v>218</v>
      </c>
      <c r="U480" s="2" t="s">
        <v>337</v>
      </c>
      <c r="V480" s="2" t="s">
        <v>256</v>
      </c>
      <c r="W480" s="2" t="s">
        <v>104</v>
      </c>
      <c r="X480" s="2" t="s">
        <v>183</v>
      </c>
      <c r="Y480" s="2" t="s">
        <v>2091</v>
      </c>
      <c r="Z480" s="4">
        <v>247</v>
      </c>
      <c r="AA480" s="4">
        <f>=ROUNDDOWN(36.865671641791,0)</f>
      </c>
      <c r="AB480" s="5">
        <v>6.7</v>
      </c>
      <c r="AC480" s="2" t="s">
        <v>100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/>
      <c r="BJ480" s="4">
        <v>195</v>
      </c>
      <c r="BK480" s="8">
        <v>6181.89</v>
      </c>
      <c r="BL480" s="2" t="s">
        <v>663</v>
      </c>
      <c r="BM480" s="7"/>
      <c r="BN480" s="7"/>
      <c r="BO480" s="4"/>
      <c r="BP480" s="8"/>
      <c r="BQ480" s="4"/>
      <c r="BR480" s="8"/>
      <c r="BS480" s="7"/>
      <c r="BT480" s="7"/>
      <c r="BU480" s="2" t="s">
        <v>207</v>
      </c>
      <c r="BV480" s="2" t="s">
        <v>97</v>
      </c>
      <c r="BW480" s="2" t="s">
        <v>100</v>
      </c>
      <c r="BX480" s="2" t="s">
        <v>100</v>
      </c>
      <c r="BY480" s="2" t="s">
        <v>113</v>
      </c>
      <c r="BZ480" s="2" t="s">
        <v>245</v>
      </c>
    </row>
    <row r="481">
      <c r="A481" s="2" t="s">
        <v>2094</v>
      </c>
      <c r="B481" s="2" t="s">
        <v>87</v>
      </c>
      <c r="C481" s="2" t="s">
        <v>1867</v>
      </c>
      <c r="D481" s="2" t="s">
        <v>803</v>
      </c>
      <c r="E481" s="2" t="s">
        <v>1475</v>
      </c>
      <c r="F481" s="2" t="s">
        <v>2086</v>
      </c>
      <c r="G481" s="2" t="s">
        <v>1683</v>
      </c>
      <c r="H481" s="2" t="s">
        <v>2087</v>
      </c>
      <c r="I481" s="2" t="s">
        <v>2088</v>
      </c>
      <c r="J481" s="2" t="s">
        <v>706</v>
      </c>
      <c r="K481" s="2" t="s">
        <v>2089</v>
      </c>
      <c r="L481" s="3">
        <v>30.95</v>
      </c>
      <c r="M481" s="3">
        <v>32.5</v>
      </c>
      <c r="N481" s="3">
        <v>64.99</v>
      </c>
      <c r="O481" s="2" t="s">
        <v>97</v>
      </c>
      <c r="P481" s="2" t="s">
        <v>119</v>
      </c>
      <c r="Q481" s="2" t="s">
        <v>99</v>
      </c>
      <c r="R481" s="2" t="s">
        <v>100</v>
      </c>
      <c r="S481" s="2" t="s">
        <v>2090</v>
      </c>
      <c r="T481" s="2" t="s">
        <v>218</v>
      </c>
      <c r="U481" s="2" t="s">
        <v>337</v>
      </c>
      <c r="V481" s="2" t="s">
        <v>256</v>
      </c>
      <c r="W481" s="2" t="s">
        <v>104</v>
      </c>
      <c r="X481" s="2" t="s">
        <v>183</v>
      </c>
      <c r="Y481" s="2" t="s">
        <v>2091</v>
      </c>
      <c r="Z481" s="4">
        <v>546</v>
      </c>
      <c r="AA481" s="4">
        <f>=ROUNDDOWN(32.1176470588235,0)</f>
      </c>
      <c r="AB481" s="5">
        <v>17</v>
      </c>
      <c r="AC481" s="2" t="s">
        <v>100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/>
      <c r="BJ481" s="4">
        <v>515</v>
      </c>
      <c r="BK481" s="8">
        <v>17689.5</v>
      </c>
      <c r="BL481" s="2" t="s">
        <v>663</v>
      </c>
      <c r="BM481" s="7"/>
      <c r="BN481" s="7"/>
      <c r="BO481" s="4"/>
      <c r="BP481" s="8"/>
      <c r="BQ481" s="4"/>
      <c r="BR481" s="8"/>
      <c r="BS481" s="7"/>
      <c r="BT481" s="7"/>
      <c r="BU481" s="2" t="s">
        <v>207</v>
      </c>
      <c r="BV481" s="2" t="s">
        <v>97</v>
      </c>
      <c r="BW481" s="2" t="s">
        <v>100</v>
      </c>
      <c r="BX481" s="2" t="s">
        <v>100</v>
      </c>
      <c r="BY481" s="2" t="s">
        <v>113</v>
      </c>
      <c r="BZ481" s="2" t="s">
        <v>245</v>
      </c>
    </row>
    <row r="482">
      <c r="A482" s="2" t="s">
        <v>2095</v>
      </c>
      <c r="B482" s="2" t="s">
        <v>87</v>
      </c>
      <c r="C482" s="2" t="s">
        <v>1867</v>
      </c>
      <c r="D482" s="2" t="s">
        <v>803</v>
      </c>
      <c r="E482" s="2" t="s">
        <v>1475</v>
      </c>
      <c r="F482" s="2" t="s">
        <v>2086</v>
      </c>
      <c r="G482" s="2" t="s">
        <v>1683</v>
      </c>
      <c r="H482" s="2" t="s">
        <v>2087</v>
      </c>
      <c r="I482" s="2" t="s">
        <v>2088</v>
      </c>
      <c r="J482" s="2" t="s">
        <v>714</v>
      </c>
      <c r="K482" s="2" t="s">
        <v>2089</v>
      </c>
      <c r="L482" s="3">
        <v>35.71</v>
      </c>
      <c r="M482" s="3">
        <v>37.5</v>
      </c>
      <c r="N482" s="3">
        <v>74.99</v>
      </c>
      <c r="O482" s="2" t="s">
        <v>97</v>
      </c>
      <c r="P482" s="2" t="s">
        <v>119</v>
      </c>
      <c r="Q482" s="2" t="s">
        <v>99</v>
      </c>
      <c r="R482" s="2" t="s">
        <v>100</v>
      </c>
      <c r="S482" s="2" t="s">
        <v>2090</v>
      </c>
      <c r="T482" s="2" t="s">
        <v>218</v>
      </c>
      <c r="U482" s="2" t="s">
        <v>337</v>
      </c>
      <c r="V482" s="2" t="s">
        <v>256</v>
      </c>
      <c r="W482" s="2" t="s">
        <v>104</v>
      </c>
      <c r="X482" s="2" t="s">
        <v>183</v>
      </c>
      <c r="Y482" s="2" t="s">
        <v>2091</v>
      </c>
      <c r="Z482" s="4">
        <v>291</v>
      </c>
      <c r="AA482" s="4">
        <f>=ROUNDDOWN(32.3333333333333,0)</f>
      </c>
      <c r="AB482" s="5">
        <v>9</v>
      </c>
      <c r="AC482" s="2" t="s">
        <v>100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/>
      <c r="BJ482" s="4">
        <v>280</v>
      </c>
      <c r="BK482" s="8">
        <v>11255.54</v>
      </c>
      <c r="BL482" s="2" t="s">
        <v>2096</v>
      </c>
      <c r="BM482" s="7"/>
      <c r="BN482" s="7"/>
      <c r="BO482" s="4"/>
      <c r="BP482" s="8"/>
      <c r="BQ482" s="4"/>
      <c r="BR482" s="8"/>
      <c r="BS482" s="7"/>
      <c r="BT482" s="7"/>
      <c r="BU482" s="2" t="s">
        <v>207</v>
      </c>
      <c r="BV482" s="2" t="s">
        <v>97</v>
      </c>
      <c r="BW482" s="2" t="s">
        <v>100</v>
      </c>
      <c r="BX482" s="2" t="s">
        <v>100</v>
      </c>
      <c r="BY482" s="2" t="s">
        <v>113</v>
      </c>
      <c r="BZ482" s="2" t="s">
        <v>245</v>
      </c>
    </row>
    <row r="483">
      <c r="A483" s="2" t="s">
        <v>2097</v>
      </c>
      <c r="B483" s="2" t="s">
        <v>87</v>
      </c>
      <c r="C483" s="2" t="s">
        <v>1867</v>
      </c>
      <c r="D483" s="2" t="s">
        <v>803</v>
      </c>
      <c r="E483" s="2" t="s">
        <v>1475</v>
      </c>
      <c r="F483" s="2" t="s">
        <v>2086</v>
      </c>
      <c r="G483" s="2" t="s">
        <v>1683</v>
      </c>
      <c r="H483" s="2" t="s">
        <v>2087</v>
      </c>
      <c r="I483" s="2" t="s">
        <v>2088</v>
      </c>
      <c r="J483" s="2" t="s">
        <v>817</v>
      </c>
      <c r="K483" s="2" t="s">
        <v>2089</v>
      </c>
      <c r="L483" s="3">
        <v>35.71</v>
      </c>
      <c r="M483" s="3">
        <v>37.5</v>
      </c>
      <c r="N483" s="3">
        <v>74.99</v>
      </c>
      <c r="O483" s="2" t="s">
        <v>97</v>
      </c>
      <c r="P483" s="2" t="s">
        <v>119</v>
      </c>
      <c r="Q483" s="2" t="s">
        <v>99</v>
      </c>
      <c r="R483" s="2" t="s">
        <v>100</v>
      </c>
      <c r="S483" s="2" t="s">
        <v>2090</v>
      </c>
      <c r="T483" s="2" t="s">
        <v>218</v>
      </c>
      <c r="U483" s="2" t="s">
        <v>337</v>
      </c>
      <c r="V483" s="2" t="s">
        <v>256</v>
      </c>
      <c r="W483" s="2" t="s">
        <v>104</v>
      </c>
      <c r="X483" s="2" t="s">
        <v>183</v>
      </c>
      <c r="Y483" s="2" t="s">
        <v>2091</v>
      </c>
      <c r="Z483" s="4">
        <v>258</v>
      </c>
      <c r="AA483" s="4">
        <f>=ROUNDDOWN(60,0)</f>
      </c>
      <c r="AB483" s="5">
        <v>4.3</v>
      </c>
      <c r="AC483" s="2" t="s">
        <v>100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/>
      <c r="BJ483" s="4">
        <v>120</v>
      </c>
      <c r="BK483" s="8">
        <v>4795.83</v>
      </c>
      <c r="BL483" s="2" t="s">
        <v>2098</v>
      </c>
      <c r="BM483" s="7"/>
      <c r="BN483" s="7"/>
      <c r="BO483" s="4"/>
      <c r="BP483" s="8"/>
      <c r="BQ483" s="4"/>
      <c r="BR483" s="8"/>
      <c r="BS483" s="7"/>
      <c r="BT483" s="7"/>
      <c r="BU483" s="2" t="s">
        <v>207</v>
      </c>
      <c r="BV483" s="2" t="s">
        <v>97</v>
      </c>
      <c r="BW483" s="2" t="s">
        <v>100</v>
      </c>
      <c r="BX483" s="2" t="s">
        <v>100</v>
      </c>
      <c r="BY483" s="2" t="s">
        <v>113</v>
      </c>
      <c r="BZ483" s="2" t="s">
        <v>245</v>
      </c>
    </row>
    <row r="484">
      <c r="A484" s="2" t="s">
        <v>2099</v>
      </c>
      <c r="B484" s="2" t="s">
        <v>87</v>
      </c>
      <c r="C484" s="2" t="s">
        <v>1867</v>
      </c>
      <c r="D484" s="2" t="s">
        <v>803</v>
      </c>
      <c r="E484" s="2" t="s">
        <v>1475</v>
      </c>
      <c r="F484" s="2" t="s">
        <v>2100</v>
      </c>
      <c r="G484" s="2" t="s">
        <v>2101</v>
      </c>
      <c r="H484" s="2" t="s">
        <v>2102</v>
      </c>
      <c r="I484" s="2" t="s">
        <v>2103</v>
      </c>
      <c r="J484" s="2" t="s">
        <v>1936</v>
      </c>
      <c r="K484" s="2" t="s">
        <v>2104</v>
      </c>
      <c r="L484" s="3">
        <v>30.95</v>
      </c>
      <c r="M484" s="3">
        <v>32.5</v>
      </c>
      <c r="N484" s="3">
        <v>64.99</v>
      </c>
      <c r="O484" s="2" t="s">
        <v>97</v>
      </c>
      <c r="P484" s="2" t="s">
        <v>119</v>
      </c>
      <c r="Q484" s="2" t="s">
        <v>99</v>
      </c>
      <c r="R484" s="2" t="s">
        <v>100</v>
      </c>
      <c r="S484" s="2" t="s">
        <v>2105</v>
      </c>
      <c r="T484" s="2" t="s">
        <v>218</v>
      </c>
      <c r="U484" s="2" t="s">
        <v>171</v>
      </c>
      <c r="V484" s="2" t="s">
        <v>350</v>
      </c>
      <c r="W484" s="2" t="s">
        <v>561</v>
      </c>
      <c r="X484" s="2" t="s">
        <v>100</v>
      </c>
      <c r="Y484" s="2" t="s">
        <v>2106</v>
      </c>
      <c r="Z484" s="4">
        <v>262</v>
      </c>
      <c r="AA484" s="4">
        <f>=ROUNDDOWN(37.4285714285714,0)</f>
      </c>
      <c r="AB484" s="5">
        <v>7</v>
      </c>
      <c r="AC484" s="2" t="s">
        <v>872</v>
      </c>
      <c r="AD484" s="4">
        <v>50</v>
      </c>
      <c r="AE484" s="4">
        <v>50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/>
      <c r="BJ484" s="4">
        <v>185</v>
      </c>
      <c r="BK484" s="8">
        <v>6157.56</v>
      </c>
      <c r="BL484" s="2" t="s">
        <v>2107</v>
      </c>
      <c r="BM484" s="7"/>
      <c r="BN484" s="7"/>
      <c r="BO484" s="4"/>
      <c r="BP484" s="8"/>
      <c r="BQ484" s="4"/>
      <c r="BR484" s="8"/>
      <c r="BS484" s="7"/>
      <c r="BT484" s="7"/>
      <c r="BU484" s="2" t="s">
        <v>207</v>
      </c>
      <c r="BV484" s="2" t="s">
        <v>97</v>
      </c>
      <c r="BW484" s="2" t="s">
        <v>100</v>
      </c>
      <c r="BX484" s="2" t="s">
        <v>100</v>
      </c>
      <c r="BY484" s="2" t="s">
        <v>113</v>
      </c>
      <c r="BZ484" s="2" t="s">
        <v>100</v>
      </c>
    </row>
    <row r="485">
      <c r="A485" s="2" t="s">
        <v>2108</v>
      </c>
      <c r="B485" s="2" t="s">
        <v>87</v>
      </c>
      <c r="C485" s="2" t="s">
        <v>1867</v>
      </c>
      <c r="D485" s="2" t="s">
        <v>803</v>
      </c>
      <c r="E485" s="2" t="s">
        <v>1475</v>
      </c>
      <c r="F485" s="2" t="s">
        <v>2100</v>
      </c>
      <c r="G485" s="2" t="s">
        <v>2101</v>
      </c>
      <c r="H485" s="2" t="s">
        <v>2102</v>
      </c>
      <c r="I485" s="2" t="s">
        <v>2103</v>
      </c>
      <c r="J485" s="2" t="s">
        <v>717</v>
      </c>
      <c r="K485" s="2" t="s">
        <v>2104</v>
      </c>
      <c r="L485" s="3">
        <v>35.71</v>
      </c>
      <c r="M485" s="3">
        <v>37.5</v>
      </c>
      <c r="N485" s="3">
        <v>74.99</v>
      </c>
      <c r="O485" s="2" t="s">
        <v>97</v>
      </c>
      <c r="P485" s="2" t="s">
        <v>119</v>
      </c>
      <c r="Q485" s="2" t="s">
        <v>99</v>
      </c>
      <c r="R485" s="2" t="s">
        <v>100</v>
      </c>
      <c r="S485" s="2" t="s">
        <v>2105</v>
      </c>
      <c r="T485" s="2" t="s">
        <v>218</v>
      </c>
      <c r="U485" s="2" t="s">
        <v>337</v>
      </c>
      <c r="V485" s="2" t="s">
        <v>350</v>
      </c>
      <c r="W485" s="2" t="s">
        <v>561</v>
      </c>
      <c r="X485" s="2" t="s">
        <v>100</v>
      </c>
      <c r="Y485" s="2" t="s">
        <v>2106</v>
      </c>
      <c r="Z485" s="4">
        <v>307</v>
      </c>
      <c r="AA485" s="4">
        <f>=ROUNDDOWN(43.8571428571429,0)</f>
      </c>
      <c r="AB485" s="5">
        <v>7</v>
      </c>
      <c r="AC485" s="2" t="s">
        <v>100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/>
      <c r="BJ485" s="4">
        <v>187</v>
      </c>
      <c r="BK485" s="8">
        <v>7345.93</v>
      </c>
      <c r="BL485" s="2" t="s">
        <v>2109</v>
      </c>
      <c r="BM485" s="7"/>
      <c r="BN485" s="7"/>
      <c r="BO485" s="4"/>
      <c r="BP485" s="8"/>
      <c r="BQ485" s="4"/>
      <c r="BR485" s="8"/>
      <c r="BS485" s="7"/>
      <c r="BT485" s="7"/>
      <c r="BU485" s="2" t="s">
        <v>207</v>
      </c>
      <c r="BV485" s="2" t="s">
        <v>97</v>
      </c>
      <c r="BW485" s="2" t="s">
        <v>100</v>
      </c>
      <c r="BX485" s="2" t="s">
        <v>100</v>
      </c>
      <c r="BY485" s="2" t="s">
        <v>113</v>
      </c>
      <c r="BZ485" s="2" t="s">
        <v>100</v>
      </c>
    </row>
    <row r="486">
      <c r="A486" s="2" t="s">
        <v>2110</v>
      </c>
      <c r="B486" s="2" t="s">
        <v>87</v>
      </c>
      <c r="C486" s="2" t="s">
        <v>1867</v>
      </c>
      <c r="D486" s="2" t="s">
        <v>803</v>
      </c>
      <c r="E486" s="2" t="s">
        <v>1475</v>
      </c>
      <c r="F486" s="2" t="s">
        <v>2100</v>
      </c>
      <c r="G486" s="2" t="s">
        <v>2101</v>
      </c>
      <c r="H486" s="2" t="s">
        <v>2102</v>
      </c>
      <c r="I486" s="2" t="s">
        <v>2103</v>
      </c>
      <c r="J486" s="2" t="s">
        <v>706</v>
      </c>
      <c r="K486" s="2" t="s">
        <v>2104</v>
      </c>
      <c r="L486" s="3">
        <v>38.09</v>
      </c>
      <c r="M486" s="3">
        <v>39.99</v>
      </c>
      <c r="N486" s="3">
        <v>79.99</v>
      </c>
      <c r="O486" s="2" t="s">
        <v>97</v>
      </c>
      <c r="P486" s="2" t="s">
        <v>119</v>
      </c>
      <c r="Q486" s="2" t="s">
        <v>99</v>
      </c>
      <c r="R486" s="2" t="s">
        <v>100</v>
      </c>
      <c r="S486" s="2" t="s">
        <v>2105</v>
      </c>
      <c r="T486" s="2" t="s">
        <v>218</v>
      </c>
      <c r="U486" s="2" t="s">
        <v>337</v>
      </c>
      <c r="V486" s="2" t="s">
        <v>350</v>
      </c>
      <c r="W486" s="2" t="s">
        <v>561</v>
      </c>
      <c r="X486" s="2" t="s">
        <v>100</v>
      </c>
      <c r="Y486" s="2" t="s">
        <v>2106</v>
      </c>
      <c r="Z486" s="4">
        <v>310</v>
      </c>
      <c r="AA486" s="4">
        <f>=ROUNDDOWN(15.5,0)</f>
      </c>
      <c r="AB486" s="5">
        <v>20</v>
      </c>
      <c r="AC486" s="2" t="s">
        <v>872</v>
      </c>
      <c r="AD486" s="4">
        <v>550</v>
      </c>
      <c r="AE486" s="4">
        <v>550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/>
      <c r="BJ486" s="4">
        <v>583</v>
      </c>
      <c r="BK486" s="8">
        <v>24422.09</v>
      </c>
      <c r="BL486" s="2" t="s">
        <v>780</v>
      </c>
      <c r="BM486" s="7"/>
      <c r="BN486" s="7"/>
      <c r="BO486" s="4"/>
      <c r="BP486" s="8"/>
      <c r="BQ486" s="4"/>
      <c r="BR486" s="8"/>
      <c r="BS486" s="7"/>
      <c r="BT486" s="7"/>
      <c r="BU486" s="2" t="s">
        <v>207</v>
      </c>
      <c r="BV486" s="2" t="s">
        <v>97</v>
      </c>
      <c r="BW486" s="2" t="s">
        <v>100</v>
      </c>
      <c r="BX486" s="2" t="s">
        <v>100</v>
      </c>
      <c r="BY486" s="2" t="s">
        <v>113</v>
      </c>
      <c r="BZ486" s="2" t="s">
        <v>100</v>
      </c>
    </row>
    <row r="487">
      <c r="A487" s="2" t="s">
        <v>2111</v>
      </c>
      <c r="B487" s="2" t="s">
        <v>87</v>
      </c>
      <c r="C487" s="2" t="s">
        <v>1867</v>
      </c>
      <c r="D487" s="2" t="s">
        <v>803</v>
      </c>
      <c r="E487" s="2" t="s">
        <v>1475</v>
      </c>
      <c r="F487" s="2" t="s">
        <v>2100</v>
      </c>
      <c r="G487" s="2" t="s">
        <v>2101</v>
      </c>
      <c r="H487" s="2" t="s">
        <v>2102</v>
      </c>
      <c r="I487" s="2" t="s">
        <v>2103</v>
      </c>
      <c r="J487" s="2" t="s">
        <v>714</v>
      </c>
      <c r="K487" s="2" t="s">
        <v>2104</v>
      </c>
      <c r="L487" s="3">
        <v>42.85</v>
      </c>
      <c r="M487" s="3">
        <v>44.99</v>
      </c>
      <c r="N487" s="3">
        <v>89.99</v>
      </c>
      <c r="O487" s="2" t="s">
        <v>97</v>
      </c>
      <c r="P487" s="2" t="s">
        <v>119</v>
      </c>
      <c r="Q487" s="2" t="s">
        <v>99</v>
      </c>
      <c r="R487" s="2" t="s">
        <v>100</v>
      </c>
      <c r="S487" s="2" t="s">
        <v>2105</v>
      </c>
      <c r="T487" s="2" t="s">
        <v>218</v>
      </c>
      <c r="U487" s="2" t="s">
        <v>337</v>
      </c>
      <c r="V487" s="2" t="s">
        <v>350</v>
      </c>
      <c r="W487" s="2" t="s">
        <v>561</v>
      </c>
      <c r="X487" s="2" t="s">
        <v>100</v>
      </c>
      <c r="Y487" s="2" t="s">
        <v>2106</v>
      </c>
      <c r="Z487" s="4">
        <v>226</v>
      </c>
      <c r="AA487" s="4">
        <f>=ROUNDDOWN(18.8333333333333,0)</f>
      </c>
      <c r="AB487" s="5">
        <v>12</v>
      </c>
      <c r="AC487" s="2" t="s">
        <v>872</v>
      </c>
      <c r="AD487" s="4">
        <v>400</v>
      </c>
      <c r="AE487" s="4">
        <v>400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313</v>
      </c>
      <c r="BK487" s="8">
        <v>14859.51</v>
      </c>
      <c r="BL487" s="2" t="s">
        <v>1570</v>
      </c>
      <c r="BM487" s="7"/>
      <c r="BN487" s="7"/>
      <c r="BO487" s="4"/>
      <c r="BP487" s="8"/>
      <c r="BQ487" s="4"/>
      <c r="BR487" s="8"/>
      <c r="BS487" s="7"/>
      <c r="BT487" s="7"/>
      <c r="BU487" s="2" t="s">
        <v>207</v>
      </c>
      <c r="BV487" s="2" t="s">
        <v>97</v>
      </c>
      <c r="BW487" s="2" t="s">
        <v>100</v>
      </c>
      <c r="BX487" s="2" t="s">
        <v>100</v>
      </c>
      <c r="BY487" s="2" t="s">
        <v>113</v>
      </c>
      <c r="BZ487" s="2" t="s">
        <v>100</v>
      </c>
    </row>
    <row r="488">
      <c r="A488" s="2" t="s">
        <v>2112</v>
      </c>
      <c r="B488" s="2" t="s">
        <v>87</v>
      </c>
      <c r="C488" s="2" t="s">
        <v>1867</v>
      </c>
      <c r="D488" s="2" t="s">
        <v>803</v>
      </c>
      <c r="E488" s="2" t="s">
        <v>1475</v>
      </c>
      <c r="F488" s="2" t="s">
        <v>2100</v>
      </c>
      <c r="G488" s="2" t="s">
        <v>2101</v>
      </c>
      <c r="H488" s="2" t="s">
        <v>2102</v>
      </c>
      <c r="I488" s="2" t="s">
        <v>2103</v>
      </c>
      <c r="J488" s="2" t="s">
        <v>817</v>
      </c>
      <c r="K488" s="2" t="s">
        <v>2104</v>
      </c>
      <c r="L488" s="3">
        <v>42.85</v>
      </c>
      <c r="M488" s="3">
        <v>44.99</v>
      </c>
      <c r="N488" s="3">
        <v>89.99</v>
      </c>
      <c r="O488" s="2" t="s">
        <v>97</v>
      </c>
      <c r="P488" s="2" t="s">
        <v>119</v>
      </c>
      <c r="Q488" s="2" t="s">
        <v>99</v>
      </c>
      <c r="R488" s="2" t="s">
        <v>100</v>
      </c>
      <c r="S488" s="2" t="s">
        <v>2105</v>
      </c>
      <c r="T488" s="2" t="s">
        <v>218</v>
      </c>
      <c r="U488" s="2" t="s">
        <v>337</v>
      </c>
      <c r="V488" s="2" t="s">
        <v>350</v>
      </c>
      <c r="W488" s="2" t="s">
        <v>561</v>
      </c>
      <c r="X488" s="2" t="s">
        <v>100</v>
      </c>
      <c r="Y488" s="2" t="s">
        <v>2106</v>
      </c>
      <c r="Z488" s="4">
        <v>298</v>
      </c>
      <c r="AA488" s="4">
        <f>=ROUNDDOWN(49.6666666666667,0)</f>
      </c>
      <c r="AB488" s="5">
        <v>6</v>
      </c>
      <c r="AC488" s="2" t="s">
        <v>100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118</v>
      </c>
      <c r="BK488" s="8">
        <v>5621.51</v>
      </c>
      <c r="BL488" s="2" t="s">
        <v>2113</v>
      </c>
      <c r="BM488" s="7"/>
      <c r="BN488" s="7"/>
      <c r="BO488" s="4"/>
      <c r="BP488" s="8"/>
      <c r="BQ488" s="4"/>
      <c r="BR488" s="8"/>
      <c r="BS488" s="7"/>
      <c r="BT488" s="7"/>
      <c r="BU488" s="2" t="s">
        <v>207</v>
      </c>
      <c r="BV488" s="2" t="s">
        <v>97</v>
      </c>
      <c r="BW488" s="2" t="s">
        <v>100</v>
      </c>
      <c r="BX488" s="2" t="s">
        <v>100</v>
      </c>
      <c r="BY488" s="2" t="s">
        <v>113</v>
      </c>
      <c r="BZ488" s="2" t="s">
        <v>100</v>
      </c>
    </row>
    <row r="489">
      <c r="A489" s="2" t="s">
        <v>2114</v>
      </c>
      <c r="B489" s="2" t="s">
        <v>87</v>
      </c>
      <c r="C489" s="2" t="s">
        <v>1867</v>
      </c>
      <c r="D489" s="2" t="s">
        <v>803</v>
      </c>
      <c r="E489" s="2" t="s">
        <v>1475</v>
      </c>
      <c r="F489" s="2" t="s">
        <v>2100</v>
      </c>
      <c r="G489" s="2" t="s">
        <v>2101</v>
      </c>
      <c r="H489" s="2" t="s">
        <v>2102</v>
      </c>
      <c r="I489" s="2" t="s">
        <v>2103</v>
      </c>
      <c r="J489" s="2" t="s">
        <v>1936</v>
      </c>
      <c r="K489" s="2" t="s">
        <v>2115</v>
      </c>
      <c r="L489" s="3">
        <v>30.95</v>
      </c>
      <c r="M489" s="3">
        <v>32.5</v>
      </c>
      <c r="N489" s="3">
        <v>64.99</v>
      </c>
      <c r="O489" s="2" t="s">
        <v>97</v>
      </c>
      <c r="P489" s="2" t="s">
        <v>372</v>
      </c>
      <c r="Q489" s="2" t="s">
        <v>99</v>
      </c>
      <c r="R489" s="2" t="s">
        <v>100</v>
      </c>
      <c r="S489" s="2" t="s">
        <v>2116</v>
      </c>
      <c r="T489" s="2" t="s">
        <v>218</v>
      </c>
      <c r="U489" s="2" t="s">
        <v>171</v>
      </c>
      <c r="V489" s="2" t="s">
        <v>350</v>
      </c>
      <c r="W489" s="2" t="s">
        <v>561</v>
      </c>
      <c r="X489" s="2" t="s">
        <v>100</v>
      </c>
      <c r="Y489" s="2" t="s">
        <v>2117</v>
      </c>
      <c r="Z489" s="4">
        <v>717</v>
      </c>
      <c r="AA489" s="4">
        <f>=ROUNDDOWN(19.3783783783784,0)</f>
      </c>
      <c r="AB489" s="5">
        <v>37</v>
      </c>
      <c r="AC489" s="2" t="s">
        <v>184</v>
      </c>
      <c r="AD489" s="4">
        <v>650</v>
      </c>
      <c r="AE489" s="4">
        <v>1180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1079</v>
      </c>
      <c r="BK489" s="8">
        <v>36697.57</v>
      </c>
      <c r="BL489" s="2" t="s">
        <v>2118</v>
      </c>
      <c r="BM489" s="7"/>
      <c r="BN489" s="7"/>
      <c r="BO489" s="4"/>
      <c r="BP489" s="8"/>
      <c r="BQ489" s="4"/>
      <c r="BR489" s="8"/>
      <c r="BS489" s="7"/>
      <c r="BT489" s="7"/>
      <c r="BU489" s="2" t="s">
        <v>207</v>
      </c>
      <c r="BV489" s="2" t="s">
        <v>97</v>
      </c>
      <c r="BW489" s="2" t="s">
        <v>100</v>
      </c>
      <c r="BX489" s="2" t="s">
        <v>100</v>
      </c>
      <c r="BY489" s="2" t="s">
        <v>113</v>
      </c>
      <c r="BZ489" s="2" t="s">
        <v>245</v>
      </c>
    </row>
    <row r="490">
      <c r="A490" s="2" t="s">
        <v>2119</v>
      </c>
      <c r="B490" s="2" t="s">
        <v>87</v>
      </c>
      <c r="C490" s="2" t="s">
        <v>1867</v>
      </c>
      <c r="D490" s="2" t="s">
        <v>803</v>
      </c>
      <c r="E490" s="2" t="s">
        <v>1475</v>
      </c>
      <c r="F490" s="2" t="s">
        <v>2100</v>
      </c>
      <c r="G490" s="2" t="s">
        <v>2101</v>
      </c>
      <c r="H490" s="2" t="s">
        <v>2102</v>
      </c>
      <c r="I490" s="2" t="s">
        <v>2103</v>
      </c>
      <c r="J490" s="2" t="s">
        <v>717</v>
      </c>
      <c r="K490" s="2" t="s">
        <v>2115</v>
      </c>
      <c r="L490" s="3">
        <v>35.71</v>
      </c>
      <c r="M490" s="3">
        <v>37.5</v>
      </c>
      <c r="N490" s="3">
        <v>74.99</v>
      </c>
      <c r="O490" s="2" t="s">
        <v>97</v>
      </c>
      <c r="P490" s="2" t="s">
        <v>372</v>
      </c>
      <c r="Q490" s="2" t="s">
        <v>99</v>
      </c>
      <c r="R490" s="2" t="s">
        <v>100</v>
      </c>
      <c r="S490" s="2" t="s">
        <v>2116</v>
      </c>
      <c r="T490" s="2" t="s">
        <v>218</v>
      </c>
      <c r="U490" s="2" t="s">
        <v>337</v>
      </c>
      <c r="V490" s="2" t="s">
        <v>350</v>
      </c>
      <c r="W490" s="2" t="s">
        <v>561</v>
      </c>
      <c r="X490" s="2" t="s">
        <v>100</v>
      </c>
      <c r="Y490" s="2" t="s">
        <v>2117</v>
      </c>
      <c r="Z490" s="4">
        <v>828</v>
      </c>
      <c r="AA490" s="4">
        <f>=ROUNDDOWN(15.9230769230769,0)</f>
      </c>
      <c r="AB490" s="5">
        <v>52</v>
      </c>
      <c r="AC490" s="2" t="s">
        <v>184</v>
      </c>
      <c r="AD490" s="4">
        <v>450</v>
      </c>
      <c r="AE490" s="4">
        <v>1330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1535</v>
      </c>
      <c r="BK490" s="8">
        <v>60038.35</v>
      </c>
      <c r="BL490" s="2" t="s">
        <v>2120</v>
      </c>
      <c r="BM490" s="7"/>
      <c r="BN490" s="7"/>
      <c r="BO490" s="4"/>
      <c r="BP490" s="8"/>
      <c r="BQ490" s="4"/>
      <c r="BR490" s="8"/>
      <c r="BS490" s="7"/>
      <c r="BT490" s="7"/>
      <c r="BU490" s="2" t="s">
        <v>207</v>
      </c>
      <c r="BV490" s="2" t="s">
        <v>97</v>
      </c>
      <c r="BW490" s="2" t="s">
        <v>100</v>
      </c>
      <c r="BX490" s="2" t="s">
        <v>100</v>
      </c>
      <c r="BY490" s="2" t="s">
        <v>113</v>
      </c>
      <c r="BZ490" s="2" t="s">
        <v>245</v>
      </c>
    </row>
    <row r="491">
      <c r="A491" s="2" t="s">
        <v>2121</v>
      </c>
      <c r="B491" s="2" t="s">
        <v>87</v>
      </c>
      <c r="C491" s="2" t="s">
        <v>1867</v>
      </c>
      <c r="D491" s="2" t="s">
        <v>803</v>
      </c>
      <c r="E491" s="2" t="s">
        <v>1475</v>
      </c>
      <c r="F491" s="2" t="s">
        <v>2100</v>
      </c>
      <c r="G491" s="2" t="s">
        <v>2101</v>
      </c>
      <c r="H491" s="2" t="s">
        <v>2102</v>
      </c>
      <c r="I491" s="2" t="s">
        <v>2103</v>
      </c>
      <c r="J491" s="2" t="s">
        <v>706</v>
      </c>
      <c r="K491" s="2" t="s">
        <v>2115</v>
      </c>
      <c r="L491" s="3">
        <v>38.09</v>
      </c>
      <c r="M491" s="3">
        <v>39.99</v>
      </c>
      <c r="N491" s="3">
        <v>79.99</v>
      </c>
      <c r="O491" s="2" t="s">
        <v>97</v>
      </c>
      <c r="P491" s="2" t="s">
        <v>372</v>
      </c>
      <c r="Q491" s="2" t="s">
        <v>99</v>
      </c>
      <c r="R491" s="2" t="s">
        <v>100</v>
      </c>
      <c r="S491" s="2" t="s">
        <v>2116</v>
      </c>
      <c r="T491" s="2" t="s">
        <v>218</v>
      </c>
      <c r="U491" s="2" t="s">
        <v>337</v>
      </c>
      <c r="V491" s="2" t="s">
        <v>350</v>
      </c>
      <c r="W491" s="2" t="s">
        <v>561</v>
      </c>
      <c r="X491" s="2" t="s">
        <v>100</v>
      </c>
      <c r="Y491" s="2" t="s">
        <v>2117</v>
      </c>
      <c r="Z491" s="4">
        <v>968</v>
      </c>
      <c r="AA491" s="4">
        <f>=ROUNDDOWN(10.6373626373626,0)</f>
      </c>
      <c r="AB491" s="5">
        <v>91</v>
      </c>
      <c r="AC491" s="2" t="s">
        <v>184</v>
      </c>
      <c r="AD491" s="4">
        <v>750</v>
      </c>
      <c r="AE491" s="4">
        <v>2820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2288</v>
      </c>
      <c r="BK491" s="8">
        <v>96718.03</v>
      </c>
      <c r="BL491" s="2" t="s">
        <v>2120</v>
      </c>
      <c r="BM491" s="7"/>
      <c r="BN491" s="7"/>
      <c r="BO491" s="4"/>
      <c r="BP491" s="8"/>
      <c r="BQ491" s="4"/>
      <c r="BR491" s="8"/>
      <c r="BS491" s="7"/>
      <c r="BT491" s="7"/>
      <c r="BU491" s="2" t="s">
        <v>207</v>
      </c>
      <c r="BV491" s="2" t="s">
        <v>97</v>
      </c>
      <c r="BW491" s="2" t="s">
        <v>100</v>
      </c>
      <c r="BX491" s="2" t="s">
        <v>100</v>
      </c>
      <c r="BY491" s="2" t="s">
        <v>113</v>
      </c>
      <c r="BZ491" s="2" t="s">
        <v>245</v>
      </c>
    </row>
    <row r="492">
      <c r="A492" s="2" t="s">
        <v>2122</v>
      </c>
      <c r="B492" s="2" t="s">
        <v>87</v>
      </c>
      <c r="C492" s="2" t="s">
        <v>1867</v>
      </c>
      <c r="D492" s="2" t="s">
        <v>803</v>
      </c>
      <c r="E492" s="2" t="s">
        <v>1475</v>
      </c>
      <c r="F492" s="2" t="s">
        <v>2100</v>
      </c>
      <c r="G492" s="2" t="s">
        <v>2101</v>
      </c>
      <c r="H492" s="2" t="s">
        <v>2102</v>
      </c>
      <c r="I492" s="2" t="s">
        <v>2103</v>
      </c>
      <c r="J492" s="2" t="s">
        <v>714</v>
      </c>
      <c r="K492" s="2" t="s">
        <v>2115</v>
      </c>
      <c r="L492" s="3">
        <v>42.85</v>
      </c>
      <c r="M492" s="3">
        <v>44.99</v>
      </c>
      <c r="N492" s="3">
        <v>89.99</v>
      </c>
      <c r="O492" s="2" t="s">
        <v>97</v>
      </c>
      <c r="P492" s="2" t="s">
        <v>372</v>
      </c>
      <c r="Q492" s="2" t="s">
        <v>99</v>
      </c>
      <c r="R492" s="2" t="s">
        <v>100</v>
      </c>
      <c r="S492" s="2" t="s">
        <v>2116</v>
      </c>
      <c r="T492" s="2" t="s">
        <v>218</v>
      </c>
      <c r="U492" s="2" t="s">
        <v>337</v>
      </c>
      <c r="V492" s="2" t="s">
        <v>350</v>
      </c>
      <c r="W492" s="2" t="s">
        <v>561</v>
      </c>
      <c r="X492" s="2" t="s">
        <v>100</v>
      </c>
      <c r="Y492" s="2" t="s">
        <v>2117</v>
      </c>
      <c r="Z492" s="4">
        <v>708</v>
      </c>
      <c r="AA492" s="4">
        <f>=ROUNDDOWN(21.4545454545455,0)</f>
      </c>
      <c r="AB492" s="5">
        <v>33</v>
      </c>
      <c r="AC492" s="2" t="s">
        <v>184</v>
      </c>
      <c r="AD492" s="4">
        <v>100</v>
      </c>
      <c r="AE492" s="4">
        <v>650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826</v>
      </c>
      <c r="BK492" s="8">
        <v>39190.94</v>
      </c>
      <c r="BL492" s="2" t="s">
        <v>2123</v>
      </c>
      <c r="BM492" s="7"/>
      <c r="BN492" s="7"/>
      <c r="BO492" s="4"/>
      <c r="BP492" s="8"/>
      <c r="BQ492" s="4"/>
      <c r="BR492" s="8"/>
      <c r="BS492" s="7"/>
      <c r="BT492" s="7"/>
      <c r="BU492" s="2" t="s">
        <v>207</v>
      </c>
      <c r="BV492" s="2" t="s">
        <v>97</v>
      </c>
      <c r="BW492" s="2" t="s">
        <v>100</v>
      </c>
      <c r="BX492" s="2" t="s">
        <v>100</v>
      </c>
      <c r="BY492" s="2" t="s">
        <v>113</v>
      </c>
      <c r="BZ492" s="2" t="s">
        <v>245</v>
      </c>
    </row>
    <row r="493">
      <c r="A493" s="2" t="s">
        <v>2124</v>
      </c>
      <c r="B493" s="2" t="s">
        <v>87</v>
      </c>
      <c r="C493" s="2" t="s">
        <v>1867</v>
      </c>
      <c r="D493" s="2" t="s">
        <v>803</v>
      </c>
      <c r="E493" s="2" t="s">
        <v>1475</v>
      </c>
      <c r="F493" s="2" t="s">
        <v>2100</v>
      </c>
      <c r="G493" s="2" t="s">
        <v>2101</v>
      </c>
      <c r="H493" s="2" t="s">
        <v>2102</v>
      </c>
      <c r="I493" s="2" t="s">
        <v>2103</v>
      </c>
      <c r="J493" s="2" t="s">
        <v>817</v>
      </c>
      <c r="K493" s="2" t="s">
        <v>2115</v>
      </c>
      <c r="L493" s="3">
        <v>42.85</v>
      </c>
      <c r="M493" s="3">
        <v>44.99</v>
      </c>
      <c r="N493" s="3">
        <v>89.99</v>
      </c>
      <c r="O493" s="2" t="s">
        <v>97</v>
      </c>
      <c r="P493" s="2" t="s">
        <v>372</v>
      </c>
      <c r="Q493" s="2" t="s">
        <v>99</v>
      </c>
      <c r="R493" s="2" t="s">
        <v>100</v>
      </c>
      <c r="S493" s="2" t="s">
        <v>2116</v>
      </c>
      <c r="T493" s="2" t="s">
        <v>218</v>
      </c>
      <c r="U493" s="2" t="s">
        <v>337</v>
      </c>
      <c r="V493" s="2" t="s">
        <v>350</v>
      </c>
      <c r="W493" s="2" t="s">
        <v>561</v>
      </c>
      <c r="X493" s="2" t="s">
        <v>100</v>
      </c>
      <c r="Y493" s="2" t="s">
        <v>2117</v>
      </c>
      <c r="Z493" s="4">
        <v>441</v>
      </c>
      <c r="AA493" s="4">
        <f>=ROUNDDOWN(31.5,0)</f>
      </c>
      <c r="AB493" s="5">
        <v>14</v>
      </c>
      <c r="AC493" s="2" t="s">
        <v>872</v>
      </c>
      <c r="AD493" s="4">
        <v>80</v>
      </c>
      <c r="AE493" s="4">
        <v>130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288</v>
      </c>
      <c r="BK493" s="8">
        <v>13694.86</v>
      </c>
      <c r="BL493" s="2" t="s">
        <v>2125</v>
      </c>
      <c r="BM493" s="7"/>
      <c r="BN493" s="7"/>
      <c r="BO493" s="4"/>
      <c r="BP493" s="8"/>
      <c r="BQ493" s="4"/>
      <c r="BR493" s="8"/>
      <c r="BS493" s="7"/>
      <c r="BT493" s="7"/>
      <c r="BU493" s="2" t="s">
        <v>207</v>
      </c>
      <c r="BV493" s="2" t="s">
        <v>97</v>
      </c>
      <c r="BW493" s="2" t="s">
        <v>100</v>
      </c>
      <c r="BX493" s="2" t="s">
        <v>100</v>
      </c>
      <c r="BY493" s="2" t="s">
        <v>113</v>
      </c>
      <c r="BZ493" s="2" t="s">
        <v>245</v>
      </c>
    </row>
    <row r="494">
      <c r="A494" s="2" t="s">
        <v>2126</v>
      </c>
      <c r="B494" s="2" t="s">
        <v>87</v>
      </c>
      <c r="C494" s="2" t="s">
        <v>1867</v>
      </c>
      <c r="D494" s="2" t="s">
        <v>803</v>
      </c>
      <c r="E494" s="2" t="s">
        <v>1475</v>
      </c>
      <c r="F494" s="2" t="s">
        <v>2100</v>
      </c>
      <c r="G494" s="2" t="s">
        <v>2101</v>
      </c>
      <c r="H494" s="2" t="s">
        <v>2102</v>
      </c>
      <c r="I494" s="2" t="s">
        <v>2103</v>
      </c>
      <c r="J494" s="2" t="s">
        <v>1936</v>
      </c>
      <c r="K494" s="2" t="s">
        <v>2127</v>
      </c>
      <c r="L494" s="3">
        <v>30.95</v>
      </c>
      <c r="M494" s="3">
        <v>32.5</v>
      </c>
      <c r="N494" s="3">
        <v>64.99</v>
      </c>
      <c r="O494" s="2" t="s">
        <v>97</v>
      </c>
      <c r="P494" s="2" t="s">
        <v>225</v>
      </c>
      <c r="Q494" s="2" t="s">
        <v>99</v>
      </c>
      <c r="R494" s="2" t="s">
        <v>100</v>
      </c>
      <c r="S494" s="2" t="s">
        <v>2128</v>
      </c>
      <c r="T494" s="2" t="s">
        <v>218</v>
      </c>
      <c r="U494" s="2" t="s">
        <v>171</v>
      </c>
      <c r="V494" s="2" t="s">
        <v>350</v>
      </c>
      <c r="W494" s="2" t="s">
        <v>561</v>
      </c>
      <c r="X494" s="2" t="s">
        <v>100</v>
      </c>
      <c r="Y494" s="2" t="s">
        <v>2129</v>
      </c>
      <c r="Z494" s="4">
        <v>321</v>
      </c>
      <c r="AA494" s="4">
        <f>=ROUNDDOWN(32.1,0)</f>
      </c>
      <c r="AB494" s="5">
        <v>10</v>
      </c>
      <c r="AC494" s="2" t="s">
        <v>100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48</v>
      </c>
      <c r="BK494" s="8">
        <v>1644.15</v>
      </c>
      <c r="BL494" s="2" t="s">
        <v>2130</v>
      </c>
      <c r="BM494" s="7"/>
      <c r="BN494" s="7"/>
      <c r="BO494" s="4"/>
      <c r="BP494" s="8"/>
      <c r="BQ494" s="4"/>
      <c r="BR494" s="8"/>
      <c r="BS494" s="7"/>
      <c r="BT494" s="7"/>
      <c r="BU494" s="2" t="s">
        <v>230</v>
      </c>
      <c r="BV494" s="2" t="s">
        <v>97</v>
      </c>
      <c r="BW494" s="2" t="s">
        <v>100</v>
      </c>
      <c r="BX494" s="2" t="s">
        <v>100</v>
      </c>
      <c r="BY494" s="2" t="s">
        <v>113</v>
      </c>
      <c r="BZ494" s="2" t="s">
        <v>100</v>
      </c>
    </row>
    <row r="495">
      <c r="A495" s="2" t="s">
        <v>2131</v>
      </c>
      <c r="B495" s="2" t="s">
        <v>87</v>
      </c>
      <c r="C495" s="2" t="s">
        <v>1867</v>
      </c>
      <c r="D495" s="2" t="s">
        <v>803</v>
      </c>
      <c r="E495" s="2" t="s">
        <v>1475</v>
      </c>
      <c r="F495" s="2" t="s">
        <v>2100</v>
      </c>
      <c r="G495" s="2" t="s">
        <v>2101</v>
      </c>
      <c r="H495" s="2" t="s">
        <v>2102</v>
      </c>
      <c r="I495" s="2" t="s">
        <v>2103</v>
      </c>
      <c r="J495" s="2" t="s">
        <v>717</v>
      </c>
      <c r="K495" s="2" t="s">
        <v>2127</v>
      </c>
      <c r="L495" s="3">
        <v>35.71</v>
      </c>
      <c r="M495" s="3">
        <v>37.5</v>
      </c>
      <c r="N495" s="3">
        <v>74.99</v>
      </c>
      <c r="O495" s="2" t="s">
        <v>97</v>
      </c>
      <c r="P495" s="2" t="s">
        <v>225</v>
      </c>
      <c r="Q495" s="2" t="s">
        <v>99</v>
      </c>
      <c r="R495" s="2" t="s">
        <v>100</v>
      </c>
      <c r="S495" s="2" t="s">
        <v>2128</v>
      </c>
      <c r="T495" s="2" t="s">
        <v>218</v>
      </c>
      <c r="U495" s="2" t="s">
        <v>337</v>
      </c>
      <c r="V495" s="2" t="s">
        <v>350</v>
      </c>
      <c r="W495" s="2" t="s">
        <v>561</v>
      </c>
      <c r="X495" s="2" t="s">
        <v>100</v>
      </c>
      <c r="Y495" s="2" t="s">
        <v>2132</v>
      </c>
      <c r="Z495" s="4">
        <v>457</v>
      </c>
      <c r="AA495" s="4">
        <f>=ROUNDDOWN(41.5454545454545,0)</f>
      </c>
      <c r="AB495" s="5">
        <v>11</v>
      </c>
      <c r="AC495" s="2" t="s">
        <v>100</v>
      </c>
      <c r="AD495" s="4"/>
      <c r="AE495" s="4"/>
      <c r="AF495" s="6">
        <v>65</v>
      </c>
      <c r="AG495" s="6"/>
      <c r="AH495" s="7">
        <v>0.6382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42</v>
      </c>
      <c r="BK495" s="8">
        <v>1665.6</v>
      </c>
      <c r="BL495" s="2" t="s">
        <v>2133</v>
      </c>
      <c r="BM495" s="7"/>
      <c r="BN495" s="7"/>
      <c r="BO495" s="4"/>
      <c r="BP495" s="8"/>
      <c r="BQ495" s="4"/>
      <c r="BR495" s="8"/>
      <c r="BS495" s="7"/>
      <c r="BT495" s="7"/>
      <c r="BU495" s="2" t="s">
        <v>207</v>
      </c>
      <c r="BV495" s="2" t="s">
        <v>97</v>
      </c>
      <c r="BW495" s="2" t="s">
        <v>100</v>
      </c>
      <c r="BX495" s="2" t="s">
        <v>100</v>
      </c>
      <c r="BY495" s="2" t="s">
        <v>113</v>
      </c>
      <c r="BZ495" s="2" t="s">
        <v>100</v>
      </c>
    </row>
    <row r="496">
      <c r="A496" s="2" t="s">
        <v>2134</v>
      </c>
      <c r="B496" s="2" t="s">
        <v>87</v>
      </c>
      <c r="C496" s="2" t="s">
        <v>1867</v>
      </c>
      <c r="D496" s="2" t="s">
        <v>803</v>
      </c>
      <c r="E496" s="2" t="s">
        <v>1475</v>
      </c>
      <c r="F496" s="2" t="s">
        <v>2100</v>
      </c>
      <c r="G496" s="2" t="s">
        <v>2101</v>
      </c>
      <c r="H496" s="2" t="s">
        <v>2102</v>
      </c>
      <c r="I496" s="2" t="s">
        <v>2103</v>
      </c>
      <c r="J496" s="2" t="s">
        <v>706</v>
      </c>
      <c r="K496" s="2" t="s">
        <v>2127</v>
      </c>
      <c r="L496" s="3">
        <v>38.09</v>
      </c>
      <c r="M496" s="3">
        <v>39.99</v>
      </c>
      <c r="N496" s="3">
        <v>79.99</v>
      </c>
      <c r="O496" s="2" t="s">
        <v>97</v>
      </c>
      <c r="P496" s="2" t="s">
        <v>225</v>
      </c>
      <c r="Q496" s="2" t="s">
        <v>99</v>
      </c>
      <c r="R496" s="2" t="s">
        <v>100</v>
      </c>
      <c r="S496" s="2" t="s">
        <v>2128</v>
      </c>
      <c r="T496" s="2" t="s">
        <v>218</v>
      </c>
      <c r="U496" s="2" t="s">
        <v>337</v>
      </c>
      <c r="V496" s="2" t="s">
        <v>350</v>
      </c>
      <c r="W496" s="2" t="s">
        <v>561</v>
      </c>
      <c r="X496" s="2" t="s">
        <v>100</v>
      </c>
      <c r="Y496" s="2" t="s">
        <v>2132</v>
      </c>
      <c r="Z496" s="4">
        <v>701</v>
      </c>
      <c r="AA496" s="4">
        <f>=ROUNDDOWN(31.8636363636364,0)</f>
      </c>
      <c r="AB496" s="5">
        <v>22</v>
      </c>
      <c r="AC496" s="2" t="s">
        <v>100</v>
      </c>
      <c r="AD496" s="4"/>
      <c r="AE496" s="4"/>
      <c r="AF496" s="6">
        <v>65</v>
      </c>
      <c r="AG496" s="6"/>
      <c r="AH496" s="7">
        <v>0.6382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162</v>
      </c>
      <c r="BK496" s="8">
        <v>6856.28</v>
      </c>
      <c r="BL496" s="2" t="s">
        <v>1308</v>
      </c>
      <c r="BM496" s="7"/>
      <c r="BN496" s="7"/>
      <c r="BO496" s="4"/>
      <c r="BP496" s="8"/>
      <c r="BQ496" s="4"/>
      <c r="BR496" s="8"/>
      <c r="BS496" s="7"/>
      <c r="BT496" s="7"/>
      <c r="BU496" s="2" t="s">
        <v>207</v>
      </c>
      <c r="BV496" s="2" t="s">
        <v>97</v>
      </c>
      <c r="BW496" s="2" t="s">
        <v>100</v>
      </c>
      <c r="BX496" s="2" t="s">
        <v>100</v>
      </c>
      <c r="BY496" s="2" t="s">
        <v>113</v>
      </c>
      <c r="BZ496" s="2" t="s">
        <v>100</v>
      </c>
    </row>
    <row r="497">
      <c r="A497" s="2" t="s">
        <v>2135</v>
      </c>
      <c r="B497" s="2" t="s">
        <v>87</v>
      </c>
      <c r="C497" s="2" t="s">
        <v>1867</v>
      </c>
      <c r="D497" s="2" t="s">
        <v>803</v>
      </c>
      <c r="E497" s="2" t="s">
        <v>1475</v>
      </c>
      <c r="F497" s="2" t="s">
        <v>2100</v>
      </c>
      <c r="G497" s="2" t="s">
        <v>2101</v>
      </c>
      <c r="H497" s="2" t="s">
        <v>2102</v>
      </c>
      <c r="I497" s="2" t="s">
        <v>2103</v>
      </c>
      <c r="J497" s="2" t="s">
        <v>714</v>
      </c>
      <c r="K497" s="2" t="s">
        <v>2127</v>
      </c>
      <c r="L497" s="3">
        <v>42.85</v>
      </c>
      <c r="M497" s="3">
        <v>44.99</v>
      </c>
      <c r="N497" s="3">
        <v>89.99</v>
      </c>
      <c r="O497" s="2" t="s">
        <v>97</v>
      </c>
      <c r="P497" s="2" t="s">
        <v>225</v>
      </c>
      <c r="Q497" s="2" t="s">
        <v>99</v>
      </c>
      <c r="R497" s="2" t="s">
        <v>100</v>
      </c>
      <c r="S497" s="2" t="s">
        <v>2128</v>
      </c>
      <c r="T497" s="2" t="s">
        <v>218</v>
      </c>
      <c r="U497" s="2" t="s">
        <v>337</v>
      </c>
      <c r="V497" s="2" t="s">
        <v>350</v>
      </c>
      <c r="W497" s="2" t="s">
        <v>561</v>
      </c>
      <c r="X497" s="2" t="s">
        <v>100</v>
      </c>
      <c r="Y497" s="2" t="s">
        <v>2136</v>
      </c>
      <c r="Z497" s="4">
        <v>397</v>
      </c>
      <c r="AA497" s="4">
        <f>=ROUNDDOWN(39.7,0)</f>
      </c>
      <c r="AB497" s="5">
        <v>10</v>
      </c>
      <c r="AC497" s="2" t="s">
        <v>100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103</v>
      </c>
      <c r="BK497" s="8">
        <v>4900.85</v>
      </c>
      <c r="BL497" s="2" t="s">
        <v>2137</v>
      </c>
      <c r="BM497" s="7"/>
      <c r="BN497" s="7"/>
      <c r="BO497" s="4"/>
      <c r="BP497" s="8"/>
      <c r="BQ497" s="4"/>
      <c r="BR497" s="8"/>
      <c r="BS497" s="7"/>
      <c r="BT497" s="7"/>
      <c r="BU497" s="2" t="s">
        <v>230</v>
      </c>
      <c r="BV497" s="2" t="s">
        <v>97</v>
      </c>
      <c r="BW497" s="2" t="s">
        <v>100</v>
      </c>
      <c r="BX497" s="2" t="s">
        <v>100</v>
      </c>
      <c r="BY497" s="2" t="s">
        <v>113</v>
      </c>
      <c r="BZ497" s="2" t="s">
        <v>100</v>
      </c>
    </row>
    <row r="498">
      <c r="A498" s="2" t="s">
        <v>2138</v>
      </c>
      <c r="B498" s="2" t="s">
        <v>87</v>
      </c>
      <c r="C498" s="2" t="s">
        <v>1867</v>
      </c>
      <c r="D498" s="2" t="s">
        <v>803</v>
      </c>
      <c r="E498" s="2" t="s">
        <v>1475</v>
      </c>
      <c r="F498" s="2" t="s">
        <v>2100</v>
      </c>
      <c r="G498" s="2" t="s">
        <v>2101</v>
      </c>
      <c r="H498" s="2" t="s">
        <v>2102</v>
      </c>
      <c r="I498" s="2" t="s">
        <v>2103</v>
      </c>
      <c r="J498" s="2" t="s">
        <v>817</v>
      </c>
      <c r="K498" s="2" t="s">
        <v>2127</v>
      </c>
      <c r="L498" s="3">
        <v>42.85</v>
      </c>
      <c r="M498" s="3">
        <v>44.99</v>
      </c>
      <c r="N498" s="3">
        <v>89.99</v>
      </c>
      <c r="O498" s="2" t="s">
        <v>97</v>
      </c>
      <c r="P498" s="2" t="s">
        <v>225</v>
      </c>
      <c r="Q498" s="2" t="s">
        <v>99</v>
      </c>
      <c r="R498" s="2" t="s">
        <v>100</v>
      </c>
      <c r="S498" s="2" t="s">
        <v>2128</v>
      </c>
      <c r="T498" s="2" t="s">
        <v>218</v>
      </c>
      <c r="U498" s="2" t="s">
        <v>337</v>
      </c>
      <c r="V498" s="2" t="s">
        <v>350</v>
      </c>
      <c r="W498" s="2" t="s">
        <v>561</v>
      </c>
      <c r="X498" s="2" t="s">
        <v>100</v>
      </c>
      <c r="Y498" s="2" t="s">
        <v>2129</v>
      </c>
      <c r="Z498" s="4">
        <v>227</v>
      </c>
      <c r="AA498" s="4">
        <f>=ROUNDDOWN(45.4,0)</f>
      </c>
      <c r="AB498" s="5">
        <v>5</v>
      </c>
      <c r="AC498" s="2" t="s">
        <v>100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30</v>
      </c>
      <c r="BK498" s="8">
        <v>1430.54</v>
      </c>
      <c r="BL498" s="2" t="s">
        <v>1230</v>
      </c>
      <c r="BM498" s="7"/>
      <c r="BN498" s="7"/>
      <c r="BO498" s="4"/>
      <c r="BP498" s="8"/>
      <c r="BQ498" s="4"/>
      <c r="BR498" s="8"/>
      <c r="BS498" s="7"/>
      <c r="BT498" s="7"/>
      <c r="BU498" s="2" t="s">
        <v>230</v>
      </c>
      <c r="BV498" s="2" t="s">
        <v>97</v>
      </c>
      <c r="BW498" s="2" t="s">
        <v>100</v>
      </c>
      <c r="BX498" s="2" t="s">
        <v>100</v>
      </c>
      <c r="BY498" s="2" t="s">
        <v>113</v>
      </c>
      <c r="BZ498" s="2" t="s">
        <v>100</v>
      </c>
    </row>
    <row r="499">
      <c r="A499" s="2" t="s">
        <v>2139</v>
      </c>
      <c r="B499" s="2" t="s">
        <v>87</v>
      </c>
      <c r="C499" s="2" t="s">
        <v>1867</v>
      </c>
      <c r="D499" s="2" t="s">
        <v>803</v>
      </c>
      <c r="E499" s="2" t="s">
        <v>1475</v>
      </c>
      <c r="F499" s="2" t="s">
        <v>2100</v>
      </c>
      <c r="G499" s="2" t="s">
        <v>2101</v>
      </c>
      <c r="H499" s="2" t="s">
        <v>2102</v>
      </c>
      <c r="I499" s="2" t="s">
        <v>2103</v>
      </c>
      <c r="J499" s="2" t="s">
        <v>1936</v>
      </c>
      <c r="K499" s="2" t="s">
        <v>2140</v>
      </c>
      <c r="L499" s="3">
        <v>30.95</v>
      </c>
      <c r="M499" s="3">
        <v>32.5</v>
      </c>
      <c r="N499" s="3">
        <v>64.99</v>
      </c>
      <c r="O499" s="2" t="s">
        <v>97</v>
      </c>
      <c r="P499" s="2" t="s">
        <v>225</v>
      </c>
      <c r="Q499" s="2" t="s">
        <v>99</v>
      </c>
      <c r="R499" s="2" t="s">
        <v>100</v>
      </c>
      <c r="S499" s="2" t="s">
        <v>2141</v>
      </c>
      <c r="T499" s="2" t="s">
        <v>218</v>
      </c>
      <c r="U499" s="2" t="s">
        <v>171</v>
      </c>
      <c r="V499" s="2" t="s">
        <v>350</v>
      </c>
      <c r="W499" s="2" t="s">
        <v>561</v>
      </c>
      <c r="X499" s="2" t="s">
        <v>100</v>
      </c>
      <c r="Y499" s="2" t="s">
        <v>2129</v>
      </c>
      <c r="Z499" s="4">
        <v>397</v>
      </c>
      <c r="AA499" s="4">
        <f>=ROUNDDOWN(44.1111111111111,0)</f>
      </c>
      <c r="AB499" s="5">
        <v>9</v>
      </c>
      <c r="AC499" s="2" t="s">
        <v>100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53</v>
      </c>
      <c r="BK499" s="8">
        <v>1825.65</v>
      </c>
      <c r="BL499" s="2" t="s">
        <v>1310</v>
      </c>
      <c r="BM499" s="7"/>
      <c r="BN499" s="7"/>
      <c r="BO499" s="4"/>
      <c r="BP499" s="8"/>
      <c r="BQ499" s="4"/>
      <c r="BR499" s="8"/>
      <c r="BS499" s="7"/>
      <c r="BT499" s="7"/>
      <c r="BU499" s="2" t="s">
        <v>230</v>
      </c>
      <c r="BV499" s="2" t="s">
        <v>97</v>
      </c>
      <c r="BW499" s="2" t="s">
        <v>100</v>
      </c>
      <c r="BX499" s="2" t="s">
        <v>100</v>
      </c>
      <c r="BY499" s="2" t="s">
        <v>113</v>
      </c>
      <c r="BZ499" s="2" t="s">
        <v>100</v>
      </c>
    </row>
    <row r="500">
      <c r="A500" s="2" t="s">
        <v>2142</v>
      </c>
      <c r="B500" s="2" t="s">
        <v>87</v>
      </c>
      <c r="C500" s="2" t="s">
        <v>1867</v>
      </c>
      <c r="D500" s="2" t="s">
        <v>803</v>
      </c>
      <c r="E500" s="2" t="s">
        <v>1475</v>
      </c>
      <c r="F500" s="2" t="s">
        <v>2100</v>
      </c>
      <c r="G500" s="2" t="s">
        <v>2101</v>
      </c>
      <c r="H500" s="2" t="s">
        <v>2102</v>
      </c>
      <c r="I500" s="2" t="s">
        <v>2103</v>
      </c>
      <c r="J500" s="2" t="s">
        <v>717</v>
      </c>
      <c r="K500" s="2" t="s">
        <v>2140</v>
      </c>
      <c r="L500" s="3">
        <v>35.71</v>
      </c>
      <c r="M500" s="3">
        <v>37.5</v>
      </c>
      <c r="N500" s="3">
        <v>74.99</v>
      </c>
      <c r="O500" s="2" t="s">
        <v>97</v>
      </c>
      <c r="P500" s="2" t="s">
        <v>225</v>
      </c>
      <c r="Q500" s="2" t="s">
        <v>99</v>
      </c>
      <c r="R500" s="2" t="s">
        <v>100</v>
      </c>
      <c r="S500" s="2" t="s">
        <v>2141</v>
      </c>
      <c r="T500" s="2" t="s">
        <v>218</v>
      </c>
      <c r="U500" s="2" t="s">
        <v>337</v>
      </c>
      <c r="V500" s="2" t="s">
        <v>350</v>
      </c>
      <c r="W500" s="2" t="s">
        <v>561</v>
      </c>
      <c r="X500" s="2" t="s">
        <v>100</v>
      </c>
      <c r="Y500" s="2" t="s">
        <v>2129</v>
      </c>
      <c r="Z500" s="4">
        <v>533</v>
      </c>
      <c r="AA500" s="4">
        <f>=ROUNDDOWN(53.3,0)</f>
      </c>
      <c r="AB500" s="5">
        <v>10</v>
      </c>
      <c r="AC500" s="2" t="s">
        <v>100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67</v>
      </c>
      <c r="BK500" s="8">
        <v>2656.71</v>
      </c>
      <c r="BL500" s="2" t="s">
        <v>2137</v>
      </c>
      <c r="BM500" s="7"/>
      <c r="BN500" s="7"/>
      <c r="BO500" s="4"/>
      <c r="BP500" s="8"/>
      <c r="BQ500" s="4"/>
      <c r="BR500" s="8"/>
      <c r="BS500" s="7"/>
      <c r="BT500" s="7"/>
      <c r="BU500" s="2" t="s">
        <v>230</v>
      </c>
      <c r="BV500" s="2" t="s">
        <v>97</v>
      </c>
      <c r="BW500" s="2" t="s">
        <v>100</v>
      </c>
      <c r="BX500" s="2" t="s">
        <v>100</v>
      </c>
      <c r="BY500" s="2" t="s">
        <v>113</v>
      </c>
      <c r="BZ500" s="2" t="s">
        <v>100</v>
      </c>
    </row>
    <row r="501">
      <c r="A501" s="2" t="s">
        <v>2143</v>
      </c>
      <c r="B501" s="2" t="s">
        <v>87</v>
      </c>
      <c r="C501" s="2" t="s">
        <v>1867</v>
      </c>
      <c r="D501" s="2" t="s">
        <v>803</v>
      </c>
      <c r="E501" s="2" t="s">
        <v>1475</v>
      </c>
      <c r="F501" s="2" t="s">
        <v>2100</v>
      </c>
      <c r="G501" s="2" t="s">
        <v>2101</v>
      </c>
      <c r="H501" s="2" t="s">
        <v>2102</v>
      </c>
      <c r="I501" s="2" t="s">
        <v>2103</v>
      </c>
      <c r="J501" s="2" t="s">
        <v>706</v>
      </c>
      <c r="K501" s="2" t="s">
        <v>2140</v>
      </c>
      <c r="L501" s="3">
        <v>38.09</v>
      </c>
      <c r="M501" s="3">
        <v>39.99</v>
      </c>
      <c r="N501" s="3">
        <v>79.99</v>
      </c>
      <c r="O501" s="2" t="s">
        <v>97</v>
      </c>
      <c r="P501" s="2" t="s">
        <v>225</v>
      </c>
      <c r="Q501" s="2" t="s">
        <v>99</v>
      </c>
      <c r="R501" s="2" t="s">
        <v>100</v>
      </c>
      <c r="S501" s="2" t="s">
        <v>2141</v>
      </c>
      <c r="T501" s="2" t="s">
        <v>218</v>
      </c>
      <c r="U501" s="2" t="s">
        <v>337</v>
      </c>
      <c r="V501" s="2" t="s">
        <v>350</v>
      </c>
      <c r="W501" s="2" t="s">
        <v>561</v>
      </c>
      <c r="X501" s="2" t="s">
        <v>100</v>
      </c>
      <c r="Y501" s="2" t="s">
        <v>2132</v>
      </c>
      <c r="Z501" s="4">
        <v>869</v>
      </c>
      <c r="AA501" s="4">
        <f>=ROUNDDOWN(43.45,0)</f>
      </c>
      <c r="AB501" s="5">
        <v>20</v>
      </c>
      <c r="AC501" s="2" t="s">
        <v>100</v>
      </c>
      <c r="AD501" s="4"/>
      <c r="AE501" s="4"/>
      <c r="AF501" s="6">
        <v>65</v>
      </c>
      <c r="AG501" s="6"/>
      <c r="AH501" s="7">
        <v>0.6382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175</v>
      </c>
      <c r="BK501" s="8">
        <v>7404.71</v>
      </c>
      <c r="BL501" s="2" t="s">
        <v>482</v>
      </c>
      <c r="BM501" s="7"/>
      <c r="BN501" s="7"/>
      <c r="BO501" s="4"/>
      <c r="BP501" s="8"/>
      <c r="BQ501" s="4"/>
      <c r="BR501" s="8"/>
      <c r="BS501" s="7"/>
      <c r="BT501" s="7"/>
      <c r="BU501" s="2" t="s">
        <v>207</v>
      </c>
      <c r="BV501" s="2" t="s">
        <v>97</v>
      </c>
      <c r="BW501" s="2" t="s">
        <v>100</v>
      </c>
      <c r="BX501" s="2" t="s">
        <v>100</v>
      </c>
      <c r="BY501" s="2" t="s">
        <v>113</v>
      </c>
      <c r="BZ501" s="2" t="s">
        <v>100</v>
      </c>
    </row>
    <row r="502">
      <c r="A502" s="2" t="s">
        <v>2144</v>
      </c>
      <c r="B502" s="2" t="s">
        <v>87</v>
      </c>
      <c r="C502" s="2" t="s">
        <v>1867</v>
      </c>
      <c r="D502" s="2" t="s">
        <v>803</v>
      </c>
      <c r="E502" s="2" t="s">
        <v>1475</v>
      </c>
      <c r="F502" s="2" t="s">
        <v>2100</v>
      </c>
      <c r="G502" s="2" t="s">
        <v>2101</v>
      </c>
      <c r="H502" s="2" t="s">
        <v>2102</v>
      </c>
      <c r="I502" s="2" t="s">
        <v>2103</v>
      </c>
      <c r="J502" s="2" t="s">
        <v>714</v>
      </c>
      <c r="K502" s="2" t="s">
        <v>2140</v>
      </c>
      <c r="L502" s="3">
        <v>42.85</v>
      </c>
      <c r="M502" s="3">
        <v>44.99</v>
      </c>
      <c r="N502" s="3">
        <v>89.99</v>
      </c>
      <c r="O502" s="2" t="s">
        <v>97</v>
      </c>
      <c r="P502" s="2" t="s">
        <v>225</v>
      </c>
      <c r="Q502" s="2" t="s">
        <v>99</v>
      </c>
      <c r="R502" s="2" t="s">
        <v>100</v>
      </c>
      <c r="S502" s="2" t="s">
        <v>2141</v>
      </c>
      <c r="T502" s="2" t="s">
        <v>218</v>
      </c>
      <c r="U502" s="2" t="s">
        <v>337</v>
      </c>
      <c r="V502" s="2" t="s">
        <v>350</v>
      </c>
      <c r="W502" s="2" t="s">
        <v>561</v>
      </c>
      <c r="X502" s="2" t="s">
        <v>100</v>
      </c>
      <c r="Y502" s="2" t="s">
        <v>2132</v>
      </c>
      <c r="Z502" s="4">
        <v>500</v>
      </c>
      <c r="AA502" s="4">
        <f>=ROUNDDOWN(50,0)</f>
      </c>
      <c r="AB502" s="5">
        <v>10</v>
      </c>
      <c r="AC502" s="2" t="s">
        <v>100</v>
      </c>
      <c r="AD502" s="4"/>
      <c r="AE502" s="4"/>
      <c r="AF502" s="6">
        <v>65</v>
      </c>
      <c r="AG502" s="6"/>
      <c r="AH502" s="7">
        <v>0.6382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99</v>
      </c>
      <c r="BK502" s="8">
        <v>4719.09</v>
      </c>
      <c r="BL502" s="2" t="s">
        <v>1743</v>
      </c>
      <c r="BM502" s="7"/>
      <c r="BN502" s="7"/>
      <c r="BO502" s="4"/>
      <c r="BP502" s="8"/>
      <c r="BQ502" s="4"/>
      <c r="BR502" s="8"/>
      <c r="BS502" s="7"/>
      <c r="BT502" s="7"/>
      <c r="BU502" s="2" t="s">
        <v>207</v>
      </c>
      <c r="BV502" s="2" t="s">
        <v>97</v>
      </c>
      <c r="BW502" s="2" t="s">
        <v>100</v>
      </c>
      <c r="BX502" s="2" t="s">
        <v>100</v>
      </c>
      <c r="BY502" s="2" t="s">
        <v>113</v>
      </c>
      <c r="BZ502" s="2" t="s">
        <v>100</v>
      </c>
    </row>
    <row r="503">
      <c r="A503" s="2" t="s">
        <v>2145</v>
      </c>
      <c r="B503" s="2" t="s">
        <v>87</v>
      </c>
      <c r="C503" s="2" t="s">
        <v>1867</v>
      </c>
      <c r="D503" s="2" t="s">
        <v>803</v>
      </c>
      <c r="E503" s="2" t="s">
        <v>1475</v>
      </c>
      <c r="F503" s="2" t="s">
        <v>2100</v>
      </c>
      <c r="G503" s="2" t="s">
        <v>2101</v>
      </c>
      <c r="H503" s="2" t="s">
        <v>2102</v>
      </c>
      <c r="I503" s="2" t="s">
        <v>2103</v>
      </c>
      <c r="J503" s="2" t="s">
        <v>817</v>
      </c>
      <c r="K503" s="2" t="s">
        <v>2140</v>
      </c>
      <c r="L503" s="3">
        <v>42.85</v>
      </c>
      <c r="M503" s="3">
        <v>44.99</v>
      </c>
      <c r="N503" s="3">
        <v>89.99</v>
      </c>
      <c r="O503" s="2" t="s">
        <v>97</v>
      </c>
      <c r="P503" s="2" t="s">
        <v>225</v>
      </c>
      <c r="Q503" s="2" t="s">
        <v>99</v>
      </c>
      <c r="R503" s="2" t="s">
        <v>100</v>
      </c>
      <c r="S503" s="2" t="s">
        <v>2141</v>
      </c>
      <c r="T503" s="2" t="s">
        <v>218</v>
      </c>
      <c r="U503" s="2" t="s">
        <v>337</v>
      </c>
      <c r="V503" s="2" t="s">
        <v>350</v>
      </c>
      <c r="W503" s="2" t="s">
        <v>561</v>
      </c>
      <c r="X503" s="2" t="s">
        <v>100</v>
      </c>
      <c r="Y503" s="2" t="s">
        <v>2129</v>
      </c>
      <c r="Z503" s="4">
        <v>267</v>
      </c>
      <c r="AA503" s="4">
        <f>=ROUNDDOWN(53.4,0)</f>
      </c>
      <c r="AB503" s="5">
        <v>5</v>
      </c>
      <c r="AC503" s="2" t="s">
        <v>100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29</v>
      </c>
      <c r="BK503" s="8">
        <v>1381.95</v>
      </c>
      <c r="BL503" s="2" t="s">
        <v>1230</v>
      </c>
      <c r="BM503" s="7"/>
      <c r="BN503" s="7"/>
      <c r="BO503" s="4"/>
      <c r="BP503" s="8"/>
      <c r="BQ503" s="4"/>
      <c r="BR503" s="8"/>
      <c r="BS503" s="7"/>
      <c r="BT503" s="7"/>
      <c r="BU503" s="2" t="s">
        <v>230</v>
      </c>
      <c r="BV503" s="2" t="s">
        <v>97</v>
      </c>
      <c r="BW503" s="2" t="s">
        <v>100</v>
      </c>
      <c r="BX503" s="2" t="s">
        <v>100</v>
      </c>
      <c r="BY503" s="2" t="s">
        <v>113</v>
      </c>
      <c r="BZ503" s="2" t="s">
        <v>100</v>
      </c>
    </row>
    <row r="504">
      <c r="A504" s="2" t="s">
        <v>2146</v>
      </c>
      <c r="B504" s="2" t="s">
        <v>87</v>
      </c>
      <c r="C504" s="2" t="s">
        <v>1867</v>
      </c>
      <c r="D504" s="2" t="s">
        <v>803</v>
      </c>
      <c r="E504" s="2" t="s">
        <v>1475</v>
      </c>
      <c r="F504" s="2" t="s">
        <v>2100</v>
      </c>
      <c r="G504" s="2" t="s">
        <v>2101</v>
      </c>
      <c r="H504" s="2" t="s">
        <v>2102</v>
      </c>
      <c r="I504" s="2" t="s">
        <v>2103</v>
      </c>
      <c r="J504" s="2" t="s">
        <v>1936</v>
      </c>
      <c r="K504" s="2" t="s">
        <v>2147</v>
      </c>
      <c r="L504" s="3">
        <v>30.95</v>
      </c>
      <c r="M504" s="3">
        <v>32.5</v>
      </c>
      <c r="N504" s="3">
        <v>64.99</v>
      </c>
      <c r="O504" s="2" t="s">
        <v>97</v>
      </c>
      <c r="P504" s="2" t="s">
        <v>119</v>
      </c>
      <c r="Q504" s="2" t="s">
        <v>99</v>
      </c>
      <c r="R504" s="2" t="s">
        <v>100</v>
      </c>
      <c r="S504" s="2" t="s">
        <v>2148</v>
      </c>
      <c r="T504" s="2" t="s">
        <v>218</v>
      </c>
      <c r="U504" s="2" t="s">
        <v>171</v>
      </c>
      <c r="V504" s="2" t="s">
        <v>350</v>
      </c>
      <c r="W504" s="2" t="s">
        <v>561</v>
      </c>
      <c r="X504" s="2" t="s">
        <v>100</v>
      </c>
      <c r="Y504" s="2" t="s">
        <v>2106</v>
      </c>
      <c r="Z504" s="4">
        <v>297</v>
      </c>
      <c r="AA504" s="4">
        <f>=ROUNDDOWN(24.75,0)</f>
      </c>
      <c r="AB504" s="5">
        <v>12</v>
      </c>
      <c r="AC504" s="2" t="s">
        <v>872</v>
      </c>
      <c r="AD504" s="4">
        <v>80</v>
      </c>
      <c r="AE504" s="4">
        <v>280</v>
      </c>
      <c r="AF504" s="6">
        <v>64</v>
      </c>
      <c r="AG504" s="6"/>
      <c r="AH504" s="7">
        <v>0.8128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268</v>
      </c>
      <c r="BK504" s="8">
        <v>9320.32</v>
      </c>
      <c r="BL504" s="2" t="s">
        <v>1056</v>
      </c>
      <c r="BM504" s="7"/>
      <c r="BN504" s="7"/>
      <c r="BO504" s="4"/>
      <c r="BP504" s="8"/>
      <c r="BQ504" s="4"/>
      <c r="BR504" s="8"/>
      <c r="BS504" s="7"/>
      <c r="BT504" s="7"/>
      <c r="BU504" s="2" t="s">
        <v>207</v>
      </c>
      <c r="BV504" s="2" t="s">
        <v>97</v>
      </c>
      <c r="BW504" s="2" t="s">
        <v>100</v>
      </c>
      <c r="BX504" s="2" t="s">
        <v>100</v>
      </c>
      <c r="BY504" s="2" t="s">
        <v>113</v>
      </c>
      <c r="BZ504" s="2" t="s">
        <v>100</v>
      </c>
    </row>
    <row r="505">
      <c r="A505" s="2" t="s">
        <v>2149</v>
      </c>
      <c r="B505" s="2" t="s">
        <v>87</v>
      </c>
      <c r="C505" s="2" t="s">
        <v>1867</v>
      </c>
      <c r="D505" s="2" t="s">
        <v>803</v>
      </c>
      <c r="E505" s="2" t="s">
        <v>1475</v>
      </c>
      <c r="F505" s="2" t="s">
        <v>2100</v>
      </c>
      <c r="G505" s="2" t="s">
        <v>2101</v>
      </c>
      <c r="H505" s="2" t="s">
        <v>2102</v>
      </c>
      <c r="I505" s="2" t="s">
        <v>2103</v>
      </c>
      <c r="J505" s="2" t="s">
        <v>717</v>
      </c>
      <c r="K505" s="2" t="s">
        <v>2147</v>
      </c>
      <c r="L505" s="3">
        <v>35.71</v>
      </c>
      <c r="M505" s="3">
        <v>37.5</v>
      </c>
      <c r="N505" s="3">
        <v>74.99</v>
      </c>
      <c r="O505" s="2" t="s">
        <v>97</v>
      </c>
      <c r="P505" s="2" t="s">
        <v>119</v>
      </c>
      <c r="Q505" s="2" t="s">
        <v>99</v>
      </c>
      <c r="R505" s="2" t="s">
        <v>100</v>
      </c>
      <c r="S505" s="2" t="s">
        <v>2148</v>
      </c>
      <c r="T505" s="2" t="s">
        <v>218</v>
      </c>
      <c r="U505" s="2" t="s">
        <v>337</v>
      </c>
      <c r="V505" s="2" t="s">
        <v>350</v>
      </c>
      <c r="W505" s="2" t="s">
        <v>561</v>
      </c>
      <c r="X505" s="2" t="s">
        <v>100</v>
      </c>
      <c r="Y505" s="2" t="s">
        <v>2106</v>
      </c>
      <c r="Z505" s="4">
        <v>415</v>
      </c>
      <c r="AA505" s="4">
        <f>=ROUNDDOWN(24.4117647058824,0)</f>
      </c>
      <c r="AB505" s="5">
        <v>17</v>
      </c>
      <c r="AC505" s="2" t="s">
        <v>184</v>
      </c>
      <c r="AD505" s="4">
        <v>200</v>
      </c>
      <c r="AE505" s="4">
        <v>350</v>
      </c>
      <c r="AF505" s="6">
        <v>64</v>
      </c>
      <c r="AG505" s="6"/>
      <c r="AH505" s="7">
        <v>0.7005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353</v>
      </c>
      <c r="BK505" s="8">
        <v>13958.08</v>
      </c>
      <c r="BL505" s="2" t="s">
        <v>780</v>
      </c>
      <c r="BM505" s="7"/>
      <c r="BN505" s="7"/>
      <c r="BO505" s="4"/>
      <c r="BP505" s="8"/>
      <c r="BQ505" s="4"/>
      <c r="BR505" s="8"/>
      <c r="BS505" s="7"/>
      <c r="BT505" s="7"/>
      <c r="BU505" s="2" t="s">
        <v>207</v>
      </c>
      <c r="BV505" s="2" t="s">
        <v>97</v>
      </c>
      <c r="BW505" s="2" t="s">
        <v>100</v>
      </c>
      <c r="BX505" s="2" t="s">
        <v>100</v>
      </c>
      <c r="BY505" s="2" t="s">
        <v>113</v>
      </c>
      <c r="BZ505" s="2" t="s">
        <v>100</v>
      </c>
    </row>
    <row r="506">
      <c r="A506" s="2" t="s">
        <v>2150</v>
      </c>
      <c r="B506" s="2" t="s">
        <v>87</v>
      </c>
      <c r="C506" s="2" t="s">
        <v>1867</v>
      </c>
      <c r="D506" s="2" t="s">
        <v>803</v>
      </c>
      <c r="E506" s="2" t="s">
        <v>1475</v>
      </c>
      <c r="F506" s="2" t="s">
        <v>2100</v>
      </c>
      <c r="G506" s="2" t="s">
        <v>2101</v>
      </c>
      <c r="H506" s="2" t="s">
        <v>2102</v>
      </c>
      <c r="I506" s="2" t="s">
        <v>2103</v>
      </c>
      <c r="J506" s="2" t="s">
        <v>706</v>
      </c>
      <c r="K506" s="2" t="s">
        <v>2147</v>
      </c>
      <c r="L506" s="3">
        <v>38.09</v>
      </c>
      <c r="M506" s="3">
        <v>39.99</v>
      </c>
      <c r="N506" s="3">
        <v>79.99</v>
      </c>
      <c r="O506" s="2" t="s">
        <v>97</v>
      </c>
      <c r="P506" s="2" t="s">
        <v>119</v>
      </c>
      <c r="Q506" s="2" t="s">
        <v>99</v>
      </c>
      <c r="R506" s="2" t="s">
        <v>100</v>
      </c>
      <c r="S506" s="2" t="s">
        <v>2148</v>
      </c>
      <c r="T506" s="2" t="s">
        <v>218</v>
      </c>
      <c r="U506" s="2" t="s">
        <v>337</v>
      </c>
      <c r="V506" s="2" t="s">
        <v>350</v>
      </c>
      <c r="W506" s="2" t="s">
        <v>561</v>
      </c>
      <c r="X506" s="2" t="s">
        <v>100</v>
      </c>
      <c r="Y506" s="2" t="s">
        <v>2106</v>
      </c>
      <c r="Z506" s="4">
        <v>369</v>
      </c>
      <c r="AA506" s="4">
        <f>=ROUNDDOWN(7.6875,0)</f>
      </c>
      <c r="AB506" s="5">
        <v>48</v>
      </c>
      <c r="AC506" s="2" t="s">
        <v>184</v>
      </c>
      <c r="AD506" s="4">
        <v>600</v>
      </c>
      <c r="AE506" s="4">
        <v>1700</v>
      </c>
      <c r="AF506" s="6">
        <v>64</v>
      </c>
      <c r="AG506" s="6"/>
      <c r="AH506" s="7">
        <v>0.7166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1010</v>
      </c>
      <c r="BK506" s="8">
        <v>42769.9</v>
      </c>
      <c r="BL506" s="2" t="s">
        <v>780</v>
      </c>
      <c r="BM506" s="7"/>
      <c r="BN506" s="7"/>
      <c r="BO506" s="4"/>
      <c r="BP506" s="8"/>
      <c r="BQ506" s="4"/>
      <c r="BR506" s="8"/>
      <c r="BS506" s="7"/>
      <c r="BT506" s="7"/>
      <c r="BU506" s="2" t="s">
        <v>207</v>
      </c>
      <c r="BV506" s="2" t="s">
        <v>97</v>
      </c>
      <c r="BW506" s="2" t="s">
        <v>100</v>
      </c>
      <c r="BX506" s="2" t="s">
        <v>100</v>
      </c>
      <c r="BY506" s="2" t="s">
        <v>113</v>
      </c>
      <c r="BZ506" s="2" t="s">
        <v>100</v>
      </c>
    </row>
    <row r="507">
      <c r="A507" s="2" t="s">
        <v>2151</v>
      </c>
      <c r="B507" s="2" t="s">
        <v>87</v>
      </c>
      <c r="C507" s="2" t="s">
        <v>1867</v>
      </c>
      <c r="D507" s="2" t="s">
        <v>803</v>
      </c>
      <c r="E507" s="2" t="s">
        <v>1475</v>
      </c>
      <c r="F507" s="2" t="s">
        <v>2100</v>
      </c>
      <c r="G507" s="2" t="s">
        <v>2101</v>
      </c>
      <c r="H507" s="2" t="s">
        <v>2102</v>
      </c>
      <c r="I507" s="2" t="s">
        <v>2103</v>
      </c>
      <c r="J507" s="2" t="s">
        <v>714</v>
      </c>
      <c r="K507" s="2" t="s">
        <v>2147</v>
      </c>
      <c r="L507" s="3">
        <v>42.85</v>
      </c>
      <c r="M507" s="3">
        <v>44.99</v>
      </c>
      <c r="N507" s="3">
        <v>89.99</v>
      </c>
      <c r="O507" s="2" t="s">
        <v>97</v>
      </c>
      <c r="P507" s="2" t="s">
        <v>119</v>
      </c>
      <c r="Q507" s="2" t="s">
        <v>99</v>
      </c>
      <c r="R507" s="2" t="s">
        <v>100</v>
      </c>
      <c r="S507" s="2" t="s">
        <v>2148</v>
      </c>
      <c r="T507" s="2" t="s">
        <v>218</v>
      </c>
      <c r="U507" s="2" t="s">
        <v>337</v>
      </c>
      <c r="V507" s="2" t="s">
        <v>350</v>
      </c>
      <c r="W507" s="2" t="s">
        <v>561</v>
      </c>
      <c r="X507" s="2" t="s">
        <v>100</v>
      </c>
      <c r="Y507" s="2" t="s">
        <v>2106</v>
      </c>
      <c r="Z507" s="4">
        <v>110</v>
      </c>
      <c r="AA507" s="4">
        <f>=ROUNDDOWN(3.92857142857143,0)</f>
      </c>
      <c r="AB507" s="5">
        <v>28</v>
      </c>
      <c r="AC507" s="2" t="s">
        <v>184</v>
      </c>
      <c r="AD507" s="4">
        <v>100</v>
      </c>
      <c r="AE507" s="4">
        <v>970</v>
      </c>
      <c r="AF507" s="6">
        <v>64</v>
      </c>
      <c r="AG507" s="6"/>
      <c r="AH507" s="7">
        <v>0.7005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575</v>
      </c>
      <c r="BK507" s="8">
        <v>27682.12</v>
      </c>
      <c r="BL507" s="2" t="s">
        <v>553</v>
      </c>
      <c r="BM507" s="7"/>
      <c r="BN507" s="7"/>
      <c r="BO507" s="4"/>
      <c r="BP507" s="8"/>
      <c r="BQ507" s="4"/>
      <c r="BR507" s="8"/>
      <c r="BS507" s="7"/>
      <c r="BT507" s="7"/>
      <c r="BU507" s="2" t="s">
        <v>207</v>
      </c>
      <c r="BV507" s="2" t="s">
        <v>97</v>
      </c>
      <c r="BW507" s="2" t="s">
        <v>100</v>
      </c>
      <c r="BX507" s="2" t="s">
        <v>100</v>
      </c>
      <c r="BY507" s="2" t="s">
        <v>113</v>
      </c>
      <c r="BZ507" s="2" t="s">
        <v>100</v>
      </c>
    </row>
    <row r="508">
      <c r="A508" s="2" t="s">
        <v>2152</v>
      </c>
      <c r="B508" s="2" t="s">
        <v>87</v>
      </c>
      <c r="C508" s="2" t="s">
        <v>1867</v>
      </c>
      <c r="D508" s="2" t="s">
        <v>803</v>
      </c>
      <c r="E508" s="2" t="s">
        <v>1475</v>
      </c>
      <c r="F508" s="2" t="s">
        <v>2100</v>
      </c>
      <c r="G508" s="2" t="s">
        <v>2101</v>
      </c>
      <c r="H508" s="2" t="s">
        <v>2102</v>
      </c>
      <c r="I508" s="2" t="s">
        <v>2103</v>
      </c>
      <c r="J508" s="2" t="s">
        <v>817</v>
      </c>
      <c r="K508" s="2" t="s">
        <v>2147</v>
      </c>
      <c r="L508" s="3">
        <v>42.85</v>
      </c>
      <c r="M508" s="3">
        <v>44.99</v>
      </c>
      <c r="N508" s="3">
        <v>89.99</v>
      </c>
      <c r="O508" s="2" t="s">
        <v>97</v>
      </c>
      <c r="P508" s="2" t="s">
        <v>119</v>
      </c>
      <c r="Q508" s="2" t="s">
        <v>99</v>
      </c>
      <c r="R508" s="2" t="s">
        <v>100</v>
      </c>
      <c r="S508" s="2" t="s">
        <v>2148</v>
      </c>
      <c r="T508" s="2" t="s">
        <v>218</v>
      </c>
      <c r="U508" s="2" t="s">
        <v>337</v>
      </c>
      <c r="V508" s="2" t="s">
        <v>350</v>
      </c>
      <c r="W508" s="2" t="s">
        <v>561</v>
      </c>
      <c r="X508" s="2" t="s">
        <v>100</v>
      </c>
      <c r="Y508" s="2" t="s">
        <v>2106</v>
      </c>
      <c r="Z508" s="4">
        <v>324</v>
      </c>
      <c r="AA508" s="4">
        <f>=ROUNDDOWN(36,0)</f>
      </c>
      <c r="AB508" s="5">
        <v>9</v>
      </c>
      <c r="AC508" s="2" t="s">
        <v>184</v>
      </c>
      <c r="AD508" s="4">
        <v>100</v>
      </c>
      <c r="AE508" s="4">
        <v>100</v>
      </c>
      <c r="AF508" s="6">
        <v>64</v>
      </c>
      <c r="AG508" s="6"/>
      <c r="AH508" s="7">
        <v>0.7005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178</v>
      </c>
      <c r="BK508" s="8">
        <v>8514.82</v>
      </c>
      <c r="BL508" s="2" t="s">
        <v>229</v>
      </c>
      <c r="BM508" s="7"/>
      <c r="BN508" s="7"/>
      <c r="BO508" s="4"/>
      <c r="BP508" s="8"/>
      <c r="BQ508" s="4"/>
      <c r="BR508" s="8"/>
      <c r="BS508" s="7"/>
      <c r="BT508" s="7"/>
      <c r="BU508" s="2" t="s">
        <v>207</v>
      </c>
      <c r="BV508" s="2" t="s">
        <v>97</v>
      </c>
      <c r="BW508" s="2" t="s">
        <v>100</v>
      </c>
      <c r="BX508" s="2" t="s">
        <v>100</v>
      </c>
      <c r="BY508" s="2" t="s">
        <v>113</v>
      </c>
      <c r="BZ508" s="2" t="s">
        <v>100</v>
      </c>
    </row>
    <row r="509">
      <c r="A509" s="2" t="s">
        <v>2153</v>
      </c>
      <c r="B509" s="2" t="s">
        <v>87</v>
      </c>
      <c r="C509" s="2" t="s">
        <v>1867</v>
      </c>
      <c r="D509" s="2" t="s">
        <v>803</v>
      </c>
      <c r="E509" s="2" t="s">
        <v>1475</v>
      </c>
      <c r="F509" s="2" t="s">
        <v>2154</v>
      </c>
      <c r="G509" s="2" t="s">
        <v>2155</v>
      </c>
      <c r="H509" s="2" t="s">
        <v>1137</v>
      </c>
      <c r="I509" s="2" t="s">
        <v>2088</v>
      </c>
      <c r="J509" s="2" t="s">
        <v>1936</v>
      </c>
      <c r="K509" s="2" t="s">
        <v>118</v>
      </c>
      <c r="L509" s="3">
        <v>26.19</v>
      </c>
      <c r="M509" s="3">
        <v>27.5</v>
      </c>
      <c r="N509" s="3">
        <v>54.99</v>
      </c>
      <c r="O509" s="2" t="s">
        <v>97</v>
      </c>
      <c r="P509" s="2" t="s">
        <v>225</v>
      </c>
      <c r="Q509" s="2" t="s">
        <v>99</v>
      </c>
      <c r="R509" s="2" t="s">
        <v>100</v>
      </c>
      <c r="S509" s="2" t="s">
        <v>2156</v>
      </c>
      <c r="T509" s="2" t="s">
        <v>218</v>
      </c>
      <c r="U509" s="2" t="s">
        <v>171</v>
      </c>
      <c r="V509" s="2" t="s">
        <v>256</v>
      </c>
      <c r="W509" s="2" t="s">
        <v>2010</v>
      </c>
      <c r="X509" s="2" t="s">
        <v>100</v>
      </c>
      <c r="Y509" s="2" t="s">
        <v>2157</v>
      </c>
      <c r="Z509" s="4">
        <v>120</v>
      </c>
      <c r="AA509" s="4">
        <f>=ROUNDDOWN(60,0)</f>
      </c>
      <c r="AB509" s="5">
        <v>2</v>
      </c>
      <c r="AC509" s="2" t="s">
        <v>100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20</v>
      </c>
      <c r="BK509" s="8">
        <v>596.94</v>
      </c>
      <c r="BL509" s="2" t="s">
        <v>2158</v>
      </c>
      <c r="BM509" s="7"/>
      <c r="BN509" s="7"/>
      <c r="BO509" s="4"/>
      <c r="BP509" s="8"/>
      <c r="BQ509" s="4"/>
      <c r="BR509" s="8"/>
      <c r="BS509" s="7"/>
      <c r="BT509" s="7"/>
      <c r="BU509" s="2" t="s">
        <v>230</v>
      </c>
      <c r="BV509" s="2" t="s">
        <v>97</v>
      </c>
      <c r="BW509" s="2" t="s">
        <v>100</v>
      </c>
      <c r="BX509" s="2" t="s">
        <v>100</v>
      </c>
      <c r="BY509" s="2" t="s">
        <v>113</v>
      </c>
      <c r="BZ509" s="2" t="s">
        <v>100</v>
      </c>
    </row>
    <row r="510">
      <c r="A510" s="2" t="s">
        <v>2159</v>
      </c>
      <c r="B510" s="2" t="s">
        <v>87</v>
      </c>
      <c r="C510" s="2" t="s">
        <v>1867</v>
      </c>
      <c r="D510" s="2" t="s">
        <v>803</v>
      </c>
      <c r="E510" s="2" t="s">
        <v>1475</v>
      </c>
      <c r="F510" s="2" t="s">
        <v>2154</v>
      </c>
      <c r="G510" s="2" t="s">
        <v>2155</v>
      </c>
      <c r="H510" s="2" t="s">
        <v>1137</v>
      </c>
      <c r="I510" s="2" t="s">
        <v>2088</v>
      </c>
      <c r="J510" s="2" t="s">
        <v>717</v>
      </c>
      <c r="K510" s="2" t="s">
        <v>118</v>
      </c>
      <c r="L510" s="3">
        <v>28.57</v>
      </c>
      <c r="M510" s="3">
        <v>30</v>
      </c>
      <c r="N510" s="3">
        <v>59.99</v>
      </c>
      <c r="O510" s="2" t="s">
        <v>97</v>
      </c>
      <c r="P510" s="2" t="s">
        <v>225</v>
      </c>
      <c r="Q510" s="2" t="s">
        <v>99</v>
      </c>
      <c r="R510" s="2" t="s">
        <v>100</v>
      </c>
      <c r="S510" s="2" t="s">
        <v>2156</v>
      </c>
      <c r="T510" s="2" t="s">
        <v>218</v>
      </c>
      <c r="U510" s="2" t="s">
        <v>337</v>
      </c>
      <c r="V510" s="2" t="s">
        <v>256</v>
      </c>
      <c r="W510" s="2" t="s">
        <v>2010</v>
      </c>
      <c r="X510" s="2" t="s">
        <v>100</v>
      </c>
      <c r="Y510" s="2" t="s">
        <v>2157</v>
      </c>
      <c r="Z510" s="4">
        <v>159</v>
      </c>
      <c r="AA510" s="4">
        <f>=ROUNDDOWN(39.75,0)</f>
      </c>
      <c r="AB510" s="5">
        <v>4</v>
      </c>
      <c r="AC510" s="2" t="s">
        <v>100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41</v>
      </c>
      <c r="BK510" s="8">
        <v>1340.18</v>
      </c>
      <c r="BL510" s="2" t="s">
        <v>2160</v>
      </c>
      <c r="BM510" s="7"/>
      <c r="BN510" s="7"/>
      <c r="BO510" s="4"/>
      <c r="BP510" s="8"/>
      <c r="BQ510" s="4"/>
      <c r="BR510" s="8"/>
      <c r="BS510" s="7"/>
      <c r="BT510" s="7"/>
      <c r="BU510" s="2" t="s">
        <v>230</v>
      </c>
      <c r="BV510" s="2" t="s">
        <v>97</v>
      </c>
      <c r="BW510" s="2" t="s">
        <v>100</v>
      </c>
      <c r="BX510" s="2" t="s">
        <v>100</v>
      </c>
      <c r="BY510" s="2" t="s">
        <v>113</v>
      </c>
      <c r="BZ510" s="2" t="s">
        <v>100</v>
      </c>
    </row>
    <row r="511">
      <c r="A511" s="2" t="s">
        <v>2161</v>
      </c>
      <c r="B511" s="2" t="s">
        <v>87</v>
      </c>
      <c r="C511" s="2" t="s">
        <v>1867</v>
      </c>
      <c r="D511" s="2" t="s">
        <v>803</v>
      </c>
      <c r="E511" s="2" t="s">
        <v>1475</v>
      </c>
      <c r="F511" s="2" t="s">
        <v>2154</v>
      </c>
      <c r="G511" s="2" t="s">
        <v>2155</v>
      </c>
      <c r="H511" s="2" t="s">
        <v>1137</v>
      </c>
      <c r="I511" s="2" t="s">
        <v>2088</v>
      </c>
      <c r="J511" s="2" t="s">
        <v>706</v>
      </c>
      <c r="K511" s="2" t="s">
        <v>118</v>
      </c>
      <c r="L511" s="3">
        <v>30.95</v>
      </c>
      <c r="M511" s="3">
        <v>32.5</v>
      </c>
      <c r="N511" s="3">
        <v>64.99</v>
      </c>
      <c r="O511" s="2" t="s">
        <v>97</v>
      </c>
      <c r="P511" s="2" t="s">
        <v>225</v>
      </c>
      <c r="Q511" s="2" t="s">
        <v>99</v>
      </c>
      <c r="R511" s="2" t="s">
        <v>100</v>
      </c>
      <c r="S511" s="2" t="s">
        <v>2156</v>
      </c>
      <c r="T511" s="2" t="s">
        <v>218</v>
      </c>
      <c r="U511" s="2" t="s">
        <v>337</v>
      </c>
      <c r="V511" s="2" t="s">
        <v>256</v>
      </c>
      <c r="W511" s="2" t="s">
        <v>2010</v>
      </c>
      <c r="X511" s="2" t="s">
        <v>100</v>
      </c>
      <c r="Y511" s="2" t="s">
        <v>2162</v>
      </c>
      <c r="Z511" s="4">
        <v>472</v>
      </c>
      <c r="AA511" s="4">
        <f>=ROUNDDOWN(59,0)</f>
      </c>
      <c r="AB511" s="5">
        <v>8</v>
      </c>
      <c r="AC511" s="2" t="s">
        <v>100</v>
      </c>
      <c r="AD511" s="4"/>
      <c r="AE511" s="4"/>
      <c r="AF511" s="6">
        <v>65</v>
      </c>
      <c r="AG511" s="6"/>
      <c r="AH511" s="7">
        <v>0.6601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69</v>
      </c>
      <c r="BK511" s="8">
        <v>2431.51</v>
      </c>
      <c r="BL511" s="2" t="s">
        <v>2163</v>
      </c>
      <c r="BM511" s="7"/>
      <c r="BN511" s="7"/>
      <c r="BO511" s="4"/>
      <c r="BP511" s="8"/>
      <c r="BQ511" s="4"/>
      <c r="BR511" s="8"/>
      <c r="BS511" s="7"/>
      <c r="BT511" s="7"/>
      <c r="BU511" s="2" t="s">
        <v>207</v>
      </c>
      <c r="BV511" s="2" t="s">
        <v>97</v>
      </c>
      <c r="BW511" s="2" t="s">
        <v>100</v>
      </c>
      <c r="BX511" s="2" t="s">
        <v>100</v>
      </c>
      <c r="BY511" s="2" t="s">
        <v>113</v>
      </c>
      <c r="BZ511" s="2" t="s">
        <v>100</v>
      </c>
    </row>
    <row r="512">
      <c r="A512" s="2" t="s">
        <v>2164</v>
      </c>
      <c r="B512" s="2" t="s">
        <v>87</v>
      </c>
      <c r="C512" s="2" t="s">
        <v>1867</v>
      </c>
      <c r="D512" s="2" t="s">
        <v>803</v>
      </c>
      <c r="E512" s="2" t="s">
        <v>1475</v>
      </c>
      <c r="F512" s="2" t="s">
        <v>2154</v>
      </c>
      <c r="G512" s="2" t="s">
        <v>2155</v>
      </c>
      <c r="H512" s="2" t="s">
        <v>1137</v>
      </c>
      <c r="I512" s="2" t="s">
        <v>2088</v>
      </c>
      <c r="J512" s="2" t="s">
        <v>714</v>
      </c>
      <c r="K512" s="2" t="s">
        <v>118</v>
      </c>
      <c r="L512" s="3">
        <v>35.71</v>
      </c>
      <c r="M512" s="3">
        <v>37.5</v>
      </c>
      <c r="N512" s="3">
        <v>74.99</v>
      </c>
      <c r="O512" s="2" t="s">
        <v>97</v>
      </c>
      <c r="P512" s="2" t="s">
        <v>225</v>
      </c>
      <c r="Q512" s="2" t="s">
        <v>99</v>
      </c>
      <c r="R512" s="2" t="s">
        <v>100</v>
      </c>
      <c r="S512" s="2" t="s">
        <v>2156</v>
      </c>
      <c r="T512" s="2" t="s">
        <v>218</v>
      </c>
      <c r="U512" s="2" t="s">
        <v>337</v>
      </c>
      <c r="V512" s="2" t="s">
        <v>256</v>
      </c>
      <c r="W512" s="2" t="s">
        <v>2010</v>
      </c>
      <c r="X512" s="2" t="s">
        <v>100</v>
      </c>
      <c r="Y512" s="2" t="s">
        <v>2162</v>
      </c>
      <c r="Z512" s="4">
        <v>294</v>
      </c>
      <c r="AA512" s="4">
        <f>=ROUNDDOWN(58.8,0)</f>
      </c>
      <c r="AB512" s="5">
        <v>5</v>
      </c>
      <c r="AC512" s="2" t="s">
        <v>100</v>
      </c>
      <c r="AD512" s="4"/>
      <c r="AE512" s="4"/>
      <c r="AF512" s="6">
        <v>65</v>
      </c>
      <c r="AG512" s="6"/>
      <c r="AH512" s="7">
        <v>0.6601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35</v>
      </c>
      <c r="BK512" s="8">
        <v>1426.53</v>
      </c>
      <c r="BL512" s="2" t="s">
        <v>2163</v>
      </c>
      <c r="BM512" s="7"/>
      <c r="BN512" s="7"/>
      <c r="BO512" s="4"/>
      <c r="BP512" s="8"/>
      <c r="BQ512" s="4"/>
      <c r="BR512" s="8"/>
      <c r="BS512" s="7"/>
      <c r="BT512" s="7"/>
      <c r="BU512" s="2" t="s">
        <v>207</v>
      </c>
      <c r="BV512" s="2" t="s">
        <v>97</v>
      </c>
      <c r="BW512" s="2" t="s">
        <v>100</v>
      </c>
      <c r="BX512" s="2" t="s">
        <v>100</v>
      </c>
      <c r="BY512" s="2" t="s">
        <v>113</v>
      </c>
      <c r="BZ512" s="2" t="s">
        <v>100</v>
      </c>
    </row>
    <row r="513">
      <c r="A513" s="2" t="s">
        <v>2165</v>
      </c>
      <c r="B513" s="2" t="s">
        <v>87</v>
      </c>
      <c r="C513" s="2" t="s">
        <v>1867</v>
      </c>
      <c r="D513" s="2" t="s">
        <v>803</v>
      </c>
      <c r="E513" s="2" t="s">
        <v>1475</v>
      </c>
      <c r="F513" s="2" t="s">
        <v>2154</v>
      </c>
      <c r="G513" s="2" t="s">
        <v>2155</v>
      </c>
      <c r="H513" s="2" t="s">
        <v>1137</v>
      </c>
      <c r="I513" s="2" t="s">
        <v>2088</v>
      </c>
      <c r="J513" s="2" t="s">
        <v>817</v>
      </c>
      <c r="K513" s="2" t="s">
        <v>118</v>
      </c>
      <c r="L513" s="3">
        <v>35.71</v>
      </c>
      <c r="M513" s="3">
        <v>37.5</v>
      </c>
      <c r="N513" s="3">
        <v>74.99</v>
      </c>
      <c r="O513" s="2" t="s">
        <v>97</v>
      </c>
      <c r="P513" s="2" t="s">
        <v>225</v>
      </c>
      <c r="Q513" s="2" t="s">
        <v>99</v>
      </c>
      <c r="R513" s="2" t="s">
        <v>100</v>
      </c>
      <c r="S513" s="2" t="s">
        <v>2156</v>
      </c>
      <c r="T513" s="2" t="s">
        <v>218</v>
      </c>
      <c r="U513" s="2" t="s">
        <v>337</v>
      </c>
      <c r="V513" s="2" t="s">
        <v>256</v>
      </c>
      <c r="W513" s="2" t="s">
        <v>2010</v>
      </c>
      <c r="X513" s="2" t="s">
        <v>100</v>
      </c>
      <c r="Y513" s="2" t="s">
        <v>2157</v>
      </c>
      <c r="Z513" s="4">
        <v>175</v>
      </c>
      <c r="AA513" s="4">
        <f>=ROUNDDOWN(58.3333333333333,0)</f>
      </c>
      <c r="AB513" s="5">
        <v>3</v>
      </c>
      <c r="AC513" s="2" t="s">
        <v>100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17</v>
      </c>
      <c r="BK513" s="8">
        <v>690.98</v>
      </c>
      <c r="BL513" s="2" t="s">
        <v>656</v>
      </c>
      <c r="BM513" s="7"/>
      <c r="BN513" s="7"/>
      <c r="BO513" s="4"/>
      <c r="BP513" s="8"/>
      <c r="BQ513" s="4"/>
      <c r="BR513" s="8"/>
      <c r="BS513" s="7"/>
      <c r="BT513" s="7"/>
      <c r="BU513" s="2" t="s">
        <v>230</v>
      </c>
      <c r="BV513" s="2" t="s">
        <v>97</v>
      </c>
      <c r="BW513" s="2" t="s">
        <v>100</v>
      </c>
      <c r="BX513" s="2" t="s">
        <v>100</v>
      </c>
      <c r="BY513" s="2" t="s">
        <v>113</v>
      </c>
      <c r="BZ513" s="2" t="s">
        <v>100</v>
      </c>
    </row>
    <row r="514">
      <c r="A514" s="2" t="s">
        <v>2166</v>
      </c>
      <c r="B514" s="2" t="s">
        <v>87</v>
      </c>
      <c r="C514" s="2" t="s">
        <v>1867</v>
      </c>
      <c r="D514" s="2" t="s">
        <v>803</v>
      </c>
      <c r="E514" s="2" t="s">
        <v>1475</v>
      </c>
      <c r="F514" s="2" t="s">
        <v>2154</v>
      </c>
      <c r="G514" s="2" t="s">
        <v>2155</v>
      </c>
      <c r="H514" s="2" t="s">
        <v>1137</v>
      </c>
      <c r="I514" s="2" t="s">
        <v>2088</v>
      </c>
      <c r="J514" s="2" t="s">
        <v>1936</v>
      </c>
      <c r="K514" s="2" t="s">
        <v>629</v>
      </c>
      <c r="L514" s="3">
        <v>26.19</v>
      </c>
      <c r="M514" s="3">
        <v>27.5</v>
      </c>
      <c r="N514" s="3">
        <v>54.99</v>
      </c>
      <c r="O514" s="2" t="s">
        <v>97</v>
      </c>
      <c r="P514" s="2" t="s">
        <v>225</v>
      </c>
      <c r="Q514" s="2" t="s">
        <v>99</v>
      </c>
      <c r="R514" s="2" t="s">
        <v>100</v>
      </c>
      <c r="S514" s="2" t="s">
        <v>2167</v>
      </c>
      <c r="T514" s="2" t="s">
        <v>218</v>
      </c>
      <c r="U514" s="2" t="s">
        <v>171</v>
      </c>
      <c r="V514" s="2" t="s">
        <v>256</v>
      </c>
      <c r="W514" s="2" t="s">
        <v>2010</v>
      </c>
      <c r="X514" s="2" t="s">
        <v>100</v>
      </c>
      <c r="Y514" s="2" t="s">
        <v>2168</v>
      </c>
      <c r="Z514" s="4">
        <v>119</v>
      </c>
      <c r="AA514" s="4">
        <f>=ROUNDDOWN(39.6666666666667,0)</f>
      </c>
      <c r="AB514" s="5">
        <v>3</v>
      </c>
      <c r="AC514" s="2" t="s">
        <v>100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12</v>
      </c>
      <c r="BK514" s="8">
        <v>360.12</v>
      </c>
      <c r="BL514" s="2" t="s">
        <v>2163</v>
      </c>
      <c r="BM514" s="7"/>
      <c r="BN514" s="7"/>
      <c r="BO514" s="4"/>
      <c r="BP514" s="8"/>
      <c r="BQ514" s="4"/>
      <c r="BR514" s="8"/>
      <c r="BS514" s="7"/>
      <c r="BT514" s="7"/>
      <c r="BU514" s="2" t="s">
        <v>230</v>
      </c>
      <c r="BV514" s="2" t="s">
        <v>97</v>
      </c>
      <c r="BW514" s="2" t="s">
        <v>100</v>
      </c>
      <c r="BX514" s="2" t="s">
        <v>100</v>
      </c>
      <c r="BY514" s="2" t="s">
        <v>113</v>
      </c>
      <c r="BZ514" s="2" t="s">
        <v>100</v>
      </c>
    </row>
    <row r="515">
      <c r="A515" s="2" t="s">
        <v>2169</v>
      </c>
      <c r="B515" s="2" t="s">
        <v>87</v>
      </c>
      <c r="C515" s="2" t="s">
        <v>1867</v>
      </c>
      <c r="D515" s="2" t="s">
        <v>803</v>
      </c>
      <c r="E515" s="2" t="s">
        <v>1475</v>
      </c>
      <c r="F515" s="2" t="s">
        <v>2154</v>
      </c>
      <c r="G515" s="2" t="s">
        <v>2155</v>
      </c>
      <c r="H515" s="2" t="s">
        <v>1137</v>
      </c>
      <c r="I515" s="2" t="s">
        <v>2088</v>
      </c>
      <c r="J515" s="2" t="s">
        <v>717</v>
      </c>
      <c r="K515" s="2" t="s">
        <v>629</v>
      </c>
      <c r="L515" s="3">
        <v>28.57</v>
      </c>
      <c r="M515" s="3">
        <v>30</v>
      </c>
      <c r="N515" s="3">
        <v>59.99</v>
      </c>
      <c r="O515" s="2" t="s">
        <v>97</v>
      </c>
      <c r="P515" s="2" t="s">
        <v>225</v>
      </c>
      <c r="Q515" s="2" t="s">
        <v>99</v>
      </c>
      <c r="R515" s="2" t="s">
        <v>100</v>
      </c>
      <c r="S515" s="2" t="s">
        <v>2167</v>
      </c>
      <c r="T515" s="2" t="s">
        <v>218</v>
      </c>
      <c r="U515" s="2" t="s">
        <v>337</v>
      </c>
      <c r="V515" s="2" t="s">
        <v>256</v>
      </c>
      <c r="W515" s="2" t="s">
        <v>2010</v>
      </c>
      <c r="X515" s="2" t="s">
        <v>100</v>
      </c>
      <c r="Y515" s="2" t="s">
        <v>2162</v>
      </c>
      <c r="Z515" s="4">
        <v>164</v>
      </c>
      <c r="AA515" s="4">
        <f>=ROUNDDOWN(27.3333333333333,0)</f>
      </c>
      <c r="AB515" s="5">
        <v>6</v>
      </c>
      <c r="AC515" s="2" t="s">
        <v>100</v>
      </c>
      <c r="AD515" s="4"/>
      <c r="AE515" s="4"/>
      <c r="AF515" s="6">
        <v>65</v>
      </c>
      <c r="AG515" s="6"/>
      <c r="AH515" s="7">
        <v>0.6601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38</v>
      </c>
      <c r="BK515" s="8">
        <v>1244.94</v>
      </c>
      <c r="BL515" s="2" t="s">
        <v>2170</v>
      </c>
      <c r="BM515" s="7"/>
      <c r="BN515" s="7"/>
      <c r="BO515" s="4"/>
      <c r="BP515" s="8"/>
      <c r="BQ515" s="4"/>
      <c r="BR515" s="8"/>
      <c r="BS515" s="7"/>
      <c r="BT515" s="7"/>
      <c r="BU515" s="2" t="s">
        <v>207</v>
      </c>
      <c r="BV515" s="2" t="s">
        <v>97</v>
      </c>
      <c r="BW515" s="2" t="s">
        <v>100</v>
      </c>
      <c r="BX515" s="2" t="s">
        <v>100</v>
      </c>
      <c r="BY515" s="2" t="s">
        <v>113</v>
      </c>
      <c r="BZ515" s="2" t="s">
        <v>100</v>
      </c>
    </row>
    <row r="516">
      <c r="A516" s="2" t="s">
        <v>2171</v>
      </c>
      <c r="B516" s="2" t="s">
        <v>87</v>
      </c>
      <c r="C516" s="2" t="s">
        <v>1867</v>
      </c>
      <c r="D516" s="2" t="s">
        <v>803</v>
      </c>
      <c r="E516" s="2" t="s">
        <v>1475</v>
      </c>
      <c r="F516" s="2" t="s">
        <v>2154</v>
      </c>
      <c r="G516" s="2" t="s">
        <v>2155</v>
      </c>
      <c r="H516" s="2" t="s">
        <v>1137</v>
      </c>
      <c r="I516" s="2" t="s">
        <v>2088</v>
      </c>
      <c r="J516" s="2" t="s">
        <v>706</v>
      </c>
      <c r="K516" s="2" t="s">
        <v>629</v>
      </c>
      <c r="L516" s="3">
        <v>30.95</v>
      </c>
      <c r="M516" s="3">
        <v>32.5</v>
      </c>
      <c r="N516" s="3">
        <v>64.99</v>
      </c>
      <c r="O516" s="2" t="s">
        <v>97</v>
      </c>
      <c r="P516" s="2" t="s">
        <v>225</v>
      </c>
      <c r="Q516" s="2" t="s">
        <v>99</v>
      </c>
      <c r="R516" s="2" t="s">
        <v>100</v>
      </c>
      <c r="S516" s="2" t="s">
        <v>2167</v>
      </c>
      <c r="T516" s="2" t="s">
        <v>218</v>
      </c>
      <c r="U516" s="2" t="s">
        <v>337</v>
      </c>
      <c r="V516" s="2" t="s">
        <v>256</v>
      </c>
      <c r="W516" s="2" t="s">
        <v>2010</v>
      </c>
      <c r="X516" s="2" t="s">
        <v>100</v>
      </c>
      <c r="Y516" s="2" t="s">
        <v>2162</v>
      </c>
      <c r="Z516" s="4">
        <v>441</v>
      </c>
      <c r="AA516" s="4">
        <f>=ROUNDDOWN(29.4,0)</f>
      </c>
      <c r="AB516" s="5">
        <v>15</v>
      </c>
      <c r="AC516" s="2" t="s">
        <v>100</v>
      </c>
      <c r="AD516" s="4"/>
      <c r="AE516" s="4"/>
      <c r="AF516" s="6">
        <v>65</v>
      </c>
      <c r="AG516" s="6"/>
      <c r="AH516" s="7">
        <v>0.6601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95</v>
      </c>
      <c r="BK516" s="8">
        <v>3351.74</v>
      </c>
      <c r="BL516" s="2" t="s">
        <v>2163</v>
      </c>
      <c r="BM516" s="7"/>
      <c r="BN516" s="7"/>
      <c r="BO516" s="4"/>
      <c r="BP516" s="8"/>
      <c r="BQ516" s="4"/>
      <c r="BR516" s="8"/>
      <c r="BS516" s="7"/>
      <c r="BT516" s="7"/>
      <c r="BU516" s="2" t="s">
        <v>207</v>
      </c>
      <c r="BV516" s="2" t="s">
        <v>97</v>
      </c>
      <c r="BW516" s="2" t="s">
        <v>100</v>
      </c>
      <c r="BX516" s="2" t="s">
        <v>100</v>
      </c>
      <c r="BY516" s="2" t="s">
        <v>113</v>
      </c>
      <c r="BZ516" s="2" t="s">
        <v>100</v>
      </c>
    </row>
    <row r="517">
      <c r="A517" s="2" t="s">
        <v>2172</v>
      </c>
      <c r="B517" s="2" t="s">
        <v>87</v>
      </c>
      <c r="C517" s="2" t="s">
        <v>1867</v>
      </c>
      <c r="D517" s="2" t="s">
        <v>803</v>
      </c>
      <c r="E517" s="2" t="s">
        <v>1475</v>
      </c>
      <c r="F517" s="2" t="s">
        <v>2154</v>
      </c>
      <c r="G517" s="2" t="s">
        <v>2155</v>
      </c>
      <c r="H517" s="2" t="s">
        <v>1137</v>
      </c>
      <c r="I517" s="2" t="s">
        <v>2088</v>
      </c>
      <c r="J517" s="2" t="s">
        <v>714</v>
      </c>
      <c r="K517" s="2" t="s">
        <v>629</v>
      </c>
      <c r="L517" s="3">
        <v>35.71</v>
      </c>
      <c r="M517" s="3">
        <v>37.5</v>
      </c>
      <c r="N517" s="3">
        <v>74.99</v>
      </c>
      <c r="O517" s="2" t="s">
        <v>97</v>
      </c>
      <c r="P517" s="2" t="s">
        <v>225</v>
      </c>
      <c r="Q517" s="2" t="s">
        <v>99</v>
      </c>
      <c r="R517" s="2" t="s">
        <v>100</v>
      </c>
      <c r="S517" s="2" t="s">
        <v>2167</v>
      </c>
      <c r="T517" s="2" t="s">
        <v>218</v>
      </c>
      <c r="U517" s="2" t="s">
        <v>337</v>
      </c>
      <c r="V517" s="2" t="s">
        <v>256</v>
      </c>
      <c r="W517" s="2" t="s">
        <v>2010</v>
      </c>
      <c r="X517" s="2" t="s">
        <v>100</v>
      </c>
      <c r="Y517" s="2" t="s">
        <v>2157</v>
      </c>
      <c r="Z517" s="4">
        <v>280</v>
      </c>
      <c r="AA517" s="4">
        <f>=ROUNDDOWN(35,0)</f>
      </c>
      <c r="AB517" s="5">
        <v>8</v>
      </c>
      <c r="AC517" s="2" t="s">
        <v>100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47</v>
      </c>
      <c r="BK517" s="8">
        <v>1908.39</v>
      </c>
      <c r="BL517" s="2" t="s">
        <v>658</v>
      </c>
      <c r="BM517" s="7"/>
      <c r="BN517" s="7"/>
      <c r="BO517" s="4"/>
      <c r="BP517" s="8"/>
      <c r="BQ517" s="4"/>
      <c r="BR517" s="8"/>
      <c r="BS517" s="7"/>
      <c r="BT517" s="7"/>
      <c r="BU517" s="2" t="s">
        <v>230</v>
      </c>
      <c r="BV517" s="2" t="s">
        <v>97</v>
      </c>
      <c r="BW517" s="2" t="s">
        <v>100</v>
      </c>
      <c r="BX517" s="2" t="s">
        <v>100</v>
      </c>
      <c r="BY517" s="2" t="s">
        <v>113</v>
      </c>
      <c r="BZ517" s="2" t="s">
        <v>100</v>
      </c>
    </row>
    <row r="518">
      <c r="A518" s="2" t="s">
        <v>2173</v>
      </c>
      <c r="B518" s="2" t="s">
        <v>87</v>
      </c>
      <c r="C518" s="2" t="s">
        <v>1867</v>
      </c>
      <c r="D518" s="2" t="s">
        <v>803</v>
      </c>
      <c r="E518" s="2" t="s">
        <v>1475</v>
      </c>
      <c r="F518" s="2" t="s">
        <v>2154</v>
      </c>
      <c r="G518" s="2" t="s">
        <v>2155</v>
      </c>
      <c r="H518" s="2" t="s">
        <v>1137</v>
      </c>
      <c r="I518" s="2" t="s">
        <v>2088</v>
      </c>
      <c r="J518" s="2" t="s">
        <v>817</v>
      </c>
      <c r="K518" s="2" t="s">
        <v>629</v>
      </c>
      <c r="L518" s="3">
        <v>35.71</v>
      </c>
      <c r="M518" s="3">
        <v>37.5</v>
      </c>
      <c r="N518" s="3">
        <v>74.99</v>
      </c>
      <c r="O518" s="2" t="s">
        <v>97</v>
      </c>
      <c r="P518" s="2" t="s">
        <v>225</v>
      </c>
      <c r="Q518" s="2" t="s">
        <v>99</v>
      </c>
      <c r="R518" s="2" t="s">
        <v>100</v>
      </c>
      <c r="S518" s="2" t="s">
        <v>2167</v>
      </c>
      <c r="T518" s="2" t="s">
        <v>218</v>
      </c>
      <c r="U518" s="2" t="s">
        <v>337</v>
      </c>
      <c r="V518" s="2" t="s">
        <v>256</v>
      </c>
      <c r="W518" s="2" t="s">
        <v>2010</v>
      </c>
      <c r="X518" s="2" t="s">
        <v>100</v>
      </c>
      <c r="Y518" s="2" t="s">
        <v>2157</v>
      </c>
      <c r="Z518" s="4">
        <v>167</v>
      </c>
      <c r="AA518" s="4">
        <f>=ROUNDDOWN(33.4,0)</f>
      </c>
      <c r="AB518" s="5">
        <v>5</v>
      </c>
      <c r="AC518" s="2" t="s">
        <v>100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25</v>
      </c>
      <c r="BK518" s="8">
        <v>1026</v>
      </c>
      <c r="BL518" s="2" t="s">
        <v>2174</v>
      </c>
      <c r="BM518" s="7"/>
      <c r="BN518" s="7"/>
      <c r="BO518" s="4"/>
      <c r="BP518" s="8"/>
      <c r="BQ518" s="4"/>
      <c r="BR518" s="8"/>
      <c r="BS518" s="7"/>
      <c r="BT518" s="7"/>
      <c r="BU518" s="2" t="s">
        <v>230</v>
      </c>
      <c r="BV518" s="2" t="s">
        <v>97</v>
      </c>
      <c r="BW518" s="2" t="s">
        <v>100</v>
      </c>
      <c r="BX518" s="2" t="s">
        <v>100</v>
      </c>
      <c r="BY518" s="2" t="s">
        <v>113</v>
      </c>
      <c r="BZ518" s="2" t="s">
        <v>100</v>
      </c>
    </row>
    <row r="519">
      <c r="A519" s="2" t="s">
        <v>2175</v>
      </c>
      <c r="B519" s="2" t="s">
        <v>87</v>
      </c>
      <c r="C519" s="2" t="s">
        <v>1867</v>
      </c>
      <c r="D519" s="2" t="s">
        <v>89</v>
      </c>
      <c r="E519" s="2" t="s">
        <v>1475</v>
      </c>
      <c r="F519" s="2" t="s">
        <v>2050</v>
      </c>
      <c r="G519" s="2" t="s">
        <v>2051</v>
      </c>
      <c r="H519" s="2" t="s">
        <v>2052</v>
      </c>
      <c r="I519" s="2" t="s">
        <v>2176</v>
      </c>
      <c r="J519" s="2" t="s">
        <v>717</v>
      </c>
      <c r="K519" s="2" t="s">
        <v>629</v>
      </c>
      <c r="L519" s="3">
        <v>54.45</v>
      </c>
      <c r="M519" s="3">
        <v>57.17</v>
      </c>
      <c r="N519" s="3">
        <v>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2177</v>
      </c>
      <c r="T519" s="2" t="s">
        <v>100</v>
      </c>
      <c r="U519" s="2" t="s">
        <v>833</v>
      </c>
      <c r="V519" s="2" t="s">
        <v>350</v>
      </c>
      <c r="W519" s="2" t="s">
        <v>561</v>
      </c>
      <c r="X519" s="2" t="s">
        <v>100</v>
      </c>
      <c r="Y519" s="2" t="s">
        <v>240</v>
      </c>
      <c r="Z519" s="4">
        <v>66</v>
      </c>
      <c r="AA519" s="4">
        <f>=ROUNDDOWN(22,0)</f>
      </c>
      <c r="AB519" s="5">
        <v>3</v>
      </c>
      <c r="AC519" s="2" t="s">
        <v>320</v>
      </c>
      <c r="AD519" s="4">
        <v>40</v>
      </c>
      <c r="AE519" s="4">
        <v>40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>
        <v>1</v>
      </c>
      <c r="AQ519" s="8">
        <v>53.97</v>
      </c>
      <c r="AR519" s="4"/>
      <c r="AS519" s="8"/>
      <c r="AT519" s="7"/>
      <c r="AU519" s="7"/>
      <c r="AV519" s="4">
        <v>6</v>
      </c>
      <c r="AW519" s="8">
        <v>384.47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0.1404</v>
      </c>
      <c r="BC519" s="4">
        <v>7</v>
      </c>
      <c r="BD519" s="8">
        <v>444.6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0.8648</v>
      </c>
      <c r="BJ519" s="4">
        <v>73</v>
      </c>
      <c r="BK519" s="8">
        <v>3816.78</v>
      </c>
      <c r="BL519" s="2" t="s">
        <v>2178</v>
      </c>
      <c r="BM519" s="7">
        <v>0.0137</v>
      </c>
      <c r="BN519" s="7">
        <v>0.0141</v>
      </c>
      <c r="BO519" s="4">
        <v>1</v>
      </c>
      <c r="BP519" s="8">
        <v>53.97</v>
      </c>
      <c r="BQ519" s="4"/>
      <c r="BR519" s="8"/>
      <c r="BS519" s="7"/>
      <c r="BT519" s="7"/>
      <c r="BU519" s="2" t="s">
        <v>109</v>
      </c>
      <c r="BV519" s="2" t="s">
        <v>110</v>
      </c>
      <c r="BW519" s="2" t="s">
        <v>328</v>
      </c>
      <c r="BX519" s="2" t="s">
        <v>2179</v>
      </c>
      <c r="BY519" s="2" t="s">
        <v>113</v>
      </c>
      <c r="BZ519" s="2" t="s">
        <v>100</v>
      </c>
    </row>
    <row r="520">
      <c r="A520" s="2" t="s">
        <v>2180</v>
      </c>
      <c r="B520" s="2" t="s">
        <v>87</v>
      </c>
      <c r="C520" s="2" t="s">
        <v>1867</v>
      </c>
      <c r="D520" s="2" t="s">
        <v>89</v>
      </c>
      <c r="E520" s="2" t="s">
        <v>1475</v>
      </c>
      <c r="F520" s="2" t="s">
        <v>2050</v>
      </c>
      <c r="G520" s="2" t="s">
        <v>2051</v>
      </c>
      <c r="H520" s="2" t="s">
        <v>2052</v>
      </c>
      <c r="I520" s="2" t="s">
        <v>2176</v>
      </c>
      <c r="J520" s="2" t="s">
        <v>714</v>
      </c>
      <c r="K520" s="2" t="s">
        <v>629</v>
      </c>
      <c r="L520" s="3">
        <v>65.45</v>
      </c>
      <c r="M520" s="3">
        <v>68.72</v>
      </c>
      <c r="N520" s="3">
        <v>119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2177</v>
      </c>
      <c r="T520" s="2" t="s">
        <v>100</v>
      </c>
      <c r="U520" s="2" t="s">
        <v>833</v>
      </c>
      <c r="V520" s="2" t="s">
        <v>350</v>
      </c>
      <c r="W520" s="2" t="s">
        <v>561</v>
      </c>
      <c r="X520" s="2" t="s">
        <v>100</v>
      </c>
      <c r="Y520" s="2" t="s">
        <v>240</v>
      </c>
      <c r="Z520" s="4">
        <v>203</v>
      </c>
      <c r="AA520" s="4">
        <f>=ROUNDDOWN(50.75,0)</f>
      </c>
      <c r="AB520" s="5">
        <v>4</v>
      </c>
      <c r="AC520" s="2" t="s">
        <v>320</v>
      </c>
      <c r="AD520" s="4">
        <v>60</v>
      </c>
      <c r="AE520" s="4">
        <v>60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>
        <v>3</v>
      </c>
      <c r="AQ520" s="8">
        <v>198.3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0.5158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97</v>
      </c>
      <c r="BK520" s="8">
        <v>6643.42</v>
      </c>
      <c r="BL520" s="2" t="s">
        <v>2181</v>
      </c>
      <c r="BM520" s="7">
        <v>0.0309</v>
      </c>
      <c r="BN520" s="7">
        <v>0.0298</v>
      </c>
      <c r="BO520" s="4">
        <v>3</v>
      </c>
      <c r="BP520" s="8">
        <v>198.3</v>
      </c>
      <c r="BQ520" s="4"/>
      <c r="BR520" s="8"/>
      <c r="BS520" s="7"/>
      <c r="BT520" s="7"/>
      <c r="BU520" s="2" t="s">
        <v>109</v>
      </c>
      <c r="BV520" s="2" t="s">
        <v>110</v>
      </c>
      <c r="BW520" s="2" t="s">
        <v>328</v>
      </c>
      <c r="BX520" s="2" t="s">
        <v>1529</v>
      </c>
      <c r="BY520" s="2" t="s">
        <v>113</v>
      </c>
      <c r="BZ520" s="2" t="s">
        <v>100</v>
      </c>
    </row>
    <row r="521">
      <c r="A521" s="2" t="s">
        <v>2182</v>
      </c>
      <c r="B521" s="2" t="s">
        <v>87</v>
      </c>
      <c r="C521" s="2" t="s">
        <v>1867</v>
      </c>
      <c r="D521" s="2" t="s">
        <v>89</v>
      </c>
      <c r="E521" s="2" t="s">
        <v>1475</v>
      </c>
      <c r="F521" s="2" t="s">
        <v>2050</v>
      </c>
      <c r="G521" s="2" t="s">
        <v>2051</v>
      </c>
      <c r="H521" s="2" t="s">
        <v>2052</v>
      </c>
      <c r="I521" s="2" t="s">
        <v>2176</v>
      </c>
      <c r="J521" s="2" t="s">
        <v>817</v>
      </c>
      <c r="K521" s="2" t="s">
        <v>629</v>
      </c>
      <c r="L521" s="3">
        <v>65.45</v>
      </c>
      <c r="M521" s="3">
        <v>68.72</v>
      </c>
      <c r="N521" s="3">
        <v>119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2177</v>
      </c>
      <c r="T521" s="2" t="s">
        <v>100</v>
      </c>
      <c r="U521" s="2" t="s">
        <v>833</v>
      </c>
      <c r="V521" s="2" t="s">
        <v>350</v>
      </c>
      <c r="W521" s="2" t="s">
        <v>561</v>
      </c>
      <c r="X521" s="2" t="s">
        <v>100</v>
      </c>
      <c r="Y521" s="2" t="s">
        <v>240</v>
      </c>
      <c r="Z521" s="4">
        <v>117</v>
      </c>
      <c r="AA521" s="4">
        <f>=ROUNDDOWN(58.5,0)</f>
      </c>
      <c r="AB521" s="5">
        <v>2</v>
      </c>
      <c r="AC521" s="2" t="s">
        <v>100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>
        <v>2</v>
      </c>
      <c r="AQ521" s="8">
        <v>132.2</v>
      </c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0.3438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53</v>
      </c>
      <c r="BK521" s="8">
        <v>3781.39</v>
      </c>
      <c r="BL521" s="2" t="s">
        <v>2183</v>
      </c>
      <c r="BM521" s="7">
        <v>0.0377</v>
      </c>
      <c r="BN521" s="7">
        <v>0.035</v>
      </c>
      <c r="BO521" s="4">
        <v>2</v>
      </c>
      <c r="BP521" s="8">
        <v>132.2</v>
      </c>
      <c r="BQ521" s="4"/>
      <c r="BR521" s="8"/>
      <c r="BS521" s="7"/>
      <c r="BT521" s="7"/>
      <c r="BU521" s="2" t="s">
        <v>109</v>
      </c>
      <c r="BV521" s="2" t="s">
        <v>110</v>
      </c>
      <c r="BW521" s="2" t="s">
        <v>328</v>
      </c>
      <c r="BX521" s="2" t="s">
        <v>2184</v>
      </c>
      <c r="BY521" s="2" t="s">
        <v>113</v>
      </c>
      <c r="BZ521" s="2" t="s">
        <v>100</v>
      </c>
    </row>
    <row r="522">
      <c r="A522" s="2" t="s">
        <v>2185</v>
      </c>
      <c r="B522" s="2" t="s">
        <v>87</v>
      </c>
      <c r="C522" s="2" t="s">
        <v>1867</v>
      </c>
      <c r="D522" s="2" t="s">
        <v>89</v>
      </c>
      <c r="E522" s="2" t="s">
        <v>1475</v>
      </c>
      <c r="F522" s="2" t="s">
        <v>2050</v>
      </c>
      <c r="G522" s="2" t="s">
        <v>2051</v>
      </c>
      <c r="H522" s="2" t="s">
        <v>2052</v>
      </c>
      <c r="I522" s="2" t="s">
        <v>2186</v>
      </c>
      <c r="J522" s="2" t="s">
        <v>1936</v>
      </c>
      <c r="K522" s="2" t="s">
        <v>96</v>
      </c>
      <c r="L522" s="3">
        <v>46.28</v>
      </c>
      <c r="M522" s="3">
        <v>48.59</v>
      </c>
      <c r="N522" s="3">
        <v>89</v>
      </c>
      <c r="O522" s="2" t="s">
        <v>97</v>
      </c>
      <c r="P522" s="2" t="s">
        <v>119</v>
      </c>
      <c r="Q522" s="2" t="s">
        <v>99</v>
      </c>
      <c r="R522" s="2" t="s">
        <v>100</v>
      </c>
      <c r="S522" s="2" t="s">
        <v>2053</v>
      </c>
      <c r="T522" s="2" t="s">
        <v>100</v>
      </c>
      <c r="U522" s="2" t="s">
        <v>102</v>
      </c>
      <c r="V522" s="2" t="s">
        <v>350</v>
      </c>
      <c r="W522" s="2" t="s">
        <v>561</v>
      </c>
      <c r="X522" s="2" t="s">
        <v>100</v>
      </c>
      <c r="Y522" s="2" t="s">
        <v>2187</v>
      </c>
      <c r="Z522" s="4">
        <v>142</v>
      </c>
      <c r="AA522" s="4">
        <f>=ROUNDDOWN(47.3333333333333,0)</f>
      </c>
      <c r="AB522" s="5">
        <v>3</v>
      </c>
      <c r="AC522" s="2" t="s">
        <v>107</v>
      </c>
      <c r="AD522" s="4">
        <v>20</v>
      </c>
      <c r="AE522" s="4">
        <v>76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>
        <v>1</v>
      </c>
      <c r="AW522" s="8">
        <v>60.13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>
        <v>0.1352</v>
      </c>
      <c r="BJ522" s="4">
        <v>75</v>
      </c>
      <c r="BK522" s="8">
        <v>3793.69</v>
      </c>
      <c r="BL522" s="2" t="s">
        <v>2188</v>
      </c>
      <c r="BM522" s="7"/>
      <c r="BN522" s="7"/>
      <c r="BO522" s="4"/>
      <c r="BP522" s="8"/>
      <c r="BQ522" s="4"/>
      <c r="BR522" s="8"/>
      <c r="BS522" s="7"/>
      <c r="BT522" s="7"/>
      <c r="BU522" s="2" t="s">
        <v>109</v>
      </c>
      <c r="BV522" s="2" t="s">
        <v>97</v>
      </c>
      <c r="BW522" s="2" t="s">
        <v>150</v>
      </c>
      <c r="BX522" s="2" t="s">
        <v>2189</v>
      </c>
      <c r="BY522" s="2" t="s">
        <v>113</v>
      </c>
      <c r="BZ522" s="2" t="s">
        <v>100</v>
      </c>
    </row>
    <row r="523">
      <c r="A523" s="2" t="s">
        <v>2190</v>
      </c>
      <c r="B523" s="2" t="s">
        <v>87</v>
      </c>
      <c r="C523" s="2" t="s">
        <v>1867</v>
      </c>
      <c r="D523" s="2" t="s">
        <v>89</v>
      </c>
      <c r="E523" s="2" t="s">
        <v>1475</v>
      </c>
      <c r="F523" s="2" t="s">
        <v>2050</v>
      </c>
      <c r="G523" s="2" t="s">
        <v>2051</v>
      </c>
      <c r="H523" s="2" t="s">
        <v>2052</v>
      </c>
      <c r="I523" s="2" t="s">
        <v>2176</v>
      </c>
      <c r="J523" s="2" t="s">
        <v>717</v>
      </c>
      <c r="K523" s="2" t="s">
        <v>96</v>
      </c>
      <c r="L523" s="3">
        <v>54.45</v>
      </c>
      <c r="M523" s="3">
        <v>57.17</v>
      </c>
      <c r="N523" s="3">
        <v>99</v>
      </c>
      <c r="O523" s="2" t="s">
        <v>97</v>
      </c>
      <c r="P523" s="2" t="s">
        <v>119</v>
      </c>
      <c r="Q523" s="2" t="s">
        <v>99</v>
      </c>
      <c r="R523" s="2" t="s">
        <v>100</v>
      </c>
      <c r="S523" s="2" t="s">
        <v>2053</v>
      </c>
      <c r="T523" s="2" t="s">
        <v>100</v>
      </c>
      <c r="U523" s="2" t="s">
        <v>833</v>
      </c>
      <c r="V523" s="2" t="s">
        <v>350</v>
      </c>
      <c r="W523" s="2" t="s">
        <v>561</v>
      </c>
      <c r="X523" s="2" t="s">
        <v>100</v>
      </c>
      <c r="Y523" s="2" t="s">
        <v>2187</v>
      </c>
      <c r="Z523" s="4">
        <v>177</v>
      </c>
      <c r="AA523" s="4">
        <f>=ROUNDDOWN(44.25,0)</f>
      </c>
      <c r="AB523" s="5">
        <v>4</v>
      </c>
      <c r="AC523" s="2" t="s">
        <v>107</v>
      </c>
      <c r="AD523" s="4">
        <v>17</v>
      </c>
      <c r="AE523" s="4">
        <v>56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60</v>
      </c>
      <c r="BK523" s="8">
        <v>3405.88</v>
      </c>
      <c r="BL523" s="2" t="s">
        <v>2191</v>
      </c>
      <c r="BM523" s="7"/>
      <c r="BN523" s="7"/>
      <c r="BO523" s="4"/>
      <c r="BP523" s="8"/>
      <c r="BQ523" s="4"/>
      <c r="BR523" s="8"/>
      <c r="BS523" s="7"/>
      <c r="BT523" s="7"/>
      <c r="BU523" s="2" t="s">
        <v>109</v>
      </c>
      <c r="BV523" s="2" t="s">
        <v>97</v>
      </c>
      <c r="BW523" s="2" t="s">
        <v>150</v>
      </c>
      <c r="BX523" s="2" t="s">
        <v>2192</v>
      </c>
      <c r="BY523" s="2" t="s">
        <v>113</v>
      </c>
      <c r="BZ523" s="2" t="s">
        <v>100</v>
      </c>
    </row>
    <row r="524">
      <c r="A524" s="2" t="s">
        <v>2193</v>
      </c>
      <c r="B524" s="2" t="s">
        <v>87</v>
      </c>
      <c r="C524" s="2" t="s">
        <v>1867</v>
      </c>
      <c r="D524" s="2" t="s">
        <v>89</v>
      </c>
      <c r="E524" s="2" t="s">
        <v>1475</v>
      </c>
      <c r="F524" s="2" t="s">
        <v>2050</v>
      </c>
      <c r="G524" s="2" t="s">
        <v>2051</v>
      </c>
      <c r="H524" s="2" t="s">
        <v>2052</v>
      </c>
      <c r="I524" s="2" t="s">
        <v>2176</v>
      </c>
      <c r="J524" s="2" t="s">
        <v>706</v>
      </c>
      <c r="K524" s="2" t="s">
        <v>96</v>
      </c>
      <c r="L524" s="3">
        <v>59.95</v>
      </c>
      <c r="M524" s="3">
        <v>62.95</v>
      </c>
      <c r="N524" s="3">
        <v>109</v>
      </c>
      <c r="O524" s="2" t="s">
        <v>97</v>
      </c>
      <c r="P524" s="2" t="s">
        <v>119</v>
      </c>
      <c r="Q524" s="2" t="s">
        <v>99</v>
      </c>
      <c r="R524" s="2" t="s">
        <v>100</v>
      </c>
      <c r="S524" s="2" t="s">
        <v>2053</v>
      </c>
      <c r="T524" s="2" t="s">
        <v>100</v>
      </c>
      <c r="U524" s="2" t="s">
        <v>833</v>
      </c>
      <c r="V524" s="2" t="s">
        <v>350</v>
      </c>
      <c r="W524" s="2" t="s">
        <v>561</v>
      </c>
      <c r="X524" s="2" t="s">
        <v>100</v>
      </c>
      <c r="Y524" s="2" t="s">
        <v>2187</v>
      </c>
      <c r="Z524" s="4">
        <v>445</v>
      </c>
      <c r="AA524" s="4">
        <f>=ROUNDDOWN(49.4444444444444,0)</f>
      </c>
      <c r="AB524" s="5">
        <v>9</v>
      </c>
      <c r="AC524" s="2" t="s">
        <v>107</v>
      </c>
      <c r="AD524" s="4">
        <v>59</v>
      </c>
      <c r="AE524" s="4">
        <v>59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>
        <v>1</v>
      </c>
      <c r="AQ524" s="8">
        <v>60.13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1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251</v>
      </c>
      <c r="BK524" s="8">
        <v>16090.8</v>
      </c>
      <c r="BL524" s="2" t="s">
        <v>2194</v>
      </c>
      <c r="BM524" s="7">
        <v>0.004</v>
      </c>
      <c r="BN524" s="7">
        <v>0.0037</v>
      </c>
      <c r="BO524" s="4">
        <v>1</v>
      </c>
      <c r="BP524" s="8">
        <v>60.13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150</v>
      </c>
      <c r="BX524" s="2" t="s">
        <v>2195</v>
      </c>
      <c r="BY524" s="2" t="s">
        <v>113</v>
      </c>
      <c r="BZ524" s="2" t="s">
        <v>100</v>
      </c>
    </row>
    <row r="525">
      <c r="A525" s="2" t="s">
        <v>2196</v>
      </c>
      <c r="B525" s="2" t="s">
        <v>87</v>
      </c>
      <c r="C525" s="2" t="s">
        <v>1867</v>
      </c>
      <c r="D525" s="2" t="s">
        <v>89</v>
      </c>
      <c r="E525" s="2" t="s">
        <v>1475</v>
      </c>
      <c r="F525" s="2" t="s">
        <v>2050</v>
      </c>
      <c r="G525" s="2" t="s">
        <v>2051</v>
      </c>
      <c r="H525" s="2" t="s">
        <v>2052</v>
      </c>
      <c r="I525" s="2" t="s">
        <v>2176</v>
      </c>
      <c r="J525" s="2" t="s">
        <v>714</v>
      </c>
      <c r="K525" s="2" t="s">
        <v>96</v>
      </c>
      <c r="L525" s="3">
        <v>65.45</v>
      </c>
      <c r="M525" s="3">
        <v>68.72</v>
      </c>
      <c r="N525" s="3">
        <v>119</v>
      </c>
      <c r="O525" s="2" t="s">
        <v>97</v>
      </c>
      <c r="P525" s="2" t="s">
        <v>119</v>
      </c>
      <c r="Q525" s="2" t="s">
        <v>99</v>
      </c>
      <c r="R525" s="2" t="s">
        <v>100</v>
      </c>
      <c r="S525" s="2" t="s">
        <v>2053</v>
      </c>
      <c r="T525" s="2" t="s">
        <v>100</v>
      </c>
      <c r="U525" s="2" t="s">
        <v>833</v>
      </c>
      <c r="V525" s="2" t="s">
        <v>350</v>
      </c>
      <c r="W525" s="2" t="s">
        <v>561</v>
      </c>
      <c r="X525" s="2" t="s">
        <v>100</v>
      </c>
      <c r="Y525" s="2" t="s">
        <v>2187</v>
      </c>
      <c r="Z525" s="4">
        <v>309</v>
      </c>
      <c r="AA525" s="4">
        <f>=ROUNDDOWN(44.1428571428571,0)</f>
      </c>
      <c r="AB525" s="5">
        <v>7</v>
      </c>
      <c r="AC525" s="2" t="s">
        <v>107</v>
      </c>
      <c r="AD525" s="4">
        <v>21</v>
      </c>
      <c r="AE525" s="4">
        <v>51</v>
      </c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 t="s">
        <v>100</v>
      </c>
      <c r="BJ525" s="4">
        <v>184</v>
      </c>
      <c r="BK525" s="8">
        <v>12911.33</v>
      </c>
      <c r="BL525" s="2" t="s">
        <v>2197</v>
      </c>
      <c r="BM525" s="7"/>
      <c r="BN525" s="7"/>
      <c r="BO525" s="4"/>
      <c r="BP525" s="8"/>
      <c r="BQ525" s="4"/>
      <c r="BR525" s="8"/>
      <c r="BS525" s="7"/>
      <c r="BT525" s="7"/>
      <c r="BU525" s="2" t="s">
        <v>109</v>
      </c>
      <c r="BV525" s="2" t="s">
        <v>97</v>
      </c>
      <c r="BW525" s="2" t="s">
        <v>150</v>
      </c>
      <c r="BX525" s="2" t="s">
        <v>2198</v>
      </c>
      <c r="BY525" s="2" t="s">
        <v>113</v>
      </c>
      <c r="BZ525" s="2" t="s">
        <v>100</v>
      </c>
    </row>
    <row r="526">
      <c r="A526" s="2" t="s">
        <v>2199</v>
      </c>
      <c r="B526" s="2" t="s">
        <v>87</v>
      </c>
      <c r="C526" s="2" t="s">
        <v>1867</v>
      </c>
      <c r="D526" s="2" t="s">
        <v>89</v>
      </c>
      <c r="E526" s="2" t="s">
        <v>1475</v>
      </c>
      <c r="F526" s="2" t="s">
        <v>2050</v>
      </c>
      <c r="G526" s="2" t="s">
        <v>2051</v>
      </c>
      <c r="H526" s="2" t="s">
        <v>2052</v>
      </c>
      <c r="I526" s="2" t="s">
        <v>2176</v>
      </c>
      <c r="J526" s="2" t="s">
        <v>817</v>
      </c>
      <c r="K526" s="2" t="s">
        <v>96</v>
      </c>
      <c r="L526" s="3">
        <v>65.45</v>
      </c>
      <c r="M526" s="3">
        <v>68.72</v>
      </c>
      <c r="N526" s="3">
        <v>119</v>
      </c>
      <c r="O526" s="2" t="s">
        <v>97</v>
      </c>
      <c r="P526" s="2" t="s">
        <v>119</v>
      </c>
      <c r="Q526" s="2" t="s">
        <v>99</v>
      </c>
      <c r="R526" s="2" t="s">
        <v>100</v>
      </c>
      <c r="S526" s="2" t="s">
        <v>2053</v>
      </c>
      <c r="T526" s="2" t="s">
        <v>100</v>
      </c>
      <c r="U526" s="2" t="s">
        <v>833</v>
      </c>
      <c r="V526" s="2" t="s">
        <v>350</v>
      </c>
      <c r="W526" s="2" t="s">
        <v>561</v>
      </c>
      <c r="X526" s="2" t="s">
        <v>100</v>
      </c>
      <c r="Y526" s="2" t="s">
        <v>2187</v>
      </c>
      <c r="Z526" s="4">
        <v>208</v>
      </c>
      <c r="AA526" s="4">
        <f>=ROUNDDOWN(52,0)</f>
      </c>
      <c r="AB526" s="5">
        <v>4</v>
      </c>
      <c r="AC526" s="2" t="s">
        <v>266</v>
      </c>
      <c r="AD526" s="4">
        <v>15</v>
      </c>
      <c r="AE526" s="4">
        <v>15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79</v>
      </c>
      <c r="BK526" s="8">
        <v>5413.6</v>
      </c>
      <c r="BL526" s="2" t="s">
        <v>2200</v>
      </c>
      <c r="BM526" s="7"/>
      <c r="BN526" s="7"/>
      <c r="BO526" s="4"/>
      <c r="BP526" s="8"/>
      <c r="BQ526" s="4"/>
      <c r="BR526" s="8"/>
      <c r="BS526" s="7"/>
      <c r="BT526" s="7"/>
      <c r="BU526" s="2" t="s">
        <v>109</v>
      </c>
      <c r="BV526" s="2" t="s">
        <v>97</v>
      </c>
      <c r="BW526" s="2" t="s">
        <v>2201</v>
      </c>
      <c r="BX526" s="2" t="s">
        <v>1950</v>
      </c>
      <c r="BY526" s="2" t="s">
        <v>113</v>
      </c>
      <c r="BZ526" s="2" t="s">
        <v>100</v>
      </c>
    </row>
    <row r="527">
      <c r="A527" s="2" t="s">
        <v>2202</v>
      </c>
      <c r="B527" s="2" t="s">
        <v>87</v>
      </c>
      <c r="C527" s="2" t="s">
        <v>1867</v>
      </c>
      <c r="D527" s="2" t="s">
        <v>89</v>
      </c>
      <c r="E527" s="2" t="s">
        <v>1475</v>
      </c>
      <c r="F527" s="2" t="s">
        <v>1975</v>
      </c>
      <c r="G527" s="2" t="s">
        <v>1976</v>
      </c>
      <c r="H527" s="2" t="s">
        <v>1977</v>
      </c>
      <c r="I527" s="2" t="s">
        <v>2186</v>
      </c>
      <c r="J527" s="2" t="s">
        <v>1936</v>
      </c>
      <c r="K527" s="2" t="s">
        <v>198</v>
      </c>
      <c r="L527" s="3">
        <v>47.17</v>
      </c>
      <c r="M527" s="3">
        <v>49.53</v>
      </c>
      <c r="N527" s="3">
        <v>89</v>
      </c>
      <c r="O527" s="2" t="s">
        <v>97</v>
      </c>
      <c r="P527" s="2" t="s">
        <v>119</v>
      </c>
      <c r="Q527" s="2" t="s">
        <v>99</v>
      </c>
      <c r="R527" s="2" t="s">
        <v>100</v>
      </c>
      <c r="S527" s="2" t="s">
        <v>2203</v>
      </c>
      <c r="T527" s="2" t="s">
        <v>100</v>
      </c>
      <c r="U527" s="2" t="s">
        <v>102</v>
      </c>
      <c r="V527" s="2" t="s">
        <v>403</v>
      </c>
      <c r="W527" s="2" t="s">
        <v>561</v>
      </c>
      <c r="X527" s="2" t="s">
        <v>100</v>
      </c>
      <c r="Y527" s="2" t="s">
        <v>240</v>
      </c>
      <c r="Z527" s="4">
        <v>93</v>
      </c>
      <c r="AA527" s="4">
        <f>=ROUNDDOWN(31,0)</f>
      </c>
      <c r="AB527" s="5">
        <v>3</v>
      </c>
      <c r="AC527" s="2" t="s">
        <v>1457</v>
      </c>
      <c r="AD527" s="4">
        <v>30</v>
      </c>
      <c r="AE527" s="4">
        <v>30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1</v>
      </c>
      <c r="AQ527" s="8">
        <v>49.27</v>
      </c>
      <c r="AR527" s="4"/>
      <c r="AS527" s="8"/>
      <c r="AT527" s="7"/>
      <c r="AU527" s="7"/>
      <c r="AV527" s="4">
        <v>3</v>
      </c>
      <c r="AW527" s="8">
        <v>179.11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0.2751</v>
      </c>
      <c r="BC527" s="4">
        <v>3</v>
      </c>
      <c r="BD527" s="8">
        <v>179.11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1</v>
      </c>
      <c r="BJ527" s="4">
        <v>57</v>
      </c>
      <c r="BK527" s="8">
        <v>2692.27</v>
      </c>
      <c r="BL527" s="2" t="s">
        <v>2204</v>
      </c>
      <c r="BM527" s="7">
        <v>0.0175</v>
      </c>
      <c r="BN527" s="7">
        <v>0.0183</v>
      </c>
      <c r="BO527" s="4">
        <v>1</v>
      </c>
      <c r="BP527" s="8">
        <v>49.27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470</v>
      </c>
      <c r="BX527" s="2" t="s">
        <v>2205</v>
      </c>
      <c r="BY527" s="2" t="s">
        <v>113</v>
      </c>
      <c r="BZ527" s="2" t="s">
        <v>100</v>
      </c>
    </row>
    <row r="528">
      <c r="A528" s="2" t="s">
        <v>2206</v>
      </c>
      <c r="B528" s="2" t="s">
        <v>87</v>
      </c>
      <c r="C528" s="2" t="s">
        <v>1867</v>
      </c>
      <c r="D528" s="2" t="s">
        <v>89</v>
      </c>
      <c r="E528" s="2" t="s">
        <v>1475</v>
      </c>
      <c r="F528" s="2" t="s">
        <v>1975</v>
      </c>
      <c r="G528" s="2" t="s">
        <v>1976</v>
      </c>
      <c r="H528" s="2" t="s">
        <v>1977</v>
      </c>
      <c r="I528" s="2" t="s">
        <v>2176</v>
      </c>
      <c r="J528" s="2" t="s">
        <v>717</v>
      </c>
      <c r="K528" s="2" t="s">
        <v>198</v>
      </c>
      <c r="L528" s="3">
        <v>54.45</v>
      </c>
      <c r="M528" s="3">
        <v>57.17</v>
      </c>
      <c r="N528" s="3">
        <v>99</v>
      </c>
      <c r="O528" s="2" t="s">
        <v>97</v>
      </c>
      <c r="P528" s="2" t="s">
        <v>119</v>
      </c>
      <c r="Q528" s="2" t="s">
        <v>99</v>
      </c>
      <c r="R528" s="2" t="s">
        <v>100</v>
      </c>
      <c r="S528" s="2" t="s">
        <v>2203</v>
      </c>
      <c r="T528" s="2" t="s">
        <v>100</v>
      </c>
      <c r="U528" s="2" t="s">
        <v>833</v>
      </c>
      <c r="V528" s="2" t="s">
        <v>403</v>
      </c>
      <c r="W528" s="2" t="s">
        <v>561</v>
      </c>
      <c r="X528" s="2" t="s">
        <v>100</v>
      </c>
      <c r="Y528" s="2" t="s">
        <v>240</v>
      </c>
      <c r="Z528" s="4">
        <v>131</v>
      </c>
      <c r="AA528" s="4">
        <f>=ROUNDDOWN(43.6666666666667,0)</f>
      </c>
      <c r="AB528" s="5">
        <v>3</v>
      </c>
      <c r="AC528" s="2" t="s">
        <v>100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72</v>
      </c>
      <c r="BK528" s="8">
        <v>3717.88</v>
      </c>
      <c r="BL528" s="2" t="s">
        <v>492</v>
      </c>
      <c r="BM528" s="7"/>
      <c r="BN528" s="7"/>
      <c r="BO528" s="4"/>
      <c r="BP528" s="8"/>
      <c r="BQ528" s="4"/>
      <c r="BR528" s="8"/>
      <c r="BS528" s="7"/>
      <c r="BT528" s="7"/>
      <c r="BU528" s="2" t="s">
        <v>109</v>
      </c>
      <c r="BV528" s="2" t="s">
        <v>97</v>
      </c>
      <c r="BW528" s="2" t="s">
        <v>111</v>
      </c>
      <c r="BX528" s="2" t="s">
        <v>620</v>
      </c>
      <c r="BY528" s="2" t="s">
        <v>113</v>
      </c>
      <c r="BZ528" s="2" t="s">
        <v>100</v>
      </c>
    </row>
    <row r="529">
      <c r="A529" s="2" t="s">
        <v>2207</v>
      </c>
      <c r="B529" s="2" t="s">
        <v>87</v>
      </c>
      <c r="C529" s="2" t="s">
        <v>1867</v>
      </c>
      <c r="D529" s="2" t="s">
        <v>89</v>
      </c>
      <c r="E529" s="2" t="s">
        <v>1475</v>
      </c>
      <c r="F529" s="2" t="s">
        <v>1975</v>
      </c>
      <c r="G529" s="2" t="s">
        <v>1976</v>
      </c>
      <c r="H529" s="2" t="s">
        <v>1977</v>
      </c>
      <c r="I529" s="2" t="s">
        <v>2176</v>
      </c>
      <c r="J529" s="2" t="s">
        <v>706</v>
      </c>
      <c r="K529" s="2" t="s">
        <v>198</v>
      </c>
      <c r="L529" s="3">
        <v>59.95</v>
      </c>
      <c r="M529" s="3">
        <v>62.95</v>
      </c>
      <c r="N529" s="3">
        <v>109</v>
      </c>
      <c r="O529" s="2" t="s">
        <v>97</v>
      </c>
      <c r="P529" s="2" t="s">
        <v>119</v>
      </c>
      <c r="Q529" s="2" t="s">
        <v>99</v>
      </c>
      <c r="R529" s="2" t="s">
        <v>100</v>
      </c>
      <c r="S529" s="2" t="s">
        <v>2203</v>
      </c>
      <c r="T529" s="2" t="s">
        <v>100</v>
      </c>
      <c r="U529" s="2" t="s">
        <v>833</v>
      </c>
      <c r="V529" s="2" t="s">
        <v>403</v>
      </c>
      <c r="W529" s="2" t="s">
        <v>561</v>
      </c>
      <c r="X529" s="2" t="s">
        <v>100</v>
      </c>
      <c r="Y529" s="2" t="s">
        <v>240</v>
      </c>
      <c r="Z529" s="4">
        <v>174</v>
      </c>
      <c r="AA529" s="4">
        <f>=ROUNDDOWN(21.75,0)</f>
      </c>
      <c r="AB529" s="5">
        <v>8</v>
      </c>
      <c r="AC529" s="2" t="s">
        <v>1457</v>
      </c>
      <c r="AD529" s="4">
        <v>100</v>
      </c>
      <c r="AE529" s="4">
        <v>100</v>
      </c>
      <c r="AF529" s="6">
        <v>65</v>
      </c>
      <c r="AG529" s="6"/>
      <c r="AH529" s="7">
        <v>0.8984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>
        <v>1</v>
      </c>
      <c r="AQ529" s="8">
        <v>61.85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0.3453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199</v>
      </c>
      <c r="BK529" s="8">
        <v>12136.16</v>
      </c>
      <c r="BL529" s="2" t="s">
        <v>1703</v>
      </c>
      <c r="BM529" s="7">
        <v>0.005</v>
      </c>
      <c r="BN529" s="7">
        <v>0.0051</v>
      </c>
      <c r="BO529" s="4">
        <v>1</v>
      </c>
      <c r="BP529" s="8">
        <v>61.85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111</v>
      </c>
      <c r="BX529" s="2" t="s">
        <v>2208</v>
      </c>
      <c r="BY529" s="2" t="s">
        <v>113</v>
      </c>
      <c r="BZ529" s="2" t="s">
        <v>100</v>
      </c>
    </row>
    <row r="530">
      <c r="A530" s="2" t="s">
        <v>2209</v>
      </c>
      <c r="B530" s="2" t="s">
        <v>87</v>
      </c>
      <c r="C530" s="2" t="s">
        <v>1867</v>
      </c>
      <c r="D530" s="2" t="s">
        <v>89</v>
      </c>
      <c r="E530" s="2" t="s">
        <v>1475</v>
      </c>
      <c r="F530" s="2" t="s">
        <v>1975</v>
      </c>
      <c r="G530" s="2" t="s">
        <v>1976</v>
      </c>
      <c r="H530" s="2" t="s">
        <v>1977</v>
      </c>
      <c r="I530" s="2" t="s">
        <v>2176</v>
      </c>
      <c r="J530" s="2" t="s">
        <v>714</v>
      </c>
      <c r="K530" s="2" t="s">
        <v>198</v>
      </c>
      <c r="L530" s="3">
        <v>65.45</v>
      </c>
      <c r="M530" s="3">
        <v>68.72</v>
      </c>
      <c r="N530" s="3">
        <v>119</v>
      </c>
      <c r="O530" s="2" t="s">
        <v>97</v>
      </c>
      <c r="P530" s="2" t="s">
        <v>119</v>
      </c>
      <c r="Q530" s="2" t="s">
        <v>99</v>
      </c>
      <c r="R530" s="2" t="s">
        <v>100</v>
      </c>
      <c r="S530" s="2" t="s">
        <v>2203</v>
      </c>
      <c r="T530" s="2" t="s">
        <v>100</v>
      </c>
      <c r="U530" s="2" t="s">
        <v>833</v>
      </c>
      <c r="V530" s="2" t="s">
        <v>403</v>
      </c>
      <c r="W530" s="2" t="s">
        <v>561</v>
      </c>
      <c r="X530" s="2" t="s">
        <v>100</v>
      </c>
      <c r="Y530" s="2" t="s">
        <v>240</v>
      </c>
      <c r="Z530" s="4">
        <v>159</v>
      </c>
      <c r="AA530" s="4">
        <f>=ROUNDDOWN(22.7142857142857,0)</f>
      </c>
      <c r="AB530" s="5">
        <v>7</v>
      </c>
      <c r="AC530" s="2" t="s">
        <v>241</v>
      </c>
      <c r="AD530" s="4">
        <v>350</v>
      </c>
      <c r="AE530" s="4">
        <v>410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>
        <v>1</v>
      </c>
      <c r="AQ530" s="8">
        <v>67.99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0.3796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187</v>
      </c>
      <c r="BK530" s="8">
        <v>12770.43</v>
      </c>
      <c r="BL530" s="2" t="s">
        <v>2210</v>
      </c>
      <c r="BM530" s="7">
        <v>0.0053</v>
      </c>
      <c r="BN530" s="7">
        <v>0.0053</v>
      </c>
      <c r="BO530" s="4">
        <v>1</v>
      </c>
      <c r="BP530" s="8">
        <v>67.99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111</v>
      </c>
      <c r="BX530" s="2" t="s">
        <v>2211</v>
      </c>
      <c r="BY530" s="2" t="s">
        <v>113</v>
      </c>
      <c r="BZ530" s="2" t="s">
        <v>100</v>
      </c>
    </row>
    <row r="531">
      <c r="A531" s="2" t="s">
        <v>2212</v>
      </c>
      <c r="B531" s="2" t="s">
        <v>87</v>
      </c>
      <c r="C531" s="2" t="s">
        <v>2213</v>
      </c>
      <c r="D531" s="2" t="s">
        <v>89</v>
      </c>
      <c r="E531" s="2" t="s">
        <v>691</v>
      </c>
      <c r="F531" s="2" t="s">
        <v>2214</v>
      </c>
      <c r="G531" s="2" t="s">
        <v>2215</v>
      </c>
      <c r="H531" s="2" t="s">
        <v>2216</v>
      </c>
      <c r="I531" s="2" t="s">
        <v>730</v>
      </c>
      <c r="J531" s="2" t="s">
        <v>247</v>
      </c>
      <c r="K531" s="2" t="s">
        <v>604</v>
      </c>
      <c r="L531" s="3">
        <v>32</v>
      </c>
      <c r="M531" s="3">
        <v>33.6</v>
      </c>
      <c r="N531" s="3">
        <v>79.99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2217</v>
      </c>
      <c r="T531" s="2" t="s">
        <v>218</v>
      </c>
      <c r="U531" s="2" t="s">
        <v>480</v>
      </c>
      <c r="V531" s="2" t="s">
        <v>146</v>
      </c>
      <c r="W531" s="2" t="s">
        <v>309</v>
      </c>
      <c r="X531" s="2" t="s">
        <v>100</v>
      </c>
      <c r="Y531" s="2" t="s">
        <v>2218</v>
      </c>
      <c r="Z531" s="4">
        <v>828</v>
      </c>
      <c r="AA531" s="4">
        <f>=ROUNDDOWN(43.578947368421,0)</f>
      </c>
      <c r="AB531" s="5">
        <v>19</v>
      </c>
      <c r="AC531" s="2" t="s">
        <v>100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>
        <v>21</v>
      </c>
      <c r="AQ531" s="8">
        <v>685.86</v>
      </c>
      <c r="AR531" s="4"/>
      <c r="AS531" s="8"/>
      <c r="AT531" s="7"/>
      <c r="AU531" s="7"/>
      <c r="AV531" s="4">
        <v>44</v>
      </c>
      <c r="AW531" s="8">
        <v>1562.16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0.439</v>
      </c>
      <c r="BC531" s="4">
        <v>60</v>
      </c>
      <c r="BD531" s="8">
        <v>2084.72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0.7493</v>
      </c>
      <c r="BJ531" s="4">
        <v>521</v>
      </c>
      <c r="BK531" s="8">
        <v>17757.6</v>
      </c>
      <c r="BL531" s="2" t="s">
        <v>2219</v>
      </c>
      <c r="BM531" s="7">
        <v>0.0403</v>
      </c>
      <c r="BN531" s="7">
        <v>0.0386</v>
      </c>
      <c r="BO531" s="4">
        <v>21</v>
      </c>
      <c r="BP531" s="8">
        <v>685.86</v>
      </c>
      <c r="BQ531" s="4"/>
      <c r="BR531" s="8"/>
      <c r="BS531" s="7"/>
      <c r="BT531" s="7"/>
      <c r="BU531" s="2" t="s">
        <v>109</v>
      </c>
      <c r="BV531" s="2" t="s">
        <v>110</v>
      </c>
      <c r="BW531" s="2" t="s">
        <v>2220</v>
      </c>
      <c r="BX531" s="2" t="s">
        <v>2198</v>
      </c>
      <c r="BY531" s="2" t="s">
        <v>113</v>
      </c>
      <c r="BZ531" s="2" t="s">
        <v>100</v>
      </c>
    </row>
    <row r="532">
      <c r="A532" s="2" t="s">
        <v>2221</v>
      </c>
      <c r="B532" s="2" t="s">
        <v>87</v>
      </c>
      <c r="C532" s="2" t="s">
        <v>2213</v>
      </c>
      <c r="D532" s="2" t="s">
        <v>89</v>
      </c>
      <c r="E532" s="2" t="s">
        <v>691</v>
      </c>
      <c r="F532" s="2" t="s">
        <v>2214</v>
      </c>
      <c r="G532" s="2" t="s">
        <v>2215</v>
      </c>
      <c r="H532" s="2" t="s">
        <v>2216</v>
      </c>
      <c r="I532" s="2" t="s">
        <v>730</v>
      </c>
      <c r="J532" s="2" t="s">
        <v>270</v>
      </c>
      <c r="K532" s="2" t="s">
        <v>604</v>
      </c>
      <c r="L532" s="3">
        <v>37.8</v>
      </c>
      <c r="M532" s="3">
        <v>39.69</v>
      </c>
      <c r="N532" s="3">
        <v>89.99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2217</v>
      </c>
      <c r="T532" s="2" t="s">
        <v>218</v>
      </c>
      <c r="U532" s="2" t="s">
        <v>480</v>
      </c>
      <c r="V532" s="2" t="s">
        <v>146</v>
      </c>
      <c r="W532" s="2" t="s">
        <v>309</v>
      </c>
      <c r="X532" s="2" t="s">
        <v>100</v>
      </c>
      <c r="Y532" s="2" t="s">
        <v>2218</v>
      </c>
      <c r="Z532" s="4">
        <v>1056</v>
      </c>
      <c r="AA532" s="4">
        <f>=ROUNDDOWN(30.1714285714286,0)</f>
      </c>
      <c r="AB532" s="5">
        <v>35</v>
      </c>
      <c r="AC532" s="2" t="s">
        <v>271</v>
      </c>
      <c r="AD532" s="4">
        <v>230</v>
      </c>
      <c r="AE532" s="4">
        <v>660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>
        <v>23</v>
      </c>
      <c r="AQ532" s="8">
        <v>876.3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0.561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855</v>
      </c>
      <c r="BK532" s="8">
        <v>33259.69</v>
      </c>
      <c r="BL532" s="2" t="s">
        <v>2222</v>
      </c>
      <c r="BM532" s="7">
        <v>0.0269</v>
      </c>
      <c r="BN532" s="7">
        <v>0.0263</v>
      </c>
      <c r="BO532" s="4">
        <v>23</v>
      </c>
      <c r="BP532" s="8">
        <v>876.3</v>
      </c>
      <c r="BQ532" s="4"/>
      <c r="BR532" s="8"/>
      <c r="BS532" s="7"/>
      <c r="BT532" s="7"/>
      <c r="BU532" s="2" t="s">
        <v>109</v>
      </c>
      <c r="BV532" s="2" t="s">
        <v>110</v>
      </c>
      <c r="BW532" s="2" t="s">
        <v>2223</v>
      </c>
      <c r="BX532" s="2" t="s">
        <v>793</v>
      </c>
      <c r="BY532" s="2" t="s">
        <v>113</v>
      </c>
      <c r="BZ532" s="2" t="s">
        <v>100</v>
      </c>
    </row>
    <row r="533">
      <c r="A533" s="2" t="s">
        <v>2224</v>
      </c>
      <c r="B533" s="2" t="s">
        <v>87</v>
      </c>
      <c r="C533" s="2" t="s">
        <v>2213</v>
      </c>
      <c r="D533" s="2" t="s">
        <v>89</v>
      </c>
      <c r="E533" s="2" t="s">
        <v>691</v>
      </c>
      <c r="F533" s="2" t="s">
        <v>2214</v>
      </c>
      <c r="G533" s="2" t="s">
        <v>2215</v>
      </c>
      <c r="H533" s="2" t="s">
        <v>2216</v>
      </c>
      <c r="I533" s="2" t="s">
        <v>730</v>
      </c>
      <c r="J533" s="2" t="s">
        <v>247</v>
      </c>
      <c r="K533" s="2" t="s">
        <v>512</v>
      </c>
      <c r="L533" s="3">
        <v>32</v>
      </c>
      <c r="M533" s="3">
        <v>33.6</v>
      </c>
      <c r="N533" s="3">
        <v>79.99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2225</v>
      </c>
      <c r="T533" s="2" t="s">
        <v>218</v>
      </c>
      <c r="U533" s="2" t="s">
        <v>480</v>
      </c>
      <c r="V533" s="2" t="s">
        <v>146</v>
      </c>
      <c r="W533" s="2" t="s">
        <v>309</v>
      </c>
      <c r="X533" s="2" t="s">
        <v>100</v>
      </c>
      <c r="Y533" s="2" t="s">
        <v>2218</v>
      </c>
      <c r="Z533" s="4">
        <v>958</v>
      </c>
      <c r="AA533" s="4">
        <f>=ROUNDDOWN(50.421052631579,0)</f>
      </c>
      <c r="AB533" s="5">
        <v>19</v>
      </c>
      <c r="AC533" s="2" t="s">
        <v>271</v>
      </c>
      <c r="AD533" s="4">
        <v>100</v>
      </c>
      <c r="AE533" s="4">
        <v>100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>
        <v>11</v>
      </c>
      <c r="AQ533" s="8">
        <v>359.26</v>
      </c>
      <c r="AR533" s="4"/>
      <c r="AS533" s="8"/>
      <c r="AT533" s="7"/>
      <c r="AU533" s="7"/>
      <c r="AV533" s="4">
        <v>11</v>
      </c>
      <c r="AW533" s="8">
        <v>359.26</v>
      </c>
      <c r="AX533" s="4"/>
      <c r="AY533" s="8"/>
      <c r="AZ533" s="7"/>
      <c r="BA533" s="7"/>
      <c r="BB533" s="7">
        <v>1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0.1723</v>
      </c>
      <c r="BJ533" s="4">
        <v>523</v>
      </c>
      <c r="BK533" s="8">
        <v>17781.48</v>
      </c>
      <c r="BL533" s="2" t="s">
        <v>2226</v>
      </c>
      <c r="BM533" s="7">
        <v>0.021</v>
      </c>
      <c r="BN533" s="7">
        <v>0.0202</v>
      </c>
      <c r="BO533" s="4">
        <v>11</v>
      </c>
      <c r="BP533" s="8">
        <v>359.26</v>
      </c>
      <c r="BQ533" s="4"/>
      <c r="BR533" s="8"/>
      <c r="BS533" s="7"/>
      <c r="BT533" s="7"/>
      <c r="BU533" s="2" t="s">
        <v>109</v>
      </c>
      <c r="BV533" s="2" t="s">
        <v>110</v>
      </c>
      <c r="BW533" s="2" t="s">
        <v>2223</v>
      </c>
      <c r="BX533" s="2" t="s">
        <v>2227</v>
      </c>
      <c r="BY533" s="2" t="s">
        <v>113</v>
      </c>
      <c r="BZ533" s="2" t="s">
        <v>245</v>
      </c>
    </row>
    <row r="534">
      <c r="A534" s="2" t="s">
        <v>2228</v>
      </c>
      <c r="B534" s="2" t="s">
        <v>87</v>
      </c>
      <c r="C534" s="2" t="s">
        <v>2213</v>
      </c>
      <c r="D534" s="2" t="s">
        <v>89</v>
      </c>
      <c r="E534" s="2" t="s">
        <v>691</v>
      </c>
      <c r="F534" s="2" t="s">
        <v>2214</v>
      </c>
      <c r="G534" s="2" t="s">
        <v>2215</v>
      </c>
      <c r="H534" s="2" t="s">
        <v>2216</v>
      </c>
      <c r="I534" s="2" t="s">
        <v>730</v>
      </c>
      <c r="J534" s="2" t="s">
        <v>247</v>
      </c>
      <c r="K534" s="2" t="s">
        <v>144</v>
      </c>
      <c r="L534" s="3">
        <v>32</v>
      </c>
      <c r="M534" s="3">
        <v>33.6</v>
      </c>
      <c r="N534" s="3">
        <v>79.99</v>
      </c>
      <c r="O534" s="2" t="s">
        <v>97</v>
      </c>
      <c r="P534" s="2" t="s">
        <v>98</v>
      </c>
      <c r="Q534" s="2" t="s">
        <v>99</v>
      </c>
      <c r="R534" s="2" t="s">
        <v>100</v>
      </c>
      <c r="S534" s="2" t="s">
        <v>2229</v>
      </c>
      <c r="T534" s="2" t="s">
        <v>218</v>
      </c>
      <c r="U534" s="2" t="s">
        <v>480</v>
      </c>
      <c r="V534" s="2" t="s">
        <v>146</v>
      </c>
      <c r="W534" s="2" t="s">
        <v>309</v>
      </c>
      <c r="X534" s="2" t="s">
        <v>100</v>
      </c>
      <c r="Y534" s="2" t="s">
        <v>2218</v>
      </c>
      <c r="Z534" s="4">
        <v>728</v>
      </c>
      <c r="AA534" s="4">
        <f>=ROUNDDOWN(52,0)</f>
      </c>
      <c r="AB534" s="5">
        <v>14</v>
      </c>
      <c r="AC534" s="2" t="s">
        <v>100</v>
      </c>
      <c r="AD534" s="4"/>
      <c r="AE534" s="4"/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5</v>
      </c>
      <c r="AQ534" s="8">
        <v>163.3</v>
      </c>
      <c r="AR534" s="4"/>
      <c r="AS534" s="8"/>
      <c r="AT534" s="7"/>
      <c r="AU534" s="7"/>
      <c r="AV534" s="4">
        <v>5</v>
      </c>
      <c r="AW534" s="8">
        <v>163.3</v>
      </c>
      <c r="AX534" s="4"/>
      <c r="AY534" s="8"/>
      <c r="AZ534" s="7"/>
      <c r="BA534" s="7"/>
      <c r="BB534" s="7">
        <v>1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>
        <v>0.0783</v>
      </c>
      <c r="BJ534" s="4">
        <v>410</v>
      </c>
      <c r="BK534" s="8">
        <v>13982.12</v>
      </c>
      <c r="BL534" s="2" t="s">
        <v>2230</v>
      </c>
      <c r="BM534" s="7">
        <v>0.0122</v>
      </c>
      <c r="BN534" s="7">
        <v>0.0117</v>
      </c>
      <c r="BO534" s="4">
        <v>5</v>
      </c>
      <c r="BP534" s="8">
        <v>163.3</v>
      </c>
      <c r="BQ534" s="4"/>
      <c r="BR534" s="8"/>
      <c r="BS534" s="7"/>
      <c r="BT534" s="7"/>
      <c r="BU534" s="2" t="s">
        <v>109</v>
      </c>
      <c r="BV534" s="2" t="s">
        <v>110</v>
      </c>
      <c r="BW534" s="2" t="s">
        <v>2223</v>
      </c>
      <c r="BX534" s="2" t="s">
        <v>2231</v>
      </c>
      <c r="BY534" s="2" t="s">
        <v>113</v>
      </c>
      <c r="BZ534" s="2" t="s">
        <v>245</v>
      </c>
    </row>
    <row r="535">
      <c r="A535" s="2" t="s">
        <v>2232</v>
      </c>
      <c r="B535" s="2" t="s">
        <v>87</v>
      </c>
      <c r="C535" s="2" t="s">
        <v>2213</v>
      </c>
      <c r="D535" s="2" t="s">
        <v>89</v>
      </c>
      <c r="E535" s="2" t="s">
        <v>691</v>
      </c>
      <c r="F535" s="2" t="s">
        <v>2214</v>
      </c>
      <c r="G535" s="2" t="s">
        <v>2215</v>
      </c>
      <c r="H535" s="2" t="s">
        <v>2216</v>
      </c>
      <c r="I535" s="2" t="s">
        <v>730</v>
      </c>
      <c r="J535" s="2" t="s">
        <v>247</v>
      </c>
      <c r="K535" s="2" t="s">
        <v>360</v>
      </c>
      <c r="L535" s="3">
        <v>32</v>
      </c>
      <c r="M535" s="3">
        <v>33.6</v>
      </c>
      <c r="N535" s="3">
        <v>79.99</v>
      </c>
      <c r="O535" s="2" t="s">
        <v>97</v>
      </c>
      <c r="P535" s="2" t="s">
        <v>119</v>
      </c>
      <c r="Q535" s="2" t="s">
        <v>99</v>
      </c>
      <c r="R535" s="2" t="s">
        <v>100</v>
      </c>
      <c r="S535" s="2" t="s">
        <v>2233</v>
      </c>
      <c r="T535" s="2" t="s">
        <v>218</v>
      </c>
      <c r="U535" s="2" t="s">
        <v>480</v>
      </c>
      <c r="V535" s="2" t="s">
        <v>146</v>
      </c>
      <c r="W535" s="2" t="s">
        <v>309</v>
      </c>
      <c r="X535" s="2" t="s">
        <v>100</v>
      </c>
      <c r="Y535" s="2" t="s">
        <v>2234</v>
      </c>
      <c r="Z535" s="4">
        <v>504</v>
      </c>
      <c r="AA535" s="4">
        <f>=ROUNDDOWN(33.6,0)</f>
      </c>
      <c r="AB535" s="5">
        <v>15</v>
      </c>
      <c r="AC535" s="2" t="s">
        <v>100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331</v>
      </c>
      <c r="BK535" s="8">
        <v>11278.24</v>
      </c>
      <c r="BL535" s="2" t="s">
        <v>780</v>
      </c>
      <c r="BM535" s="7"/>
      <c r="BN535" s="7"/>
      <c r="BO535" s="4"/>
      <c r="BP535" s="8"/>
      <c r="BQ535" s="4"/>
      <c r="BR535" s="8"/>
      <c r="BS535" s="7"/>
      <c r="BT535" s="7"/>
      <c r="BU535" s="2" t="s">
        <v>207</v>
      </c>
      <c r="BV535" s="2" t="s">
        <v>97</v>
      </c>
      <c r="BW535" s="2" t="s">
        <v>100</v>
      </c>
      <c r="BX535" s="2" t="s">
        <v>100</v>
      </c>
      <c r="BY535" s="2" t="s">
        <v>113</v>
      </c>
      <c r="BZ535" s="2" t="s">
        <v>100</v>
      </c>
    </row>
    <row r="536">
      <c r="A536" s="2" t="s">
        <v>2235</v>
      </c>
      <c r="B536" s="2" t="s">
        <v>87</v>
      </c>
      <c r="C536" s="2" t="s">
        <v>2213</v>
      </c>
      <c r="D536" s="2" t="s">
        <v>89</v>
      </c>
      <c r="E536" s="2" t="s">
        <v>691</v>
      </c>
      <c r="F536" s="2" t="s">
        <v>2214</v>
      </c>
      <c r="G536" s="2" t="s">
        <v>2215</v>
      </c>
      <c r="H536" s="2" t="s">
        <v>2216</v>
      </c>
      <c r="I536" s="2" t="s">
        <v>730</v>
      </c>
      <c r="J536" s="2" t="s">
        <v>270</v>
      </c>
      <c r="K536" s="2" t="s">
        <v>360</v>
      </c>
      <c r="L536" s="3">
        <v>37.8</v>
      </c>
      <c r="M536" s="3">
        <v>39.69</v>
      </c>
      <c r="N536" s="3">
        <v>89.99</v>
      </c>
      <c r="O536" s="2" t="s">
        <v>97</v>
      </c>
      <c r="P536" s="2" t="s">
        <v>119</v>
      </c>
      <c r="Q536" s="2" t="s">
        <v>99</v>
      </c>
      <c r="R536" s="2" t="s">
        <v>100</v>
      </c>
      <c r="S536" s="2" t="s">
        <v>2233</v>
      </c>
      <c r="T536" s="2" t="s">
        <v>218</v>
      </c>
      <c r="U536" s="2" t="s">
        <v>480</v>
      </c>
      <c r="V536" s="2" t="s">
        <v>146</v>
      </c>
      <c r="W536" s="2" t="s">
        <v>309</v>
      </c>
      <c r="X536" s="2" t="s">
        <v>100</v>
      </c>
      <c r="Y536" s="2" t="s">
        <v>2234</v>
      </c>
      <c r="Z536" s="4">
        <v>712</v>
      </c>
      <c r="AA536" s="4">
        <f>=ROUNDDOWN(32.3636363636364,0)</f>
      </c>
      <c r="AB536" s="5">
        <v>22</v>
      </c>
      <c r="AC536" s="2" t="s">
        <v>100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504</v>
      </c>
      <c r="BK536" s="8">
        <v>20029.09</v>
      </c>
      <c r="BL536" s="2" t="s">
        <v>2236</v>
      </c>
      <c r="BM536" s="7"/>
      <c r="BN536" s="7"/>
      <c r="BO536" s="4"/>
      <c r="BP536" s="8"/>
      <c r="BQ536" s="4"/>
      <c r="BR536" s="8"/>
      <c r="BS536" s="7"/>
      <c r="BT536" s="7"/>
      <c r="BU536" s="2" t="s">
        <v>207</v>
      </c>
      <c r="BV536" s="2" t="s">
        <v>97</v>
      </c>
      <c r="BW536" s="2" t="s">
        <v>100</v>
      </c>
      <c r="BX536" s="2" t="s">
        <v>100</v>
      </c>
      <c r="BY536" s="2" t="s">
        <v>113</v>
      </c>
      <c r="BZ536" s="2" t="s">
        <v>100</v>
      </c>
    </row>
    <row r="537">
      <c r="A537" s="2" t="s">
        <v>2237</v>
      </c>
      <c r="B537" s="2" t="s">
        <v>87</v>
      </c>
      <c r="C537" s="2" t="s">
        <v>2213</v>
      </c>
      <c r="D537" s="2" t="s">
        <v>89</v>
      </c>
      <c r="E537" s="2" t="s">
        <v>691</v>
      </c>
      <c r="F537" s="2" t="s">
        <v>2214</v>
      </c>
      <c r="G537" s="2" t="s">
        <v>2215</v>
      </c>
      <c r="H537" s="2" t="s">
        <v>2216</v>
      </c>
      <c r="I537" s="2" t="s">
        <v>730</v>
      </c>
      <c r="J537" s="2" t="s">
        <v>247</v>
      </c>
      <c r="K537" s="2" t="s">
        <v>189</v>
      </c>
      <c r="L537" s="3">
        <v>32</v>
      </c>
      <c r="M537" s="3">
        <v>33.6</v>
      </c>
      <c r="N537" s="3">
        <v>79.99</v>
      </c>
      <c r="O537" s="2" t="s">
        <v>97</v>
      </c>
      <c r="P537" s="2" t="s">
        <v>119</v>
      </c>
      <c r="Q537" s="2" t="s">
        <v>99</v>
      </c>
      <c r="R537" s="2" t="s">
        <v>100</v>
      </c>
      <c r="S537" s="2" t="s">
        <v>2238</v>
      </c>
      <c r="T537" s="2" t="s">
        <v>218</v>
      </c>
      <c r="U537" s="2" t="s">
        <v>480</v>
      </c>
      <c r="V537" s="2" t="s">
        <v>146</v>
      </c>
      <c r="W537" s="2" t="s">
        <v>309</v>
      </c>
      <c r="X537" s="2" t="s">
        <v>100</v>
      </c>
      <c r="Y537" s="2" t="s">
        <v>2234</v>
      </c>
      <c r="Z537" s="4">
        <v>282</v>
      </c>
      <c r="AA537" s="4">
        <f>=ROUNDDOWN(35.25,0)</f>
      </c>
      <c r="AB537" s="5">
        <v>8</v>
      </c>
      <c r="AC537" s="2" t="s">
        <v>100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115</v>
      </c>
      <c r="BK537" s="8">
        <v>3954.06</v>
      </c>
      <c r="BL537" s="2" t="s">
        <v>1619</v>
      </c>
      <c r="BM537" s="7"/>
      <c r="BN537" s="7"/>
      <c r="BO537" s="4"/>
      <c r="BP537" s="8"/>
      <c r="BQ537" s="4"/>
      <c r="BR537" s="8"/>
      <c r="BS537" s="7"/>
      <c r="BT537" s="7"/>
      <c r="BU537" s="2" t="s">
        <v>207</v>
      </c>
      <c r="BV537" s="2" t="s">
        <v>97</v>
      </c>
      <c r="BW537" s="2" t="s">
        <v>100</v>
      </c>
      <c r="BX537" s="2" t="s">
        <v>100</v>
      </c>
      <c r="BY537" s="2" t="s">
        <v>113</v>
      </c>
      <c r="BZ537" s="2" t="s">
        <v>100</v>
      </c>
    </row>
    <row r="538">
      <c r="A538" s="2" t="s">
        <v>2239</v>
      </c>
      <c r="B538" s="2" t="s">
        <v>87</v>
      </c>
      <c r="C538" s="2" t="s">
        <v>2213</v>
      </c>
      <c r="D538" s="2" t="s">
        <v>89</v>
      </c>
      <c r="E538" s="2" t="s">
        <v>691</v>
      </c>
      <c r="F538" s="2" t="s">
        <v>2214</v>
      </c>
      <c r="G538" s="2" t="s">
        <v>2215</v>
      </c>
      <c r="H538" s="2" t="s">
        <v>2216</v>
      </c>
      <c r="I538" s="2" t="s">
        <v>730</v>
      </c>
      <c r="J538" s="2" t="s">
        <v>270</v>
      </c>
      <c r="K538" s="2" t="s">
        <v>189</v>
      </c>
      <c r="L538" s="3">
        <v>37.8</v>
      </c>
      <c r="M538" s="3">
        <v>39.69</v>
      </c>
      <c r="N538" s="3">
        <v>89.99</v>
      </c>
      <c r="O538" s="2" t="s">
        <v>97</v>
      </c>
      <c r="P538" s="2" t="s">
        <v>119</v>
      </c>
      <c r="Q538" s="2" t="s">
        <v>99</v>
      </c>
      <c r="R538" s="2" t="s">
        <v>100</v>
      </c>
      <c r="S538" s="2" t="s">
        <v>2238</v>
      </c>
      <c r="T538" s="2" t="s">
        <v>218</v>
      </c>
      <c r="U538" s="2" t="s">
        <v>480</v>
      </c>
      <c r="V538" s="2" t="s">
        <v>146</v>
      </c>
      <c r="W538" s="2" t="s">
        <v>309</v>
      </c>
      <c r="X538" s="2" t="s">
        <v>100</v>
      </c>
      <c r="Y538" s="2" t="s">
        <v>2234</v>
      </c>
      <c r="Z538" s="4">
        <v>513</v>
      </c>
      <c r="AA538" s="4">
        <f>=ROUNDDOWN(36.6428571428571,0)</f>
      </c>
      <c r="AB538" s="5">
        <v>14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210</v>
      </c>
      <c r="BK538" s="8">
        <v>8444.39</v>
      </c>
      <c r="BL538" s="2" t="s">
        <v>418</v>
      </c>
      <c r="BM538" s="7"/>
      <c r="BN538" s="7"/>
      <c r="BO538" s="4"/>
      <c r="BP538" s="8"/>
      <c r="BQ538" s="4"/>
      <c r="BR538" s="8"/>
      <c r="BS538" s="7"/>
      <c r="BT538" s="7"/>
      <c r="BU538" s="2" t="s">
        <v>207</v>
      </c>
      <c r="BV538" s="2" t="s">
        <v>97</v>
      </c>
      <c r="BW538" s="2" t="s">
        <v>100</v>
      </c>
      <c r="BX538" s="2" t="s">
        <v>100</v>
      </c>
      <c r="BY538" s="2" t="s">
        <v>113</v>
      </c>
      <c r="BZ538" s="2" t="s">
        <v>100</v>
      </c>
    </row>
    <row r="539">
      <c r="A539" s="2" t="s">
        <v>2240</v>
      </c>
      <c r="B539" s="2" t="s">
        <v>87</v>
      </c>
      <c r="C539" s="2" t="s">
        <v>2213</v>
      </c>
      <c r="D539" s="2" t="s">
        <v>89</v>
      </c>
      <c r="E539" s="2" t="s">
        <v>232</v>
      </c>
      <c r="F539" s="2" t="s">
        <v>2241</v>
      </c>
      <c r="G539" s="2" t="s">
        <v>2242</v>
      </c>
      <c r="H539" s="2" t="s">
        <v>2243</v>
      </c>
      <c r="I539" s="2" t="s">
        <v>525</v>
      </c>
      <c r="J539" s="2" t="s">
        <v>247</v>
      </c>
      <c r="K539" s="2" t="s">
        <v>189</v>
      </c>
      <c r="L539" s="3">
        <v>21.6</v>
      </c>
      <c r="M539" s="3">
        <v>22.68</v>
      </c>
      <c r="N539" s="3">
        <v>59.99</v>
      </c>
      <c r="O539" s="2" t="s">
        <v>97</v>
      </c>
      <c r="P539" s="2" t="s">
        <v>119</v>
      </c>
      <c r="Q539" s="2" t="s">
        <v>99</v>
      </c>
      <c r="R539" s="2" t="s">
        <v>100</v>
      </c>
      <c r="S539" s="2" t="s">
        <v>2244</v>
      </c>
      <c r="T539" s="2" t="s">
        <v>100</v>
      </c>
      <c r="U539" s="2" t="s">
        <v>480</v>
      </c>
      <c r="V539" s="2" t="s">
        <v>146</v>
      </c>
      <c r="W539" s="2" t="s">
        <v>561</v>
      </c>
      <c r="X539" s="2" t="s">
        <v>100</v>
      </c>
      <c r="Y539" s="2" t="s">
        <v>2245</v>
      </c>
      <c r="Z539" s="4">
        <v>304</v>
      </c>
      <c r="AA539" s="4">
        <f>=ROUNDDOWN(20.2666666666667,0)</f>
      </c>
      <c r="AB539" s="5">
        <v>15</v>
      </c>
      <c r="AC539" s="2" t="s">
        <v>1102</v>
      </c>
      <c r="AD539" s="4">
        <v>440</v>
      </c>
      <c r="AE539" s="4">
        <v>690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>
        <v>1</v>
      </c>
      <c r="AQ539" s="8">
        <v>21.77</v>
      </c>
      <c r="AR539" s="4"/>
      <c r="AS539" s="8"/>
      <c r="AT539" s="7"/>
      <c r="AU539" s="7"/>
      <c r="AV539" s="4">
        <v>1</v>
      </c>
      <c r="AW539" s="8">
        <v>21.77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1</v>
      </c>
      <c r="BC539" s="4">
        <v>1</v>
      </c>
      <c r="BD539" s="8">
        <v>21.77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1</v>
      </c>
      <c r="BJ539" s="4">
        <v>415</v>
      </c>
      <c r="BK539" s="8">
        <v>9758.27</v>
      </c>
      <c r="BL539" s="2" t="s">
        <v>2246</v>
      </c>
      <c r="BM539" s="7">
        <v>0.0024</v>
      </c>
      <c r="BN539" s="7">
        <v>0.0022</v>
      </c>
      <c r="BO539" s="4">
        <v>1</v>
      </c>
      <c r="BP539" s="8">
        <v>21.77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2247</v>
      </c>
      <c r="BX539" s="2" t="s">
        <v>1044</v>
      </c>
      <c r="BY539" s="2" t="s">
        <v>113</v>
      </c>
      <c r="BZ539" s="2" t="s">
        <v>100</v>
      </c>
    </row>
    <row r="540">
      <c r="A540" s="2" t="s">
        <v>2248</v>
      </c>
      <c r="B540" s="2" t="s">
        <v>87</v>
      </c>
      <c r="C540" s="2" t="s">
        <v>2213</v>
      </c>
      <c r="D540" s="2" t="s">
        <v>89</v>
      </c>
      <c r="E540" s="2" t="s">
        <v>232</v>
      </c>
      <c r="F540" s="2" t="s">
        <v>2241</v>
      </c>
      <c r="G540" s="2" t="s">
        <v>2242</v>
      </c>
      <c r="H540" s="2" t="s">
        <v>2243</v>
      </c>
      <c r="I540" s="2" t="s">
        <v>525</v>
      </c>
      <c r="J540" s="2" t="s">
        <v>270</v>
      </c>
      <c r="K540" s="2" t="s">
        <v>189</v>
      </c>
      <c r="L540" s="3">
        <v>26.6</v>
      </c>
      <c r="M540" s="3">
        <v>27.93</v>
      </c>
      <c r="N540" s="3">
        <v>69.99</v>
      </c>
      <c r="O540" s="2" t="s">
        <v>97</v>
      </c>
      <c r="P540" s="2" t="s">
        <v>119</v>
      </c>
      <c r="Q540" s="2" t="s">
        <v>99</v>
      </c>
      <c r="R540" s="2" t="s">
        <v>100</v>
      </c>
      <c r="S540" s="2" t="s">
        <v>2244</v>
      </c>
      <c r="T540" s="2" t="s">
        <v>100</v>
      </c>
      <c r="U540" s="2" t="s">
        <v>480</v>
      </c>
      <c r="V540" s="2" t="s">
        <v>146</v>
      </c>
      <c r="W540" s="2" t="s">
        <v>561</v>
      </c>
      <c r="X540" s="2" t="s">
        <v>100</v>
      </c>
      <c r="Y540" s="2" t="s">
        <v>2245</v>
      </c>
      <c r="Z540" s="4">
        <v>248</v>
      </c>
      <c r="AA540" s="4">
        <f>=ROUNDDOWN(19.0769230769231,0)</f>
      </c>
      <c r="AB540" s="5">
        <v>13</v>
      </c>
      <c r="AC540" s="2" t="s">
        <v>1102</v>
      </c>
      <c r="AD540" s="4">
        <v>520</v>
      </c>
      <c r="AE540" s="4">
        <v>730</v>
      </c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395</v>
      </c>
      <c r="BK540" s="8">
        <v>11289.53</v>
      </c>
      <c r="BL540" s="2" t="s">
        <v>2249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97</v>
      </c>
      <c r="BW540" s="2" t="s">
        <v>2247</v>
      </c>
      <c r="BX540" s="2" t="s">
        <v>2250</v>
      </c>
      <c r="BY540" s="2" t="s">
        <v>113</v>
      </c>
      <c r="BZ540" s="2" t="s">
        <v>100</v>
      </c>
    </row>
    <row r="541">
      <c r="A541" s="2" t="s">
        <v>2251</v>
      </c>
      <c r="B541" s="2" t="s">
        <v>87</v>
      </c>
      <c r="C541" s="2" t="s">
        <v>2213</v>
      </c>
      <c r="D541" s="2" t="s">
        <v>89</v>
      </c>
      <c r="E541" s="2" t="s">
        <v>232</v>
      </c>
      <c r="F541" s="2" t="s">
        <v>2241</v>
      </c>
      <c r="G541" s="2" t="s">
        <v>2242</v>
      </c>
      <c r="H541" s="2" t="s">
        <v>2243</v>
      </c>
      <c r="I541" s="2" t="s">
        <v>525</v>
      </c>
      <c r="J541" s="2" t="s">
        <v>247</v>
      </c>
      <c r="K541" s="2" t="s">
        <v>198</v>
      </c>
      <c r="L541" s="3">
        <v>21.6</v>
      </c>
      <c r="M541" s="3">
        <v>22.68</v>
      </c>
      <c r="N541" s="3">
        <v>59.99</v>
      </c>
      <c r="O541" s="2" t="s">
        <v>97</v>
      </c>
      <c r="P541" s="2" t="s">
        <v>119</v>
      </c>
      <c r="Q541" s="2" t="s">
        <v>99</v>
      </c>
      <c r="R541" s="2" t="s">
        <v>100</v>
      </c>
      <c r="S541" s="2" t="s">
        <v>2252</v>
      </c>
      <c r="T541" s="2" t="s">
        <v>100</v>
      </c>
      <c r="U541" s="2" t="s">
        <v>480</v>
      </c>
      <c r="V541" s="2" t="s">
        <v>146</v>
      </c>
      <c r="W541" s="2" t="s">
        <v>561</v>
      </c>
      <c r="X541" s="2" t="s">
        <v>100</v>
      </c>
      <c r="Y541" s="2" t="s">
        <v>2245</v>
      </c>
      <c r="Z541" s="4">
        <v>235</v>
      </c>
      <c r="AA541" s="4">
        <f>=ROUNDDOWN(39.1666666666667,0)</f>
      </c>
      <c r="AB541" s="5">
        <v>6</v>
      </c>
      <c r="AC541" s="2" t="s">
        <v>100</v>
      </c>
      <c r="AD541" s="4"/>
      <c r="AE541" s="4"/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/>
      <c r="BJ541" s="4">
        <v>164</v>
      </c>
      <c r="BK541" s="8">
        <v>3828.28</v>
      </c>
      <c r="BL541" s="2" t="s">
        <v>2253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97</v>
      </c>
      <c r="BW541" s="2" t="s">
        <v>2247</v>
      </c>
      <c r="BX541" s="2" t="s">
        <v>2254</v>
      </c>
      <c r="BY541" s="2" t="s">
        <v>113</v>
      </c>
      <c r="BZ541" s="2" t="s">
        <v>100</v>
      </c>
    </row>
    <row r="542">
      <c r="A542" s="2" t="s">
        <v>2255</v>
      </c>
      <c r="B542" s="2" t="s">
        <v>87</v>
      </c>
      <c r="C542" s="2" t="s">
        <v>2213</v>
      </c>
      <c r="D542" s="2" t="s">
        <v>89</v>
      </c>
      <c r="E542" s="2" t="s">
        <v>232</v>
      </c>
      <c r="F542" s="2" t="s">
        <v>2241</v>
      </c>
      <c r="G542" s="2" t="s">
        <v>2242</v>
      </c>
      <c r="H542" s="2" t="s">
        <v>2243</v>
      </c>
      <c r="I542" s="2" t="s">
        <v>525</v>
      </c>
      <c r="J542" s="2" t="s">
        <v>247</v>
      </c>
      <c r="K542" s="2" t="s">
        <v>144</v>
      </c>
      <c r="L542" s="3">
        <v>21.6</v>
      </c>
      <c r="M542" s="3">
        <v>22.68</v>
      </c>
      <c r="N542" s="3">
        <v>59.99</v>
      </c>
      <c r="O542" s="2" t="s">
        <v>97</v>
      </c>
      <c r="P542" s="2" t="s">
        <v>119</v>
      </c>
      <c r="Q542" s="2" t="s">
        <v>99</v>
      </c>
      <c r="R542" s="2" t="s">
        <v>100</v>
      </c>
      <c r="S542" s="2" t="s">
        <v>2256</v>
      </c>
      <c r="T542" s="2" t="s">
        <v>100</v>
      </c>
      <c r="U542" s="2" t="s">
        <v>480</v>
      </c>
      <c r="V542" s="2" t="s">
        <v>146</v>
      </c>
      <c r="W542" s="2" t="s">
        <v>561</v>
      </c>
      <c r="X542" s="2" t="s">
        <v>100</v>
      </c>
      <c r="Y542" s="2" t="s">
        <v>2245</v>
      </c>
      <c r="Z542" s="4">
        <v>301</v>
      </c>
      <c r="AA542" s="4">
        <f>=ROUNDDOWN(30.1,0)</f>
      </c>
      <c r="AB542" s="5">
        <v>10</v>
      </c>
      <c r="AC542" s="2" t="s">
        <v>1102</v>
      </c>
      <c r="AD542" s="4">
        <v>680</v>
      </c>
      <c r="AE542" s="4">
        <v>830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256</v>
      </c>
      <c r="BK542" s="8">
        <v>5961.08</v>
      </c>
      <c r="BL542" s="2" t="s">
        <v>2257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97</v>
      </c>
      <c r="BW542" s="2" t="s">
        <v>2247</v>
      </c>
      <c r="BX542" s="2" t="s">
        <v>2258</v>
      </c>
      <c r="BY542" s="2" t="s">
        <v>113</v>
      </c>
      <c r="BZ542" s="2" t="s">
        <v>100</v>
      </c>
    </row>
    <row r="543">
      <c r="A543" s="2" t="s">
        <v>2259</v>
      </c>
      <c r="B543" s="2" t="s">
        <v>87</v>
      </c>
      <c r="C543" s="2" t="s">
        <v>2213</v>
      </c>
      <c r="D543" s="2" t="s">
        <v>89</v>
      </c>
      <c r="E543" s="2" t="s">
        <v>232</v>
      </c>
      <c r="F543" s="2" t="s">
        <v>2241</v>
      </c>
      <c r="G543" s="2" t="s">
        <v>2242</v>
      </c>
      <c r="H543" s="2" t="s">
        <v>2243</v>
      </c>
      <c r="I543" s="2" t="s">
        <v>525</v>
      </c>
      <c r="J543" s="2" t="s">
        <v>270</v>
      </c>
      <c r="K543" s="2" t="s">
        <v>144</v>
      </c>
      <c r="L543" s="3">
        <v>26.6</v>
      </c>
      <c r="M543" s="3">
        <v>27.93</v>
      </c>
      <c r="N543" s="3">
        <v>69.99</v>
      </c>
      <c r="O543" s="2" t="s">
        <v>97</v>
      </c>
      <c r="P543" s="2" t="s">
        <v>119</v>
      </c>
      <c r="Q543" s="2" t="s">
        <v>99</v>
      </c>
      <c r="R543" s="2" t="s">
        <v>100</v>
      </c>
      <c r="S543" s="2" t="s">
        <v>2256</v>
      </c>
      <c r="T543" s="2" t="s">
        <v>100</v>
      </c>
      <c r="U543" s="2" t="s">
        <v>480</v>
      </c>
      <c r="V543" s="2" t="s">
        <v>146</v>
      </c>
      <c r="W543" s="2" t="s">
        <v>561</v>
      </c>
      <c r="X543" s="2" t="s">
        <v>100</v>
      </c>
      <c r="Y543" s="2" t="s">
        <v>2245</v>
      </c>
      <c r="Z543" s="4">
        <v>96</v>
      </c>
      <c r="AA543" s="4">
        <f>=ROUNDDOWN(12,0)</f>
      </c>
      <c r="AB543" s="5">
        <v>8</v>
      </c>
      <c r="AC543" s="2" t="s">
        <v>1102</v>
      </c>
      <c r="AD543" s="4">
        <v>560</v>
      </c>
      <c r="AE543" s="4">
        <v>800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203</v>
      </c>
      <c r="BK543" s="8">
        <v>5723.7</v>
      </c>
      <c r="BL543" s="2" t="s">
        <v>2260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97</v>
      </c>
      <c r="BW543" s="2" t="s">
        <v>2247</v>
      </c>
      <c r="BX543" s="2" t="s">
        <v>2261</v>
      </c>
      <c r="BY543" s="2" t="s">
        <v>113</v>
      </c>
      <c r="BZ543" s="2" t="s">
        <v>100</v>
      </c>
    </row>
    <row r="544">
      <c r="A544" s="2" t="s">
        <v>2262</v>
      </c>
      <c r="B544" s="2" t="s">
        <v>87</v>
      </c>
      <c r="C544" s="2" t="s">
        <v>2213</v>
      </c>
      <c r="D544" s="2" t="s">
        <v>803</v>
      </c>
      <c r="E544" s="2" t="s">
        <v>804</v>
      </c>
      <c r="F544" s="2" t="s">
        <v>2263</v>
      </c>
      <c r="G544" s="2" t="s">
        <v>2264</v>
      </c>
      <c r="H544" s="2" t="s">
        <v>2265</v>
      </c>
      <c r="I544" s="2" t="s">
        <v>2266</v>
      </c>
      <c r="J544" s="2" t="s">
        <v>706</v>
      </c>
      <c r="K544" s="2" t="s">
        <v>512</v>
      </c>
      <c r="L544" s="3">
        <v>43.85</v>
      </c>
      <c r="M544" s="3">
        <v>46.04</v>
      </c>
      <c r="N544" s="3">
        <v>99.99</v>
      </c>
      <c r="O544" s="2" t="s">
        <v>97</v>
      </c>
      <c r="P544" s="2" t="s">
        <v>372</v>
      </c>
      <c r="Q544" s="2" t="s">
        <v>99</v>
      </c>
      <c r="R544" s="2" t="s">
        <v>100</v>
      </c>
      <c r="S544" s="2" t="s">
        <v>2267</v>
      </c>
      <c r="T544" s="2" t="s">
        <v>218</v>
      </c>
      <c r="U544" s="2" t="s">
        <v>833</v>
      </c>
      <c r="V544" s="2" t="s">
        <v>434</v>
      </c>
      <c r="W544" s="2" t="s">
        <v>104</v>
      </c>
      <c r="X544" s="2" t="s">
        <v>105</v>
      </c>
      <c r="Y544" s="2" t="s">
        <v>967</v>
      </c>
      <c r="Z544" s="4">
        <v>1757</v>
      </c>
      <c r="AA544" s="4">
        <f>=ROUNDDOWN(30.2931034482759,0)</f>
      </c>
      <c r="AB544" s="5">
        <v>58</v>
      </c>
      <c r="AC544" s="2" t="s">
        <v>241</v>
      </c>
      <c r="AD544" s="4">
        <v>738</v>
      </c>
      <c r="AE544" s="4">
        <v>1578</v>
      </c>
      <c r="AF544" s="6">
        <v>69</v>
      </c>
      <c r="AG544" s="6">
        <v>77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/>
      <c r="AP544" s="4">
        <v>26</v>
      </c>
      <c r="AQ544" s="8">
        <v>1132.3</v>
      </c>
      <c r="AR544" s="4"/>
      <c r="AS544" s="8"/>
      <c r="AT544" s="7"/>
      <c r="AU544" s="7"/>
      <c r="AV544" s="4">
        <v>33</v>
      </c>
      <c r="AW544" s="8">
        <v>1475.23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0.7675</v>
      </c>
      <c r="BC544" s="4">
        <v>33</v>
      </c>
      <c r="BD544" s="8">
        <v>1475.23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1</v>
      </c>
      <c r="BJ544" s="4">
        <v>1522</v>
      </c>
      <c r="BK544" s="8">
        <v>73136.63</v>
      </c>
      <c r="BL544" s="2" t="s">
        <v>2268</v>
      </c>
      <c r="BM544" s="7">
        <v>0.0171</v>
      </c>
      <c r="BN544" s="7">
        <v>0.0155</v>
      </c>
      <c r="BO544" s="4">
        <v>26</v>
      </c>
      <c r="BP544" s="8">
        <v>1132.3</v>
      </c>
      <c r="BQ544" s="4"/>
      <c r="BR544" s="8"/>
      <c r="BS544" s="7"/>
      <c r="BT544" s="7"/>
      <c r="BU544" s="2" t="s">
        <v>109</v>
      </c>
      <c r="BV544" s="2" t="s">
        <v>110</v>
      </c>
      <c r="BW544" s="2" t="s">
        <v>1883</v>
      </c>
      <c r="BX544" s="2" t="s">
        <v>2269</v>
      </c>
      <c r="BY544" s="2" t="s">
        <v>113</v>
      </c>
      <c r="BZ544" s="2" t="s">
        <v>100</v>
      </c>
    </row>
    <row r="545">
      <c r="A545" s="2" t="s">
        <v>2270</v>
      </c>
      <c r="B545" s="2" t="s">
        <v>87</v>
      </c>
      <c r="C545" s="2" t="s">
        <v>2213</v>
      </c>
      <c r="D545" s="2" t="s">
        <v>803</v>
      </c>
      <c r="E545" s="2" t="s">
        <v>804</v>
      </c>
      <c r="F545" s="2" t="s">
        <v>2263</v>
      </c>
      <c r="G545" s="2" t="s">
        <v>2264</v>
      </c>
      <c r="H545" s="2" t="s">
        <v>2265</v>
      </c>
      <c r="I545" s="2" t="s">
        <v>2266</v>
      </c>
      <c r="J545" s="2" t="s">
        <v>817</v>
      </c>
      <c r="K545" s="2" t="s">
        <v>512</v>
      </c>
      <c r="L545" s="3">
        <v>48.99</v>
      </c>
      <c r="M545" s="3">
        <v>51.44</v>
      </c>
      <c r="N545" s="3">
        <v>109.99</v>
      </c>
      <c r="O545" s="2" t="s">
        <v>97</v>
      </c>
      <c r="P545" s="2" t="s">
        <v>372</v>
      </c>
      <c r="Q545" s="2" t="s">
        <v>99</v>
      </c>
      <c r="R545" s="2" t="s">
        <v>100</v>
      </c>
      <c r="S545" s="2" t="s">
        <v>2271</v>
      </c>
      <c r="T545" s="2" t="s">
        <v>218</v>
      </c>
      <c r="U545" s="2" t="s">
        <v>833</v>
      </c>
      <c r="V545" s="2" t="s">
        <v>434</v>
      </c>
      <c r="W545" s="2" t="s">
        <v>104</v>
      </c>
      <c r="X545" s="2" t="s">
        <v>105</v>
      </c>
      <c r="Y545" s="2" t="s">
        <v>967</v>
      </c>
      <c r="Z545" s="4">
        <v>735</v>
      </c>
      <c r="AA545" s="4">
        <f>=ROUNDDOWN(52.5,0)</f>
      </c>
      <c r="AB545" s="5">
        <v>14</v>
      </c>
      <c r="AC545" s="2" t="s">
        <v>2272</v>
      </c>
      <c r="AD545" s="4">
        <v>30</v>
      </c>
      <c r="AE545" s="4">
        <v>460</v>
      </c>
      <c r="AF545" s="6">
        <v>69</v>
      </c>
      <c r="AG545" s="6">
        <v>77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>
        <v>7</v>
      </c>
      <c r="AQ545" s="8">
        <v>342.93</v>
      </c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0.2325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340</v>
      </c>
      <c r="BK545" s="8">
        <v>18852.76</v>
      </c>
      <c r="BL545" s="2" t="s">
        <v>2273</v>
      </c>
      <c r="BM545" s="7">
        <v>0.0206</v>
      </c>
      <c r="BN545" s="7">
        <v>0.0182</v>
      </c>
      <c r="BO545" s="4">
        <v>7</v>
      </c>
      <c r="BP545" s="8">
        <v>342.93</v>
      </c>
      <c r="BQ545" s="4"/>
      <c r="BR545" s="8"/>
      <c r="BS545" s="7"/>
      <c r="BT545" s="7"/>
      <c r="BU545" s="2" t="s">
        <v>109</v>
      </c>
      <c r="BV545" s="2" t="s">
        <v>110</v>
      </c>
      <c r="BW545" s="2" t="s">
        <v>1883</v>
      </c>
      <c r="BX545" s="2" t="s">
        <v>2274</v>
      </c>
      <c r="BY545" s="2" t="s">
        <v>113</v>
      </c>
      <c r="BZ545" s="2" t="s">
        <v>100</v>
      </c>
    </row>
    <row r="546">
      <c r="A546" s="2" t="s">
        <v>2275</v>
      </c>
      <c r="B546" s="2" t="s">
        <v>87</v>
      </c>
      <c r="C546" s="2" t="s">
        <v>2213</v>
      </c>
      <c r="D546" s="2" t="s">
        <v>803</v>
      </c>
      <c r="E546" s="2" t="s">
        <v>804</v>
      </c>
      <c r="F546" s="2" t="s">
        <v>2263</v>
      </c>
      <c r="G546" s="2" t="s">
        <v>2264</v>
      </c>
      <c r="H546" s="2" t="s">
        <v>2265</v>
      </c>
      <c r="I546" s="2" t="s">
        <v>2276</v>
      </c>
      <c r="J546" s="2" t="s">
        <v>706</v>
      </c>
      <c r="K546" s="2" t="s">
        <v>118</v>
      </c>
      <c r="L546" s="3">
        <v>43.85</v>
      </c>
      <c r="M546" s="3">
        <v>46.04</v>
      </c>
      <c r="N546" s="3">
        <v>99.99</v>
      </c>
      <c r="O546" s="2" t="s">
        <v>97</v>
      </c>
      <c r="P546" s="2" t="s">
        <v>119</v>
      </c>
      <c r="Q546" s="2" t="s">
        <v>99</v>
      </c>
      <c r="R546" s="2" t="s">
        <v>100</v>
      </c>
      <c r="S546" s="2" t="s">
        <v>2277</v>
      </c>
      <c r="T546" s="2" t="s">
        <v>218</v>
      </c>
      <c r="U546" s="2" t="s">
        <v>833</v>
      </c>
      <c r="V546" s="2" t="s">
        <v>434</v>
      </c>
      <c r="W546" s="2" t="s">
        <v>104</v>
      </c>
      <c r="X546" s="2" t="s">
        <v>490</v>
      </c>
      <c r="Y546" s="2" t="s">
        <v>2278</v>
      </c>
      <c r="Z546" s="4">
        <v>657</v>
      </c>
      <c r="AA546" s="4">
        <f>=ROUNDDOWN(38.6470588235294,0)</f>
      </c>
      <c r="AB546" s="5">
        <v>17</v>
      </c>
      <c r="AC546" s="2" t="s">
        <v>148</v>
      </c>
      <c r="AD546" s="4">
        <v>350</v>
      </c>
      <c r="AE546" s="4">
        <v>350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419</v>
      </c>
      <c r="BK546" s="8">
        <v>20639.42</v>
      </c>
      <c r="BL546" s="2" t="s">
        <v>2279</v>
      </c>
      <c r="BM546" s="7"/>
      <c r="BN546" s="7"/>
      <c r="BO546" s="4"/>
      <c r="BP546" s="8"/>
      <c r="BQ546" s="4"/>
      <c r="BR546" s="8"/>
      <c r="BS546" s="7"/>
      <c r="BT546" s="7"/>
      <c r="BU546" s="2" t="s">
        <v>207</v>
      </c>
      <c r="BV546" s="2" t="s">
        <v>97</v>
      </c>
      <c r="BW546" s="2" t="s">
        <v>100</v>
      </c>
      <c r="BX546" s="2" t="s">
        <v>100</v>
      </c>
      <c r="BY546" s="2" t="s">
        <v>113</v>
      </c>
      <c r="BZ546" s="2" t="s">
        <v>100</v>
      </c>
    </row>
    <row r="547">
      <c r="A547" s="2" t="s">
        <v>2280</v>
      </c>
      <c r="B547" s="2" t="s">
        <v>87</v>
      </c>
      <c r="C547" s="2" t="s">
        <v>2213</v>
      </c>
      <c r="D547" s="2" t="s">
        <v>803</v>
      </c>
      <c r="E547" s="2" t="s">
        <v>804</v>
      </c>
      <c r="F547" s="2" t="s">
        <v>2263</v>
      </c>
      <c r="G547" s="2" t="s">
        <v>2264</v>
      </c>
      <c r="H547" s="2" t="s">
        <v>2265</v>
      </c>
      <c r="I547" s="2" t="s">
        <v>2276</v>
      </c>
      <c r="J547" s="2" t="s">
        <v>714</v>
      </c>
      <c r="K547" s="2" t="s">
        <v>118</v>
      </c>
      <c r="L547" s="3">
        <v>48.99</v>
      </c>
      <c r="M547" s="3">
        <v>51.44</v>
      </c>
      <c r="N547" s="3">
        <v>109.99</v>
      </c>
      <c r="O547" s="2" t="s">
        <v>97</v>
      </c>
      <c r="P547" s="2" t="s">
        <v>119</v>
      </c>
      <c r="Q547" s="2" t="s">
        <v>99</v>
      </c>
      <c r="R547" s="2" t="s">
        <v>100</v>
      </c>
      <c r="S547" s="2" t="s">
        <v>2277</v>
      </c>
      <c r="T547" s="2" t="s">
        <v>218</v>
      </c>
      <c r="U547" s="2" t="s">
        <v>833</v>
      </c>
      <c r="V547" s="2" t="s">
        <v>434</v>
      </c>
      <c r="W547" s="2" t="s">
        <v>104</v>
      </c>
      <c r="X547" s="2" t="s">
        <v>490</v>
      </c>
      <c r="Y547" s="2" t="s">
        <v>2278</v>
      </c>
      <c r="Z547" s="4">
        <v>616</v>
      </c>
      <c r="AA547" s="4">
        <f>=ROUNDDOWN(47.3846153846154,0)</f>
      </c>
      <c r="AB547" s="5">
        <v>13</v>
      </c>
      <c r="AC547" s="2" t="s">
        <v>148</v>
      </c>
      <c r="AD547" s="4">
        <v>110</v>
      </c>
      <c r="AE547" s="4">
        <v>110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266</v>
      </c>
      <c r="BK547" s="8">
        <v>14727.73</v>
      </c>
      <c r="BL547" s="2" t="s">
        <v>2281</v>
      </c>
      <c r="BM547" s="7"/>
      <c r="BN547" s="7"/>
      <c r="BO547" s="4"/>
      <c r="BP547" s="8"/>
      <c r="BQ547" s="4"/>
      <c r="BR547" s="8"/>
      <c r="BS547" s="7"/>
      <c r="BT547" s="7"/>
      <c r="BU547" s="2" t="s">
        <v>207</v>
      </c>
      <c r="BV547" s="2" t="s">
        <v>97</v>
      </c>
      <c r="BW547" s="2" t="s">
        <v>100</v>
      </c>
      <c r="BX547" s="2" t="s">
        <v>100</v>
      </c>
      <c r="BY547" s="2" t="s">
        <v>113</v>
      </c>
      <c r="BZ547" s="2" t="s">
        <v>100</v>
      </c>
    </row>
    <row r="548">
      <c r="A548" s="2" t="s">
        <v>2282</v>
      </c>
      <c r="B548" s="2" t="s">
        <v>87</v>
      </c>
      <c r="C548" s="2" t="s">
        <v>2213</v>
      </c>
      <c r="D548" s="2" t="s">
        <v>803</v>
      </c>
      <c r="E548" s="2" t="s">
        <v>804</v>
      </c>
      <c r="F548" s="2" t="s">
        <v>2263</v>
      </c>
      <c r="G548" s="2" t="s">
        <v>2264</v>
      </c>
      <c r="H548" s="2" t="s">
        <v>2265</v>
      </c>
      <c r="I548" s="2" t="s">
        <v>2276</v>
      </c>
      <c r="J548" s="2" t="s">
        <v>817</v>
      </c>
      <c r="K548" s="2" t="s">
        <v>118</v>
      </c>
      <c r="L548" s="3">
        <v>48.99</v>
      </c>
      <c r="M548" s="3">
        <v>51.44</v>
      </c>
      <c r="N548" s="3">
        <v>109.99</v>
      </c>
      <c r="O548" s="2" t="s">
        <v>97</v>
      </c>
      <c r="P548" s="2" t="s">
        <v>119</v>
      </c>
      <c r="Q548" s="2" t="s">
        <v>99</v>
      </c>
      <c r="R548" s="2" t="s">
        <v>100</v>
      </c>
      <c r="S548" s="2" t="s">
        <v>2277</v>
      </c>
      <c r="T548" s="2" t="s">
        <v>218</v>
      </c>
      <c r="U548" s="2" t="s">
        <v>833</v>
      </c>
      <c r="V548" s="2" t="s">
        <v>434</v>
      </c>
      <c r="W548" s="2" t="s">
        <v>104</v>
      </c>
      <c r="X548" s="2" t="s">
        <v>490</v>
      </c>
      <c r="Y548" s="2" t="s">
        <v>2278</v>
      </c>
      <c r="Z548" s="4">
        <v>221</v>
      </c>
      <c r="AA548" s="4">
        <f>=ROUNDDOWN(36.8333333333333,0)</f>
      </c>
      <c r="AB548" s="5">
        <v>6</v>
      </c>
      <c r="AC548" s="2" t="s">
        <v>148</v>
      </c>
      <c r="AD548" s="4">
        <v>140</v>
      </c>
      <c r="AE548" s="4">
        <v>140</v>
      </c>
      <c r="AF548" s="6">
        <v>65</v>
      </c>
      <c r="AG548" s="6"/>
      <c r="AH548" s="7">
        <v>0.9786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144</v>
      </c>
      <c r="BK548" s="8">
        <v>8112.69</v>
      </c>
      <c r="BL548" s="2" t="s">
        <v>2283</v>
      </c>
      <c r="BM548" s="7"/>
      <c r="BN548" s="7"/>
      <c r="BO548" s="4"/>
      <c r="BP548" s="8"/>
      <c r="BQ548" s="4"/>
      <c r="BR548" s="8"/>
      <c r="BS548" s="7"/>
      <c r="BT548" s="7"/>
      <c r="BU548" s="2" t="s">
        <v>207</v>
      </c>
      <c r="BV548" s="2" t="s">
        <v>97</v>
      </c>
      <c r="BW548" s="2" t="s">
        <v>100</v>
      </c>
      <c r="BX548" s="2" t="s">
        <v>100</v>
      </c>
      <c r="BY548" s="2" t="s">
        <v>113</v>
      </c>
      <c r="BZ548" s="2" t="s">
        <v>100</v>
      </c>
    </row>
    <row r="549">
      <c r="A549" s="2" t="s">
        <v>2284</v>
      </c>
      <c r="B549" s="2" t="s">
        <v>87</v>
      </c>
      <c r="C549" s="2" t="s">
        <v>2213</v>
      </c>
      <c r="D549" s="2" t="s">
        <v>803</v>
      </c>
      <c r="E549" s="2" t="s">
        <v>804</v>
      </c>
      <c r="F549" s="2" t="s">
        <v>2263</v>
      </c>
      <c r="G549" s="2" t="s">
        <v>2264</v>
      </c>
      <c r="H549" s="2" t="s">
        <v>2265</v>
      </c>
      <c r="I549" s="2" t="s">
        <v>2266</v>
      </c>
      <c r="J549" s="2" t="s">
        <v>706</v>
      </c>
      <c r="K549" s="2" t="s">
        <v>432</v>
      </c>
      <c r="L549" s="3">
        <v>43.85</v>
      </c>
      <c r="M549" s="3">
        <v>46.04</v>
      </c>
      <c r="N549" s="3">
        <v>99.99</v>
      </c>
      <c r="O549" s="2" t="s">
        <v>97</v>
      </c>
      <c r="P549" s="2" t="s">
        <v>119</v>
      </c>
      <c r="Q549" s="2" t="s">
        <v>99</v>
      </c>
      <c r="R549" s="2" t="s">
        <v>100</v>
      </c>
      <c r="S549" s="2" t="s">
        <v>2285</v>
      </c>
      <c r="T549" s="2" t="s">
        <v>218</v>
      </c>
      <c r="U549" s="2" t="s">
        <v>833</v>
      </c>
      <c r="V549" s="2" t="s">
        <v>434</v>
      </c>
      <c r="W549" s="2" t="s">
        <v>104</v>
      </c>
      <c r="X549" s="2" t="s">
        <v>490</v>
      </c>
      <c r="Y549" s="2" t="s">
        <v>2286</v>
      </c>
      <c r="Z549" s="4">
        <v>921</v>
      </c>
      <c r="AA549" s="4">
        <f>=ROUNDDOWN(38.375,0)</f>
      </c>
      <c r="AB549" s="5">
        <v>24</v>
      </c>
      <c r="AC549" s="2" t="s">
        <v>100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578</v>
      </c>
      <c r="BK549" s="8">
        <v>27162.31</v>
      </c>
      <c r="BL549" s="2" t="s">
        <v>2287</v>
      </c>
      <c r="BM549" s="7"/>
      <c r="BN549" s="7"/>
      <c r="BO549" s="4"/>
      <c r="BP549" s="8"/>
      <c r="BQ549" s="4"/>
      <c r="BR549" s="8"/>
      <c r="BS549" s="7"/>
      <c r="BT549" s="7"/>
      <c r="BU549" s="2" t="s">
        <v>2288</v>
      </c>
      <c r="BV549" s="2" t="s">
        <v>97</v>
      </c>
      <c r="BW549" s="2" t="s">
        <v>643</v>
      </c>
      <c r="BX549" s="2" t="s">
        <v>100</v>
      </c>
      <c r="BY549" s="2" t="s">
        <v>113</v>
      </c>
      <c r="BZ549" s="2" t="s">
        <v>100</v>
      </c>
    </row>
    <row r="550">
      <c r="A550" s="2" t="s">
        <v>2289</v>
      </c>
      <c r="B550" s="2" t="s">
        <v>87</v>
      </c>
      <c r="C550" s="2" t="s">
        <v>2213</v>
      </c>
      <c r="D550" s="2" t="s">
        <v>803</v>
      </c>
      <c r="E550" s="2" t="s">
        <v>804</v>
      </c>
      <c r="F550" s="2" t="s">
        <v>2263</v>
      </c>
      <c r="G550" s="2" t="s">
        <v>2264</v>
      </c>
      <c r="H550" s="2" t="s">
        <v>2265</v>
      </c>
      <c r="I550" s="2" t="s">
        <v>2266</v>
      </c>
      <c r="J550" s="2" t="s">
        <v>714</v>
      </c>
      <c r="K550" s="2" t="s">
        <v>432</v>
      </c>
      <c r="L550" s="3">
        <v>48.99</v>
      </c>
      <c r="M550" s="3">
        <v>51.44</v>
      </c>
      <c r="N550" s="3">
        <v>109.99</v>
      </c>
      <c r="O550" s="2" t="s">
        <v>97</v>
      </c>
      <c r="P550" s="2" t="s">
        <v>119</v>
      </c>
      <c r="Q550" s="2" t="s">
        <v>99</v>
      </c>
      <c r="R550" s="2" t="s">
        <v>100</v>
      </c>
      <c r="S550" s="2" t="s">
        <v>2285</v>
      </c>
      <c r="T550" s="2" t="s">
        <v>218</v>
      </c>
      <c r="U550" s="2" t="s">
        <v>833</v>
      </c>
      <c r="V550" s="2" t="s">
        <v>434</v>
      </c>
      <c r="W550" s="2" t="s">
        <v>104</v>
      </c>
      <c r="X550" s="2" t="s">
        <v>490</v>
      </c>
      <c r="Y550" s="2" t="s">
        <v>2286</v>
      </c>
      <c r="Z550" s="4">
        <v>834</v>
      </c>
      <c r="AA550" s="4">
        <f>=ROUNDDOWN(75.8181818181818,0)</f>
      </c>
      <c r="AB550" s="5">
        <v>11</v>
      </c>
      <c r="AC550" s="2" t="s">
        <v>100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251</v>
      </c>
      <c r="BK550" s="8">
        <v>13589.16</v>
      </c>
      <c r="BL550" s="2" t="s">
        <v>2290</v>
      </c>
      <c r="BM550" s="7"/>
      <c r="BN550" s="7"/>
      <c r="BO550" s="4"/>
      <c r="BP550" s="8"/>
      <c r="BQ550" s="4"/>
      <c r="BR550" s="8"/>
      <c r="BS550" s="7"/>
      <c r="BT550" s="7"/>
      <c r="BU550" s="2" t="s">
        <v>2288</v>
      </c>
      <c r="BV550" s="2" t="s">
        <v>97</v>
      </c>
      <c r="BW550" s="2" t="s">
        <v>643</v>
      </c>
      <c r="BX550" s="2" t="s">
        <v>100</v>
      </c>
      <c r="BY550" s="2" t="s">
        <v>113</v>
      </c>
      <c r="BZ550" s="2" t="s">
        <v>100</v>
      </c>
    </row>
    <row r="551">
      <c r="A551" s="2" t="s">
        <v>2291</v>
      </c>
      <c r="B551" s="2" t="s">
        <v>87</v>
      </c>
      <c r="C551" s="2" t="s">
        <v>2213</v>
      </c>
      <c r="D551" s="2" t="s">
        <v>803</v>
      </c>
      <c r="E551" s="2" t="s">
        <v>804</v>
      </c>
      <c r="F551" s="2" t="s">
        <v>2263</v>
      </c>
      <c r="G551" s="2" t="s">
        <v>2264</v>
      </c>
      <c r="H551" s="2" t="s">
        <v>2265</v>
      </c>
      <c r="I551" s="2" t="s">
        <v>2266</v>
      </c>
      <c r="J551" s="2" t="s">
        <v>817</v>
      </c>
      <c r="K551" s="2" t="s">
        <v>432</v>
      </c>
      <c r="L551" s="3">
        <v>48.99</v>
      </c>
      <c r="M551" s="3">
        <v>51.44</v>
      </c>
      <c r="N551" s="3">
        <v>109.99</v>
      </c>
      <c r="O551" s="2" t="s">
        <v>97</v>
      </c>
      <c r="P551" s="2" t="s">
        <v>119</v>
      </c>
      <c r="Q551" s="2" t="s">
        <v>99</v>
      </c>
      <c r="R551" s="2" t="s">
        <v>100</v>
      </c>
      <c r="S551" s="2" t="s">
        <v>2285</v>
      </c>
      <c r="T551" s="2" t="s">
        <v>218</v>
      </c>
      <c r="U551" s="2" t="s">
        <v>833</v>
      </c>
      <c r="V551" s="2" t="s">
        <v>434</v>
      </c>
      <c r="W551" s="2" t="s">
        <v>104</v>
      </c>
      <c r="X551" s="2" t="s">
        <v>490</v>
      </c>
      <c r="Y551" s="2" t="s">
        <v>2286</v>
      </c>
      <c r="Z551" s="4">
        <v>309</v>
      </c>
      <c r="AA551" s="4">
        <f>=ROUNDDOWN(61.8,0)</f>
      </c>
      <c r="AB551" s="5">
        <v>5</v>
      </c>
      <c r="AC551" s="2" t="s">
        <v>100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117</v>
      </c>
      <c r="BK551" s="8">
        <v>6589.84</v>
      </c>
      <c r="BL551" s="2" t="s">
        <v>2292</v>
      </c>
      <c r="BM551" s="7"/>
      <c r="BN551" s="7"/>
      <c r="BO551" s="4"/>
      <c r="BP551" s="8"/>
      <c r="BQ551" s="4"/>
      <c r="BR551" s="8"/>
      <c r="BS551" s="7"/>
      <c r="BT551" s="7"/>
      <c r="BU551" s="2" t="s">
        <v>2288</v>
      </c>
      <c r="BV551" s="2" t="s">
        <v>97</v>
      </c>
      <c r="BW551" s="2" t="s">
        <v>643</v>
      </c>
      <c r="BX551" s="2" t="s">
        <v>100</v>
      </c>
      <c r="BY551" s="2" t="s">
        <v>113</v>
      </c>
      <c r="BZ551" s="2" t="s">
        <v>100</v>
      </c>
    </row>
    <row r="552">
      <c r="A552" s="2" t="s">
        <v>2293</v>
      </c>
      <c r="B552" s="2" t="s">
        <v>87</v>
      </c>
      <c r="C552" s="2" t="s">
        <v>2213</v>
      </c>
      <c r="D552" s="2" t="s">
        <v>803</v>
      </c>
      <c r="E552" s="2" t="s">
        <v>804</v>
      </c>
      <c r="F552" s="2" t="s">
        <v>1171</v>
      </c>
      <c r="G552" s="2" t="s">
        <v>2294</v>
      </c>
      <c r="H552" s="2" t="s">
        <v>2295</v>
      </c>
      <c r="I552" s="2" t="s">
        <v>2296</v>
      </c>
      <c r="J552" s="2" t="s">
        <v>706</v>
      </c>
      <c r="K552" s="2" t="s">
        <v>718</v>
      </c>
      <c r="L552" s="3">
        <v>48.71</v>
      </c>
      <c r="M552" s="3">
        <v>51.15</v>
      </c>
      <c r="N552" s="3">
        <v>109.99</v>
      </c>
      <c r="O552" s="2" t="s">
        <v>97</v>
      </c>
      <c r="P552" s="2" t="s">
        <v>225</v>
      </c>
      <c r="Q552" s="2" t="s">
        <v>99</v>
      </c>
      <c r="R552" s="2" t="s">
        <v>100</v>
      </c>
      <c r="S552" s="2" t="s">
        <v>2297</v>
      </c>
      <c r="T552" s="2" t="s">
        <v>218</v>
      </c>
      <c r="U552" s="2" t="s">
        <v>833</v>
      </c>
      <c r="V552" s="2" t="s">
        <v>338</v>
      </c>
      <c r="W552" s="2" t="s">
        <v>561</v>
      </c>
      <c r="X552" s="2" t="s">
        <v>104</v>
      </c>
      <c r="Y552" s="2" t="s">
        <v>2298</v>
      </c>
      <c r="Z552" s="4">
        <v>381</v>
      </c>
      <c r="AA552" s="4">
        <f>=ROUNDDOWN(31.75,0)</f>
      </c>
      <c r="AB552" s="5">
        <v>12</v>
      </c>
      <c r="AC552" s="2" t="s">
        <v>100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/>
      <c r="BJ552" s="4">
        <v>57</v>
      </c>
      <c r="BK552" s="8">
        <v>3129.54</v>
      </c>
      <c r="BL552" s="2" t="s">
        <v>2299</v>
      </c>
      <c r="BM552" s="7"/>
      <c r="BN552" s="7"/>
      <c r="BO552" s="4"/>
      <c r="BP552" s="8"/>
      <c r="BQ552" s="4"/>
      <c r="BR552" s="8"/>
      <c r="BS552" s="7"/>
      <c r="BT552" s="7"/>
      <c r="BU552" s="2" t="s">
        <v>207</v>
      </c>
      <c r="BV552" s="2" t="s">
        <v>97</v>
      </c>
      <c r="BW552" s="2" t="s">
        <v>100</v>
      </c>
      <c r="BX552" s="2" t="s">
        <v>100</v>
      </c>
      <c r="BY552" s="2" t="s">
        <v>113</v>
      </c>
      <c r="BZ552" s="2" t="s">
        <v>100</v>
      </c>
    </row>
    <row r="553">
      <c r="A553" s="2" t="s">
        <v>2300</v>
      </c>
      <c r="B553" s="2" t="s">
        <v>87</v>
      </c>
      <c r="C553" s="2" t="s">
        <v>2213</v>
      </c>
      <c r="D553" s="2" t="s">
        <v>803</v>
      </c>
      <c r="E553" s="2" t="s">
        <v>804</v>
      </c>
      <c r="F553" s="2" t="s">
        <v>1171</v>
      </c>
      <c r="G553" s="2" t="s">
        <v>2294</v>
      </c>
      <c r="H553" s="2" t="s">
        <v>2295</v>
      </c>
      <c r="I553" s="2" t="s">
        <v>2296</v>
      </c>
      <c r="J553" s="2" t="s">
        <v>714</v>
      </c>
      <c r="K553" s="2" t="s">
        <v>718</v>
      </c>
      <c r="L553" s="3">
        <v>54.43</v>
      </c>
      <c r="M553" s="3">
        <v>57.15</v>
      </c>
      <c r="N553" s="3">
        <v>119.99</v>
      </c>
      <c r="O553" s="2" t="s">
        <v>97</v>
      </c>
      <c r="P553" s="2" t="s">
        <v>225</v>
      </c>
      <c r="Q553" s="2" t="s">
        <v>99</v>
      </c>
      <c r="R553" s="2" t="s">
        <v>100</v>
      </c>
      <c r="S553" s="2" t="s">
        <v>2297</v>
      </c>
      <c r="T553" s="2" t="s">
        <v>218</v>
      </c>
      <c r="U553" s="2" t="s">
        <v>833</v>
      </c>
      <c r="V553" s="2" t="s">
        <v>338</v>
      </c>
      <c r="W553" s="2" t="s">
        <v>561</v>
      </c>
      <c r="X553" s="2" t="s">
        <v>104</v>
      </c>
      <c r="Y553" s="2" t="s">
        <v>2298</v>
      </c>
      <c r="Z553" s="4">
        <v>292</v>
      </c>
      <c r="AA553" s="4">
        <f>=ROUNDDOWN(29.2,0)</f>
      </c>
      <c r="AB553" s="5">
        <v>10</v>
      </c>
      <c r="AC553" s="2" t="s">
        <v>100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/>
      <c r="BJ553" s="4">
        <v>53</v>
      </c>
      <c r="BK553" s="8">
        <v>3255.07</v>
      </c>
      <c r="BL553" s="2" t="s">
        <v>658</v>
      </c>
      <c r="BM553" s="7"/>
      <c r="BN553" s="7"/>
      <c r="BO553" s="4"/>
      <c r="BP553" s="8"/>
      <c r="BQ553" s="4"/>
      <c r="BR553" s="8"/>
      <c r="BS553" s="7"/>
      <c r="BT553" s="7"/>
      <c r="BU553" s="2" t="s">
        <v>207</v>
      </c>
      <c r="BV553" s="2" t="s">
        <v>97</v>
      </c>
      <c r="BW553" s="2" t="s">
        <v>100</v>
      </c>
      <c r="BX553" s="2" t="s">
        <v>100</v>
      </c>
      <c r="BY553" s="2" t="s">
        <v>113</v>
      </c>
      <c r="BZ553" s="2" t="s">
        <v>100</v>
      </c>
    </row>
    <row r="554">
      <c r="A554" s="2" t="s">
        <v>2301</v>
      </c>
      <c r="B554" s="2" t="s">
        <v>87</v>
      </c>
      <c r="C554" s="2" t="s">
        <v>2213</v>
      </c>
      <c r="D554" s="2" t="s">
        <v>803</v>
      </c>
      <c r="E554" s="2" t="s">
        <v>804</v>
      </c>
      <c r="F554" s="2" t="s">
        <v>1171</v>
      </c>
      <c r="G554" s="2" t="s">
        <v>2294</v>
      </c>
      <c r="H554" s="2" t="s">
        <v>2295</v>
      </c>
      <c r="I554" s="2" t="s">
        <v>2296</v>
      </c>
      <c r="J554" s="2" t="s">
        <v>817</v>
      </c>
      <c r="K554" s="2" t="s">
        <v>718</v>
      </c>
      <c r="L554" s="3">
        <v>54.43</v>
      </c>
      <c r="M554" s="3">
        <v>57.15</v>
      </c>
      <c r="N554" s="3">
        <v>119.99</v>
      </c>
      <c r="O554" s="2" t="s">
        <v>97</v>
      </c>
      <c r="P554" s="2" t="s">
        <v>225</v>
      </c>
      <c r="Q554" s="2" t="s">
        <v>99</v>
      </c>
      <c r="R554" s="2" t="s">
        <v>100</v>
      </c>
      <c r="S554" s="2" t="s">
        <v>2297</v>
      </c>
      <c r="T554" s="2" t="s">
        <v>218</v>
      </c>
      <c r="U554" s="2" t="s">
        <v>833</v>
      </c>
      <c r="V554" s="2" t="s">
        <v>338</v>
      </c>
      <c r="W554" s="2" t="s">
        <v>561</v>
      </c>
      <c r="X554" s="2" t="s">
        <v>104</v>
      </c>
      <c r="Y554" s="2" t="s">
        <v>2298</v>
      </c>
      <c r="Z554" s="4">
        <v>160</v>
      </c>
      <c r="AA554" s="4">
        <f>=ROUNDDOWN(40,0)</f>
      </c>
      <c r="AB554" s="5">
        <v>4</v>
      </c>
      <c r="AC554" s="2" t="s">
        <v>100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/>
      <c r="BJ554" s="4">
        <v>29</v>
      </c>
      <c r="BK554" s="8">
        <v>1786.3</v>
      </c>
      <c r="BL554" s="2" t="s">
        <v>2302</v>
      </c>
      <c r="BM554" s="7"/>
      <c r="BN554" s="7"/>
      <c r="BO554" s="4"/>
      <c r="BP554" s="8"/>
      <c r="BQ554" s="4"/>
      <c r="BR554" s="8"/>
      <c r="BS554" s="7"/>
      <c r="BT554" s="7"/>
      <c r="BU554" s="2" t="s">
        <v>207</v>
      </c>
      <c r="BV554" s="2" t="s">
        <v>97</v>
      </c>
      <c r="BW554" s="2" t="s">
        <v>100</v>
      </c>
      <c r="BX554" s="2" t="s">
        <v>100</v>
      </c>
      <c r="BY554" s="2" t="s">
        <v>113</v>
      </c>
      <c r="BZ554" s="2" t="s">
        <v>100</v>
      </c>
    </row>
    <row r="555">
      <c r="A555" s="2" t="s">
        <v>2303</v>
      </c>
      <c r="B555" s="2" t="s">
        <v>87</v>
      </c>
      <c r="C555" s="2" t="s">
        <v>2213</v>
      </c>
      <c r="D555" s="2" t="s">
        <v>803</v>
      </c>
      <c r="E555" s="2" t="s">
        <v>804</v>
      </c>
      <c r="F555" s="2" t="s">
        <v>1171</v>
      </c>
      <c r="G555" s="2" t="s">
        <v>2294</v>
      </c>
      <c r="H555" s="2" t="s">
        <v>2295</v>
      </c>
      <c r="I555" s="2" t="s">
        <v>2296</v>
      </c>
      <c r="J555" s="2" t="s">
        <v>706</v>
      </c>
      <c r="K555" s="2" t="s">
        <v>360</v>
      </c>
      <c r="L555" s="3">
        <v>48.71</v>
      </c>
      <c r="M555" s="3">
        <v>51.15</v>
      </c>
      <c r="N555" s="3">
        <v>109.99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2304</v>
      </c>
      <c r="T555" s="2" t="s">
        <v>218</v>
      </c>
      <c r="U555" s="2" t="s">
        <v>833</v>
      </c>
      <c r="V555" s="2" t="s">
        <v>338</v>
      </c>
      <c r="W555" s="2" t="s">
        <v>561</v>
      </c>
      <c r="X555" s="2" t="s">
        <v>104</v>
      </c>
      <c r="Y555" s="2" t="s">
        <v>2305</v>
      </c>
      <c r="Z555" s="4">
        <v>837</v>
      </c>
      <c r="AA555" s="4">
        <f>=ROUNDDOWN(22.6216216216216,0)</f>
      </c>
      <c r="AB555" s="5">
        <v>37</v>
      </c>
      <c r="AC555" s="2" t="s">
        <v>931</v>
      </c>
      <c r="AD555" s="4">
        <v>320</v>
      </c>
      <c r="AE555" s="4">
        <v>680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/>
      <c r="BJ555" s="4">
        <v>949</v>
      </c>
      <c r="BK555" s="8">
        <v>50604.16</v>
      </c>
      <c r="BL555" s="2" t="s">
        <v>2306</v>
      </c>
      <c r="BM555" s="7"/>
      <c r="BN555" s="7"/>
      <c r="BO555" s="4"/>
      <c r="BP555" s="8"/>
      <c r="BQ555" s="4"/>
      <c r="BR555" s="8"/>
      <c r="BS555" s="7"/>
      <c r="BT555" s="7"/>
      <c r="BU555" s="2" t="s">
        <v>207</v>
      </c>
      <c r="BV555" s="2" t="s">
        <v>97</v>
      </c>
      <c r="BW555" s="2" t="s">
        <v>100</v>
      </c>
      <c r="BX555" s="2" t="s">
        <v>100</v>
      </c>
      <c r="BY555" s="2" t="s">
        <v>113</v>
      </c>
      <c r="BZ555" s="2" t="s">
        <v>100</v>
      </c>
    </row>
    <row r="556">
      <c r="A556" s="2" t="s">
        <v>2307</v>
      </c>
      <c r="B556" s="2" t="s">
        <v>87</v>
      </c>
      <c r="C556" s="2" t="s">
        <v>2213</v>
      </c>
      <c r="D556" s="2" t="s">
        <v>803</v>
      </c>
      <c r="E556" s="2" t="s">
        <v>804</v>
      </c>
      <c r="F556" s="2" t="s">
        <v>1171</v>
      </c>
      <c r="G556" s="2" t="s">
        <v>2294</v>
      </c>
      <c r="H556" s="2" t="s">
        <v>2295</v>
      </c>
      <c r="I556" s="2" t="s">
        <v>2296</v>
      </c>
      <c r="J556" s="2" t="s">
        <v>714</v>
      </c>
      <c r="K556" s="2" t="s">
        <v>360</v>
      </c>
      <c r="L556" s="3">
        <v>54.43</v>
      </c>
      <c r="M556" s="3">
        <v>57.15</v>
      </c>
      <c r="N556" s="3">
        <v>119.99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2304</v>
      </c>
      <c r="T556" s="2" t="s">
        <v>218</v>
      </c>
      <c r="U556" s="2" t="s">
        <v>833</v>
      </c>
      <c r="V556" s="2" t="s">
        <v>338</v>
      </c>
      <c r="W556" s="2" t="s">
        <v>561</v>
      </c>
      <c r="X556" s="2" t="s">
        <v>104</v>
      </c>
      <c r="Y556" s="2" t="s">
        <v>2305</v>
      </c>
      <c r="Z556" s="4">
        <v>663</v>
      </c>
      <c r="AA556" s="4">
        <f>=ROUNDDOWN(22.8620689655172,0)</f>
      </c>
      <c r="AB556" s="5">
        <v>29</v>
      </c>
      <c r="AC556" s="2" t="s">
        <v>931</v>
      </c>
      <c r="AD556" s="4">
        <v>330</v>
      </c>
      <c r="AE556" s="4">
        <v>570</v>
      </c>
      <c r="AF556" s="6">
        <v>65</v>
      </c>
      <c r="AG556" s="6"/>
      <c r="AH556" s="7">
        <v>0.984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/>
      <c r="BJ556" s="4">
        <v>679</v>
      </c>
      <c r="BK556" s="8">
        <v>40984.83</v>
      </c>
      <c r="BL556" s="2" t="s">
        <v>2308</v>
      </c>
      <c r="BM556" s="7"/>
      <c r="BN556" s="7"/>
      <c r="BO556" s="4"/>
      <c r="BP556" s="8"/>
      <c r="BQ556" s="4"/>
      <c r="BR556" s="8"/>
      <c r="BS556" s="7"/>
      <c r="BT556" s="7"/>
      <c r="BU556" s="2" t="s">
        <v>207</v>
      </c>
      <c r="BV556" s="2" t="s">
        <v>97</v>
      </c>
      <c r="BW556" s="2" t="s">
        <v>100</v>
      </c>
      <c r="BX556" s="2" t="s">
        <v>100</v>
      </c>
      <c r="BY556" s="2" t="s">
        <v>113</v>
      </c>
      <c r="BZ556" s="2" t="s">
        <v>100</v>
      </c>
    </row>
    <row r="557">
      <c r="A557" s="2" t="s">
        <v>2309</v>
      </c>
      <c r="B557" s="2" t="s">
        <v>87</v>
      </c>
      <c r="C557" s="2" t="s">
        <v>2213</v>
      </c>
      <c r="D557" s="2" t="s">
        <v>803</v>
      </c>
      <c r="E557" s="2" t="s">
        <v>804</v>
      </c>
      <c r="F557" s="2" t="s">
        <v>1171</v>
      </c>
      <c r="G557" s="2" t="s">
        <v>2294</v>
      </c>
      <c r="H557" s="2" t="s">
        <v>2295</v>
      </c>
      <c r="I557" s="2" t="s">
        <v>2296</v>
      </c>
      <c r="J557" s="2" t="s">
        <v>817</v>
      </c>
      <c r="K557" s="2" t="s">
        <v>360</v>
      </c>
      <c r="L557" s="3">
        <v>54.43</v>
      </c>
      <c r="M557" s="3">
        <v>57.15</v>
      </c>
      <c r="N557" s="3">
        <v>119.99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2304</v>
      </c>
      <c r="T557" s="2" t="s">
        <v>218</v>
      </c>
      <c r="U557" s="2" t="s">
        <v>833</v>
      </c>
      <c r="V557" s="2" t="s">
        <v>338</v>
      </c>
      <c r="W557" s="2" t="s">
        <v>561</v>
      </c>
      <c r="X557" s="2" t="s">
        <v>104</v>
      </c>
      <c r="Y557" s="2" t="s">
        <v>2305</v>
      </c>
      <c r="Z557" s="4">
        <v>460</v>
      </c>
      <c r="AA557" s="4">
        <f>=ROUNDDOWN(35.3846153846154,0)</f>
      </c>
      <c r="AB557" s="5">
        <v>13</v>
      </c>
      <c r="AC557" s="2" t="s">
        <v>931</v>
      </c>
      <c r="AD557" s="4">
        <v>150</v>
      </c>
      <c r="AE557" s="4">
        <v>150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/>
      <c r="BJ557" s="4">
        <v>305</v>
      </c>
      <c r="BK557" s="8">
        <v>18576.21</v>
      </c>
      <c r="BL557" s="2" t="s">
        <v>2310</v>
      </c>
      <c r="BM557" s="7"/>
      <c r="BN557" s="7"/>
      <c r="BO557" s="4"/>
      <c r="BP557" s="8"/>
      <c r="BQ557" s="4"/>
      <c r="BR557" s="8"/>
      <c r="BS557" s="7"/>
      <c r="BT557" s="7"/>
      <c r="BU557" s="2" t="s">
        <v>207</v>
      </c>
      <c r="BV557" s="2" t="s">
        <v>97</v>
      </c>
      <c r="BW557" s="2" t="s">
        <v>100</v>
      </c>
      <c r="BX557" s="2" t="s">
        <v>100</v>
      </c>
      <c r="BY557" s="2" t="s">
        <v>113</v>
      </c>
      <c r="BZ557" s="2" t="s">
        <v>100</v>
      </c>
    </row>
    <row r="558">
      <c r="A558" s="2" t="s">
        <v>2311</v>
      </c>
      <c r="B558" s="2" t="s">
        <v>87</v>
      </c>
      <c r="C558" s="2" t="s">
        <v>2213</v>
      </c>
      <c r="D558" s="2" t="s">
        <v>803</v>
      </c>
      <c r="E558" s="2" t="s">
        <v>804</v>
      </c>
      <c r="F558" s="2" t="s">
        <v>1171</v>
      </c>
      <c r="G558" s="2" t="s">
        <v>2294</v>
      </c>
      <c r="H558" s="2" t="s">
        <v>2295</v>
      </c>
      <c r="I558" s="2" t="s">
        <v>2296</v>
      </c>
      <c r="J558" s="2" t="s">
        <v>706</v>
      </c>
      <c r="K558" s="2" t="s">
        <v>189</v>
      </c>
      <c r="L558" s="3">
        <v>48.71</v>
      </c>
      <c r="M558" s="3">
        <v>51.15</v>
      </c>
      <c r="N558" s="3">
        <v>109.99</v>
      </c>
      <c r="O558" s="2" t="s">
        <v>97</v>
      </c>
      <c r="P558" s="2" t="s">
        <v>119</v>
      </c>
      <c r="Q558" s="2" t="s">
        <v>99</v>
      </c>
      <c r="R558" s="2" t="s">
        <v>100</v>
      </c>
      <c r="S558" s="2" t="s">
        <v>2312</v>
      </c>
      <c r="T558" s="2" t="s">
        <v>218</v>
      </c>
      <c r="U558" s="2" t="s">
        <v>833</v>
      </c>
      <c r="V558" s="2" t="s">
        <v>338</v>
      </c>
      <c r="W558" s="2" t="s">
        <v>561</v>
      </c>
      <c r="X558" s="2" t="s">
        <v>104</v>
      </c>
      <c r="Y558" s="2" t="s">
        <v>2305</v>
      </c>
      <c r="Z558" s="4">
        <v>592</v>
      </c>
      <c r="AA558" s="4">
        <f>=ROUNDDOWN(29.6,0)</f>
      </c>
      <c r="AB558" s="5">
        <v>20</v>
      </c>
      <c r="AC558" s="2" t="s">
        <v>1342</v>
      </c>
      <c r="AD558" s="4">
        <v>160</v>
      </c>
      <c r="AE558" s="4">
        <v>160</v>
      </c>
      <c r="AF558" s="6">
        <v>65</v>
      </c>
      <c r="AG558" s="6"/>
      <c r="AH558" s="7">
        <v>0.9626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/>
      <c r="BJ558" s="4">
        <v>536</v>
      </c>
      <c r="BK558" s="8">
        <v>26464.48</v>
      </c>
      <c r="BL558" s="2" t="s">
        <v>2313</v>
      </c>
      <c r="BM558" s="7"/>
      <c r="BN558" s="7"/>
      <c r="BO558" s="4"/>
      <c r="BP558" s="8"/>
      <c r="BQ558" s="4"/>
      <c r="BR558" s="8"/>
      <c r="BS558" s="7"/>
      <c r="BT558" s="7"/>
      <c r="BU558" s="2" t="s">
        <v>207</v>
      </c>
      <c r="BV558" s="2" t="s">
        <v>97</v>
      </c>
      <c r="BW558" s="2" t="s">
        <v>100</v>
      </c>
      <c r="BX558" s="2" t="s">
        <v>100</v>
      </c>
      <c r="BY558" s="2" t="s">
        <v>113</v>
      </c>
      <c r="BZ558" s="2" t="s">
        <v>100</v>
      </c>
    </row>
    <row r="559">
      <c r="A559" s="2" t="s">
        <v>2314</v>
      </c>
      <c r="B559" s="2" t="s">
        <v>87</v>
      </c>
      <c r="C559" s="2" t="s">
        <v>2213</v>
      </c>
      <c r="D559" s="2" t="s">
        <v>803</v>
      </c>
      <c r="E559" s="2" t="s">
        <v>804</v>
      </c>
      <c r="F559" s="2" t="s">
        <v>1171</v>
      </c>
      <c r="G559" s="2" t="s">
        <v>2294</v>
      </c>
      <c r="H559" s="2" t="s">
        <v>2295</v>
      </c>
      <c r="I559" s="2" t="s">
        <v>2296</v>
      </c>
      <c r="J559" s="2" t="s">
        <v>714</v>
      </c>
      <c r="K559" s="2" t="s">
        <v>189</v>
      </c>
      <c r="L559" s="3">
        <v>54.43</v>
      </c>
      <c r="M559" s="3">
        <v>57.15</v>
      </c>
      <c r="N559" s="3">
        <v>119.99</v>
      </c>
      <c r="O559" s="2" t="s">
        <v>97</v>
      </c>
      <c r="P559" s="2" t="s">
        <v>119</v>
      </c>
      <c r="Q559" s="2" t="s">
        <v>99</v>
      </c>
      <c r="R559" s="2" t="s">
        <v>100</v>
      </c>
      <c r="S559" s="2" t="s">
        <v>2312</v>
      </c>
      <c r="T559" s="2" t="s">
        <v>218</v>
      </c>
      <c r="U559" s="2" t="s">
        <v>833</v>
      </c>
      <c r="V559" s="2" t="s">
        <v>338</v>
      </c>
      <c r="W559" s="2" t="s">
        <v>561</v>
      </c>
      <c r="X559" s="2" t="s">
        <v>104</v>
      </c>
      <c r="Y559" s="2" t="s">
        <v>2305</v>
      </c>
      <c r="Z559" s="4">
        <v>539</v>
      </c>
      <c r="AA559" s="4">
        <f>=ROUNDDOWN(28.3684210526316,0)</f>
      </c>
      <c r="AB559" s="5">
        <v>19</v>
      </c>
      <c r="AC559" s="2" t="s">
        <v>1342</v>
      </c>
      <c r="AD559" s="4">
        <v>200</v>
      </c>
      <c r="AE559" s="4">
        <v>200</v>
      </c>
      <c r="AF559" s="6">
        <v>65</v>
      </c>
      <c r="AG559" s="6"/>
      <c r="AH559" s="7">
        <v>0.9947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/>
      <c r="BJ559" s="4">
        <v>474</v>
      </c>
      <c r="BK559" s="8">
        <v>26309.69</v>
      </c>
      <c r="BL559" s="2" t="s">
        <v>2315</v>
      </c>
      <c r="BM559" s="7"/>
      <c r="BN559" s="7"/>
      <c r="BO559" s="4"/>
      <c r="BP559" s="8"/>
      <c r="BQ559" s="4"/>
      <c r="BR559" s="8"/>
      <c r="BS559" s="7"/>
      <c r="BT559" s="7"/>
      <c r="BU559" s="2" t="s">
        <v>207</v>
      </c>
      <c r="BV559" s="2" t="s">
        <v>97</v>
      </c>
      <c r="BW559" s="2" t="s">
        <v>100</v>
      </c>
      <c r="BX559" s="2" t="s">
        <v>100</v>
      </c>
      <c r="BY559" s="2" t="s">
        <v>113</v>
      </c>
      <c r="BZ559" s="2" t="s">
        <v>100</v>
      </c>
    </row>
    <row r="560">
      <c r="A560" s="2" t="s">
        <v>2316</v>
      </c>
      <c r="B560" s="2" t="s">
        <v>87</v>
      </c>
      <c r="C560" s="2" t="s">
        <v>2213</v>
      </c>
      <c r="D560" s="2" t="s">
        <v>803</v>
      </c>
      <c r="E560" s="2" t="s">
        <v>804</v>
      </c>
      <c r="F560" s="2" t="s">
        <v>1171</v>
      </c>
      <c r="G560" s="2" t="s">
        <v>2294</v>
      </c>
      <c r="H560" s="2" t="s">
        <v>2295</v>
      </c>
      <c r="I560" s="2" t="s">
        <v>2296</v>
      </c>
      <c r="J560" s="2" t="s">
        <v>817</v>
      </c>
      <c r="K560" s="2" t="s">
        <v>189</v>
      </c>
      <c r="L560" s="3">
        <v>54.43</v>
      </c>
      <c r="M560" s="3">
        <v>57.15</v>
      </c>
      <c r="N560" s="3">
        <v>119.99</v>
      </c>
      <c r="O560" s="2" t="s">
        <v>97</v>
      </c>
      <c r="P560" s="2" t="s">
        <v>119</v>
      </c>
      <c r="Q560" s="2" t="s">
        <v>99</v>
      </c>
      <c r="R560" s="2" t="s">
        <v>100</v>
      </c>
      <c r="S560" s="2" t="s">
        <v>2312</v>
      </c>
      <c r="T560" s="2" t="s">
        <v>218</v>
      </c>
      <c r="U560" s="2" t="s">
        <v>833</v>
      </c>
      <c r="V560" s="2" t="s">
        <v>338</v>
      </c>
      <c r="W560" s="2" t="s">
        <v>561</v>
      </c>
      <c r="X560" s="2" t="s">
        <v>104</v>
      </c>
      <c r="Y560" s="2" t="s">
        <v>2305</v>
      </c>
      <c r="Z560" s="4">
        <v>438</v>
      </c>
      <c r="AA560" s="4">
        <f>=ROUNDDOWN(48.6666666666667,0)</f>
      </c>
      <c r="AB560" s="5">
        <v>9</v>
      </c>
      <c r="AC560" s="2" t="s">
        <v>100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/>
      <c r="BJ560" s="4">
        <v>214</v>
      </c>
      <c r="BK560" s="8">
        <v>11894.77</v>
      </c>
      <c r="BL560" s="2" t="s">
        <v>2317</v>
      </c>
      <c r="BM560" s="7"/>
      <c r="BN560" s="7"/>
      <c r="BO560" s="4"/>
      <c r="BP560" s="8"/>
      <c r="BQ560" s="4"/>
      <c r="BR560" s="8"/>
      <c r="BS560" s="7"/>
      <c r="BT560" s="7"/>
      <c r="BU560" s="2" t="s">
        <v>207</v>
      </c>
      <c r="BV560" s="2" t="s">
        <v>97</v>
      </c>
      <c r="BW560" s="2" t="s">
        <v>100</v>
      </c>
      <c r="BX560" s="2" t="s">
        <v>100</v>
      </c>
      <c r="BY560" s="2" t="s">
        <v>113</v>
      </c>
      <c r="BZ560" s="2" t="s">
        <v>100</v>
      </c>
    </row>
    <row r="561">
      <c r="A561" s="2" t="s">
        <v>2318</v>
      </c>
      <c r="B561" s="2" t="s">
        <v>87</v>
      </c>
      <c r="C561" s="2" t="s">
        <v>2213</v>
      </c>
      <c r="D561" s="2" t="s">
        <v>803</v>
      </c>
      <c r="E561" s="2" t="s">
        <v>804</v>
      </c>
      <c r="F561" s="2" t="s">
        <v>2319</v>
      </c>
      <c r="G561" s="2" t="s">
        <v>2320</v>
      </c>
      <c r="H561" s="2" t="s">
        <v>2321</v>
      </c>
      <c r="I561" s="2" t="s">
        <v>2322</v>
      </c>
      <c r="J561" s="2" t="s">
        <v>706</v>
      </c>
      <c r="K561" s="2" t="s">
        <v>198</v>
      </c>
      <c r="L561" s="3">
        <v>49.61</v>
      </c>
      <c r="M561" s="3">
        <v>52.09</v>
      </c>
      <c r="N561" s="3">
        <v>109.99</v>
      </c>
      <c r="O561" s="2" t="s">
        <v>97</v>
      </c>
      <c r="P561" s="2" t="s">
        <v>119</v>
      </c>
      <c r="Q561" s="2" t="s">
        <v>99</v>
      </c>
      <c r="R561" s="2" t="s">
        <v>100</v>
      </c>
      <c r="S561" s="2" t="s">
        <v>2323</v>
      </c>
      <c r="T561" s="2" t="s">
        <v>218</v>
      </c>
      <c r="U561" s="2" t="s">
        <v>833</v>
      </c>
      <c r="V561" s="2" t="s">
        <v>434</v>
      </c>
      <c r="W561" s="2" t="s">
        <v>104</v>
      </c>
      <c r="X561" s="2" t="s">
        <v>105</v>
      </c>
      <c r="Y561" s="2" t="s">
        <v>2324</v>
      </c>
      <c r="Z561" s="4">
        <v>245</v>
      </c>
      <c r="AA561" s="4">
        <f>=ROUNDDOWN(13.6111111111111,0)</f>
      </c>
      <c r="AB561" s="5">
        <v>18</v>
      </c>
      <c r="AC561" s="2" t="s">
        <v>768</v>
      </c>
      <c r="AD561" s="4">
        <v>420</v>
      </c>
      <c r="AE561" s="4">
        <v>420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/>
      <c r="BJ561" s="4">
        <v>419</v>
      </c>
      <c r="BK561" s="8">
        <v>20839.41</v>
      </c>
      <c r="BL561" s="2" t="s">
        <v>2325</v>
      </c>
      <c r="BM561" s="7"/>
      <c r="BN561" s="7"/>
      <c r="BO561" s="4"/>
      <c r="BP561" s="8"/>
      <c r="BQ561" s="4"/>
      <c r="BR561" s="8"/>
      <c r="BS561" s="7"/>
      <c r="BT561" s="7"/>
      <c r="BU561" s="2" t="s">
        <v>268</v>
      </c>
      <c r="BV561" s="2" t="s">
        <v>97</v>
      </c>
      <c r="BW561" s="2" t="s">
        <v>100</v>
      </c>
      <c r="BX561" s="2" t="s">
        <v>100</v>
      </c>
      <c r="BY561" s="2" t="s">
        <v>113</v>
      </c>
      <c r="BZ561" s="2" t="s">
        <v>100</v>
      </c>
    </row>
    <row r="562">
      <c r="A562" s="2" t="s">
        <v>2326</v>
      </c>
      <c r="B562" s="2" t="s">
        <v>87</v>
      </c>
      <c r="C562" s="2" t="s">
        <v>2213</v>
      </c>
      <c r="D562" s="2" t="s">
        <v>803</v>
      </c>
      <c r="E562" s="2" t="s">
        <v>804</v>
      </c>
      <c r="F562" s="2" t="s">
        <v>2319</v>
      </c>
      <c r="G562" s="2" t="s">
        <v>2320</v>
      </c>
      <c r="H562" s="2" t="s">
        <v>2321</v>
      </c>
      <c r="I562" s="2" t="s">
        <v>2322</v>
      </c>
      <c r="J562" s="2" t="s">
        <v>714</v>
      </c>
      <c r="K562" s="2" t="s">
        <v>198</v>
      </c>
      <c r="L562" s="3">
        <v>55.44</v>
      </c>
      <c r="M562" s="3">
        <v>58.21</v>
      </c>
      <c r="N562" s="3">
        <v>119.99</v>
      </c>
      <c r="O562" s="2" t="s">
        <v>97</v>
      </c>
      <c r="P562" s="2" t="s">
        <v>119</v>
      </c>
      <c r="Q562" s="2" t="s">
        <v>99</v>
      </c>
      <c r="R562" s="2" t="s">
        <v>100</v>
      </c>
      <c r="S562" s="2" t="s">
        <v>2323</v>
      </c>
      <c r="T562" s="2" t="s">
        <v>218</v>
      </c>
      <c r="U562" s="2" t="s">
        <v>833</v>
      </c>
      <c r="V562" s="2" t="s">
        <v>434</v>
      </c>
      <c r="W562" s="2" t="s">
        <v>104</v>
      </c>
      <c r="X562" s="2" t="s">
        <v>105</v>
      </c>
      <c r="Y562" s="2" t="s">
        <v>2324</v>
      </c>
      <c r="Z562" s="4">
        <v>473</v>
      </c>
      <c r="AA562" s="4">
        <f>=ROUNDDOWN(39.4166666666667,0)</f>
      </c>
      <c r="AB562" s="5">
        <v>12</v>
      </c>
      <c r="AC562" s="2" t="s">
        <v>768</v>
      </c>
      <c r="AD562" s="4">
        <v>200</v>
      </c>
      <c r="AE562" s="4">
        <v>200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/>
      <c r="BJ562" s="4">
        <v>291</v>
      </c>
      <c r="BK562" s="8">
        <v>16132.74</v>
      </c>
      <c r="BL562" s="2" t="s">
        <v>2327</v>
      </c>
      <c r="BM562" s="7"/>
      <c r="BN562" s="7"/>
      <c r="BO562" s="4"/>
      <c r="BP562" s="8"/>
      <c r="BQ562" s="4"/>
      <c r="BR562" s="8"/>
      <c r="BS562" s="7"/>
      <c r="BT562" s="7"/>
      <c r="BU562" s="2" t="s">
        <v>268</v>
      </c>
      <c r="BV562" s="2" t="s">
        <v>97</v>
      </c>
      <c r="BW562" s="2" t="s">
        <v>100</v>
      </c>
      <c r="BX562" s="2" t="s">
        <v>100</v>
      </c>
      <c r="BY562" s="2" t="s">
        <v>113</v>
      </c>
      <c r="BZ562" s="2" t="s">
        <v>100</v>
      </c>
    </row>
    <row r="563">
      <c r="A563" s="2" t="s">
        <v>2328</v>
      </c>
      <c r="B563" s="2" t="s">
        <v>87</v>
      </c>
      <c r="C563" s="2" t="s">
        <v>2213</v>
      </c>
      <c r="D563" s="2" t="s">
        <v>803</v>
      </c>
      <c r="E563" s="2" t="s">
        <v>804</v>
      </c>
      <c r="F563" s="2" t="s">
        <v>2319</v>
      </c>
      <c r="G563" s="2" t="s">
        <v>2320</v>
      </c>
      <c r="H563" s="2" t="s">
        <v>2321</v>
      </c>
      <c r="I563" s="2" t="s">
        <v>2322</v>
      </c>
      <c r="J563" s="2" t="s">
        <v>817</v>
      </c>
      <c r="K563" s="2" t="s">
        <v>198</v>
      </c>
      <c r="L563" s="3">
        <v>55.44</v>
      </c>
      <c r="M563" s="3">
        <v>58.21</v>
      </c>
      <c r="N563" s="3">
        <v>119.99</v>
      </c>
      <c r="O563" s="2" t="s">
        <v>97</v>
      </c>
      <c r="P563" s="2" t="s">
        <v>119</v>
      </c>
      <c r="Q563" s="2" t="s">
        <v>99</v>
      </c>
      <c r="R563" s="2" t="s">
        <v>100</v>
      </c>
      <c r="S563" s="2" t="s">
        <v>2323</v>
      </c>
      <c r="T563" s="2" t="s">
        <v>218</v>
      </c>
      <c r="U563" s="2" t="s">
        <v>833</v>
      </c>
      <c r="V563" s="2" t="s">
        <v>434</v>
      </c>
      <c r="W563" s="2" t="s">
        <v>104</v>
      </c>
      <c r="X563" s="2" t="s">
        <v>105</v>
      </c>
      <c r="Y563" s="2" t="s">
        <v>2324</v>
      </c>
      <c r="Z563" s="4">
        <v>262</v>
      </c>
      <c r="AA563" s="4">
        <f>=ROUNDDOWN(32.75,0)</f>
      </c>
      <c r="AB563" s="5">
        <v>8</v>
      </c>
      <c r="AC563" s="2" t="s">
        <v>768</v>
      </c>
      <c r="AD563" s="4">
        <v>180</v>
      </c>
      <c r="AE563" s="4">
        <v>180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/>
      <c r="BJ563" s="4">
        <v>169</v>
      </c>
      <c r="BK563" s="8">
        <v>9478.39</v>
      </c>
      <c r="BL563" s="2" t="s">
        <v>2329</v>
      </c>
      <c r="BM563" s="7"/>
      <c r="BN563" s="7"/>
      <c r="BO563" s="4"/>
      <c r="BP563" s="8"/>
      <c r="BQ563" s="4"/>
      <c r="BR563" s="8"/>
      <c r="BS563" s="7"/>
      <c r="BT563" s="7"/>
      <c r="BU563" s="2" t="s">
        <v>268</v>
      </c>
      <c r="BV563" s="2" t="s">
        <v>97</v>
      </c>
      <c r="BW563" s="2" t="s">
        <v>100</v>
      </c>
      <c r="BX563" s="2" t="s">
        <v>100</v>
      </c>
      <c r="BY563" s="2" t="s">
        <v>113</v>
      </c>
      <c r="BZ563" s="2" t="s">
        <v>100</v>
      </c>
    </row>
    <row r="564">
      <c r="A564" s="2" t="s">
        <v>2330</v>
      </c>
      <c r="B564" s="2" t="s">
        <v>87</v>
      </c>
      <c r="C564" s="2" t="s">
        <v>2331</v>
      </c>
      <c r="D564" s="2" t="s">
        <v>89</v>
      </c>
      <c r="E564" s="2" t="s">
        <v>2332</v>
      </c>
      <c r="F564" s="2" t="s">
        <v>2333</v>
      </c>
      <c r="G564" s="2" t="s">
        <v>2333</v>
      </c>
      <c r="H564" s="2" t="s">
        <v>2333</v>
      </c>
      <c r="I564" s="2" t="s">
        <v>2334</v>
      </c>
      <c r="J564" s="2" t="s">
        <v>247</v>
      </c>
      <c r="K564" s="2" t="s">
        <v>1172</v>
      </c>
      <c r="L564" s="3">
        <v>50.6</v>
      </c>
      <c r="M564" s="3">
        <v>53.13</v>
      </c>
      <c r="N564" s="3">
        <v>109.99</v>
      </c>
      <c r="O564" s="2" t="s">
        <v>97</v>
      </c>
      <c r="P564" s="2" t="s">
        <v>119</v>
      </c>
      <c r="Q564" s="2" t="s">
        <v>99</v>
      </c>
      <c r="R564" s="2" t="s">
        <v>100</v>
      </c>
      <c r="S564" s="2" t="s">
        <v>2335</v>
      </c>
      <c r="T564" s="2" t="s">
        <v>280</v>
      </c>
      <c r="U564" s="2" t="s">
        <v>480</v>
      </c>
      <c r="V564" s="2" t="s">
        <v>132</v>
      </c>
      <c r="W564" s="2" t="s">
        <v>202</v>
      </c>
      <c r="X564" s="2" t="s">
        <v>219</v>
      </c>
      <c r="Y564" s="2" t="s">
        <v>2336</v>
      </c>
      <c r="Z564" s="4">
        <v>221</v>
      </c>
      <c r="AA564" s="4">
        <f>=ROUNDDOWN(27.625,0)</f>
      </c>
      <c r="AB564" s="5">
        <v>8</v>
      </c>
      <c r="AC564" s="2" t="s">
        <v>241</v>
      </c>
      <c r="AD564" s="4">
        <v>800</v>
      </c>
      <c r="AE564" s="4">
        <v>800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3</v>
      </c>
      <c r="AQ564" s="8">
        <v>183.3</v>
      </c>
      <c r="AR564" s="4"/>
      <c r="AS564" s="8"/>
      <c r="AT564" s="7"/>
      <c r="AU564" s="7"/>
      <c r="AV564" s="4">
        <v>9</v>
      </c>
      <c r="AW564" s="8">
        <v>600.6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0.3052</v>
      </c>
      <c r="BC564" s="4">
        <v>9</v>
      </c>
      <c r="BD564" s="8">
        <v>600.6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1</v>
      </c>
      <c r="BJ564" s="4">
        <v>295</v>
      </c>
      <c r="BK564" s="8">
        <v>15946.41</v>
      </c>
      <c r="BL564" s="2" t="s">
        <v>2337</v>
      </c>
      <c r="BM564" s="7">
        <v>0.0102</v>
      </c>
      <c r="BN564" s="7">
        <v>0.0115</v>
      </c>
      <c r="BO564" s="4">
        <v>3</v>
      </c>
      <c r="BP564" s="8">
        <v>183.3</v>
      </c>
      <c r="BQ564" s="4"/>
      <c r="BR564" s="8"/>
      <c r="BS564" s="7"/>
      <c r="BT564" s="7"/>
      <c r="BU564" s="2" t="s">
        <v>109</v>
      </c>
      <c r="BV564" s="2" t="s">
        <v>110</v>
      </c>
      <c r="BW564" s="2" t="s">
        <v>2338</v>
      </c>
      <c r="BX564" s="2" t="s">
        <v>2339</v>
      </c>
      <c r="BY564" s="2" t="s">
        <v>113</v>
      </c>
      <c r="BZ564" s="2" t="s">
        <v>100</v>
      </c>
    </row>
    <row r="565">
      <c r="A565" s="2" t="s">
        <v>2340</v>
      </c>
      <c r="B565" s="2" t="s">
        <v>87</v>
      </c>
      <c r="C565" s="2" t="s">
        <v>2331</v>
      </c>
      <c r="D565" s="2" t="s">
        <v>89</v>
      </c>
      <c r="E565" s="2" t="s">
        <v>2332</v>
      </c>
      <c r="F565" s="2" t="s">
        <v>2333</v>
      </c>
      <c r="G565" s="2" t="s">
        <v>2333</v>
      </c>
      <c r="H565" s="2" t="s">
        <v>2333</v>
      </c>
      <c r="I565" s="2" t="s">
        <v>2334</v>
      </c>
      <c r="J565" s="2" t="s">
        <v>270</v>
      </c>
      <c r="K565" s="2" t="s">
        <v>1172</v>
      </c>
      <c r="L565" s="3">
        <v>57.6</v>
      </c>
      <c r="M565" s="3">
        <v>60.47</v>
      </c>
      <c r="N565" s="3">
        <v>119.99</v>
      </c>
      <c r="O565" s="2" t="s">
        <v>97</v>
      </c>
      <c r="P565" s="2" t="s">
        <v>119</v>
      </c>
      <c r="Q565" s="2" t="s">
        <v>99</v>
      </c>
      <c r="R565" s="2" t="s">
        <v>100</v>
      </c>
      <c r="S565" s="2" t="s">
        <v>2335</v>
      </c>
      <c r="T565" s="2" t="s">
        <v>280</v>
      </c>
      <c r="U565" s="2" t="s">
        <v>480</v>
      </c>
      <c r="V565" s="2" t="s">
        <v>132</v>
      </c>
      <c r="W565" s="2" t="s">
        <v>202</v>
      </c>
      <c r="X565" s="2" t="s">
        <v>219</v>
      </c>
      <c r="Y565" s="2" t="s">
        <v>2336</v>
      </c>
      <c r="Z565" s="4">
        <v>221</v>
      </c>
      <c r="AA565" s="4">
        <f>=ROUNDDOWN(22.1,0)</f>
      </c>
      <c r="AB565" s="5">
        <v>10</v>
      </c>
      <c r="AC565" s="2" t="s">
        <v>241</v>
      </c>
      <c r="AD565" s="4">
        <v>800</v>
      </c>
      <c r="AE565" s="4">
        <v>800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>
        <v>6</v>
      </c>
      <c r="AQ565" s="8">
        <v>417.3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0.6948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286</v>
      </c>
      <c r="BK565" s="8">
        <v>17785.82</v>
      </c>
      <c r="BL565" s="2" t="s">
        <v>2341</v>
      </c>
      <c r="BM565" s="7">
        <v>0.021</v>
      </c>
      <c r="BN565" s="7">
        <v>0.0235</v>
      </c>
      <c r="BO565" s="4">
        <v>6</v>
      </c>
      <c r="BP565" s="8">
        <v>417.3</v>
      </c>
      <c r="BQ565" s="4"/>
      <c r="BR565" s="8"/>
      <c r="BS565" s="7"/>
      <c r="BT565" s="7"/>
      <c r="BU565" s="2" t="s">
        <v>109</v>
      </c>
      <c r="BV565" s="2" t="s">
        <v>110</v>
      </c>
      <c r="BW565" s="2" t="s">
        <v>2338</v>
      </c>
      <c r="BX565" s="2" t="s">
        <v>2342</v>
      </c>
      <c r="BY565" s="2" t="s">
        <v>113</v>
      </c>
      <c r="BZ565" s="2" t="s">
        <v>100</v>
      </c>
    </row>
    <row r="566">
      <c r="A566" s="2" t="s">
        <v>2343</v>
      </c>
      <c r="B566" s="2" t="s">
        <v>87</v>
      </c>
      <c r="C566" s="2" t="s">
        <v>2331</v>
      </c>
      <c r="D566" s="2" t="s">
        <v>89</v>
      </c>
      <c r="E566" s="2" t="s">
        <v>2332</v>
      </c>
      <c r="F566" s="2" t="s">
        <v>2344</v>
      </c>
      <c r="G566" s="2" t="s">
        <v>2344</v>
      </c>
      <c r="H566" s="2" t="s">
        <v>2344</v>
      </c>
      <c r="I566" s="2" t="s">
        <v>2345</v>
      </c>
      <c r="J566" s="2" t="s">
        <v>247</v>
      </c>
      <c r="K566" s="2" t="s">
        <v>469</v>
      </c>
      <c r="L566" s="3">
        <v>49.99</v>
      </c>
      <c r="M566" s="3">
        <v>52.49</v>
      </c>
      <c r="N566" s="3">
        <v>109.99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2346</v>
      </c>
      <c r="T566" s="2" t="s">
        <v>100</v>
      </c>
      <c r="U566" s="2" t="s">
        <v>100</v>
      </c>
      <c r="V566" s="2" t="s">
        <v>201</v>
      </c>
      <c r="W566" s="2" t="s">
        <v>202</v>
      </c>
      <c r="X566" s="2" t="s">
        <v>203</v>
      </c>
      <c r="Y566" s="2" t="s">
        <v>240</v>
      </c>
      <c r="Z566" s="4">
        <v>225</v>
      </c>
      <c r="AA566" s="4">
        <f>=ROUNDDOWN(32.1428571428571,0)</f>
      </c>
      <c r="AB566" s="5">
        <v>7</v>
      </c>
      <c r="AC566" s="2" t="s">
        <v>123</v>
      </c>
      <c r="AD566" s="4">
        <v>105</v>
      </c>
      <c r="AE566" s="4">
        <v>225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/>
      <c r="BJ566" s="4">
        <v>207</v>
      </c>
      <c r="BK566" s="8">
        <v>10976.56</v>
      </c>
      <c r="BL566" s="2" t="s">
        <v>548</v>
      </c>
      <c r="BM566" s="7"/>
      <c r="BN566" s="7"/>
      <c r="BO566" s="4"/>
      <c r="BP566" s="8"/>
      <c r="BQ566" s="4"/>
      <c r="BR566" s="8"/>
      <c r="BS566" s="7"/>
      <c r="BT566" s="7"/>
      <c r="BU566" s="2" t="s">
        <v>207</v>
      </c>
      <c r="BV566" s="2" t="s">
        <v>97</v>
      </c>
      <c r="BW566" s="2" t="s">
        <v>100</v>
      </c>
      <c r="BX566" s="2" t="s">
        <v>100</v>
      </c>
      <c r="BY566" s="2" t="s">
        <v>113</v>
      </c>
      <c r="BZ566" s="2" t="s">
        <v>100</v>
      </c>
    </row>
    <row r="567">
      <c r="A567" s="2" t="s">
        <v>2347</v>
      </c>
      <c r="B567" s="2" t="s">
        <v>87</v>
      </c>
      <c r="C567" s="2" t="s">
        <v>2331</v>
      </c>
      <c r="D567" s="2" t="s">
        <v>89</v>
      </c>
      <c r="E567" s="2" t="s">
        <v>2332</v>
      </c>
      <c r="F567" s="2" t="s">
        <v>2344</v>
      </c>
      <c r="G567" s="2" t="s">
        <v>2344</v>
      </c>
      <c r="H567" s="2" t="s">
        <v>2344</v>
      </c>
      <c r="I567" s="2" t="s">
        <v>2345</v>
      </c>
      <c r="J567" s="2" t="s">
        <v>270</v>
      </c>
      <c r="K567" s="2" t="s">
        <v>469</v>
      </c>
      <c r="L567" s="3">
        <v>54.99</v>
      </c>
      <c r="M567" s="3">
        <v>57.74</v>
      </c>
      <c r="N567" s="3">
        <v>119.99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2346</v>
      </c>
      <c r="T567" s="2" t="s">
        <v>100</v>
      </c>
      <c r="U567" s="2" t="s">
        <v>100</v>
      </c>
      <c r="V567" s="2" t="s">
        <v>201</v>
      </c>
      <c r="W567" s="2" t="s">
        <v>202</v>
      </c>
      <c r="X567" s="2" t="s">
        <v>203</v>
      </c>
      <c r="Y567" s="2" t="s">
        <v>240</v>
      </c>
      <c r="Z567" s="4">
        <v>282</v>
      </c>
      <c r="AA567" s="4">
        <f>=ROUNDDOWN(35.25,0)</f>
      </c>
      <c r="AB567" s="5">
        <v>8</v>
      </c>
      <c r="AC567" s="2" t="s">
        <v>123</v>
      </c>
      <c r="AD567" s="4">
        <v>155</v>
      </c>
      <c r="AE567" s="4">
        <v>275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/>
      <c r="BJ567" s="4">
        <v>220</v>
      </c>
      <c r="BK567" s="8">
        <v>12983.62</v>
      </c>
      <c r="BL567" s="2" t="s">
        <v>2348</v>
      </c>
      <c r="BM567" s="7"/>
      <c r="BN567" s="7"/>
      <c r="BO567" s="4"/>
      <c r="BP567" s="8"/>
      <c r="BQ567" s="4"/>
      <c r="BR567" s="8"/>
      <c r="BS567" s="7"/>
      <c r="BT567" s="7"/>
      <c r="BU567" s="2" t="s">
        <v>207</v>
      </c>
      <c r="BV567" s="2" t="s">
        <v>97</v>
      </c>
      <c r="BW567" s="2" t="s">
        <v>100</v>
      </c>
      <c r="BX567" s="2" t="s">
        <v>100</v>
      </c>
      <c r="BY567" s="2" t="s">
        <v>113</v>
      </c>
      <c r="BZ567" s="2" t="s">
        <v>100</v>
      </c>
    </row>
    <row r="568">
      <c r="A568" s="2" t="s">
        <v>2349</v>
      </c>
      <c r="B568" s="2" t="s">
        <v>87</v>
      </c>
      <c r="C568" s="2" t="s">
        <v>2331</v>
      </c>
      <c r="D568" s="2" t="s">
        <v>89</v>
      </c>
      <c r="E568" s="2" t="s">
        <v>2332</v>
      </c>
      <c r="F568" s="2" t="s">
        <v>2350</v>
      </c>
      <c r="G568" s="2" t="s">
        <v>2350</v>
      </c>
      <c r="H568" s="2" t="s">
        <v>2350</v>
      </c>
      <c r="I568" s="2" t="s">
        <v>2351</v>
      </c>
      <c r="J568" s="2" t="s">
        <v>237</v>
      </c>
      <c r="K568" s="2" t="s">
        <v>278</v>
      </c>
      <c r="L568" s="3">
        <v>39</v>
      </c>
      <c r="M568" s="3">
        <v>40.95</v>
      </c>
      <c r="N568" s="3">
        <v>89.99</v>
      </c>
      <c r="O568" s="2" t="s">
        <v>97</v>
      </c>
      <c r="P568" s="2" t="s">
        <v>119</v>
      </c>
      <c r="Q568" s="2" t="s">
        <v>99</v>
      </c>
      <c r="R568" s="2" t="s">
        <v>100</v>
      </c>
      <c r="S568" s="2" t="s">
        <v>2352</v>
      </c>
      <c r="T568" s="2" t="s">
        <v>280</v>
      </c>
      <c r="U568" s="2" t="s">
        <v>514</v>
      </c>
      <c r="V568" s="2" t="s">
        <v>2353</v>
      </c>
      <c r="W568" s="2" t="s">
        <v>202</v>
      </c>
      <c r="X568" s="2" t="s">
        <v>309</v>
      </c>
      <c r="Y568" s="2" t="s">
        <v>2354</v>
      </c>
      <c r="Z568" s="4"/>
      <c r="AA568" s="4">
        <f>=ROUNDDOWN({0},0)</f>
      </c>
      <c r="AB568" s="5">
        <v>19</v>
      </c>
      <c r="AC568" s="2" t="s">
        <v>123</v>
      </c>
      <c r="AD568" s="4">
        <v>100</v>
      </c>
      <c r="AE568" s="4">
        <v>590</v>
      </c>
      <c r="AF568" s="6">
        <v>69</v>
      </c>
      <c r="AG568" s="6"/>
      <c r="AH568" s="7">
        <v>0.9091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/>
      <c r="BJ568" s="4">
        <v>527</v>
      </c>
      <c r="BK568" s="8">
        <v>23084.96</v>
      </c>
      <c r="BL568" s="2" t="s">
        <v>2355</v>
      </c>
      <c r="BM568" s="7"/>
      <c r="BN568" s="7"/>
      <c r="BO568" s="4"/>
      <c r="BP568" s="8"/>
      <c r="BQ568" s="4"/>
      <c r="BR568" s="8"/>
      <c r="BS568" s="7"/>
      <c r="BT568" s="7"/>
      <c r="BU568" s="2" t="s">
        <v>207</v>
      </c>
      <c r="BV568" s="2" t="s">
        <v>97</v>
      </c>
      <c r="BW568" s="2" t="s">
        <v>100</v>
      </c>
      <c r="BX568" s="2" t="s">
        <v>100</v>
      </c>
      <c r="BY568" s="2" t="s">
        <v>113</v>
      </c>
      <c r="BZ568" s="2" t="s">
        <v>100</v>
      </c>
    </row>
    <row r="569">
      <c r="A569" s="2" t="s">
        <v>2356</v>
      </c>
      <c r="B569" s="2" t="s">
        <v>87</v>
      </c>
      <c r="C569" s="2" t="s">
        <v>2331</v>
      </c>
      <c r="D569" s="2" t="s">
        <v>89</v>
      </c>
      <c r="E569" s="2" t="s">
        <v>2332</v>
      </c>
      <c r="F569" s="2" t="s">
        <v>2350</v>
      </c>
      <c r="G569" s="2" t="s">
        <v>2350</v>
      </c>
      <c r="H569" s="2" t="s">
        <v>2350</v>
      </c>
      <c r="I569" s="2" t="s">
        <v>2351</v>
      </c>
      <c r="J569" s="2" t="s">
        <v>247</v>
      </c>
      <c r="K569" s="2" t="s">
        <v>278</v>
      </c>
      <c r="L569" s="3">
        <v>52.8</v>
      </c>
      <c r="M569" s="3">
        <v>55.43</v>
      </c>
      <c r="N569" s="3">
        <v>109.99</v>
      </c>
      <c r="O569" s="2" t="s">
        <v>97</v>
      </c>
      <c r="P569" s="2" t="s">
        <v>372</v>
      </c>
      <c r="Q569" s="2" t="s">
        <v>99</v>
      </c>
      <c r="R569" s="2" t="s">
        <v>100</v>
      </c>
      <c r="S569" s="2" t="s">
        <v>2352</v>
      </c>
      <c r="T569" s="2" t="s">
        <v>280</v>
      </c>
      <c r="U569" s="2" t="s">
        <v>480</v>
      </c>
      <c r="V569" s="2" t="s">
        <v>2353</v>
      </c>
      <c r="W569" s="2" t="s">
        <v>202</v>
      </c>
      <c r="X569" s="2" t="s">
        <v>309</v>
      </c>
      <c r="Y569" s="2" t="s">
        <v>2357</v>
      </c>
      <c r="Z569" s="4">
        <v>183</v>
      </c>
      <c r="AA569" s="4">
        <f>=ROUNDDOWN(4.46341463414634,0)</f>
      </c>
      <c r="AB569" s="5">
        <v>41</v>
      </c>
      <c r="AC569" s="2" t="s">
        <v>241</v>
      </c>
      <c r="AD569" s="4">
        <v>500</v>
      </c>
      <c r="AE569" s="4">
        <v>1470</v>
      </c>
      <c r="AF569" s="6">
        <v>69</v>
      </c>
      <c r="AG569" s="6">
        <v>52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/>
      <c r="BJ569" s="4">
        <v>1432</v>
      </c>
      <c r="BK569" s="8">
        <v>82638</v>
      </c>
      <c r="BL569" s="2" t="s">
        <v>2358</v>
      </c>
      <c r="BM569" s="7"/>
      <c r="BN569" s="7"/>
      <c r="BO569" s="4"/>
      <c r="BP569" s="8"/>
      <c r="BQ569" s="4"/>
      <c r="BR569" s="8"/>
      <c r="BS569" s="7"/>
      <c r="BT569" s="7"/>
      <c r="BU569" s="2" t="s">
        <v>207</v>
      </c>
      <c r="BV569" s="2" t="s">
        <v>97</v>
      </c>
      <c r="BW569" s="2" t="s">
        <v>100</v>
      </c>
      <c r="BX569" s="2" t="s">
        <v>100</v>
      </c>
      <c r="BY569" s="2" t="s">
        <v>113</v>
      </c>
      <c r="BZ569" s="2" t="s">
        <v>100</v>
      </c>
    </row>
    <row r="570">
      <c r="A570" s="2" t="s">
        <v>2359</v>
      </c>
      <c r="B570" s="2" t="s">
        <v>87</v>
      </c>
      <c r="C570" s="2" t="s">
        <v>2331</v>
      </c>
      <c r="D570" s="2" t="s">
        <v>89</v>
      </c>
      <c r="E570" s="2" t="s">
        <v>2332</v>
      </c>
      <c r="F570" s="2" t="s">
        <v>2350</v>
      </c>
      <c r="G570" s="2" t="s">
        <v>2350</v>
      </c>
      <c r="H570" s="2" t="s">
        <v>2350</v>
      </c>
      <c r="I570" s="2" t="s">
        <v>2351</v>
      </c>
      <c r="J570" s="2" t="s">
        <v>270</v>
      </c>
      <c r="K570" s="2" t="s">
        <v>278</v>
      </c>
      <c r="L570" s="3">
        <v>63.7</v>
      </c>
      <c r="M570" s="3">
        <v>66.88</v>
      </c>
      <c r="N570" s="3">
        <v>129.99</v>
      </c>
      <c r="O570" s="2" t="s">
        <v>97</v>
      </c>
      <c r="P570" s="2" t="s">
        <v>372</v>
      </c>
      <c r="Q570" s="2" t="s">
        <v>99</v>
      </c>
      <c r="R570" s="2" t="s">
        <v>100</v>
      </c>
      <c r="S570" s="2" t="s">
        <v>2352</v>
      </c>
      <c r="T570" s="2" t="s">
        <v>280</v>
      </c>
      <c r="U570" s="2" t="s">
        <v>480</v>
      </c>
      <c r="V570" s="2" t="s">
        <v>2353</v>
      </c>
      <c r="W570" s="2" t="s">
        <v>202</v>
      </c>
      <c r="X570" s="2" t="s">
        <v>309</v>
      </c>
      <c r="Y570" s="2" t="s">
        <v>2357</v>
      </c>
      <c r="Z570" s="4">
        <v>503</v>
      </c>
      <c r="AA570" s="4">
        <f>=ROUNDDOWN(25.15,0)</f>
      </c>
      <c r="AB570" s="5">
        <v>20</v>
      </c>
      <c r="AC570" s="2" t="s">
        <v>123</v>
      </c>
      <c r="AD570" s="4">
        <v>200</v>
      </c>
      <c r="AE570" s="4">
        <v>400</v>
      </c>
      <c r="AF570" s="6">
        <v>69</v>
      </c>
      <c r="AG570" s="6">
        <v>52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/>
      <c r="BJ570" s="4">
        <v>899</v>
      </c>
      <c r="BK570" s="8">
        <v>62045.53</v>
      </c>
      <c r="BL570" s="2" t="s">
        <v>1192</v>
      </c>
      <c r="BM570" s="7"/>
      <c r="BN570" s="7"/>
      <c r="BO570" s="4"/>
      <c r="BP570" s="8"/>
      <c r="BQ570" s="4"/>
      <c r="BR570" s="8"/>
      <c r="BS570" s="7"/>
      <c r="BT570" s="7"/>
      <c r="BU570" s="2" t="s">
        <v>207</v>
      </c>
      <c r="BV570" s="2" t="s">
        <v>97</v>
      </c>
      <c r="BW570" s="2" t="s">
        <v>100</v>
      </c>
      <c r="BX570" s="2" t="s">
        <v>100</v>
      </c>
      <c r="BY570" s="2" t="s">
        <v>113</v>
      </c>
      <c r="BZ570" s="2" t="s">
        <v>100</v>
      </c>
    </row>
    <row r="571">
      <c r="A571" s="2" t="s">
        <v>2360</v>
      </c>
      <c r="B571" s="2" t="s">
        <v>87</v>
      </c>
      <c r="C571" s="2" t="s">
        <v>2331</v>
      </c>
      <c r="D571" s="2" t="s">
        <v>89</v>
      </c>
      <c r="E571" s="2" t="s">
        <v>2332</v>
      </c>
      <c r="F571" s="2" t="s">
        <v>2361</v>
      </c>
      <c r="G571" s="2" t="s">
        <v>2361</v>
      </c>
      <c r="H571" s="2" t="s">
        <v>2361</v>
      </c>
      <c r="I571" s="2" t="s">
        <v>2362</v>
      </c>
      <c r="J571" s="2" t="s">
        <v>247</v>
      </c>
      <c r="K571" s="2" t="s">
        <v>118</v>
      </c>
      <c r="L571" s="3">
        <v>52.38</v>
      </c>
      <c r="M571" s="3">
        <v>55</v>
      </c>
      <c r="N571" s="3">
        <v>109.99</v>
      </c>
      <c r="O571" s="2" t="s">
        <v>97</v>
      </c>
      <c r="P571" s="2" t="s">
        <v>119</v>
      </c>
      <c r="Q571" s="2" t="s">
        <v>99</v>
      </c>
      <c r="R571" s="2" t="s">
        <v>100</v>
      </c>
      <c r="S571" s="2" t="s">
        <v>2363</v>
      </c>
      <c r="T571" s="2" t="s">
        <v>280</v>
      </c>
      <c r="U571" s="2" t="s">
        <v>480</v>
      </c>
      <c r="V571" s="2" t="s">
        <v>403</v>
      </c>
      <c r="W571" s="2" t="s">
        <v>202</v>
      </c>
      <c r="X571" s="2" t="s">
        <v>219</v>
      </c>
      <c r="Y571" s="2" t="s">
        <v>2364</v>
      </c>
      <c r="Z571" s="4">
        <v>258</v>
      </c>
      <c r="AA571" s="4">
        <f>=ROUNDDOWN(21.5,0)</f>
      </c>
      <c r="AB571" s="5">
        <v>12</v>
      </c>
      <c r="AC571" s="2" t="s">
        <v>135</v>
      </c>
      <c r="AD571" s="4">
        <v>139</v>
      </c>
      <c r="AE571" s="4">
        <v>299</v>
      </c>
      <c r="AF571" s="6">
        <v>65</v>
      </c>
      <c r="AG571" s="6"/>
      <c r="AH571" s="7">
        <v>0.9251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/>
      <c r="BJ571" s="4">
        <v>289</v>
      </c>
      <c r="BK571" s="8">
        <v>16510.28</v>
      </c>
      <c r="BL571" s="2" t="s">
        <v>2365</v>
      </c>
      <c r="BM571" s="7"/>
      <c r="BN571" s="7"/>
      <c r="BO571" s="4"/>
      <c r="BP571" s="8"/>
      <c r="BQ571" s="4"/>
      <c r="BR571" s="8"/>
      <c r="BS571" s="7"/>
      <c r="BT571" s="7"/>
      <c r="BU571" s="2" t="s">
        <v>207</v>
      </c>
      <c r="BV571" s="2" t="s">
        <v>97</v>
      </c>
      <c r="BW571" s="2" t="s">
        <v>100</v>
      </c>
      <c r="BX571" s="2" t="s">
        <v>100</v>
      </c>
      <c r="BY571" s="2" t="s">
        <v>113</v>
      </c>
      <c r="BZ571" s="2" t="s">
        <v>100</v>
      </c>
    </row>
    <row r="572">
      <c r="A572" s="2" t="s">
        <v>2366</v>
      </c>
      <c r="B572" s="2" t="s">
        <v>87</v>
      </c>
      <c r="C572" s="2" t="s">
        <v>2331</v>
      </c>
      <c r="D572" s="2" t="s">
        <v>89</v>
      </c>
      <c r="E572" s="2" t="s">
        <v>2332</v>
      </c>
      <c r="F572" s="2" t="s">
        <v>2361</v>
      </c>
      <c r="G572" s="2" t="s">
        <v>2361</v>
      </c>
      <c r="H572" s="2" t="s">
        <v>2361</v>
      </c>
      <c r="I572" s="2" t="s">
        <v>2362</v>
      </c>
      <c r="J572" s="2" t="s">
        <v>270</v>
      </c>
      <c r="K572" s="2" t="s">
        <v>118</v>
      </c>
      <c r="L572" s="3">
        <v>59.42</v>
      </c>
      <c r="M572" s="3">
        <v>62.39</v>
      </c>
      <c r="N572" s="3">
        <v>129.99</v>
      </c>
      <c r="O572" s="2" t="s">
        <v>97</v>
      </c>
      <c r="P572" s="2" t="s">
        <v>119</v>
      </c>
      <c r="Q572" s="2" t="s">
        <v>99</v>
      </c>
      <c r="R572" s="2" t="s">
        <v>100</v>
      </c>
      <c r="S572" s="2" t="s">
        <v>2363</v>
      </c>
      <c r="T572" s="2" t="s">
        <v>280</v>
      </c>
      <c r="U572" s="2" t="s">
        <v>480</v>
      </c>
      <c r="V572" s="2" t="s">
        <v>403</v>
      </c>
      <c r="W572" s="2" t="s">
        <v>202</v>
      </c>
      <c r="X572" s="2" t="s">
        <v>219</v>
      </c>
      <c r="Y572" s="2" t="s">
        <v>2364</v>
      </c>
      <c r="Z572" s="4">
        <v>437</v>
      </c>
      <c r="AA572" s="4">
        <f>=ROUNDDOWN(31.2142857142857,0)</f>
      </c>
      <c r="AB572" s="5">
        <v>14</v>
      </c>
      <c r="AC572" s="2" t="s">
        <v>135</v>
      </c>
      <c r="AD572" s="4">
        <v>70</v>
      </c>
      <c r="AE572" s="4">
        <v>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/>
      <c r="BJ572" s="4">
        <v>429</v>
      </c>
      <c r="BK572" s="8">
        <v>28498.07</v>
      </c>
      <c r="BL572" s="2" t="s">
        <v>2367</v>
      </c>
      <c r="BM572" s="7"/>
      <c r="BN572" s="7"/>
      <c r="BO572" s="4"/>
      <c r="BP572" s="8"/>
      <c r="BQ572" s="4"/>
      <c r="BR572" s="8"/>
      <c r="BS572" s="7"/>
      <c r="BT572" s="7"/>
      <c r="BU572" s="2" t="s">
        <v>207</v>
      </c>
      <c r="BV572" s="2" t="s">
        <v>97</v>
      </c>
      <c r="BW572" s="2" t="s">
        <v>100</v>
      </c>
      <c r="BX572" s="2" t="s">
        <v>100</v>
      </c>
      <c r="BY572" s="2" t="s">
        <v>113</v>
      </c>
      <c r="BZ572" s="2" t="s">
        <v>100</v>
      </c>
    </row>
    <row r="573">
      <c r="A573" s="2" t="s">
        <v>2368</v>
      </c>
      <c r="B573" s="2" t="s">
        <v>87</v>
      </c>
      <c r="C573" s="2" t="s">
        <v>2331</v>
      </c>
      <c r="D573" s="2" t="s">
        <v>89</v>
      </c>
      <c r="E573" s="2" t="s">
        <v>2332</v>
      </c>
      <c r="F573" s="2" t="s">
        <v>2361</v>
      </c>
      <c r="G573" s="2" t="s">
        <v>2361</v>
      </c>
      <c r="H573" s="2" t="s">
        <v>2361</v>
      </c>
      <c r="I573" s="2" t="s">
        <v>2362</v>
      </c>
      <c r="J573" s="2" t="s">
        <v>247</v>
      </c>
      <c r="K573" s="2" t="s">
        <v>1172</v>
      </c>
      <c r="L573" s="3">
        <v>52.38</v>
      </c>
      <c r="M573" s="3">
        <v>55</v>
      </c>
      <c r="N573" s="3">
        <v>109.99</v>
      </c>
      <c r="O573" s="2" t="s">
        <v>97</v>
      </c>
      <c r="P573" s="2" t="s">
        <v>119</v>
      </c>
      <c r="Q573" s="2" t="s">
        <v>99</v>
      </c>
      <c r="R573" s="2" t="s">
        <v>100</v>
      </c>
      <c r="S573" s="2" t="s">
        <v>2369</v>
      </c>
      <c r="T573" s="2" t="s">
        <v>280</v>
      </c>
      <c r="U573" s="2" t="s">
        <v>480</v>
      </c>
      <c r="V573" s="2" t="s">
        <v>403</v>
      </c>
      <c r="W573" s="2" t="s">
        <v>202</v>
      </c>
      <c r="X573" s="2" t="s">
        <v>219</v>
      </c>
      <c r="Y573" s="2" t="s">
        <v>2370</v>
      </c>
      <c r="Z573" s="4">
        <v>199</v>
      </c>
      <c r="AA573" s="4">
        <f>=ROUNDDOWN(16.5833333333333,0)</f>
      </c>
      <c r="AB573" s="5">
        <v>12</v>
      </c>
      <c r="AC573" s="2" t="s">
        <v>456</v>
      </c>
      <c r="AD573" s="4">
        <v>424</v>
      </c>
      <c r="AE573" s="4">
        <v>424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/>
      <c r="BJ573" s="4">
        <v>270</v>
      </c>
      <c r="BK573" s="8">
        <v>15661.18</v>
      </c>
      <c r="BL573" s="2" t="s">
        <v>2371</v>
      </c>
      <c r="BM573" s="7"/>
      <c r="BN573" s="7"/>
      <c r="BO573" s="4"/>
      <c r="BP573" s="8"/>
      <c r="BQ573" s="4"/>
      <c r="BR573" s="8"/>
      <c r="BS573" s="7"/>
      <c r="BT573" s="7"/>
      <c r="BU573" s="2" t="s">
        <v>207</v>
      </c>
      <c r="BV573" s="2" t="s">
        <v>97</v>
      </c>
      <c r="BW573" s="2" t="s">
        <v>100</v>
      </c>
      <c r="BX573" s="2" t="s">
        <v>100</v>
      </c>
      <c r="BY573" s="2" t="s">
        <v>113</v>
      </c>
      <c r="BZ573" s="2" t="s">
        <v>100</v>
      </c>
    </row>
    <row r="574">
      <c r="A574" s="2" t="s">
        <v>2372</v>
      </c>
      <c r="B574" s="2" t="s">
        <v>87</v>
      </c>
      <c r="C574" s="2" t="s">
        <v>2331</v>
      </c>
      <c r="D574" s="2" t="s">
        <v>89</v>
      </c>
      <c r="E574" s="2" t="s">
        <v>2332</v>
      </c>
      <c r="F574" s="2" t="s">
        <v>2361</v>
      </c>
      <c r="G574" s="2" t="s">
        <v>2361</v>
      </c>
      <c r="H574" s="2" t="s">
        <v>2361</v>
      </c>
      <c r="I574" s="2" t="s">
        <v>2362</v>
      </c>
      <c r="J574" s="2" t="s">
        <v>270</v>
      </c>
      <c r="K574" s="2" t="s">
        <v>1172</v>
      </c>
      <c r="L574" s="3">
        <v>59.42</v>
      </c>
      <c r="M574" s="3">
        <v>62.39</v>
      </c>
      <c r="N574" s="3">
        <v>129.99</v>
      </c>
      <c r="O574" s="2" t="s">
        <v>97</v>
      </c>
      <c r="P574" s="2" t="s">
        <v>119</v>
      </c>
      <c r="Q574" s="2" t="s">
        <v>99</v>
      </c>
      <c r="R574" s="2" t="s">
        <v>100</v>
      </c>
      <c r="S574" s="2" t="s">
        <v>2369</v>
      </c>
      <c r="T574" s="2" t="s">
        <v>280</v>
      </c>
      <c r="U574" s="2" t="s">
        <v>480</v>
      </c>
      <c r="V574" s="2" t="s">
        <v>403</v>
      </c>
      <c r="W574" s="2" t="s">
        <v>202</v>
      </c>
      <c r="X574" s="2" t="s">
        <v>219</v>
      </c>
      <c r="Y574" s="2" t="s">
        <v>2370</v>
      </c>
      <c r="Z574" s="4">
        <v>295</v>
      </c>
      <c r="AA574" s="4">
        <f>=ROUNDDOWN(22.6923076923077,0)</f>
      </c>
      <c r="AB574" s="5">
        <v>13</v>
      </c>
      <c r="AC574" s="2" t="s">
        <v>456</v>
      </c>
      <c r="AD574" s="4">
        <v>335</v>
      </c>
      <c r="AE574" s="4">
        <v>335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/>
      <c r="BJ574" s="4">
        <v>331</v>
      </c>
      <c r="BK574" s="8">
        <v>21659.27</v>
      </c>
      <c r="BL574" s="2" t="s">
        <v>2373</v>
      </c>
      <c r="BM574" s="7"/>
      <c r="BN574" s="7"/>
      <c r="BO574" s="4"/>
      <c r="BP574" s="8"/>
      <c r="BQ574" s="4"/>
      <c r="BR574" s="8"/>
      <c r="BS574" s="7"/>
      <c r="BT574" s="7"/>
      <c r="BU574" s="2" t="s">
        <v>207</v>
      </c>
      <c r="BV574" s="2" t="s">
        <v>97</v>
      </c>
      <c r="BW574" s="2" t="s">
        <v>100</v>
      </c>
      <c r="BX574" s="2" t="s">
        <v>100</v>
      </c>
      <c r="BY574" s="2" t="s">
        <v>113</v>
      </c>
      <c r="BZ574" s="2" t="s">
        <v>100</v>
      </c>
    </row>
    <row r="575">
      <c r="A575" s="2" t="s">
        <v>2374</v>
      </c>
      <c r="B575" s="2" t="s">
        <v>87</v>
      </c>
      <c r="C575" s="2" t="s">
        <v>2331</v>
      </c>
      <c r="D575" s="2" t="s">
        <v>89</v>
      </c>
      <c r="E575" s="2" t="s">
        <v>2332</v>
      </c>
      <c r="F575" s="2" t="s">
        <v>2375</v>
      </c>
      <c r="G575" s="2" t="s">
        <v>2375</v>
      </c>
      <c r="H575" s="2" t="s">
        <v>2375</v>
      </c>
      <c r="I575" s="2" t="s">
        <v>2376</v>
      </c>
      <c r="J575" s="2" t="s">
        <v>247</v>
      </c>
      <c r="K575" s="2" t="s">
        <v>278</v>
      </c>
      <c r="L575" s="3">
        <v>52.8</v>
      </c>
      <c r="M575" s="3">
        <v>55.43</v>
      </c>
      <c r="N575" s="3">
        <v>109.99</v>
      </c>
      <c r="O575" s="2" t="s">
        <v>97</v>
      </c>
      <c r="P575" s="2" t="s">
        <v>119</v>
      </c>
      <c r="Q575" s="2" t="s">
        <v>99</v>
      </c>
      <c r="R575" s="2" t="s">
        <v>100</v>
      </c>
      <c r="S575" s="2" t="s">
        <v>2377</v>
      </c>
      <c r="T575" s="2" t="s">
        <v>280</v>
      </c>
      <c r="U575" s="2" t="s">
        <v>480</v>
      </c>
      <c r="V575" s="2" t="s">
        <v>2353</v>
      </c>
      <c r="W575" s="2" t="s">
        <v>202</v>
      </c>
      <c r="X575" s="2" t="s">
        <v>309</v>
      </c>
      <c r="Y575" s="2" t="s">
        <v>2378</v>
      </c>
      <c r="Z575" s="4">
        <v>75</v>
      </c>
      <c r="AA575" s="4">
        <f>=ROUNDDOWN(8.33333333333333,0)</f>
      </c>
      <c r="AB575" s="5">
        <v>9</v>
      </c>
      <c r="AC575" s="2" t="s">
        <v>123</v>
      </c>
      <c r="AD575" s="4">
        <v>240</v>
      </c>
      <c r="AE575" s="4">
        <v>270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/>
      <c r="BJ575" s="4">
        <v>294</v>
      </c>
      <c r="BK575" s="8">
        <v>17153.36</v>
      </c>
      <c r="BL575" s="2" t="s">
        <v>2379</v>
      </c>
      <c r="BM575" s="7"/>
      <c r="BN575" s="7"/>
      <c r="BO575" s="4"/>
      <c r="BP575" s="8"/>
      <c r="BQ575" s="4"/>
      <c r="BR575" s="8"/>
      <c r="BS575" s="7"/>
      <c r="BT575" s="7"/>
      <c r="BU575" s="2" t="s">
        <v>207</v>
      </c>
      <c r="BV575" s="2" t="s">
        <v>97</v>
      </c>
      <c r="BW575" s="2" t="s">
        <v>100</v>
      </c>
      <c r="BX575" s="2" t="s">
        <v>100</v>
      </c>
      <c r="BY575" s="2" t="s">
        <v>113</v>
      </c>
      <c r="BZ575" s="2" t="s">
        <v>100</v>
      </c>
    </row>
    <row r="576">
      <c r="A576" s="2" t="s">
        <v>2380</v>
      </c>
      <c r="B576" s="2" t="s">
        <v>87</v>
      </c>
      <c r="C576" s="2" t="s">
        <v>2331</v>
      </c>
      <c r="D576" s="2" t="s">
        <v>89</v>
      </c>
      <c r="E576" s="2" t="s">
        <v>2332</v>
      </c>
      <c r="F576" s="2" t="s">
        <v>2375</v>
      </c>
      <c r="G576" s="2" t="s">
        <v>2375</v>
      </c>
      <c r="H576" s="2" t="s">
        <v>2375</v>
      </c>
      <c r="I576" s="2" t="s">
        <v>2376</v>
      </c>
      <c r="J576" s="2" t="s">
        <v>270</v>
      </c>
      <c r="K576" s="2" t="s">
        <v>278</v>
      </c>
      <c r="L576" s="3">
        <v>63.7</v>
      </c>
      <c r="M576" s="3">
        <v>66.88</v>
      </c>
      <c r="N576" s="3">
        <v>129.99</v>
      </c>
      <c r="O576" s="2" t="s">
        <v>97</v>
      </c>
      <c r="P576" s="2" t="s">
        <v>119</v>
      </c>
      <c r="Q576" s="2" t="s">
        <v>99</v>
      </c>
      <c r="R576" s="2" t="s">
        <v>100</v>
      </c>
      <c r="S576" s="2" t="s">
        <v>2377</v>
      </c>
      <c r="T576" s="2" t="s">
        <v>280</v>
      </c>
      <c r="U576" s="2" t="s">
        <v>480</v>
      </c>
      <c r="V576" s="2" t="s">
        <v>2353</v>
      </c>
      <c r="W576" s="2" t="s">
        <v>202</v>
      </c>
      <c r="X576" s="2" t="s">
        <v>309</v>
      </c>
      <c r="Y576" s="2" t="s">
        <v>2378</v>
      </c>
      <c r="Z576" s="4">
        <v>77</v>
      </c>
      <c r="AA576" s="4">
        <f>=ROUNDDOWN(11,0)</f>
      </c>
      <c r="AB576" s="5">
        <v>7</v>
      </c>
      <c r="AC576" s="2" t="s">
        <v>123</v>
      </c>
      <c r="AD576" s="4">
        <v>250</v>
      </c>
      <c r="AE576" s="4">
        <v>270</v>
      </c>
      <c r="AF576" s="6">
        <v>69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/>
      <c r="BJ576" s="4">
        <v>154</v>
      </c>
      <c r="BK576" s="8">
        <v>10727.49</v>
      </c>
      <c r="BL576" s="2" t="s">
        <v>2371</v>
      </c>
      <c r="BM576" s="7"/>
      <c r="BN576" s="7"/>
      <c r="BO576" s="4"/>
      <c r="BP576" s="8"/>
      <c r="BQ576" s="4"/>
      <c r="BR576" s="8"/>
      <c r="BS576" s="7"/>
      <c r="BT576" s="7"/>
      <c r="BU576" s="2" t="s">
        <v>207</v>
      </c>
      <c r="BV576" s="2" t="s">
        <v>97</v>
      </c>
      <c r="BW576" s="2" t="s">
        <v>100</v>
      </c>
      <c r="BX576" s="2" t="s">
        <v>100</v>
      </c>
      <c r="BY576" s="2" t="s">
        <v>113</v>
      </c>
      <c r="BZ576" s="2" t="s">
        <v>100</v>
      </c>
    </row>
    <row r="577">
      <c r="A577" s="2" t="s">
        <v>2381</v>
      </c>
      <c r="B577" s="2" t="s">
        <v>87</v>
      </c>
      <c r="C577" s="2" t="s">
        <v>2331</v>
      </c>
      <c r="D577" s="2" t="s">
        <v>89</v>
      </c>
      <c r="E577" s="2" t="s">
        <v>2332</v>
      </c>
      <c r="F577" s="2" t="s">
        <v>2382</v>
      </c>
      <c r="G577" s="2" t="s">
        <v>2382</v>
      </c>
      <c r="H577" s="2" t="s">
        <v>2382</v>
      </c>
      <c r="I577" s="2" t="s">
        <v>2376</v>
      </c>
      <c r="J577" s="2" t="s">
        <v>247</v>
      </c>
      <c r="K577" s="2" t="s">
        <v>469</v>
      </c>
      <c r="L577" s="3">
        <v>49.99</v>
      </c>
      <c r="M577" s="3">
        <v>52.49</v>
      </c>
      <c r="N577" s="3">
        <v>109.99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2383</v>
      </c>
      <c r="T577" s="2" t="s">
        <v>100</v>
      </c>
      <c r="U577" s="2" t="s">
        <v>100</v>
      </c>
      <c r="V577" s="2" t="s">
        <v>201</v>
      </c>
      <c r="W577" s="2" t="s">
        <v>202</v>
      </c>
      <c r="X577" s="2" t="s">
        <v>203</v>
      </c>
      <c r="Y577" s="2" t="s">
        <v>240</v>
      </c>
      <c r="Z577" s="4">
        <v>308</v>
      </c>
      <c r="AA577" s="4">
        <f>=ROUNDDOWN(30.8,0)</f>
      </c>
      <c r="AB577" s="5">
        <v>10</v>
      </c>
      <c r="AC577" s="2" t="s">
        <v>123</v>
      </c>
      <c r="AD577" s="4">
        <v>400</v>
      </c>
      <c r="AE577" s="4">
        <v>400</v>
      </c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/>
      <c r="BJ577" s="4">
        <v>299</v>
      </c>
      <c r="BK577" s="8">
        <v>16027.91</v>
      </c>
      <c r="BL577" s="2" t="s">
        <v>2384</v>
      </c>
      <c r="BM577" s="7"/>
      <c r="BN577" s="7"/>
      <c r="BO577" s="4"/>
      <c r="BP577" s="8"/>
      <c r="BQ577" s="4"/>
      <c r="BR577" s="8"/>
      <c r="BS577" s="7"/>
      <c r="BT577" s="7"/>
      <c r="BU577" s="2" t="s">
        <v>207</v>
      </c>
      <c r="BV577" s="2" t="s">
        <v>97</v>
      </c>
      <c r="BW577" s="2" t="s">
        <v>100</v>
      </c>
      <c r="BX577" s="2" t="s">
        <v>100</v>
      </c>
      <c r="BY577" s="2" t="s">
        <v>113</v>
      </c>
      <c r="BZ577" s="2" t="s">
        <v>100</v>
      </c>
    </row>
    <row r="578">
      <c r="A578" s="2" t="s">
        <v>2385</v>
      </c>
      <c r="B578" s="2" t="s">
        <v>87</v>
      </c>
      <c r="C578" s="2" t="s">
        <v>2331</v>
      </c>
      <c r="D578" s="2" t="s">
        <v>89</v>
      </c>
      <c r="E578" s="2" t="s">
        <v>2332</v>
      </c>
      <c r="F578" s="2" t="s">
        <v>2382</v>
      </c>
      <c r="G578" s="2" t="s">
        <v>2382</v>
      </c>
      <c r="H578" s="2" t="s">
        <v>2382</v>
      </c>
      <c r="I578" s="2" t="s">
        <v>2376</v>
      </c>
      <c r="J578" s="2" t="s">
        <v>270</v>
      </c>
      <c r="K578" s="2" t="s">
        <v>469</v>
      </c>
      <c r="L578" s="3">
        <v>54.99</v>
      </c>
      <c r="M578" s="3">
        <v>57.74</v>
      </c>
      <c r="N578" s="3">
        <v>119.99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2383</v>
      </c>
      <c r="T578" s="2" t="s">
        <v>100</v>
      </c>
      <c r="U578" s="2" t="s">
        <v>100</v>
      </c>
      <c r="V578" s="2" t="s">
        <v>201</v>
      </c>
      <c r="W578" s="2" t="s">
        <v>202</v>
      </c>
      <c r="X578" s="2" t="s">
        <v>203</v>
      </c>
      <c r="Y578" s="2" t="s">
        <v>240</v>
      </c>
      <c r="Z578" s="4">
        <v>727</v>
      </c>
      <c r="AA578" s="4">
        <f>=ROUNDDOWN(60.5833333333333,0)</f>
      </c>
      <c r="AB578" s="5">
        <v>12</v>
      </c>
      <c r="AC578" s="2" t="s">
        <v>123</v>
      </c>
      <c r="AD578" s="4">
        <v>180</v>
      </c>
      <c r="AE578" s="4">
        <v>180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/>
      <c r="BJ578" s="4">
        <v>417</v>
      </c>
      <c r="BK578" s="8">
        <v>24710.67</v>
      </c>
      <c r="BL578" s="2" t="s">
        <v>2386</v>
      </c>
      <c r="BM578" s="7"/>
      <c r="BN578" s="7"/>
      <c r="BO578" s="4"/>
      <c r="BP578" s="8"/>
      <c r="BQ578" s="4"/>
      <c r="BR578" s="8"/>
      <c r="BS578" s="7"/>
      <c r="BT578" s="7"/>
      <c r="BU578" s="2" t="s">
        <v>207</v>
      </c>
      <c r="BV578" s="2" t="s">
        <v>97</v>
      </c>
      <c r="BW578" s="2" t="s">
        <v>100</v>
      </c>
      <c r="BX578" s="2" t="s">
        <v>100</v>
      </c>
      <c r="BY578" s="2" t="s">
        <v>113</v>
      </c>
      <c r="BZ578" s="2" t="s">
        <v>100</v>
      </c>
    </row>
    <row r="579">
      <c r="A579" s="2" t="s">
        <v>2387</v>
      </c>
      <c r="B579" s="2" t="s">
        <v>87</v>
      </c>
      <c r="C579" s="2" t="s">
        <v>2331</v>
      </c>
      <c r="D579" s="2" t="s">
        <v>89</v>
      </c>
      <c r="E579" s="2" t="s">
        <v>2332</v>
      </c>
      <c r="F579" s="2" t="s">
        <v>1426</v>
      </c>
      <c r="G579" s="2" t="s">
        <v>1426</v>
      </c>
      <c r="H579" s="2" t="s">
        <v>1426</v>
      </c>
      <c r="I579" s="2" t="s">
        <v>2388</v>
      </c>
      <c r="J579" s="2" t="s">
        <v>247</v>
      </c>
      <c r="K579" s="2" t="s">
        <v>469</v>
      </c>
      <c r="L579" s="3">
        <v>49.99</v>
      </c>
      <c r="M579" s="3">
        <v>52.49</v>
      </c>
      <c r="N579" s="3">
        <v>99.99</v>
      </c>
      <c r="O579" s="2" t="s">
        <v>97</v>
      </c>
      <c r="P579" s="2" t="s">
        <v>119</v>
      </c>
      <c r="Q579" s="2" t="s">
        <v>99</v>
      </c>
      <c r="R579" s="2" t="s">
        <v>100</v>
      </c>
      <c r="S579" s="2" t="s">
        <v>2346</v>
      </c>
      <c r="T579" s="2" t="s">
        <v>100</v>
      </c>
      <c r="U579" s="2" t="s">
        <v>100</v>
      </c>
      <c r="V579" s="2" t="s">
        <v>201</v>
      </c>
      <c r="W579" s="2" t="s">
        <v>202</v>
      </c>
      <c r="X579" s="2" t="s">
        <v>203</v>
      </c>
      <c r="Y579" s="2" t="s">
        <v>240</v>
      </c>
      <c r="Z579" s="4">
        <v>163</v>
      </c>
      <c r="AA579" s="4">
        <f>=ROUNDDOWN(20.375,0)</f>
      </c>
      <c r="AB579" s="5">
        <v>8</v>
      </c>
      <c r="AC579" s="2" t="s">
        <v>123</v>
      </c>
      <c r="AD579" s="4">
        <v>60</v>
      </c>
      <c r="AE579" s="4">
        <v>310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/>
      <c r="BJ579" s="4">
        <v>267</v>
      </c>
      <c r="BK579" s="8">
        <v>12882.74</v>
      </c>
      <c r="BL579" s="2" t="s">
        <v>2389</v>
      </c>
      <c r="BM579" s="7"/>
      <c r="BN579" s="7"/>
      <c r="BO579" s="4"/>
      <c r="BP579" s="8"/>
      <c r="BQ579" s="4"/>
      <c r="BR579" s="8"/>
      <c r="BS579" s="7"/>
      <c r="BT579" s="7"/>
      <c r="BU579" s="2" t="s">
        <v>207</v>
      </c>
      <c r="BV579" s="2" t="s">
        <v>97</v>
      </c>
      <c r="BW579" s="2" t="s">
        <v>100</v>
      </c>
      <c r="BX579" s="2" t="s">
        <v>100</v>
      </c>
      <c r="BY579" s="2" t="s">
        <v>113</v>
      </c>
      <c r="BZ579" s="2" t="s">
        <v>100</v>
      </c>
    </row>
    <row r="580">
      <c r="A580" s="2" t="s">
        <v>2390</v>
      </c>
      <c r="B580" s="2" t="s">
        <v>87</v>
      </c>
      <c r="C580" s="2" t="s">
        <v>2331</v>
      </c>
      <c r="D580" s="2" t="s">
        <v>89</v>
      </c>
      <c r="E580" s="2" t="s">
        <v>2332</v>
      </c>
      <c r="F580" s="2" t="s">
        <v>1426</v>
      </c>
      <c r="G580" s="2" t="s">
        <v>1426</v>
      </c>
      <c r="H580" s="2" t="s">
        <v>1426</v>
      </c>
      <c r="I580" s="2" t="s">
        <v>2388</v>
      </c>
      <c r="J580" s="2" t="s">
        <v>270</v>
      </c>
      <c r="K580" s="2" t="s">
        <v>469</v>
      </c>
      <c r="L580" s="3">
        <v>54.99</v>
      </c>
      <c r="M580" s="3">
        <v>57.74</v>
      </c>
      <c r="N580" s="3">
        <v>109.99</v>
      </c>
      <c r="O580" s="2" t="s">
        <v>97</v>
      </c>
      <c r="P580" s="2" t="s">
        <v>119</v>
      </c>
      <c r="Q580" s="2" t="s">
        <v>99</v>
      </c>
      <c r="R580" s="2" t="s">
        <v>100</v>
      </c>
      <c r="S580" s="2" t="s">
        <v>2346</v>
      </c>
      <c r="T580" s="2" t="s">
        <v>100</v>
      </c>
      <c r="U580" s="2" t="s">
        <v>100</v>
      </c>
      <c r="V580" s="2" t="s">
        <v>201</v>
      </c>
      <c r="W580" s="2" t="s">
        <v>202</v>
      </c>
      <c r="X580" s="2" t="s">
        <v>203</v>
      </c>
      <c r="Y580" s="2" t="s">
        <v>240</v>
      </c>
      <c r="Z580" s="4">
        <v>224</v>
      </c>
      <c r="AA580" s="4">
        <f>=ROUNDDOWN(44.8,0)</f>
      </c>
      <c r="AB580" s="5">
        <v>5</v>
      </c>
      <c r="AC580" s="2" t="s">
        <v>123</v>
      </c>
      <c r="AD580" s="4">
        <v>130</v>
      </c>
      <c r="AE580" s="4">
        <v>270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/>
      <c r="BJ580" s="4">
        <v>173</v>
      </c>
      <c r="BK580" s="8">
        <v>9364.09</v>
      </c>
      <c r="BL580" s="2" t="s">
        <v>2391</v>
      </c>
      <c r="BM580" s="7"/>
      <c r="BN580" s="7"/>
      <c r="BO580" s="4"/>
      <c r="BP580" s="8"/>
      <c r="BQ580" s="4"/>
      <c r="BR580" s="8"/>
      <c r="BS580" s="7"/>
      <c r="BT580" s="7"/>
      <c r="BU580" s="2" t="s">
        <v>207</v>
      </c>
      <c r="BV580" s="2" t="s">
        <v>97</v>
      </c>
      <c r="BW580" s="2" t="s">
        <v>100</v>
      </c>
      <c r="BX580" s="2" t="s">
        <v>100</v>
      </c>
      <c r="BY580" s="2" t="s">
        <v>113</v>
      </c>
      <c r="BZ580" s="2" t="s">
        <v>100</v>
      </c>
    </row>
    <row r="581">
      <c r="A581" s="2" t="s">
        <v>2392</v>
      </c>
      <c r="B581" s="2" t="s">
        <v>87</v>
      </c>
      <c r="C581" s="2" t="s">
        <v>2331</v>
      </c>
      <c r="D581" s="2" t="s">
        <v>89</v>
      </c>
      <c r="E581" s="2" t="s">
        <v>2332</v>
      </c>
      <c r="F581" s="2" t="s">
        <v>1426</v>
      </c>
      <c r="G581" s="2" t="s">
        <v>1426</v>
      </c>
      <c r="H581" s="2" t="s">
        <v>1426</v>
      </c>
      <c r="I581" s="2" t="s">
        <v>2345</v>
      </c>
      <c r="J581" s="2" t="s">
        <v>247</v>
      </c>
      <c r="K581" s="2" t="s">
        <v>1172</v>
      </c>
      <c r="L581" s="3">
        <v>49.99</v>
      </c>
      <c r="M581" s="3">
        <v>52.49</v>
      </c>
      <c r="N581" s="3">
        <v>99.99</v>
      </c>
      <c r="O581" s="2" t="s">
        <v>97</v>
      </c>
      <c r="P581" s="2" t="s">
        <v>119</v>
      </c>
      <c r="Q581" s="2" t="s">
        <v>99</v>
      </c>
      <c r="R581" s="2" t="s">
        <v>100</v>
      </c>
      <c r="S581" s="2" t="s">
        <v>2346</v>
      </c>
      <c r="T581" s="2" t="s">
        <v>100</v>
      </c>
      <c r="U581" s="2" t="s">
        <v>100</v>
      </c>
      <c r="V581" s="2" t="s">
        <v>201</v>
      </c>
      <c r="W581" s="2" t="s">
        <v>202</v>
      </c>
      <c r="X581" s="2" t="s">
        <v>203</v>
      </c>
      <c r="Y581" s="2" t="s">
        <v>240</v>
      </c>
      <c r="Z581" s="4">
        <v>130</v>
      </c>
      <c r="AA581" s="4">
        <f>=ROUNDDOWN(14.4444444444444,0)</f>
      </c>
      <c r="AB581" s="5">
        <v>9</v>
      </c>
      <c r="AC581" s="2" t="s">
        <v>123</v>
      </c>
      <c r="AD581" s="4">
        <v>80</v>
      </c>
      <c r="AE581" s="4">
        <v>220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/>
      <c r="BJ581" s="4">
        <v>236</v>
      </c>
      <c r="BK581" s="8">
        <v>11602.03</v>
      </c>
      <c r="BL581" s="2" t="s">
        <v>2393</v>
      </c>
      <c r="BM581" s="7"/>
      <c r="BN581" s="7"/>
      <c r="BO581" s="4"/>
      <c r="BP581" s="8"/>
      <c r="BQ581" s="4"/>
      <c r="BR581" s="8"/>
      <c r="BS581" s="7"/>
      <c r="BT581" s="7"/>
      <c r="BU581" s="2" t="s">
        <v>207</v>
      </c>
      <c r="BV581" s="2" t="s">
        <v>97</v>
      </c>
      <c r="BW581" s="2" t="s">
        <v>100</v>
      </c>
      <c r="BX581" s="2" t="s">
        <v>100</v>
      </c>
      <c r="BY581" s="2" t="s">
        <v>113</v>
      </c>
      <c r="BZ581" s="2" t="s">
        <v>100</v>
      </c>
    </row>
    <row r="582">
      <c r="A582" s="2" t="s">
        <v>2394</v>
      </c>
      <c r="B582" s="2" t="s">
        <v>87</v>
      </c>
      <c r="C582" s="2" t="s">
        <v>2331</v>
      </c>
      <c r="D582" s="2" t="s">
        <v>89</v>
      </c>
      <c r="E582" s="2" t="s">
        <v>2332</v>
      </c>
      <c r="F582" s="2" t="s">
        <v>1426</v>
      </c>
      <c r="G582" s="2" t="s">
        <v>1426</v>
      </c>
      <c r="H582" s="2" t="s">
        <v>1426</v>
      </c>
      <c r="I582" s="2" t="s">
        <v>2345</v>
      </c>
      <c r="J582" s="2" t="s">
        <v>270</v>
      </c>
      <c r="K582" s="2" t="s">
        <v>1172</v>
      </c>
      <c r="L582" s="3">
        <v>54.99</v>
      </c>
      <c r="M582" s="3">
        <v>57.74</v>
      </c>
      <c r="N582" s="3">
        <v>109.99</v>
      </c>
      <c r="O582" s="2" t="s">
        <v>97</v>
      </c>
      <c r="P582" s="2" t="s">
        <v>119</v>
      </c>
      <c r="Q582" s="2" t="s">
        <v>99</v>
      </c>
      <c r="R582" s="2" t="s">
        <v>100</v>
      </c>
      <c r="S582" s="2" t="s">
        <v>2346</v>
      </c>
      <c r="T582" s="2" t="s">
        <v>100</v>
      </c>
      <c r="U582" s="2" t="s">
        <v>100</v>
      </c>
      <c r="V582" s="2" t="s">
        <v>201</v>
      </c>
      <c r="W582" s="2" t="s">
        <v>202</v>
      </c>
      <c r="X582" s="2" t="s">
        <v>203</v>
      </c>
      <c r="Y582" s="2" t="s">
        <v>240</v>
      </c>
      <c r="Z582" s="4">
        <v>152</v>
      </c>
      <c r="AA582" s="4">
        <f>=ROUNDDOWN(30.4,0)</f>
      </c>
      <c r="AB582" s="5">
        <v>5</v>
      </c>
      <c r="AC582" s="2" t="s">
        <v>123</v>
      </c>
      <c r="AD582" s="4">
        <v>60</v>
      </c>
      <c r="AE582" s="4">
        <v>180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/>
      <c r="BJ582" s="4">
        <v>142</v>
      </c>
      <c r="BK582" s="8">
        <v>7791.1</v>
      </c>
      <c r="BL582" s="2" t="s">
        <v>2395</v>
      </c>
      <c r="BM582" s="7"/>
      <c r="BN582" s="7"/>
      <c r="BO582" s="4"/>
      <c r="BP582" s="8"/>
      <c r="BQ582" s="4"/>
      <c r="BR582" s="8"/>
      <c r="BS582" s="7"/>
      <c r="BT582" s="7"/>
      <c r="BU582" s="2" t="s">
        <v>207</v>
      </c>
      <c r="BV582" s="2" t="s">
        <v>97</v>
      </c>
      <c r="BW582" s="2" t="s">
        <v>100</v>
      </c>
      <c r="BX582" s="2" t="s">
        <v>100</v>
      </c>
      <c r="BY582" s="2" t="s">
        <v>113</v>
      </c>
      <c r="BZ582" s="2" t="s">
        <v>100</v>
      </c>
    </row>
    <row r="583">
      <c r="A583" s="2" t="s">
        <v>2396</v>
      </c>
      <c r="B583" s="2" t="s">
        <v>87</v>
      </c>
      <c r="C583" s="2" t="s">
        <v>2331</v>
      </c>
      <c r="D583" s="2" t="s">
        <v>89</v>
      </c>
      <c r="E583" s="2" t="s">
        <v>2332</v>
      </c>
      <c r="F583" s="2" t="s">
        <v>2397</v>
      </c>
      <c r="G583" s="2" t="s">
        <v>2397</v>
      </c>
      <c r="H583" s="2" t="s">
        <v>2397</v>
      </c>
      <c r="I583" s="2" t="s">
        <v>2398</v>
      </c>
      <c r="J583" s="2" t="s">
        <v>247</v>
      </c>
      <c r="K583" s="2" t="s">
        <v>2399</v>
      </c>
      <c r="L583" s="3">
        <v>48</v>
      </c>
      <c r="M583" s="3">
        <v>50.39</v>
      </c>
      <c r="N583" s="3">
        <v>99.99</v>
      </c>
      <c r="O583" s="2" t="s">
        <v>97</v>
      </c>
      <c r="P583" s="2" t="s">
        <v>119</v>
      </c>
      <c r="Q583" s="2" t="s">
        <v>99</v>
      </c>
      <c r="R583" s="2" t="s">
        <v>100</v>
      </c>
      <c r="S583" s="2" t="s">
        <v>2400</v>
      </c>
      <c r="T583" s="2" t="s">
        <v>280</v>
      </c>
      <c r="U583" s="2" t="s">
        <v>480</v>
      </c>
      <c r="V583" s="2" t="s">
        <v>201</v>
      </c>
      <c r="W583" s="2" t="s">
        <v>202</v>
      </c>
      <c r="X583" s="2" t="s">
        <v>415</v>
      </c>
      <c r="Y583" s="2" t="s">
        <v>2223</v>
      </c>
      <c r="Z583" s="4">
        <v>448</v>
      </c>
      <c r="AA583" s="4">
        <f>=ROUNDDOWN(89.6,0)</f>
      </c>
      <c r="AB583" s="5">
        <v>5</v>
      </c>
      <c r="AC583" s="2" t="s">
        <v>241</v>
      </c>
      <c r="AD583" s="4">
        <v>640</v>
      </c>
      <c r="AE583" s="4">
        <v>640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/>
      <c r="BJ583" s="4">
        <v>160</v>
      </c>
      <c r="BK583" s="8">
        <v>8098.14</v>
      </c>
      <c r="BL583" s="2" t="s">
        <v>2401</v>
      </c>
      <c r="BM583" s="7"/>
      <c r="BN583" s="7"/>
      <c r="BO583" s="4"/>
      <c r="BP583" s="8"/>
      <c r="BQ583" s="4"/>
      <c r="BR583" s="8"/>
      <c r="BS583" s="7"/>
      <c r="BT583" s="7"/>
      <c r="BU583" s="2" t="s">
        <v>207</v>
      </c>
      <c r="BV583" s="2" t="s">
        <v>97</v>
      </c>
      <c r="BW583" s="2" t="s">
        <v>100</v>
      </c>
      <c r="BX583" s="2" t="s">
        <v>100</v>
      </c>
      <c r="BY583" s="2" t="s">
        <v>113</v>
      </c>
      <c r="BZ583" s="2" t="s">
        <v>100</v>
      </c>
    </row>
    <row r="584">
      <c r="A584" s="2" t="s">
        <v>2402</v>
      </c>
      <c r="B584" s="2" t="s">
        <v>87</v>
      </c>
      <c r="C584" s="2" t="s">
        <v>2331</v>
      </c>
      <c r="D584" s="2" t="s">
        <v>89</v>
      </c>
      <c r="E584" s="2" t="s">
        <v>2332</v>
      </c>
      <c r="F584" s="2" t="s">
        <v>2397</v>
      </c>
      <c r="G584" s="2" t="s">
        <v>2397</v>
      </c>
      <c r="H584" s="2" t="s">
        <v>2397</v>
      </c>
      <c r="I584" s="2" t="s">
        <v>2398</v>
      </c>
      <c r="J584" s="2" t="s">
        <v>270</v>
      </c>
      <c r="K584" s="2" t="s">
        <v>2399</v>
      </c>
      <c r="L584" s="3">
        <v>52.8</v>
      </c>
      <c r="M584" s="3">
        <v>55.43</v>
      </c>
      <c r="N584" s="3">
        <v>109.99</v>
      </c>
      <c r="O584" s="2" t="s">
        <v>97</v>
      </c>
      <c r="P584" s="2" t="s">
        <v>119</v>
      </c>
      <c r="Q584" s="2" t="s">
        <v>99</v>
      </c>
      <c r="R584" s="2" t="s">
        <v>100</v>
      </c>
      <c r="S584" s="2" t="s">
        <v>2400</v>
      </c>
      <c r="T584" s="2" t="s">
        <v>280</v>
      </c>
      <c r="U584" s="2" t="s">
        <v>480</v>
      </c>
      <c r="V584" s="2" t="s">
        <v>201</v>
      </c>
      <c r="W584" s="2" t="s">
        <v>202</v>
      </c>
      <c r="X584" s="2" t="s">
        <v>415</v>
      </c>
      <c r="Y584" s="2" t="s">
        <v>2223</v>
      </c>
      <c r="Z584" s="4">
        <v>220</v>
      </c>
      <c r="AA584" s="4">
        <f>=ROUNDDOWN(36.6666666666667,0)</f>
      </c>
      <c r="AB584" s="5">
        <v>6</v>
      </c>
      <c r="AC584" s="2" t="s">
        <v>241</v>
      </c>
      <c r="AD584" s="4">
        <v>760</v>
      </c>
      <c r="AE584" s="4">
        <v>760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/>
      <c r="BJ584" s="4">
        <v>225</v>
      </c>
      <c r="BK584" s="8">
        <v>12639.83</v>
      </c>
      <c r="BL584" s="2" t="s">
        <v>2403</v>
      </c>
      <c r="BM584" s="7"/>
      <c r="BN584" s="7"/>
      <c r="BO584" s="4"/>
      <c r="BP584" s="8"/>
      <c r="BQ584" s="4"/>
      <c r="BR584" s="8"/>
      <c r="BS584" s="7"/>
      <c r="BT584" s="7"/>
      <c r="BU584" s="2" t="s">
        <v>207</v>
      </c>
      <c r="BV584" s="2" t="s">
        <v>97</v>
      </c>
      <c r="BW584" s="2" t="s">
        <v>100</v>
      </c>
      <c r="BX584" s="2" t="s">
        <v>100</v>
      </c>
      <c r="BY584" s="2" t="s">
        <v>113</v>
      </c>
      <c r="BZ584" s="2" t="s">
        <v>100</v>
      </c>
    </row>
    <row r="585">
      <c r="A585" s="2" t="s">
        <v>2404</v>
      </c>
      <c r="B585" s="2" t="s">
        <v>87</v>
      </c>
      <c r="C585" s="2" t="s">
        <v>2331</v>
      </c>
      <c r="D585" s="2" t="s">
        <v>89</v>
      </c>
      <c r="E585" s="2" t="s">
        <v>2332</v>
      </c>
      <c r="F585" s="2" t="s">
        <v>2405</v>
      </c>
      <c r="G585" s="2" t="s">
        <v>2405</v>
      </c>
      <c r="H585" s="2" t="s">
        <v>2405</v>
      </c>
      <c r="I585" s="2" t="s">
        <v>2351</v>
      </c>
      <c r="J585" s="2" t="s">
        <v>237</v>
      </c>
      <c r="K585" s="2" t="s">
        <v>1172</v>
      </c>
      <c r="L585" s="3">
        <v>39</v>
      </c>
      <c r="M585" s="3">
        <v>40.95</v>
      </c>
      <c r="N585" s="3">
        <v>89.99</v>
      </c>
      <c r="O585" s="2" t="s">
        <v>97</v>
      </c>
      <c r="P585" s="2" t="s">
        <v>119</v>
      </c>
      <c r="Q585" s="2" t="s">
        <v>99</v>
      </c>
      <c r="R585" s="2" t="s">
        <v>100</v>
      </c>
      <c r="S585" s="2" t="s">
        <v>2383</v>
      </c>
      <c r="T585" s="2" t="s">
        <v>280</v>
      </c>
      <c r="U585" s="2" t="s">
        <v>514</v>
      </c>
      <c r="V585" s="2" t="s">
        <v>2353</v>
      </c>
      <c r="W585" s="2" t="s">
        <v>202</v>
      </c>
      <c r="X585" s="2" t="s">
        <v>309</v>
      </c>
      <c r="Y585" s="2" t="s">
        <v>2354</v>
      </c>
      <c r="Z585" s="4">
        <v>569</v>
      </c>
      <c r="AA585" s="4">
        <f>=ROUNDDOWN(47.4166666666667,0)</f>
      </c>
      <c r="AB585" s="5">
        <v>12</v>
      </c>
      <c r="AC585" s="2" t="s">
        <v>100</v>
      </c>
      <c r="AD585" s="4"/>
      <c r="AE585" s="4"/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/>
      <c r="BJ585" s="4">
        <v>469</v>
      </c>
      <c r="BK585" s="8">
        <v>20888.6</v>
      </c>
      <c r="BL585" s="2" t="s">
        <v>2355</v>
      </c>
      <c r="BM585" s="7"/>
      <c r="BN585" s="7"/>
      <c r="BO585" s="4"/>
      <c r="BP585" s="8"/>
      <c r="BQ585" s="4"/>
      <c r="BR585" s="8"/>
      <c r="BS585" s="7"/>
      <c r="BT585" s="7"/>
      <c r="BU585" s="2" t="s">
        <v>207</v>
      </c>
      <c r="BV585" s="2" t="s">
        <v>97</v>
      </c>
      <c r="BW585" s="2" t="s">
        <v>100</v>
      </c>
      <c r="BX585" s="2" t="s">
        <v>100</v>
      </c>
      <c r="BY585" s="2" t="s">
        <v>113</v>
      </c>
      <c r="BZ585" s="2" t="s">
        <v>100</v>
      </c>
    </row>
    <row r="586">
      <c r="A586" s="2" t="s">
        <v>2406</v>
      </c>
      <c r="B586" s="2" t="s">
        <v>87</v>
      </c>
      <c r="C586" s="2" t="s">
        <v>2331</v>
      </c>
      <c r="D586" s="2" t="s">
        <v>89</v>
      </c>
      <c r="E586" s="2" t="s">
        <v>2332</v>
      </c>
      <c r="F586" s="2" t="s">
        <v>2405</v>
      </c>
      <c r="G586" s="2" t="s">
        <v>2405</v>
      </c>
      <c r="H586" s="2" t="s">
        <v>2405</v>
      </c>
      <c r="I586" s="2" t="s">
        <v>2351</v>
      </c>
      <c r="J586" s="2" t="s">
        <v>247</v>
      </c>
      <c r="K586" s="2" t="s">
        <v>1172</v>
      </c>
      <c r="L586" s="3">
        <v>49.99</v>
      </c>
      <c r="M586" s="3">
        <v>52.49</v>
      </c>
      <c r="N586" s="3">
        <v>119.99</v>
      </c>
      <c r="O586" s="2" t="s">
        <v>97</v>
      </c>
      <c r="P586" s="2" t="s">
        <v>372</v>
      </c>
      <c r="Q586" s="2" t="s">
        <v>99</v>
      </c>
      <c r="R586" s="2" t="s">
        <v>100</v>
      </c>
      <c r="S586" s="2" t="s">
        <v>2383</v>
      </c>
      <c r="T586" s="2" t="s">
        <v>280</v>
      </c>
      <c r="U586" s="2" t="s">
        <v>480</v>
      </c>
      <c r="V586" s="2" t="s">
        <v>2353</v>
      </c>
      <c r="W586" s="2" t="s">
        <v>202</v>
      </c>
      <c r="X586" s="2" t="s">
        <v>309</v>
      </c>
      <c r="Y586" s="2" t="s">
        <v>240</v>
      </c>
      <c r="Z586" s="4">
        <v>324</v>
      </c>
      <c r="AA586" s="4">
        <f>=ROUNDDOWN(11.5714285714286,0)</f>
      </c>
      <c r="AB586" s="5">
        <v>28</v>
      </c>
      <c r="AC586" s="2" t="s">
        <v>123</v>
      </c>
      <c r="AD586" s="4">
        <v>700</v>
      </c>
      <c r="AE586" s="4">
        <v>1500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/>
      <c r="BJ586" s="4">
        <v>1379</v>
      </c>
      <c r="BK586" s="8">
        <v>78145.16</v>
      </c>
      <c r="BL586" s="2" t="s">
        <v>2407</v>
      </c>
      <c r="BM586" s="7"/>
      <c r="BN586" s="7"/>
      <c r="BO586" s="4"/>
      <c r="BP586" s="8"/>
      <c r="BQ586" s="4"/>
      <c r="BR586" s="8"/>
      <c r="BS586" s="7"/>
      <c r="BT586" s="7"/>
      <c r="BU586" s="2" t="s">
        <v>207</v>
      </c>
      <c r="BV586" s="2" t="s">
        <v>97</v>
      </c>
      <c r="BW586" s="2" t="s">
        <v>100</v>
      </c>
      <c r="BX586" s="2" t="s">
        <v>100</v>
      </c>
      <c r="BY586" s="2" t="s">
        <v>113</v>
      </c>
      <c r="BZ586" s="2" t="s">
        <v>100</v>
      </c>
    </row>
    <row r="587">
      <c r="A587" s="2" t="s">
        <v>2408</v>
      </c>
      <c r="B587" s="2" t="s">
        <v>87</v>
      </c>
      <c r="C587" s="2" t="s">
        <v>2331</v>
      </c>
      <c r="D587" s="2" t="s">
        <v>89</v>
      </c>
      <c r="E587" s="2" t="s">
        <v>2332</v>
      </c>
      <c r="F587" s="2" t="s">
        <v>2405</v>
      </c>
      <c r="G587" s="2" t="s">
        <v>2405</v>
      </c>
      <c r="H587" s="2" t="s">
        <v>2405</v>
      </c>
      <c r="I587" s="2" t="s">
        <v>2351</v>
      </c>
      <c r="J587" s="2" t="s">
        <v>270</v>
      </c>
      <c r="K587" s="2" t="s">
        <v>1172</v>
      </c>
      <c r="L587" s="3">
        <v>54.99</v>
      </c>
      <c r="M587" s="3">
        <v>57.74</v>
      </c>
      <c r="N587" s="3">
        <v>129.99</v>
      </c>
      <c r="O587" s="2" t="s">
        <v>97</v>
      </c>
      <c r="P587" s="2" t="s">
        <v>372</v>
      </c>
      <c r="Q587" s="2" t="s">
        <v>99</v>
      </c>
      <c r="R587" s="2" t="s">
        <v>100</v>
      </c>
      <c r="S587" s="2" t="s">
        <v>2383</v>
      </c>
      <c r="T587" s="2" t="s">
        <v>280</v>
      </c>
      <c r="U587" s="2" t="s">
        <v>480</v>
      </c>
      <c r="V587" s="2" t="s">
        <v>2353</v>
      </c>
      <c r="W587" s="2" t="s">
        <v>202</v>
      </c>
      <c r="X587" s="2" t="s">
        <v>309</v>
      </c>
      <c r="Y587" s="2" t="s">
        <v>240</v>
      </c>
      <c r="Z587" s="4">
        <v>731</v>
      </c>
      <c r="AA587" s="4">
        <f>=ROUNDDOWN(29.24,0)</f>
      </c>
      <c r="AB587" s="5">
        <v>25</v>
      </c>
      <c r="AC587" s="2" t="s">
        <v>123</v>
      </c>
      <c r="AD587" s="4">
        <v>400</v>
      </c>
      <c r="AE587" s="4">
        <v>1040</v>
      </c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/>
      <c r="BJ587" s="4">
        <v>997</v>
      </c>
      <c r="BK587" s="8">
        <v>58419.9</v>
      </c>
      <c r="BL587" s="2" t="s">
        <v>2409</v>
      </c>
      <c r="BM587" s="7"/>
      <c r="BN587" s="7"/>
      <c r="BO587" s="4"/>
      <c r="BP587" s="8"/>
      <c r="BQ587" s="4"/>
      <c r="BR587" s="8"/>
      <c r="BS587" s="7"/>
      <c r="BT587" s="7"/>
      <c r="BU587" s="2" t="s">
        <v>207</v>
      </c>
      <c r="BV587" s="2" t="s">
        <v>97</v>
      </c>
      <c r="BW587" s="2" t="s">
        <v>100</v>
      </c>
      <c r="BX587" s="2" t="s">
        <v>100</v>
      </c>
      <c r="BY587" s="2" t="s">
        <v>113</v>
      </c>
      <c r="BZ587" s="2" t="s">
        <v>100</v>
      </c>
    </row>
    <row r="588">
      <c r="A588" s="2" t="s">
        <v>2410</v>
      </c>
      <c r="B588" s="2" t="s">
        <v>87</v>
      </c>
      <c r="C588" s="2" t="s">
        <v>2331</v>
      </c>
      <c r="D588" s="2" t="s">
        <v>89</v>
      </c>
      <c r="E588" s="2" t="s">
        <v>2332</v>
      </c>
      <c r="F588" s="2" t="s">
        <v>2411</v>
      </c>
      <c r="G588" s="2" t="s">
        <v>2411</v>
      </c>
      <c r="H588" s="2" t="s">
        <v>2411</v>
      </c>
      <c r="I588" s="2" t="s">
        <v>2345</v>
      </c>
      <c r="J588" s="2" t="s">
        <v>247</v>
      </c>
      <c r="K588" s="2" t="s">
        <v>629</v>
      </c>
      <c r="L588" s="3">
        <v>49.99</v>
      </c>
      <c r="M588" s="3">
        <v>52.49</v>
      </c>
      <c r="N588" s="3">
        <v>109.99</v>
      </c>
      <c r="O588" s="2" t="s">
        <v>97</v>
      </c>
      <c r="P588" s="2" t="s">
        <v>98</v>
      </c>
      <c r="Q588" s="2" t="s">
        <v>99</v>
      </c>
      <c r="R588" s="2" t="s">
        <v>100</v>
      </c>
      <c r="S588" s="2" t="s">
        <v>2346</v>
      </c>
      <c r="T588" s="2" t="s">
        <v>100</v>
      </c>
      <c r="U588" s="2" t="s">
        <v>100</v>
      </c>
      <c r="V588" s="2" t="s">
        <v>201</v>
      </c>
      <c r="W588" s="2" t="s">
        <v>202</v>
      </c>
      <c r="X588" s="2" t="s">
        <v>203</v>
      </c>
      <c r="Y588" s="2" t="s">
        <v>240</v>
      </c>
      <c r="Z588" s="4">
        <v>138</v>
      </c>
      <c r="AA588" s="4">
        <f>=ROUNDDOWN(8.625,0)</f>
      </c>
      <c r="AB588" s="5">
        <v>16</v>
      </c>
      <c r="AC588" s="2" t="s">
        <v>123</v>
      </c>
      <c r="AD588" s="4">
        <v>210</v>
      </c>
      <c r="AE588" s="4">
        <v>570</v>
      </c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/>
      <c r="BJ588" s="4">
        <v>527</v>
      </c>
      <c r="BK588" s="8">
        <v>28485.73</v>
      </c>
      <c r="BL588" s="2" t="s">
        <v>2355</v>
      </c>
      <c r="BM588" s="7"/>
      <c r="BN588" s="7"/>
      <c r="BO588" s="4"/>
      <c r="BP588" s="8"/>
      <c r="BQ588" s="4"/>
      <c r="BR588" s="8"/>
      <c r="BS588" s="7"/>
      <c r="BT588" s="7"/>
      <c r="BU588" s="2" t="s">
        <v>207</v>
      </c>
      <c r="BV588" s="2" t="s">
        <v>97</v>
      </c>
      <c r="BW588" s="2" t="s">
        <v>100</v>
      </c>
      <c r="BX588" s="2" t="s">
        <v>100</v>
      </c>
      <c r="BY588" s="2" t="s">
        <v>113</v>
      </c>
      <c r="BZ588" s="2" t="s">
        <v>100</v>
      </c>
    </row>
    <row r="589">
      <c r="A589" s="2" t="s">
        <v>2412</v>
      </c>
      <c r="B589" s="2" t="s">
        <v>87</v>
      </c>
      <c r="C589" s="2" t="s">
        <v>2331</v>
      </c>
      <c r="D589" s="2" t="s">
        <v>89</v>
      </c>
      <c r="E589" s="2" t="s">
        <v>2332</v>
      </c>
      <c r="F589" s="2" t="s">
        <v>2411</v>
      </c>
      <c r="G589" s="2" t="s">
        <v>2411</v>
      </c>
      <c r="H589" s="2" t="s">
        <v>2411</v>
      </c>
      <c r="I589" s="2" t="s">
        <v>2345</v>
      </c>
      <c r="J589" s="2" t="s">
        <v>270</v>
      </c>
      <c r="K589" s="2" t="s">
        <v>629</v>
      </c>
      <c r="L589" s="3">
        <v>54.99</v>
      </c>
      <c r="M589" s="3">
        <v>57.74</v>
      </c>
      <c r="N589" s="3">
        <v>119.99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2346</v>
      </c>
      <c r="T589" s="2" t="s">
        <v>100</v>
      </c>
      <c r="U589" s="2" t="s">
        <v>100</v>
      </c>
      <c r="V589" s="2" t="s">
        <v>201</v>
      </c>
      <c r="W589" s="2" t="s">
        <v>202</v>
      </c>
      <c r="X589" s="2" t="s">
        <v>203</v>
      </c>
      <c r="Y589" s="2" t="s">
        <v>240</v>
      </c>
      <c r="Z589" s="4">
        <v>462</v>
      </c>
      <c r="AA589" s="4">
        <f>=ROUNDDOWN(30.8,0)</f>
      </c>
      <c r="AB589" s="5">
        <v>15</v>
      </c>
      <c r="AC589" s="2" t="s">
        <v>123</v>
      </c>
      <c r="AD589" s="4">
        <v>190</v>
      </c>
      <c r="AE589" s="4">
        <v>320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/>
      <c r="BJ589" s="4">
        <v>453</v>
      </c>
      <c r="BK589" s="8">
        <v>27385.98</v>
      </c>
      <c r="BL589" s="2" t="s">
        <v>2413</v>
      </c>
      <c r="BM589" s="7"/>
      <c r="BN589" s="7"/>
      <c r="BO589" s="4"/>
      <c r="BP589" s="8"/>
      <c r="BQ589" s="4"/>
      <c r="BR589" s="8"/>
      <c r="BS589" s="7"/>
      <c r="BT589" s="7"/>
      <c r="BU589" s="2" t="s">
        <v>207</v>
      </c>
      <c r="BV589" s="2" t="s">
        <v>97</v>
      </c>
      <c r="BW589" s="2" t="s">
        <v>100</v>
      </c>
      <c r="BX589" s="2" t="s">
        <v>100</v>
      </c>
      <c r="BY589" s="2" t="s">
        <v>113</v>
      </c>
      <c r="BZ589" s="2" t="s">
        <v>100</v>
      </c>
    </row>
    <row r="590">
      <c r="A590" s="2" t="s">
        <v>2414</v>
      </c>
      <c r="B590" s="2" t="s">
        <v>87</v>
      </c>
      <c r="C590" s="2" t="s">
        <v>2331</v>
      </c>
      <c r="D590" s="2" t="s">
        <v>89</v>
      </c>
      <c r="E590" s="2" t="s">
        <v>90</v>
      </c>
      <c r="F590" s="2" t="s">
        <v>2382</v>
      </c>
      <c r="G590" s="2" t="s">
        <v>2382</v>
      </c>
      <c r="H590" s="2" t="s">
        <v>100</v>
      </c>
      <c r="I590" s="2" t="s">
        <v>2415</v>
      </c>
      <c r="J590" s="2" t="s">
        <v>95</v>
      </c>
      <c r="K590" s="2" t="s">
        <v>469</v>
      </c>
      <c r="L590" s="3">
        <v>59.99</v>
      </c>
      <c r="M590" s="3">
        <v>62.99</v>
      </c>
      <c r="N590" s="3">
        <v>129.99</v>
      </c>
      <c r="O590" s="2" t="s">
        <v>97</v>
      </c>
      <c r="P590" s="2" t="s">
        <v>119</v>
      </c>
      <c r="Q590" s="2" t="s">
        <v>99</v>
      </c>
      <c r="R590" s="2" t="s">
        <v>100</v>
      </c>
      <c r="S590" s="2" t="s">
        <v>2346</v>
      </c>
      <c r="T590" s="2" t="s">
        <v>100</v>
      </c>
      <c r="U590" s="2" t="s">
        <v>100</v>
      </c>
      <c r="V590" s="2" t="s">
        <v>201</v>
      </c>
      <c r="W590" s="2" t="s">
        <v>202</v>
      </c>
      <c r="X590" s="2" t="s">
        <v>203</v>
      </c>
      <c r="Y590" s="2" t="s">
        <v>2416</v>
      </c>
      <c r="Z590" s="4">
        <v>146</v>
      </c>
      <c r="AA590" s="4">
        <f>=ROUNDDOWN(20.8571428571429,0)</f>
      </c>
      <c r="AB590" s="5">
        <v>7</v>
      </c>
      <c r="AC590" s="2" t="s">
        <v>123</v>
      </c>
      <c r="AD590" s="4">
        <v>160</v>
      </c>
      <c r="AE590" s="4">
        <v>260</v>
      </c>
      <c r="AF590" s="6">
        <v>69</v>
      </c>
      <c r="AG590" s="6"/>
      <c r="AH590" s="7">
        <v>0.7005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>
        <v>196</v>
      </c>
      <c r="BK590" s="8">
        <v>13396.07</v>
      </c>
      <c r="BL590" s="2" t="s">
        <v>2417</v>
      </c>
      <c r="BM590" s="7"/>
      <c r="BN590" s="7"/>
      <c r="BO590" s="4"/>
      <c r="BP590" s="8"/>
      <c r="BQ590" s="4"/>
      <c r="BR590" s="8"/>
      <c r="BS590" s="7"/>
      <c r="BT590" s="7"/>
      <c r="BU590" s="2" t="s">
        <v>207</v>
      </c>
      <c r="BV590" s="2" t="s">
        <v>97</v>
      </c>
      <c r="BW590" s="2" t="s">
        <v>100</v>
      </c>
      <c r="BX590" s="2" t="s">
        <v>100</v>
      </c>
      <c r="BY590" s="2" t="s">
        <v>113</v>
      </c>
      <c r="BZ590" s="2" t="s">
        <v>100</v>
      </c>
    </row>
    <row r="591">
      <c r="A591" s="2" t="s">
        <v>2418</v>
      </c>
      <c r="B591" s="2" t="s">
        <v>87</v>
      </c>
      <c r="C591" s="2" t="s">
        <v>2331</v>
      </c>
      <c r="D591" s="2" t="s">
        <v>89</v>
      </c>
      <c r="E591" s="2" t="s">
        <v>90</v>
      </c>
      <c r="F591" s="2" t="s">
        <v>2411</v>
      </c>
      <c r="G591" s="2" t="s">
        <v>2411</v>
      </c>
      <c r="H591" s="2" t="s">
        <v>100</v>
      </c>
      <c r="I591" s="2" t="s">
        <v>2415</v>
      </c>
      <c r="J591" s="2" t="s">
        <v>95</v>
      </c>
      <c r="K591" s="2" t="s">
        <v>1172</v>
      </c>
      <c r="L591" s="3">
        <v>59.99</v>
      </c>
      <c r="M591" s="3">
        <v>62.99</v>
      </c>
      <c r="N591" s="3">
        <v>119.99</v>
      </c>
      <c r="O591" s="2" t="s">
        <v>97</v>
      </c>
      <c r="P591" s="2" t="s">
        <v>119</v>
      </c>
      <c r="Q591" s="2" t="s">
        <v>99</v>
      </c>
      <c r="R591" s="2" t="s">
        <v>100</v>
      </c>
      <c r="S591" s="2" t="s">
        <v>2346</v>
      </c>
      <c r="T591" s="2" t="s">
        <v>100</v>
      </c>
      <c r="U591" s="2" t="s">
        <v>100</v>
      </c>
      <c r="V591" s="2" t="s">
        <v>201</v>
      </c>
      <c r="W591" s="2" t="s">
        <v>202</v>
      </c>
      <c r="X591" s="2" t="s">
        <v>203</v>
      </c>
      <c r="Y591" s="2" t="s">
        <v>2416</v>
      </c>
      <c r="Z591" s="4">
        <v>18</v>
      </c>
      <c r="AA591" s="4">
        <f>=ROUNDDOWN(2.25,0)</f>
      </c>
      <c r="AB591" s="5">
        <v>8</v>
      </c>
      <c r="AC591" s="2" t="s">
        <v>123</v>
      </c>
      <c r="AD591" s="4">
        <v>110</v>
      </c>
      <c r="AE591" s="4">
        <v>350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>
        <v>227</v>
      </c>
      <c r="BK591" s="8">
        <v>14834.55</v>
      </c>
      <c r="BL591" s="2" t="s">
        <v>548</v>
      </c>
      <c r="BM591" s="7"/>
      <c r="BN591" s="7"/>
      <c r="BO591" s="4"/>
      <c r="BP591" s="8"/>
      <c r="BQ591" s="4"/>
      <c r="BR591" s="8"/>
      <c r="BS591" s="7"/>
      <c r="BT591" s="7"/>
      <c r="BU591" s="2" t="s">
        <v>207</v>
      </c>
      <c r="BV591" s="2" t="s">
        <v>97</v>
      </c>
      <c r="BW591" s="2" t="s">
        <v>100</v>
      </c>
      <c r="BX591" s="2" t="s">
        <v>100</v>
      </c>
      <c r="BY591" s="2" t="s">
        <v>113</v>
      </c>
      <c r="BZ591" s="2" t="s">
        <v>100</v>
      </c>
    </row>
    <row r="592">
      <c r="A592" s="2" t="s">
        <v>2419</v>
      </c>
      <c r="B592" s="2" t="s">
        <v>87</v>
      </c>
      <c r="C592" s="2" t="s">
        <v>2331</v>
      </c>
      <c r="D592" s="2" t="s">
        <v>1842</v>
      </c>
      <c r="E592" s="2" t="s">
        <v>1843</v>
      </c>
      <c r="F592" s="2" t="s">
        <v>1426</v>
      </c>
      <c r="G592" s="2" t="s">
        <v>1426</v>
      </c>
      <c r="H592" s="2" t="s">
        <v>1426</v>
      </c>
      <c r="I592" s="2" t="s">
        <v>2420</v>
      </c>
      <c r="J592" s="2" t="s">
        <v>1853</v>
      </c>
      <c r="K592" s="2" t="s">
        <v>1172</v>
      </c>
      <c r="L592" s="3">
        <v>22.05</v>
      </c>
      <c r="M592" s="3">
        <v>23.15</v>
      </c>
      <c r="N592" s="3">
        <v>44.99</v>
      </c>
      <c r="O592" s="2" t="s">
        <v>97</v>
      </c>
      <c r="P592" s="2" t="s">
        <v>119</v>
      </c>
      <c r="Q592" s="2" t="s">
        <v>99</v>
      </c>
      <c r="R592" s="2" t="s">
        <v>100</v>
      </c>
      <c r="S592" s="2" t="s">
        <v>2346</v>
      </c>
      <c r="T592" s="2" t="s">
        <v>100</v>
      </c>
      <c r="U592" s="2" t="s">
        <v>100</v>
      </c>
      <c r="V592" s="2" t="s">
        <v>201</v>
      </c>
      <c r="W592" s="2" t="s">
        <v>202</v>
      </c>
      <c r="X592" s="2" t="s">
        <v>203</v>
      </c>
      <c r="Y592" s="2" t="s">
        <v>240</v>
      </c>
      <c r="Z592" s="4"/>
      <c r="AA592" s="4">
        <f>=ROUNDDOWN({0},0)</f>
      </c>
      <c r="AB592" s="5">
        <v>21</v>
      </c>
      <c r="AC592" s="2" t="s">
        <v>1259</v>
      </c>
      <c r="AD592" s="4">
        <v>500</v>
      </c>
      <c r="AE592" s="4">
        <v>770</v>
      </c>
      <c r="AF592" s="6">
        <v>69</v>
      </c>
      <c r="AG592" s="6"/>
      <c r="AH592" s="7">
        <v>0.9037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>
        <v>19</v>
      </c>
      <c r="AQ592" s="8">
        <v>505.97</v>
      </c>
      <c r="AR592" s="4"/>
      <c r="AS592" s="8"/>
      <c r="AT592" s="7"/>
      <c r="AU592" s="7"/>
      <c r="AV592" s="4">
        <v>19</v>
      </c>
      <c r="AW592" s="8">
        <v>505.97</v>
      </c>
      <c r="AX592" s="4"/>
      <c r="AY592" s="8"/>
      <c r="AZ592" s="7"/>
      <c r="BA592" s="7"/>
      <c r="BB592" s="7">
        <v>1</v>
      </c>
      <c r="BC592" s="4">
        <v>19</v>
      </c>
      <c r="BD592" s="8">
        <v>505.97</v>
      </c>
      <c r="BE592" s="4"/>
      <c r="BF592" s="8"/>
      <c r="BG592" s="7"/>
      <c r="BH592" s="7"/>
      <c r="BI592" s="7">
        <v>1</v>
      </c>
      <c r="BJ592" s="4">
        <v>1467</v>
      </c>
      <c r="BK592" s="8">
        <v>33848.3</v>
      </c>
      <c r="BL592" s="2" t="s">
        <v>2421</v>
      </c>
      <c r="BM592" s="7">
        <v>0.013</v>
      </c>
      <c r="BN592" s="7">
        <v>0.0149</v>
      </c>
      <c r="BO592" s="4">
        <v>19</v>
      </c>
      <c r="BP592" s="8">
        <v>505.97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2338</v>
      </c>
      <c r="BX592" s="2" t="s">
        <v>2422</v>
      </c>
      <c r="BY592" s="2" t="s">
        <v>113</v>
      </c>
      <c r="BZ592" s="2" t="s">
        <v>100</v>
      </c>
    </row>
    <row r="593">
      <c r="A593" s="2" t="s">
        <v>2423</v>
      </c>
      <c r="B593" s="2" t="s">
        <v>87</v>
      </c>
      <c r="C593" s="2" t="s">
        <v>2331</v>
      </c>
      <c r="D593" s="2" t="s">
        <v>1842</v>
      </c>
      <c r="E593" s="2" t="s">
        <v>1843</v>
      </c>
      <c r="F593" s="2" t="s">
        <v>2405</v>
      </c>
      <c r="G593" s="2" t="s">
        <v>2405</v>
      </c>
      <c r="H593" s="2" t="s">
        <v>2405</v>
      </c>
      <c r="I593" s="2" t="s">
        <v>2420</v>
      </c>
      <c r="J593" s="2" t="s">
        <v>1853</v>
      </c>
      <c r="K593" s="2" t="s">
        <v>1172</v>
      </c>
      <c r="L593" s="3">
        <v>22.05</v>
      </c>
      <c r="M593" s="3">
        <v>23.15</v>
      </c>
      <c r="N593" s="3">
        <v>44.99</v>
      </c>
      <c r="O593" s="2" t="s">
        <v>97</v>
      </c>
      <c r="P593" s="2" t="s">
        <v>119</v>
      </c>
      <c r="Q593" s="2" t="s">
        <v>99</v>
      </c>
      <c r="R593" s="2" t="s">
        <v>100</v>
      </c>
      <c r="S593" s="2" t="s">
        <v>2346</v>
      </c>
      <c r="T593" s="2" t="s">
        <v>100</v>
      </c>
      <c r="U593" s="2" t="s">
        <v>100</v>
      </c>
      <c r="V593" s="2" t="s">
        <v>201</v>
      </c>
      <c r="W593" s="2" t="s">
        <v>202</v>
      </c>
      <c r="X593" s="2" t="s">
        <v>203</v>
      </c>
      <c r="Y593" s="2" t="s">
        <v>240</v>
      </c>
      <c r="Z593" s="4">
        <v>340</v>
      </c>
      <c r="AA593" s="4">
        <f>=ROUNDDOWN(17.8947368421053,0)</f>
      </c>
      <c r="AB593" s="5">
        <v>19</v>
      </c>
      <c r="AC593" s="2" t="s">
        <v>123</v>
      </c>
      <c r="AD593" s="4">
        <v>430</v>
      </c>
      <c r="AE593" s="4">
        <v>730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>
        <v>1126</v>
      </c>
      <c r="BK593" s="8">
        <v>26343.53</v>
      </c>
      <c r="BL593" s="2" t="s">
        <v>2424</v>
      </c>
      <c r="BM593" s="7"/>
      <c r="BN593" s="7"/>
      <c r="BO593" s="4"/>
      <c r="BP593" s="8"/>
      <c r="BQ593" s="4"/>
      <c r="BR593" s="8"/>
      <c r="BS593" s="7"/>
      <c r="BT593" s="7"/>
      <c r="BU593" s="2" t="s">
        <v>207</v>
      </c>
      <c r="BV593" s="2" t="s">
        <v>97</v>
      </c>
      <c r="BW593" s="2" t="s">
        <v>100</v>
      </c>
      <c r="BX593" s="2" t="s">
        <v>100</v>
      </c>
      <c r="BY593" s="2" t="s">
        <v>113</v>
      </c>
      <c r="BZ593" s="2" t="s">
        <v>100</v>
      </c>
    </row>
    <row r="594">
      <c r="A594" s="2" t="s">
        <v>2425</v>
      </c>
      <c r="B594" s="2" t="s">
        <v>87</v>
      </c>
      <c r="C594" s="2" t="s">
        <v>2331</v>
      </c>
      <c r="D594" s="2" t="s">
        <v>1842</v>
      </c>
      <c r="E594" s="2" t="s">
        <v>1843</v>
      </c>
      <c r="F594" s="2" t="s">
        <v>2411</v>
      </c>
      <c r="G594" s="2" t="s">
        <v>2411</v>
      </c>
      <c r="H594" s="2" t="s">
        <v>2411</v>
      </c>
      <c r="I594" s="2" t="s">
        <v>2420</v>
      </c>
      <c r="J594" s="2" t="s">
        <v>1853</v>
      </c>
      <c r="K594" s="2" t="s">
        <v>629</v>
      </c>
      <c r="L594" s="3">
        <v>22.05</v>
      </c>
      <c r="M594" s="3">
        <v>23.15</v>
      </c>
      <c r="N594" s="3">
        <v>44.99</v>
      </c>
      <c r="O594" s="2" t="s">
        <v>97</v>
      </c>
      <c r="P594" s="2" t="s">
        <v>119</v>
      </c>
      <c r="Q594" s="2" t="s">
        <v>99</v>
      </c>
      <c r="R594" s="2" t="s">
        <v>100</v>
      </c>
      <c r="S594" s="2" t="s">
        <v>2346</v>
      </c>
      <c r="T594" s="2" t="s">
        <v>100</v>
      </c>
      <c r="U594" s="2" t="s">
        <v>100</v>
      </c>
      <c r="V594" s="2" t="s">
        <v>201</v>
      </c>
      <c r="W594" s="2" t="s">
        <v>202</v>
      </c>
      <c r="X594" s="2" t="s">
        <v>203</v>
      </c>
      <c r="Y594" s="2" t="s">
        <v>240</v>
      </c>
      <c r="Z594" s="4">
        <v>215</v>
      </c>
      <c r="AA594" s="4">
        <f>=ROUNDDOWN(11.3157894736842,0)</f>
      </c>
      <c r="AB594" s="5">
        <v>19</v>
      </c>
      <c r="AC594" s="2" t="s">
        <v>123</v>
      </c>
      <c r="AD594" s="4">
        <v>520</v>
      </c>
      <c r="AE594" s="4">
        <v>1020</v>
      </c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>
        <v>821</v>
      </c>
      <c r="BK594" s="8">
        <v>19116.13</v>
      </c>
      <c r="BL594" s="2" t="s">
        <v>1827</v>
      </c>
      <c r="BM594" s="7"/>
      <c r="BN594" s="7"/>
      <c r="BO594" s="4"/>
      <c r="BP594" s="8"/>
      <c r="BQ594" s="4"/>
      <c r="BR594" s="8"/>
      <c r="BS594" s="7"/>
      <c r="BT594" s="7"/>
      <c r="BU594" s="2" t="s">
        <v>207</v>
      </c>
      <c r="BV594" s="2" t="s">
        <v>97</v>
      </c>
      <c r="BW594" s="2" t="s">
        <v>100</v>
      </c>
      <c r="BX594" s="2" t="s">
        <v>100</v>
      </c>
      <c r="BY594" s="2" t="s">
        <v>113</v>
      </c>
      <c r="BZ594" s="2" t="s">
        <v>100</v>
      </c>
    </row>
    <row r="595">
      <c r="A595" s="2" t="s">
        <v>2426</v>
      </c>
      <c r="B595" s="2" t="s">
        <v>87</v>
      </c>
      <c r="C595" s="2" t="s">
        <v>2331</v>
      </c>
      <c r="D595" s="2" t="s">
        <v>1857</v>
      </c>
      <c r="E595" s="2" t="s">
        <v>2427</v>
      </c>
      <c r="F595" s="2" t="s">
        <v>2428</v>
      </c>
      <c r="G595" s="2" t="s">
        <v>2428</v>
      </c>
      <c r="H595" s="2" t="s">
        <v>2428</v>
      </c>
      <c r="I595" s="2" t="s">
        <v>2429</v>
      </c>
      <c r="J595" s="2" t="s">
        <v>2430</v>
      </c>
      <c r="K595" s="2" t="s">
        <v>130</v>
      </c>
      <c r="L595" s="3">
        <v>16</v>
      </c>
      <c r="M595" s="3">
        <v>16.8</v>
      </c>
      <c r="N595" s="3">
        <v>39.99</v>
      </c>
      <c r="O595" s="2" t="s">
        <v>97</v>
      </c>
      <c r="P595" s="2" t="s">
        <v>119</v>
      </c>
      <c r="Q595" s="2" t="s">
        <v>99</v>
      </c>
      <c r="R595" s="2" t="s">
        <v>100</v>
      </c>
      <c r="S595" s="2" t="s">
        <v>2431</v>
      </c>
      <c r="T595" s="2" t="s">
        <v>100</v>
      </c>
      <c r="U595" s="2" t="s">
        <v>100</v>
      </c>
      <c r="V595" s="2" t="s">
        <v>338</v>
      </c>
      <c r="W595" s="2" t="s">
        <v>202</v>
      </c>
      <c r="X595" s="2" t="s">
        <v>183</v>
      </c>
      <c r="Y595" s="2" t="s">
        <v>240</v>
      </c>
      <c r="Z595" s="4">
        <v>187</v>
      </c>
      <c r="AA595" s="4">
        <f>=ROUNDDOWN(26.7142857142857,0)</f>
      </c>
      <c r="AB595" s="5">
        <v>7</v>
      </c>
      <c r="AC595" s="2" t="s">
        <v>100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>
        <v>316</v>
      </c>
      <c r="BK595" s="8">
        <v>5176.11</v>
      </c>
      <c r="BL595" s="2" t="s">
        <v>2432</v>
      </c>
      <c r="BM595" s="7"/>
      <c r="BN595" s="7"/>
      <c r="BO595" s="4"/>
      <c r="BP595" s="8"/>
      <c r="BQ595" s="4"/>
      <c r="BR595" s="8"/>
      <c r="BS595" s="7"/>
      <c r="BT595" s="7"/>
      <c r="BU595" s="2" t="s">
        <v>207</v>
      </c>
      <c r="BV595" s="2" t="s">
        <v>97</v>
      </c>
      <c r="BW595" s="2" t="s">
        <v>100</v>
      </c>
      <c r="BX595" s="2" t="s">
        <v>100</v>
      </c>
      <c r="BY595" s="2" t="s">
        <v>113</v>
      </c>
      <c r="BZ595" s="2" t="s">
        <v>100</v>
      </c>
    </row>
    <row r="596">
      <c r="A596" s="2" t="s">
        <v>2433</v>
      </c>
      <c r="B596" s="2" t="s">
        <v>87</v>
      </c>
      <c r="C596" s="2" t="s">
        <v>2331</v>
      </c>
      <c r="D596" s="2" t="s">
        <v>803</v>
      </c>
      <c r="E596" s="2" t="s">
        <v>804</v>
      </c>
      <c r="F596" s="2" t="s">
        <v>2434</v>
      </c>
      <c r="G596" s="2" t="s">
        <v>2434</v>
      </c>
      <c r="H596" s="2" t="s">
        <v>2434</v>
      </c>
      <c r="I596" s="2" t="s">
        <v>2435</v>
      </c>
      <c r="J596" s="2" t="s">
        <v>717</v>
      </c>
      <c r="K596" s="2" t="s">
        <v>2436</v>
      </c>
      <c r="L596" s="3">
        <v>77.99</v>
      </c>
      <c r="M596" s="3">
        <v>81.89</v>
      </c>
      <c r="N596" s="3">
        <v>149.99</v>
      </c>
      <c r="O596" s="2" t="s">
        <v>97</v>
      </c>
      <c r="P596" s="2" t="s">
        <v>372</v>
      </c>
      <c r="Q596" s="2" t="s">
        <v>99</v>
      </c>
      <c r="R596" s="2" t="s">
        <v>100</v>
      </c>
      <c r="S596" s="2" t="s">
        <v>2437</v>
      </c>
      <c r="T596" s="2" t="s">
        <v>100</v>
      </c>
      <c r="U596" s="2" t="s">
        <v>100</v>
      </c>
      <c r="V596" s="2" t="s">
        <v>132</v>
      </c>
      <c r="W596" s="2" t="s">
        <v>202</v>
      </c>
      <c r="X596" s="2" t="s">
        <v>2438</v>
      </c>
      <c r="Y596" s="2" t="s">
        <v>2439</v>
      </c>
      <c r="Z596" s="4">
        <v>176</v>
      </c>
      <c r="AA596" s="4">
        <f>=ROUNDDOWN(25.1428571428571,0)</f>
      </c>
      <c r="AB596" s="5">
        <v>7</v>
      </c>
      <c r="AC596" s="2" t="s">
        <v>241</v>
      </c>
      <c r="AD596" s="4">
        <v>520</v>
      </c>
      <c r="AE596" s="4">
        <v>710</v>
      </c>
      <c r="AF596" s="6">
        <v>66</v>
      </c>
      <c r="AG596" s="6">
        <v>49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/>
      <c r="BJ596" s="4">
        <v>254</v>
      </c>
      <c r="BK596" s="8">
        <v>19939.63</v>
      </c>
      <c r="BL596" s="2" t="s">
        <v>2440</v>
      </c>
      <c r="BM596" s="7"/>
      <c r="BN596" s="7"/>
      <c r="BO596" s="4"/>
      <c r="BP596" s="8"/>
      <c r="BQ596" s="4"/>
      <c r="BR596" s="8"/>
      <c r="BS596" s="7"/>
      <c r="BT596" s="7"/>
      <c r="BU596" s="2" t="s">
        <v>207</v>
      </c>
      <c r="BV596" s="2" t="s">
        <v>97</v>
      </c>
      <c r="BW596" s="2" t="s">
        <v>100</v>
      </c>
      <c r="BX596" s="2" t="s">
        <v>100</v>
      </c>
      <c r="BY596" s="2" t="s">
        <v>113</v>
      </c>
      <c r="BZ596" s="2" t="s">
        <v>100</v>
      </c>
    </row>
    <row r="597">
      <c r="A597" s="2" t="s">
        <v>2441</v>
      </c>
      <c r="B597" s="2" t="s">
        <v>87</v>
      </c>
      <c r="C597" s="2" t="s">
        <v>2331</v>
      </c>
      <c r="D597" s="2" t="s">
        <v>803</v>
      </c>
      <c r="E597" s="2" t="s">
        <v>804</v>
      </c>
      <c r="F597" s="2" t="s">
        <v>2434</v>
      </c>
      <c r="G597" s="2" t="s">
        <v>2434</v>
      </c>
      <c r="H597" s="2" t="s">
        <v>2434</v>
      </c>
      <c r="I597" s="2" t="s">
        <v>2435</v>
      </c>
      <c r="J597" s="2" t="s">
        <v>706</v>
      </c>
      <c r="K597" s="2" t="s">
        <v>2436</v>
      </c>
      <c r="L597" s="3">
        <v>83.19</v>
      </c>
      <c r="M597" s="3">
        <v>87.35</v>
      </c>
      <c r="N597" s="3">
        <v>159.99</v>
      </c>
      <c r="O597" s="2" t="s">
        <v>97</v>
      </c>
      <c r="P597" s="2" t="s">
        <v>372</v>
      </c>
      <c r="Q597" s="2" t="s">
        <v>99</v>
      </c>
      <c r="R597" s="2" t="s">
        <v>100</v>
      </c>
      <c r="S597" s="2" t="s">
        <v>2437</v>
      </c>
      <c r="T597" s="2" t="s">
        <v>100</v>
      </c>
      <c r="U597" s="2" t="s">
        <v>100</v>
      </c>
      <c r="V597" s="2" t="s">
        <v>132</v>
      </c>
      <c r="W597" s="2" t="s">
        <v>202</v>
      </c>
      <c r="X597" s="2" t="s">
        <v>2438</v>
      </c>
      <c r="Y597" s="2" t="s">
        <v>2442</v>
      </c>
      <c r="Z597" s="4">
        <v>703</v>
      </c>
      <c r="AA597" s="4">
        <f>=ROUNDDOWN(25.1071428571429,0)</f>
      </c>
      <c r="AB597" s="5">
        <v>28</v>
      </c>
      <c r="AC597" s="2" t="s">
        <v>241</v>
      </c>
      <c r="AD597" s="4">
        <v>1800</v>
      </c>
      <c r="AE597" s="4">
        <v>3014</v>
      </c>
      <c r="AF597" s="6">
        <v>66</v>
      </c>
      <c r="AG597" s="6">
        <v>49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/>
      <c r="BJ597" s="4">
        <v>1416</v>
      </c>
      <c r="BK597" s="8">
        <v>119326.53</v>
      </c>
      <c r="BL597" s="2" t="s">
        <v>2443</v>
      </c>
      <c r="BM597" s="7"/>
      <c r="BN597" s="7"/>
      <c r="BO597" s="4"/>
      <c r="BP597" s="8"/>
      <c r="BQ597" s="4"/>
      <c r="BR597" s="8"/>
      <c r="BS597" s="7"/>
      <c r="BT597" s="7"/>
      <c r="BU597" s="2" t="s">
        <v>207</v>
      </c>
      <c r="BV597" s="2" t="s">
        <v>97</v>
      </c>
      <c r="BW597" s="2" t="s">
        <v>100</v>
      </c>
      <c r="BX597" s="2" t="s">
        <v>100</v>
      </c>
      <c r="BY597" s="2" t="s">
        <v>113</v>
      </c>
      <c r="BZ597" s="2" t="s">
        <v>100</v>
      </c>
    </row>
    <row r="598">
      <c r="A598" s="2" t="s">
        <v>2444</v>
      </c>
      <c r="B598" s="2" t="s">
        <v>87</v>
      </c>
      <c r="C598" s="2" t="s">
        <v>2331</v>
      </c>
      <c r="D598" s="2" t="s">
        <v>803</v>
      </c>
      <c r="E598" s="2" t="s">
        <v>804</v>
      </c>
      <c r="F598" s="2" t="s">
        <v>2434</v>
      </c>
      <c r="G598" s="2" t="s">
        <v>2434</v>
      </c>
      <c r="H598" s="2" t="s">
        <v>2434</v>
      </c>
      <c r="I598" s="2" t="s">
        <v>2435</v>
      </c>
      <c r="J598" s="2" t="s">
        <v>714</v>
      </c>
      <c r="K598" s="2" t="s">
        <v>2436</v>
      </c>
      <c r="L598" s="3">
        <v>93.59</v>
      </c>
      <c r="M598" s="3">
        <v>98.27</v>
      </c>
      <c r="N598" s="3">
        <v>179.99</v>
      </c>
      <c r="O598" s="2" t="s">
        <v>97</v>
      </c>
      <c r="P598" s="2" t="s">
        <v>372</v>
      </c>
      <c r="Q598" s="2" t="s">
        <v>99</v>
      </c>
      <c r="R598" s="2" t="s">
        <v>100</v>
      </c>
      <c r="S598" s="2" t="s">
        <v>2437</v>
      </c>
      <c r="T598" s="2" t="s">
        <v>100</v>
      </c>
      <c r="U598" s="2" t="s">
        <v>100</v>
      </c>
      <c r="V598" s="2" t="s">
        <v>132</v>
      </c>
      <c r="W598" s="2" t="s">
        <v>202</v>
      </c>
      <c r="X598" s="2" t="s">
        <v>2438</v>
      </c>
      <c r="Y598" s="2" t="s">
        <v>2442</v>
      </c>
      <c r="Z598" s="4">
        <v>862</v>
      </c>
      <c r="AA598" s="4">
        <f>=ROUNDDOWN(37.4782608695652,0)</f>
      </c>
      <c r="AB598" s="5">
        <v>23</v>
      </c>
      <c r="AC598" s="2" t="s">
        <v>997</v>
      </c>
      <c r="AD598" s="4">
        <v>100</v>
      </c>
      <c r="AE598" s="4">
        <v>260</v>
      </c>
      <c r="AF598" s="6">
        <v>66</v>
      </c>
      <c r="AG598" s="6">
        <v>49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/>
      <c r="BJ598" s="4">
        <v>797</v>
      </c>
      <c r="BK598" s="8">
        <v>77337.39</v>
      </c>
      <c r="BL598" s="2" t="s">
        <v>2445</v>
      </c>
      <c r="BM598" s="7"/>
      <c r="BN598" s="7"/>
      <c r="BO598" s="4"/>
      <c r="BP598" s="8"/>
      <c r="BQ598" s="4"/>
      <c r="BR598" s="8"/>
      <c r="BS598" s="7"/>
      <c r="BT598" s="7"/>
      <c r="BU598" s="2" t="s">
        <v>207</v>
      </c>
      <c r="BV598" s="2" t="s">
        <v>97</v>
      </c>
      <c r="BW598" s="2" t="s">
        <v>100</v>
      </c>
      <c r="BX598" s="2" t="s">
        <v>100</v>
      </c>
      <c r="BY598" s="2" t="s">
        <v>113</v>
      </c>
      <c r="BZ598" s="2" t="s">
        <v>100</v>
      </c>
    </row>
    <row r="599">
      <c r="A599" s="2" t="s">
        <v>2446</v>
      </c>
      <c r="B599" s="2" t="s">
        <v>87</v>
      </c>
      <c r="C599" s="2" t="s">
        <v>2331</v>
      </c>
      <c r="D599" s="2" t="s">
        <v>803</v>
      </c>
      <c r="E599" s="2" t="s">
        <v>804</v>
      </c>
      <c r="F599" s="2" t="s">
        <v>2434</v>
      </c>
      <c r="G599" s="2" t="s">
        <v>2434</v>
      </c>
      <c r="H599" s="2" t="s">
        <v>2434</v>
      </c>
      <c r="I599" s="2" t="s">
        <v>2435</v>
      </c>
      <c r="J599" s="2" t="s">
        <v>817</v>
      </c>
      <c r="K599" s="2" t="s">
        <v>2436</v>
      </c>
      <c r="L599" s="3">
        <v>93.59</v>
      </c>
      <c r="M599" s="3">
        <v>98.27</v>
      </c>
      <c r="N599" s="3">
        <v>179.99</v>
      </c>
      <c r="O599" s="2" t="s">
        <v>97</v>
      </c>
      <c r="P599" s="2" t="s">
        <v>372</v>
      </c>
      <c r="Q599" s="2" t="s">
        <v>99</v>
      </c>
      <c r="R599" s="2" t="s">
        <v>100</v>
      </c>
      <c r="S599" s="2" t="s">
        <v>2437</v>
      </c>
      <c r="T599" s="2" t="s">
        <v>100</v>
      </c>
      <c r="U599" s="2" t="s">
        <v>100</v>
      </c>
      <c r="V599" s="2" t="s">
        <v>132</v>
      </c>
      <c r="W599" s="2" t="s">
        <v>202</v>
      </c>
      <c r="X599" s="2" t="s">
        <v>2438</v>
      </c>
      <c r="Y599" s="2" t="s">
        <v>2442</v>
      </c>
      <c r="Z599" s="4">
        <v>614</v>
      </c>
      <c r="AA599" s="4">
        <f>=ROUNDDOWN(61.4,0)</f>
      </c>
      <c r="AB599" s="5">
        <v>10</v>
      </c>
      <c r="AC599" s="2" t="s">
        <v>997</v>
      </c>
      <c r="AD599" s="4">
        <v>90</v>
      </c>
      <c r="AE599" s="4">
        <v>120</v>
      </c>
      <c r="AF599" s="6">
        <v>66</v>
      </c>
      <c r="AG599" s="6">
        <v>49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/>
      <c r="BJ599" s="4">
        <v>289</v>
      </c>
      <c r="BK599" s="8">
        <v>28000.53</v>
      </c>
      <c r="BL599" s="2" t="s">
        <v>2447</v>
      </c>
      <c r="BM599" s="7"/>
      <c r="BN599" s="7"/>
      <c r="BO599" s="4"/>
      <c r="BP599" s="8"/>
      <c r="BQ599" s="4"/>
      <c r="BR599" s="8"/>
      <c r="BS599" s="7"/>
      <c r="BT599" s="7"/>
      <c r="BU599" s="2" t="s">
        <v>207</v>
      </c>
      <c r="BV599" s="2" t="s">
        <v>97</v>
      </c>
      <c r="BW599" s="2" t="s">
        <v>100</v>
      </c>
      <c r="BX599" s="2" t="s">
        <v>100</v>
      </c>
      <c r="BY599" s="2" t="s">
        <v>113</v>
      </c>
      <c r="BZ599" s="2" t="s">
        <v>100</v>
      </c>
    </row>
    <row r="600">
      <c r="A600" s="2" t="s">
        <v>2448</v>
      </c>
      <c r="B600" s="2" t="s">
        <v>87</v>
      </c>
      <c r="C600" s="2" t="s">
        <v>2331</v>
      </c>
      <c r="D600" s="2" t="s">
        <v>803</v>
      </c>
      <c r="E600" s="2" t="s">
        <v>804</v>
      </c>
      <c r="F600" s="2" t="s">
        <v>2428</v>
      </c>
      <c r="G600" s="2" t="s">
        <v>2428</v>
      </c>
      <c r="H600" s="2" t="s">
        <v>2428</v>
      </c>
      <c r="I600" s="2" t="s">
        <v>2449</v>
      </c>
      <c r="J600" s="2" t="s">
        <v>1936</v>
      </c>
      <c r="K600" s="2" t="s">
        <v>130</v>
      </c>
      <c r="L600" s="3">
        <v>56.09</v>
      </c>
      <c r="M600" s="3">
        <v>58.9</v>
      </c>
      <c r="N600" s="3">
        <v>109.99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2431</v>
      </c>
      <c r="T600" s="2" t="s">
        <v>100</v>
      </c>
      <c r="U600" s="2" t="s">
        <v>100</v>
      </c>
      <c r="V600" s="2" t="s">
        <v>201</v>
      </c>
      <c r="W600" s="2" t="s">
        <v>202</v>
      </c>
      <c r="X600" s="2" t="s">
        <v>203</v>
      </c>
      <c r="Y600" s="2" t="s">
        <v>240</v>
      </c>
      <c r="Z600" s="4">
        <v>168</v>
      </c>
      <c r="AA600" s="4">
        <f>=ROUNDDOWN(33.6,0)</f>
      </c>
      <c r="AB600" s="5">
        <v>5</v>
      </c>
      <c r="AC600" s="2" t="s">
        <v>205</v>
      </c>
      <c r="AD600" s="4">
        <v>120</v>
      </c>
      <c r="AE600" s="4">
        <v>120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/>
      <c r="BJ600" s="4">
        <v>164</v>
      </c>
      <c r="BK600" s="8">
        <v>9537.06</v>
      </c>
      <c r="BL600" s="2" t="s">
        <v>2450</v>
      </c>
      <c r="BM600" s="7"/>
      <c r="BN600" s="7"/>
      <c r="BO600" s="4"/>
      <c r="BP600" s="8"/>
      <c r="BQ600" s="4"/>
      <c r="BR600" s="8"/>
      <c r="BS600" s="7"/>
      <c r="BT600" s="7"/>
      <c r="BU600" s="2" t="s">
        <v>207</v>
      </c>
      <c r="BV600" s="2" t="s">
        <v>97</v>
      </c>
      <c r="BW600" s="2" t="s">
        <v>100</v>
      </c>
      <c r="BX600" s="2" t="s">
        <v>100</v>
      </c>
      <c r="BY600" s="2" t="s">
        <v>113</v>
      </c>
      <c r="BZ600" s="2" t="s">
        <v>100</v>
      </c>
    </row>
    <row r="601">
      <c r="A601" s="2" t="s">
        <v>2451</v>
      </c>
      <c r="B601" s="2" t="s">
        <v>87</v>
      </c>
      <c r="C601" s="2" t="s">
        <v>2331</v>
      </c>
      <c r="D601" s="2" t="s">
        <v>803</v>
      </c>
      <c r="E601" s="2" t="s">
        <v>804</v>
      </c>
      <c r="F601" s="2" t="s">
        <v>2428</v>
      </c>
      <c r="G601" s="2" t="s">
        <v>2428</v>
      </c>
      <c r="H601" s="2" t="s">
        <v>2428</v>
      </c>
      <c r="I601" s="2" t="s">
        <v>2449</v>
      </c>
      <c r="J601" s="2" t="s">
        <v>706</v>
      </c>
      <c r="K601" s="2" t="s">
        <v>130</v>
      </c>
      <c r="L601" s="3">
        <v>72.79</v>
      </c>
      <c r="M601" s="3">
        <v>76.43</v>
      </c>
      <c r="N601" s="3">
        <v>139.99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2431</v>
      </c>
      <c r="T601" s="2" t="s">
        <v>100</v>
      </c>
      <c r="U601" s="2" t="s">
        <v>100</v>
      </c>
      <c r="V601" s="2" t="s">
        <v>201</v>
      </c>
      <c r="W601" s="2" t="s">
        <v>202</v>
      </c>
      <c r="X601" s="2" t="s">
        <v>203</v>
      </c>
      <c r="Y601" s="2" t="s">
        <v>240</v>
      </c>
      <c r="Z601" s="4">
        <v>252</v>
      </c>
      <c r="AA601" s="4">
        <f>=ROUNDDOWN(16.8,0)</f>
      </c>
      <c r="AB601" s="5">
        <v>15</v>
      </c>
      <c r="AC601" s="2" t="s">
        <v>205</v>
      </c>
      <c r="AD601" s="4">
        <v>320</v>
      </c>
      <c r="AE601" s="4">
        <v>320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/>
      <c r="BJ601" s="4">
        <v>637</v>
      </c>
      <c r="BK601" s="8">
        <v>49916.86</v>
      </c>
      <c r="BL601" s="2" t="s">
        <v>2452</v>
      </c>
      <c r="BM601" s="7"/>
      <c r="BN601" s="7"/>
      <c r="BO601" s="4"/>
      <c r="BP601" s="8"/>
      <c r="BQ601" s="4"/>
      <c r="BR601" s="8"/>
      <c r="BS601" s="7"/>
      <c r="BT601" s="7"/>
      <c r="BU601" s="2" t="s">
        <v>207</v>
      </c>
      <c r="BV601" s="2" t="s">
        <v>97</v>
      </c>
      <c r="BW601" s="2" t="s">
        <v>100</v>
      </c>
      <c r="BX601" s="2" t="s">
        <v>100</v>
      </c>
      <c r="BY601" s="2" t="s">
        <v>113</v>
      </c>
      <c r="BZ601" s="2" t="s">
        <v>100</v>
      </c>
    </row>
    <row r="602">
      <c r="A602" s="2" t="s">
        <v>2453</v>
      </c>
      <c r="B602" s="2" t="s">
        <v>87</v>
      </c>
      <c r="C602" s="2" t="s">
        <v>2331</v>
      </c>
      <c r="D602" s="2" t="s">
        <v>803</v>
      </c>
      <c r="E602" s="2" t="s">
        <v>804</v>
      </c>
      <c r="F602" s="2" t="s">
        <v>2428</v>
      </c>
      <c r="G602" s="2" t="s">
        <v>2428</v>
      </c>
      <c r="H602" s="2" t="s">
        <v>2428</v>
      </c>
      <c r="I602" s="2" t="s">
        <v>2449</v>
      </c>
      <c r="J602" s="2" t="s">
        <v>714</v>
      </c>
      <c r="K602" s="2" t="s">
        <v>130</v>
      </c>
      <c r="L602" s="3">
        <v>83.19</v>
      </c>
      <c r="M602" s="3">
        <v>87.35</v>
      </c>
      <c r="N602" s="3">
        <v>159.99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2431</v>
      </c>
      <c r="T602" s="2" t="s">
        <v>100</v>
      </c>
      <c r="U602" s="2" t="s">
        <v>100</v>
      </c>
      <c r="V602" s="2" t="s">
        <v>201</v>
      </c>
      <c r="W602" s="2" t="s">
        <v>202</v>
      </c>
      <c r="X602" s="2" t="s">
        <v>203</v>
      </c>
      <c r="Y602" s="2" t="s">
        <v>576</v>
      </c>
      <c r="Z602" s="4">
        <v>59</v>
      </c>
      <c r="AA602" s="4">
        <f>=ROUNDDOWN(4.91666666666667,0)</f>
      </c>
      <c r="AB602" s="5">
        <v>12</v>
      </c>
      <c r="AC602" s="2" t="s">
        <v>205</v>
      </c>
      <c r="AD602" s="4">
        <v>260</v>
      </c>
      <c r="AE602" s="4">
        <v>260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/>
      <c r="BJ602" s="4">
        <v>545</v>
      </c>
      <c r="BK602" s="8">
        <v>48143.4</v>
      </c>
      <c r="BL602" s="2" t="s">
        <v>2454</v>
      </c>
      <c r="BM602" s="7"/>
      <c r="BN602" s="7"/>
      <c r="BO602" s="4"/>
      <c r="BP602" s="8"/>
      <c r="BQ602" s="4"/>
      <c r="BR602" s="8"/>
      <c r="BS602" s="7"/>
      <c r="BT602" s="7"/>
      <c r="BU602" s="2" t="s">
        <v>207</v>
      </c>
      <c r="BV602" s="2" t="s">
        <v>97</v>
      </c>
      <c r="BW602" s="2" t="s">
        <v>100</v>
      </c>
      <c r="BX602" s="2" t="s">
        <v>100</v>
      </c>
      <c r="BY602" s="2" t="s">
        <v>113</v>
      </c>
      <c r="BZ602" s="2" t="s">
        <v>100</v>
      </c>
    </row>
    <row r="603">
      <c r="A603" s="2" t="s">
        <v>2455</v>
      </c>
      <c r="B603" s="2" t="s">
        <v>87</v>
      </c>
      <c r="C603" s="2" t="s">
        <v>2331</v>
      </c>
      <c r="D603" s="2" t="s">
        <v>803</v>
      </c>
      <c r="E603" s="2" t="s">
        <v>804</v>
      </c>
      <c r="F603" s="2" t="s">
        <v>807</v>
      </c>
      <c r="G603" s="2" t="s">
        <v>807</v>
      </c>
      <c r="H603" s="2" t="s">
        <v>807</v>
      </c>
      <c r="I603" s="2" t="s">
        <v>2456</v>
      </c>
      <c r="J603" s="2" t="s">
        <v>237</v>
      </c>
      <c r="K603" s="2" t="s">
        <v>118</v>
      </c>
      <c r="L603" s="3">
        <v>72.79</v>
      </c>
      <c r="M603" s="3">
        <v>76.43</v>
      </c>
      <c r="N603" s="3">
        <v>154.99</v>
      </c>
      <c r="O603" s="2" t="s">
        <v>97</v>
      </c>
      <c r="P603" s="2" t="s">
        <v>372</v>
      </c>
      <c r="Q603" s="2" t="s">
        <v>99</v>
      </c>
      <c r="R603" s="2" t="s">
        <v>100</v>
      </c>
      <c r="S603" s="2" t="s">
        <v>2457</v>
      </c>
      <c r="T603" s="2" t="s">
        <v>100</v>
      </c>
      <c r="U603" s="2" t="s">
        <v>100</v>
      </c>
      <c r="V603" s="2" t="s">
        <v>146</v>
      </c>
      <c r="W603" s="2" t="s">
        <v>133</v>
      </c>
      <c r="X603" s="2" t="s">
        <v>100</v>
      </c>
      <c r="Y603" s="2" t="s">
        <v>2439</v>
      </c>
      <c r="Z603" s="4">
        <v>473</v>
      </c>
      <c r="AA603" s="4">
        <f>=ROUNDDOWN(39.4166666666667,0)</f>
      </c>
      <c r="AB603" s="5">
        <v>12</v>
      </c>
      <c r="AC603" s="2" t="s">
        <v>320</v>
      </c>
      <c r="AD603" s="4">
        <v>30</v>
      </c>
      <c r="AE603" s="4">
        <v>443</v>
      </c>
      <c r="AF603" s="6">
        <v>67</v>
      </c>
      <c r="AG603" s="6">
        <v>75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/>
      <c r="BJ603" s="4">
        <v>363</v>
      </c>
      <c r="BK603" s="8">
        <v>27943.03</v>
      </c>
      <c r="BL603" s="2" t="s">
        <v>2458</v>
      </c>
      <c r="BM603" s="7"/>
      <c r="BN603" s="7"/>
      <c r="BO603" s="4"/>
      <c r="BP603" s="8"/>
      <c r="BQ603" s="4"/>
      <c r="BR603" s="8"/>
      <c r="BS603" s="7"/>
      <c r="BT603" s="7"/>
      <c r="BU603" s="2" t="s">
        <v>207</v>
      </c>
      <c r="BV603" s="2" t="s">
        <v>97</v>
      </c>
      <c r="BW603" s="2" t="s">
        <v>100</v>
      </c>
      <c r="BX603" s="2" t="s">
        <v>100</v>
      </c>
      <c r="BY603" s="2" t="s">
        <v>113</v>
      </c>
      <c r="BZ603" s="2" t="s">
        <v>100</v>
      </c>
    </row>
    <row r="604">
      <c r="A604" s="2" t="s">
        <v>2459</v>
      </c>
      <c r="B604" s="2" t="s">
        <v>87</v>
      </c>
      <c r="C604" s="2" t="s">
        <v>2331</v>
      </c>
      <c r="D604" s="2" t="s">
        <v>803</v>
      </c>
      <c r="E604" s="2" t="s">
        <v>804</v>
      </c>
      <c r="F604" s="2" t="s">
        <v>807</v>
      </c>
      <c r="G604" s="2" t="s">
        <v>807</v>
      </c>
      <c r="H604" s="2" t="s">
        <v>807</v>
      </c>
      <c r="I604" s="2" t="s">
        <v>2456</v>
      </c>
      <c r="J604" s="2" t="s">
        <v>717</v>
      </c>
      <c r="K604" s="2" t="s">
        <v>118</v>
      </c>
      <c r="L604" s="3">
        <v>83.19</v>
      </c>
      <c r="M604" s="3">
        <v>87.35</v>
      </c>
      <c r="N604" s="3">
        <v>179.99</v>
      </c>
      <c r="O604" s="2" t="s">
        <v>97</v>
      </c>
      <c r="P604" s="2" t="s">
        <v>372</v>
      </c>
      <c r="Q604" s="2" t="s">
        <v>99</v>
      </c>
      <c r="R604" s="2" t="s">
        <v>100</v>
      </c>
      <c r="S604" s="2" t="s">
        <v>2457</v>
      </c>
      <c r="T604" s="2" t="s">
        <v>100</v>
      </c>
      <c r="U604" s="2" t="s">
        <v>100</v>
      </c>
      <c r="V604" s="2" t="s">
        <v>146</v>
      </c>
      <c r="W604" s="2" t="s">
        <v>133</v>
      </c>
      <c r="X604" s="2" t="s">
        <v>100</v>
      </c>
      <c r="Y604" s="2" t="s">
        <v>2439</v>
      </c>
      <c r="Z604" s="4">
        <v>273</v>
      </c>
      <c r="AA604" s="4">
        <f>=ROUNDDOWN(34.125,0)</f>
      </c>
      <c r="AB604" s="5">
        <v>8</v>
      </c>
      <c r="AC604" s="2" t="s">
        <v>320</v>
      </c>
      <c r="AD604" s="4">
        <v>60</v>
      </c>
      <c r="AE604" s="4">
        <v>410</v>
      </c>
      <c r="AF604" s="6">
        <v>67</v>
      </c>
      <c r="AG604" s="6">
        <v>75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/>
      <c r="BJ604" s="4">
        <v>225</v>
      </c>
      <c r="BK604" s="8">
        <v>20184.7</v>
      </c>
      <c r="BL604" s="2" t="s">
        <v>2460</v>
      </c>
      <c r="BM604" s="7"/>
      <c r="BN604" s="7"/>
      <c r="BO604" s="4"/>
      <c r="BP604" s="8"/>
      <c r="BQ604" s="4"/>
      <c r="BR604" s="8"/>
      <c r="BS604" s="7"/>
      <c r="BT604" s="7"/>
      <c r="BU604" s="2" t="s">
        <v>207</v>
      </c>
      <c r="BV604" s="2" t="s">
        <v>97</v>
      </c>
      <c r="BW604" s="2" t="s">
        <v>100</v>
      </c>
      <c r="BX604" s="2" t="s">
        <v>100</v>
      </c>
      <c r="BY604" s="2" t="s">
        <v>113</v>
      </c>
      <c r="BZ604" s="2" t="s">
        <v>100</v>
      </c>
    </row>
    <row r="605">
      <c r="A605" s="2" t="s">
        <v>2461</v>
      </c>
      <c r="B605" s="2" t="s">
        <v>87</v>
      </c>
      <c r="C605" s="2" t="s">
        <v>2331</v>
      </c>
      <c r="D605" s="2" t="s">
        <v>803</v>
      </c>
      <c r="E605" s="2" t="s">
        <v>804</v>
      </c>
      <c r="F605" s="2" t="s">
        <v>807</v>
      </c>
      <c r="G605" s="2" t="s">
        <v>807</v>
      </c>
      <c r="H605" s="2" t="s">
        <v>807</v>
      </c>
      <c r="I605" s="2" t="s">
        <v>2456</v>
      </c>
      <c r="J605" s="2" t="s">
        <v>706</v>
      </c>
      <c r="K605" s="2" t="s">
        <v>118</v>
      </c>
      <c r="L605" s="3">
        <v>88.39</v>
      </c>
      <c r="M605" s="3">
        <v>92.81</v>
      </c>
      <c r="N605" s="3">
        <v>189.99</v>
      </c>
      <c r="O605" s="2" t="s">
        <v>97</v>
      </c>
      <c r="P605" s="2" t="s">
        <v>372</v>
      </c>
      <c r="Q605" s="2" t="s">
        <v>99</v>
      </c>
      <c r="R605" s="2" t="s">
        <v>100</v>
      </c>
      <c r="S605" s="2" t="s">
        <v>2457</v>
      </c>
      <c r="T605" s="2" t="s">
        <v>100</v>
      </c>
      <c r="U605" s="2" t="s">
        <v>100</v>
      </c>
      <c r="V605" s="2" t="s">
        <v>146</v>
      </c>
      <c r="W605" s="2" t="s">
        <v>133</v>
      </c>
      <c r="X605" s="2" t="s">
        <v>100</v>
      </c>
      <c r="Y605" s="2" t="s">
        <v>2439</v>
      </c>
      <c r="Z605" s="4">
        <v>844</v>
      </c>
      <c r="AA605" s="4">
        <f>=ROUNDDOWN(33.76,0)</f>
      </c>
      <c r="AB605" s="5">
        <v>25</v>
      </c>
      <c r="AC605" s="2" t="s">
        <v>320</v>
      </c>
      <c r="AD605" s="4">
        <v>300</v>
      </c>
      <c r="AE605" s="4">
        <v>1040</v>
      </c>
      <c r="AF605" s="6">
        <v>67</v>
      </c>
      <c r="AG605" s="6">
        <v>75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/>
      <c r="BJ605" s="4">
        <v>921</v>
      </c>
      <c r="BK605" s="8">
        <v>88239.77</v>
      </c>
      <c r="BL605" s="2" t="s">
        <v>2462</v>
      </c>
      <c r="BM605" s="7"/>
      <c r="BN605" s="7"/>
      <c r="BO605" s="4"/>
      <c r="BP605" s="8"/>
      <c r="BQ605" s="4"/>
      <c r="BR605" s="8"/>
      <c r="BS605" s="7"/>
      <c r="BT605" s="7"/>
      <c r="BU605" s="2" t="s">
        <v>207</v>
      </c>
      <c r="BV605" s="2" t="s">
        <v>97</v>
      </c>
      <c r="BW605" s="2" t="s">
        <v>100</v>
      </c>
      <c r="BX605" s="2" t="s">
        <v>100</v>
      </c>
      <c r="BY605" s="2" t="s">
        <v>113</v>
      </c>
      <c r="BZ605" s="2" t="s">
        <v>100</v>
      </c>
    </row>
    <row r="606">
      <c r="A606" s="2" t="s">
        <v>2463</v>
      </c>
      <c r="B606" s="2" t="s">
        <v>87</v>
      </c>
      <c r="C606" s="2" t="s">
        <v>2331</v>
      </c>
      <c r="D606" s="2" t="s">
        <v>803</v>
      </c>
      <c r="E606" s="2" t="s">
        <v>804</v>
      </c>
      <c r="F606" s="2" t="s">
        <v>807</v>
      </c>
      <c r="G606" s="2" t="s">
        <v>807</v>
      </c>
      <c r="H606" s="2" t="s">
        <v>807</v>
      </c>
      <c r="I606" s="2" t="s">
        <v>2456</v>
      </c>
      <c r="J606" s="2" t="s">
        <v>270</v>
      </c>
      <c r="K606" s="2" t="s">
        <v>118</v>
      </c>
      <c r="L606" s="3">
        <v>98.79</v>
      </c>
      <c r="M606" s="3">
        <v>103.73</v>
      </c>
      <c r="N606" s="3">
        <v>209.99</v>
      </c>
      <c r="O606" s="2" t="s">
        <v>97</v>
      </c>
      <c r="P606" s="2" t="s">
        <v>372</v>
      </c>
      <c r="Q606" s="2" t="s">
        <v>99</v>
      </c>
      <c r="R606" s="2" t="s">
        <v>100</v>
      </c>
      <c r="S606" s="2" t="s">
        <v>2457</v>
      </c>
      <c r="T606" s="2" t="s">
        <v>100</v>
      </c>
      <c r="U606" s="2" t="s">
        <v>100</v>
      </c>
      <c r="V606" s="2" t="s">
        <v>146</v>
      </c>
      <c r="W606" s="2" t="s">
        <v>133</v>
      </c>
      <c r="X606" s="2" t="s">
        <v>100</v>
      </c>
      <c r="Y606" s="2" t="s">
        <v>2439</v>
      </c>
      <c r="Z606" s="4">
        <v>687</v>
      </c>
      <c r="AA606" s="4">
        <f>=ROUNDDOWN(28.625,0)</f>
      </c>
      <c r="AB606" s="5">
        <v>24</v>
      </c>
      <c r="AC606" s="2" t="s">
        <v>320</v>
      </c>
      <c r="AD606" s="4">
        <v>140</v>
      </c>
      <c r="AE606" s="4">
        <v>690</v>
      </c>
      <c r="AF606" s="6">
        <v>67</v>
      </c>
      <c r="AG606" s="6">
        <v>75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/>
      <c r="BJ606" s="4">
        <v>893</v>
      </c>
      <c r="BK606" s="8">
        <v>95600.8</v>
      </c>
      <c r="BL606" s="2" t="s">
        <v>2464</v>
      </c>
      <c r="BM606" s="7"/>
      <c r="BN606" s="7"/>
      <c r="BO606" s="4"/>
      <c r="BP606" s="8"/>
      <c r="BQ606" s="4"/>
      <c r="BR606" s="8"/>
      <c r="BS606" s="7"/>
      <c r="BT606" s="7"/>
      <c r="BU606" s="2" t="s">
        <v>207</v>
      </c>
      <c r="BV606" s="2" t="s">
        <v>97</v>
      </c>
      <c r="BW606" s="2" t="s">
        <v>100</v>
      </c>
      <c r="BX606" s="2" t="s">
        <v>100</v>
      </c>
      <c r="BY606" s="2" t="s">
        <v>113</v>
      </c>
      <c r="BZ606" s="2" t="s">
        <v>100</v>
      </c>
    </row>
    <row r="607">
      <c r="A607" s="2" t="s">
        <v>2465</v>
      </c>
      <c r="B607" s="2" t="s">
        <v>87</v>
      </c>
      <c r="C607" s="2" t="s">
        <v>2331</v>
      </c>
      <c r="D607" s="2" t="s">
        <v>803</v>
      </c>
      <c r="E607" s="2" t="s">
        <v>1532</v>
      </c>
      <c r="F607" s="2" t="s">
        <v>2466</v>
      </c>
      <c r="G607" s="2" t="s">
        <v>2466</v>
      </c>
      <c r="H607" s="2" t="s">
        <v>2466</v>
      </c>
      <c r="I607" s="2" t="s">
        <v>2467</v>
      </c>
      <c r="J607" s="2" t="s">
        <v>237</v>
      </c>
      <c r="K607" s="2" t="s">
        <v>1172</v>
      </c>
      <c r="L607" s="3">
        <v>45.71</v>
      </c>
      <c r="M607" s="3">
        <v>48</v>
      </c>
      <c r="N607" s="3">
        <v>99.99</v>
      </c>
      <c r="O607" s="2" t="s">
        <v>97</v>
      </c>
      <c r="P607" s="2" t="s">
        <v>119</v>
      </c>
      <c r="Q607" s="2" t="s">
        <v>99</v>
      </c>
      <c r="R607" s="2" t="s">
        <v>100</v>
      </c>
      <c r="S607" s="2" t="s">
        <v>2468</v>
      </c>
      <c r="T607" s="2" t="s">
        <v>200</v>
      </c>
      <c r="U607" s="2" t="s">
        <v>514</v>
      </c>
      <c r="V607" s="2" t="s">
        <v>132</v>
      </c>
      <c r="W607" s="2" t="s">
        <v>202</v>
      </c>
      <c r="X607" s="2" t="s">
        <v>104</v>
      </c>
      <c r="Y607" s="2" t="s">
        <v>2469</v>
      </c>
      <c r="Z607" s="4">
        <v>112</v>
      </c>
      <c r="AA607" s="4">
        <f>=ROUNDDOWN(28,0)</f>
      </c>
      <c r="AB607" s="5">
        <v>4</v>
      </c>
      <c r="AC607" s="2" t="s">
        <v>931</v>
      </c>
      <c r="AD607" s="4">
        <v>100</v>
      </c>
      <c r="AE607" s="4">
        <v>170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/>
      <c r="BJ607" s="4">
        <v>44</v>
      </c>
      <c r="BK607" s="8">
        <v>2221.15</v>
      </c>
      <c r="BL607" s="2" t="s">
        <v>2470</v>
      </c>
      <c r="BM607" s="7"/>
      <c r="BN607" s="7"/>
      <c r="BO607" s="4"/>
      <c r="BP607" s="8"/>
      <c r="BQ607" s="4"/>
      <c r="BR607" s="8"/>
      <c r="BS607" s="7"/>
      <c r="BT607" s="7"/>
      <c r="BU607" s="2" t="s">
        <v>207</v>
      </c>
      <c r="BV607" s="2" t="s">
        <v>97</v>
      </c>
      <c r="BW607" s="2" t="s">
        <v>100</v>
      </c>
      <c r="BX607" s="2" t="s">
        <v>100</v>
      </c>
      <c r="BY607" s="2" t="s">
        <v>113</v>
      </c>
      <c r="BZ607" s="2" t="s">
        <v>100</v>
      </c>
    </row>
    <row r="608">
      <c r="A608" s="2" t="s">
        <v>2471</v>
      </c>
      <c r="B608" s="2" t="s">
        <v>87</v>
      </c>
      <c r="C608" s="2" t="s">
        <v>2331</v>
      </c>
      <c r="D608" s="2" t="s">
        <v>803</v>
      </c>
      <c r="E608" s="2" t="s">
        <v>1532</v>
      </c>
      <c r="F608" s="2" t="s">
        <v>2466</v>
      </c>
      <c r="G608" s="2" t="s">
        <v>2466</v>
      </c>
      <c r="H608" s="2" t="s">
        <v>2466</v>
      </c>
      <c r="I608" s="2" t="s">
        <v>2467</v>
      </c>
      <c r="J608" s="2" t="s">
        <v>247</v>
      </c>
      <c r="K608" s="2" t="s">
        <v>1172</v>
      </c>
      <c r="L608" s="3">
        <v>59.42</v>
      </c>
      <c r="M608" s="3">
        <v>62.39</v>
      </c>
      <c r="N608" s="3">
        <v>129.99</v>
      </c>
      <c r="O608" s="2" t="s">
        <v>97</v>
      </c>
      <c r="P608" s="2" t="s">
        <v>119</v>
      </c>
      <c r="Q608" s="2" t="s">
        <v>99</v>
      </c>
      <c r="R608" s="2" t="s">
        <v>100</v>
      </c>
      <c r="S608" s="2" t="s">
        <v>2468</v>
      </c>
      <c r="T608" s="2" t="s">
        <v>200</v>
      </c>
      <c r="U608" s="2" t="s">
        <v>480</v>
      </c>
      <c r="V608" s="2" t="s">
        <v>132</v>
      </c>
      <c r="W608" s="2" t="s">
        <v>202</v>
      </c>
      <c r="X608" s="2" t="s">
        <v>104</v>
      </c>
      <c r="Y608" s="2" t="s">
        <v>2472</v>
      </c>
      <c r="Z608" s="4">
        <v>172</v>
      </c>
      <c r="AA608" s="4">
        <f>=ROUNDDOWN(19.1111111111111,0)</f>
      </c>
      <c r="AB608" s="5">
        <v>9</v>
      </c>
      <c r="AC608" s="2" t="s">
        <v>931</v>
      </c>
      <c r="AD608" s="4">
        <v>210</v>
      </c>
      <c r="AE608" s="4">
        <v>350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/>
      <c r="BJ608" s="4">
        <v>183</v>
      </c>
      <c r="BK608" s="8">
        <v>12091.3</v>
      </c>
      <c r="BL608" s="2" t="s">
        <v>418</v>
      </c>
      <c r="BM608" s="7"/>
      <c r="BN608" s="7"/>
      <c r="BO608" s="4"/>
      <c r="BP608" s="8"/>
      <c r="BQ608" s="4"/>
      <c r="BR608" s="8"/>
      <c r="BS608" s="7"/>
      <c r="BT608" s="7"/>
      <c r="BU608" s="2" t="s">
        <v>207</v>
      </c>
      <c r="BV608" s="2" t="s">
        <v>97</v>
      </c>
      <c r="BW608" s="2" t="s">
        <v>100</v>
      </c>
      <c r="BX608" s="2" t="s">
        <v>100</v>
      </c>
      <c r="BY608" s="2" t="s">
        <v>113</v>
      </c>
      <c r="BZ608" s="2" t="s">
        <v>100</v>
      </c>
    </row>
    <row r="609">
      <c r="A609" s="2" t="s">
        <v>2473</v>
      </c>
      <c r="B609" s="2" t="s">
        <v>87</v>
      </c>
      <c r="C609" s="2" t="s">
        <v>2331</v>
      </c>
      <c r="D609" s="2" t="s">
        <v>803</v>
      </c>
      <c r="E609" s="2" t="s">
        <v>1532</v>
      </c>
      <c r="F609" s="2" t="s">
        <v>2466</v>
      </c>
      <c r="G609" s="2" t="s">
        <v>2466</v>
      </c>
      <c r="H609" s="2" t="s">
        <v>2466</v>
      </c>
      <c r="I609" s="2" t="s">
        <v>2467</v>
      </c>
      <c r="J609" s="2" t="s">
        <v>270</v>
      </c>
      <c r="K609" s="2" t="s">
        <v>1172</v>
      </c>
      <c r="L609" s="3">
        <v>68.57</v>
      </c>
      <c r="M609" s="3">
        <v>72</v>
      </c>
      <c r="N609" s="3">
        <v>149.99</v>
      </c>
      <c r="O609" s="2" t="s">
        <v>97</v>
      </c>
      <c r="P609" s="2" t="s">
        <v>119</v>
      </c>
      <c r="Q609" s="2" t="s">
        <v>99</v>
      </c>
      <c r="R609" s="2" t="s">
        <v>100</v>
      </c>
      <c r="S609" s="2" t="s">
        <v>2468</v>
      </c>
      <c r="T609" s="2" t="s">
        <v>200</v>
      </c>
      <c r="U609" s="2" t="s">
        <v>480</v>
      </c>
      <c r="V609" s="2" t="s">
        <v>132</v>
      </c>
      <c r="W609" s="2" t="s">
        <v>202</v>
      </c>
      <c r="X609" s="2" t="s">
        <v>104</v>
      </c>
      <c r="Y609" s="2" t="s">
        <v>2469</v>
      </c>
      <c r="Z609" s="4"/>
      <c r="AA609" s="4">
        <f>=ROUNDDOWN({0},0)</f>
      </c>
      <c r="AB609" s="5">
        <v>10</v>
      </c>
      <c r="AC609" s="2" t="s">
        <v>931</v>
      </c>
      <c r="AD609" s="4">
        <v>190</v>
      </c>
      <c r="AE609" s="4">
        <v>280</v>
      </c>
      <c r="AF609" s="6">
        <v>65</v>
      </c>
      <c r="AG609" s="6"/>
      <c r="AH609" s="7">
        <v>0.9251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/>
      <c r="BJ609" s="4">
        <v>238</v>
      </c>
      <c r="BK609" s="8">
        <v>18272.46</v>
      </c>
      <c r="BL609" s="2" t="s">
        <v>418</v>
      </c>
      <c r="BM609" s="7"/>
      <c r="BN609" s="7"/>
      <c r="BO609" s="4"/>
      <c r="BP609" s="8"/>
      <c r="BQ609" s="4"/>
      <c r="BR609" s="8"/>
      <c r="BS609" s="7"/>
      <c r="BT609" s="7"/>
      <c r="BU609" s="2" t="s">
        <v>207</v>
      </c>
      <c r="BV609" s="2" t="s">
        <v>97</v>
      </c>
      <c r="BW609" s="2" t="s">
        <v>100</v>
      </c>
      <c r="BX609" s="2" t="s">
        <v>100</v>
      </c>
      <c r="BY609" s="2" t="s">
        <v>113</v>
      </c>
      <c r="BZ609" s="2" t="s">
        <v>100</v>
      </c>
    </row>
    <row r="610">
      <c r="A610" s="2" t="s">
        <v>2474</v>
      </c>
      <c r="B610" s="2" t="s">
        <v>87</v>
      </c>
      <c r="C610" s="2" t="s">
        <v>2331</v>
      </c>
      <c r="D610" s="2" t="s">
        <v>803</v>
      </c>
      <c r="E610" s="2" t="s">
        <v>1532</v>
      </c>
      <c r="F610" s="2" t="s">
        <v>2475</v>
      </c>
      <c r="G610" s="2" t="s">
        <v>2475</v>
      </c>
      <c r="H610" s="2" t="s">
        <v>2475</v>
      </c>
      <c r="I610" s="2" t="s">
        <v>2476</v>
      </c>
      <c r="J610" s="2" t="s">
        <v>247</v>
      </c>
      <c r="K610" s="2" t="s">
        <v>2477</v>
      </c>
      <c r="L610" s="3">
        <v>59.42</v>
      </c>
      <c r="M610" s="3">
        <v>62.4</v>
      </c>
      <c r="N610" s="3">
        <v>129.99</v>
      </c>
      <c r="O610" s="2" t="s">
        <v>97</v>
      </c>
      <c r="P610" s="2" t="s">
        <v>2478</v>
      </c>
      <c r="Q610" s="2" t="s">
        <v>99</v>
      </c>
      <c r="R610" s="2" t="s">
        <v>100</v>
      </c>
      <c r="S610" s="2" t="s">
        <v>100</v>
      </c>
      <c r="T610" s="2" t="s">
        <v>280</v>
      </c>
      <c r="U610" s="2" t="s">
        <v>480</v>
      </c>
      <c r="V610" s="2" t="s">
        <v>146</v>
      </c>
      <c r="W610" s="2" t="s">
        <v>100</v>
      </c>
      <c r="X610" s="2" t="s">
        <v>100</v>
      </c>
      <c r="Y610" s="2" t="s">
        <v>100</v>
      </c>
      <c r="Z610" s="4"/>
      <c r="AA610" s="4">
        <f>=ROUNDDOWN({0},0)</f>
      </c>
      <c r="AB610" s="5"/>
      <c r="AC610" s="2" t="s">
        <v>2479</v>
      </c>
      <c r="AD610" s="4">
        <v>171</v>
      </c>
      <c r="AE610" s="4">
        <v>171</v>
      </c>
      <c r="AF610" s="6"/>
      <c r="AG610" s="6"/>
      <c r="AH610" s="7"/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/>
      <c r="BJ610" s="4"/>
      <c r="BK610" s="8"/>
      <c r="BL610" s="2" t="s">
        <v>100</v>
      </c>
      <c r="BM610" s="7"/>
      <c r="BN610" s="7"/>
      <c r="BO610" s="4"/>
      <c r="BP610" s="8"/>
      <c r="BQ610" s="4"/>
      <c r="BR610" s="8"/>
      <c r="BS610" s="7"/>
      <c r="BT610" s="7"/>
      <c r="BU610" s="2" t="s">
        <v>2480</v>
      </c>
      <c r="BV610" s="2" t="s">
        <v>97</v>
      </c>
      <c r="BW610" s="2" t="s">
        <v>100</v>
      </c>
      <c r="BX610" s="2" t="s">
        <v>100</v>
      </c>
      <c r="BY610" s="2" t="s">
        <v>113</v>
      </c>
      <c r="BZ610" s="2" t="s">
        <v>100</v>
      </c>
    </row>
    <row r="611">
      <c r="A611" s="2" t="s">
        <v>2481</v>
      </c>
      <c r="B611" s="2" t="s">
        <v>87</v>
      </c>
      <c r="C611" s="2" t="s">
        <v>2331</v>
      </c>
      <c r="D611" s="2" t="s">
        <v>803</v>
      </c>
      <c r="E611" s="2" t="s">
        <v>1532</v>
      </c>
      <c r="F611" s="2" t="s">
        <v>2475</v>
      </c>
      <c r="G611" s="2" t="s">
        <v>2475</v>
      </c>
      <c r="H611" s="2" t="s">
        <v>2475</v>
      </c>
      <c r="I611" s="2" t="s">
        <v>2476</v>
      </c>
      <c r="J611" s="2" t="s">
        <v>270</v>
      </c>
      <c r="K611" s="2" t="s">
        <v>2477</v>
      </c>
      <c r="L611" s="3">
        <v>68.57</v>
      </c>
      <c r="M611" s="3">
        <v>72</v>
      </c>
      <c r="N611" s="3">
        <v>149.99</v>
      </c>
      <c r="O611" s="2" t="s">
        <v>97</v>
      </c>
      <c r="P611" s="2" t="s">
        <v>2478</v>
      </c>
      <c r="Q611" s="2" t="s">
        <v>99</v>
      </c>
      <c r="R611" s="2" t="s">
        <v>100</v>
      </c>
      <c r="S611" s="2" t="s">
        <v>100</v>
      </c>
      <c r="T611" s="2" t="s">
        <v>280</v>
      </c>
      <c r="U611" s="2" t="s">
        <v>480</v>
      </c>
      <c r="V611" s="2" t="s">
        <v>146</v>
      </c>
      <c r="W611" s="2" t="s">
        <v>100</v>
      </c>
      <c r="X611" s="2" t="s">
        <v>100</v>
      </c>
      <c r="Y611" s="2" t="s">
        <v>100</v>
      </c>
      <c r="Z611" s="4"/>
      <c r="AA611" s="4">
        <f>=ROUNDDOWN({0},0)</f>
      </c>
      <c r="AB611" s="5"/>
      <c r="AC611" s="2" t="s">
        <v>2479</v>
      </c>
      <c r="AD611" s="4">
        <v>173</v>
      </c>
      <c r="AE611" s="4">
        <v>173</v>
      </c>
      <c r="AF611" s="6"/>
      <c r="AG611" s="6"/>
      <c r="AH611" s="7"/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/>
      <c r="BJ611" s="4"/>
      <c r="BK611" s="8"/>
      <c r="BL611" s="2" t="s">
        <v>100</v>
      </c>
      <c r="BM611" s="7"/>
      <c r="BN611" s="7"/>
      <c r="BO611" s="4"/>
      <c r="BP611" s="8"/>
      <c r="BQ611" s="4"/>
      <c r="BR611" s="8"/>
      <c r="BS611" s="7"/>
      <c r="BT611" s="7"/>
      <c r="BU611" s="2" t="s">
        <v>2480</v>
      </c>
      <c r="BV611" s="2" t="s">
        <v>97</v>
      </c>
      <c r="BW611" s="2" t="s">
        <v>100</v>
      </c>
      <c r="BX611" s="2" t="s">
        <v>100</v>
      </c>
      <c r="BY611" s="2" t="s">
        <v>113</v>
      </c>
      <c r="BZ611" s="2" t="s">
        <v>100</v>
      </c>
    </row>
    <row r="612">
      <c r="A612" s="2" t="s">
        <v>2482</v>
      </c>
      <c r="B612" s="2" t="s">
        <v>87</v>
      </c>
      <c r="C612" s="2" t="s">
        <v>2331</v>
      </c>
      <c r="D612" s="2" t="s">
        <v>803</v>
      </c>
      <c r="E612" s="2" t="s">
        <v>1532</v>
      </c>
      <c r="F612" s="2" t="s">
        <v>2475</v>
      </c>
      <c r="G612" s="2" t="s">
        <v>2475</v>
      </c>
      <c r="H612" s="2" t="s">
        <v>2475</v>
      </c>
      <c r="I612" s="2" t="s">
        <v>2476</v>
      </c>
      <c r="J612" s="2" t="s">
        <v>247</v>
      </c>
      <c r="K612" s="2" t="s">
        <v>278</v>
      </c>
      <c r="L612" s="3">
        <v>59.42</v>
      </c>
      <c r="M612" s="3">
        <v>62.4</v>
      </c>
      <c r="N612" s="3">
        <v>129.99</v>
      </c>
      <c r="O612" s="2" t="s">
        <v>97</v>
      </c>
      <c r="P612" s="2" t="s">
        <v>2478</v>
      </c>
      <c r="Q612" s="2" t="s">
        <v>99</v>
      </c>
      <c r="R612" s="2" t="s">
        <v>100</v>
      </c>
      <c r="S612" s="2" t="s">
        <v>100</v>
      </c>
      <c r="T612" s="2" t="s">
        <v>280</v>
      </c>
      <c r="U612" s="2" t="s">
        <v>480</v>
      </c>
      <c r="V612" s="2" t="s">
        <v>146</v>
      </c>
      <c r="W612" s="2" t="s">
        <v>100</v>
      </c>
      <c r="X612" s="2" t="s">
        <v>100</v>
      </c>
      <c r="Y612" s="2" t="s">
        <v>100</v>
      </c>
      <c r="Z612" s="4"/>
      <c r="AA612" s="4">
        <f>=ROUNDDOWN({0},0)</f>
      </c>
      <c r="AB612" s="5"/>
      <c r="AC612" s="2" t="s">
        <v>2479</v>
      </c>
      <c r="AD612" s="4">
        <v>202</v>
      </c>
      <c r="AE612" s="4">
        <v>202</v>
      </c>
      <c r="AF612" s="6"/>
      <c r="AG612" s="6"/>
      <c r="AH612" s="7"/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/>
      <c r="BJ612" s="4"/>
      <c r="BK612" s="8"/>
      <c r="BL612" s="2" t="s">
        <v>100</v>
      </c>
      <c r="BM612" s="7"/>
      <c r="BN612" s="7"/>
      <c r="BO612" s="4"/>
      <c r="BP612" s="8"/>
      <c r="BQ612" s="4"/>
      <c r="BR612" s="8"/>
      <c r="BS612" s="7"/>
      <c r="BT612" s="7"/>
      <c r="BU612" s="2" t="s">
        <v>2480</v>
      </c>
      <c r="BV612" s="2" t="s">
        <v>97</v>
      </c>
      <c r="BW612" s="2" t="s">
        <v>100</v>
      </c>
      <c r="BX612" s="2" t="s">
        <v>100</v>
      </c>
      <c r="BY612" s="2" t="s">
        <v>113</v>
      </c>
      <c r="BZ612" s="2" t="s">
        <v>100</v>
      </c>
    </row>
    <row r="613">
      <c r="A613" s="2" t="s">
        <v>2483</v>
      </c>
      <c r="B613" s="2" t="s">
        <v>87</v>
      </c>
      <c r="C613" s="2" t="s">
        <v>2331</v>
      </c>
      <c r="D613" s="2" t="s">
        <v>803</v>
      </c>
      <c r="E613" s="2" t="s">
        <v>1532</v>
      </c>
      <c r="F613" s="2" t="s">
        <v>2475</v>
      </c>
      <c r="G613" s="2" t="s">
        <v>2475</v>
      </c>
      <c r="H613" s="2" t="s">
        <v>2475</v>
      </c>
      <c r="I613" s="2" t="s">
        <v>2476</v>
      </c>
      <c r="J613" s="2" t="s">
        <v>270</v>
      </c>
      <c r="K613" s="2" t="s">
        <v>278</v>
      </c>
      <c r="L613" s="3">
        <v>68.57</v>
      </c>
      <c r="M613" s="3">
        <v>72</v>
      </c>
      <c r="N613" s="3">
        <v>149.99</v>
      </c>
      <c r="O613" s="2" t="s">
        <v>97</v>
      </c>
      <c r="P613" s="2" t="s">
        <v>2478</v>
      </c>
      <c r="Q613" s="2" t="s">
        <v>99</v>
      </c>
      <c r="R613" s="2" t="s">
        <v>100</v>
      </c>
      <c r="S613" s="2" t="s">
        <v>100</v>
      </c>
      <c r="T613" s="2" t="s">
        <v>280</v>
      </c>
      <c r="U613" s="2" t="s">
        <v>480</v>
      </c>
      <c r="V613" s="2" t="s">
        <v>146</v>
      </c>
      <c r="W613" s="2" t="s">
        <v>100</v>
      </c>
      <c r="X613" s="2" t="s">
        <v>100</v>
      </c>
      <c r="Y613" s="2" t="s">
        <v>100</v>
      </c>
      <c r="Z613" s="4"/>
      <c r="AA613" s="4">
        <f>=ROUNDDOWN({0},0)</f>
      </c>
      <c r="AB613" s="5"/>
      <c r="AC613" s="2" t="s">
        <v>2479</v>
      </c>
      <c r="AD613" s="4">
        <v>192</v>
      </c>
      <c r="AE613" s="4">
        <v>192</v>
      </c>
      <c r="AF613" s="6"/>
      <c r="AG613" s="6"/>
      <c r="AH613" s="7"/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/>
      <c r="BJ613" s="4"/>
      <c r="BK613" s="8"/>
      <c r="BL613" s="2" t="s">
        <v>100</v>
      </c>
      <c r="BM613" s="7"/>
      <c r="BN613" s="7"/>
      <c r="BO613" s="4"/>
      <c r="BP613" s="8"/>
      <c r="BQ613" s="4"/>
      <c r="BR613" s="8"/>
      <c r="BS613" s="7"/>
      <c r="BT613" s="7"/>
      <c r="BU613" s="2" t="s">
        <v>2480</v>
      </c>
      <c r="BV613" s="2" t="s">
        <v>97</v>
      </c>
      <c r="BW613" s="2" t="s">
        <v>100</v>
      </c>
      <c r="BX613" s="2" t="s">
        <v>100</v>
      </c>
      <c r="BY613" s="2" t="s">
        <v>113</v>
      </c>
      <c r="BZ613" s="2" t="s">
        <v>100</v>
      </c>
    </row>
    <row r="614">
      <c r="A614" s="2" t="s">
        <v>2484</v>
      </c>
      <c r="B614" s="2" t="s">
        <v>87</v>
      </c>
      <c r="C614" s="2" t="s">
        <v>2331</v>
      </c>
      <c r="D614" s="2" t="s">
        <v>803</v>
      </c>
      <c r="E614" s="2" t="s">
        <v>1532</v>
      </c>
      <c r="F614" s="2" t="s">
        <v>2485</v>
      </c>
      <c r="G614" s="2" t="s">
        <v>2485</v>
      </c>
      <c r="H614" s="2" t="s">
        <v>2485</v>
      </c>
      <c r="I614" s="2" t="s">
        <v>2486</v>
      </c>
      <c r="J614" s="2" t="s">
        <v>237</v>
      </c>
      <c r="K614" s="2" t="s">
        <v>118</v>
      </c>
      <c r="L614" s="3">
        <v>50.28</v>
      </c>
      <c r="M614" s="3">
        <v>52.8</v>
      </c>
      <c r="N614" s="3">
        <v>109.99</v>
      </c>
      <c r="O614" s="2" t="s">
        <v>97</v>
      </c>
      <c r="P614" s="2" t="s">
        <v>2478</v>
      </c>
      <c r="Q614" s="2" t="s">
        <v>99</v>
      </c>
      <c r="R614" s="2" t="s">
        <v>100</v>
      </c>
      <c r="S614" s="2" t="s">
        <v>100</v>
      </c>
      <c r="T614" s="2" t="s">
        <v>280</v>
      </c>
      <c r="U614" s="2" t="s">
        <v>514</v>
      </c>
      <c r="V614" s="2" t="s">
        <v>146</v>
      </c>
      <c r="W614" s="2" t="s">
        <v>100</v>
      </c>
      <c r="X614" s="2" t="s">
        <v>100</v>
      </c>
      <c r="Y614" s="2" t="s">
        <v>100</v>
      </c>
      <c r="Z614" s="4"/>
      <c r="AA614" s="4">
        <f>=ROUNDDOWN({0},0)</f>
      </c>
      <c r="AB614" s="5"/>
      <c r="AC614" s="2" t="s">
        <v>2479</v>
      </c>
      <c r="AD614" s="4">
        <v>164</v>
      </c>
      <c r="AE614" s="4">
        <v>164</v>
      </c>
      <c r="AF614" s="6"/>
      <c r="AG614" s="6"/>
      <c r="AH614" s="7"/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/>
      <c r="BJ614" s="4"/>
      <c r="BK614" s="8"/>
      <c r="BL614" s="2" t="s">
        <v>100</v>
      </c>
      <c r="BM614" s="7"/>
      <c r="BN614" s="7"/>
      <c r="BO614" s="4"/>
      <c r="BP614" s="8"/>
      <c r="BQ614" s="4"/>
      <c r="BR614" s="8"/>
      <c r="BS614" s="7"/>
      <c r="BT614" s="7"/>
      <c r="BU614" s="2" t="s">
        <v>2480</v>
      </c>
      <c r="BV614" s="2" t="s">
        <v>97</v>
      </c>
      <c r="BW614" s="2" t="s">
        <v>100</v>
      </c>
      <c r="BX614" s="2" t="s">
        <v>100</v>
      </c>
      <c r="BY614" s="2" t="s">
        <v>113</v>
      </c>
      <c r="BZ614" s="2" t="s">
        <v>100</v>
      </c>
    </row>
    <row r="615">
      <c r="A615" s="2" t="s">
        <v>2487</v>
      </c>
      <c r="B615" s="2" t="s">
        <v>87</v>
      </c>
      <c r="C615" s="2" t="s">
        <v>2331</v>
      </c>
      <c r="D615" s="2" t="s">
        <v>803</v>
      </c>
      <c r="E615" s="2" t="s">
        <v>1532</v>
      </c>
      <c r="F615" s="2" t="s">
        <v>2485</v>
      </c>
      <c r="G615" s="2" t="s">
        <v>2485</v>
      </c>
      <c r="H615" s="2" t="s">
        <v>2485</v>
      </c>
      <c r="I615" s="2" t="s">
        <v>2486</v>
      </c>
      <c r="J615" s="2" t="s">
        <v>247</v>
      </c>
      <c r="K615" s="2" t="s">
        <v>118</v>
      </c>
      <c r="L615" s="3">
        <v>59.42</v>
      </c>
      <c r="M615" s="3">
        <v>62.4</v>
      </c>
      <c r="N615" s="3">
        <v>129.99</v>
      </c>
      <c r="O615" s="2" t="s">
        <v>97</v>
      </c>
      <c r="P615" s="2" t="s">
        <v>2478</v>
      </c>
      <c r="Q615" s="2" t="s">
        <v>99</v>
      </c>
      <c r="R615" s="2" t="s">
        <v>100</v>
      </c>
      <c r="S615" s="2" t="s">
        <v>100</v>
      </c>
      <c r="T615" s="2" t="s">
        <v>280</v>
      </c>
      <c r="U615" s="2" t="s">
        <v>480</v>
      </c>
      <c r="V615" s="2" t="s">
        <v>146</v>
      </c>
      <c r="W615" s="2" t="s">
        <v>100</v>
      </c>
      <c r="X615" s="2" t="s">
        <v>100</v>
      </c>
      <c r="Y615" s="2" t="s">
        <v>100</v>
      </c>
      <c r="Z615" s="4"/>
      <c r="AA615" s="4">
        <f>=ROUNDDOWN({0},0)</f>
      </c>
      <c r="AB615" s="5"/>
      <c r="AC615" s="2" t="s">
        <v>2479</v>
      </c>
      <c r="AD615" s="4">
        <v>272</v>
      </c>
      <c r="AE615" s="4">
        <v>272</v>
      </c>
      <c r="AF615" s="6"/>
      <c r="AG615" s="6"/>
      <c r="AH615" s="7"/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/>
      <c r="BJ615" s="4"/>
      <c r="BK615" s="8"/>
      <c r="BL615" s="2" t="s">
        <v>100</v>
      </c>
      <c r="BM615" s="7"/>
      <c r="BN615" s="7"/>
      <c r="BO615" s="4"/>
      <c r="BP615" s="8"/>
      <c r="BQ615" s="4"/>
      <c r="BR615" s="8"/>
      <c r="BS615" s="7"/>
      <c r="BT615" s="7"/>
      <c r="BU615" s="2" t="s">
        <v>2480</v>
      </c>
      <c r="BV615" s="2" t="s">
        <v>97</v>
      </c>
      <c r="BW615" s="2" t="s">
        <v>100</v>
      </c>
      <c r="BX615" s="2" t="s">
        <v>100</v>
      </c>
      <c r="BY615" s="2" t="s">
        <v>113</v>
      </c>
      <c r="BZ615" s="2" t="s">
        <v>100</v>
      </c>
    </row>
    <row r="616">
      <c r="A616" s="2" t="s">
        <v>2488</v>
      </c>
      <c r="B616" s="2" t="s">
        <v>87</v>
      </c>
      <c r="C616" s="2" t="s">
        <v>2331</v>
      </c>
      <c r="D616" s="2" t="s">
        <v>803</v>
      </c>
      <c r="E616" s="2" t="s">
        <v>1532</v>
      </c>
      <c r="F616" s="2" t="s">
        <v>2485</v>
      </c>
      <c r="G616" s="2" t="s">
        <v>2485</v>
      </c>
      <c r="H616" s="2" t="s">
        <v>2485</v>
      </c>
      <c r="I616" s="2" t="s">
        <v>2486</v>
      </c>
      <c r="J616" s="2" t="s">
        <v>270</v>
      </c>
      <c r="K616" s="2" t="s">
        <v>118</v>
      </c>
      <c r="L616" s="3">
        <v>68.57</v>
      </c>
      <c r="M616" s="3">
        <v>72</v>
      </c>
      <c r="N616" s="3">
        <v>149.99</v>
      </c>
      <c r="O616" s="2" t="s">
        <v>97</v>
      </c>
      <c r="P616" s="2" t="s">
        <v>2478</v>
      </c>
      <c r="Q616" s="2" t="s">
        <v>99</v>
      </c>
      <c r="R616" s="2" t="s">
        <v>100</v>
      </c>
      <c r="S616" s="2" t="s">
        <v>100</v>
      </c>
      <c r="T616" s="2" t="s">
        <v>280</v>
      </c>
      <c r="U616" s="2" t="s">
        <v>480</v>
      </c>
      <c r="V616" s="2" t="s">
        <v>146</v>
      </c>
      <c r="W616" s="2" t="s">
        <v>100</v>
      </c>
      <c r="X616" s="2" t="s">
        <v>100</v>
      </c>
      <c r="Y616" s="2" t="s">
        <v>100</v>
      </c>
      <c r="Z616" s="4"/>
      <c r="AA616" s="4">
        <f>=ROUNDDOWN({0},0)</f>
      </c>
      <c r="AB616" s="5"/>
      <c r="AC616" s="2" t="s">
        <v>2479</v>
      </c>
      <c r="AD616" s="4">
        <v>267</v>
      </c>
      <c r="AE616" s="4">
        <v>267</v>
      </c>
      <c r="AF616" s="6"/>
      <c r="AG616" s="6"/>
      <c r="AH616" s="7"/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/>
      <c r="BJ616" s="4"/>
      <c r="BK616" s="8"/>
      <c r="BL616" s="2" t="s">
        <v>100</v>
      </c>
      <c r="BM616" s="7"/>
      <c r="BN616" s="7"/>
      <c r="BO616" s="4"/>
      <c r="BP616" s="8"/>
      <c r="BQ616" s="4"/>
      <c r="BR616" s="8"/>
      <c r="BS616" s="7"/>
      <c r="BT616" s="7"/>
      <c r="BU616" s="2" t="s">
        <v>2480</v>
      </c>
      <c r="BV616" s="2" t="s">
        <v>97</v>
      </c>
      <c r="BW616" s="2" t="s">
        <v>100</v>
      </c>
      <c r="BX616" s="2" t="s">
        <v>100</v>
      </c>
      <c r="BY616" s="2" t="s">
        <v>113</v>
      </c>
      <c r="BZ616" s="2" t="s">
        <v>100</v>
      </c>
    </row>
    <row r="617">
      <c r="A617" s="2" t="s">
        <v>2489</v>
      </c>
      <c r="B617" s="2" t="s">
        <v>87</v>
      </c>
      <c r="C617" s="2" t="s">
        <v>2331</v>
      </c>
      <c r="D617" s="2" t="s">
        <v>803</v>
      </c>
      <c r="E617" s="2" t="s">
        <v>1532</v>
      </c>
      <c r="F617" s="2" t="s">
        <v>2485</v>
      </c>
      <c r="G617" s="2" t="s">
        <v>2485</v>
      </c>
      <c r="H617" s="2" t="s">
        <v>2485</v>
      </c>
      <c r="I617" s="2" t="s">
        <v>2486</v>
      </c>
      <c r="J617" s="2" t="s">
        <v>237</v>
      </c>
      <c r="K617" s="2" t="s">
        <v>198</v>
      </c>
      <c r="L617" s="3">
        <v>50.28</v>
      </c>
      <c r="M617" s="3">
        <v>52.8</v>
      </c>
      <c r="N617" s="3">
        <v>109.99</v>
      </c>
      <c r="O617" s="2" t="s">
        <v>97</v>
      </c>
      <c r="P617" s="2" t="s">
        <v>2478</v>
      </c>
      <c r="Q617" s="2" t="s">
        <v>99</v>
      </c>
      <c r="R617" s="2" t="s">
        <v>100</v>
      </c>
      <c r="S617" s="2" t="s">
        <v>100</v>
      </c>
      <c r="T617" s="2" t="s">
        <v>280</v>
      </c>
      <c r="U617" s="2" t="s">
        <v>514</v>
      </c>
      <c r="V617" s="2" t="s">
        <v>146</v>
      </c>
      <c r="W617" s="2" t="s">
        <v>100</v>
      </c>
      <c r="X617" s="2" t="s">
        <v>100</v>
      </c>
      <c r="Y617" s="2" t="s">
        <v>100</v>
      </c>
      <c r="Z617" s="4"/>
      <c r="AA617" s="4">
        <f>=ROUNDDOWN({0},0)</f>
      </c>
      <c r="AB617" s="5"/>
      <c r="AC617" s="2" t="s">
        <v>2479</v>
      </c>
      <c r="AD617" s="4">
        <v>133</v>
      </c>
      <c r="AE617" s="4">
        <v>133</v>
      </c>
      <c r="AF617" s="6"/>
      <c r="AG617" s="6"/>
      <c r="AH617" s="7"/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/>
      <c r="BJ617" s="4"/>
      <c r="BK617" s="8"/>
      <c r="BL617" s="2" t="s">
        <v>100</v>
      </c>
      <c r="BM617" s="7"/>
      <c r="BN617" s="7"/>
      <c r="BO617" s="4"/>
      <c r="BP617" s="8"/>
      <c r="BQ617" s="4"/>
      <c r="BR617" s="8"/>
      <c r="BS617" s="7"/>
      <c r="BT617" s="7"/>
      <c r="BU617" s="2" t="s">
        <v>2480</v>
      </c>
      <c r="BV617" s="2" t="s">
        <v>97</v>
      </c>
      <c r="BW617" s="2" t="s">
        <v>100</v>
      </c>
      <c r="BX617" s="2" t="s">
        <v>100</v>
      </c>
      <c r="BY617" s="2" t="s">
        <v>113</v>
      </c>
      <c r="BZ617" s="2" t="s">
        <v>100</v>
      </c>
    </row>
    <row r="618">
      <c r="A618" s="2" t="s">
        <v>2490</v>
      </c>
      <c r="B618" s="2" t="s">
        <v>87</v>
      </c>
      <c r="C618" s="2" t="s">
        <v>2331</v>
      </c>
      <c r="D618" s="2" t="s">
        <v>803</v>
      </c>
      <c r="E618" s="2" t="s">
        <v>1532</v>
      </c>
      <c r="F618" s="2" t="s">
        <v>2485</v>
      </c>
      <c r="G618" s="2" t="s">
        <v>2485</v>
      </c>
      <c r="H618" s="2" t="s">
        <v>2485</v>
      </c>
      <c r="I618" s="2" t="s">
        <v>2486</v>
      </c>
      <c r="J618" s="2" t="s">
        <v>247</v>
      </c>
      <c r="K618" s="2" t="s">
        <v>198</v>
      </c>
      <c r="L618" s="3">
        <v>59.42</v>
      </c>
      <c r="M618" s="3">
        <v>62.4</v>
      </c>
      <c r="N618" s="3">
        <v>129.99</v>
      </c>
      <c r="O618" s="2" t="s">
        <v>97</v>
      </c>
      <c r="P618" s="2" t="s">
        <v>2478</v>
      </c>
      <c r="Q618" s="2" t="s">
        <v>99</v>
      </c>
      <c r="R618" s="2" t="s">
        <v>100</v>
      </c>
      <c r="S618" s="2" t="s">
        <v>100</v>
      </c>
      <c r="T618" s="2" t="s">
        <v>280</v>
      </c>
      <c r="U618" s="2" t="s">
        <v>480</v>
      </c>
      <c r="V618" s="2" t="s">
        <v>146</v>
      </c>
      <c r="W618" s="2" t="s">
        <v>100</v>
      </c>
      <c r="X618" s="2" t="s">
        <v>100</v>
      </c>
      <c r="Y618" s="2" t="s">
        <v>100</v>
      </c>
      <c r="Z618" s="4"/>
      <c r="AA618" s="4">
        <f>=ROUNDDOWN({0},0)</f>
      </c>
      <c r="AB618" s="5"/>
      <c r="AC618" s="2" t="s">
        <v>2479</v>
      </c>
      <c r="AD618" s="4">
        <v>209</v>
      </c>
      <c r="AE618" s="4">
        <v>209</v>
      </c>
      <c r="AF618" s="6"/>
      <c r="AG618" s="6"/>
      <c r="AH618" s="7"/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/>
      <c r="BK618" s="8"/>
      <c r="BL618" s="2" t="s">
        <v>100</v>
      </c>
      <c r="BM618" s="7"/>
      <c r="BN618" s="7"/>
      <c r="BO618" s="4"/>
      <c r="BP618" s="8"/>
      <c r="BQ618" s="4"/>
      <c r="BR618" s="8"/>
      <c r="BS618" s="7"/>
      <c r="BT618" s="7"/>
      <c r="BU618" s="2" t="s">
        <v>2480</v>
      </c>
      <c r="BV618" s="2" t="s">
        <v>97</v>
      </c>
      <c r="BW618" s="2" t="s">
        <v>100</v>
      </c>
      <c r="BX618" s="2" t="s">
        <v>100</v>
      </c>
      <c r="BY618" s="2" t="s">
        <v>113</v>
      </c>
      <c r="BZ618" s="2" t="s">
        <v>100</v>
      </c>
    </row>
    <row r="619">
      <c r="A619" s="2" t="s">
        <v>2491</v>
      </c>
      <c r="B619" s="2" t="s">
        <v>87</v>
      </c>
      <c r="C619" s="2" t="s">
        <v>2331</v>
      </c>
      <c r="D619" s="2" t="s">
        <v>803</v>
      </c>
      <c r="E619" s="2" t="s">
        <v>1532</v>
      </c>
      <c r="F619" s="2" t="s">
        <v>2485</v>
      </c>
      <c r="G619" s="2" t="s">
        <v>2485</v>
      </c>
      <c r="H619" s="2" t="s">
        <v>2485</v>
      </c>
      <c r="I619" s="2" t="s">
        <v>2486</v>
      </c>
      <c r="J619" s="2" t="s">
        <v>270</v>
      </c>
      <c r="K619" s="2" t="s">
        <v>198</v>
      </c>
      <c r="L619" s="3">
        <v>68.57</v>
      </c>
      <c r="M619" s="3">
        <v>72</v>
      </c>
      <c r="N619" s="3">
        <v>149.99</v>
      </c>
      <c r="O619" s="2" t="s">
        <v>97</v>
      </c>
      <c r="P619" s="2" t="s">
        <v>2478</v>
      </c>
      <c r="Q619" s="2" t="s">
        <v>99</v>
      </c>
      <c r="R619" s="2" t="s">
        <v>100</v>
      </c>
      <c r="S619" s="2" t="s">
        <v>100</v>
      </c>
      <c r="T619" s="2" t="s">
        <v>280</v>
      </c>
      <c r="U619" s="2" t="s">
        <v>480</v>
      </c>
      <c r="V619" s="2" t="s">
        <v>146</v>
      </c>
      <c r="W619" s="2" t="s">
        <v>100</v>
      </c>
      <c r="X619" s="2" t="s">
        <v>100</v>
      </c>
      <c r="Y619" s="2" t="s">
        <v>100</v>
      </c>
      <c r="Z619" s="4"/>
      <c r="AA619" s="4">
        <f>=ROUNDDOWN({0},0)</f>
      </c>
      <c r="AB619" s="5"/>
      <c r="AC619" s="2" t="s">
        <v>2479</v>
      </c>
      <c r="AD619" s="4">
        <v>209</v>
      </c>
      <c r="AE619" s="4">
        <v>209</v>
      </c>
      <c r="AF619" s="6"/>
      <c r="AG619" s="6"/>
      <c r="AH619" s="7"/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/>
      <c r="BK619" s="8"/>
      <c r="BL619" s="2" t="s">
        <v>100</v>
      </c>
      <c r="BM619" s="7"/>
      <c r="BN619" s="7"/>
      <c r="BO619" s="4"/>
      <c r="BP619" s="8"/>
      <c r="BQ619" s="4"/>
      <c r="BR619" s="8"/>
      <c r="BS619" s="7"/>
      <c r="BT619" s="7"/>
      <c r="BU619" s="2" t="s">
        <v>2480</v>
      </c>
      <c r="BV619" s="2" t="s">
        <v>97</v>
      </c>
      <c r="BW619" s="2" t="s">
        <v>100</v>
      </c>
      <c r="BX619" s="2" t="s">
        <v>100</v>
      </c>
      <c r="BY619" s="2" t="s">
        <v>113</v>
      </c>
      <c r="BZ619" s="2" t="s">
        <v>100</v>
      </c>
    </row>
    <row r="620">
      <c r="A620" s="2" t="s">
        <v>2492</v>
      </c>
      <c r="B620" s="2" t="s">
        <v>87</v>
      </c>
      <c r="C620" s="2" t="s">
        <v>2331</v>
      </c>
      <c r="D620" s="2" t="s">
        <v>1638</v>
      </c>
      <c r="E620" s="2" t="s">
        <v>1639</v>
      </c>
      <c r="F620" s="2" t="s">
        <v>2475</v>
      </c>
      <c r="G620" s="2" t="s">
        <v>2475</v>
      </c>
      <c r="H620" s="2" t="s">
        <v>2475</v>
      </c>
      <c r="I620" s="2" t="s">
        <v>2493</v>
      </c>
      <c r="J620" s="2" t="s">
        <v>247</v>
      </c>
      <c r="K620" s="2" t="s">
        <v>2477</v>
      </c>
      <c r="L620" s="3">
        <v>45.71</v>
      </c>
      <c r="M620" s="3">
        <v>48</v>
      </c>
      <c r="N620" s="3">
        <v>99.99</v>
      </c>
      <c r="O620" s="2" t="s">
        <v>97</v>
      </c>
      <c r="P620" s="2" t="s">
        <v>2478</v>
      </c>
      <c r="Q620" s="2" t="s">
        <v>99</v>
      </c>
      <c r="R620" s="2" t="s">
        <v>100</v>
      </c>
      <c r="S620" s="2" t="s">
        <v>100</v>
      </c>
      <c r="T620" s="2" t="s">
        <v>280</v>
      </c>
      <c r="U620" s="2" t="s">
        <v>480</v>
      </c>
      <c r="V620" s="2" t="s">
        <v>146</v>
      </c>
      <c r="W620" s="2" t="s">
        <v>100</v>
      </c>
      <c r="X620" s="2" t="s">
        <v>100</v>
      </c>
      <c r="Y620" s="2" t="s">
        <v>100</v>
      </c>
      <c r="Z620" s="4"/>
      <c r="AA620" s="4">
        <f>=ROUNDDOWN({0},0)</f>
      </c>
      <c r="AB620" s="5"/>
      <c r="AC620" s="2" t="s">
        <v>2479</v>
      </c>
      <c r="AD620" s="4">
        <v>94</v>
      </c>
      <c r="AE620" s="4">
        <v>94</v>
      </c>
      <c r="AF620" s="6"/>
      <c r="AG620" s="6"/>
      <c r="AH620" s="7"/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/>
      <c r="BK620" s="8"/>
      <c r="BL620" s="2" t="s">
        <v>100</v>
      </c>
      <c r="BM620" s="7"/>
      <c r="BN620" s="7"/>
      <c r="BO620" s="4"/>
      <c r="BP620" s="8"/>
      <c r="BQ620" s="4"/>
      <c r="BR620" s="8"/>
      <c r="BS620" s="7"/>
      <c r="BT620" s="7"/>
      <c r="BU620" s="2" t="s">
        <v>2480</v>
      </c>
      <c r="BV620" s="2" t="s">
        <v>97</v>
      </c>
      <c r="BW620" s="2" t="s">
        <v>100</v>
      </c>
      <c r="BX620" s="2" t="s">
        <v>100</v>
      </c>
      <c r="BY620" s="2" t="s">
        <v>113</v>
      </c>
      <c r="BZ620" s="2" t="s">
        <v>100</v>
      </c>
    </row>
    <row r="621">
      <c r="A621" s="2" t="s">
        <v>2494</v>
      </c>
      <c r="B621" s="2" t="s">
        <v>87</v>
      </c>
      <c r="C621" s="2" t="s">
        <v>2331</v>
      </c>
      <c r="D621" s="2" t="s">
        <v>1638</v>
      </c>
      <c r="E621" s="2" t="s">
        <v>1639</v>
      </c>
      <c r="F621" s="2" t="s">
        <v>2475</v>
      </c>
      <c r="G621" s="2" t="s">
        <v>2475</v>
      </c>
      <c r="H621" s="2" t="s">
        <v>2475</v>
      </c>
      <c r="I621" s="2" t="s">
        <v>2493</v>
      </c>
      <c r="J621" s="2" t="s">
        <v>270</v>
      </c>
      <c r="K621" s="2" t="s">
        <v>2477</v>
      </c>
      <c r="L621" s="3">
        <v>54.85</v>
      </c>
      <c r="M621" s="3">
        <v>57.6</v>
      </c>
      <c r="N621" s="3">
        <v>119.99</v>
      </c>
      <c r="O621" s="2" t="s">
        <v>97</v>
      </c>
      <c r="P621" s="2" t="s">
        <v>2478</v>
      </c>
      <c r="Q621" s="2" t="s">
        <v>99</v>
      </c>
      <c r="R621" s="2" t="s">
        <v>100</v>
      </c>
      <c r="S621" s="2" t="s">
        <v>100</v>
      </c>
      <c r="T621" s="2" t="s">
        <v>280</v>
      </c>
      <c r="U621" s="2" t="s">
        <v>480</v>
      </c>
      <c r="V621" s="2" t="s">
        <v>146</v>
      </c>
      <c r="W621" s="2" t="s">
        <v>100</v>
      </c>
      <c r="X621" s="2" t="s">
        <v>100</v>
      </c>
      <c r="Y621" s="2" t="s">
        <v>100</v>
      </c>
      <c r="Z621" s="4"/>
      <c r="AA621" s="4">
        <f>=ROUNDDOWN({0},0)</f>
      </c>
      <c r="AB621" s="5"/>
      <c r="AC621" s="2" t="s">
        <v>2479</v>
      </c>
      <c r="AD621" s="4">
        <v>79</v>
      </c>
      <c r="AE621" s="4">
        <v>79</v>
      </c>
      <c r="AF621" s="6"/>
      <c r="AG621" s="6"/>
      <c r="AH621" s="7"/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/>
      <c r="BK621" s="8"/>
      <c r="BL621" s="2" t="s">
        <v>100</v>
      </c>
      <c r="BM621" s="7"/>
      <c r="BN621" s="7"/>
      <c r="BO621" s="4"/>
      <c r="BP621" s="8"/>
      <c r="BQ621" s="4"/>
      <c r="BR621" s="8"/>
      <c r="BS621" s="7"/>
      <c r="BT621" s="7"/>
      <c r="BU621" s="2" t="s">
        <v>2480</v>
      </c>
      <c r="BV621" s="2" t="s">
        <v>97</v>
      </c>
      <c r="BW621" s="2" t="s">
        <v>100</v>
      </c>
      <c r="BX621" s="2" t="s">
        <v>100</v>
      </c>
      <c r="BY621" s="2" t="s">
        <v>113</v>
      </c>
      <c r="BZ621" s="2" t="s">
        <v>100</v>
      </c>
    </row>
    <row r="622">
      <c r="A622" s="2" t="s">
        <v>2495</v>
      </c>
      <c r="B622" s="2" t="s">
        <v>87</v>
      </c>
      <c r="C622" s="2" t="s">
        <v>2331</v>
      </c>
      <c r="D622" s="2" t="s">
        <v>1638</v>
      </c>
      <c r="E622" s="2" t="s">
        <v>1639</v>
      </c>
      <c r="F622" s="2" t="s">
        <v>2475</v>
      </c>
      <c r="G622" s="2" t="s">
        <v>2475</v>
      </c>
      <c r="H622" s="2" t="s">
        <v>2475</v>
      </c>
      <c r="I622" s="2" t="s">
        <v>2493</v>
      </c>
      <c r="J622" s="2" t="s">
        <v>247</v>
      </c>
      <c r="K622" s="2" t="s">
        <v>278</v>
      </c>
      <c r="L622" s="3">
        <v>45.71</v>
      </c>
      <c r="M622" s="3">
        <v>48</v>
      </c>
      <c r="N622" s="3">
        <v>99.99</v>
      </c>
      <c r="O622" s="2" t="s">
        <v>97</v>
      </c>
      <c r="P622" s="2" t="s">
        <v>2478</v>
      </c>
      <c r="Q622" s="2" t="s">
        <v>99</v>
      </c>
      <c r="R622" s="2" t="s">
        <v>100</v>
      </c>
      <c r="S622" s="2" t="s">
        <v>100</v>
      </c>
      <c r="T622" s="2" t="s">
        <v>280</v>
      </c>
      <c r="U622" s="2" t="s">
        <v>480</v>
      </c>
      <c r="V622" s="2" t="s">
        <v>146</v>
      </c>
      <c r="W622" s="2" t="s">
        <v>100</v>
      </c>
      <c r="X622" s="2" t="s">
        <v>100</v>
      </c>
      <c r="Y622" s="2" t="s">
        <v>100</v>
      </c>
      <c r="Z622" s="4"/>
      <c r="AA622" s="4">
        <f>=ROUNDDOWN({0},0)</f>
      </c>
      <c r="AB622" s="5"/>
      <c r="AC622" s="2" t="s">
        <v>2479</v>
      </c>
      <c r="AD622" s="4">
        <v>99</v>
      </c>
      <c r="AE622" s="4">
        <v>99</v>
      </c>
      <c r="AF622" s="6"/>
      <c r="AG622" s="6"/>
      <c r="AH622" s="7"/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/>
      <c r="BK622" s="8"/>
      <c r="BL622" s="2" t="s">
        <v>100</v>
      </c>
      <c r="BM622" s="7"/>
      <c r="BN622" s="7"/>
      <c r="BO622" s="4"/>
      <c r="BP622" s="8"/>
      <c r="BQ622" s="4"/>
      <c r="BR622" s="8"/>
      <c r="BS622" s="7"/>
      <c r="BT622" s="7"/>
      <c r="BU622" s="2" t="s">
        <v>2480</v>
      </c>
      <c r="BV622" s="2" t="s">
        <v>97</v>
      </c>
      <c r="BW622" s="2" t="s">
        <v>100</v>
      </c>
      <c r="BX622" s="2" t="s">
        <v>100</v>
      </c>
      <c r="BY622" s="2" t="s">
        <v>113</v>
      </c>
      <c r="BZ622" s="2" t="s">
        <v>100</v>
      </c>
    </row>
    <row r="623">
      <c r="A623" s="2" t="s">
        <v>2496</v>
      </c>
      <c r="B623" s="2" t="s">
        <v>87</v>
      </c>
      <c r="C623" s="2" t="s">
        <v>2331</v>
      </c>
      <c r="D623" s="2" t="s">
        <v>1638</v>
      </c>
      <c r="E623" s="2" t="s">
        <v>1639</v>
      </c>
      <c r="F623" s="2" t="s">
        <v>2475</v>
      </c>
      <c r="G623" s="2" t="s">
        <v>2475</v>
      </c>
      <c r="H623" s="2" t="s">
        <v>2475</v>
      </c>
      <c r="I623" s="2" t="s">
        <v>2493</v>
      </c>
      <c r="J623" s="2" t="s">
        <v>270</v>
      </c>
      <c r="K623" s="2" t="s">
        <v>278</v>
      </c>
      <c r="L623" s="3">
        <v>54.85</v>
      </c>
      <c r="M623" s="3">
        <v>57.6</v>
      </c>
      <c r="N623" s="3">
        <v>119.99</v>
      </c>
      <c r="O623" s="2" t="s">
        <v>97</v>
      </c>
      <c r="P623" s="2" t="s">
        <v>2478</v>
      </c>
      <c r="Q623" s="2" t="s">
        <v>99</v>
      </c>
      <c r="R623" s="2" t="s">
        <v>100</v>
      </c>
      <c r="S623" s="2" t="s">
        <v>100</v>
      </c>
      <c r="T623" s="2" t="s">
        <v>280</v>
      </c>
      <c r="U623" s="2" t="s">
        <v>480</v>
      </c>
      <c r="V623" s="2" t="s">
        <v>146</v>
      </c>
      <c r="W623" s="2" t="s">
        <v>100</v>
      </c>
      <c r="X623" s="2" t="s">
        <v>100</v>
      </c>
      <c r="Y623" s="2" t="s">
        <v>100</v>
      </c>
      <c r="Z623" s="4"/>
      <c r="AA623" s="4">
        <f>=ROUNDDOWN({0},0)</f>
      </c>
      <c r="AB623" s="5"/>
      <c r="AC623" s="2" t="s">
        <v>2479</v>
      </c>
      <c r="AD623" s="4">
        <v>92</v>
      </c>
      <c r="AE623" s="4">
        <v>92</v>
      </c>
      <c r="AF623" s="6"/>
      <c r="AG623" s="6"/>
      <c r="AH623" s="7"/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/>
      <c r="BK623" s="8"/>
      <c r="BL623" s="2" t="s">
        <v>100</v>
      </c>
      <c r="BM623" s="7"/>
      <c r="BN623" s="7"/>
      <c r="BO623" s="4"/>
      <c r="BP623" s="8"/>
      <c r="BQ623" s="4"/>
      <c r="BR623" s="8"/>
      <c r="BS623" s="7"/>
      <c r="BT623" s="7"/>
      <c r="BU623" s="2" t="s">
        <v>2480</v>
      </c>
      <c r="BV623" s="2" t="s">
        <v>97</v>
      </c>
      <c r="BW623" s="2" t="s">
        <v>100</v>
      </c>
      <c r="BX623" s="2" t="s">
        <v>100</v>
      </c>
      <c r="BY623" s="2" t="s">
        <v>113</v>
      </c>
      <c r="BZ623" s="2" t="s">
        <v>100</v>
      </c>
    </row>
    <row r="624">
      <c r="A624" s="2" t="s">
        <v>2497</v>
      </c>
      <c r="B624" s="2" t="s">
        <v>87</v>
      </c>
      <c r="C624" s="2" t="s">
        <v>2331</v>
      </c>
      <c r="D624" s="2" t="s">
        <v>1638</v>
      </c>
      <c r="E624" s="2" t="s">
        <v>1639</v>
      </c>
      <c r="F624" s="2" t="s">
        <v>2485</v>
      </c>
      <c r="G624" s="2" t="s">
        <v>2485</v>
      </c>
      <c r="H624" s="2" t="s">
        <v>2485</v>
      </c>
      <c r="I624" s="2" t="s">
        <v>2498</v>
      </c>
      <c r="J624" s="2" t="s">
        <v>247</v>
      </c>
      <c r="K624" s="2" t="s">
        <v>118</v>
      </c>
      <c r="L624" s="3">
        <v>45.71</v>
      </c>
      <c r="M624" s="3">
        <v>48</v>
      </c>
      <c r="N624" s="3">
        <v>99.99</v>
      </c>
      <c r="O624" s="2" t="s">
        <v>97</v>
      </c>
      <c r="P624" s="2" t="s">
        <v>2478</v>
      </c>
      <c r="Q624" s="2" t="s">
        <v>99</v>
      </c>
      <c r="R624" s="2" t="s">
        <v>100</v>
      </c>
      <c r="S624" s="2" t="s">
        <v>100</v>
      </c>
      <c r="T624" s="2" t="s">
        <v>280</v>
      </c>
      <c r="U624" s="2" t="s">
        <v>480</v>
      </c>
      <c r="V624" s="2" t="s">
        <v>146</v>
      </c>
      <c r="W624" s="2" t="s">
        <v>100</v>
      </c>
      <c r="X624" s="2" t="s">
        <v>100</v>
      </c>
      <c r="Y624" s="2" t="s">
        <v>100</v>
      </c>
      <c r="Z624" s="4"/>
      <c r="AA624" s="4">
        <f>=ROUNDDOWN({0},0)</f>
      </c>
      <c r="AB624" s="5"/>
      <c r="AC624" s="2" t="s">
        <v>2479</v>
      </c>
      <c r="AD624" s="4">
        <v>123</v>
      </c>
      <c r="AE624" s="4">
        <v>123</v>
      </c>
      <c r="AF624" s="6"/>
      <c r="AG624" s="6"/>
      <c r="AH624" s="7"/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/>
      <c r="BK624" s="8"/>
      <c r="BL624" s="2" t="s">
        <v>100</v>
      </c>
      <c r="BM624" s="7"/>
      <c r="BN624" s="7"/>
      <c r="BO624" s="4"/>
      <c r="BP624" s="8"/>
      <c r="BQ624" s="4"/>
      <c r="BR624" s="8"/>
      <c r="BS624" s="7"/>
      <c r="BT624" s="7"/>
      <c r="BU624" s="2" t="s">
        <v>2480</v>
      </c>
      <c r="BV624" s="2" t="s">
        <v>97</v>
      </c>
      <c r="BW624" s="2" t="s">
        <v>100</v>
      </c>
      <c r="BX624" s="2" t="s">
        <v>100</v>
      </c>
      <c r="BY624" s="2" t="s">
        <v>113</v>
      </c>
      <c r="BZ624" s="2" t="s">
        <v>100</v>
      </c>
    </row>
    <row r="625">
      <c r="A625" s="2" t="s">
        <v>2499</v>
      </c>
      <c r="B625" s="2" t="s">
        <v>87</v>
      </c>
      <c r="C625" s="2" t="s">
        <v>2331</v>
      </c>
      <c r="D625" s="2" t="s">
        <v>1638</v>
      </c>
      <c r="E625" s="2" t="s">
        <v>1639</v>
      </c>
      <c r="F625" s="2" t="s">
        <v>2485</v>
      </c>
      <c r="G625" s="2" t="s">
        <v>2485</v>
      </c>
      <c r="H625" s="2" t="s">
        <v>2485</v>
      </c>
      <c r="I625" s="2" t="s">
        <v>2498</v>
      </c>
      <c r="J625" s="2" t="s">
        <v>270</v>
      </c>
      <c r="K625" s="2" t="s">
        <v>118</v>
      </c>
      <c r="L625" s="3">
        <v>54.85</v>
      </c>
      <c r="M625" s="3">
        <v>57.6</v>
      </c>
      <c r="N625" s="3">
        <v>119.99</v>
      </c>
      <c r="O625" s="2" t="s">
        <v>97</v>
      </c>
      <c r="P625" s="2" t="s">
        <v>2478</v>
      </c>
      <c r="Q625" s="2" t="s">
        <v>99</v>
      </c>
      <c r="R625" s="2" t="s">
        <v>100</v>
      </c>
      <c r="S625" s="2" t="s">
        <v>100</v>
      </c>
      <c r="T625" s="2" t="s">
        <v>280</v>
      </c>
      <c r="U625" s="2" t="s">
        <v>480</v>
      </c>
      <c r="V625" s="2" t="s">
        <v>146</v>
      </c>
      <c r="W625" s="2" t="s">
        <v>100</v>
      </c>
      <c r="X625" s="2" t="s">
        <v>100</v>
      </c>
      <c r="Y625" s="2" t="s">
        <v>100</v>
      </c>
      <c r="Z625" s="4"/>
      <c r="AA625" s="4">
        <f>=ROUNDDOWN({0},0)</f>
      </c>
      <c r="AB625" s="5"/>
      <c r="AC625" s="2" t="s">
        <v>2479</v>
      </c>
      <c r="AD625" s="4">
        <v>108</v>
      </c>
      <c r="AE625" s="4">
        <v>108</v>
      </c>
      <c r="AF625" s="6"/>
      <c r="AG625" s="6"/>
      <c r="AH625" s="7"/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/>
      <c r="BK625" s="8"/>
      <c r="BL625" s="2" t="s">
        <v>100</v>
      </c>
      <c r="BM625" s="7"/>
      <c r="BN625" s="7"/>
      <c r="BO625" s="4"/>
      <c r="BP625" s="8"/>
      <c r="BQ625" s="4"/>
      <c r="BR625" s="8"/>
      <c r="BS625" s="7"/>
      <c r="BT625" s="7"/>
      <c r="BU625" s="2" t="s">
        <v>2480</v>
      </c>
      <c r="BV625" s="2" t="s">
        <v>97</v>
      </c>
      <c r="BW625" s="2" t="s">
        <v>100</v>
      </c>
      <c r="BX625" s="2" t="s">
        <v>100</v>
      </c>
      <c r="BY625" s="2" t="s">
        <v>113</v>
      </c>
      <c r="BZ625" s="2" t="s">
        <v>100</v>
      </c>
    </row>
    <row r="626">
      <c r="A626" s="2" t="s">
        <v>2500</v>
      </c>
      <c r="B626" s="2" t="s">
        <v>87</v>
      </c>
      <c r="C626" s="2" t="s">
        <v>2331</v>
      </c>
      <c r="D626" s="2" t="s">
        <v>1638</v>
      </c>
      <c r="E626" s="2" t="s">
        <v>1639</v>
      </c>
      <c r="F626" s="2" t="s">
        <v>2485</v>
      </c>
      <c r="G626" s="2" t="s">
        <v>2485</v>
      </c>
      <c r="H626" s="2" t="s">
        <v>2485</v>
      </c>
      <c r="I626" s="2" t="s">
        <v>2498</v>
      </c>
      <c r="J626" s="2" t="s">
        <v>706</v>
      </c>
      <c r="K626" s="2" t="s">
        <v>198</v>
      </c>
      <c r="L626" s="3">
        <v>45.71</v>
      </c>
      <c r="M626" s="3">
        <v>48</v>
      </c>
      <c r="N626" s="3">
        <v>99.99</v>
      </c>
      <c r="O626" s="2" t="s">
        <v>97</v>
      </c>
      <c r="P626" s="2" t="s">
        <v>2478</v>
      </c>
      <c r="Q626" s="2" t="s">
        <v>99</v>
      </c>
      <c r="R626" s="2" t="s">
        <v>100</v>
      </c>
      <c r="S626" s="2" t="s">
        <v>100</v>
      </c>
      <c r="T626" s="2" t="s">
        <v>280</v>
      </c>
      <c r="U626" s="2" t="s">
        <v>480</v>
      </c>
      <c r="V626" s="2" t="s">
        <v>146</v>
      </c>
      <c r="W626" s="2" t="s">
        <v>100</v>
      </c>
      <c r="X626" s="2" t="s">
        <v>100</v>
      </c>
      <c r="Y626" s="2" t="s">
        <v>100</v>
      </c>
      <c r="Z626" s="4"/>
      <c r="AA626" s="4">
        <f>=ROUNDDOWN({0},0)</f>
      </c>
      <c r="AB626" s="5"/>
      <c r="AC626" s="2" t="s">
        <v>2479</v>
      </c>
      <c r="AD626" s="4">
        <v>89</v>
      </c>
      <c r="AE626" s="4">
        <v>89</v>
      </c>
      <c r="AF626" s="6"/>
      <c r="AG626" s="6"/>
      <c r="AH626" s="7"/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/>
      <c r="BK626" s="8"/>
      <c r="BL626" s="2" t="s">
        <v>100</v>
      </c>
      <c r="BM626" s="7"/>
      <c r="BN626" s="7"/>
      <c r="BO626" s="4"/>
      <c r="BP626" s="8"/>
      <c r="BQ626" s="4"/>
      <c r="BR626" s="8"/>
      <c r="BS626" s="7"/>
      <c r="BT626" s="7"/>
      <c r="BU626" s="2" t="s">
        <v>2480</v>
      </c>
      <c r="BV626" s="2" t="s">
        <v>97</v>
      </c>
      <c r="BW626" s="2" t="s">
        <v>100</v>
      </c>
      <c r="BX626" s="2" t="s">
        <v>100</v>
      </c>
      <c r="BY626" s="2" t="s">
        <v>113</v>
      </c>
      <c r="BZ626" s="2" t="s">
        <v>100</v>
      </c>
    </row>
    <row r="627">
      <c r="A627" s="2" t="s">
        <v>2501</v>
      </c>
      <c r="B627" s="2" t="s">
        <v>87</v>
      </c>
      <c r="C627" s="2" t="s">
        <v>2331</v>
      </c>
      <c r="D627" s="2" t="s">
        <v>1638</v>
      </c>
      <c r="E627" s="2" t="s">
        <v>1639</v>
      </c>
      <c r="F627" s="2" t="s">
        <v>2485</v>
      </c>
      <c r="G627" s="2" t="s">
        <v>2485</v>
      </c>
      <c r="H627" s="2" t="s">
        <v>2485</v>
      </c>
      <c r="I627" s="2" t="s">
        <v>2498</v>
      </c>
      <c r="J627" s="2" t="s">
        <v>270</v>
      </c>
      <c r="K627" s="2" t="s">
        <v>198</v>
      </c>
      <c r="L627" s="3">
        <v>54.85</v>
      </c>
      <c r="M627" s="3">
        <v>57.6</v>
      </c>
      <c r="N627" s="3">
        <v>119.99</v>
      </c>
      <c r="O627" s="2" t="s">
        <v>97</v>
      </c>
      <c r="P627" s="2" t="s">
        <v>2478</v>
      </c>
      <c r="Q627" s="2" t="s">
        <v>99</v>
      </c>
      <c r="R627" s="2" t="s">
        <v>100</v>
      </c>
      <c r="S627" s="2" t="s">
        <v>100</v>
      </c>
      <c r="T627" s="2" t="s">
        <v>280</v>
      </c>
      <c r="U627" s="2" t="s">
        <v>480</v>
      </c>
      <c r="V627" s="2" t="s">
        <v>146</v>
      </c>
      <c r="W627" s="2" t="s">
        <v>100</v>
      </c>
      <c r="X627" s="2" t="s">
        <v>100</v>
      </c>
      <c r="Y627" s="2" t="s">
        <v>100</v>
      </c>
      <c r="Z627" s="4"/>
      <c r="AA627" s="4">
        <f>=ROUNDDOWN({0},0)</f>
      </c>
      <c r="AB627" s="5"/>
      <c r="AC627" s="2" t="s">
        <v>2479</v>
      </c>
      <c r="AD627" s="4">
        <v>80</v>
      </c>
      <c r="AE627" s="4">
        <v>80</v>
      </c>
      <c r="AF627" s="6"/>
      <c r="AG627" s="6"/>
      <c r="AH627" s="7"/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/>
      <c r="BK627" s="8"/>
      <c r="BL627" s="2" t="s">
        <v>100</v>
      </c>
      <c r="BM627" s="7"/>
      <c r="BN627" s="7"/>
      <c r="BO627" s="4"/>
      <c r="BP627" s="8"/>
      <c r="BQ627" s="4"/>
      <c r="BR627" s="8"/>
      <c r="BS627" s="7"/>
      <c r="BT627" s="7"/>
      <c r="BU627" s="2" t="s">
        <v>2480</v>
      </c>
      <c r="BV627" s="2" t="s">
        <v>97</v>
      </c>
      <c r="BW627" s="2" t="s">
        <v>100</v>
      </c>
      <c r="BX627" s="2" t="s">
        <v>100</v>
      </c>
      <c r="BY627" s="2" t="s">
        <v>113</v>
      </c>
      <c r="BZ627" s="2" t="s">
        <v>100</v>
      </c>
    </row>
    <row r="628">
      <c r="A628" s="2" t="s">
        <v>2502</v>
      </c>
      <c r="B628" s="2" t="s">
        <v>87</v>
      </c>
      <c r="C628" s="2" t="s">
        <v>2331</v>
      </c>
      <c r="D628" s="2" t="s">
        <v>2503</v>
      </c>
      <c r="E628" s="2" t="s">
        <v>2504</v>
      </c>
      <c r="F628" s="2" t="s">
        <v>2505</v>
      </c>
      <c r="G628" s="2" t="s">
        <v>2505</v>
      </c>
      <c r="H628" s="2" t="s">
        <v>2505</v>
      </c>
      <c r="I628" s="2" t="s">
        <v>2506</v>
      </c>
      <c r="J628" s="2" t="s">
        <v>2507</v>
      </c>
      <c r="K628" s="2" t="s">
        <v>189</v>
      </c>
      <c r="L628" s="3">
        <v>11.25</v>
      </c>
      <c r="M628" s="3">
        <v>11.81</v>
      </c>
      <c r="N628" s="3">
        <v>24.99</v>
      </c>
      <c r="O628" s="2" t="s">
        <v>97</v>
      </c>
      <c r="P628" s="2" t="s">
        <v>119</v>
      </c>
      <c r="Q628" s="2" t="s">
        <v>99</v>
      </c>
      <c r="R628" s="2" t="s">
        <v>100</v>
      </c>
      <c r="S628" s="2" t="s">
        <v>100</v>
      </c>
      <c r="T628" s="2" t="s">
        <v>100</v>
      </c>
      <c r="U628" s="2" t="s">
        <v>100</v>
      </c>
      <c r="V628" s="2" t="s">
        <v>2508</v>
      </c>
      <c r="W628" s="2" t="s">
        <v>202</v>
      </c>
      <c r="X628" s="2" t="s">
        <v>183</v>
      </c>
      <c r="Y628" s="2" t="s">
        <v>2509</v>
      </c>
      <c r="Z628" s="4">
        <v>501</v>
      </c>
      <c r="AA628" s="4">
        <f>=ROUNDDOWN(20.04,0)</f>
      </c>
      <c r="AB628" s="5">
        <v>25</v>
      </c>
      <c r="AC628" s="2" t="s">
        <v>205</v>
      </c>
      <c r="AD628" s="4">
        <v>400</v>
      </c>
      <c r="AE628" s="4">
        <v>800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>
        <v>640</v>
      </c>
      <c r="BK628" s="8">
        <v>7459.22</v>
      </c>
      <c r="BL628" s="2" t="s">
        <v>2510</v>
      </c>
      <c r="BM628" s="7"/>
      <c r="BN628" s="7"/>
      <c r="BO628" s="4"/>
      <c r="BP628" s="8"/>
      <c r="BQ628" s="4"/>
      <c r="BR628" s="8"/>
      <c r="BS628" s="7"/>
      <c r="BT628" s="7"/>
      <c r="BU628" s="2" t="s">
        <v>207</v>
      </c>
      <c r="BV628" s="2" t="s">
        <v>97</v>
      </c>
      <c r="BW628" s="2" t="s">
        <v>100</v>
      </c>
      <c r="BX628" s="2" t="s">
        <v>100</v>
      </c>
      <c r="BY628" s="2" t="s">
        <v>113</v>
      </c>
      <c r="BZ628" s="2" t="s">
        <v>100</v>
      </c>
    </row>
    <row r="629">
      <c r="A629" s="2" t="s">
        <v>2511</v>
      </c>
      <c r="B629" s="2" t="s">
        <v>87</v>
      </c>
      <c r="C629" s="2" t="s">
        <v>2512</v>
      </c>
      <c r="D629" s="2" t="s">
        <v>89</v>
      </c>
      <c r="E629" s="2" t="s">
        <v>232</v>
      </c>
      <c r="F629" s="2" t="s">
        <v>2513</v>
      </c>
      <c r="G629" s="2" t="s">
        <v>2514</v>
      </c>
      <c r="H629" s="2" t="s">
        <v>2515</v>
      </c>
      <c r="I629" s="2" t="s">
        <v>2516</v>
      </c>
      <c r="J629" s="2" t="s">
        <v>247</v>
      </c>
      <c r="K629" s="2" t="s">
        <v>118</v>
      </c>
      <c r="L629" s="3">
        <v>54.99</v>
      </c>
      <c r="M629" s="3">
        <v>57.74</v>
      </c>
      <c r="N629" s="3">
        <v>109.99</v>
      </c>
      <c r="O629" s="2" t="s">
        <v>97</v>
      </c>
      <c r="P629" s="2" t="s">
        <v>119</v>
      </c>
      <c r="Q629" s="2" t="s">
        <v>99</v>
      </c>
      <c r="R629" s="2" t="s">
        <v>100</v>
      </c>
      <c r="S629" s="2" t="s">
        <v>2517</v>
      </c>
      <c r="T629" s="2" t="s">
        <v>100</v>
      </c>
      <c r="U629" s="2" t="s">
        <v>402</v>
      </c>
      <c r="V629" s="2" t="s">
        <v>393</v>
      </c>
      <c r="W629" s="2" t="s">
        <v>104</v>
      </c>
      <c r="X629" s="2" t="s">
        <v>2518</v>
      </c>
      <c r="Y629" s="2" t="s">
        <v>240</v>
      </c>
      <c r="Z629" s="4">
        <v>290</v>
      </c>
      <c r="AA629" s="4">
        <f>=ROUNDDOWN(32.2222222222222,0)</f>
      </c>
      <c r="AB629" s="5">
        <v>9</v>
      </c>
      <c r="AC629" s="2" t="s">
        <v>100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>
        <v>1</v>
      </c>
      <c r="AQ629" s="8">
        <v>56.69</v>
      </c>
      <c r="AR629" s="4"/>
      <c r="AS629" s="8"/>
      <c r="AT629" s="7"/>
      <c r="AU629" s="7"/>
      <c r="AV629" s="4">
        <v>2</v>
      </c>
      <c r="AW629" s="8">
        <v>119.05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0.4762</v>
      </c>
      <c r="BC629" s="4">
        <v>2</v>
      </c>
      <c r="BD629" s="8">
        <v>119.05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>
        <v>1</v>
      </c>
      <c r="BJ629" s="4">
        <v>292</v>
      </c>
      <c r="BK629" s="8">
        <v>16361.24</v>
      </c>
      <c r="BL629" s="2" t="s">
        <v>2519</v>
      </c>
      <c r="BM629" s="7">
        <v>0.0034</v>
      </c>
      <c r="BN629" s="7">
        <v>0.0035</v>
      </c>
      <c r="BO629" s="4">
        <v>1</v>
      </c>
      <c r="BP629" s="8">
        <v>56.69</v>
      </c>
      <c r="BQ629" s="4"/>
      <c r="BR629" s="8"/>
      <c r="BS629" s="7"/>
      <c r="BT629" s="7"/>
      <c r="BU629" s="2" t="s">
        <v>109</v>
      </c>
      <c r="BV629" s="2" t="s">
        <v>110</v>
      </c>
      <c r="BW629" s="2" t="s">
        <v>1085</v>
      </c>
      <c r="BX629" s="2" t="s">
        <v>2520</v>
      </c>
      <c r="BY629" s="2" t="s">
        <v>113</v>
      </c>
      <c r="BZ629" s="2" t="s">
        <v>100</v>
      </c>
    </row>
    <row r="630">
      <c r="A630" s="2" t="s">
        <v>2521</v>
      </c>
      <c r="B630" s="2" t="s">
        <v>87</v>
      </c>
      <c r="C630" s="2" t="s">
        <v>2512</v>
      </c>
      <c r="D630" s="2" t="s">
        <v>89</v>
      </c>
      <c r="E630" s="2" t="s">
        <v>232</v>
      </c>
      <c r="F630" s="2" t="s">
        <v>2513</v>
      </c>
      <c r="G630" s="2" t="s">
        <v>2514</v>
      </c>
      <c r="H630" s="2" t="s">
        <v>2515</v>
      </c>
      <c r="I630" s="2" t="s">
        <v>2522</v>
      </c>
      <c r="J630" s="2" t="s">
        <v>270</v>
      </c>
      <c r="K630" s="2" t="s">
        <v>118</v>
      </c>
      <c r="L630" s="3">
        <v>59.99</v>
      </c>
      <c r="M630" s="3">
        <v>62.99</v>
      </c>
      <c r="N630" s="3">
        <v>119.99</v>
      </c>
      <c r="O630" s="2" t="s">
        <v>97</v>
      </c>
      <c r="P630" s="2" t="s">
        <v>119</v>
      </c>
      <c r="Q630" s="2" t="s">
        <v>99</v>
      </c>
      <c r="R630" s="2" t="s">
        <v>100</v>
      </c>
      <c r="S630" s="2" t="s">
        <v>2517</v>
      </c>
      <c r="T630" s="2" t="s">
        <v>100</v>
      </c>
      <c r="U630" s="2" t="s">
        <v>402</v>
      </c>
      <c r="V630" s="2" t="s">
        <v>393</v>
      </c>
      <c r="W630" s="2" t="s">
        <v>104</v>
      </c>
      <c r="X630" s="2" t="s">
        <v>2518</v>
      </c>
      <c r="Y630" s="2" t="s">
        <v>240</v>
      </c>
      <c r="Z630" s="4">
        <v>480</v>
      </c>
      <c r="AA630" s="4">
        <f>=ROUNDDOWN(32,0)</f>
      </c>
      <c r="AB630" s="5">
        <v>15</v>
      </c>
      <c r="AC630" s="2" t="s">
        <v>100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>
        <v>1</v>
      </c>
      <c r="AQ630" s="8">
        <v>62.36</v>
      </c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0.5238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544</v>
      </c>
      <c r="BK630" s="8">
        <v>33132.51</v>
      </c>
      <c r="BL630" s="2" t="s">
        <v>124</v>
      </c>
      <c r="BM630" s="7">
        <v>0.0018</v>
      </c>
      <c r="BN630" s="7">
        <v>0.0019</v>
      </c>
      <c r="BO630" s="4">
        <v>1</v>
      </c>
      <c r="BP630" s="8">
        <v>62.36</v>
      </c>
      <c r="BQ630" s="4"/>
      <c r="BR630" s="8"/>
      <c r="BS630" s="7"/>
      <c r="BT630" s="7"/>
      <c r="BU630" s="2" t="s">
        <v>109</v>
      </c>
      <c r="BV630" s="2" t="s">
        <v>110</v>
      </c>
      <c r="BW630" s="2" t="s">
        <v>328</v>
      </c>
      <c r="BX630" s="2" t="s">
        <v>1998</v>
      </c>
      <c r="BY630" s="2" t="s">
        <v>113</v>
      </c>
      <c r="BZ630" s="2" t="s">
        <v>100</v>
      </c>
    </row>
    <row r="631">
      <c r="A631" s="2" t="s">
        <v>2523</v>
      </c>
      <c r="B631" s="2" t="s">
        <v>87</v>
      </c>
      <c r="C631" s="2" t="s">
        <v>2524</v>
      </c>
      <c r="D631" s="2" t="s">
        <v>803</v>
      </c>
      <c r="E631" s="2" t="s">
        <v>1532</v>
      </c>
      <c r="F631" s="2" t="s">
        <v>2525</v>
      </c>
      <c r="G631" s="2" t="s">
        <v>2525</v>
      </c>
      <c r="H631" s="2" t="s">
        <v>2525</v>
      </c>
      <c r="I631" s="2" t="s">
        <v>2435</v>
      </c>
      <c r="J631" s="2" t="s">
        <v>270</v>
      </c>
      <c r="K631" s="2" t="s">
        <v>2477</v>
      </c>
      <c r="L631" s="3">
        <v>119.16</v>
      </c>
      <c r="M631" s="3">
        <v>125.12</v>
      </c>
      <c r="N631" s="3">
        <v>349.99</v>
      </c>
      <c r="O631" s="2" t="s">
        <v>97</v>
      </c>
      <c r="P631" s="2" t="s">
        <v>225</v>
      </c>
      <c r="Q631" s="2" t="s">
        <v>99</v>
      </c>
      <c r="R631" s="2" t="s">
        <v>100</v>
      </c>
      <c r="S631" s="2" t="s">
        <v>2526</v>
      </c>
      <c r="T631" s="2" t="s">
        <v>100</v>
      </c>
      <c r="U631" s="2" t="s">
        <v>480</v>
      </c>
      <c r="V631" s="2" t="s">
        <v>1150</v>
      </c>
      <c r="W631" s="2" t="s">
        <v>561</v>
      </c>
      <c r="X631" s="2" t="s">
        <v>183</v>
      </c>
      <c r="Y631" s="2" t="s">
        <v>2527</v>
      </c>
      <c r="Z631" s="4">
        <v>241</v>
      </c>
      <c r="AA631" s="4">
        <f>=ROUNDDOWN({0},0)</f>
      </c>
      <c r="AB631" s="5"/>
      <c r="AC631" s="2" t="s">
        <v>100</v>
      </c>
      <c r="AD631" s="4"/>
      <c r="AE631" s="4"/>
      <c r="AF631" s="6">
        <v>69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100</v>
      </c>
      <c r="BM631" s="7"/>
      <c r="BN631" s="7"/>
      <c r="BO631" s="4"/>
      <c r="BP631" s="8"/>
      <c r="BQ631" s="4"/>
      <c r="BR631" s="8"/>
      <c r="BS631" s="7"/>
      <c r="BT631" s="7"/>
      <c r="BU631" s="2" t="s">
        <v>2528</v>
      </c>
      <c r="BV631" s="2" t="s">
        <v>97</v>
      </c>
      <c r="BW631" s="2" t="s">
        <v>100</v>
      </c>
      <c r="BX631" s="2" t="s">
        <v>100</v>
      </c>
      <c r="BY631" s="2" t="s">
        <v>113</v>
      </c>
      <c r="BZ631" s="2" t="s">
        <v>100</v>
      </c>
    </row>
    <row r="632">
      <c r="A632" s="2" t="s">
        <v>2529</v>
      </c>
      <c r="B632" s="2" t="s">
        <v>87</v>
      </c>
      <c r="C632" s="2" t="s">
        <v>2524</v>
      </c>
      <c r="D632" s="2" t="s">
        <v>803</v>
      </c>
      <c r="E632" s="2" t="s">
        <v>1532</v>
      </c>
      <c r="F632" s="2" t="s">
        <v>667</v>
      </c>
      <c r="G632" s="2" t="s">
        <v>667</v>
      </c>
      <c r="H632" s="2" t="s">
        <v>667</v>
      </c>
      <c r="I632" s="2" t="s">
        <v>2530</v>
      </c>
      <c r="J632" s="2" t="s">
        <v>270</v>
      </c>
      <c r="K632" s="2" t="s">
        <v>858</v>
      </c>
      <c r="L632" s="3">
        <v>119.16</v>
      </c>
      <c r="M632" s="3">
        <v>125.12</v>
      </c>
      <c r="N632" s="3">
        <v>349.99</v>
      </c>
      <c r="O632" s="2" t="s">
        <v>97</v>
      </c>
      <c r="P632" s="2" t="s">
        <v>225</v>
      </c>
      <c r="Q632" s="2" t="s">
        <v>99</v>
      </c>
      <c r="R632" s="2" t="s">
        <v>100</v>
      </c>
      <c r="S632" s="2" t="s">
        <v>2531</v>
      </c>
      <c r="T632" s="2" t="s">
        <v>280</v>
      </c>
      <c r="U632" s="2" t="s">
        <v>480</v>
      </c>
      <c r="V632" s="2" t="s">
        <v>403</v>
      </c>
      <c r="W632" s="2" t="s">
        <v>104</v>
      </c>
      <c r="X632" s="2" t="s">
        <v>183</v>
      </c>
      <c r="Y632" s="2" t="s">
        <v>2532</v>
      </c>
      <c r="Z632" s="4">
        <v>205</v>
      </c>
      <c r="AA632" s="4">
        <f>=ROUNDDOWN(20.5,0)</f>
      </c>
      <c r="AB632" s="5">
        <v>10</v>
      </c>
      <c r="AC632" s="2" t="s">
        <v>1102</v>
      </c>
      <c r="AD632" s="4">
        <v>10</v>
      </c>
      <c r="AE632" s="4">
        <v>252</v>
      </c>
      <c r="AF632" s="6">
        <v>69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>
        <v>1</v>
      </c>
      <c r="BK632" s="8">
        <v>131.37</v>
      </c>
      <c r="BL632" s="2" t="s">
        <v>2533</v>
      </c>
      <c r="BM632" s="7"/>
      <c r="BN632" s="7"/>
      <c r="BO632" s="4"/>
      <c r="BP632" s="8"/>
      <c r="BQ632" s="4"/>
      <c r="BR632" s="8"/>
      <c r="BS632" s="7"/>
      <c r="BT632" s="7"/>
      <c r="BU632" s="2" t="s">
        <v>2528</v>
      </c>
      <c r="BV632" s="2" t="s">
        <v>97</v>
      </c>
      <c r="BW632" s="2" t="s">
        <v>100</v>
      </c>
      <c r="BX632" s="2" t="s">
        <v>100</v>
      </c>
      <c r="BY632" s="2" t="s">
        <v>113</v>
      </c>
      <c r="BZ632" s="2" t="s">
        <v>100</v>
      </c>
    </row>
    <row r="633">
      <c r="A633" s="2" t="s">
        <v>2534</v>
      </c>
      <c r="B633" s="2" t="s">
        <v>87</v>
      </c>
      <c r="C633" s="2" t="s">
        <v>2524</v>
      </c>
      <c r="D633" s="2" t="s">
        <v>803</v>
      </c>
      <c r="E633" s="2" t="s">
        <v>1532</v>
      </c>
      <c r="F633" s="2" t="s">
        <v>2535</v>
      </c>
      <c r="G633" s="2" t="s">
        <v>2535</v>
      </c>
      <c r="H633" s="2" t="s">
        <v>2535</v>
      </c>
      <c r="I633" s="2" t="s">
        <v>1532</v>
      </c>
      <c r="J633" s="2" t="s">
        <v>247</v>
      </c>
      <c r="K633" s="2" t="s">
        <v>335</v>
      </c>
      <c r="L633" s="3">
        <v>90.75</v>
      </c>
      <c r="M633" s="3">
        <v>95.29</v>
      </c>
      <c r="N633" s="3">
        <v>219.99</v>
      </c>
      <c r="O633" s="2" t="s">
        <v>97</v>
      </c>
      <c r="P633" s="2" t="s">
        <v>2478</v>
      </c>
      <c r="Q633" s="2" t="s">
        <v>99</v>
      </c>
      <c r="R633" s="2" t="s">
        <v>100</v>
      </c>
      <c r="S633" s="2" t="s">
        <v>100</v>
      </c>
      <c r="T633" s="2" t="s">
        <v>280</v>
      </c>
      <c r="U633" s="2" t="s">
        <v>480</v>
      </c>
      <c r="V633" s="2" t="s">
        <v>350</v>
      </c>
      <c r="W633" s="2" t="s">
        <v>100</v>
      </c>
      <c r="X633" s="2" t="s">
        <v>100</v>
      </c>
      <c r="Y633" s="2" t="s">
        <v>100</v>
      </c>
      <c r="Z633" s="4"/>
      <c r="AA633" s="4">
        <f>=ROUNDDOWN({0},0)</f>
      </c>
      <c r="AB633" s="5"/>
      <c r="AC633" s="2" t="s">
        <v>100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/>
      <c r="BK633" s="8"/>
      <c r="BL633" s="2" t="s">
        <v>100</v>
      </c>
      <c r="BM633" s="7"/>
      <c r="BN633" s="7"/>
      <c r="BO633" s="4"/>
      <c r="BP633" s="8"/>
      <c r="BQ633" s="4"/>
      <c r="BR633" s="8"/>
      <c r="BS633" s="7"/>
      <c r="BT633" s="7"/>
      <c r="BU633" s="2" t="s">
        <v>2528</v>
      </c>
      <c r="BV633" s="2" t="s">
        <v>97</v>
      </c>
      <c r="BW633" s="2" t="s">
        <v>100</v>
      </c>
      <c r="BX633" s="2" t="s">
        <v>100</v>
      </c>
      <c r="BY633" s="2" t="s">
        <v>113</v>
      </c>
      <c r="BZ633" s="2" t="s">
        <v>100</v>
      </c>
    </row>
    <row r="634">
      <c r="A634" s="2" t="s">
        <v>2536</v>
      </c>
      <c r="B634" s="2" t="s">
        <v>87</v>
      </c>
      <c r="C634" s="2" t="s">
        <v>2524</v>
      </c>
      <c r="D634" s="2" t="s">
        <v>803</v>
      </c>
      <c r="E634" s="2" t="s">
        <v>1532</v>
      </c>
      <c r="F634" s="2" t="s">
        <v>2535</v>
      </c>
      <c r="G634" s="2" t="s">
        <v>2535</v>
      </c>
      <c r="H634" s="2" t="s">
        <v>2535</v>
      </c>
      <c r="I634" s="2" t="s">
        <v>1532</v>
      </c>
      <c r="J634" s="2" t="s">
        <v>270</v>
      </c>
      <c r="K634" s="2" t="s">
        <v>335</v>
      </c>
      <c r="L634" s="3">
        <v>103.12</v>
      </c>
      <c r="M634" s="3">
        <v>108.28</v>
      </c>
      <c r="N634" s="3">
        <v>249.99</v>
      </c>
      <c r="O634" s="2" t="s">
        <v>97</v>
      </c>
      <c r="P634" s="2" t="s">
        <v>2478</v>
      </c>
      <c r="Q634" s="2" t="s">
        <v>99</v>
      </c>
      <c r="R634" s="2" t="s">
        <v>100</v>
      </c>
      <c r="S634" s="2" t="s">
        <v>100</v>
      </c>
      <c r="T634" s="2" t="s">
        <v>280</v>
      </c>
      <c r="U634" s="2" t="s">
        <v>480</v>
      </c>
      <c r="V634" s="2" t="s">
        <v>350</v>
      </c>
      <c r="W634" s="2" t="s">
        <v>100</v>
      </c>
      <c r="X634" s="2" t="s">
        <v>100</v>
      </c>
      <c r="Y634" s="2" t="s">
        <v>100</v>
      </c>
      <c r="Z634" s="4"/>
      <c r="AA634" s="4">
        <f>=ROUNDDOWN({0},0)</f>
      </c>
      <c r="AB634" s="5"/>
      <c r="AC634" s="2" t="s">
        <v>100</v>
      </c>
      <c r="AD634" s="4"/>
      <c r="AE634" s="4"/>
      <c r="AF634" s="6"/>
      <c r="AG634" s="6"/>
      <c r="AH634" s="7"/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/>
      <c r="BK634" s="8"/>
      <c r="BL634" s="2" t="s">
        <v>100</v>
      </c>
      <c r="BM634" s="7"/>
      <c r="BN634" s="7"/>
      <c r="BO634" s="4"/>
      <c r="BP634" s="8"/>
      <c r="BQ634" s="4"/>
      <c r="BR634" s="8"/>
      <c r="BS634" s="7"/>
      <c r="BT634" s="7"/>
      <c r="BU634" s="2" t="s">
        <v>2528</v>
      </c>
      <c r="BV634" s="2" t="s">
        <v>97</v>
      </c>
      <c r="BW634" s="2" t="s">
        <v>100</v>
      </c>
      <c r="BX634" s="2" t="s">
        <v>100</v>
      </c>
      <c r="BY634" s="2" t="s">
        <v>113</v>
      </c>
      <c r="BZ634" s="2" t="s">
        <v>100</v>
      </c>
    </row>
    <row r="635">
      <c r="A635" s="2" t="s">
        <v>2537</v>
      </c>
      <c r="B635" s="2" t="s">
        <v>87</v>
      </c>
      <c r="C635" s="2" t="s">
        <v>2524</v>
      </c>
      <c r="D635" s="2" t="s">
        <v>803</v>
      </c>
      <c r="E635" s="2" t="s">
        <v>1532</v>
      </c>
      <c r="F635" s="2" t="s">
        <v>2538</v>
      </c>
      <c r="G635" s="2" t="s">
        <v>2538</v>
      </c>
      <c r="H635" s="2" t="s">
        <v>2538</v>
      </c>
      <c r="I635" s="2" t="s">
        <v>1532</v>
      </c>
      <c r="J635" s="2" t="s">
        <v>247</v>
      </c>
      <c r="K635" s="2" t="s">
        <v>209</v>
      </c>
      <c r="L635" s="3">
        <v>78.37</v>
      </c>
      <c r="M635" s="3">
        <v>82.29</v>
      </c>
      <c r="N635" s="3">
        <v>189.99</v>
      </c>
      <c r="O635" s="2" t="s">
        <v>97</v>
      </c>
      <c r="P635" s="2" t="s">
        <v>2478</v>
      </c>
      <c r="Q635" s="2" t="s">
        <v>99</v>
      </c>
      <c r="R635" s="2" t="s">
        <v>100</v>
      </c>
      <c r="S635" s="2" t="s">
        <v>100</v>
      </c>
      <c r="T635" s="2" t="s">
        <v>280</v>
      </c>
      <c r="U635" s="2" t="s">
        <v>480</v>
      </c>
      <c r="V635" s="2" t="s">
        <v>350</v>
      </c>
      <c r="W635" s="2" t="s">
        <v>100</v>
      </c>
      <c r="X635" s="2" t="s">
        <v>100</v>
      </c>
      <c r="Y635" s="2" t="s">
        <v>100</v>
      </c>
      <c r="Z635" s="4"/>
      <c r="AA635" s="4">
        <f>=ROUNDDOWN({0},0)</f>
      </c>
      <c r="AB635" s="5"/>
      <c r="AC635" s="2" t="s">
        <v>100</v>
      </c>
      <c r="AD635" s="4"/>
      <c r="AE635" s="4"/>
      <c r="AF635" s="6"/>
      <c r="AG635" s="6"/>
      <c r="AH635" s="7"/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/>
      <c r="BK635" s="8"/>
      <c r="BL635" s="2" t="s">
        <v>100</v>
      </c>
      <c r="BM635" s="7"/>
      <c r="BN635" s="7"/>
      <c r="BO635" s="4"/>
      <c r="BP635" s="8"/>
      <c r="BQ635" s="4"/>
      <c r="BR635" s="8"/>
      <c r="BS635" s="7"/>
      <c r="BT635" s="7"/>
      <c r="BU635" s="2" t="s">
        <v>2528</v>
      </c>
      <c r="BV635" s="2" t="s">
        <v>97</v>
      </c>
      <c r="BW635" s="2" t="s">
        <v>100</v>
      </c>
      <c r="BX635" s="2" t="s">
        <v>100</v>
      </c>
      <c r="BY635" s="2" t="s">
        <v>113</v>
      </c>
      <c r="BZ635" s="2" t="s">
        <v>100</v>
      </c>
    </row>
    <row r="636">
      <c r="A636" s="2" t="s">
        <v>2539</v>
      </c>
      <c r="B636" s="2" t="s">
        <v>87</v>
      </c>
      <c r="C636" s="2" t="s">
        <v>2524</v>
      </c>
      <c r="D636" s="2" t="s">
        <v>803</v>
      </c>
      <c r="E636" s="2" t="s">
        <v>1532</v>
      </c>
      <c r="F636" s="2" t="s">
        <v>2538</v>
      </c>
      <c r="G636" s="2" t="s">
        <v>2538</v>
      </c>
      <c r="H636" s="2" t="s">
        <v>2538</v>
      </c>
      <c r="I636" s="2" t="s">
        <v>1532</v>
      </c>
      <c r="J636" s="2" t="s">
        <v>270</v>
      </c>
      <c r="K636" s="2" t="s">
        <v>209</v>
      </c>
      <c r="L636" s="3">
        <v>90.75</v>
      </c>
      <c r="M636" s="3">
        <v>95.29</v>
      </c>
      <c r="N636" s="3">
        <v>219.99</v>
      </c>
      <c r="O636" s="2" t="s">
        <v>97</v>
      </c>
      <c r="P636" s="2" t="s">
        <v>2478</v>
      </c>
      <c r="Q636" s="2" t="s">
        <v>99</v>
      </c>
      <c r="R636" s="2" t="s">
        <v>100</v>
      </c>
      <c r="S636" s="2" t="s">
        <v>100</v>
      </c>
      <c r="T636" s="2" t="s">
        <v>280</v>
      </c>
      <c r="U636" s="2" t="s">
        <v>480</v>
      </c>
      <c r="V636" s="2" t="s">
        <v>350</v>
      </c>
      <c r="W636" s="2" t="s">
        <v>100</v>
      </c>
      <c r="X636" s="2" t="s">
        <v>100</v>
      </c>
      <c r="Y636" s="2" t="s">
        <v>100</v>
      </c>
      <c r="Z636" s="4"/>
      <c r="AA636" s="4">
        <f>=ROUNDDOWN({0},0)</f>
      </c>
      <c r="AB636" s="5"/>
      <c r="AC636" s="2" t="s">
        <v>100</v>
      </c>
      <c r="AD636" s="4"/>
      <c r="AE636" s="4"/>
      <c r="AF636" s="6"/>
      <c r="AG636" s="6"/>
      <c r="AH636" s="7"/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/>
      <c r="BK636" s="8"/>
      <c r="BL636" s="2" t="s">
        <v>100</v>
      </c>
      <c r="BM636" s="7"/>
      <c r="BN636" s="7"/>
      <c r="BO636" s="4"/>
      <c r="BP636" s="8"/>
      <c r="BQ636" s="4"/>
      <c r="BR636" s="8"/>
      <c r="BS636" s="7"/>
      <c r="BT636" s="7"/>
      <c r="BU636" s="2" t="s">
        <v>2528</v>
      </c>
      <c r="BV636" s="2" t="s">
        <v>97</v>
      </c>
      <c r="BW636" s="2" t="s">
        <v>100</v>
      </c>
      <c r="BX636" s="2" t="s">
        <v>100</v>
      </c>
      <c r="BY636" s="2" t="s">
        <v>113</v>
      </c>
      <c r="BZ636" s="2" t="s">
        <v>100</v>
      </c>
    </row>
    <row r="637">
      <c r="A637" s="2" t="s">
        <v>2540</v>
      </c>
      <c r="B637" s="2" t="s">
        <v>87</v>
      </c>
      <c r="C637" s="2" t="s">
        <v>2541</v>
      </c>
      <c r="D637" s="2" t="s">
        <v>803</v>
      </c>
      <c r="E637" s="2" t="s">
        <v>804</v>
      </c>
      <c r="F637" s="2" t="s">
        <v>2542</v>
      </c>
      <c r="G637" s="2" t="s">
        <v>2543</v>
      </c>
      <c r="H637" s="2" t="s">
        <v>2544</v>
      </c>
      <c r="I637" s="2" t="s">
        <v>2545</v>
      </c>
      <c r="J637" s="2" t="s">
        <v>247</v>
      </c>
      <c r="K637" s="2" t="s">
        <v>858</v>
      </c>
      <c r="L637" s="3">
        <v>72.33</v>
      </c>
      <c r="M637" s="3">
        <v>75.94</v>
      </c>
      <c r="N637" s="3">
        <v>159.99</v>
      </c>
      <c r="O637" s="2" t="s">
        <v>97</v>
      </c>
      <c r="P637" s="2" t="s">
        <v>119</v>
      </c>
      <c r="Q637" s="2" t="s">
        <v>99</v>
      </c>
      <c r="R637" s="2" t="s">
        <v>100</v>
      </c>
      <c r="S637" s="2" t="s">
        <v>2546</v>
      </c>
      <c r="T637" s="2" t="s">
        <v>280</v>
      </c>
      <c r="U637" s="2" t="s">
        <v>171</v>
      </c>
      <c r="V637" s="2" t="s">
        <v>146</v>
      </c>
      <c r="W637" s="2" t="s">
        <v>561</v>
      </c>
      <c r="X637" s="2" t="s">
        <v>100</v>
      </c>
      <c r="Y637" s="2" t="s">
        <v>2547</v>
      </c>
      <c r="Z637" s="4">
        <v>477</v>
      </c>
      <c r="AA637" s="4">
        <f>=ROUNDDOWN(43.3636363636364,0)</f>
      </c>
      <c r="AB637" s="5">
        <v>11</v>
      </c>
      <c r="AC637" s="2" t="s">
        <v>100</v>
      </c>
      <c r="AD637" s="4"/>
      <c r="AE637" s="4"/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241</v>
      </c>
      <c r="BK637" s="8">
        <v>18376.87</v>
      </c>
      <c r="BL637" s="2" t="s">
        <v>2548</v>
      </c>
      <c r="BM637" s="7"/>
      <c r="BN637" s="7"/>
      <c r="BO637" s="4"/>
      <c r="BP637" s="8"/>
      <c r="BQ637" s="4"/>
      <c r="BR637" s="8"/>
      <c r="BS637" s="7"/>
      <c r="BT637" s="7"/>
      <c r="BU637" s="2" t="s">
        <v>2480</v>
      </c>
      <c r="BV637" s="2" t="s">
        <v>97</v>
      </c>
      <c r="BW637" s="2" t="s">
        <v>100</v>
      </c>
      <c r="BX637" s="2" t="s">
        <v>100</v>
      </c>
      <c r="BY637" s="2" t="s">
        <v>113</v>
      </c>
      <c r="BZ637" s="2" t="s">
        <v>100</v>
      </c>
    </row>
    <row r="638">
      <c r="A638" s="2" t="s">
        <v>2549</v>
      </c>
      <c r="B638" s="2" t="s">
        <v>87</v>
      </c>
      <c r="C638" s="2" t="s">
        <v>2541</v>
      </c>
      <c r="D638" s="2" t="s">
        <v>803</v>
      </c>
      <c r="E638" s="2" t="s">
        <v>804</v>
      </c>
      <c r="F638" s="2" t="s">
        <v>2542</v>
      </c>
      <c r="G638" s="2" t="s">
        <v>2543</v>
      </c>
      <c r="H638" s="2" t="s">
        <v>2544</v>
      </c>
      <c r="I638" s="2" t="s">
        <v>2545</v>
      </c>
      <c r="J638" s="2" t="s">
        <v>270</v>
      </c>
      <c r="K638" s="2" t="s">
        <v>858</v>
      </c>
      <c r="L638" s="3">
        <v>82.67</v>
      </c>
      <c r="M638" s="3">
        <v>86.8</v>
      </c>
      <c r="N638" s="3">
        <v>179.99</v>
      </c>
      <c r="O638" s="2" t="s">
        <v>97</v>
      </c>
      <c r="P638" s="2" t="s">
        <v>119</v>
      </c>
      <c r="Q638" s="2" t="s">
        <v>99</v>
      </c>
      <c r="R638" s="2" t="s">
        <v>100</v>
      </c>
      <c r="S638" s="2" t="s">
        <v>2546</v>
      </c>
      <c r="T638" s="2" t="s">
        <v>280</v>
      </c>
      <c r="U638" s="2" t="s">
        <v>171</v>
      </c>
      <c r="V638" s="2" t="s">
        <v>146</v>
      </c>
      <c r="W638" s="2" t="s">
        <v>561</v>
      </c>
      <c r="X638" s="2" t="s">
        <v>100</v>
      </c>
      <c r="Y638" s="2" t="s">
        <v>2547</v>
      </c>
      <c r="Z638" s="4">
        <v>578</v>
      </c>
      <c r="AA638" s="4">
        <f>=ROUNDDOWN(36.125,0)</f>
      </c>
      <c r="AB638" s="5">
        <v>16</v>
      </c>
      <c r="AC638" s="2" t="s">
        <v>100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452</v>
      </c>
      <c r="BK638" s="8">
        <v>39706.09</v>
      </c>
      <c r="BL638" s="2" t="s">
        <v>2550</v>
      </c>
      <c r="BM638" s="7"/>
      <c r="BN638" s="7"/>
      <c r="BO638" s="4"/>
      <c r="BP638" s="8"/>
      <c r="BQ638" s="4"/>
      <c r="BR638" s="8"/>
      <c r="BS638" s="7"/>
      <c r="BT638" s="7"/>
      <c r="BU638" s="2" t="s">
        <v>2480</v>
      </c>
      <c r="BV638" s="2" t="s">
        <v>97</v>
      </c>
      <c r="BW638" s="2" t="s">
        <v>100</v>
      </c>
      <c r="BX638" s="2" t="s">
        <v>100</v>
      </c>
      <c r="BY638" s="2" t="s">
        <v>113</v>
      </c>
      <c r="BZ638" s="2" t="s">
        <v>100</v>
      </c>
    </row>
    <row r="639">
      <c r="A639" s="2" t="s">
        <v>2551</v>
      </c>
      <c r="B639" s="2" t="s">
        <v>87</v>
      </c>
      <c r="C639" s="2" t="s">
        <v>2541</v>
      </c>
      <c r="D639" s="2" t="s">
        <v>1638</v>
      </c>
      <c r="E639" s="2" t="s">
        <v>1639</v>
      </c>
      <c r="F639" s="2" t="s">
        <v>2542</v>
      </c>
      <c r="G639" s="2" t="s">
        <v>2543</v>
      </c>
      <c r="H639" s="2" t="s">
        <v>2544</v>
      </c>
      <c r="I639" s="2" t="s">
        <v>2552</v>
      </c>
      <c r="J639" s="2" t="s">
        <v>247</v>
      </c>
      <c r="K639" s="2" t="s">
        <v>858</v>
      </c>
      <c r="L639" s="3">
        <v>55.78</v>
      </c>
      <c r="M639" s="3">
        <v>58.57</v>
      </c>
      <c r="N639" s="3">
        <v>129.99</v>
      </c>
      <c r="O639" s="2" t="s">
        <v>97</v>
      </c>
      <c r="P639" s="2" t="s">
        <v>119</v>
      </c>
      <c r="Q639" s="2" t="s">
        <v>99</v>
      </c>
      <c r="R639" s="2" t="s">
        <v>100</v>
      </c>
      <c r="S639" s="2" t="s">
        <v>2546</v>
      </c>
      <c r="T639" s="2" t="s">
        <v>280</v>
      </c>
      <c r="U639" s="2" t="s">
        <v>480</v>
      </c>
      <c r="V639" s="2" t="s">
        <v>146</v>
      </c>
      <c r="W639" s="2" t="s">
        <v>561</v>
      </c>
      <c r="X639" s="2" t="s">
        <v>100</v>
      </c>
      <c r="Y639" s="2" t="s">
        <v>2547</v>
      </c>
      <c r="Z639" s="4">
        <v>151</v>
      </c>
      <c r="AA639" s="4">
        <f>=ROUNDDOWN(30.2,0)</f>
      </c>
      <c r="AB639" s="5">
        <v>5</v>
      </c>
      <c r="AC639" s="2" t="s">
        <v>100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132</v>
      </c>
      <c r="BK639" s="8">
        <v>7990.64</v>
      </c>
      <c r="BL639" s="2" t="s">
        <v>2553</v>
      </c>
      <c r="BM639" s="7"/>
      <c r="BN639" s="7"/>
      <c r="BO639" s="4"/>
      <c r="BP639" s="8"/>
      <c r="BQ639" s="4"/>
      <c r="BR639" s="8"/>
      <c r="BS639" s="7"/>
      <c r="BT639" s="7"/>
      <c r="BU639" s="2" t="s">
        <v>2480</v>
      </c>
      <c r="BV639" s="2" t="s">
        <v>97</v>
      </c>
      <c r="BW639" s="2" t="s">
        <v>100</v>
      </c>
      <c r="BX639" s="2" t="s">
        <v>100</v>
      </c>
      <c r="BY639" s="2" t="s">
        <v>113</v>
      </c>
      <c r="BZ639" s="2" t="s">
        <v>100</v>
      </c>
    </row>
    <row r="640">
      <c r="A640" s="2" t="s">
        <v>2554</v>
      </c>
      <c r="B640" s="2" t="s">
        <v>87</v>
      </c>
      <c r="C640" s="2" t="s">
        <v>2541</v>
      </c>
      <c r="D640" s="2" t="s">
        <v>1638</v>
      </c>
      <c r="E640" s="2" t="s">
        <v>1639</v>
      </c>
      <c r="F640" s="2" t="s">
        <v>2542</v>
      </c>
      <c r="G640" s="2" t="s">
        <v>2543</v>
      </c>
      <c r="H640" s="2" t="s">
        <v>2544</v>
      </c>
      <c r="I640" s="2" t="s">
        <v>2552</v>
      </c>
      <c r="J640" s="2" t="s">
        <v>270</v>
      </c>
      <c r="K640" s="2" t="s">
        <v>858</v>
      </c>
      <c r="L640" s="3">
        <v>60.85</v>
      </c>
      <c r="M640" s="3">
        <v>63.9</v>
      </c>
      <c r="N640" s="3">
        <v>139.99</v>
      </c>
      <c r="O640" s="2" t="s">
        <v>97</v>
      </c>
      <c r="P640" s="2" t="s">
        <v>119</v>
      </c>
      <c r="Q640" s="2" t="s">
        <v>99</v>
      </c>
      <c r="R640" s="2" t="s">
        <v>100</v>
      </c>
      <c r="S640" s="2" t="s">
        <v>2546</v>
      </c>
      <c r="T640" s="2" t="s">
        <v>280</v>
      </c>
      <c r="U640" s="2" t="s">
        <v>480</v>
      </c>
      <c r="V640" s="2" t="s">
        <v>146</v>
      </c>
      <c r="W640" s="2" t="s">
        <v>561</v>
      </c>
      <c r="X640" s="2" t="s">
        <v>100</v>
      </c>
      <c r="Y640" s="2" t="s">
        <v>2547</v>
      </c>
      <c r="Z640" s="4">
        <v>354</v>
      </c>
      <c r="AA640" s="4">
        <f>=ROUNDDOWN(39.3333333333333,0)</f>
      </c>
      <c r="AB640" s="5">
        <v>9</v>
      </c>
      <c r="AC640" s="2" t="s">
        <v>100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205</v>
      </c>
      <c r="BK640" s="8">
        <v>13407.28</v>
      </c>
      <c r="BL640" s="2" t="s">
        <v>2555</v>
      </c>
      <c r="BM640" s="7"/>
      <c r="BN640" s="7"/>
      <c r="BO640" s="4"/>
      <c r="BP640" s="8"/>
      <c r="BQ640" s="4"/>
      <c r="BR640" s="8"/>
      <c r="BS640" s="7"/>
      <c r="BT640" s="7"/>
      <c r="BU640" s="2" t="s">
        <v>2480</v>
      </c>
      <c r="BV640" s="2" t="s">
        <v>97</v>
      </c>
      <c r="BW640" s="2" t="s">
        <v>100</v>
      </c>
      <c r="BX640" s="2" t="s">
        <v>100</v>
      </c>
      <c r="BY640" s="2" t="s">
        <v>113</v>
      </c>
      <c r="BZ640" s="2" t="s">
        <v>100</v>
      </c>
    </row>
    <row r="641">
      <c r="A641" s="2" t="s">
        <v>2556</v>
      </c>
      <c r="B641" s="2" t="s">
        <v>87</v>
      </c>
      <c r="C641" s="2" t="s">
        <v>2557</v>
      </c>
      <c r="D641" s="2" t="s">
        <v>803</v>
      </c>
      <c r="E641" s="2" t="s">
        <v>804</v>
      </c>
      <c r="F641" s="2" t="s">
        <v>2558</v>
      </c>
      <c r="G641" s="2" t="s">
        <v>2558</v>
      </c>
      <c r="H641" s="2" t="s">
        <v>2558</v>
      </c>
      <c r="I641" s="2" t="s">
        <v>2559</v>
      </c>
      <c r="J641" s="2" t="s">
        <v>706</v>
      </c>
      <c r="K641" s="2" t="s">
        <v>360</v>
      </c>
      <c r="L641" s="3">
        <v>178.75</v>
      </c>
      <c r="M641" s="3">
        <v>187.69</v>
      </c>
      <c r="N641" s="3">
        <v>499.99</v>
      </c>
      <c r="O641" s="2" t="s">
        <v>97</v>
      </c>
      <c r="P641" s="2" t="s">
        <v>2478</v>
      </c>
      <c r="Q641" s="2" t="s">
        <v>99</v>
      </c>
      <c r="R641" s="2" t="s">
        <v>100</v>
      </c>
      <c r="S641" s="2" t="s">
        <v>100</v>
      </c>
      <c r="T641" s="2" t="s">
        <v>200</v>
      </c>
      <c r="U641" s="2" t="s">
        <v>402</v>
      </c>
      <c r="V641" s="2" t="s">
        <v>104</v>
      </c>
      <c r="W641" s="2" t="s">
        <v>100</v>
      </c>
      <c r="X641" s="2" t="s">
        <v>100</v>
      </c>
      <c r="Y641" s="2" t="s">
        <v>100</v>
      </c>
      <c r="Z641" s="4"/>
      <c r="AA641" s="4">
        <f>=ROUNDDOWN({0},0)</f>
      </c>
      <c r="AB641" s="5"/>
      <c r="AC641" s="2" t="s">
        <v>100</v>
      </c>
      <c r="AD641" s="4"/>
      <c r="AE641" s="4"/>
      <c r="AF641" s="6"/>
      <c r="AG641" s="6"/>
      <c r="AH641" s="7"/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/>
      <c r="BK641" s="8"/>
      <c r="BL641" s="2" t="s">
        <v>100</v>
      </c>
      <c r="BM641" s="7"/>
      <c r="BN641" s="7"/>
      <c r="BO641" s="4"/>
      <c r="BP641" s="8"/>
      <c r="BQ641" s="4"/>
      <c r="BR641" s="8"/>
      <c r="BS641" s="7"/>
      <c r="BT641" s="7"/>
      <c r="BU641" s="2" t="s">
        <v>2480</v>
      </c>
      <c r="BV641" s="2" t="s">
        <v>97</v>
      </c>
      <c r="BW641" s="2" t="s">
        <v>100</v>
      </c>
      <c r="BX641" s="2" t="s">
        <v>100</v>
      </c>
      <c r="BY641" s="2" t="s">
        <v>113</v>
      </c>
      <c r="BZ641" s="2" t="s">
        <v>100</v>
      </c>
    </row>
    <row r="642">
      <c r="A642" s="2" t="s">
        <v>2560</v>
      </c>
      <c r="B642" s="2" t="s">
        <v>87</v>
      </c>
      <c r="C642" s="2" t="s">
        <v>2557</v>
      </c>
      <c r="D642" s="2" t="s">
        <v>803</v>
      </c>
      <c r="E642" s="2" t="s">
        <v>804</v>
      </c>
      <c r="F642" s="2" t="s">
        <v>2558</v>
      </c>
      <c r="G642" s="2" t="s">
        <v>2558</v>
      </c>
      <c r="H642" s="2" t="s">
        <v>2558</v>
      </c>
      <c r="I642" s="2" t="s">
        <v>2559</v>
      </c>
      <c r="J642" s="2" t="s">
        <v>714</v>
      </c>
      <c r="K642" s="2" t="s">
        <v>360</v>
      </c>
      <c r="L642" s="3">
        <v>214.5</v>
      </c>
      <c r="M642" s="3">
        <v>225.23</v>
      </c>
      <c r="N642" s="3">
        <v>599.99</v>
      </c>
      <c r="O642" s="2" t="s">
        <v>97</v>
      </c>
      <c r="P642" s="2" t="s">
        <v>2478</v>
      </c>
      <c r="Q642" s="2" t="s">
        <v>99</v>
      </c>
      <c r="R642" s="2" t="s">
        <v>100</v>
      </c>
      <c r="S642" s="2" t="s">
        <v>100</v>
      </c>
      <c r="T642" s="2" t="s">
        <v>200</v>
      </c>
      <c r="U642" s="2" t="s">
        <v>402</v>
      </c>
      <c r="V642" s="2" t="s">
        <v>104</v>
      </c>
      <c r="W642" s="2" t="s">
        <v>100</v>
      </c>
      <c r="X642" s="2" t="s">
        <v>100</v>
      </c>
      <c r="Y642" s="2" t="s">
        <v>100</v>
      </c>
      <c r="Z642" s="4"/>
      <c r="AA642" s="4">
        <f>=ROUNDDOWN({0},0)</f>
      </c>
      <c r="AB642" s="5"/>
      <c r="AC642" s="2" t="s">
        <v>100</v>
      </c>
      <c r="AD642" s="4"/>
      <c r="AE642" s="4"/>
      <c r="AF642" s="6"/>
      <c r="AG642" s="6"/>
      <c r="AH642" s="7"/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/>
      <c r="BK642" s="8"/>
      <c r="BL642" s="2" t="s">
        <v>100</v>
      </c>
      <c r="BM642" s="7"/>
      <c r="BN642" s="7"/>
      <c r="BO642" s="4"/>
      <c r="BP642" s="8"/>
      <c r="BQ642" s="4"/>
      <c r="BR642" s="8"/>
      <c r="BS642" s="7"/>
      <c r="BT642" s="7"/>
      <c r="BU642" s="2" t="s">
        <v>2480</v>
      </c>
      <c r="BV642" s="2" t="s">
        <v>97</v>
      </c>
      <c r="BW642" s="2" t="s">
        <v>100</v>
      </c>
      <c r="BX642" s="2" t="s">
        <v>100</v>
      </c>
      <c r="BY642" s="2" t="s">
        <v>113</v>
      </c>
      <c r="BZ642" s="2" t="s">
        <v>100</v>
      </c>
    </row>
    <row r="643">
      <c r="A643" s="2" t="s">
        <v>2561</v>
      </c>
      <c r="B643" s="2" t="s">
        <v>87</v>
      </c>
      <c r="C643" s="2" t="s">
        <v>2557</v>
      </c>
      <c r="D643" s="2" t="s">
        <v>803</v>
      </c>
      <c r="E643" s="2" t="s">
        <v>804</v>
      </c>
      <c r="F643" s="2" t="s">
        <v>2558</v>
      </c>
      <c r="G643" s="2" t="s">
        <v>2558</v>
      </c>
      <c r="H643" s="2" t="s">
        <v>2558</v>
      </c>
      <c r="I643" s="2" t="s">
        <v>2559</v>
      </c>
      <c r="J643" s="2" t="s">
        <v>817</v>
      </c>
      <c r="K643" s="2" t="s">
        <v>360</v>
      </c>
      <c r="L643" s="3">
        <v>214.5</v>
      </c>
      <c r="M643" s="3">
        <v>225.23</v>
      </c>
      <c r="N643" s="3">
        <v>599.99</v>
      </c>
      <c r="O643" s="2" t="s">
        <v>97</v>
      </c>
      <c r="P643" s="2" t="s">
        <v>2478</v>
      </c>
      <c r="Q643" s="2" t="s">
        <v>99</v>
      </c>
      <c r="R643" s="2" t="s">
        <v>100</v>
      </c>
      <c r="S643" s="2" t="s">
        <v>100</v>
      </c>
      <c r="T643" s="2" t="s">
        <v>200</v>
      </c>
      <c r="U643" s="2" t="s">
        <v>402</v>
      </c>
      <c r="V643" s="2" t="s">
        <v>104</v>
      </c>
      <c r="W643" s="2" t="s">
        <v>100</v>
      </c>
      <c r="X643" s="2" t="s">
        <v>100</v>
      </c>
      <c r="Y643" s="2" t="s">
        <v>100</v>
      </c>
      <c r="Z643" s="4"/>
      <c r="AA643" s="4">
        <f>=ROUNDDOWN({0},0)</f>
      </c>
      <c r="AB643" s="5"/>
      <c r="AC643" s="2" t="s">
        <v>100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/>
      <c r="BK643" s="8"/>
      <c r="BL643" s="2" t="s">
        <v>100</v>
      </c>
      <c r="BM643" s="7"/>
      <c r="BN643" s="7"/>
      <c r="BO643" s="4"/>
      <c r="BP643" s="8"/>
      <c r="BQ643" s="4"/>
      <c r="BR643" s="8"/>
      <c r="BS643" s="7"/>
      <c r="BT643" s="7"/>
      <c r="BU643" s="2" t="s">
        <v>2480</v>
      </c>
      <c r="BV643" s="2" t="s">
        <v>97</v>
      </c>
      <c r="BW643" s="2" t="s">
        <v>100</v>
      </c>
      <c r="BX643" s="2" t="s">
        <v>100</v>
      </c>
      <c r="BY643" s="2" t="s">
        <v>113</v>
      </c>
      <c r="BZ643" s="2" t="s">
        <v>100</v>
      </c>
    </row>
    <row r="644">
      <c r="A644" s="2" t="s">
        <v>2562</v>
      </c>
      <c r="B644" s="2" t="s">
        <v>87</v>
      </c>
      <c r="C644" s="2" t="s">
        <v>2557</v>
      </c>
      <c r="D644" s="2" t="s">
        <v>803</v>
      </c>
      <c r="E644" s="2" t="s">
        <v>804</v>
      </c>
      <c r="F644" s="2" t="s">
        <v>2563</v>
      </c>
      <c r="G644" s="2" t="s">
        <v>2563</v>
      </c>
      <c r="H644" s="2" t="s">
        <v>2563</v>
      </c>
      <c r="I644" s="2" t="s">
        <v>2559</v>
      </c>
      <c r="J644" s="2" t="s">
        <v>706</v>
      </c>
      <c r="K644" s="2" t="s">
        <v>335</v>
      </c>
      <c r="L644" s="3">
        <v>178.75</v>
      </c>
      <c r="M644" s="3">
        <v>187.69</v>
      </c>
      <c r="N644" s="3">
        <v>499.99</v>
      </c>
      <c r="O644" s="2" t="s">
        <v>97</v>
      </c>
      <c r="P644" s="2" t="s">
        <v>2478</v>
      </c>
      <c r="Q644" s="2" t="s">
        <v>99</v>
      </c>
      <c r="R644" s="2" t="s">
        <v>100</v>
      </c>
      <c r="S644" s="2" t="s">
        <v>100</v>
      </c>
      <c r="T644" s="2" t="s">
        <v>200</v>
      </c>
      <c r="U644" s="2" t="s">
        <v>402</v>
      </c>
      <c r="V644" s="2" t="s">
        <v>104</v>
      </c>
      <c r="W644" s="2" t="s">
        <v>100</v>
      </c>
      <c r="X644" s="2" t="s">
        <v>100</v>
      </c>
      <c r="Y644" s="2" t="s">
        <v>100</v>
      </c>
      <c r="Z644" s="4"/>
      <c r="AA644" s="4">
        <f>=ROUNDDOWN({0},0)</f>
      </c>
      <c r="AB644" s="5"/>
      <c r="AC644" s="2" t="s">
        <v>100</v>
      </c>
      <c r="AD644" s="4"/>
      <c r="AE644" s="4"/>
      <c r="AF644" s="6"/>
      <c r="AG644" s="6"/>
      <c r="AH644" s="7"/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/>
      <c r="BK644" s="8"/>
      <c r="BL644" s="2" t="s">
        <v>100</v>
      </c>
      <c r="BM644" s="7"/>
      <c r="BN644" s="7"/>
      <c r="BO644" s="4"/>
      <c r="BP644" s="8"/>
      <c r="BQ644" s="4"/>
      <c r="BR644" s="8"/>
      <c r="BS644" s="7"/>
      <c r="BT644" s="7"/>
      <c r="BU644" s="2" t="s">
        <v>2480</v>
      </c>
      <c r="BV644" s="2" t="s">
        <v>97</v>
      </c>
      <c r="BW644" s="2" t="s">
        <v>100</v>
      </c>
      <c r="BX644" s="2" t="s">
        <v>100</v>
      </c>
      <c r="BY644" s="2" t="s">
        <v>113</v>
      </c>
      <c r="BZ644" s="2" t="s">
        <v>100</v>
      </c>
    </row>
    <row r="645">
      <c r="A645" s="2" t="s">
        <v>2564</v>
      </c>
      <c r="B645" s="2" t="s">
        <v>87</v>
      </c>
      <c r="C645" s="2" t="s">
        <v>2557</v>
      </c>
      <c r="D645" s="2" t="s">
        <v>803</v>
      </c>
      <c r="E645" s="2" t="s">
        <v>804</v>
      </c>
      <c r="F645" s="2" t="s">
        <v>2563</v>
      </c>
      <c r="G645" s="2" t="s">
        <v>2563</v>
      </c>
      <c r="H645" s="2" t="s">
        <v>2563</v>
      </c>
      <c r="I645" s="2" t="s">
        <v>2559</v>
      </c>
      <c r="J645" s="2" t="s">
        <v>714</v>
      </c>
      <c r="K645" s="2" t="s">
        <v>335</v>
      </c>
      <c r="L645" s="3">
        <v>214.5</v>
      </c>
      <c r="M645" s="3">
        <v>225.23</v>
      </c>
      <c r="N645" s="3">
        <v>599.99</v>
      </c>
      <c r="O645" s="2" t="s">
        <v>97</v>
      </c>
      <c r="P645" s="2" t="s">
        <v>2478</v>
      </c>
      <c r="Q645" s="2" t="s">
        <v>99</v>
      </c>
      <c r="R645" s="2" t="s">
        <v>100</v>
      </c>
      <c r="S645" s="2" t="s">
        <v>100</v>
      </c>
      <c r="T645" s="2" t="s">
        <v>200</v>
      </c>
      <c r="U645" s="2" t="s">
        <v>402</v>
      </c>
      <c r="V645" s="2" t="s">
        <v>104</v>
      </c>
      <c r="W645" s="2" t="s">
        <v>100</v>
      </c>
      <c r="X645" s="2" t="s">
        <v>100</v>
      </c>
      <c r="Y645" s="2" t="s">
        <v>100</v>
      </c>
      <c r="Z645" s="4"/>
      <c r="AA645" s="4">
        <f>=ROUNDDOWN({0},0)</f>
      </c>
      <c r="AB645" s="5"/>
      <c r="AC645" s="2" t="s">
        <v>100</v>
      </c>
      <c r="AD645" s="4"/>
      <c r="AE645" s="4"/>
      <c r="AF645" s="6"/>
      <c r="AG645" s="6"/>
      <c r="AH645" s="7"/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/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/>
      <c r="BJ645" s="4"/>
      <c r="BK645" s="8"/>
      <c r="BL645" s="2" t="s">
        <v>100</v>
      </c>
      <c r="BM645" s="7"/>
      <c r="BN645" s="7"/>
      <c r="BO645" s="4"/>
      <c r="BP645" s="8"/>
      <c r="BQ645" s="4"/>
      <c r="BR645" s="8"/>
      <c r="BS645" s="7"/>
      <c r="BT645" s="7"/>
      <c r="BU645" s="2" t="s">
        <v>2480</v>
      </c>
      <c r="BV645" s="2" t="s">
        <v>97</v>
      </c>
      <c r="BW645" s="2" t="s">
        <v>100</v>
      </c>
      <c r="BX645" s="2" t="s">
        <v>100</v>
      </c>
      <c r="BY645" s="2" t="s">
        <v>113</v>
      </c>
      <c r="BZ645" s="2" t="s">
        <v>100</v>
      </c>
    </row>
    <row r="646">
      <c r="A646" s="2" t="s">
        <v>2565</v>
      </c>
      <c r="B646" s="2" t="s">
        <v>87</v>
      </c>
      <c r="C646" s="2" t="s">
        <v>2557</v>
      </c>
      <c r="D646" s="2" t="s">
        <v>803</v>
      </c>
      <c r="E646" s="2" t="s">
        <v>804</v>
      </c>
      <c r="F646" s="2" t="s">
        <v>2563</v>
      </c>
      <c r="G646" s="2" t="s">
        <v>2563</v>
      </c>
      <c r="H646" s="2" t="s">
        <v>2563</v>
      </c>
      <c r="I646" s="2" t="s">
        <v>2559</v>
      </c>
      <c r="J646" s="2" t="s">
        <v>817</v>
      </c>
      <c r="K646" s="2" t="s">
        <v>335</v>
      </c>
      <c r="L646" s="3">
        <v>214.5</v>
      </c>
      <c r="M646" s="3">
        <v>225.23</v>
      </c>
      <c r="N646" s="3">
        <v>599.99</v>
      </c>
      <c r="O646" s="2" t="s">
        <v>97</v>
      </c>
      <c r="P646" s="2" t="s">
        <v>2478</v>
      </c>
      <c r="Q646" s="2" t="s">
        <v>99</v>
      </c>
      <c r="R646" s="2" t="s">
        <v>100</v>
      </c>
      <c r="S646" s="2" t="s">
        <v>100</v>
      </c>
      <c r="T646" s="2" t="s">
        <v>200</v>
      </c>
      <c r="U646" s="2" t="s">
        <v>402</v>
      </c>
      <c r="V646" s="2" t="s">
        <v>104</v>
      </c>
      <c r="W646" s="2" t="s">
        <v>100</v>
      </c>
      <c r="X646" s="2" t="s">
        <v>100</v>
      </c>
      <c r="Y646" s="2" t="s">
        <v>100</v>
      </c>
      <c r="Z646" s="4"/>
      <c r="AA646" s="4">
        <f>=ROUNDDOWN({0},0)</f>
      </c>
      <c r="AB646" s="5"/>
      <c r="AC646" s="2" t="s">
        <v>100</v>
      </c>
      <c r="AD646" s="4"/>
      <c r="AE646" s="4"/>
      <c r="AF646" s="6"/>
      <c r="AG646" s="6"/>
      <c r="AH646" s="7"/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/>
      <c r="BK646" s="8"/>
      <c r="BL646" s="2" t="s">
        <v>100</v>
      </c>
      <c r="BM646" s="7"/>
      <c r="BN646" s="7"/>
      <c r="BO646" s="4"/>
      <c r="BP646" s="8"/>
      <c r="BQ646" s="4"/>
      <c r="BR646" s="8"/>
      <c r="BS646" s="7"/>
      <c r="BT646" s="7"/>
      <c r="BU646" s="2" t="s">
        <v>2480</v>
      </c>
      <c r="BV646" s="2" t="s">
        <v>97</v>
      </c>
      <c r="BW646" s="2" t="s">
        <v>100</v>
      </c>
      <c r="BX646" s="2" t="s">
        <v>100</v>
      </c>
      <c r="BY646" s="2" t="s">
        <v>113</v>
      </c>
      <c r="BZ646" s="2" t="s">
        <v>100</v>
      </c>
    </row>
    <row r="647">
      <c r="A647" s="2" t="s">
        <v>2566</v>
      </c>
      <c r="B647" s="2" t="s">
        <v>87</v>
      </c>
      <c r="C647" s="2" t="s">
        <v>2567</v>
      </c>
      <c r="D647" s="2" t="s">
        <v>803</v>
      </c>
      <c r="E647" s="2" t="s">
        <v>804</v>
      </c>
      <c r="F647" s="2" t="s">
        <v>2568</v>
      </c>
      <c r="G647" s="2" t="s">
        <v>100</v>
      </c>
      <c r="H647" s="2" t="s">
        <v>100</v>
      </c>
      <c r="I647" s="2" t="s">
        <v>2569</v>
      </c>
      <c r="J647" s="2" t="s">
        <v>706</v>
      </c>
      <c r="K647" s="2" t="s">
        <v>913</v>
      </c>
      <c r="L647" s="3">
        <v>186.9</v>
      </c>
      <c r="M647" s="3">
        <v>196.24</v>
      </c>
      <c r="N647" s="3">
        <v>534</v>
      </c>
      <c r="O647" s="2" t="s">
        <v>97</v>
      </c>
      <c r="P647" s="2" t="s">
        <v>950</v>
      </c>
      <c r="Q647" s="2" t="s">
        <v>99</v>
      </c>
      <c r="R647" s="2" t="s">
        <v>100</v>
      </c>
      <c r="S647" s="2" t="s">
        <v>2570</v>
      </c>
      <c r="T647" s="2" t="s">
        <v>100</v>
      </c>
      <c r="U647" s="2" t="s">
        <v>1240</v>
      </c>
      <c r="V647" s="2" t="s">
        <v>489</v>
      </c>
      <c r="W647" s="2" t="s">
        <v>309</v>
      </c>
      <c r="X647" s="2" t="s">
        <v>1905</v>
      </c>
      <c r="Y647" s="2" t="s">
        <v>240</v>
      </c>
      <c r="Z647" s="4">
        <v>97</v>
      </c>
      <c r="AA647" s="4">
        <f>=ROUNDDOWN(19.4,0)</f>
      </c>
      <c r="AB647" s="5">
        <v>5</v>
      </c>
      <c r="AC647" s="2" t="s">
        <v>1516</v>
      </c>
      <c r="AD647" s="4">
        <v>80</v>
      </c>
      <c r="AE647" s="4">
        <v>80</v>
      </c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/>
      <c r="BJ647" s="4">
        <v>121</v>
      </c>
      <c r="BK647" s="8">
        <v>18549.94</v>
      </c>
      <c r="BL647" s="2" t="s">
        <v>2571</v>
      </c>
      <c r="BM647" s="7"/>
      <c r="BN647" s="7"/>
      <c r="BO647" s="4"/>
      <c r="BP647" s="8"/>
      <c r="BQ647" s="4"/>
      <c r="BR647" s="8"/>
      <c r="BS647" s="7"/>
      <c r="BT647" s="7"/>
      <c r="BU647" s="2" t="s">
        <v>2528</v>
      </c>
      <c r="BV647" s="2" t="s">
        <v>97</v>
      </c>
      <c r="BW647" s="2" t="s">
        <v>100</v>
      </c>
      <c r="BX647" s="2" t="s">
        <v>100</v>
      </c>
      <c r="BY647" s="2" t="s">
        <v>113</v>
      </c>
      <c r="BZ647" s="2" t="s">
        <v>100</v>
      </c>
    </row>
    <row r="648">
      <c r="A648" s="2" t="s">
        <v>2572</v>
      </c>
      <c r="B648" s="2" t="s">
        <v>87</v>
      </c>
      <c r="C648" s="2" t="s">
        <v>2567</v>
      </c>
      <c r="D648" s="2" t="s">
        <v>803</v>
      </c>
      <c r="E648" s="2" t="s">
        <v>804</v>
      </c>
      <c r="F648" s="2" t="s">
        <v>2568</v>
      </c>
      <c r="G648" s="2" t="s">
        <v>100</v>
      </c>
      <c r="H648" s="2" t="s">
        <v>100</v>
      </c>
      <c r="I648" s="2" t="s">
        <v>2573</v>
      </c>
      <c r="J648" s="2" t="s">
        <v>714</v>
      </c>
      <c r="K648" s="2" t="s">
        <v>913</v>
      </c>
      <c r="L648" s="3">
        <v>210</v>
      </c>
      <c r="M648" s="3">
        <v>220.5</v>
      </c>
      <c r="N648" s="3">
        <v>600</v>
      </c>
      <c r="O648" s="2" t="s">
        <v>97</v>
      </c>
      <c r="P648" s="2" t="s">
        <v>950</v>
      </c>
      <c r="Q648" s="2" t="s">
        <v>99</v>
      </c>
      <c r="R648" s="2" t="s">
        <v>100</v>
      </c>
      <c r="S648" s="2" t="s">
        <v>2570</v>
      </c>
      <c r="T648" s="2" t="s">
        <v>100</v>
      </c>
      <c r="U648" s="2" t="s">
        <v>2574</v>
      </c>
      <c r="V648" s="2" t="s">
        <v>489</v>
      </c>
      <c r="W648" s="2" t="s">
        <v>309</v>
      </c>
      <c r="X648" s="2" t="s">
        <v>1905</v>
      </c>
      <c r="Y648" s="2" t="s">
        <v>918</v>
      </c>
      <c r="Z648" s="4">
        <v>106</v>
      </c>
      <c r="AA648" s="4">
        <f>=ROUNDDOWN(15.1428571428571,0)</f>
      </c>
      <c r="AB648" s="5">
        <v>7</v>
      </c>
      <c r="AC648" s="2" t="s">
        <v>1516</v>
      </c>
      <c r="AD648" s="4">
        <v>100</v>
      </c>
      <c r="AE648" s="4">
        <v>100</v>
      </c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/>
      <c r="BJ648" s="4">
        <v>121</v>
      </c>
      <c r="BK648" s="8">
        <v>24856.86</v>
      </c>
      <c r="BL648" s="2" t="s">
        <v>2575</v>
      </c>
      <c r="BM648" s="7"/>
      <c r="BN648" s="7"/>
      <c r="BO648" s="4"/>
      <c r="BP648" s="8"/>
      <c r="BQ648" s="4"/>
      <c r="BR648" s="8"/>
      <c r="BS648" s="7"/>
      <c r="BT648" s="7"/>
      <c r="BU648" s="2" t="s">
        <v>2528</v>
      </c>
      <c r="BV648" s="2" t="s">
        <v>97</v>
      </c>
      <c r="BW648" s="2" t="s">
        <v>100</v>
      </c>
      <c r="BX648" s="2" t="s">
        <v>100</v>
      </c>
      <c r="BY648" s="2" t="s">
        <v>113</v>
      </c>
      <c r="BZ648" s="2" t="s">
        <v>100</v>
      </c>
    </row>
    <row r="649">
      <c r="A649" s="2" t="s">
        <v>2576</v>
      </c>
      <c r="B649" s="2" t="s">
        <v>87</v>
      </c>
      <c r="C649" s="2" t="s">
        <v>2567</v>
      </c>
      <c r="D649" s="2" t="s">
        <v>89</v>
      </c>
      <c r="E649" s="2" t="s">
        <v>2577</v>
      </c>
      <c r="F649" s="2" t="s">
        <v>2578</v>
      </c>
      <c r="G649" s="2" t="s">
        <v>2578</v>
      </c>
      <c r="H649" s="2" t="s">
        <v>100</v>
      </c>
      <c r="I649" s="2" t="s">
        <v>2579</v>
      </c>
      <c r="J649" s="2" t="s">
        <v>706</v>
      </c>
      <c r="K649" s="2" t="s">
        <v>2580</v>
      </c>
      <c r="L649" s="3">
        <v>73.15</v>
      </c>
      <c r="M649" s="3">
        <v>76.81</v>
      </c>
      <c r="N649" s="3">
        <v>209</v>
      </c>
      <c r="O649" s="2" t="s">
        <v>97</v>
      </c>
      <c r="P649" s="2" t="s">
        <v>119</v>
      </c>
      <c r="Q649" s="2" t="s">
        <v>99</v>
      </c>
      <c r="R649" s="2" t="s">
        <v>100</v>
      </c>
      <c r="S649" s="2" t="s">
        <v>2581</v>
      </c>
      <c r="T649" s="2" t="s">
        <v>100</v>
      </c>
      <c r="U649" s="2" t="s">
        <v>480</v>
      </c>
      <c r="V649" s="2" t="s">
        <v>146</v>
      </c>
      <c r="W649" s="2" t="s">
        <v>104</v>
      </c>
      <c r="X649" s="2" t="s">
        <v>378</v>
      </c>
      <c r="Y649" s="2" t="s">
        <v>887</v>
      </c>
      <c r="Z649" s="4">
        <v>36</v>
      </c>
      <c r="AA649" s="4">
        <f>=ROUNDDOWN(18,0)</f>
      </c>
      <c r="AB649" s="5">
        <v>2</v>
      </c>
      <c r="AC649" s="2" t="s">
        <v>1292</v>
      </c>
      <c r="AD649" s="4">
        <v>150</v>
      </c>
      <c r="AE649" s="4">
        <v>150</v>
      </c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/>
      <c r="BJ649" s="4">
        <v>84</v>
      </c>
      <c r="BK649" s="8">
        <v>6802.24</v>
      </c>
      <c r="BL649" s="2" t="s">
        <v>2582</v>
      </c>
      <c r="BM649" s="7"/>
      <c r="BN649" s="7"/>
      <c r="BO649" s="4"/>
      <c r="BP649" s="8"/>
      <c r="BQ649" s="4"/>
      <c r="BR649" s="8"/>
      <c r="BS649" s="7"/>
      <c r="BT649" s="7"/>
      <c r="BU649" s="2" t="s">
        <v>2528</v>
      </c>
      <c r="BV649" s="2" t="s">
        <v>97</v>
      </c>
      <c r="BW649" s="2" t="s">
        <v>100</v>
      </c>
      <c r="BX649" s="2" t="s">
        <v>100</v>
      </c>
      <c r="BY649" s="2" t="s">
        <v>113</v>
      </c>
      <c r="BZ649" s="2" t="s">
        <v>100</v>
      </c>
    </row>
    <row r="650">
      <c r="A650" s="2" t="s">
        <v>2583</v>
      </c>
      <c r="B650" s="2" t="s">
        <v>87</v>
      </c>
      <c r="C650" s="2" t="s">
        <v>2567</v>
      </c>
      <c r="D650" s="2" t="s">
        <v>89</v>
      </c>
      <c r="E650" s="2" t="s">
        <v>2577</v>
      </c>
      <c r="F650" s="2" t="s">
        <v>2578</v>
      </c>
      <c r="G650" s="2" t="s">
        <v>2578</v>
      </c>
      <c r="H650" s="2" t="s">
        <v>100</v>
      </c>
      <c r="I650" s="2" t="s">
        <v>2579</v>
      </c>
      <c r="J650" s="2" t="s">
        <v>714</v>
      </c>
      <c r="K650" s="2" t="s">
        <v>2580</v>
      </c>
      <c r="L650" s="3">
        <v>90.65</v>
      </c>
      <c r="M650" s="3">
        <v>95.18</v>
      </c>
      <c r="N650" s="3">
        <v>259</v>
      </c>
      <c r="O650" s="2" t="s">
        <v>97</v>
      </c>
      <c r="P650" s="2" t="s">
        <v>119</v>
      </c>
      <c r="Q650" s="2" t="s">
        <v>99</v>
      </c>
      <c r="R650" s="2" t="s">
        <v>100</v>
      </c>
      <c r="S650" s="2" t="s">
        <v>2581</v>
      </c>
      <c r="T650" s="2" t="s">
        <v>100</v>
      </c>
      <c r="U650" s="2" t="s">
        <v>480</v>
      </c>
      <c r="V650" s="2" t="s">
        <v>146</v>
      </c>
      <c r="W650" s="2" t="s">
        <v>104</v>
      </c>
      <c r="X650" s="2" t="s">
        <v>378</v>
      </c>
      <c r="Y650" s="2" t="s">
        <v>240</v>
      </c>
      <c r="Z650" s="4"/>
      <c r="AA650" s="4">
        <f>=ROUNDDOWN({0},0)</f>
      </c>
      <c r="AB650" s="5">
        <v>3</v>
      </c>
      <c r="AC650" s="2" t="s">
        <v>1292</v>
      </c>
      <c r="AD650" s="4">
        <v>100</v>
      </c>
      <c r="AE650" s="4">
        <v>100</v>
      </c>
      <c r="AF650" s="6">
        <v>67</v>
      </c>
      <c r="AG650" s="6"/>
      <c r="AH650" s="7">
        <v>0.9786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/>
      <c r="BJ650" s="4">
        <v>132</v>
      </c>
      <c r="BK650" s="8">
        <v>13183.47</v>
      </c>
      <c r="BL650" s="2" t="s">
        <v>2584</v>
      </c>
      <c r="BM650" s="7"/>
      <c r="BN650" s="7"/>
      <c r="BO650" s="4"/>
      <c r="BP650" s="8"/>
      <c r="BQ650" s="4"/>
      <c r="BR650" s="8"/>
      <c r="BS650" s="7"/>
      <c r="BT650" s="7"/>
      <c r="BU650" s="2" t="s">
        <v>2528</v>
      </c>
      <c r="BV650" s="2" t="s">
        <v>97</v>
      </c>
      <c r="BW650" s="2" t="s">
        <v>100</v>
      </c>
      <c r="BX650" s="2" t="s">
        <v>100</v>
      </c>
      <c r="BY650" s="2" t="s">
        <v>113</v>
      </c>
      <c r="BZ650" s="2" t="s">
        <v>100</v>
      </c>
    </row>
    <row r="651">
      <c r="A651" s="2" t="s">
        <v>2585</v>
      </c>
      <c r="B651" s="2" t="s">
        <v>87</v>
      </c>
      <c r="C651" s="2" t="s">
        <v>2567</v>
      </c>
      <c r="D651" s="2" t="s">
        <v>89</v>
      </c>
      <c r="E651" s="2" t="s">
        <v>2577</v>
      </c>
      <c r="F651" s="2" t="s">
        <v>2578</v>
      </c>
      <c r="G651" s="2" t="s">
        <v>2578</v>
      </c>
      <c r="H651" s="2" t="s">
        <v>100</v>
      </c>
      <c r="I651" s="2" t="s">
        <v>2579</v>
      </c>
      <c r="J651" s="2" t="s">
        <v>706</v>
      </c>
      <c r="K651" s="2" t="s">
        <v>2586</v>
      </c>
      <c r="L651" s="3">
        <v>73.15</v>
      </c>
      <c r="M651" s="3">
        <v>76.81</v>
      </c>
      <c r="N651" s="3">
        <v>209</v>
      </c>
      <c r="O651" s="2" t="s">
        <v>2587</v>
      </c>
      <c r="P651" s="2" t="s">
        <v>119</v>
      </c>
      <c r="Q651" s="2" t="s">
        <v>99</v>
      </c>
      <c r="R651" s="2" t="s">
        <v>100</v>
      </c>
      <c r="S651" s="2" t="s">
        <v>2588</v>
      </c>
      <c r="T651" s="2" t="s">
        <v>100</v>
      </c>
      <c r="U651" s="2" t="s">
        <v>480</v>
      </c>
      <c r="V651" s="2" t="s">
        <v>146</v>
      </c>
      <c r="W651" s="2" t="s">
        <v>104</v>
      </c>
      <c r="X651" s="2" t="s">
        <v>378</v>
      </c>
      <c r="Y651" s="2" t="s">
        <v>240</v>
      </c>
      <c r="Z651" s="4">
        <v>93</v>
      </c>
      <c r="AA651" s="4">
        <f>=ROUNDDOWN(46.5,0)</f>
      </c>
      <c r="AB651" s="5">
        <v>2</v>
      </c>
      <c r="AC651" s="2" t="s">
        <v>100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/>
      <c r="BJ651" s="4">
        <v>28</v>
      </c>
      <c r="BK651" s="8">
        <v>2123.14</v>
      </c>
      <c r="BL651" s="2" t="s">
        <v>2589</v>
      </c>
      <c r="BM651" s="7"/>
      <c r="BN651" s="7"/>
      <c r="BO651" s="4"/>
      <c r="BP651" s="8"/>
      <c r="BQ651" s="4"/>
      <c r="BR651" s="8"/>
      <c r="BS651" s="7"/>
      <c r="BT651" s="7"/>
      <c r="BU651" s="2" t="s">
        <v>2528</v>
      </c>
      <c r="BV651" s="2" t="s">
        <v>97</v>
      </c>
      <c r="BW651" s="2" t="s">
        <v>100</v>
      </c>
      <c r="BX651" s="2" t="s">
        <v>100</v>
      </c>
      <c r="BY651" s="2" t="s">
        <v>113</v>
      </c>
      <c r="BZ651" s="2" t="s">
        <v>100</v>
      </c>
    </row>
    <row r="652">
      <c r="A652" s="2" t="s">
        <v>2590</v>
      </c>
      <c r="B652" s="2" t="s">
        <v>87</v>
      </c>
      <c r="C652" s="2" t="s">
        <v>2567</v>
      </c>
      <c r="D652" s="2" t="s">
        <v>89</v>
      </c>
      <c r="E652" s="2" t="s">
        <v>2577</v>
      </c>
      <c r="F652" s="2" t="s">
        <v>2578</v>
      </c>
      <c r="G652" s="2" t="s">
        <v>2578</v>
      </c>
      <c r="H652" s="2" t="s">
        <v>100</v>
      </c>
      <c r="I652" s="2" t="s">
        <v>2579</v>
      </c>
      <c r="J652" s="2" t="s">
        <v>714</v>
      </c>
      <c r="K652" s="2" t="s">
        <v>2586</v>
      </c>
      <c r="L652" s="3">
        <v>90.65</v>
      </c>
      <c r="M652" s="3">
        <v>95.18</v>
      </c>
      <c r="N652" s="3">
        <v>259</v>
      </c>
      <c r="O652" s="2" t="s">
        <v>2587</v>
      </c>
      <c r="P652" s="2" t="s">
        <v>119</v>
      </c>
      <c r="Q652" s="2" t="s">
        <v>99</v>
      </c>
      <c r="R652" s="2" t="s">
        <v>100</v>
      </c>
      <c r="S652" s="2" t="s">
        <v>2588</v>
      </c>
      <c r="T652" s="2" t="s">
        <v>100</v>
      </c>
      <c r="U652" s="2" t="s">
        <v>480</v>
      </c>
      <c r="V652" s="2" t="s">
        <v>146</v>
      </c>
      <c r="W652" s="2" t="s">
        <v>104</v>
      </c>
      <c r="X652" s="2" t="s">
        <v>378</v>
      </c>
      <c r="Y652" s="2" t="s">
        <v>240</v>
      </c>
      <c r="Z652" s="4">
        <v>63</v>
      </c>
      <c r="AA652" s="4">
        <f>=ROUNDDOWN(31.5,0)</f>
      </c>
      <c r="AB652" s="5">
        <v>2</v>
      </c>
      <c r="AC652" s="2" t="s">
        <v>100</v>
      </c>
      <c r="AD652" s="4"/>
      <c r="AE652" s="4"/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/>
      <c r="BJ652" s="4">
        <v>48</v>
      </c>
      <c r="BK652" s="8">
        <v>4355.04</v>
      </c>
      <c r="BL652" s="2" t="s">
        <v>2591</v>
      </c>
      <c r="BM652" s="7"/>
      <c r="BN652" s="7"/>
      <c r="BO652" s="4"/>
      <c r="BP652" s="8"/>
      <c r="BQ652" s="4"/>
      <c r="BR652" s="8"/>
      <c r="BS652" s="7"/>
      <c r="BT652" s="7"/>
      <c r="BU652" s="2" t="s">
        <v>2528</v>
      </c>
      <c r="BV652" s="2" t="s">
        <v>97</v>
      </c>
      <c r="BW652" s="2" t="s">
        <v>100</v>
      </c>
      <c r="BX652" s="2" t="s">
        <v>100</v>
      </c>
      <c r="BY652" s="2" t="s">
        <v>113</v>
      </c>
      <c r="BZ652" s="2" t="s">
        <v>100</v>
      </c>
    </row>
    <row r="653">
      <c r="A653" s="2" t="s">
        <v>2592</v>
      </c>
      <c r="B653" s="2" t="s">
        <v>87</v>
      </c>
      <c r="C653" s="2" t="s">
        <v>2567</v>
      </c>
      <c r="D653" s="2" t="s">
        <v>89</v>
      </c>
      <c r="E653" s="2" t="s">
        <v>2577</v>
      </c>
      <c r="F653" s="2" t="s">
        <v>2578</v>
      </c>
      <c r="G653" s="2" t="s">
        <v>2578</v>
      </c>
      <c r="H653" s="2" t="s">
        <v>2578</v>
      </c>
      <c r="I653" s="2" t="s">
        <v>2579</v>
      </c>
      <c r="J653" s="2" t="s">
        <v>706</v>
      </c>
      <c r="K653" s="2" t="s">
        <v>629</v>
      </c>
      <c r="L653" s="3">
        <v>73.15</v>
      </c>
      <c r="M653" s="3">
        <v>76.81</v>
      </c>
      <c r="N653" s="3">
        <v>209</v>
      </c>
      <c r="O653" s="2" t="s">
        <v>97</v>
      </c>
      <c r="P653" s="2" t="s">
        <v>119</v>
      </c>
      <c r="Q653" s="2" t="s">
        <v>99</v>
      </c>
      <c r="R653" s="2" t="s">
        <v>100</v>
      </c>
      <c r="S653" s="2" t="s">
        <v>2593</v>
      </c>
      <c r="T653" s="2" t="s">
        <v>100</v>
      </c>
      <c r="U653" s="2" t="s">
        <v>480</v>
      </c>
      <c r="V653" s="2" t="s">
        <v>146</v>
      </c>
      <c r="W653" s="2" t="s">
        <v>104</v>
      </c>
      <c r="X653" s="2" t="s">
        <v>378</v>
      </c>
      <c r="Y653" s="2" t="s">
        <v>240</v>
      </c>
      <c r="Z653" s="4">
        <v>72</v>
      </c>
      <c r="AA653" s="4">
        <f>=ROUNDDOWN(18,0)</f>
      </c>
      <c r="AB653" s="5">
        <v>4</v>
      </c>
      <c r="AC653" s="2" t="s">
        <v>1292</v>
      </c>
      <c r="AD653" s="4">
        <v>160</v>
      </c>
      <c r="AE653" s="4">
        <v>160</v>
      </c>
      <c r="AF653" s="6">
        <v>67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/>
      <c r="BJ653" s="4">
        <v>82</v>
      </c>
      <c r="BK653" s="8">
        <v>6300.36</v>
      </c>
      <c r="BL653" s="2" t="s">
        <v>2594</v>
      </c>
      <c r="BM653" s="7"/>
      <c r="BN653" s="7"/>
      <c r="BO653" s="4"/>
      <c r="BP653" s="8"/>
      <c r="BQ653" s="4"/>
      <c r="BR653" s="8"/>
      <c r="BS653" s="7"/>
      <c r="BT653" s="7"/>
      <c r="BU653" s="2" t="s">
        <v>207</v>
      </c>
      <c r="BV653" s="2" t="s">
        <v>97</v>
      </c>
      <c r="BW653" s="2" t="s">
        <v>100</v>
      </c>
      <c r="BX653" s="2" t="s">
        <v>100</v>
      </c>
      <c r="BY653" s="2" t="s">
        <v>113</v>
      </c>
      <c r="BZ653" s="2" t="s">
        <v>100</v>
      </c>
    </row>
    <row r="654">
      <c r="A654" s="2" t="s">
        <v>2595</v>
      </c>
      <c r="B654" s="2" t="s">
        <v>87</v>
      </c>
      <c r="C654" s="2" t="s">
        <v>2567</v>
      </c>
      <c r="D654" s="2" t="s">
        <v>89</v>
      </c>
      <c r="E654" s="2" t="s">
        <v>2577</v>
      </c>
      <c r="F654" s="2" t="s">
        <v>2578</v>
      </c>
      <c r="G654" s="2" t="s">
        <v>2578</v>
      </c>
      <c r="H654" s="2" t="s">
        <v>2578</v>
      </c>
      <c r="I654" s="2" t="s">
        <v>2579</v>
      </c>
      <c r="J654" s="2" t="s">
        <v>714</v>
      </c>
      <c r="K654" s="2" t="s">
        <v>629</v>
      </c>
      <c r="L654" s="3">
        <v>90.65</v>
      </c>
      <c r="M654" s="3">
        <v>95.18</v>
      </c>
      <c r="N654" s="3">
        <v>259</v>
      </c>
      <c r="O654" s="2" t="s">
        <v>97</v>
      </c>
      <c r="P654" s="2" t="s">
        <v>119</v>
      </c>
      <c r="Q654" s="2" t="s">
        <v>99</v>
      </c>
      <c r="R654" s="2" t="s">
        <v>100</v>
      </c>
      <c r="S654" s="2" t="s">
        <v>2593</v>
      </c>
      <c r="T654" s="2" t="s">
        <v>100</v>
      </c>
      <c r="U654" s="2" t="s">
        <v>480</v>
      </c>
      <c r="V654" s="2" t="s">
        <v>146</v>
      </c>
      <c r="W654" s="2" t="s">
        <v>104</v>
      </c>
      <c r="X654" s="2" t="s">
        <v>378</v>
      </c>
      <c r="Y654" s="2" t="s">
        <v>240</v>
      </c>
      <c r="Z654" s="4">
        <v>171</v>
      </c>
      <c r="AA654" s="4">
        <f>=ROUNDDOWN(34.2,0)</f>
      </c>
      <c r="AB654" s="5">
        <v>5</v>
      </c>
      <c r="AC654" s="2" t="s">
        <v>1292</v>
      </c>
      <c r="AD654" s="4">
        <v>90</v>
      </c>
      <c r="AE654" s="4">
        <v>90</v>
      </c>
      <c r="AF654" s="6">
        <v>67</v>
      </c>
      <c r="AG654" s="6"/>
      <c r="AH654" s="7">
        <v>0.6631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/>
      <c r="BJ654" s="4">
        <v>112</v>
      </c>
      <c r="BK654" s="8">
        <v>10445.57</v>
      </c>
      <c r="BL654" s="2" t="s">
        <v>2596</v>
      </c>
      <c r="BM654" s="7"/>
      <c r="BN654" s="7"/>
      <c r="BO654" s="4"/>
      <c r="BP654" s="8"/>
      <c r="BQ654" s="4"/>
      <c r="BR654" s="8"/>
      <c r="BS654" s="7"/>
      <c r="BT654" s="7"/>
      <c r="BU654" s="2" t="s">
        <v>207</v>
      </c>
      <c r="BV654" s="2" t="s">
        <v>97</v>
      </c>
      <c r="BW654" s="2" t="s">
        <v>100</v>
      </c>
      <c r="BX654" s="2" t="s">
        <v>100</v>
      </c>
      <c r="BY654" s="2" t="s">
        <v>113</v>
      </c>
      <c r="BZ654" s="2" t="s">
        <v>100</v>
      </c>
    </row>
    <row r="655">
      <c r="A655" s="2" t="s">
        <v>2597</v>
      </c>
      <c r="B655" s="2" t="s">
        <v>87</v>
      </c>
      <c r="C655" s="2" t="s">
        <v>2567</v>
      </c>
      <c r="D655" s="2" t="s">
        <v>2598</v>
      </c>
      <c r="E655" s="2" t="s">
        <v>2599</v>
      </c>
      <c r="F655" s="2" t="s">
        <v>2568</v>
      </c>
      <c r="G655" s="2" t="s">
        <v>2568</v>
      </c>
      <c r="H655" s="2" t="s">
        <v>2568</v>
      </c>
      <c r="I655" s="2" t="s">
        <v>2600</v>
      </c>
      <c r="J655" s="2" t="s">
        <v>2601</v>
      </c>
      <c r="K655" s="2" t="s">
        <v>913</v>
      </c>
      <c r="L655" s="3">
        <v>19.25</v>
      </c>
      <c r="M655" s="3">
        <v>20.21</v>
      </c>
      <c r="N655" s="3">
        <v>54.99</v>
      </c>
      <c r="O655" s="2" t="s">
        <v>97</v>
      </c>
      <c r="P655" s="2" t="s">
        <v>119</v>
      </c>
      <c r="Q655" s="2" t="s">
        <v>99</v>
      </c>
      <c r="R655" s="2" t="s">
        <v>100</v>
      </c>
      <c r="S655" s="2" t="s">
        <v>2570</v>
      </c>
      <c r="T655" s="2" t="s">
        <v>100</v>
      </c>
      <c r="U655" s="2" t="s">
        <v>100</v>
      </c>
      <c r="V655" s="2" t="s">
        <v>489</v>
      </c>
      <c r="W655" s="2" t="s">
        <v>309</v>
      </c>
      <c r="X655" s="2" t="s">
        <v>100</v>
      </c>
      <c r="Y655" s="2" t="s">
        <v>2602</v>
      </c>
      <c r="Z655" s="4">
        <v>335</v>
      </c>
      <c r="AA655" s="4">
        <f>=ROUNDDOWN(55.8333333333333,0)</f>
      </c>
      <c r="AB655" s="5">
        <v>6</v>
      </c>
      <c r="AC655" s="2" t="s">
        <v>100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>
        <v>115</v>
      </c>
      <c r="BK655" s="8">
        <v>2059.65</v>
      </c>
      <c r="BL655" s="2" t="s">
        <v>2603</v>
      </c>
      <c r="BM655" s="7"/>
      <c r="BN655" s="7"/>
      <c r="BO655" s="4"/>
      <c r="BP655" s="8"/>
      <c r="BQ655" s="4"/>
      <c r="BR655" s="8"/>
      <c r="BS655" s="7"/>
      <c r="BT655" s="7"/>
      <c r="BU655" s="2" t="s">
        <v>2528</v>
      </c>
      <c r="BV655" s="2" t="s">
        <v>97</v>
      </c>
      <c r="BW655" s="2" t="s">
        <v>100</v>
      </c>
      <c r="BX655" s="2" t="s">
        <v>100</v>
      </c>
      <c r="BY655" s="2" t="s">
        <v>113</v>
      </c>
      <c r="BZ655" s="2" t="s">
        <v>100</v>
      </c>
    </row>
    <row r="656">
      <c r="A656" s="2" t="s">
        <v>2604</v>
      </c>
      <c r="B656" s="2" t="s">
        <v>87</v>
      </c>
      <c r="C656" s="2" t="s">
        <v>2567</v>
      </c>
      <c r="D656" s="2" t="s">
        <v>2605</v>
      </c>
      <c r="E656" s="2" t="s">
        <v>2606</v>
      </c>
      <c r="F656" s="2" t="s">
        <v>2568</v>
      </c>
      <c r="G656" s="2" t="s">
        <v>2568</v>
      </c>
      <c r="H656" s="2" t="s">
        <v>2568</v>
      </c>
      <c r="I656" s="2" t="s">
        <v>2607</v>
      </c>
      <c r="J656" s="2" t="s">
        <v>2608</v>
      </c>
      <c r="K656" s="2" t="s">
        <v>913</v>
      </c>
      <c r="L656" s="3">
        <v>43.75</v>
      </c>
      <c r="M656" s="3">
        <v>45.93</v>
      </c>
      <c r="N656" s="3">
        <v>124.99</v>
      </c>
      <c r="O656" s="2" t="s">
        <v>97</v>
      </c>
      <c r="P656" s="2" t="s">
        <v>119</v>
      </c>
      <c r="Q656" s="2" t="s">
        <v>99</v>
      </c>
      <c r="R656" s="2" t="s">
        <v>100</v>
      </c>
      <c r="S656" s="2" t="s">
        <v>2570</v>
      </c>
      <c r="T656" s="2" t="s">
        <v>100</v>
      </c>
      <c r="U656" s="2" t="s">
        <v>100</v>
      </c>
      <c r="V656" s="2" t="s">
        <v>489</v>
      </c>
      <c r="W656" s="2" t="s">
        <v>309</v>
      </c>
      <c r="X656" s="2" t="s">
        <v>100</v>
      </c>
      <c r="Y656" s="2" t="s">
        <v>2602</v>
      </c>
      <c r="Z656" s="4">
        <v>114</v>
      </c>
      <c r="AA656" s="4">
        <f>=ROUNDDOWN(38,0)</f>
      </c>
      <c r="AB656" s="5">
        <v>3</v>
      </c>
      <c r="AC656" s="2" t="s">
        <v>100</v>
      </c>
      <c r="AD656" s="4"/>
      <c r="AE656" s="4"/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>
        <v>53</v>
      </c>
      <c r="BK656" s="8">
        <v>2184.38</v>
      </c>
      <c r="BL656" s="2" t="s">
        <v>2609</v>
      </c>
      <c r="BM656" s="7"/>
      <c r="BN656" s="7"/>
      <c r="BO656" s="4"/>
      <c r="BP656" s="8"/>
      <c r="BQ656" s="4"/>
      <c r="BR656" s="8"/>
      <c r="BS656" s="7"/>
      <c r="BT656" s="7"/>
      <c r="BU656" s="2" t="s">
        <v>2528</v>
      </c>
      <c r="BV656" s="2" t="s">
        <v>97</v>
      </c>
      <c r="BW656" s="2" t="s">
        <v>100</v>
      </c>
      <c r="BX656" s="2" t="s">
        <v>100</v>
      </c>
      <c r="BY656" s="2" t="s">
        <v>113</v>
      </c>
      <c r="BZ656" s="2" t="s">
        <v>100</v>
      </c>
    </row>
    <row r="657">
      <c r="A657" s="2" t="s">
        <v>2610</v>
      </c>
      <c r="B657" s="2" t="s">
        <v>87</v>
      </c>
      <c r="C657" s="2" t="s">
        <v>2611</v>
      </c>
      <c r="D657" s="2" t="s">
        <v>1857</v>
      </c>
      <c r="E657" s="2" t="s">
        <v>2427</v>
      </c>
      <c r="F657" s="2" t="s">
        <v>2612</v>
      </c>
      <c r="G657" s="2" t="s">
        <v>2612</v>
      </c>
      <c r="H657" s="2" t="s">
        <v>2612</v>
      </c>
      <c r="I657" s="2" t="s">
        <v>2430</v>
      </c>
      <c r="J657" s="2" t="s">
        <v>2430</v>
      </c>
      <c r="K657" s="2" t="s">
        <v>96</v>
      </c>
      <c r="L657" s="3">
        <v>21.5</v>
      </c>
      <c r="M657" s="3">
        <v>22.57</v>
      </c>
      <c r="N657" s="3">
        <v>47.99</v>
      </c>
      <c r="O657" s="2" t="s">
        <v>97</v>
      </c>
      <c r="P657" s="2" t="s">
        <v>950</v>
      </c>
      <c r="Q657" s="2" t="s">
        <v>99</v>
      </c>
      <c r="R657" s="2" t="s">
        <v>100</v>
      </c>
      <c r="S657" s="2" t="s">
        <v>2613</v>
      </c>
      <c r="T657" s="2" t="s">
        <v>100</v>
      </c>
      <c r="U657" s="2" t="s">
        <v>100</v>
      </c>
      <c r="V657" s="2" t="s">
        <v>146</v>
      </c>
      <c r="W657" s="2" t="s">
        <v>239</v>
      </c>
      <c r="X657" s="2" t="s">
        <v>219</v>
      </c>
      <c r="Y657" s="2" t="s">
        <v>240</v>
      </c>
      <c r="Z657" s="4">
        <v>315</v>
      </c>
      <c r="AA657" s="4">
        <f>=ROUNDDOWN(42,0)</f>
      </c>
      <c r="AB657" s="5">
        <v>7.5</v>
      </c>
      <c r="AC657" s="2" t="s">
        <v>356</v>
      </c>
      <c r="AD657" s="4">
        <v>384</v>
      </c>
      <c r="AE657" s="4">
        <v>384</v>
      </c>
      <c r="AF657" s="6">
        <v>68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>
        <v>176</v>
      </c>
      <c r="BK657" s="8">
        <v>3925.12</v>
      </c>
      <c r="BL657" s="2" t="s">
        <v>2614</v>
      </c>
      <c r="BM657" s="7"/>
      <c r="BN657" s="7"/>
      <c r="BO657" s="4"/>
      <c r="BP657" s="8"/>
      <c r="BQ657" s="4"/>
      <c r="BR657" s="8"/>
      <c r="BS657" s="7"/>
      <c r="BT657" s="7"/>
      <c r="BU657" s="2" t="s">
        <v>2528</v>
      </c>
      <c r="BV657" s="2" t="s">
        <v>97</v>
      </c>
      <c r="BW657" s="2" t="s">
        <v>100</v>
      </c>
      <c r="BX657" s="2" t="s">
        <v>100</v>
      </c>
      <c r="BY657" s="2" t="s">
        <v>113</v>
      </c>
      <c r="BZ657" s="2" t="s">
        <v>100</v>
      </c>
    </row>
    <row r="658">
      <c r="A658" s="2" t="s">
        <v>2615</v>
      </c>
      <c r="B658" s="2" t="s">
        <v>87</v>
      </c>
      <c r="C658" s="2" t="s">
        <v>2611</v>
      </c>
      <c r="D658" s="2" t="s">
        <v>1857</v>
      </c>
      <c r="E658" s="2" t="s">
        <v>2427</v>
      </c>
      <c r="F658" s="2" t="s">
        <v>2616</v>
      </c>
      <c r="G658" s="2" t="s">
        <v>2616</v>
      </c>
      <c r="H658" s="2" t="s">
        <v>2616</v>
      </c>
      <c r="I658" s="2" t="s">
        <v>2430</v>
      </c>
      <c r="J658" s="2" t="s">
        <v>2430</v>
      </c>
      <c r="K658" s="2" t="s">
        <v>118</v>
      </c>
      <c r="L658" s="3">
        <v>21.5</v>
      </c>
      <c r="M658" s="3">
        <v>22.57</v>
      </c>
      <c r="N658" s="3">
        <v>47.99</v>
      </c>
      <c r="O658" s="2" t="s">
        <v>97</v>
      </c>
      <c r="P658" s="2" t="s">
        <v>950</v>
      </c>
      <c r="Q658" s="2" t="s">
        <v>99</v>
      </c>
      <c r="R658" s="2" t="s">
        <v>100</v>
      </c>
      <c r="S658" s="2" t="s">
        <v>2617</v>
      </c>
      <c r="T658" s="2" t="s">
        <v>100</v>
      </c>
      <c r="U658" s="2" t="s">
        <v>100</v>
      </c>
      <c r="V658" s="2" t="s">
        <v>350</v>
      </c>
      <c r="W658" s="2" t="s">
        <v>239</v>
      </c>
      <c r="X658" s="2" t="s">
        <v>219</v>
      </c>
      <c r="Y658" s="2" t="s">
        <v>240</v>
      </c>
      <c r="Z658" s="4">
        <v>82</v>
      </c>
      <c r="AA658" s="4">
        <f>=ROUNDDOWN(4.82352941176471,0)</f>
      </c>
      <c r="AB658" s="5">
        <v>17</v>
      </c>
      <c r="AC658" s="2" t="s">
        <v>2618</v>
      </c>
      <c r="AD658" s="4">
        <v>300</v>
      </c>
      <c r="AE658" s="4">
        <v>472</v>
      </c>
      <c r="AF658" s="6">
        <v>64</v>
      </c>
      <c r="AG658" s="6"/>
      <c r="AH658" s="7">
        <v>0.9412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>
        <v>426</v>
      </c>
      <c r="BK658" s="8">
        <v>9634.81</v>
      </c>
      <c r="BL658" s="2" t="s">
        <v>2619</v>
      </c>
      <c r="BM658" s="7"/>
      <c r="BN658" s="7"/>
      <c r="BO658" s="4"/>
      <c r="BP658" s="8"/>
      <c r="BQ658" s="4"/>
      <c r="BR658" s="8"/>
      <c r="BS658" s="7"/>
      <c r="BT658" s="7"/>
      <c r="BU658" s="2" t="s">
        <v>2528</v>
      </c>
      <c r="BV658" s="2" t="s">
        <v>97</v>
      </c>
      <c r="BW658" s="2" t="s">
        <v>100</v>
      </c>
      <c r="BX658" s="2" t="s">
        <v>100</v>
      </c>
      <c r="BY658" s="2" t="s">
        <v>113</v>
      </c>
      <c r="BZ658" s="2" t="s">
        <v>100</v>
      </c>
    </row>
    <row r="659">
      <c r="A659" s="2" t="s">
        <v>2620</v>
      </c>
      <c r="B659" s="2" t="s">
        <v>87</v>
      </c>
      <c r="C659" s="2" t="s">
        <v>2611</v>
      </c>
      <c r="D659" s="2" t="s">
        <v>1857</v>
      </c>
      <c r="E659" s="2" t="s">
        <v>2427</v>
      </c>
      <c r="F659" s="2" t="s">
        <v>2621</v>
      </c>
      <c r="G659" s="2" t="s">
        <v>2621</v>
      </c>
      <c r="H659" s="2" t="s">
        <v>2621</v>
      </c>
      <c r="I659" s="2" t="s">
        <v>2430</v>
      </c>
      <c r="J659" s="2" t="s">
        <v>2430</v>
      </c>
      <c r="K659" s="2" t="s">
        <v>118</v>
      </c>
      <c r="L659" s="3">
        <v>21.5</v>
      </c>
      <c r="M659" s="3">
        <v>22.57</v>
      </c>
      <c r="N659" s="3">
        <v>42.99</v>
      </c>
      <c r="O659" s="2" t="s">
        <v>97</v>
      </c>
      <c r="P659" s="2" t="s">
        <v>950</v>
      </c>
      <c r="Q659" s="2" t="s">
        <v>99</v>
      </c>
      <c r="R659" s="2" t="s">
        <v>100</v>
      </c>
      <c r="S659" s="2" t="s">
        <v>2622</v>
      </c>
      <c r="T659" s="2" t="s">
        <v>100</v>
      </c>
      <c r="U659" s="2" t="s">
        <v>100</v>
      </c>
      <c r="V659" s="2" t="s">
        <v>146</v>
      </c>
      <c r="W659" s="2" t="s">
        <v>239</v>
      </c>
      <c r="X659" s="2" t="s">
        <v>219</v>
      </c>
      <c r="Y659" s="2" t="s">
        <v>240</v>
      </c>
      <c r="Z659" s="4">
        <v>129</v>
      </c>
      <c r="AA659" s="4">
        <f>=ROUNDDOWN(24.8076923076923,0)</f>
      </c>
      <c r="AB659" s="5">
        <v>5.2</v>
      </c>
      <c r="AC659" s="2" t="s">
        <v>100</v>
      </c>
      <c r="AD659" s="4"/>
      <c r="AE659" s="4"/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>
        <v>155</v>
      </c>
      <c r="BK659" s="8">
        <v>3598.11</v>
      </c>
      <c r="BL659" s="2" t="s">
        <v>2623</v>
      </c>
      <c r="BM659" s="7"/>
      <c r="BN659" s="7"/>
      <c r="BO659" s="4"/>
      <c r="BP659" s="8"/>
      <c r="BQ659" s="4"/>
      <c r="BR659" s="8"/>
      <c r="BS659" s="7"/>
      <c r="BT659" s="7"/>
      <c r="BU659" s="2" t="s">
        <v>2528</v>
      </c>
      <c r="BV659" s="2" t="s">
        <v>97</v>
      </c>
      <c r="BW659" s="2" t="s">
        <v>100</v>
      </c>
      <c r="BX659" s="2" t="s">
        <v>100</v>
      </c>
      <c r="BY659" s="2" t="s">
        <v>113</v>
      </c>
      <c r="BZ659" s="2" t="s">
        <v>100</v>
      </c>
    </row>
    <row r="660">
      <c r="A660" s="2" t="s">
        <v>2624</v>
      </c>
      <c r="B660" s="2" t="s">
        <v>87</v>
      </c>
      <c r="C660" s="2" t="s">
        <v>2611</v>
      </c>
      <c r="D660" s="2" t="s">
        <v>803</v>
      </c>
      <c r="E660" s="2" t="s">
        <v>804</v>
      </c>
      <c r="F660" s="2" t="s">
        <v>2625</v>
      </c>
      <c r="G660" s="2" t="s">
        <v>2625</v>
      </c>
      <c r="H660" s="2" t="s">
        <v>2625</v>
      </c>
      <c r="I660" s="2" t="s">
        <v>2626</v>
      </c>
      <c r="J660" s="2" t="s">
        <v>247</v>
      </c>
      <c r="K660" s="2" t="s">
        <v>629</v>
      </c>
      <c r="L660" s="3">
        <v>103.4</v>
      </c>
      <c r="M660" s="3">
        <v>108.57</v>
      </c>
      <c r="N660" s="3">
        <v>229.99</v>
      </c>
      <c r="O660" s="2" t="s">
        <v>97</v>
      </c>
      <c r="P660" s="2" t="s">
        <v>372</v>
      </c>
      <c r="Q660" s="2" t="s">
        <v>99</v>
      </c>
      <c r="R660" s="2" t="s">
        <v>100</v>
      </c>
      <c r="S660" s="2" t="s">
        <v>2627</v>
      </c>
      <c r="T660" s="2" t="s">
        <v>100</v>
      </c>
      <c r="U660" s="2" t="s">
        <v>100</v>
      </c>
      <c r="V660" s="2" t="s">
        <v>350</v>
      </c>
      <c r="W660" s="2" t="s">
        <v>219</v>
      </c>
      <c r="X660" s="2" t="s">
        <v>239</v>
      </c>
      <c r="Y660" s="2" t="s">
        <v>2628</v>
      </c>
      <c r="Z660" s="4">
        <v>91</v>
      </c>
      <c r="AA660" s="4">
        <f>=ROUNDDOWN(7,0)</f>
      </c>
      <c r="AB660" s="5">
        <v>13</v>
      </c>
      <c r="AC660" s="2" t="s">
        <v>266</v>
      </c>
      <c r="AD660" s="4">
        <v>170</v>
      </c>
      <c r="AE660" s="4">
        <v>430</v>
      </c>
      <c r="AF660" s="6">
        <v>69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>
        <v>328</v>
      </c>
      <c r="BK660" s="8">
        <v>36671.7</v>
      </c>
      <c r="BL660" s="2" t="s">
        <v>2629</v>
      </c>
      <c r="BM660" s="7"/>
      <c r="BN660" s="7"/>
      <c r="BO660" s="4"/>
      <c r="BP660" s="8"/>
      <c r="BQ660" s="4"/>
      <c r="BR660" s="8"/>
      <c r="BS660" s="7"/>
      <c r="BT660" s="7"/>
      <c r="BU660" s="2" t="s">
        <v>2528</v>
      </c>
      <c r="BV660" s="2" t="s">
        <v>97</v>
      </c>
      <c r="BW660" s="2" t="s">
        <v>100</v>
      </c>
      <c r="BX660" s="2" t="s">
        <v>100</v>
      </c>
      <c r="BY660" s="2" t="s">
        <v>113</v>
      </c>
      <c r="BZ660" s="2" t="s">
        <v>100</v>
      </c>
    </row>
    <row r="661">
      <c r="A661" s="2" t="s">
        <v>2630</v>
      </c>
      <c r="B661" s="2" t="s">
        <v>87</v>
      </c>
      <c r="C661" s="2" t="s">
        <v>2611</v>
      </c>
      <c r="D661" s="2" t="s">
        <v>803</v>
      </c>
      <c r="E661" s="2" t="s">
        <v>804</v>
      </c>
      <c r="F661" s="2" t="s">
        <v>2612</v>
      </c>
      <c r="G661" s="2" t="s">
        <v>2612</v>
      </c>
      <c r="H661" s="2" t="s">
        <v>2612</v>
      </c>
      <c r="I661" s="2" t="s">
        <v>2631</v>
      </c>
      <c r="J661" s="2" t="s">
        <v>1936</v>
      </c>
      <c r="K661" s="2" t="s">
        <v>96</v>
      </c>
      <c r="L661" s="3">
        <v>80</v>
      </c>
      <c r="M661" s="3">
        <v>83.99</v>
      </c>
      <c r="N661" s="3">
        <v>174.99</v>
      </c>
      <c r="O661" s="2" t="s">
        <v>97</v>
      </c>
      <c r="P661" s="2" t="s">
        <v>950</v>
      </c>
      <c r="Q661" s="2" t="s">
        <v>99</v>
      </c>
      <c r="R661" s="2" t="s">
        <v>100</v>
      </c>
      <c r="S661" s="2" t="s">
        <v>2613</v>
      </c>
      <c r="T661" s="2" t="s">
        <v>100</v>
      </c>
      <c r="U661" s="2" t="s">
        <v>100</v>
      </c>
      <c r="V661" s="2" t="s">
        <v>239</v>
      </c>
      <c r="W661" s="2" t="s">
        <v>239</v>
      </c>
      <c r="X661" s="2" t="s">
        <v>219</v>
      </c>
      <c r="Y661" s="2" t="s">
        <v>240</v>
      </c>
      <c r="Z661" s="4">
        <v>69</v>
      </c>
      <c r="AA661" s="4">
        <f>=ROUNDDOWN(53.0769230769231,0)</f>
      </c>
      <c r="AB661" s="5">
        <v>1.3</v>
      </c>
      <c r="AC661" s="2" t="s">
        <v>100</v>
      </c>
      <c r="AD661" s="4"/>
      <c r="AE661" s="4"/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/>
      <c r="BJ661" s="4">
        <v>27</v>
      </c>
      <c r="BK661" s="8">
        <v>2256.26</v>
      </c>
      <c r="BL661" s="2" t="s">
        <v>2632</v>
      </c>
      <c r="BM661" s="7"/>
      <c r="BN661" s="7"/>
      <c r="BO661" s="4"/>
      <c r="BP661" s="8"/>
      <c r="BQ661" s="4"/>
      <c r="BR661" s="8"/>
      <c r="BS661" s="7"/>
      <c r="BT661" s="7"/>
      <c r="BU661" s="2" t="s">
        <v>2528</v>
      </c>
      <c r="BV661" s="2" t="s">
        <v>97</v>
      </c>
      <c r="BW661" s="2" t="s">
        <v>100</v>
      </c>
      <c r="BX661" s="2" t="s">
        <v>100</v>
      </c>
      <c r="BY661" s="2" t="s">
        <v>113</v>
      </c>
      <c r="BZ661" s="2" t="s">
        <v>100</v>
      </c>
    </row>
    <row r="662">
      <c r="A662" s="2" t="s">
        <v>2633</v>
      </c>
      <c r="B662" s="2" t="s">
        <v>87</v>
      </c>
      <c r="C662" s="2" t="s">
        <v>2611</v>
      </c>
      <c r="D662" s="2" t="s">
        <v>803</v>
      </c>
      <c r="E662" s="2" t="s">
        <v>804</v>
      </c>
      <c r="F662" s="2" t="s">
        <v>2612</v>
      </c>
      <c r="G662" s="2" t="s">
        <v>2612</v>
      </c>
      <c r="H662" s="2" t="s">
        <v>2612</v>
      </c>
      <c r="I662" s="2" t="s">
        <v>2631</v>
      </c>
      <c r="J662" s="2" t="s">
        <v>717</v>
      </c>
      <c r="K662" s="2" t="s">
        <v>96</v>
      </c>
      <c r="L662" s="3">
        <v>95</v>
      </c>
      <c r="M662" s="3">
        <v>99.74</v>
      </c>
      <c r="N662" s="3">
        <v>204.99</v>
      </c>
      <c r="O662" s="2" t="s">
        <v>97</v>
      </c>
      <c r="P662" s="2" t="s">
        <v>950</v>
      </c>
      <c r="Q662" s="2" t="s">
        <v>99</v>
      </c>
      <c r="R662" s="2" t="s">
        <v>100</v>
      </c>
      <c r="S662" s="2" t="s">
        <v>2613</v>
      </c>
      <c r="T662" s="2" t="s">
        <v>100</v>
      </c>
      <c r="U662" s="2" t="s">
        <v>100</v>
      </c>
      <c r="V662" s="2" t="s">
        <v>239</v>
      </c>
      <c r="W662" s="2" t="s">
        <v>239</v>
      </c>
      <c r="X662" s="2" t="s">
        <v>219</v>
      </c>
      <c r="Y662" s="2" t="s">
        <v>240</v>
      </c>
      <c r="Z662" s="4">
        <v>133</v>
      </c>
      <c r="AA662" s="4">
        <f>=ROUNDDOWN(102.307692307692,0)</f>
      </c>
      <c r="AB662" s="5">
        <v>1.3</v>
      </c>
      <c r="AC662" s="2" t="s">
        <v>356</v>
      </c>
      <c r="AD662" s="4">
        <v>270</v>
      </c>
      <c r="AE662" s="4">
        <v>270</v>
      </c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/>
      <c r="BJ662" s="4">
        <v>35</v>
      </c>
      <c r="BK662" s="8">
        <v>3516.66</v>
      </c>
      <c r="BL662" s="2" t="s">
        <v>2634</v>
      </c>
      <c r="BM662" s="7"/>
      <c r="BN662" s="7"/>
      <c r="BO662" s="4"/>
      <c r="BP662" s="8"/>
      <c r="BQ662" s="4"/>
      <c r="BR662" s="8"/>
      <c r="BS662" s="7"/>
      <c r="BT662" s="7"/>
      <c r="BU662" s="2" t="s">
        <v>2528</v>
      </c>
      <c r="BV662" s="2" t="s">
        <v>97</v>
      </c>
      <c r="BW662" s="2" t="s">
        <v>100</v>
      </c>
      <c r="BX662" s="2" t="s">
        <v>100</v>
      </c>
      <c r="BY662" s="2" t="s">
        <v>113</v>
      </c>
      <c r="BZ662" s="2" t="s">
        <v>100</v>
      </c>
    </row>
    <row r="663">
      <c r="A663" s="2" t="s">
        <v>2635</v>
      </c>
      <c r="B663" s="2" t="s">
        <v>87</v>
      </c>
      <c r="C663" s="2" t="s">
        <v>2611</v>
      </c>
      <c r="D663" s="2" t="s">
        <v>803</v>
      </c>
      <c r="E663" s="2" t="s">
        <v>804</v>
      </c>
      <c r="F663" s="2" t="s">
        <v>2612</v>
      </c>
      <c r="G663" s="2" t="s">
        <v>2612</v>
      </c>
      <c r="H663" s="2" t="s">
        <v>2612</v>
      </c>
      <c r="I663" s="2" t="s">
        <v>2631</v>
      </c>
      <c r="J663" s="2" t="s">
        <v>706</v>
      </c>
      <c r="K663" s="2" t="s">
        <v>96</v>
      </c>
      <c r="L663" s="3">
        <v>100</v>
      </c>
      <c r="M663" s="3">
        <v>104.99</v>
      </c>
      <c r="N663" s="3">
        <v>214.99</v>
      </c>
      <c r="O663" s="2" t="s">
        <v>97</v>
      </c>
      <c r="P663" s="2" t="s">
        <v>950</v>
      </c>
      <c r="Q663" s="2" t="s">
        <v>99</v>
      </c>
      <c r="R663" s="2" t="s">
        <v>100</v>
      </c>
      <c r="S663" s="2" t="s">
        <v>2613</v>
      </c>
      <c r="T663" s="2" t="s">
        <v>100</v>
      </c>
      <c r="U663" s="2" t="s">
        <v>100</v>
      </c>
      <c r="V663" s="2" t="s">
        <v>239</v>
      </c>
      <c r="W663" s="2" t="s">
        <v>239</v>
      </c>
      <c r="X663" s="2" t="s">
        <v>219</v>
      </c>
      <c r="Y663" s="2" t="s">
        <v>240</v>
      </c>
      <c r="Z663" s="4">
        <v>220</v>
      </c>
      <c r="AA663" s="4">
        <f>=ROUNDDOWN(37.9310344827586,0)</f>
      </c>
      <c r="AB663" s="5">
        <v>5.8</v>
      </c>
      <c r="AC663" s="2" t="s">
        <v>356</v>
      </c>
      <c r="AD663" s="4">
        <v>240</v>
      </c>
      <c r="AE663" s="4">
        <v>240</v>
      </c>
      <c r="AF663" s="6">
        <v>68</v>
      </c>
      <c r="AG663" s="6"/>
      <c r="AH663" s="7">
        <v>0.8182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/>
      <c r="BJ663" s="4">
        <v>99</v>
      </c>
      <c r="BK663" s="8">
        <v>10652.67</v>
      </c>
      <c r="BL663" s="2" t="s">
        <v>2636</v>
      </c>
      <c r="BM663" s="7"/>
      <c r="BN663" s="7"/>
      <c r="BO663" s="4"/>
      <c r="BP663" s="8"/>
      <c r="BQ663" s="4"/>
      <c r="BR663" s="8"/>
      <c r="BS663" s="7"/>
      <c r="BT663" s="7"/>
      <c r="BU663" s="2" t="s">
        <v>2528</v>
      </c>
      <c r="BV663" s="2" t="s">
        <v>97</v>
      </c>
      <c r="BW663" s="2" t="s">
        <v>100</v>
      </c>
      <c r="BX663" s="2" t="s">
        <v>100</v>
      </c>
      <c r="BY663" s="2" t="s">
        <v>113</v>
      </c>
      <c r="BZ663" s="2" t="s">
        <v>100</v>
      </c>
    </row>
    <row r="664">
      <c r="A664" s="2" t="s">
        <v>2637</v>
      </c>
      <c r="B664" s="2" t="s">
        <v>87</v>
      </c>
      <c r="C664" s="2" t="s">
        <v>2611</v>
      </c>
      <c r="D664" s="2" t="s">
        <v>803</v>
      </c>
      <c r="E664" s="2" t="s">
        <v>804</v>
      </c>
      <c r="F664" s="2" t="s">
        <v>2612</v>
      </c>
      <c r="G664" s="2" t="s">
        <v>2612</v>
      </c>
      <c r="H664" s="2" t="s">
        <v>2612</v>
      </c>
      <c r="I664" s="2" t="s">
        <v>2631</v>
      </c>
      <c r="J664" s="2" t="s">
        <v>714</v>
      </c>
      <c r="K664" s="2" t="s">
        <v>96</v>
      </c>
      <c r="L664" s="3">
        <v>110</v>
      </c>
      <c r="M664" s="3">
        <v>115.49</v>
      </c>
      <c r="N664" s="3">
        <v>234.99</v>
      </c>
      <c r="O664" s="2" t="s">
        <v>97</v>
      </c>
      <c r="P664" s="2" t="s">
        <v>950</v>
      </c>
      <c r="Q664" s="2" t="s">
        <v>99</v>
      </c>
      <c r="R664" s="2" t="s">
        <v>100</v>
      </c>
      <c r="S664" s="2" t="s">
        <v>2613</v>
      </c>
      <c r="T664" s="2" t="s">
        <v>100</v>
      </c>
      <c r="U664" s="2" t="s">
        <v>100</v>
      </c>
      <c r="V664" s="2" t="s">
        <v>239</v>
      </c>
      <c r="W664" s="2" t="s">
        <v>239</v>
      </c>
      <c r="X664" s="2" t="s">
        <v>219</v>
      </c>
      <c r="Y664" s="2" t="s">
        <v>240</v>
      </c>
      <c r="Z664" s="4">
        <v>287</v>
      </c>
      <c r="AA664" s="4">
        <f>=ROUNDDOWN(59.7916666666667,0)</f>
      </c>
      <c r="AB664" s="5">
        <v>4.8</v>
      </c>
      <c r="AC664" s="2" t="s">
        <v>356</v>
      </c>
      <c r="AD664" s="4">
        <v>240</v>
      </c>
      <c r="AE664" s="4">
        <v>240</v>
      </c>
      <c r="AF664" s="6">
        <v>68</v>
      </c>
      <c r="AG664" s="6"/>
      <c r="AH664" s="7">
        <v>0.8182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/>
      <c r="BJ664" s="4">
        <v>106</v>
      </c>
      <c r="BK664" s="8">
        <v>12513.49</v>
      </c>
      <c r="BL664" s="2" t="s">
        <v>2638</v>
      </c>
      <c r="BM664" s="7"/>
      <c r="BN664" s="7"/>
      <c r="BO664" s="4"/>
      <c r="BP664" s="8"/>
      <c r="BQ664" s="4"/>
      <c r="BR664" s="8"/>
      <c r="BS664" s="7"/>
      <c r="BT664" s="7"/>
      <c r="BU664" s="2" t="s">
        <v>2528</v>
      </c>
      <c r="BV664" s="2" t="s">
        <v>97</v>
      </c>
      <c r="BW664" s="2" t="s">
        <v>100</v>
      </c>
      <c r="BX664" s="2" t="s">
        <v>100</v>
      </c>
      <c r="BY664" s="2" t="s">
        <v>113</v>
      </c>
      <c r="BZ664" s="2" t="s">
        <v>100</v>
      </c>
    </row>
    <row r="665">
      <c r="A665" s="2" t="s">
        <v>2639</v>
      </c>
      <c r="B665" s="2" t="s">
        <v>87</v>
      </c>
      <c r="C665" s="2" t="s">
        <v>2611</v>
      </c>
      <c r="D665" s="2" t="s">
        <v>803</v>
      </c>
      <c r="E665" s="2" t="s">
        <v>804</v>
      </c>
      <c r="F665" s="2" t="s">
        <v>2612</v>
      </c>
      <c r="G665" s="2" t="s">
        <v>2612</v>
      </c>
      <c r="H665" s="2" t="s">
        <v>2612</v>
      </c>
      <c r="I665" s="2" t="s">
        <v>2631</v>
      </c>
      <c r="J665" s="2" t="s">
        <v>817</v>
      </c>
      <c r="K665" s="2" t="s">
        <v>96</v>
      </c>
      <c r="L665" s="3">
        <v>110</v>
      </c>
      <c r="M665" s="3">
        <v>115.49</v>
      </c>
      <c r="N665" s="3">
        <v>234.99</v>
      </c>
      <c r="O665" s="2" t="s">
        <v>97</v>
      </c>
      <c r="P665" s="2" t="s">
        <v>950</v>
      </c>
      <c r="Q665" s="2" t="s">
        <v>99</v>
      </c>
      <c r="R665" s="2" t="s">
        <v>100</v>
      </c>
      <c r="S665" s="2" t="s">
        <v>2613</v>
      </c>
      <c r="T665" s="2" t="s">
        <v>100</v>
      </c>
      <c r="U665" s="2" t="s">
        <v>100</v>
      </c>
      <c r="V665" s="2" t="s">
        <v>239</v>
      </c>
      <c r="W665" s="2" t="s">
        <v>239</v>
      </c>
      <c r="X665" s="2" t="s">
        <v>219</v>
      </c>
      <c r="Y665" s="2" t="s">
        <v>240</v>
      </c>
      <c r="Z665" s="4">
        <v>131</v>
      </c>
      <c r="AA665" s="4">
        <f>=ROUNDDOWN(62.3809523809524,0)</f>
      </c>
      <c r="AB665" s="5">
        <v>2.1</v>
      </c>
      <c r="AC665" s="2" t="s">
        <v>356</v>
      </c>
      <c r="AD665" s="4">
        <v>120</v>
      </c>
      <c r="AE665" s="4">
        <v>120</v>
      </c>
      <c r="AF665" s="6">
        <v>68</v>
      </c>
      <c r="AG665" s="6"/>
      <c r="AH665" s="7">
        <v>0.6952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/>
      <c r="BJ665" s="4">
        <v>34</v>
      </c>
      <c r="BK665" s="8">
        <v>3995.55</v>
      </c>
      <c r="BL665" s="2" t="s">
        <v>2640</v>
      </c>
      <c r="BM665" s="7"/>
      <c r="BN665" s="7"/>
      <c r="BO665" s="4"/>
      <c r="BP665" s="8"/>
      <c r="BQ665" s="4"/>
      <c r="BR665" s="8"/>
      <c r="BS665" s="7"/>
      <c r="BT665" s="7"/>
      <c r="BU665" s="2" t="s">
        <v>2528</v>
      </c>
      <c r="BV665" s="2" t="s">
        <v>97</v>
      </c>
      <c r="BW665" s="2" t="s">
        <v>100</v>
      </c>
      <c r="BX665" s="2" t="s">
        <v>100</v>
      </c>
      <c r="BY665" s="2" t="s">
        <v>113</v>
      </c>
      <c r="BZ665" s="2" t="s">
        <v>100</v>
      </c>
    </row>
    <row r="666">
      <c r="A666" s="2" t="s">
        <v>2641</v>
      </c>
      <c r="B666" s="2" t="s">
        <v>87</v>
      </c>
      <c r="C666" s="2" t="s">
        <v>2611</v>
      </c>
      <c r="D666" s="2" t="s">
        <v>803</v>
      </c>
      <c r="E666" s="2" t="s">
        <v>804</v>
      </c>
      <c r="F666" s="2" t="s">
        <v>2616</v>
      </c>
      <c r="G666" s="2" t="s">
        <v>2616</v>
      </c>
      <c r="H666" s="2" t="s">
        <v>2616</v>
      </c>
      <c r="I666" s="2" t="s">
        <v>2559</v>
      </c>
      <c r="J666" s="2" t="s">
        <v>706</v>
      </c>
      <c r="K666" s="2" t="s">
        <v>189</v>
      </c>
      <c r="L666" s="3">
        <v>110</v>
      </c>
      <c r="M666" s="3">
        <v>115.49</v>
      </c>
      <c r="N666" s="3">
        <v>229.99</v>
      </c>
      <c r="O666" s="2" t="s">
        <v>97</v>
      </c>
      <c r="P666" s="2" t="s">
        <v>950</v>
      </c>
      <c r="Q666" s="2" t="s">
        <v>99</v>
      </c>
      <c r="R666" s="2" t="s">
        <v>100</v>
      </c>
      <c r="S666" s="2" t="s">
        <v>2617</v>
      </c>
      <c r="T666" s="2" t="s">
        <v>100</v>
      </c>
      <c r="U666" s="2" t="s">
        <v>100</v>
      </c>
      <c r="V666" s="2" t="s">
        <v>239</v>
      </c>
      <c r="W666" s="2" t="s">
        <v>239</v>
      </c>
      <c r="X666" s="2" t="s">
        <v>219</v>
      </c>
      <c r="Y666" s="2" t="s">
        <v>240</v>
      </c>
      <c r="Z666" s="4">
        <v>200</v>
      </c>
      <c r="AA666" s="4">
        <f>=ROUNDDOWN(31.25,0)</f>
      </c>
      <c r="AB666" s="5">
        <v>6.4</v>
      </c>
      <c r="AC666" s="2" t="s">
        <v>2618</v>
      </c>
      <c r="AD666" s="4">
        <v>50</v>
      </c>
      <c r="AE666" s="4">
        <v>90</v>
      </c>
      <c r="AF666" s="6">
        <v>64</v>
      </c>
      <c r="AG666" s="6"/>
      <c r="AH666" s="7">
        <v>0.9626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/>
      <c r="BJ666" s="4">
        <v>172</v>
      </c>
      <c r="BK666" s="8">
        <v>19288.07</v>
      </c>
      <c r="BL666" s="2" t="s">
        <v>2642</v>
      </c>
      <c r="BM666" s="7"/>
      <c r="BN666" s="7"/>
      <c r="BO666" s="4"/>
      <c r="BP666" s="8"/>
      <c r="BQ666" s="4"/>
      <c r="BR666" s="8"/>
      <c r="BS666" s="7"/>
      <c r="BT666" s="7"/>
      <c r="BU666" s="2" t="s">
        <v>2528</v>
      </c>
      <c r="BV666" s="2" t="s">
        <v>97</v>
      </c>
      <c r="BW666" s="2" t="s">
        <v>100</v>
      </c>
      <c r="BX666" s="2" t="s">
        <v>100</v>
      </c>
      <c r="BY666" s="2" t="s">
        <v>113</v>
      </c>
      <c r="BZ666" s="2" t="s">
        <v>100</v>
      </c>
    </row>
    <row r="667">
      <c r="A667" s="2" t="s">
        <v>2643</v>
      </c>
      <c r="B667" s="2" t="s">
        <v>87</v>
      </c>
      <c r="C667" s="2" t="s">
        <v>2611</v>
      </c>
      <c r="D667" s="2" t="s">
        <v>803</v>
      </c>
      <c r="E667" s="2" t="s">
        <v>804</v>
      </c>
      <c r="F667" s="2" t="s">
        <v>2616</v>
      </c>
      <c r="G667" s="2" t="s">
        <v>2616</v>
      </c>
      <c r="H667" s="2" t="s">
        <v>2616</v>
      </c>
      <c r="I667" s="2" t="s">
        <v>2559</v>
      </c>
      <c r="J667" s="2" t="s">
        <v>714</v>
      </c>
      <c r="K667" s="2" t="s">
        <v>189</v>
      </c>
      <c r="L667" s="3">
        <v>125</v>
      </c>
      <c r="M667" s="3">
        <v>131.24</v>
      </c>
      <c r="N667" s="3">
        <v>259.99</v>
      </c>
      <c r="O667" s="2" t="s">
        <v>97</v>
      </c>
      <c r="P667" s="2" t="s">
        <v>950</v>
      </c>
      <c r="Q667" s="2" t="s">
        <v>99</v>
      </c>
      <c r="R667" s="2" t="s">
        <v>100</v>
      </c>
      <c r="S667" s="2" t="s">
        <v>2617</v>
      </c>
      <c r="T667" s="2" t="s">
        <v>100</v>
      </c>
      <c r="U667" s="2" t="s">
        <v>100</v>
      </c>
      <c r="V667" s="2" t="s">
        <v>239</v>
      </c>
      <c r="W667" s="2" t="s">
        <v>239</v>
      </c>
      <c r="X667" s="2" t="s">
        <v>219</v>
      </c>
      <c r="Y667" s="2" t="s">
        <v>240</v>
      </c>
      <c r="Z667" s="4"/>
      <c r="AA667" s="4">
        <f>=ROUNDDOWN({0},0)</f>
      </c>
      <c r="AB667" s="5">
        <v>7.6</v>
      </c>
      <c r="AC667" s="2" t="s">
        <v>2618</v>
      </c>
      <c r="AD667" s="4">
        <v>200</v>
      </c>
      <c r="AE667" s="4">
        <v>240</v>
      </c>
      <c r="AF667" s="6">
        <v>64</v>
      </c>
      <c r="AG667" s="6"/>
      <c r="AH667" s="7">
        <v>0.9626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/>
      <c r="BJ667" s="4">
        <v>178</v>
      </c>
      <c r="BK667" s="8">
        <v>22889.6</v>
      </c>
      <c r="BL667" s="2" t="s">
        <v>2644</v>
      </c>
      <c r="BM667" s="7"/>
      <c r="BN667" s="7"/>
      <c r="BO667" s="4"/>
      <c r="BP667" s="8"/>
      <c r="BQ667" s="4"/>
      <c r="BR667" s="8"/>
      <c r="BS667" s="7"/>
      <c r="BT667" s="7"/>
      <c r="BU667" s="2" t="s">
        <v>2528</v>
      </c>
      <c r="BV667" s="2" t="s">
        <v>97</v>
      </c>
      <c r="BW667" s="2" t="s">
        <v>100</v>
      </c>
      <c r="BX667" s="2" t="s">
        <v>100</v>
      </c>
      <c r="BY667" s="2" t="s">
        <v>113</v>
      </c>
      <c r="BZ667" s="2" t="s">
        <v>100</v>
      </c>
    </row>
    <row r="668">
      <c r="A668" s="2" t="s">
        <v>2645</v>
      </c>
      <c r="B668" s="2" t="s">
        <v>87</v>
      </c>
      <c r="C668" s="2" t="s">
        <v>2611</v>
      </c>
      <c r="D668" s="2" t="s">
        <v>803</v>
      </c>
      <c r="E668" s="2" t="s">
        <v>804</v>
      </c>
      <c r="F668" s="2" t="s">
        <v>2616</v>
      </c>
      <c r="G668" s="2" t="s">
        <v>2616</v>
      </c>
      <c r="H668" s="2" t="s">
        <v>2616</v>
      </c>
      <c r="I668" s="2" t="s">
        <v>2559</v>
      </c>
      <c r="J668" s="2" t="s">
        <v>817</v>
      </c>
      <c r="K668" s="2" t="s">
        <v>189</v>
      </c>
      <c r="L668" s="3">
        <v>125</v>
      </c>
      <c r="M668" s="3">
        <v>131.24</v>
      </c>
      <c r="N668" s="3">
        <v>259.99</v>
      </c>
      <c r="O668" s="2" t="s">
        <v>97</v>
      </c>
      <c r="P668" s="2" t="s">
        <v>950</v>
      </c>
      <c r="Q668" s="2" t="s">
        <v>99</v>
      </c>
      <c r="R668" s="2" t="s">
        <v>100</v>
      </c>
      <c r="S668" s="2" t="s">
        <v>2617</v>
      </c>
      <c r="T668" s="2" t="s">
        <v>100</v>
      </c>
      <c r="U668" s="2" t="s">
        <v>402</v>
      </c>
      <c r="V668" s="2" t="s">
        <v>239</v>
      </c>
      <c r="W668" s="2" t="s">
        <v>239</v>
      </c>
      <c r="X668" s="2" t="s">
        <v>219</v>
      </c>
      <c r="Y668" s="2" t="s">
        <v>240</v>
      </c>
      <c r="Z668" s="4">
        <v>27</v>
      </c>
      <c r="AA668" s="4">
        <f>=ROUNDDOWN(14.2105263157895,0)</f>
      </c>
      <c r="AB668" s="5">
        <v>1.9</v>
      </c>
      <c r="AC668" s="2" t="s">
        <v>2618</v>
      </c>
      <c r="AD668" s="4">
        <v>50</v>
      </c>
      <c r="AE668" s="4">
        <v>50</v>
      </c>
      <c r="AF668" s="6">
        <v>64</v>
      </c>
      <c r="AG668" s="6"/>
      <c r="AH668" s="7">
        <v>0.8182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/>
      <c r="BJ668" s="4">
        <v>40</v>
      </c>
      <c r="BK668" s="8">
        <v>5151.97</v>
      </c>
      <c r="BL668" s="2" t="s">
        <v>2646</v>
      </c>
      <c r="BM668" s="7"/>
      <c r="BN668" s="7"/>
      <c r="BO668" s="4"/>
      <c r="BP668" s="8"/>
      <c r="BQ668" s="4"/>
      <c r="BR668" s="8"/>
      <c r="BS668" s="7"/>
      <c r="BT668" s="7"/>
      <c r="BU668" s="2" t="s">
        <v>2528</v>
      </c>
      <c r="BV668" s="2" t="s">
        <v>97</v>
      </c>
      <c r="BW668" s="2" t="s">
        <v>100</v>
      </c>
      <c r="BX668" s="2" t="s">
        <v>100</v>
      </c>
      <c r="BY668" s="2" t="s">
        <v>113</v>
      </c>
      <c r="BZ668" s="2" t="s">
        <v>100</v>
      </c>
    </row>
    <row r="669">
      <c r="A669" s="2" t="s">
        <v>2647</v>
      </c>
      <c r="B669" s="2" t="s">
        <v>87</v>
      </c>
      <c r="C669" s="2" t="s">
        <v>2611</v>
      </c>
      <c r="D669" s="2" t="s">
        <v>803</v>
      </c>
      <c r="E669" s="2" t="s">
        <v>804</v>
      </c>
      <c r="F669" s="2" t="s">
        <v>2648</v>
      </c>
      <c r="G669" s="2" t="s">
        <v>2648</v>
      </c>
      <c r="H669" s="2" t="s">
        <v>2648</v>
      </c>
      <c r="I669" s="2" t="s">
        <v>2649</v>
      </c>
      <c r="J669" s="2" t="s">
        <v>717</v>
      </c>
      <c r="K669" s="2" t="s">
        <v>198</v>
      </c>
      <c r="L669" s="3">
        <v>93.31</v>
      </c>
      <c r="M669" s="3">
        <v>97.98</v>
      </c>
      <c r="N669" s="3">
        <v>204.99</v>
      </c>
      <c r="O669" s="2" t="s">
        <v>97</v>
      </c>
      <c r="P669" s="2" t="s">
        <v>950</v>
      </c>
      <c r="Q669" s="2" t="s">
        <v>99</v>
      </c>
      <c r="R669" s="2" t="s">
        <v>100</v>
      </c>
      <c r="S669" s="2" t="s">
        <v>2650</v>
      </c>
      <c r="T669" s="2" t="s">
        <v>100</v>
      </c>
      <c r="U669" s="2" t="s">
        <v>102</v>
      </c>
      <c r="V669" s="2" t="s">
        <v>489</v>
      </c>
      <c r="W669" s="2" t="s">
        <v>309</v>
      </c>
      <c r="X669" s="2" t="s">
        <v>219</v>
      </c>
      <c r="Y669" s="2" t="s">
        <v>2628</v>
      </c>
      <c r="Z669" s="4">
        <v>113</v>
      </c>
      <c r="AA669" s="4">
        <f>=ROUNDDOWN(113,0)</f>
      </c>
      <c r="AB669" s="5">
        <v>1</v>
      </c>
      <c r="AC669" s="2" t="s">
        <v>271</v>
      </c>
      <c r="AD669" s="4">
        <v>45</v>
      </c>
      <c r="AE669" s="4">
        <v>45</v>
      </c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/>
      <c r="BJ669" s="4">
        <v>25</v>
      </c>
      <c r="BK669" s="8">
        <v>2504.4</v>
      </c>
      <c r="BL669" s="2" t="s">
        <v>2651</v>
      </c>
      <c r="BM669" s="7"/>
      <c r="BN669" s="7"/>
      <c r="BO669" s="4"/>
      <c r="BP669" s="8"/>
      <c r="BQ669" s="4"/>
      <c r="BR669" s="8"/>
      <c r="BS669" s="7"/>
      <c r="BT669" s="7"/>
      <c r="BU669" s="2" t="s">
        <v>2528</v>
      </c>
      <c r="BV669" s="2" t="s">
        <v>97</v>
      </c>
      <c r="BW669" s="2" t="s">
        <v>100</v>
      </c>
      <c r="BX669" s="2" t="s">
        <v>100</v>
      </c>
      <c r="BY669" s="2" t="s">
        <v>113</v>
      </c>
      <c r="BZ669" s="2" t="s">
        <v>100</v>
      </c>
    </row>
    <row r="670">
      <c r="A670" s="2" t="s">
        <v>2652</v>
      </c>
      <c r="B670" s="2" t="s">
        <v>87</v>
      </c>
      <c r="C670" s="2" t="s">
        <v>2611</v>
      </c>
      <c r="D670" s="2" t="s">
        <v>803</v>
      </c>
      <c r="E670" s="2" t="s">
        <v>804</v>
      </c>
      <c r="F670" s="2" t="s">
        <v>2648</v>
      </c>
      <c r="G670" s="2" t="s">
        <v>2648</v>
      </c>
      <c r="H670" s="2" t="s">
        <v>2648</v>
      </c>
      <c r="I670" s="2" t="s">
        <v>2649</v>
      </c>
      <c r="J670" s="2" t="s">
        <v>706</v>
      </c>
      <c r="K670" s="2" t="s">
        <v>198</v>
      </c>
      <c r="L670" s="3">
        <v>103.67</v>
      </c>
      <c r="M670" s="3">
        <v>108.85</v>
      </c>
      <c r="N670" s="3">
        <v>224.99</v>
      </c>
      <c r="O670" s="2" t="s">
        <v>97</v>
      </c>
      <c r="P670" s="2" t="s">
        <v>950</v>
      </c>
      <c r="Q670" s="2" t="s">
        <v>99</v>
      </c>
      <c r="R670" s="2" t="s">
        <v>100</v>
      </c>
      <c r="S670" s="2" t="s">
        <v>2650</v>
      </c>
      <c r="T670" s="2" t="s">
        <v>100</v>
      </c>
      <c r="U670" s="2" t="s">
        <v>102</v>
      </c>
      <c r="V670" s="2" t="s">
        <v>489</v>
      </c>
      <c r="W670" s="2" t="s">
        <v>309</v>
      </c>
      <c r="X670" s="2" t="s">
        <v>219</v>
      </c>
      <c r="Y670" s="2" t="s">
        <v>2628</v>
      </c>
      <c r="Z670" s="4">
        <v>116</v>
      </c>
      <c r="AA670" s="4">
        <f>=ROUNDDOWN(50.4347826086956,0)</f>
      </c>
      <c r="AB670" s="5">
        <v>2.3</v>
      </c>
      <c r="AC670" s="2" t="s">
        <v>997</v>
      </c>
      <c r="AD670" s="4">
        <v>95</v>
      </c>
      <c r="AE670" s="4">
        <v>95</v>
      </c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/>
      <c r="BJ670" s="4">
        <v>58</v>
      </c>
      <c r="BK670" s="8">
        <v>6439.14</v>
      </c>
      <c r="BL670" s="2" t="s">
        <v>2653</v>
      </c>
      <c r="BM670" s="7"/>
      <c r="BN670" s="7"/>
      <c r="BO670" s="4"/>
      <c r="BP670" s="8"/>
      <c r="BQ670" s="4"/>
      <c r="BR670" s="8"/>
      <c r="BS670" s="7"/>
      <c r="BT670" s="7"/>
      <c r="BU670" s="2" t="s">
        <v>2528</v>
      </c>
      <c r="BV670" s="2" t="s">
        <v>97</v>
      </c>
      <c r="BW670" s="2" t="s">
        <v>100</v>
      </c>
      <c r="BX670" s="2" t="s">
        <v>100</v>
      </c>
      <c r="BY670" s="2" t="s">
        <v>113</v>
      </c>
      <c r="BZ670" s="2" t="s">
        <v>100</v>
      </c>
    </row>
    <row r="671">
      <c r="A671" s="2" t="s">
        <v>2654</v>
      </c>
      <c r="B671" s="2" t="s">
        <v>87</v>
      </c>
      <c r="C671" s="2" t="s">
        <v>2611</v>
      </c>
      <c r="D671" s="2" t="s">
        <v>803</v>
      </c>
      <c r="E671" s="2" t="s">
        <v>804</v>
      </c>
      <c r="F671" s="2" t="s">
        <v>2648</v>
      </c>
      <c r="G671" s="2" t="s">
        <v>2648</v>
      </c>
      <c r="H671" s="2" t="s">
        <v>2648</v>
      </c>
      <c r="I671" s="2" t="s">
        <v>2649</v>
      </c>
      <c r="J671" s="2" t="s">
        <v>714</v>
      </c>
      <c r="K671" s="2" t="s">
        <v>198</v>
      </c>
      <c r="L671" s="3">
        <v>114.04</v>
      </c>
      <c r="M671" s="3">
        <v>119.74</v>
      </c>
      <c r="N671" s="3">
        <v>244.99</v>
      </c>
      <c r="O671" s="2" t="s">
        <v>97</v>
      </c>
      <c r="P671" s="2" t="s">
        <v>950</v>
      </c>
      <c r="Q671" s="2" t="s">
        <v>99</v>
      </c>
      <c r="R671" s="2" t="s">
        <v>100</v>
      </c>
      <c r="S671" s="2" t="s">
        <v>2650</v>
      </c>
      <c r="T671" s="2" t="s">
        <v>100</v>
      </c>
      <c r="U671" s="2" t="s">
        <v>102</v>
      </c>
      <c r="V671" s="2" t="s">
        <v>489</v>
      </c>
      <c r="W671" s="2" t="s">
        <v>309</v>
      </c>
      <c r="X671" s="2" t="s">
        <v>219</v>
      </c>
      <c r="Y671" s="2" t="s">
        <v>2628</v>
      </c>
      <c r="Z671" s="4">
        <v>132</v>
      </c>
      <c r="AA671" s="4">
        <f>=ROUNDDOWN(30,0)</f>
      </c>
      <c r="AB671" s="5">
        <v>4.4</v>
      </c>
      <c r="AC671" s="2" t="s">
        <v>997</v>
      </c>
      <c r="AD671" s="4">
        <v>170</v>
      </c>
      <c r="AE671" s="4">
        <v>170</v>
      </c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/>
      <c r="BJ671" s="4">
        <v>110</v>
      </c>
      <c r="BK671" s="8">
        <v>13637.55</v>
      </c>
      <c r="BL671" s="2" t="s">
        <v>2655</v>
      </c>
      <c r="BM671" s="7"/>
      <c r="BN671" s="7"/>
      <c r="BO671" s="4"/>
      <c r="BP671" s="8"/>
      <c r="BQ671" s="4"/>
      <c r="BR671" s="8"/>
      <c r="BS671" s="7"/>
      <c r="BT671" s="7"/>
      <c r="BU671" s="2" t="s">
        <v>2528</v>
      </c>
      <c r="BV671" s="2" t="s">
        <v>97</v>
      </c>
      <c r="BW671" s="2" t="s">
        <v>100</v>
      </c>
      <c r="BX671" s="2" t="s">
        <v>100</v>
      </c>
      <c r="BY671" s="2" t="s">
        <v>113</v>
      </c>
      <c r="BZ671" s="2" t="s">
        <v>100</v>
      </c>
    </row>
    <row r="672">
      <c r="A672" s="2" t="s">
        <v>2656</v>
      </c>
      <c r="B672" s="2" t="s">
        <v>87</v>
      </c>
      <c r="C672" s="2" t="s">
        <v>2611</v>
      </c>
      <c r="D672" s="2" t="s">
        <v>803</v>
      </c>
      <c r="E672" s="2" t="s">
        <v>804</v>
      </c>
      <c r="F672" s="2" t="s">
        <v>2648</v>
      </c>
      <c r="G672" s="2" t="s">
        <v>2648</v>
      </c>
      <c r="H672" s="2" t="s">
        <v>2648</v>
      </c>
      <c r="I672" s="2" t="s">
        <v>2649</v>
      </c>
      <c r="J672" s="2" t="s">
        <v>817</v>
      </c>
      <c r="K672" s="2" t="s">
        <v>198</v>
      </c>
      <c r="L672" s="3">
        <v>114.04</v>
      </c>
      <c r="M672" s="3">
        <v>119.74</v>
      </c>
      <c r="N672" s="3">
        <v>244.99</v>
      </c>
      <c r="O672" s="2" t="s">
        <v>97</v>
      </c>
      <c r="P672" s="2" t="s">
        <v>950</v>
      </c>
      <c r="Q672" s="2" t="s">
        <v>99</v>
      </c>
      <c r="R672" s="2" t="s">
        <v>100</v>
      </c>
      <c r="S672" s="2" t="s">
        <v>2650</v>
      </c>
      <c r="T672" s="2" t="s">
        <v>100</v>
      </c>
      <c r="U672" s="2" t="s">
        <v>102</v>
      </c>
      <c r="V672" s="2" t="s">
        <v>489</v>
      </c>
      <c r="W672" s="2" t="s">
        <v>309</v>
      </c>
      <c r="X672" s="2" t="s">
        <v>219</v>
      </c>
      <c r="Y672" s="2" t="s">
        <v>2628</v>
      </c>
      <c r="Z672" s="4">
        <v>90</v>
      </c>
      <c r="AA672" s="4">
        <f>=ROUNDDOWN(30,0)</f>
      </c>
      <c r="AB672" s="5">
        <v>3</v>
      </c>
      <c r="AC672" s="2" t="s">
        <v>997</v>
      </c>
      <c r="AD672" s="4">
        <v>120</v>
      </c>
      <c r="AE672" s="4">
        <v>120</v>
      </c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/>
      <c r="BJ672" s="4">
        <v>59</v>
      </c>
      <c r="BK672" s="8">
        <v>7263.93</v>
      </c>
      <c r="BL672" s="2" t="s">
        <v>2657</v>
      </c>
      <c r="BM672" s="7"/>
      <c r="BN672" s="7"/>
      <c r="BO672" s="4"/>
      <c r="BP672" s="8"/>
      <c r="BQ672" s="4"/>
      <c r="BR672" s="8"/>
      <c r="BS672" s="7"/>
      <c r="BT672" s="7"/>
      <c r="BU672" s="2" t="s">
        <v>2528</v>
      </c>
      <c r="BV672" s="2" t="s">
        <v>97</v>
      </c>
      <c r="BW672" s="2" t="s">
        <v>100</v>
      </c>
      <c r="BX672" s="2" t="s">
        <v>100</v>
      </c>
      <c r="BY672" s="2" t="s">
        <v>113</v>
      </c>
      <c r="BZ672" s="2" t="s">
        <v>100</v>
      </c>
    </row>
    <row r="673">
      <c r="A673" s="2" t="s">
        <v>2658</v>
      </c>
      <c r="B673" s="2" t="s">
        <v>87</v>
      </c>
      <c r="C673" s="2" t="s">
        <v>2611</v>
      </c>
      <c r="D673" s="2" t="s">
        <v>803</v>
      </c>
      <c r="E673" s="2" t="s">
        <v>804</v>
      </c>
      <c r="F673" s="2" t="s">
        <v>2659</v>
      </c>
      <c r="G673" s="2" t="s">
        <v>2659</v>
      </c>
      <c r="H673" s="2" t="s">
        <v>2659</v>
      </c>
      <c r="I673" s="2" t="s">
        <v>2660</v>
      </c>
      <c r="J673" s="2" t="s">
        <v>706</v>
      </c>
      <c r="K673" s="2" t="s">
        <v>130</v>
      </c>
      <c r="L673" s="3">
        <v>86.85</v>
      </c>
      <c r="M673" s="3">
        <v>91.19</v>
      </c>
      <c r="N673" s="3">
        <v>189.99</v>
      </c>
      <c r="O673" s="2" t="s">
        <v>97</v>
      </c>
      <c r="P673" s="2" t="s">
        <v>2478</v>
      </c>
      <c r="Q673" s="2" t="s">
        <v>99</v>
      </c>
      <c r="R673" s="2" t="s">
        <v>100</v>
      </c>
      <c r="S673" s="2" t="s">
        <v>100</v>
      </c>
      <c r="T673" s="2" t="s">
        <v>280</v>
      </c>
      <c r="U673" s="2" t="s">
        <v>102</v>
      </c>
      <c r="V673" s="2" t="s">
        <v>2661</v>
      </c>
      <c r="W673" s="2" t="s">
        <v>100</v>
      </c>
      <c r="X673" s="2" t="s">
        <v>100</v>
      </c>
      <c r="Y673" s="2" t="s">
        <v>100</v>
      </c>
      <c r="Z673" s="4"/>
      <c r="AA673" s="4">
        <f>=ROUNDDOWN({0},0)</f>
      </c>
      <c r="AB673" s="5"/>
      <c r="AC673" s="2" t="s">
        <v>100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/>
      <c r="BK673" s="8"/>
      <c r="BL673" s="2" t="s">
        <v>100</v>
      </c>
      <c r="BM673" s="7"/>
      <c r="BN673" s="7"/>
      <c r="BO673" s="4"/>
      <c r="BP673" s="8"/>
      <c r="BQ673" s="4"/>
      <c r="BR673" s="8"/>
      <c r="BS673" s="7"/>
      <c r="BT673" s="7"/>
      <c r="BU673" s="2" t="s">
        <v>2528</v>
      </c>
      <c r="BV673" s="2" t="s">
        <v>97</v>
      </c>
      <c r="BW673" s="2" t="s">
        <v>100</v>
      </c>
      <c r="BX673" s="2" t="s">
        <v>100</v>
      </c>
      <c r="BY673" s="2" t="s">
        <v>113</v>
      </c>
      <c r="BZ673" s="2" t="s">
        <v>100</v>
      </c>
    </row>
    <row r="674">
      <c r="A674" s="2" t="s">
        <v>2662</v>
      </c>
      <c r="B674" s="2" t="s">
        <v>87</v>
      </c>
      <c r="C674" s="2" t="s">
        <v>2611</v>
      </c>
      <c r="D674" s="2" t="s">
        <v>803</v>
      </c>
      <c r="E674" s="2" t="s">
        <v>804</v>
      </c>
      <c r="F674" s="2" t="s">
        <v>2659</v>
      </c>
      <c r="G674" s="2" t="s">
        <v>2659</v>
      </c>
      <c r="H674" s="2" t="s">
        <v>2659</v>
      </c>
      <c r="I674" s="2" t="s">
        <v>2660</v>
      </c>
      <c r="J674" s="2" t="s">
        <v>714</v>
      </c>
      <c r="K674" s="2" t="s">
        <v>130</v>
      </c>
      <c r="L674" s="3">
        <v>96</v>
      </c>
      <c r="M674" s="3">
        <v>100.8</v>
      </c>
      <c r="N674" s="3">
        <v>209.99</v>
      </c>
      <c r="O674" s="2" t="s">
        <v>97</v>
      </c>
      <c r="P674" s="2" t="s">
        <v>2478</v>
      </c>
      <c r="Q674" s="2" t="s">
        <v>99</v>
      </c>
      <c r="R674" s="2" t="s">
        <v>100</v>
      </c>
      <c r="S674" s="2" t="s">
        <v>100</v>
      </c>
      <c r="T674" s="2" t="s">
        <v>280</v>
      </c>
      <c r="U674" s="2" t="s">
        <v>102</v>
      </c>
      <c r="V674" s="2" t="s">
        <v>2661</v>
      </c>
      <c r="W674" s="2" t="s">
        <v>100</v>
      </c>
      <c r="X674" s="2" t="s">
        <v>100</v>
      </c>
      <c r="Y674" s="2" t="s">
        <v>100</v>
      </c>
      <c r="Z674" s="4"/>
      <c r="AA674" s="4">
        <f>=ROUNDDOWN({0},0)</f>
      </c>
      <c r="AB674" s="5"/>
      <c r="AC674" s="2" t="s">
        <v>100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/>
      <c r="BK674" s="8"/>
      <c r="BL674" s="2" t="s">
        <v>100</v>
      </c>
      <c r="BM674" s="7"/>
      <c r="BN674" s="7"/>
      <c r="BO674" s="4"/>
      <c r="BP674" s="8"/>
      <c r="BQ674" s="4"/>
      <c r="BR674" s="8"/>
      <c r="BS674" s="7"/>
      <c r="BT674" s="7"/>
      <c r="BU674" s="2" t="s">
        <v>2528</v>
      </c>
      <c r="BV674" s="2" t="s">
        <v>97</v>
      </c>
      <c r="BW674" s="2" t="s">
        <v>100</v>
      </c>
      <c r="BX674" s="2" t="s">
        <v>100</v>
      </c>
      <c r="BY674" s="2" t="s">
        <v>113</v>
      </c>
      <c r="BZ674" s="2" t="s">
        <v>100</v>
      </c>
    </row>
    <row r="675">
      <c r="A675" s="2" t="s">
        <v>2663</v>
      </c>
      <c r="B675" s="2" t="s">
        <v>87</v>
      </c>
      <c r="C675" s="2" t="s">
        <v>2611</v>
      </c>
      <c r="D675" s="2" t="s">
        <v>803</v>
      </c>
      <c r="E675" s="2" t="s">
        <v>804</v>
      </c>
      <c r="F675" s="2" t="s">
        <v>2659</v>
      </c>
      <c r="G675" s="2" t="s">
        <v>2659</v>
      </c>
      <c r="H675" s="2" t="s">
        <v>2659</v>
      </c>
      <c r="I675" s="2" t="s">
        <v>2660</v>
      </c>
      <c r="J675" s="2" t="s">
        <v>817</v>
      </c>
      <c r="K675" s="2" t="s">
        <v>130</v>
      </c>
      <c r="L675" s="3">
        <v>96</v>
      </c>
      <c r="M675" s="3">
        <v>100.8</v>
      </c>
      <c r="N675" s="3">
        <v>209.99</v>
      </c>
      <c r="O675" s="2" t="s">
        <v>97</v>
      </c>
      <c r="P675" s="2" t="s">
        <v>2478</v>
      </c>
      <c r="Q675" s="2" t="s">
        <v>99</v>
      </c>
      <c r="R675" s="2" t="s">
        <v>100</v>
      </c>
      <c r="S675" s="2" t="s">
        <v>100</v>
      </c>
      <c r="T675" s="2" t="s">
        <v>280</v>
      </c>
      <c r="U675" s="2" t="s">
        <v>102</v>
      </c>
      <c r="V675" s="2" t="s">
        <v>2661</v>
      </c>
      <c r="W675" s="2" t="s">
        <v>100</v>
      </c>
      <c r="X675" s="2" t="s">
        <v>100</v>
      </c>
      <c r="Y675" s="2" t="s">
        <v>100</v>
      </c>
      <c r="Z675" s="4"/>
      <c r="AA675" s="4">
        <f>=ROUNDDOWN({0},0)</f>
      </c>
      <c r="AB675" s="5"/>
      <c r="AC675" s="2" t="s">
        <v>100</v>
      </c>
      <c r="AD675" s="4"/>
      <c r="AE675" s="4"/>
      <c r="AF675" s="6"/>
      <c r="AG675" s="6"/>
      <c r="AH675" s="7"/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/>
      <c r="BJ675" s="4"/>
      <c r="BK675" s="8"/>
      <c r="BL675" s="2" t="s">
        <v>100</v>
      </c>
      <c r="BM675" s="7"/>
      <c r="BN675" s="7"/>
      <c r="BO675" s="4"/>
      <c r="BP675" s="8"/>
      <c r="BQ675" s="4"/>
      <c r="BR675" s="8"/>
      <c r="BS675" s="7"/>
      <c r="BT675" s="7"/>
      <c r="BU675" s="2" t="s">
        <v>2528</v>
      </c>
      <c r="BV675" s="2" t="s">
        <v>97</v>
      </c>
      <c r="BW675" s="2" t="s">
        <v>100</v>
      </c>
      <c r="BX675" s="2" t="s">
        <v>100</v>
      </c>
      <c r="BY675" s="2" t="s">
        <v>113</v>
      </c>
      <c r="BZ675" s="2" t="s">
        <v>100</v>
      </c>
    </row>
    <row r="676">
      <c r="A676" s="2" t="s">
        <v>2664</v>
      </c>
      <c r="B676" s="2" t="s">
        <v>87</v>
      </c>
      <c r="C676" s="2" t="s">
        <v>2611</v>
      </c>
      <c r="D676" s="2" t="s">
        <v>803</v>
      </c>
      <c r="E676" s="2" t="s">
        <v>804</v>
      </c>
      <c r="F676" s="2" t="s">
        <v>2665</v>
      </c>
      <c r="G676" s="2" t="s">
        <v>2665</v>
      </c>
      <c r="H676" s="2" t="s">
        <v>2665</v>
      </c>
      <c r="I676" s="2" t="s">
        <v>2666</v>
      </c>
      <c r="J676" s="2" t="s">
        <v>717</v>
      </c>
      <c r="K676" s="2" t="s">
        <v>118</v>
      </c>
      <c r="L676" s="3">
        <v>86.4</v>
      </c>
      <c r="M676" s="3">
        <v>90.72</v>
      </c>
      <c r="N676" s="3">
        <v>179.99</v>
      </c>
      <c r="O676" s="2" t="s">
        <v>97</v>
      </c>
      <c r="P676" s="2" t="s">
        <v>119</v>
      </c>
      <c r="Q676" s="2" t="s">
        <v>99</v>
      </c>
      <c r="R676" s="2" t="s">
        <v>100</v>
      </c>
      <c r="S676" s="2" t="s">
        <v>2667</v>
      </c>
      <c r="T676" s="2" t="s">
        <v>280</v>
      </c>
      <c r="U676" s="2" t="s">
        <v>102</v>
      </c>
      <c r="V676" s="2" t="s">
        <v>239</v>
      </c>
      <c r="W676" s="2" t="s">
        <v>239</v>
      </c>
      <c r="X676" s="2" t="s">
        <v>183</v>
      </c>
      <c r="Y676" s="2" t="s">
        <v>2668</v>
      </c>
      <c r="Z676" s="4">
        <v>96</v>
      </c>
      <c r="AA676" s="4">
        <f>=ROUNDDOWN(120,0)</f>
      </c>
      <c r="AB676" s="5">
        <v>0.8</v>
      </c>
      <c r="AC676" s="2" t="s">
        <v>100</v>
      </c>
      <c r="AD676" s="4"/>
      <c r="AE676" s="4"/>
      <c r="AF676" s="6">
        <v>70</v>
      </c>
      <c r="AG676" s="6"/>
      <c r="AH676" s="7">
        <v>0.4278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/>
      <c r="BJ676" s="4">
        <v>23</v>
      </c>
      <c r="BK676" s="8">
        <v>2226.47</v>
      </c>
      <c r="BL676" s="2" t="s">
        <v>734</v>
      </c>
      <c r="BM676" s="7"/>
      <c r="BN676" s="7"/>
      <c r="BO676" s="4"/>
      <c r="BP676" s="8"/>
      <c r="BQ676" s="4"/>
      <c r="BR676" s="8"/>
      <c r="BS676" s="7"/>
      <c r="BT676" s="7"/>
      <c r="BU676" s="2" t="s">
        <v>2528</v>
      </c>
      <c r="BV676" s="2" t="s">
        <v>97</v>
      </c>
      <c r="BW676" s="2" t="s">
        <v>100</v>
      </c>
      <c r="BX676" s="2" t="s">
        <v>100</v>
      </c>
      <c r="BY676" s="2" t="s">
        <v>113</v>
      </c>
      <c r="BZ676" s="2" t="s">
        <v>100</v>
      </c>
    </row>
    <row r="677">
      <c r="A677" s="2" t="s">
        <v>2669</v>
      </c>
      <c r="B677" s="2" t="s">
        <v>87</v>
      </c>
      <c r="C677" s="2" t="s">
        <v>2611</v>
      </c>
      <c r="D677" s="2" t="s">
        <v>803</v>
      </c>
      <c r="E677" s="2" t="s">
        <v>804</v>
      </c>
      <c r="F677" s="2" t="s">
        <v>2665</v>
      </c>
      <c r="G677" s="2" t="s">
        <v>2665</v>
      </c>
      <c r="H677" s="2" t="s">
        <v>2665</v>
      </c>
      <c r="I677" s="2" t="s">
        <v>2666</v>
      </c>
      <c r="J677" s="2" t="s">
        <v>706</v>
      </c>
      <c r="K677" s="2" t="s">
        <v>118</v>
      </c>
      <c r="L677" s="3">
        <v>96</v>
      </c>
      <c r="M677" s="3">
        <v>100.8</v>
      </c>
      <c r="N677" s="3">
        <v>199.99</v>
      </c>
      <c r="O677" s="2" t="s">
        <v>97</v>
      </c>
      <c r="P677" s="2" t="s">
        <v>119</v>
      </c>
      <c r="Q677" s="2" t="s">
        <v>99</v>
      </c>
      <c r="R677" s="2" t="s">
        <v>100</v>
      </c>
      <c r="S677" s="2" t="s">
        <v>2667</v>
      </c>
      <c r="T677" s="2" t="s">
        <v>280</v>
      </c>
      <c r="U677" s="2" t="s">
        <v>102</v>
      </c>
      <c r="V677" s="2" t="s">
        <v>239</v>
      </c>
      <c r="W677" s="2" t="s">
        <v>239</v>
      </c>
      <c r="X677" s="2" t="s">
        <v>183</v>
      </c>
      <c r="Y677" s="2" t="s">
        <v>2670</v>
      </c>
      <c r="Z677" s="4">
        <v>115</v>
      </c>
      <c r="AA677" s="4">
        <f>=ROUNDDOWN(30.2631578947368,0)</f>
      </c>
      <c r="AB677" s="5">
        <v>3.8</v>
      </c>
      <c r="AC677" s="2" t="s">
        <v>100</v>
      </c>
      <c r="AD677" s="4"/>
      <c r="AE677" s="4"/>
      <c r="AF677" s="6">
        <v>70</v>
      </c>
      <c r="AG677" s="6"/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/>
      <c r="BJ677" s="4">
        <v>88</v>
      </c>
      <c r="BK677" s="8">
        <v>9178.7</v>
      </c>
      <c r="BL677" s="2" t="s">
        <v>2671</v>
      </c>
      <c r="BM677" s="7"/>
      <c r="BN677" s="7"/>
      <c r="BO677" s="4"/>
      <c r="BP677" s="8"/>
      <c r="BQ677" s="4"/>
      <c r="BR677" s="8"/>
      <c r="BS677" s="7"/>
      <c r="BT677" s="7"/>
      <c r="BU677" s="2" t="s">
        <v>2528</v>
      </c>
      <c r="BV677" s="2" t="s">
        <v>97</v>
      </c>
      <c r="BW677" s="2" t="s">
        <v>100</v>
      </c>
      <c r="BX677" s="2" t="s">
        <v>100</v>
      </c>
      <c r="BY677" s="2" t="s">
        <v>113</v>
      </c>
      <c r="BZ677" s="2" t="s">
        <v>100</v>
      </c>
    </row>
    <row r="678">
      <c r="A678" s="2" t="s">
        <v>2672</v>
      </c>
      <c r="B678" s="2" t="s">
        <v>87</v>
      </c>
      <c r="C678" s="2" t="s">
        <v>2611</v>
      </c>
      <c r="D678" s="2" t="s">
        <v>803</v>
      </c>
      <c r="E678" s="2" t="s">
        <v>804</v>
      </c>
      <c r="F678" s="2" t="s">
        <v>2665</v>
      </c>
      <c r="G678" s="2" t="s">
        <v>2665</v>
      </c>
      <c r="H678" s="2" t="s">
        <v>2665</v>
      </c>
      <c r="I678" s="2" t="s">
        <v>2666</v>
      </c>
      <c r="J678" s="2" t="s">
        <v>714</v>
      </c>
      <c r="K678" s="2" t="s">
        <v>118</v>
      </c>
      <c r="L678" s="3">
        <v>105.6</v>
      </c>
      <c r="M678" s="3">
        <v>110.88</v>
      </c>
      <c r="N678" s="3">
        <v>219.99</v>
      </c>
      <c r="O678" s="2" t="s">
        <v>97</v>
      </c>
      <c r="P678" s="2" t="s">
        <v>119</v>
      </c>
      <c r="Q678" s="2" t="s">
        <v>99</v>
      </c>
      <c r="R678" s="2" t="s">
        <v>100</v>
      </c>
      <c r="S678" s="2" t="s">
        <v>2667</v>
      </c>
      <c r="T678" s="2" t="s">
        <v>280</v>
      </c>
      <c r="U678" s="2" t="s">
        <v>102</v>
      </c>
      <c r="V678" s="2" t="s">
        <v>239</v>
      </c>
      <c r="W678" s="2" t="s">
        <v>239</v>
      </c>
      <c r="X678" s="2" t="s">
        <v>183</v>
      </c>
      <c r="Y678" s="2" t="s">
        <v>2668</v>
      </c>
      <c r="Z678" s="4">
        <v>251</v>
      </c>
      <c r="AA678" s="4">
        <f>=ROUNDDOWN(37.4626865671642,0)</f>
      </c>
      <c r="AB678" s="5">
        <v>6.7</v>
      </c>
      <c r="AC678" s="2" t="s">
        <v>100</v>
      </c>
      <c r="AD678" s="4"/>
      <c r="AE678" s="4"/>
      <c r="AF678" s="6">
        <v>70</v>
      </c>
      <c r="AG678" s="6"/>
      <c r="AH678" s="7">
        <v>0.5775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/>
      <c r="BJ678" s="4">
        <v>124</v>
      </c>
      <c r="BK678" s="8">
        <v>14777.76</v>
      </c>
      <c r="BL678" s="2" t="s">
        <v>2673</v>
      </c>
      <c r="BM678" s="7"/>
      <c r="BN678" s="7"/>
      <c r="BO678" s="4"/>
      <c r="BP678" s="8"/>
      <c r="BQ678" s="4"/>
      <c r="BR678" s="8"/>
      <c r="BS678" s="7"/>
      <c r="BT678" s="7"/>
      <c r="BU678" s="2" t="s">
        <v>2528</v>
      </c>
      <c r="BV678" s="2" t="s">
        <v>97</v>
      </c>
      <c r="BW678" s="2" t="s">
        <v>100</v>
      </c>
      <c r="BX678" s="2" t="s">
        <v>100</v>
      </c>
      <c r="BY678" s="2" t="s">
        <v>113</v>
      </c>
      <c r="BZ678" s="2" t="s">
        <v>100</v>
      </c>
    </row>
    <row r="679">
      <c r="A679" s="2" t="s">
        <v>2674</v>
      </c>
      <c r="B679" s="2" t="s">
        <v>87</v>
      </c>
      <c r="C679" s="2" t="s">
        <v>2611</v>
      </c>
      <c r="D679" s="2" t="s">
        <v>803</v>
      </c>
      <c r="E679" s="2" t="s">
        <v>804</v>
      </c>
      <c r="F679" s="2" t="s">
        <v>2665</v>
      </c>
      <c r="G679" s="2" t="s">
        <v>2665</v>
      </c>
      <c r="H679" s="2" t="s">
        <v>2665</v>
      </c>
      <c r="I679" s="2" t="s">
        <v>2666</v>
      </c>
      <c r="J679" s="2" t="s">
        <v>817</v>
      </c>
      <c r="K679" s="2" t="s">
        <v>118</v>
      </c>
      <c r="L679" s="3">
        <v>105.6</v>
      </c>
      <c r="M679" s="3">
        <v>110.88</v>
      </c>
      <c r="N679" s="3">
        <v>219.99</v>
      </c>
      <c r="O679" s="2" t="s">
        <v>97</v>
      </c>
      <c r="P679" s="2" t="s">
        <v>119</v>
      </c>
      <c r="Q679" s="2" t="s">
        <v>99</v>
      </c>
      <c r="R679" s="2" t="s">
        <v>100</v>
      </c>
      <c r="S679" s="2" t="s">
        <v>2667</v>
      </c>
      <c r="T679" s="2" t="s">
        <v>280</v>
      </c>
      <c r="U679" s="2" t="s">
        <v>102</v>
      </c>
      <c r="V679" s="2" t="s">
        <v>239</v>
      </c>
      <c r="W679" s="2" t="s">
        <v>239</v>
      </c>
      <c r="X679" s="2" t="s">
        <v>183</v>
      </c>
      <c r="Y679" s="2" t="s">
        <v>2668</v>
      </c>
      <c r="Z679" s="4">
        <v>109</v>
      </c>
      <c r="AA679" s="4">
        <f>=ROUNDDOWN(32.0588235294118,0)</f>
      </c>
      <c r="AB679" s="5">
        <v>3.4</v>
      </c>
      <c r="AC679" s="2" t="s">
        <v>100</v>
      </c>
      <c r="AD679" s="4"/>
      <c r="AE679" s="4"/>
      <c r="AF679" s="6">
        <v>70</v>
      </c>
      <c r="AG679" s="6"/>
      <c r="AH679" s="7">
        <v>0.5829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/>
      <c r="BJ679" s="4">
        <v>60</v>
      </c>
      <c r="BK679" s="8">
        <v>7179.52</v>
      </c>
      <c r="BL679" s="2" t="s">
        <v>2675</v>
      </c>
      <c r="BM679" s="7"/>
      <c r="BN679" s="7"/>
      <c r="BO679" s="4"/>
      <c r="BP679" s="8"/>
      <c r="BQ679" s="4"/>
      <c r="BR679" s="8"/>
      <c r="BS679" s="7"/>
      <c r="BT679" s="7"/>
      <c r="BU679" s="2" t="s">
        <v>2528</v>
      </c>
      <c r="BV679" s="2" t="s">
        <v>97</v>
      </c>
      <c r="BW679" s="2" t="s">
        <v>100</v>
      </c>
      <c r="BX679" s="2" t="s">
        <v>100</v>
      </c>
      <c r="BY679" s="2" t="s">
        <v>113</v>
      </c>
      <c r="BZ679" s="2" t="s">
        <v>100</v>
      </c>
    </row>
    <row r="680">
      <c r="A680" s="2" t="s">
        <v>2676</v>
      </c>
      <c r="B680" s="2" t="s">
        <v>87</v>
      </c>
      <c r="C680" s="2" t="s">
        <v>2611</v>
      </c>
      <c r="D680" s="2" t="s">
        <v>803</v>
      </c>
      <c r="E680" s="2" t="s">
        <v>804</v>
      </c>
      <c r="F680" s="2" t="s">
        <v>2677</v>
      </c>
      <c r="G680" s="2" t="s">
        <v>2677</v>
      </c>
      <c r="H680" s="2" t="s">
        <v>2677</v>
      </c>
      <c r="I680" s="2" t="s">
        <v>2649</v>
      </c>
      <c r="J680" s="2" t="s">
        <v>717</v>
      </c>
      <c r="K680" s="2" t="s">
        <v>130</v>
      </c>
      <c r="L680" s="3">
        <v>86.4</v>
      </c>
      <c r="M680" s="3">
        <v>90.71</v>
      </c>
      <c r="N680" s="3">
        <v>179.99</v>
      </c>
      <c r="O680" s="2" t="s">
        <v>97</v>
      </c>
      <c r="P680" s="2" t="s">
        <v>950</v>
      </c>
      <c r="Q680" s="2" t="s">
        <v>99</v>
      </c>
      <c r="R680" s="2" t="s">
        <v>100</v>
      </c>
      <c r="S680" s="2" t="s">
        <v>2678</v>
      </c>
      <c r="T680" s="2" t="s">
        <v>280</v>
      </c>
      <c r="U680" s="2" t="s">
        <v>102</v>
      </c>
      <c r="V680" s="2" t="s">
        <v>292</v>
      </c>
      <c r="W680" s="2" t="s">
        <v>219</v>
      </c>
      <c r="X680" s="2" t="s">
        <v>2679</v>
      </c>
      <c r="Y680" s="2" t="s">
        <v>2680</v>
      </c>
      <c r="Z680" s="4">
        <v>59</v>
      </c>
      <c r="AA680" s="4">
        <f>=ROUNDDOWN(12.5531914893617,0)</f>
      </c>
      <c r="AB680" s="5">
        <v>4.7</v>
      </c>
      <c r="AC680" s="2" t="s">
        <v>2681</v>
      </c>
      <c r="AD680" s="4">
        <v>100</v>
      </c>
      <c r="AE680" s="4">
        <v>100</v>
      </c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/>
      <c r="BJ680" s="4">
        <v>63</v>
      </c>
      <c r="BK680" s="8">
        <v>5984.9</v>
      </c>
      <c r="BL680" s="2" t="s">
        <v>2682</v>
      </c>
      <c r="BM680" s="7"/>
      <c r="BN680" s="7"/>
      <c r="BO680" s="4"/>
      <c r="BP680" s="8"/>
      <c r="BQ680" s="4"/>
      <c r="BR680" s="8"/>
      <c r="BS680" s="7"/>
      <c r="BT680" s="7"/>
      <c r="BU680" s="2" t="s">
        <v>2528</v>
      </c>
      <c r="BV680" s="2" t="s">
        <v>97</v>
      </c>
      <c r="BW680" s="2" t="s">
        <v>100</v>
      </c>
      <c r="BX680" s="2" t="s">
        <v>100</v>
      </c>
      <c r="BY680" s="2" t="s">
        <v>113</v>
      </c>
      <c r="BZ680" s="2" t="s">
        <v>100</v>
      </c>
    </row>
    <row r="681">
      <c r="A681" s="2" t="s">
        <v>2683</v>
      </c>
      <c r="B681" s="2" t="s">
        <v>87</v>
      </c>
      <c r="C681" s="2" t="s">
        <v>2611</v>
      </c>
      <c r="D681" s="2" t="s">
        <v>803</v>
      </c>
      <c r="E681" s="2" t="s">
        <v>804</v>
      </c>
      <c r="F681" s="2" t="s">
        <v>2677</v>
      </c>
      <c r="G681" s="2" t="s">
        <v>2677</v>
      </c>
      <c r="H681" s="2" t="s">
        <v>2677</v>
      </c>
      <c r="I681" s="2" t="s">
        <v>2649</v>
      </c>
      <c r="J681" s="2" t="s">
        <v>706</v>
      </c>
      <c r="K681" s="2" t="s">
        <v>130</v>
      </c>
      <c r="L681" s="3">
        <v>96</v>
      </c>
      <c r="M681" s="3">
        <v>100.79</v>
      </c>
      <c r="N681" s="3">
        <v>199.99</v>
      </c>
      <c r="O681" s="2" t="s">
        <v>97</v>
      </c>
      <c r="P681" s="2" t="s">
        <v>950</v>
      </c>
      <c r="Q681" s="2" t="s">
        <v>99</v>
      </c>
      <c r="R681" s="2" t="s">
        <v>100</v>
      </c>
      <c r="S681" s="2" t="s">
        <v>2678</v>
      </c>
      <c r="T681" s="2" t="s">
        <v>280</v>
      </c>
      <c r="U681" s="2" t="s">
        <v>102</v>
      </c>
      <c r="V681" s="2" t="s">
        <v>292</v>
      </c>
      <c r="W681" s="2" t="s">
        <v>219</v>
      </c>
      <c r="X681" s="2" t="s">
        <v>2679</v>
      </c>
      <c r="Y681" s="2" t="s">
        <v>2680</v>
      </c>
      <c r="Z681" s="4">
        <v>180</v>
      </c>
      <c r="AA681" s="4">
        <f>=ROUNDDOWN(25.7142857142857,0)</f>
      </c>
      <c r="AB681" s="5">
        <v>7</v>
      </c>
      <c r="AC681" s="2" t="s">
        <v>2681</v>
      </c>
      <c r="AD681" s="4">
        <v>60</v>
      </c>
      <c r="AE681" s="4">
        <v>60</v>
      </c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/>
      <c r="BJ681" s="4">
        <v>149</v>
      </c>
      <c r="BK681" s="8">
        <v>15885.32</v>
      </c>
      <c r="BL681" s="2" t="s">
        <v>2684</v>
      </c>
      <c r="BM681" s="7"/>
      <c r="BN681" s="7"/>
      <c r="BO681" s="4"/>
      <c r="BP681" s="8"/>
      <c r="BQ681" s="4"/>
      <c r="BR681" s="8"/>
      <c r="BS681" s="7"/>
      <c r="BT681" s="7"/>
      <c r="BU681" s="2" t="s">
        <v>2528</v>
      </c>
      <c r="BV681" s="2" t="s">
        <v>97</v>
      </c>
      <c r="BW681" s="2" t="s">
        <v>100</v>
      </c>
      <c r="BX681" s="2" t="s">
        <v>100</v>
      </c>
      <c r="BY681" s="2" t="s">
        <v>113</v>
      </c>
      <c r="BZ681" s="2" t="s">
        <v>100</v>
      </c>
    </row>
    <row r="682">
      <c r="A682" s="2" t="s">
        <v>2685</v>
      </c>
      <c r="B682" s="2" t="s">
        <v>87</v>
      </c>
      <c r="C682" s="2" t="s">
        <v>2611</v>
      </c>
      <c r="D682" s="2" t="s">
        <v>803</v>
      </c>
      <c r="E682" s="2" t="s">
        <v>804</v>
      </c>
      <c r="F682" s="2" t="s">
        <v>2677</v>
      </c>
      <c r="G682" s="2" t="s">
        <v>2677</v>
      </c>
      <c r="H682" s="2" t="s">
        <v>2677</v>
      </c>
      <c r="I682" s="2" t="s">
        <v>2649</v>
      </c>
      <c r="J682" s="2" t="s">
        <v>714</v>
      </c>
      <c r="K682" s="2" t="s">
        <v>130</v>
      </c>
      <c r="L682" s="3">
        <v>105.6</v>
      </c>
      <c r="M682" s="3">
        <v>110.87</v>
      </c>
      <c r="N682" s="3">
        <v>219.99</v>
      </c>
      <c r="O682" s="2" t="s">
        <v>97</v>
      </c>
      <c r="P682" s="2" t="s">
        <v>950</v>
      </c>
      <c r="Q682" s="2" t="s">
        <v>99</v>
      </c>
      <c r="R682" s="2" t="s">
        <v>100</v>
      </c>
      <c r="S682" s="2" t="s">
        <v>2678</v>
      </c>
      <c r="T682" s="2" t="s">
        <v>280</v>
      </c>
      <c r="U682" s="2" t="s">
        <v>102</v>
      </c>
      <c r="V682" s="2" t="s">
        <v>292</v>
      </c>
      <c r="W682" s="2" t="s">
        <v>219</v>
      </c>
      <c r="X682" s="2" t="s">
        <v>2679</v>
      </c>
      <c r="Y682" s="2" t="s">
        <v>2680</v>
      </c>
      <c r="Z682" s="4">
        <v>196</v>
      </c>
      <c r="AA682" s="4">
        <f>=ROUNDDOWN(42.6086956521739,0)</f>
      </c>
      <c r="AB682" s="5">
        <v>4.6</v>
      </c>
      <c r="AC682" s="2" t="s">
        <v>100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/>
      <c r="BJ682" s="4">
        <v>112</v>
      </c>
      <c r="BK682" s="8">
        <v>13408.15</v>
      </c>
      <c r="BL682" s="2" t="s">
        <v>2686</v>
      </c>
      <c r="BM682" s="7"/>
      <c r="BN682" s="7"/>
      <c r="BO682" s="4"/>
      <c r="BP682" s="8"/>
      <c r="BQ682" s="4"/>
      <c r="BR682" s="8"/>
      <c r="BS682" s="7"/>
      <c r="BT682" s="7"/>
      <c r="BU682" s="2" t="s">
        <v>2528</v>
      </c>
      <c r="BV682" s="2" t="s">
        <v>97</v>
      </c>
      <c r="BW682" s="2" t="s">
        <v>100</v>
      </c>
      <c r="BX682" s="2" t="s">
        <v>100</v>
      </c>
      <c r="BY682" s="2" t="s">
        <v>113</v>
      </c>
      <c r="BZ682" s="2" t="s">
        <v>100</v>
      </c>
    </row>
    <row r="683">
      <c r="A683" s="2" t="s">
        <v>2687</v>
      </c>
      <c r="B683" s="2" t="s">
        <v>87</v>
      </c>
      <c r="C683" s="2" t="s">
        <v>2611</v>
      </c>
      <c r="D683" s="2" t="s">
        <v>803</v>
      </c>
      <c r="E683" s="2" t="s">
        <v>804</v>
      </c>
      <c r="F683" s="2" t="s">
        <v>2677</v>
      </c>
      <c r="G683" s="2" t="s">
        <v>2677</v>
      </c>
      <c r="H683" s="2" t="s">
        <v>2677</v>
      </c>
      <c r="I683" s="2" t="s">
        <v>2649</v>
      </c>
      <c r="J683" s="2" t="s">
        <v>817</v>
      </c>
      <c r="K683" s="2" t="s">
        <v>130</v>
      </c>
      <c r="L683" s="3">
        <v>105.6</v>
      </c>
      <c r="M683" s="3">
        <v>110.87</v>
      </c>
      <c r="N683" s="3">
        <v>219.99</v>
      </c>
      <c r="O683" s="2" t="s">
        <v>97</v>
      </c>
      <c r="P683" s="2" t="s">
        <v>950</v>
      </c>
      <c r="Q683" s="2" t="s">
        <v>99</v>
      </c>
      <c r="R683" s="2" t="s">
        <v>100</v>
      </c>
      <c r="S683" s="2" t="s">
        <v>2678</v>
      </c>
      <c r="T683" s="2" t="s">
        <v>280</v>
      </c>
      <c r="U683" s="2" t="s">
        <v>102</v>
      </c>
      <c r="V683" s="2" t="s">
        <v>292</v>
      </c>
      <c r="W683" s="2" t="s">
        <v>219</v>
      </c>
      <c r="X683" s="2" t="s">
        <v>2679</v>
      </c>
      <c r="Y683" s="2" t="s">
        <v>2680</v>
      </c>
      <c r="Z683" s="4">
        <v>84</v>
      </c>
      <c r="AA683" s="4">
        <f>=ROUNDDOWN(31.1111111111111,0)</f>
      </c>
      <c r="AB683" s="5">
        <v>2.7</v>
      </c>
      <c r="AC683" s="2" t="s">
        <v>100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/>
      <c r="BJ683" s="4">
        <v>75</v>
      </c>
      <c r="BK683" s="8">
        <v>8995.44</v>
      </c>
      <c r="BL683" s="2" t="s">
        <v>2688</v>
      </c>
      <c r="BM683" s="7"/>
      <c r="BN683" s="7"/>
      <c r="BO683" s="4"/>
      <c r="BP683" s="8"/>
      <c r="BQ683" s="4"/>
      <c r="BR683" s="8"/>
      <c r="BS683" s="7"/>
      <c r="BT683" s="7"/>
      <c r="BU683" s="2" t="s">
        <v>2528</v>
      </c>
      <c r="BV683" s="2" t="s">
        <v>97</v>
      </c>
      <c r="BW683" s="2" t="s">
        <v>100</v>
      </c>
      <c r="BX683" s="2" t="s">
        <v>100</v>
      </c>
      <c r="BY683" s="2" t="s">
        <v>113</v>
      </c>
      <c r="BZ683" s="2" t="s">
        <v>100</v>
      </c>
    </row>
    <row r="684">
      <c r="A684" s="2" t="s">
        <v>2689</v>
      </c>
      <c r="B684" s="2" t="s">
        <v>87</v>
      </c>
      <c r="C684" s="2" t="s">
        <v>2611</v>
      </c>
      <c r="D684" s="2" t="s">
        <v>803</v>
      </c>
      <c r="E684" s="2" t="s">
        <v>804</v>
      </c>
      <c r="F684" s="2" t="s">
        <v>2690</v>
      </c>
      <c r="G684" s="2" t="s">
        <v>2690</v>
      </c>
      <c r="H684" s="2" t="s">
        <v>2690</v>
      </c>
      <c r="I684" s="2" t="s">
        <v>2691</v>
      </c>
      <c r="J684" s="2" t="s">
        <v>717</v>
      </c>
      <c r="K684" s="2" t="s">
        <v>130</v>
      </c>
      <c r="L684" s="3">
        <v>93.31</v>
      </c>
      <c r="M684" s="3">
        <v>97.98</v>
      </c>
      <c r="N684" s="3">
        <v>204.99</v>
      </c>
      <c r="O684" s="2" t="s">
        <v>97</v>
      </c>
      <c r="P684" s="2" t="s">
        <v>950</v>
      </c>
      <c r="Q684" s="2" t="s">
        <v>99</v>
      </c>
      <c r="R684" s="2" t="s">
        <v>100</v>
      </c>
      <c r="S684" s="2" t="s">
        <v>2692</v>
      </c>
      <c r="T684" s="2" t="s">
        <v>100</v>
      </c>
      <c r="U684" s="2" t="s">
        <v>102</v>
      </c>
      <c r="V684" s="2" t="s">
        <v>292</v>
      </c>
      <c r="W684" s="2" t="s">
        <v>239</v>
      </c>
      <c r="X684" s="2" t="s">
        <v>219</v>
      </c>
      <c r="Y684" s="2" t="s">
        <v>240</v>
      </c>
      <c r="Z684" s="4">
        <v>57</v>
      </c>
      <c r="AA684" s="4">
        <f>=ROUNDDOWN(47.5,0)</f>
      </c>
      <c r="AB684" s="5">
        <v>1.2</v>
      </c>
      <c r="AC684" s="2" t="s">
        <v>100</v>
      </c>
      <c r="AD684" s="4"/>
      <c r="AE684" s="4"/>
      <c r="AF684" s="6">
        <v>66</v>
      </c>
      <c r="AG684" s="6"/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/>
      <c r="BJ684" s="4">
        <v>29</v>
      </c>
      <c r="BK684" s="8">
        <v>2825.49</v>
      </c>
      <c r="BL684" s="2" t="s">
        <v>2693</v>
      </c>
      <c r="BM684" s="7"/>
      <c r="BN684" s="7"/>
      <c r="BO684" s="4"/>
      <c r="BP684" s="8"/>
      <c r="BQ684" s="4"/>
      <c r="BR684" s="8"/>
      <c r="BS684" s="7"/>
      <c r="BT684" s="7"/>
      <c r="BU684" s="2" t="s">
        <v>2528</v>
      </c>
      <c r="BV684" s="2" t="s">
        <v>97</v>
      </c>
      <c r="BW684" s="2" t="s">
        <v>100</v>
      </c>
      <c r="BX684" s="2" t="s">
        <v>100</v>
      </c>
      <c r="BY684" s="2" t="s">
        <v>113</v>
      </c>
      <c r="BZ684" s="2" t="s">
        <v>100</v>
      </c>
    </row>
    <row r="685">
      <c r="A685" s="2" t="s">
        <v>2694</v>
      </c>
      <c r="B685" s="2" t="s">
        <v>87</v>
      </c>
      <c r="C685" s="2" t="s">
        <v>2611</v>
      </c>
      <c r="D685" s="2" t="s">
        <v>803</v>
      </c>
      <c r="E685" s="2" t="s">
        <v>804</v>
      </c>
      <c r="F685" s="2" t="s">
        <v>2690</v>
      </c>
      <c r="G685" s="2" t="s">
        <v>2690</v>
      </c>
      <c r="H685" s="2" t="s">
        <v>2690</v>
      </c>
      <c r="I685" s="2" t="s">
        <v>2691</v>
      </c>
      <c r="J685" s="2" t="s">
        <v>706</v>
      </c>
      <c r="K685" s="2" t="s">
        <v>130</v>
      </c>
      <c r="L685" s="3">
        <v>103.67</v>
      </c>
      <c r="M685" s="3">
        <v>108.85</v>
      </c>
      <c r="N685" s="3">
        <v>224.99</v>
      </c>
      <c r="O685" s="2" t="s">
        <v>97</v>
      </c>
      <c r="P685" s="2" t="s">
        <v>950</v>
      </c>
      <c r="Q685" s="2" t="s">
        <v>99</v>
      </c>
      <c r="R685" s="2" t="s">
        <v>100</v>
      </c>
      <c r="S685" s="2" t="s">
        <v>2692</v>
      </c>
      <c r="T685" s="2" t="s">
        <v>100</v>
      </c>
      <c r="U685" s="2" t="s">
        <v>102</v>
      </c>
      <c r="V685" s="2" t="s">
        <v>292</v>
      </c>
      <c r="W685" s="2" t="s">
        <v>239</v>
      </c>
      <c r="X685" s="2" t="s">
        <v>219</v>
      </c>
      <c r="Y685" s="2" t="s">
        <v>240</v>
      </c>
      <c r="Z685" s="4">
        <v>131</v>
      </c>
      <c r="AA685" s="4">
        <f>=ROUNDDOWN(26.2,0)</f>
      </c>
      <c r="AB685" s="5">
        <v>5</v>
      </c>
      <c r="AC685" s="2" t="s">
        <v>100</v>
      </c>
      <c r="AD685" s="4"/>
      <c r="AE685" s="4"/>
      <c r="AF685" s="6">
        <v>66</v>
      </c>
      <c r="AG685" s="6"/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/>
      <c r="BJ685" s="4">
        <v>107</v>
      </c>
      <c r="BK685" s="8">
        <v>12057.23</v>
      </c>
      <c r="BL685" s="2" t="s">
        <v>2695</v>
      </c>
      <c r="BM685" s="7"/>
      <c r="BN685" s="7"/>
      <c r="BO685" s="4"/>
      <c r="BP685" s="8"/>
      <c r="BQ685" s="4"/>
      <c r="BR685" s="8"/>
      <c r="BS685" s="7"/>
      <c r="BT685" s="7"/>
      <c r="BU685" s="2" t="s">
        <v>2528</v>
      </c>
      <c r="BV685" s="2" t="s">
        <v>97</v>
      </c>
      <c r="BW685" s="2" t="s">
        <v>100</v>
      </c>
      <c r="BX685" s="2" t="s">
        <v>100</v>
      </c>
      <c r="BY685" s="2" t="s">
        <v>113</v>
      </c>
      <c r="BZ685" s="2" t="s">
        <v>100</v>
      </c>
    </row>
    <row r="686">
      <c r="A686" s="2" t="s">
        <v>2696</v>
      </c>
      <c r="B686" s="2" t="s">
        <v>87</v>
      </c>
      <c r="C686" s="2" t="s">
        <v>2611</v>
      </c>
      <c r="D686" s="2" t="s">
        <v>803</v>
      </c>
      <c r="E686" s="2" t="s">
        <v>804</v>
      </c>
      <c r="F686" s="2" t="s">
        <v>2690</v>
      </c>
      <c r="G686" s="2" t="s">
        <v>2690</v>
      </c>
      <c r="H686" s="2" t="s">
        <v>2690</v>
      </c>
      <c r="I686" s="2" t="s">
        <v>2691</v>
      </c>
      <c r="J686" s="2" t="s">
        <v>714</v>
      </c>
      <c r="K686" s="2" t="s">
        <v>130</v>
      </c>
      <c r="L686" s="3">
        <v>114.04</v>
      </c>
      <c r="M686" s="3">
        <v>119.74</v>
      </c>
      <c r="N686" s="3">
        <v>244.99</v>
      </c>
      <c r="O686" s="2" t="s">
        <v>97</v>
      </c>
      <c r="P686" s="2" t="s">
        <v>950</v>
      </c>
      <c r="Q686" s="2" t="s">
        <v>99</v>
      </c>
      <c r="R686" s="2" t="s">
        <v>100</v>
      </c>
      <c r="S686" s="2" t="s">
        <v>2692</v>
      </c>
      <c r="T686" s="2" t="s">
        <v>100</v>
      </c>
      <c r="U686" s="2" t="s">
        <v>100</v>
      </c>
      <c r="V686" s="2" t="s">
        <v>292</v>
      </c>
      <c r="W686" s="2" t="s">
        <v>239</v>
      </c>
      <c r="X686" s="2" t="s">
        <v>219</v>
      </c>
      <c r="Y686" s="2" t="s">
        <v>240</v>
      </c>
      <c r="Z686" s="4">
        <v>149</v>
      </c>
      <c r="AA686" s="4">
        <f>=ROUNDDOWN(36.3414634146341,0)</f>
      </c>
      <c r="AB686" s="5">
        <v>4.1</v>
      </c>
      <c r="AC686" s="2" t="s">
        <v>100</v>
      </c>
      <c r="AD686" s="4"/>
      <c r="AE686" s="4"/>
      <c r="AF686" s="6">
        <v>66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110</v>
      </c>
      <c r="BK686" s="8">
        <v>13233.07</v>
      </c>
      <c r="BL686" s="2" t="s">
        <v>2697</v>
      </c>
      <c r="BM686" s="7"/>
      <c r="BN686" s="7"/>
      <c r="BO686" s="4"/>
      <c r="BP686" s="8"/>
      <c r="BQ686" s="4"/>
      <c r="BR686" s="8"/>
      <c r="BS686" s="7"/>
      <c r="BT686" s="7"/>
      <c r="BU686" s="2" t="s">
        <v>2528</v>
      </c>
      <c r="BV686" s="2" t="s">
        <v>97</v>
      </c>
      <c r="BW686" s="2" t="s">
        <v>100</v>
      </c>
      <c r="BX686" s="2" t="s">
        <v>100</v>
      </c>
      <c r="BY686" s="2" t="s">
        <v>113</v>
      </c>
      <c r="BZ686" s="2" t="s">
        <v>100</v>
      </c>
    </row>
    <row r="687">
      <c r="A687" s="2" t="s">
        <v>2698</v>
      </c>
      <c r="B687" s="2" t="s">
        <v>87</v>
      </c>
      <c r="C687" s="2" t="s">
        <v>2611</v>
      </c>
      <c r="D687" s="2" t="s">
        <v>803</v>
      </c>
      <c r="E687" s="2" t="s">
        <v>804</v>
      </c>
      <c r="F687" s="2" t="s">
        <v>2690</v>
      </c>
      <c r="G687" s="2" t="s">
        <v>2690</v>
      </c>
      <c r="H687" s="2" t="s">
        <v>2690</v>
      </c>
      <c r="I687" s="2" t="s">
        <v>2691</v>
      </c>
      <c r="J687" s="2" t="s">
        <v>817</v>
      </c>
      <c r="K687" s="2" t="s">
        <v>130</v>
      </c>
      <c r="L687" s="3">
        <v>114.04</v>
      </c>
      <c r="M687" s="3">
        <v>119.74</v>
      </c>
      <c r="N687" s="3">
        <v>244.99</v>
      </c>
      <c r="O687" s="2" t="s">
        <v>97</v>
      </c>
      <c r="P687" s="2" t="s">
        <v>950</v>
      </c>
      <c r="Q687" s="2" t="s">
        <v>99</v>
      </c>
      <c r="R687" s="2" t="s">
        <v>100</v>
      </c>
      <c r="S687" s="2" t="s">
        <v>2692</v>
      </c>
      <c r="T687" s="2" t="s">
        <v>100</v>
      </c>
      <c r="U687" s="2" t="s">
        <v>102</v>
      </c>
      <c r="V687" s="2" t="s">
        <v>292</v>
      </c>
      <c r="W687" s="2" t="s">
        <v>239</v>
      </c>
      <c r="X687" s="2" t="s">
        <v>219</v>
      </c>
      <c r="Y687" s="2" t="s">
        <v>240</v>
      </c>
      <c r="Z687" s="4">
        <v>90</v>
      </c>
      <c r="AA687" s="4">
        <f>=ROUNDDOWN(27.2727272727273,0)</f>
      </c>
      <c r="AB687" s="5">
        <v>3.3</v>
      </c>
      <c r="AC687" s="2" t="s">
        <v>100</v>
      </c>
      <c r="AD687" s="4"/>
      <c r="AE687" s="4"/>
      <c r="AF687" s="6">
        <v>66</v>
      </c>
      <c r="AG687" s="6"/>
      <c r="AH687" s="7">
        <v>0.9626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71</v>
      </c>
      <c r="BK687" s="8">
        <v>8579.99</v>
      </c>
      <c r="BL687" s="2" t="s">
        <v>734</v>
      </c>
      <c r="BM687" s="7"/>
      <c r="BN687" s="7"/>
      <c r="BO687" s="4"/>
      <c r="BP687" s="8"/>
      <c r="BQ687" s="4"/>
      <c r="BR687" s="8"/>
      <c r="BS687" s="7"/>
      <c r="BT687" s="7"/>
      <c r="BU687" s="2" t="s">
        <v>2528</v>
      </c>
      <c r="BV687" s="2" t="s">
        <v>97</v>
      </c>
      <c r="BW687" s="2" t="s">
        <v>100</v>
      </c>
      <c r="BX687" s="2" t="s">
        <v>100</v>
      </c>
      <c r="BY687" s="2" t="s">
        <v>113</v>
      </c>
      <c r="BZ687" s="2" t="s">
        <v>100</v>
      </c>
    </row>
    <row r="688">
      <c r="A688" s="2" t="s">
        <v>2699</v>
      </c>
      <c r="B688" s="2" t="s">
        <v>87</v>
      </c>
      <c r="C688" s="2" t="s">
        <v>2611</v>
      </c>
      <c r="D688" s="2" t="s">
        <v>803</v>
      </c>
      <c r="E688" s="2" t="s">
        <v>804</v>
      </c>
      <c r="F688" s="2" t="s">
        <v>2621</v>
      </c>
      <c r="G688" s="2" t="s">
        <v>2621</v>
      </c>
      <c r="H688" s="2" t="s">
        <v>2621</v>
      </c>
      <c r="I688" s="2" t="s">
        <v>2559</v>
      </c>
      <c r="J688" s="2" t="s">
        <v>717</v>
      </c>
      <c r="K688" s="2" t="s">
        <v>189</v>
      </c>
      <c r="L688" s="3">
        <v>110</v>
      </c>
      <c r="M688" s="3">
        <v>115.49</v>
      </c>
      <c r="N688" s="3">
        <v>229.99</v>
      </c>
      <c r="O688" s="2" t="s">
        <v>97</v>
      </c>
      <c r="P688" s="2" t="s">
        <v>950</v>
      </c>
      <c r="Q688" s="2" t="s">
        <v>99</v>
      </c>
      <c r="R688" s="2" t="s">
        <v>100</v>
      </c>
      <c r="S688" s="2" t="s">
        <v>2622</v>
      </c>
      <c r="T688" s="2" t="s">
        <v>100</v>
      </c>
      <c r="U688" s="2" t="s">
        <v>402</v>
      </c>
      <c r="V688" s="2" t="s">
        <v>239</v>
      </c>
      <c r="W688" s="2" t="s">
        <v>239</v>
      </c>
      <c r="X688" s="2" t="s">
        <v>309</v>
      </c>
      <c r="Y688" s="2" t="s">
        <v>240</v>
      </c>
      <c r="Z688" s="4">
        <v>121</v>
      </c>
      <c r="AA688" s="4">
        <f>=ROUNDDOWN(60.5,0)</f>
      </c>
      <c r="AB688" s="5">
        <v>2</v>
      </c>
      <c r="AC688" s="2" t="s">
        <v>100</v>
      </c>
      <c r="AD688" s="4"/>
      <c r="AE688" s="4"/>
      <c r="AF688" s="6">
        <v>66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35</v>
      </c>
      <c r="BK688" s="8">
        <v>4052.64</v>
      </c>
      <c r="BL688" s="2" t="s">
        <v>2700</v>
      </c>
      <c r="BM688" s="7"/>
      <c r="BN688" s="7"/>
      <c r="BO688" s="4"/>
      <c r="BP688" s="8"/>
      <c r="BQ688" s="4"/>
      <c r="BR688" s="8"/>
      <c r="BS688" s="7"/>
      <c r="BT688" s="7"/>
      <c r="BU688" s="2" t="s">
        <v>2528</v>
      </c>
      <c r="BV688" s="2" t="s">
        <v>97</v>
      </c>
      <c r="BW688" s="2" t="s">
        <v>100</v>
      </c>
      <c r="BX688" s="2" t="s">
        <v>100</v>
      </c>
      <c r="BY688" s="2" t="s">
        <v>113</v>
      </c>
      <c r="BZ688" s="2" t="s">
        <v>100</v>
      </c>
    </row>
    <row r="689">
      <c r="A689" s="2" t="s">
        <v>2701</v>
      </c>
      <c r="B689" s="2" t="s">
        <v>87</v>
      </c>
      <c r="C689" s="2" t="s">
        <v>2611</v>
      </c>
      <c r="D689" s="2" t="s">
        <v>803</v>
      </c>
      <c r="E689" s="2" t="s">
        <v>804</v>
      </c>
      <c r="F689" s="2" t="s">
        <v>2621</v>
      </c>
      <c r="G689" s="2" t="s">
        <v>2621</v>
      </c>
      <c r="H689" s="2" t="s">
        <v>2621</v>
      </c>
      <c r="I689" s="2" t="s">
        <v>2559</v>
      </c>
      <c r="J689" s="2" t="s">
        <v>706</v>
      </c>
      <c r="K689" s="2" t="s">
        <v>189</v>
      </c>
      <c r="L689" s="3">
        <v>125</v>
      </c>
      <c r="M689" s="3">
        <v>131.24</v>
      </c>
      <c r="N689" s="3">
        <v>259.99</v>
      </c>
      <c r="O689" s="2" t="s">
        <v>97</v>
      </c>
      <c r="P689" s="2" t="s">
        <v>950</v>
      </c>
      <c r="Q689" s="2" t="s">
        <v>99</v>
      </c>
      <c r="R689" s="2" t="s">
        <v>100</v>
      </c>
      <c r="S689" s="2" t="s">
        <v>2622</v>
      </c>
      <c r="T689" s="2" t="s">
        <v>100</v>
      </c>
      <c r="U689" s="2" t="s">
        <v>100</v>
      </c>
      <c r="V689" s="2" t="s">
        <v>239</v>
      </c>
      <c r="W689" s="2" t="s">
        <v>239</v>
      </c>
      <c r="X689" s="2" t="s">
        <v>309</v>
      </c>
      <c r="Y689" s="2" t="s">
        <v>240</v>
      </c>
      <c r="Z689" s="4">
        <v>209</v>
      </c>
      <c r="AA689" s="4">
        <f>=ROUNDDOWN(31.6666666666667,0)</f>
      </c>
      <c r="AB689" s="5">
        <v>6.6</v>
      </c>
      <c r="AC689" s="2" t="s">
        <v>100</v>
      </c>
      <c r="AD689" s="4"/>
      <c r="AE689" s="4"/>
      <c r="AF689" s="6">
        <v>66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122</v>
      </c>
      <c r="BK689" s="8">
        <v>16245.71</v>
      </c>
      <c r="BL689" s="2" t="s">
        <v>2702</v>
      </c>
      <c r="BM689" s="7"/>
      <c r="BN689" s="7"/>
      <c r="BO689" s="4"/>
      <c r="BP689" s="8"/>
      <c r="BQ689" s="4"/>
      <c r="BR689" s="8"/>
      <c r="BS689" s="7"/>
      <c r="BT689" s="7"/>
      <c r="BU689" s="2" t="s">
        <v>2528</v>
      </c>
      <c r="BV689" s="2" t="s">
        <v>97</v>
      </c>
      <c r="BW689" s="2" t="s">
        <v>100</v>
      </c>
      <c r="BX689" s="2" t="s">
        <v>100</v>
      </c>
      <c r="BY689" s="2" t="s">
        <v>113</v>
      </c>
      <c r="BZ689" s="2" t="s">
        <v>100</v>
      </c>
    </row>
    <row r="690">
      <c r="A690" s="2" t="s">
        <v>2703</v>
      </c>
      <c r="B690" s="2" t="s">
        <v>87</v>
      </c>
      <c r="C690" s="2" t="s">
        <v>2611</v>
      </c>
      <c r="D690" s="2" t="s">
        <v>803</v>
      </c>
      <c r="E690" s="2" t="s">
        <v>804</v>
      </c>
      <c r="F690" s="2" t="s">
        <v>2621</v>
      </c>
      <c r="G690" s="2" t="s">
        <v>2621</v>
      </c>
      <c r="H690" s="2" t="s">
        <v>2621</v>
      </c>
      <c r="I690" s="2" t="s">
        <v>2559</v>
      </c>
      <c r="J690" s="2" t="s">
        <v>714</v>
      </c>
      <c r="K690" s="2" t="s">
        <v>189</v>
      </c>
      <c r="L690" s="3">
        <v>135</v>
      </c>
      <c r="M690" s="3">
        <v>141.74</v>
      </c>
      <c r="N690" s="3">
        <v>279.99</v>
      </c>
      <c r="O690" s="2" t="s">
        <v>97</v>
      </c>
      <c r="P690" s="2" t="s">
        <v>950</v>
      </c>
      <c r="Q690" s="2" t="s">
        <v>99</v>
      </c>
      <c r="R690" s="2" t="s">
        <v>100</v>
      </c>
      <c r="S690" s="2" t="s">
        <v>2622</v>
      </c>
      <c r="T690" s="2" t="s">
        <v>100</v>
      </c>
      <c r="U690" s="2" t="s">
        <v>402</v>
      </c>
      <c r="V690" s="2" t="s">
        <v>239</v>
      </c>
      <c r="W690" s="2" t="s">
        <v>239</v>
      </c>
      <c r="X690" s="2" t="s">
        <v>309</v>
      </c>
      <c r="Y690" s="2" t="s">
        <v>240</v>
      </c>
      <c r="Z690" s="4">
        <v>194</v>
      </c>
      <c r="AA690" s="4">
        <f>=ROUNDDOWN(26.5753424657534,0)</f>
      </c>
      <c r="AB690" s="5">
        <v>7.3</v>
      </c>
      <c r="AC690" s="2" t="s">
        <v>100</v>
      </c>
      <c r="AD690" s="4"/>
      <c r="AE690" s="4"/>
      <c r="AF690" s="6">
        <v>66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139</v>
      </c>
      <c r="BK690" s="8">
        <v>20151.2</v>
      </c>
      <c r="BL690" s="2" t="s">
        <v>2704</v>
      </c>
      <c r="BM690" s="7"/>
      <c r="BN690" s="7"/>
      <c r="BO690" s="4"/>
      <c r="BP690" s="8"/>
      <c r="BQ690" s="4"/>
      <c r="BR690" s="8"/>
      <c r="BS690" s="7"/>
      <c r="BT690" s="7"/>
      <c r="BU690" s="2" t="s">
        <v>2528</v>
      </c>
      <c r="BV690" s="2" t="s">
        <v>97</v>
      </c>
      <c r="BW690" s="2" t="s">
        <v>100</v>
      </c>
      <c r="BX690" s="2" t="s">
        <v>100</v>
      </c>
      <c r="BY690" s="2" t="s">
        <v>113</v>
      </c>
      <c r="BZ690" s="2" t="s">
        <v>100</v>
      </c>
    </row>
    <row r="691">
      <c r="A691" s="2" t="s">
        <v>2705</v>
      </c>
      <c r="B691" s="2" t="s">
        <v>87</v>
      </c>
      <c r="C691" s="2" t="s">
        <v>2611</v>
      </c>
      <c r="D691" s="2" t="s">
        <v>803</v>
      </c>
      <c r="E691" s="2" t="s">
        <v>804</v>
      </c>
      <c r="F691" s="2" t="s">
        <v>2621</v>
      </c>
      <c r="G691" s="2" t="s">
        <v>2621</v>
      </c>
      <c r="H691" s="2" t="s">
        <v>2621</v>
      </c>
      <c r="I691" s="2" t="s">
        <v>2559</v>
      </c>
      <c r="J691" s="2" t="s">
        <v>817</v>
      </c>
      <c r="K691" s="2" t="s">
        <v>189</v>
      </c>
      <c r="L691" s="3">
        <v>135</v>
      </c>
      <c r="M691" s="3">
        <v>141.74</v>
      </c>
      <c r="N691" s="3">
        <v>279.99</v>
      </c>
      <c r="O691" s="2" t="s">
        <v>97</v>
      </c>
      <c r="P691" s="2" t="s">
        <v>950</v>
      </c>
      <c r="Q691" s="2" t="s">
        <v>99</v>
      </c>
      <c r="R691" s="2" t="s">
        <v>100</v>
      </c>
      <c r="S691" s="2" t="s">
        <v>2622</v>
      </c>
      <c r="T691" s="2" t="s">
        <v>100</v>
      </c>
      <c r="U691" s="2" t="s">
        <v>402</v>
      </c>
      <c r="V691" s="2" t="s">
        <v>239</v>
      </c>
      <c r="W691" s="2" t="s">
        <v>239</v>
      </c>
      <c r="X691" s="2" t="s">
        <v>309</v>
      </c>
      <c r="Y691" s="2" t="s">
        <v>240</v>
      </c>
      <c r="Z691" s="4">
        <v>70</v>
      </c>
      <c r="AA691" s="4">
        <f>=ROUNDDOWN(35,0)</f>
      </c>
      <c r="AB691" s="5">
        <v>2</v>
      </c>
      <c r="AC691" s="2" t="s">
        <v>100</v>
      </c>
      <c r="AD691" s="4"/>
      <c r="AE691" s="4"/>
      <c r="AF691" s="6">
        <v>66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27</v>
      </c>
      <c r="BK691" s="8">
        <v>3945.5</v>
      </c>
      <c r="BL691" s="2" t="s">
        <v>2706</v>
      </c>
      <c r="BM691" s="7"/>
      <c r="BN691" s="7"/>
      <c r="BO691" s="4"/>
      <c r="BP691" s="8"/>
      <c r="BQ691" s="4"/>
      <c r="BR691" s="8"/>
      <c r="BS691" s="7"/>
      <c r="BT691" s="7"/>
      <c r="BU691" s="2" t="s">
        <v>2528</v>
      </c>
      <c r="BV691" s="2" t="s">
        <v>97</v>
      </c>
      <c r="BW691" s="2" t="s">
        <v>100</v>
      </c>
      <c r="BX691" s="2" t="s">
        <v>100</v>
      </c>
      <c r="BY691" s="2" t="s">
        <v>113</v>
      </c>
      <c r="BZ691" s="2" t="s">
        <v>100</v>
      </c>
    </row>
    <row r="692">
      <c r="A692" s="2" t="s">
        <v>2707</v>
      </c>
      <c r="B692" s="2" t="s">
        <v>87</v>
      </c>
      <c r="C692" s="2" t="s">
        <v>2611</v>
      </c>
      <c r="D692" s="2" t="s">
        <v>803</v>
      </c>
      <c r="E692" s="2" t="s">
        <v>804</v>
      </c>
      <c r="F692" s="2" t="s">
        <v>2708</v>
      </c>
      <c r="G692" s="2" t="s">
        <v>2708</v>
      </c>
      <c r="H692" s="2" t="s">
        <v>2708</v>
      </c>
      <c r="I692" s="2" t="s">
        <v>2709</v>
      </c>
      <c r="J692" s="2" t="s">
        <v>717</v>
      </c>
      <c r="K692" s="2" t="s">
        <v>2710</v>
      </c>
      <c r="L692" s="3">
        <v>91.2</v>
      </c>
      <c r="M692" s="3">
        <v>95.76</v>
      </c>
      <c r="N692" s="3">
        <v>189.99</v>
      </c>
      <c r="O692" s="2" t="s">
        <v>97</v>
      </c>
      <c r="P692" s="2" t="s">
        <v>225</v>
      </c>
      <c r="Q692" s="2" t="s">
        <v>99</v>
      </c>
      <c r="R692" s="2" t="s">
        <v>100</v>
      </c>
      <c r="S692" s="2" t="s">
        <v>2711</v>
      </c>
      <c r="T692" s="2" t="s">
        <v>280</v>
      </c>
      <c r="U692" s="2" t="s">
        <v>102</v>
      </c>
      <c r="V692" s="2" t="s">
        <v>350</v>
      </c>
      <c r="W692" s="2" t="s">
        <v>219</v>
      </c>
      <c r="X692" s="2" t="s">
        <v>2712</v>
      </c>
      <c r="Y692" s="2" t="s">
        <v>2713</v>
      </c>
      <c r="Z692" s="4">
        <v>170</v>
      </c>
      <c r="AA692" s="4">
        <f>=ROUNDDOWN(56.6666666666667,0)</f>
      </c>
      <c r="AB692" s="5">
        <v>3</v>
      </c>
      <c r="AC692" s="2" t="s">
        <v>100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36</v>
      </c>
      <c r="BK692" s="8">
        <v>3694.14</v>
      </c>
      <c r="BL692" s="2" t="s">
        <v>2714</v>
      </c>
      <c r="BM692" s="7"/>
      <c r="BN692" s="7"/>
      <c r="BO692" s="4"/>
      <c r="BP692" s="8"/>
      <c r="BQ692" s="4"/>
      <c r="BR692" s="8"/>
      <c r="BS692" s="7"/>
      <c r="BT692" s="7"/>
      <c r="BU692" s="2" t="s">
        <v>2528</v>
      </c>
      <c r="BV692" s="2" t="s">
        <v>97</v>
      </c>
      <c r="BW692" s="2" t="s">
        <v>100</v>
      </c>
      <c r="BX692" s="2" t="s">
        <v>100</v>
      </c>
      <c r="BY692" s="2" t="s">
        <v>113</v>
      </c>
      <c r="BZ692" s="2" t="s">
        <v>100</v>
      </c>
    </row>
    <row r="693">
      <c r="A693" s="2" t="s">
        <v>2715</v>
      </c>
      <c r="B693" s="2" t="s">
        <v>87</v>
      </c>
      <c r="C693" s="2" t="s">
        <v>2611</v>
      </c>
      <c r="D693" s="2" t="s">
        <v>803</v>
      </c>
      <c r="E693" s="2" t="s">
        <v>804</v>
      </c>
      <c r="F693" s="2" t="s">
        <v>2708</v>
      </c>
      <c r="G693" s="2" t="s">
        <v>2708</v>
      </c>
      <c r="H693" s="2" t="s">
        <v>2708</v>
      </c>
      <c r="I693" s="2" t="s">
        <v>2709</v>
      </c>
      <c r="J693" s="2" t="s">
        <v>706</v>
      </c>
      <c r="K693" s="2" t="s">
        <v>2710</v>
      </c>
      <c r="L693" s="3">
        <v>100.8</v>
      </c>
      <c r="M693" s="3">
        <v>105.84</v>
      </c>
      <c r="N693" s="3">
        <v>209.99</v>
      </c>
      <c r="O693" s="2" t="s">
        <v>97</v>
      </c>
      <c r="P693" s="2" t="s">
        <v>225</v>
      </c>
      <c r="Q693" s="2" t="s">
        <v>99</v>
      </c>
      <c r="R693" s="2" t="s">
        <v>100</v>
      </c>
      <c r="S693" s="2" t="s">
        <v>2711</v>
      </c>
      <c r="T693" s="2" t="s">
        <v>280</v>
      </c>
      <c r="U693" s="2" t="s">
        <v>102</v>
      </c>
      <c r="V693" s="2" t="s">
        <v>350</v>
      </c>
      <c r="W693" s="2" t="s">
        <v>219</v>
      </c>
      <c r="X693" s="2" t="s">
        <v>2712</v>
      </c>
      <c r="Y693" s="2" t="s">
        <v>2713</v>
      </c>
      <c r="Z693" s="4">
        <v>247</v>
      </c>
      <c r="AA693" s="4">
        <f>=ROUNDDOWN(49.4,0)</f>
      </c>
      <c r="AB693" s="5">
        <v>5</v>
      </c>
      <c r="AC693" s="2" t="s">
        <v>100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54</v>
      </c>
      <c r="BK693" s="8">
        <v>6044.23</v>
      </c>
      <c r="BL693" s="2" t="s">
        <v>734</v>
      </c>
      <c r="BM693" s="7"/>
      <c r="BN693" s="7"/>
      <c r="BO693" s="4"/>
      <c r="BP693" s="8"/>
      <c r="BQ693" s="4"/>
      <c r="BR693" s="8"/>
      <c r="BS693" s="7"/>
      <c r="BT693" s="7"/>
      <c r="BU693" s="2" t="s">
        <v>2528</v>
      </c>
      <c r="BV693" s="2" t="s">
        <v>97</v>
      </c>
      <c r="BW693" s="2" t="s">
        <v>100</v>
      </c>
      <c r="BX693" s="2" t="s">
        <v>100</v>
      </c>
      <c r="BY693" s="2" t="s">
        <v>113</v>
      </c>
      <c r="BZ693" s="2" t="s">
        <v>100</v>
      </c>
    </row>
    <row r="694">
      <c r="A694" s="2" t="s">
        <v>2716</v>
      </c>
      <c r="B694" s="2" t="s">
        <v>87</v>
      </c>
      <c r="C694" s="2" t="s">
        <v>2611</v>
      </c>
      <c r="D694" s="2" t="s">
        <v>803</v>
      </c>
      <c r="E694" s="2" t="s">
        <v>804</v>
      </c>
      <c r="F694" s="2" t="s">
        <v>2708</v>
      </c>
      <c r="G694" s="2" t="s">
        <v>2708</v>
      </c>
      <c r="H694" s="2" t="s">
        <v>2708</v>
      </c>
      <c r="I694" s="2" t="s">
        <v>2709</v>
      </c>
      <c r="J694" s="2" t="s">
        <v>714</v>
      </c>
      <c r="K694" s="2" t="s">
        <v>2710</v>
      </c>
      <c r="L694" s="3">
        <v>110.4</v>
      </c>
      <c r="M694" s="3">
        <v>115.92</v>
      </c>
      <c r="N694" s="3">
        <v>229.99</v>
      </c>
      <c r="O694" s="2" t="s">
        <v>97</v>
      </c>
      <c r="P694" s="2" t="s">
        <v>225</v>
      </c>
      <c r="Q694" s="2" t="s">
        <v>99</v>
      </c>
      <c r="R694" s="2" t="s">
        <v>100</v>
      </c>
      <c r="S694" s="2" t="s">
        <v>2711</v>
      </c>
      <c r="T694" s="2" t="s">
        <v>280</v>
      </c>
      <c r="U694" s="2" t="s">
        <v>102</v>
      </c>
      <c r="V694" s="2" t="s">
        <v>350</v>
      </c>
      <c r="W694" s="2" t="s">
        <v>219</v>
      </c>
      <c r="X694" s="2" t="s">
        <v>2712</v>
      </c>
      <c r="Y694" s="2" t="s">
        <v>2713</v>
      </c>
      <c r="Z694" s="4">
        <v>288</v>
      </c>
      <c r="AA694" s="4">
        <f>=ROUNDDOWN(57.6,0)</f>
      </c>
      <c r="AB694" s="5">
        <v>5</v>
      </c>
      <c r="AC694" s="2" t="s">
        <v>100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57</v>
      </c>
      <c r="BK694" s="8">
        <v>6970.88</v>
      </c>
      <c r="BL694" s="2" t="s">
        <v>2717</v>
      </c>
      <c r="BM694" s="7"/>
      <c r="BN694" s="7"/>
      <c r="BO694" s="4"/>
      <c r="BP694" s="8"/>
      <c r="BQ694" s="4"/>
      <c r="BR694" s="8"/>
      <c r="BS694" s="7"/>
      <c r="BT694" s="7"/>
      <c r="BU694" s="2" t="s">
        <v>2528</v>
      </c>
      <c r="BV694" s="2" t="s">
        <v>97</v>
      </c>
      <c r="BW694" s="2" t="s">
        <v>100</v>
      </c>
      <c r="BX694" s="2" t="s">
        <v>100</v>
      </c>
      <c r="BY694" s="2" t="s">
        <v>113</v>
      </c>
      <c r="BZ694" s="2" t="s">
        <v>100</v>
      </c>
    </row>
    <row r="695">
      <c r="A695" s="2" t="s">
        <v>2718</v>
      </c>
      <c r="B695" s="2" t="s">
        <v>87</v>
      </c>
      <c r="C695" s="2" t="s">
        <v>2611</v>
      </c>
      <c r="D695" s="2" t="s">
        <v>803</v>
      </c>
      <c r="E695" s="2" t="s">
        <v>804</v>
      </c>
      <c r="F695" s="2" t="s">
        <v>2708</v>
      </c>
      <c r="G695" s="2" t="s">
        <v>2708</v>
      </c>
      <c r="H695" s="2" t="s">
        <v>2708</v>
      </c>
      <c r="I695" s="2" t="s">
        <v>2709</v>
      </c>
      <c r="J695" s="2" t="s">
        <v>817</v>
      </c>
      <c r="K695" s="2" t="s">
        <v>2710</v>
      </c>
      <c r="L695" s="3">
        <v>110.4</v>
      </c>
      <c r="M695" s="3">
        <v>115.92</v>
      </c>
      <c r="N695" s="3">
        <v>229.99</v>
      </c>
      <c r="O695" s="2" t="s">
        <v>97</v>
      </c>
      <c r="P695" s="2" t="s">
        <v>225</v>
      </c>
      <c r="Q695" s="2" t="s">
        <v>99</v>
      </c>
      <c r="R695" s="2" t="s">
        <v>100</v>
      </c>
      <c r="S695" s="2" t="s">
        <v>2711</v>
      </c>
      <c r="T695" s="2" t="s">
        <v>280</v>
      </c>
      <c r="U695" s="2" t="s">
        <v>102</v>
      </c>
      <c r="V695" s="2" t="s">
        <v>350</v>
      </c>
      <c r="W695" s="2" t="s">
        <v>219</v>
      </c>
      <c r="X695" s="2" t="s">
        <v>2712</v>
      </c>
      <c r="Y695" s="2" t="s">
        <v>2713</v>
      </c>
      <c r="Z695" s="4">
        <v>137</v>
      </c>
      <c r="AA695" s="4">
        <f>=ROUNDDOWN(45.6666666666667,0)</f>
      </c>
      <c r="AB695" s="5">
        <v>3</v>
      </c>
      <c r="AC695" s="2" t="s">
        <v>100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20</v>
      </c>
      <c r="BK695" s="8">
        <v>2491.19</v>
      </c>
      <c r="BL695" s="2" t="s">
        <v>2714</v>
      </c>
      <c r="BM695" s="7"/>
      <c r="BN695" s="7"/>
      <c r="BO695" s="4"/>
      <c r="BP695" s="8"/>
      <c r="BQ695" s="4"/>
      <c r="BR695" s="8"/>
      <c r="BS695" s="7"/>
      <c r="BT695" s="7"/>
      <c r="BU695" s="2" t="s">
        <v>2528</v>
      </c>
      <c r="BV695" s="2" t="s">
        <v>97</v>
      </c>
      <c r="BW695" s="2" t="s">
        <v>100</v>
      </c>
      <c r="BX695" s="2" t="s">
        <v>100</v>
      </c>
      <c r="BY695" s="2" t="s">
        <v>113</v>
      </c>
      <c r="BZ695" s="2" t="s">
        <v>100</v>
      </c>
    </row>
    <row r="696">
      <c r="A696" s="2" t="s">
        <v>2719</v>
      </c>
      <c r="B696" s="2" t="s">
        <v>87</v>
      </c>
      <c r="C696" s="2" t="s">
        <v>2611</v>
      </c>
      <c r="D696" s="2" t="s">
        <v>803</v>
      </c>
      <c r="E696" s="2" t="s">
        <v>804</v>
      </c>
      <c r="F696" s="2" t="s">
        <v>2708</v>
      </c>
      <c r="G696" s="2" t="s">
        <v>2708</v>
      </c>
      <c r="H696" s="2" t="s">
        <v>2708</v>
      </c>
      <c r="I696" s="2" t="s">
        <v>2709</v>
      </c>
      <c r="J696" s="2" t="s">
        <v>717</v>
      </c>
      <c r="K696" s="2" t="s">
        <v>2720</v>
      </c>
      <c r="L696" s="3">
        <v>91.2</v>
      </c>
      <c r="M696" s="3">
        <v>95.76</v>
      </c>
      <c r="N696" s="3">
        <v>189.99</v>
      </c>
      <c r="O696" s="2" t="s">
        <v>97</v>
      </c>
      <c r="P696" s="2" t="s">
        <v>372</v>
      </c>
      <c r="Q696" s="2" t="s">
        <v>99</v>
      </c>
      <c r="R696" s="2" t="s">
        <v>100</v>
      </c>
      <c r="S696" s="2" t="s">
        <v>2721</v>
      </c>
      <c r="T696" s="2" t="s">
        <v>280</v>
      </c>
      <c r="U696" s="2" t="s">
        <v>102</v>
      </c>
      <c r="V696" s="2" t="s">
        <v>350</v>
      </c>
      <c r="W696" s="2" t="s">
        <v>219</v>
      </c>
      <c r="X696" s="2" t="s">
        <v>2712</v>
      </c>
      <c r="Y696" s="2" t="s">
        <v>2722</v>
      </c>
      <c r="Z696" s="4">
        <v>212</v>
      </c>
      <c r="AA696" s="4">
        <f>=ROUNDDOWN(70.6666666666667,0)</f>
      </c>
      <c r="AB696" s="5">
        <v>3</v>
      </c>
      <c r="AC696" s="2" t="s">
        <v>356</v>
      </c>
      <c r="AD696" s="4">
        <v>210</v>
      </c>
      <c r="AE696" s="4">
        <v>210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43</v>
      </c>
      <c r="BK696" s="8">
        <v>4399.7</v>
      </c>
      <c r="BL696" s="2" t="s">
        <v>2723</v>
      </c>
      <c r="BM696" s="7"/>
      <c r="BN696" s="7"/>
      <c r="BO696" s="4"/>
      <c r="BP696" s="8"/>
      <c r="BQ696" s="4"/>
      <c r="BR696" s="8"/>
      <c r="BS696" s="7"/>
      <c r="BT696" s="7"/>
      <c r="BU696" s="2" t="s">
        <v>2528</v>
      </c>
      <c r="BV696" s="2" t="s">
        <v>97</v>
      </c>
      <c r="BW696" s="2" t="s">
        <v>100</v>
      </c>
      <c r="BX696" s="2" t="s">
        <v>100</v>
      </c>
      <c r="BY696" s="2" t="s">
        <v>113</v>
      </c>
      <c r="BZ696" s="2" t="s">
        <v>100</v>
      </c>
    </row>
    <row r="697">
      <c r="A697" s="2" t="s">
        <v>2724</v>
      </c>
      <c r="B697" s="2" t="s">
        <v>87</v>
      </c>
      <c r="C697" s="2" t="s">
        <v>2611</v>
      </c>
      <c r="D697" s="2" t="s">
        <v>803</v>
      </c>
      <c r="E697" s="2" t="s">
        <v>804</v>
      </c>
      <c r="F697" s="2" t="s">
        <v>2708</v>
      </c>
      <c r="G697" s="2" t="s">
        <v>2708</v>
      </c>
      <c r="H697" s="2" t="s">
        <v>2708</v>
      </c>
      <c r="I697" s="2" t="s">
        <v>2709</v>
      </c>
      <c r="J697" s="2" t="s">
        <v>706</v>
      </c>
      <c r="K697" s="2" t="s">
        <v>2720</v>
      </c>
      <c r="L697" s="3">
        <v>100.8</v>
      </c>
      <c r="M697" s="3">
        <v>105.84</v>
      </c>
      <c r="N697" s="3">
        <v>209.99</v>
      </c>
      <c r="O697" s="2" t="s">
        <v>97</v>
      </c>
      <c r="P697" s="2" t="s">
        <v>372</v>
      </c>
      <c r="Q697" s="2" t="s">
        <v>99</v>
      </c>
      <c r="R697" s="2" t="s">
        <v>100</v>
      </c>
      <c r="S697" s="2" t="s">
        <v>2721</v>
      </c>
      <c r="T697" s="2" t="s">
        <v>280</v>
      </c>
      <c r="U697" s="2" t="s">
        <v>102</v>
      </c>
      <c r="V697" s="2" t="s">
        <v>350</v>
      </c>
      <c r="W697" s="2" t="s">
        <v>219</v>
      </c>
      <c r="X697" s="2" t="s">
        <v>2712</v>
      </c>
      <c r="Y697" s="2" t="s">
        <v>2722</v>
      </c>
      <c r="Z697" s="4">
        <v>323</v>
      </c>
      <c r="AA697" s="4">
        <f>=ROUNDDOWN(40.375,0)</f>
      </c>
      <c r="AB697" s="5">
        <v>8</v>
      </c>
      <c r="AC697" s="2" t="s">
        <v>356</v>
      </c>
      <c r="AD697" s="4">
        <v>150</v>
      </c>
      <c r="AE697" s="4">
        <v>150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154</v>
      </c>
      <c r="BK697" s="8">
        <v>17259.02</v>
      </c>
      <c r="BL697" s="2" t="s">
        <v>2725</v>
      </c>
      <c r="BM697" s="7"/>
      <c r="BN697" s="7"/>
      <c r="BO697" s="4"/>
      <c r="BP697" s="8"/>
      <c r="BQ697" s="4"/>
      <c r="BR697" s="8"/>
      <c r="BS697" s="7"/>
      <c r="BT697" s="7"/>
      <c r="BU697" s="2" t="s">
        <v>2528</v>
      </c>
      <c r="BV697" s="2" t="s">
        <v>97</v>
      </c>
      <c r="BW697" s="2" t="s">
        <v>100</v>
      </c>
      <c r="BX697" s="2" t="s">
        <v>100</v>
      </c>
      <c r="BY697" s="2" t="s">
        <v>113</v>
      </c>
      <c r="BZ697" s="2" t="s">
        <v>100</v>
      </c>
    </row>
    <row r="698">
      <c r="A698" s="2" t="s">
        <v>2726</v>
      </c>
      <c r="B698" s="2" t="s">
        <v>87</v>
      </c>
      <c r="C698" s="2" t="s">
        <v>2611</v>
      </c>
      <c r="D698" s="2" t="s">
        <v>803</v>
      </c>
      <c r="E698" s="2" t="s">
        <v>804</v>
      </c>
      <c r="F698" s="2" t="s">
        <v>2708</v>
      </c>
      <c r="G698" s="2" t="s">
        <v>2708</v>
      </c>
      <c r="H698" s="2" t="s">
        <v>2708</v>
      </c>
      <c r="I698" s="2" t="s">
        <v>2709</v>
      </c>
      <c r="J698" s="2" t="s">
        <v>714</v>
      </c>
      <c r="K698" s="2" t="s">
        <v>2720</v>
      </c>
      <c r="L698" s="3">
        <v>110.4</v>
      </c>
      <c r="M698" s="3">
        <v>115.92</v>
      </c>
      <c r="N698" s="3">
        <v>229.99</v>
      </c>
      <c r="O698" s="2" t="s">
        <v>97</v>
      </c>
      <c r="P698" s="2" t="s">
        <v>372</v>
      </c>
      <c r="Q698" s="2" t="s">
        <v>99</v>
      </c>
      <c r="R698" s="2" t="s">
        <v>100</v>
      </c>
      <c r="S698" s="2" t="s">
        <v>2721</v>
      </c>
      <c r="T698" s="2" t="s">
        <v>280</v>
      </c>
      <c r="U698" s="2" t="s">
        <v>102</v>
      </c>
      <c r="V698" s="2" t="s">
        <v>350</v>
      </c>
      <c r="W698" s="2" t="s">
        <v>219</v>
      </c>
      <c r="X698" s="2" t="s">
        <v>2712</v>
      </c>
      <c r="Y698" s="2" t="s">
        <v>2722</v>
      </c>
      <c r="Z698" s="4">
        <v>304</v>
      </c>
      <c r="AA698" s="4">
        <f>=ROUNDDOWN(33.7777777777778,0)</f>
      </c>
      <c r="AB698" s="5">
        <v>9</v>
      </c>
      <c r="AC698" s="2" t="s">
        <v>100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185</v>
      </c>
      <c r="BK698" s="8">
        <v>22828.23</v>
      </c>
      <c r="BL698" s="2" t="s">
        <v>2727</v>
      </c>
      <c r="BM698" s="7"/>
      <c r="BN698" s="7"/>
      <c r="BO698" s="4"/>
      <c r="BP698" s="8"/>
      <c r="BQ698" s="4"/>
      <c r="BR698" s="8"/>
      <c r="BS698" s="7"/>
      <c r="BT698" s="7"/>
      <c r="BU698" s="2" t="s">
        <v>2528</v>
      </c>
      <c r="BV698" s="2" t="s">
        <v>97</v>
      </c>
      <c r="BW698" s="2" t="s">
        <v>100</v>
      </c>
      <c r="BX698" s="2" t="s">
        <v>100</v>
      </c>
      <c r="BY698" s="2" t="s">
        <v>113</v>
      </c>
      <c r="BZ698" s="2" t="s">
        <v>100</v>
      </c>
    </row>
    <row r="699">
      <c r="A699" s="2" t="s">
        <v>2728</v>
      </c>
      <c r="B699" s="2" t="s">
        <v>87</v>
      </c>
      <c r="C699" s="2" t="s">
        <v>2611</v>
      </c>
      <c r="D699" s="2" t="s">
        <v>803</v>
      </c>
      <c r="E699" s="2" t="s">
        <v>804</v>
      </c>
      <c r="F699" s="2" t="s">
        <v>2708</v>
      </c>
      <c r="G699" s="2" t="s">
        <v>2708</v>
      </c>
      <c r="H699" s="2" t="s">
        <v>2708</v>
      </c>
      <c r="I699" s="2" t="s">
        <v>2709</v>
      </c>
      <c r="J699" s="2" t="s">
        <v>817</v>
      </c>
      <c r="K699" s="2" t="s">
        <v>2720</v>
      </c>
      <c r="L699" s="3">
        <v>110.4</v>
      </c>
      <c r="M699" s="3">
        <v>115.92</v>
      </c>
      <c r="N699" s="3">
        <v>229.99</v>
      </c>
      <c r="O699" s="2" t="s">
        <v>97</v>
      </c>
      <c r="P699" s="2" t="s">
        <v>372</v>
      </c>
      <c r="Q699" s="2" t="s">
        <v>99</v>
      </c>
      <c r="R699" s="2" t="s">
        <v>100</v>
      </c>
      <c r="S699" s="2" t="s">
        <v>2721</v>
      </c>
      <c r="T699" s="2" t="s">
        <v>280</v>
      </c>
      <c r="U699" s="2" t="s">
        <v>102</v>
      </c>
      <c r="V699" s="2" t="s">
        <v>350</v>
      </c>
      <c r="W699" s="2" t="s">
        <v>219</v>
      </c>
      <c r="X699" s="2" t="s">
        <v>2712</v>
      </c>
      <c r="Y699" s="2" t="s">
        <v>2722</v>
      </c>
      <c r="Z699" s="4">
        <v>236</v>
      </c>
      <c r="AA699" s="4">
        <f>=ROUNDDOWN(47.2,0)</f>
      </c>
      <c r="AB699" s="5">
        <v>5</v>
      </c>
      <c r="AC699" s="2" t="s">
        <v>356</v>
      </c>
      <c r="AD699" s="4">
        <v>180</v>
      </c>
      <c r="AE699" s="4">
        <v>180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96</v>
      </c>
      <c r="BK699" s="8">
        <v>11826.85</v>
      </c>
      <c r="BL699" s="2" t="s">
        <v>2729</v>
      </c>
      <c r="BM699" s="7"/>
      <c r="BN699" s="7"/>
      <c r="BO699" s="4"/>
      <c r="BP699" s="8"/>
      <c r="BQ699" s="4"/>
      <c r="BR699" s="8"/>
      <c r="BS699" s="7"/>
      <c r="BT699" s="7"/>
      <c r="BU699" s="2" t="s">
        <v>2528</v>
      </c>
      <c r="BV699" s="2" t="s">
        <v>97</v>
      </c>
      <c r="BW699" s="2" t="s">
        <v>100</v>
      </c>
      <c r="BX699" s="2" t="s">
        <v>100</v>
      </c>
      <c r="BY699" s="2" t="s">
        <v>113</v>
      </c>
      <c r="BZ699" s="2" t="s">
        <v>100</v>
      </c>
    </row>
    <row r="700">
      <c r="A700" s="2" t="s">
        <v>2730</v>
      </c>
      <c r="B700" s="2" t="s">
        <v>87</v>
      </c>
      <c r="C700" s="2" t="s">
        <v>2611</v>
      </c>
      <c r="D700" s="2" t="s">
        <v>803</v>
      </c>
      <c r="E700" s="2" t="s">
        <v>804</v>
      </c>
      <c r="F700" s="2" t="s">
        <v>2731</v>
      </c>
      <c r="G700" s="2" t="s">
        <v>2731</v>
      </c>
      <c r="H700" s="2" t="s">
        <v>2731</v>
      </c>
      <c r="I700" s="2" t="s">
        <v>2732</v>
      </c>
      <c r="J700" s="2" t="s">
        <v>706</v>
      </c>
      <c r="K700" s="2" t="s">
        <v>130</v>
      </c>
      <c r="L700" s="3">
        <v>86.85</v>
      </c>
      <c r="M700" s="3">
        <v>91.2</v>
      </c>
      <c r="N700" s="3">
        <v>189.99</v>
      </c>
      <c r="O700" s="2" t="s">
        <v>97</v>
      </c>
      <c r="P700" s="2" t="s">
        <v>2478</v>
      </c>
      <c r="Q700" s="2" t="s">
        <v>99</v>
      </c>
      <c r="R700" s="2" t="s">
        <v>100</v>
      </c>
      <c r="S700" s="2" t="s">
        <v>100</v>
      </c>
      <c r="T700" s="2" t="s">
        <v>280</v>
      </c>
      <c r="U700" s="2" t="s">
        <v>402</v>
      </c>
      <c r="V700" s="2" t="s">
        <v>146</v>
      </c>
      <c r="W700" s="2" t="s">
        <v>100</v>
      </c>
      <c r="X700" s="2" t="s">
        <v>100</v>
      </c>
      <c r="Y700" s="2" t="s">
        <v>100</v>
      </c>
      <c r="Z700" s="4"/>
      <c r="AA700" s="4">
        <f>=ROUNDDOWN({0},0)</f>
      </c>
      <c r="AB700" s="5"/>
      <c r="AC700" s="2" t="s">
        <v>100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/>
      <c r="BK700" s="8"/>
      <c r="BL700" s="2" t="s">
        <v>100</v>
      </c>
      <c r="BM700" s="7"/>
      <c r="BN700" s="7"/>
      <c r="BO700" s="4"/>
      <c r="BP700" s="8"/>
      <c r="BQ700" s="4"/>
      <c r="BR700" s="8"/>
      <c r="BS700" s="7"/>
      <c r="BT700" s="7"/>
      <c r="BU700" s="2" t="s">
        <v>2528</v>
      </c>
      <c r="BV700" s="2" t="s">
        <v>97</v>
      </c>
      <c r="BW700" s="2" t="s">
        <v>100</v>
      </c>
      <c r="BX700" s="2" t="s">
        <v>100</v>
      </c>
      <c r="BY700" s="2" t="s">
        <v>113</v>
      </c>
      <c r="BZ700" s="2" t="s">
        <v>100</v>
      </c>
    </row>
    <row r="701">
      <c r="A701" s="2" t="s">
        <v>2733</v>
      </c>
      <c r="B701" s="2" t="s">
        <v>87</v>
      </c>
      <c r="C701" s="2" t="s">
        <v>2611</v>
      </c>
      <c r="D701" s="2" t="s">
        <v>803</v>
      </c>
      <c r="E701" s="2" t="s">
        <v>804</v>
      </c>
      <c r="F701" s="2" t="s">
        <v>2731</v>
      </c>
      <c r="G701" s="2" t="s">
        <v>2731</v>
      </c>
      <c r="H701" s="2" t="s">
        <v>2731</v>
      </c>
      <c r="I701" s="2" t="s">
        <v>2732</v>
      </c>
      <c r="J701" s="2" t="s">
        <v>714</v>
      </c>
      <c r="K701" s="2" t="s">
        <v>130</v>
      </c>
      <c r="L701" s="3">
        <v>96</v>
      </c>
      <c r="M701" s="3">
        <v>100.8</v>
      </c>
      <c r="N701" s="3">
        <v>209.99</v>
      </c>
      <c r="O701" s="2" t="s">
        <v>97</v>
      </c>
      <c r="P701" s="2" t="s">
        <v>2478</v>
      </c>
      <c r="Q701" s="2" t="s">
        <v>99</v>
      </c>
      <c r="R701" s="2" t="s">
        <v>100</v>
      </c>
      <c r="S701" s="2" t="s">
        <v>100</v>
      </c>
      <c r="T701" s="2" t="s">
        <v>280</v>
      </c>
      <c r="U701" s="2" t="s">
        <v>402</v>
      </c>
      <c r="V701" s="2" t="s">
        <v>146</v>
      </c>
      <c r="W701" s="2" t="s">
        <v>100</v>
      </c>
      <c r="X701" s="2" t="s">
        <v>100</v>
      </c>
      <c r="Y701" s="2" t="s">
        <v>100</v>
      </c>
      <c r="Z701" s="4"/>
      <c r="AA701" s="4">
        <f>=ROUNDDOWN({0},0)</f>
      </c>
      <c r="AB701" s="5"/>
      <c r="AC701" s="2" t="s">
        <v>100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/>
      <c r="BK701" s="8"/>
      <c r="BL701" s="2" t="s">
        <v>100</v>
      </c>
      <c r="BM701" s="7"/>
      <c r="BN701" s="7"/>
      <c r="BO701" s="4"/>
      <c r="BP701" s="8"/>
      <c r="BQ701" s="4"/>
      <c r="BR701" s="8"/>
      <c r="BS701" s="7"/>
      <c r="BT701" s="7"/>
      <c r="BU701" s="2" t="s">
        <v>2528</v>
      </c>
      <c r="BV701" s="2" t="s">
        <v>97</v>
      </c>
      <c r="BW701" s="2" t="s">
        <v>100</v>
      </c>
      <c r="BX701" s="2" t="s">
        <v>100</v>
      </c>
      <c r="BY701" s="2" t="s">
        <v>113</v>
      </c>
      <c r="BZ701" s="2" t="s">
        <v>100</v>
      </c>
    </row>
    <row r="702">
      <c r="A702" s="2" t="s">
        <v>2734</v>
      </c>
      <c r="B702" s="2" t="s">
        <v>87</v>
      </c>
      <c r="C702" s="2" t="s">
        <v>2611</v>
      </c>
      <c r="D702" s="2" t="s">
        <v>803</v>
      </c>
      <c r="E702" s="2" t="s">
        <v>804</v>
      </c>
      <c r="F702" s="2" t="s">
        <v>2731</v>
      </c>
      <c r="G702" s="2" t="s">
        <v>2731</v>
      </c>
      <c r="H702" s="2" t="s">
        <v>2731</v>
      </c>
      <c r="I702" s="2" t="s">
        <v>2732</v>
      </c>
      <c r="J702" s="2" t="s">
        <v>817</v>
      </c>
      <c r="K702" s="2" t="s">
        <v>130</v>
      </c>
      <c r="L702" s="3">
        <v>96</v>
      </c>
      <c r="M702" s="3">
        <v>100.8</v>
      </c>
      <c r="N702" s="3">
        <v>209.99</v>
      </c>
      <c r="O702" s="2" t="s">
        <v>97</v>
      </c>
      <c r="P702" s="2" t="s">
        <v>2478</v>
      </c>
      <c r="Q702" s="2" t="s">
        <v>99</v>
      </c>
      <c r="R702" s="2" t="s">
        <v>100</v>
      </c>
      <c r="S702" s="2" t="s">
        <v>100</v>
      </c>
      <c r="T702" s="2" t="s">
        <v>280</v>
      </c>
      <c r="U702" s="2" t="s">
        <v>402</v>
      </c>
      <c r="V702" s="2" t="s">
        <v>146</v>
      </c>
      <c r="W702" s="2" t="s">
        <v>100</v>
      </c>
      <c r="X702" s="2" t="s">
        <v>100</v>
      </c>
      <c r="Y702" s="2" t="s">
        <v>100</v>
      </c>
      <c r="Z702" s="4"/>
      <c r="AA702" s="4">
        <f>=ROUNDDOWN({0},0)</f>
      </c>
      <c r="AB702" s="5"/>
      <c r="AC702" s="2" t="s">
        <v>100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/>
      <c r="BK702" s="8"/>
      <c r="BL702" s="2" t="s">
        <v>100</v>
      </c>
      <c r="BM702" s="7"/>
      <c r="BN702" s="7"/>
      <c r="BO702" s="4"/>
      <c r="BP702" s="8"/>
      <c r="BQ702" s="4"/>
      <c r="BR702" s="8"/>
      <c r="BS702" s="7"/>
      <c r="BT702" s="7"/>
      <c r="BU702" s="2" t="s">
        <v>2528</v>
      </c>
      <c r="BV702" s="2" t="s">
        <v>97</v>
      </c>
      <c r="BW702" s="2" t="s">
        <v>100</v>
      </c>
      <c r="BX702" s="2" t="s">
        <v>100</v>
      </c>
      <c r="BY702" s="2" t="s">
        <v>113</v>
      </c>
      <c r="BZ702" s="2" t="s">
        <v>100</v>
      </c>
    </row>
    <row r="703">
      <c r="A703" s="2" t="s">
        <v>2735</v>
      </c>
      <c r="B703" s="2" t="s">
        <v>87</v>
      </c>
      <c r="C703" s="2" t="s">
        <v>2611</v>
      </c>
      <c r="D703" s="2" t="s">
        <v>803</v>
      </c>
      <c r="E703" s="2" t="s">
        <v>804</v>
      </c>
      <c r="F703" s="2" t="s">
        <v>2736</v>
      </c>
      <c r="G703" s="2" t="s">
        <v>100</v>
      </c>
      <c r="H703" s="2" t="s">
        <v>100</v>
      </c>
      <c r="I703" s="2" t="s">
        <v>2737</v>
      </c>
      <c r="J703" s="2" t="s">
        <v>247</v>
      </c>
      <c r="K703" s="2" t="s">
        <v>1614</v>
      </c>
      <c r="L703" s="3">
        <v>125</v>
      </c>
      <c r="M703" s="3">
        <v>131.24</v>
      </c>
      <c r="N703" s="3">
        <v>259.99</v>
      </c>
      <c r="O703" s="2" t="s">
        <v>97</v>
      </c>
      <c r="P703" s="2" t="s">
        <v>119</v>
      </c>
      <c r="Q703" s="2" t="s">
        <v>99</v>
      </c>
      <c r="R703" s="2" t="s">
        <v>100</v>
      </c>
      <c r="S703" s="2" t="s">
        <v>2738</v>
      </c>
      <c r="T703" s="2" t="s">
        <v>100</v>
      </c>
      <c r="U703" s="2" t="s">
        <v>100</v>
      </c>
      <c r="V703" s="2" t="s">
        <v>103</v>
      </c>
      <c r="W703" s="2" t="s">
        <v>219</v>
      </c>
      <c r="X703" s="2" t="s">
        <v>309</v>
      </c>
      <c r="Y703" s="2" t="s">
        <v>240</v>
      </c>
      <c r="Z703" s="4">
        <v>29</v>
      </c>
      <c r="AA703" s="4">
        <f>=ROUNDDOWN(10.3571428571429,0)</f>
      </c>
      <c r="AB703" s="5">
        <v>2.8</v>
      </c>
      <c r="AC703" s="2" t="s">
        <v>2739</v>
      </c>
      <c r="AD703" s="4">
        <v>210</v>
      </c>
      <c r="AE703" s="4">
        <v>210</v>
      </c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58</v>
      </c>
      <c r="BK703" s="8">
        <v>7719.25</v>
      </c>
      <c r="BL703" s="2" t="s">
        <v>2671</v>
      </c>
      <c r="BM703" s="7"/>
      <c r="BN703" s="7"/>
      <c r="BO703" s="4"/>
      <c r="BP703" s="8"/>
      <c r="BQ703" s="4"/>
      <c r="BR703" s="8"/>
      <c r="BS703" s="7"/>
      <c r="BT703" s="7"/>
      <c r="BU703" s="2" t="s">
        <v>2528</v>
      </c>
      <c r="BV703" s="2" t="s">
        <v>97</v>
      </c>
      <c r="BW703" s="2" t="s">
        <v>100</v>
      </c>
      <c r="BX703" s="2" t="s">
        <v>100</v>
      </c>
      <c r="BY703" s="2" t="s">
        <v>113</v>
      </c>
      <c r="BZ703" s="2" t="s">
        <v>100</v>
      </c>
    </row>
    <row r="704">
      <c r="A704" s="2" t="s">
        <v>2740</v>
      </c>
      <c r="B704" s="2" t="s">
        <v>87</v>
      </c>
      <c r="C704" s="2" t="s">
        <v>2611</v>
      </c>
      <c r="D704" s="2" t="s">
        <v>803</v>
      </c>
      <c r="E704" s="2" t="s">
        <v>804</v>
      </c>
      <c r="F704" s="2" t="s">
        <v>2736</v>
      </c>
      <c r="G704" s="2" t="s">
        <v>100</v>
      </c>
      <c r="H704" s="2" t="s">
        <v>100</v>
      </c>
      <c r="I704" s="2" t="s">
        <v>2737</v>
      </c>
      <c r="J704" s="2" t="s">
        <v>714</v>
      </c>
      <c r="K704" s="2" t="s">
        <v>1614</v>
      </c>
      <c r="L704" s="3">
        <v>135</v>
      </c>
      <c r="M704" s="3">
        <v>141.74</v>
      </c>
      <c r="N704" s="3">
        <v>279.99</v>
      </c>
      <c r="O704" s="2" t="s">
        <v>97</v>
      </c>
      <c r="P704" s="2" t="s">
        <v>119</v>
      </c>
      <c r="Q704" s="2" t="s">
        <v>99</v>
      </c>
      <c r="R704" s="2" t="s">
        <v>100</v>
      </c>
      <c r="S704" s="2" t="s">
        <v>2738</v>
      </c>
      <c r="T704" s="2" t="s">
        <v>100</v>
      </c>
      <c r="U704" s="2" t="s">
        <v>100</v>
      </c>
      <c r="V704" s="2" t="s">
        <v>103</v>
      </c>
      <c r="W704" s="2" t="s">
        <v>219</v>
      </c>
      <c r="X704" s="2" t="s">
        <v>309</v>
      </c>
      <c r="Y704" s="2" t="s">
        <v>240</v>
      </c>
      <c r="Z704" s="4">
        <v>207</v>
      </c>
      <c r="AA704" s="4">
        <f>=ROUNDDOWN(37.6363636363636,0)</f>
      </c>
      <c r="AB704" s="5">
        <v>5.5</v>
      </c>
      <c r="AC704" s="2" t="s">
        <v>2739</v>
      </c>
      <c r="AD704" s="4">
        <v>150</v>
      </c>
      <c r="AE704" s="4">
        <v>150</v>
      </c>
      <c r="AF704" s="6">
        <v>69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113</v>
      </c>
      <c r="BK704" s="8">
        <v>15906.11</v>
      </c>
      <c r="BL704" s="2" t="s">
        <v>2741</v>
      </c>
      <c r="BM704" s="7"/>
      <c r="BN704" s="7"/>
      <c r="BO704" s="4"/>
      <c r="BP704" s="8"/>
      <c r="BQ704" s="4"/>
      <c r="BR704" s="8"/>
      <c r="BS704" s="7"/>
      <c r="BT704" s="7"/>
      <c r="BU704" s="2" t="s">
        <v>2528</v>
      </c>
      <c r="BV704" s="2" t="s">
        <v>97</v>
      </c>
      <c r="BW704" s="2" t="s">
        <v>100</v>
      </c>
      <c r="BX704" s="2" t="s">
        <v>100</v>
      </c>
      <c r="BY704" s="2" t="s">
        <v>113</v>
      </c>
      <c r="BZ704" s="2" t="s">
        <v>100</v>
      </c>
    </row>
    <row r="705">
      <c r="A705" s="2" t="s">
        <v>2742</v>
      </c>
      <c r="B705" s="2" t="s">
        <v>87</v>
      </c>
      <c r="C705" s="2" t="s">
        <v>2611</v>
      </c>
      <c r="D705" s="2" t="s">
        <v>803</v>
      </c>
      <c r="E705" s="2" t="s">
        <v>804</v>
      </c>
      <c r="F705" s="2" t="s">
        <v>2736</v>
      </c>
      <c r="G705" s="2" t="s">
        <v>100</v>
      </c>
      <c r="H705" s="2" t="s">
        <v>100</v>
      </c>
      <c r="I705" s="2" t="s">
        <v>2743</v>
      </c>
      <c r="J705" s="2" t="s">
        <v>247</v>
      </c>
      <c r="K705" s="2" t="s">
        <v>629</v>
      </c>
      <c r="L705" s="3">
        <v>125</v>
      </c>
      <c r="M705" s="3">
        <v>131.24</v>
      </c>
      <c r="N705" s="3">
        <v>259.99</v>
      </c>
      <c r="O705" s="2" t="s">
        <v>97</v>
      </c>
      <c r="P705" s="2" t="s">
        <v>119</v>
      </c>
      <c r="Q705" s="2" t="s">
        <v>99</v>
      </c>
      <c r="R705" s="2" t="s">
        <v>100</v>
      </c>
      <c r="S705" s="2" t="s">
        <v>2744</v>
      </c>
      <c r="T705" s="2" t="s">
        <v>100</v>
      </c>
      <c r="U705" s="2" t="s">
        <v>100</v>
      </c>
      <c r="V705" s="2" t="s">
        <v>103</v>
      </c>
      <c r="W705" s="2" t="s">
        <v>219</v>
      </c>
      <c r="X705" s="2" t="s">
        <v>158</v>
      </c>
      <c r="Y705" s="2" t="s">
        <v>2745</v>
      </c>
      <c r="Z705" s="4">
        <v>42</v>
      </c>
      <c r="AA705" s="4">
        <f>=ROUNDDOWN(12,0)</f>
      </c>
      <c r="AB705" s="5">
        <v>3.5</v>
      </c>
      <c r="AC705" s="2" t="s">
        <v>2746</v>
      </c>
      <c r="AD705" s="4">
        <v>10</v>
      </c>
      <c r="AE705" s="4">
        <v>105</v>
      </c>
      <c r="AF705" s="6">
        <v>69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>
        <v>79</v>
      </c>
      <c r="BK705" s="8">
        <v>10711.75</v>
      </c>
      <c r="BL705" s="2" t="s">
        <v>2747</v>
      </c>
      <c r="BM705" s="7"/>
      <c r="BN705" s="7"/>
      <c r="BO705" s="4"/>
      <c r="BP705" s="8"/>
      <c r="BQ705" s="4"/>
      <c r="BR705" s="8"/>
      <c r="BS705" s="7"/>
      <c r="BT705" s="7"/>
      <c r="BU705" s="2" t="s">
        <v>2528</v>
      </c>
      <c r="BV705" s="2" t="s">
        <v>97</v>
      </c>
      <c r="BW705" s="2" t="s">
        <v>100</v>
      </c>
      <c r="BX705" s="2" t="s">
        <v>100</v>
      </c>
      <c r="BY705" s="2" t="s">
        <v>113</v>
      </c>
      <c r="BZ705" s="2" t="s">
        <v>100</v>
      </c>
    </row>
    <row r="706">
      <c r="A706" s="2" t="s">
        <v>2748</v>
      </c>
      <c r="B706" s="2" t="s">
        <v>87</v>
      </c>
      <c r="C706" s="2" t="s">
        <v>2611</v>
      </c>
      <c r="D706" s="2" t="s">
        <v>803</v>
      </c>
      <c r="E706" s="2" t="s">
        <v>804</v>
      </c>
      <c r="F706" s="2" t="s">
        <v>2736</v>
      </c>
      <c r="G706" s="2" t="s">
        <v>100</v>
      </c>
      <c r="H706" s="2" t="s">
        <v>100</v>
      </c>
      <c r="I706" s="2" t="s">
        <v>2743</v>
      </c>
      <c r="J706" s="2" t="s">
        <v>714</v>
      </c>
      <c r="K706" s="2" t="s">
        <v>629</v>
      </c>
      <c r="L706" s="3">
        <v>135</v>
      </c>
      <c r="M706" s="3">
        <v>141.74</v>
      </c>
      <c r="N706" s="3">
        <v>279.99</v>
      </c>
      <c r="O706" s="2" t="s">
        <v>97</v>
      </c>
      <c r="P706" s="2" t="s">
        <v>119</v>
      </c>
      <c r="Q706" s="2" t="s">
        <v>99</v>
      </c>
      <c r="R706" s="2" t="s">
        <v>100</v>
      </c>
      <c r="S706" s="2" t="s">
        <v>2744</v>
      </c>
      <c r="T706" s="2" t="s">
        <v>100</v>
      </c>
      <c r="U706" s="2" t="s">
        <v>100</v>
      </c>
      <c r="V706" s="2" t="s">
        <v>103</v>
      </c>
      <c r="W706" s="2" t="s">
        <v>219</v>
      </c>
      <c r="X706" s="2" t="s">
        <v>158</v>
      </c>
      <c r="Y706" s="2" t="s">
        <v>2745</v>
      </c>
      <c r="Z706" s="4">
        <v>158</v>
      </c>
      <c r="AA706" s="4">
        <f>=ROUNDDOWN(18.3720930232558,0)</f>
      </c>
      <c r="AB706" s="5">
        <v>8.6</v>
      </c>
      <c r="AC706" s="2" t="s">
        <v>2746</v>
      </c>
      <c r="AD706" s="4">
        <v>115</v>
      </c>
      <c r="AE706" s="4">
        <v>115</v>
      </c>
      <c r="AF706" s="6">
        <v>69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>
        <v>197</v>
      </c>
      <c r="BK706" s="8">
        <v>28886.58</v>
      </c>
      <c r="BL706" s="2" t="s">
        <v>2747</v>
      </c>
      <c r="BM706" s="7"/>
      <c r="BN706" s="7"/>
      <c r="BO706" s="4"/>
      <c r="BP706" s="8"/>
      <c r="BQ706" s="4"/>
      <c r="BR706" s="8"/>
      <c r="BS706" s="7"/>
      <c r="BT706" s="7"/>
      <c r="BU706" s="2" t="s">
        <v>2528</v>
      </c>
      <c r="BV706" s="2" t="s">
        <v>97</v>
      </c>
      <c r="BW706" s="2" t="s">
        <v>100</v>
      </c>
      <c r="BX706" s="2" t="s">
        <v>100</v>
      </c>
      <c r="BY706" s="2" t="s">
        <v>113</v>
      </c>
      <c r="BZ706" s="2" t="s">
        <v>100</v>
      </c>
    </row>
    <row r="707">
      <c r="A707" s="2" t="s">
        <v>2749</v>
      </c>
      <c r="B707" s="2" t="s">
        <v>87</v>
      </c>
      <c r="C707" s="2" t="s">
        <v>2611</v>
      </c>
      <c r="D707" s="2" t="s">
        <v>89</v>
      </c>
      <c r="E707" s="2" t="s">
        <v>2577</v>
      </c>
      <c r="F707" s="2" t="s">
        <v>2750</v>
      </c>
      <c r="G707" s="2" t="s">
        <v>2750</v>
      </c>
      <c r="H707" s="2" t="s">
        <v>2750</v>
      </c>
      <c r="I707" s="2" t="s">
        <v>2751</v>
      </c>
      <c r="J707" s="2" t="s">
        <v>247</v>
      </c>
      <c r="K707" s="2" t="s">
        <v>96</v>
      </c>
      <c r="L707" s="3">
        <v>75</v>
      </c>
      <c r="M707" s="3">
        <v>78.74</v>
      </c>
      <c r="N707" s="3">
        <v>164.99</v>
      </c>
      <c r="O707" s="2" t="s">
        <v>97</v>
      </c>
      <c r="P707" s="2" t="s">
        <v>119</v>
      </c>
      <c r="Q707" s="2" t="s">
        <v>99</v>
      </c>
      <c r="R707" s="2" t="s">
        <v>100</v>
      </c>
      <c r="S707" s="2" t="s">
        <v>2752</v>
      </c>
      <c r="T707" s="2" t="s">
        <v>280</v>
      </c>
      <c r="U707" s="2" t="s">
        <v>402</v>
      </c>
      <c r="V707" s="2" t="s">
        <v>239</v>
      </c>
      <c r="W707" s="2" t="s">
        <v>239</v>
      </c>
      <c r="X707" s="2" t="s">
        <v>219</v>
      </c>
      <c r="Y707" s="2" t="s">
        <v>240</v>
      </c>
      <c r="Z707" s="4">
        <v>66</v>
      </c>
      <c r="AA707" s="4">
        <f>=ROUNDDOWN(6.11111111111111,0)</f>
      </c>
      <c r="AB707" s="5">
        <v>10.8</v>
      </c>
      <c r="AC707" s="2" t="s">
        <v>997</v>
      </c>
      <c r="AD707" s="4">
        <v>120</v>
      </c>
      <c r="AE707" s="4">
        <v>120</v>
      </c>
      <c r="AF707" s="6">
        <v>68</v>
      </c>
      <c r="AG707" s="6"/>
      <c r="AH707" s="7">
        <v>0.9626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/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/>
      <c r="BJ707" s="4">
        <v>285</v>
      </c>
      <c r="BK707" s="8">
        <v>24281.77</v>
      </c>
      <c r="BL707" s="2" t="s">
        <v>2753</v>
      </c>
      <c r="BM707" s="7"/>
      <c r="BN707" s="7"/>
      <c r="BO707" s="4"/>
      <c r="BP707" s="8"/>
      <c r="BQ707" s="4"/>
      <c r="BR707" s="8"/>
      <c r="BS707" s="7"/>
      <c r="BT707" s="7"/>
      <c r="BU707" s="2" t="s">
        <v>2528</v>
      </c>
      <c r="BV707" s="2" t="s">
        <v>97</v>
      </c>
      <c r="BW707" s="2" t="s">
        <v>100</v>
      </c>
      <c r="BX707" s="2" t="s">
        <v>100</v>
      </c>
      <c r="BY707" s="2" t="s">
        <v>113</v>
      </c>
      <c r="BZ707" s="2" t="s">
        <v>100</v>
      </c>
    </row>
    <row r="708">
      <c r="A708" s="2" t="s">
        <v>2754</v>
      </c>
      <c r="B708" s="2" t="s">
        <v>87</v>
      </c>
      <c r="C708" s="2" t="s">
        <v>2611</v>
      </c>
      <c r="D708" s="2" t="s">
        <v>89</v>
      </c>
      <c r="E708" s="2" t="s">
        <v>2577</v>
      </c>
      <c r="F708" s="2" t="s">
        <v>2750</v>
      </c>
      <c r="G708" s="2" t="s">
        <v>2750</v>
      </c>
      <c r="H708" s="2" t="s">
        <v>2750</v>
      </c>
      <c r="I708" s="2" t="s">
        <v>2751</v>
      </c>
      <c r="J708" s="2" t="s">
        <v>270</v>
      </c>
      <c r="K708" s="2" t="s">
        <v>96</v>
      </c>
      <c r="L708" s="3">
        <v>85</v>
      </c>
      <c r="M708" s="3">
        <v>89.24</v>
      </c>
      <c r="N708" s="3">
        <v>189.99</v>
      </c>
      <c r="O708" s="2" t="s">
        <v>97</v>
      </c>
      <c r="P708" s="2" t="s">
        <v>119</v>
      </c>
      <c r="Q708" s="2" t="s">
        <v>99</v>
      </c>
      <c r="R708" s="2" t="s">
        <v>100</v>
      </c>
      <c r="S708" s="2" t="s">
        <v>2752</v>
      </c>
      <c r="T708" s="2" t="s">
        <v>280</v>
      </c>
      <c r="U708" s="2" t="s">
        <v>402</v>
      </c>
      <c r="V708" s="2" t="s">
        <v>239</v>
      </c>
      <c r="W708" s="2" t="s">
        <v>239</v>
      </c>
      <c r="X708" s="2" t="s">
        <v>219</v>
      </c>
      <c r="Y708" s="2" t="s">
        <v>240</v>
      </c>
      <c r="Z708" s="4">
        <v>195</v>
      </c>
      <c r="AA708" s="4">
        <f>=ROUNDDOWN(17.7272727272727,0)</f>
      </c>
      <c r="AB708" s="5">
        <v>11</v>
      </c>
      <c r="AC708" s="2" t="s">
        <v>997</v>
      </c>
      <c r="AD708" s="4">
        <v>149</v>
      </c>
      <c r="AE708" s="4">
        <v>149</v>
      </c>
      <c r="AF708" s="6">
        <v>68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>
        <v>307</v>
      </c>
      <c r="BK708" s="8">
        <v>29671.38</v>
      </c>
      <c r="BL708" s="2" t="s">
        <v>2755</v>
      </c>
      <c r="BM708" s="7"/>
      <c r="BN708" s="7"/>
      <c r="BO708" s="4"/>
      <c r="BP708" s="8"/>
      <c r="BQ708" s="4"/>
      <c r="BR708" s="8"/>
      <c r="BS708" s="7"/>
      <c r="BT708" s="7"/>
      <c r="BU708" s="2" t="s">
        <v>2528</v>
      </c>
      <c r="BV708" s="2" t="s">
        <v>97</v>
      </c>
      <c r="BW708" s="2" t="s">
        <v>100</v>
      </c>
      <c r="BX708" s="2" t="s">
        <v>100</v>
      </c>
      <c r="BY708" s="2" t="s">
        <v>113</v>
      </c>
      <c r="BZ708" s="2" t="s">
        <v>100</v>
      </c>
    </row>
    <row r="709">
      <c r="A709" s="2" t="s">
        <v>2756</v>
      </c>
      <c r="B709" s="2" t="s">
        <v>87</v>
      </c>
      <c r="C709" s="2" t="s">
        <v>2611</v>
      </c>
      <c r="D709" s="2" t="s">
        <v>89</v>
      </c>
      <c r="E709" s="2" t="s">
        <v>2577</v>
      </c>
      <c r="F709" s="2" t="s">
        <v>2750</v>
      </c>
      <c r="G709" s="2" t="s">
        <v>2750</v>
      </c>
      <c r="H709" s="2" t="s">
        <v>2750</v>
      </c>
      <c r="I709" s="2" t="s">
        <v>2751</v>
      </c>
      <c r="J709" s="2" t="s">
        <v>247</v>
      </c>
      <c r="K709" s="2" t="s">
        <v>360</v>
      </c>
      <c r="L709" s="3">
        <v>75</v>
      </c>
      <c r="M709" s="3">
        <v>78.74</v>
      </c>
      <c r="N709" s="3">
        <v>164.99</v>
      </c>
      <c r="O709" s="2" t="s">
        <v>97</v>
      </c>
      <c r="P709" s="2" t="s">
        <v>119</v>
      </c>
      <c r="Q709" s="2" t="s">
        <v>99</v>
      </c>
      <c r="R709" s="2" t="s">
        <v>100</v>
      </c>
      <c r="S709" s="2" t="s">
        <v>2757</v>
      </c>
      <c r="T709" s="2" t="s">
        <v>280</v>
      </c>
      <c r="U709" s="2" t="s">
        <v>402</v>
      </c>
      <c r="V709" s="2" t="s">
        <v>239</v>
      </c>
      <c r="W709" s="2" t="s">
        <v>239</v>
      </c>
      <c r="X709" s="2" t="s">
        <v>219</v>
      </c>
      <c r="Y709" s="2" t="s">
        <v>2758</v>
      </c>
      <c r="Z709" s="4">
        <v>157</v>
      </c>
      <c r="AA709" s="4">
        <f>=ROUNDDOWN(31.4,0)</f>
      </c>
      <c r="AB709" s="5">
        <v>5</v>
      </c>
      <c r="AC709" s="2" t="s">
        <v>100</v>
      </c>
      <c r="AD709" s="4"/>
      <c r="AE709" s="4"/>
      <c r="AF709" s="6">
        <v>68</v>
      </c>
      <c r="AG709" s="6"/>
      <c r="AH709" s="7">
        <v>0.9305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>
        <v>120</v>
      </c>
      <c r="BK709" s="8">
        <v>9764.42</v>
      </c>
      <c r="BL709" s="2" t="s">
        <v>2759</v>
      </c>
      <c r="BM709" s="7"/>
      <c r="BN709" s="7"/>
      <c r="BO709" s="4"/>
      <c r="BP709" s="8"/>
      <c r="BQ709" s="4"/>
      <c r="BR709" s="8"/>
      <c r="BS709" s="7"/>
      <c r="BT709" s="7"/>
      <c r="BU709" s="2" t="s">
        <v>2528</v>
      </c>
      <c r="BV709" s="2" t="s">
        <v>97</v>
      </c>
      <c r="BW709" s="2" t="s">
        <v>100</v>
      </c>
      <c r="BX709" s="2" t="s">
        <v>100</v>
      </c>
      <c r="BY709" s="2" t="s">
        <v>113</v>
      </c>
      <c r="BZ709" s="2" t="s">
        <v>100</v>
      </c>
    </row>
    <row r="710">
      <c r="A710" s="2" t="s">
        <v>2760</v>
      </c>
      <c r="B710" s="2" t="s">
        <v>87</v>
      </c>
      <c r="C710" s="2" t="s">
        <v>2611</v>
      </c>
      <c r="D710" s="2" t="s">
        <v>89</v>
      </c>
      <c r="E710" s="2" t="s">
        <v>2577</v>
      </c>
      <c r="F710" s="2" t="s">
        <v>2750</v>
      </c>
      <c r="G710" s="2" t="s">
        <v>2750</v>
      </c>
      <c r="H710" s="2" t="s">
        <v>2750</v>
      </c>
      <c r="I710" s="2" t="s">
        <v>2751</v>
      </c>
      <c r="J710" s="2" t="s">
        <v>270</v>
      </c>
      <c r="K710" s="2" t="s">
        <v>360</v>
      </c>
      <c r="L710" s="3">
        <v>85</v>
      </c>
      <c r="M710" s="3">
        <v>89.24</v>
      </c>
      <c r="N710" s="3">
        <v>189.99</v>
      </c>
      <c r="O710" s="2" t="s">
        <v>97</v>
      </c>
      <c r="P710" s="2" t="s">
        <v>119</v>
      </c>
      <c r="Q710" s="2" t="s">
        <v>99</v>
      </c>
      <c r="R710" s="2" t="s">
        <v>100</v>
      </c>
      <c r="S710" s="2" t="s">
        <v>2757</v>
      </c>
      <c r="T710" s="2" t="s">
        <v>280</v>
      </c>
      <c r="U710" s="2" t="s">
        <v>402</v>
      </c>
      <c r="V710" s="2" t="s">
        <v>239</v>
      </c>
      <c r="W710" s="2" t="s">
        <v>239</v>
      </c>
      <c r="X710" s="2" t="s">
        <v>219</v>
      </c>
      <c r="Y710" s="2" t="s">
        <v>2758</v>
      </c>
      <c r="Z710" s="4">
        <v>171</v>
      </c>
      <c r="AA710" s="4">
        <f>=ROUNDDOWN(34.8979591836735,0)</f>
      </c>
      <c r="AB710" s="5">
        <v>4.9</v>
      </c>
      <c r="AC710" s="2" t="s">
        <v>100</v>
      </c>
      <c r="AD710" s="4"/>
      <c r="AE710" s="4"/>
      <c r="AF710" s="6">
        <v>68</v>
      </c>
      <c r="AG710" s="6"/>
      <c r="AH710" s="7">
        <v>0.9251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/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/>
      <c r="BJ710" s="4">
        <v>123</v>
      </c>
      <c r="BK710" s="8">
        <v>11544.99</v>
      </c>
      <c r="BL710" s="2" t="s">
        <v>2644</v>
      </c>
      <c r="BM710" s="7"/>
      <c r="BN710" s="7"/>
      <c r="BO710" s="4"/>
      <c r="BP710" s="8"/>
      <c r="BQ710" s="4"/>
      <c r="BR710" s="8"/>
      <c r="BS710" s="7"/>
      <c r="BT710" s="7"/>
      <c r="BU710" s="2" t="s">
        <v>2528</v>
      </c>
      <c r="BV710" s="2" t="s">
        <v>97</v>
      </c>
      <c r="BW710" s="2" t="s">
        <v>100</v>
      </c>
      <c r="BX710" s="2" t="s">
        <v>100</v>
      </c>
      <c r="BY710" s="2" t="s">
        <v>113</v>
      </c>
      <c r="BZ710" s="2" t="s">
        <v>100</v>
      </c>
    </row>
    <row r="711">
      <c r="A711" s="2" t="s">
        <v>2761</v>
      </c>
      <c r="B711" s="2" t="s">
        <v>87</v>
      </c>
      <c r="C711" s="2" t="s">
        <v>2611</v>
      </c>
      <c r="D711" s="2" t="s">
        <v>1638</v>
      </c>
      <c r="E711" s="2" t="s">
        <v>1639</v>
      </c>
      <c r="F711" s="2" t="s">
        <v>2731</v>
      </c>
      <c r="G711" s="2" t="s">
        <v>2731</v>
      </c>
      <c r="H711" s="2" t="s">
        <v>2731</v>
      </c>
      <c r="I711" s="2" t="s">
        <v>2762</v>
      </c>
      <c r="J711" s="2" t="s">
        <v>247</v>
      </c>
      <c r="K711" s="2" t="s">
        <v>130</v>
      </c>
      <c r="L711" s="3">
        <v>59.42</v>
      </c>
      <c r="M711" s="3">
        <v>62.4</v>
      </c>
      <c r="N711" s="3">
        <v>129.99</v>
      </c>
      <c r="O711" s="2" t="s">
        <v>97</v>
      </c>
      <c r="P711" s="2" t="s">
        <v>2478</v>
      </c>
      <c r="Q711" s="2" t="s">
        <v>99</v>
      </c>
      <c r="R711" s="2" t="s">
        <v>100</v>
      </c>
      <c r="S711" s="2" t="s">
        <v>100</v>
      </c>
      <c r="T711" s="2" t="s">
        <v>280</v>
      </c>
      <c r="U711" s="2" t="s">
        <v>480</v>
      </c>
      <c r="V711" s="2" t="s">
        <v>146</v>
      </c>
      <c r="W711" s="2" t="s">
        <v>100</v>
      </c>
      <c r="X711" s="2" t="s">
        <v>100</v>
      </c>
      <c r="Y711" s="2" t="s">
        <v>100</v>
      </c>
      <c r="Z711" s="4"/>
      <c r="AA711" s="4">
        <f>=ROUNDDOWN({0},0)</f>
      </c>
      <c r="AB711" s="5"/>
      <c r="AC711" s="2" t="s">
        <v>100</v>
      </c>
      <c r="AD711" s="4"/>
      <c r="AE711" s="4"/>
      <c r="AF711" s="6"/>
      <c r="AG711" s="6"/>
      <c r="AH711" s="7"/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/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/>
      <c r="BJ711" s="4"/>
      <c r="BK711" s="8"/>
      <c r="BL711" s="2" t="s">
        <v>100</v>
      </c>
      <c r="BM711" s="7"/>
      <c r="BN711" s="7"/>
      <c r="BO711" s="4"/>
      <c r="BP711" s="8"/>
      <c r="BQ711" s="4"/>
      <c r="BR711" s="8"/>
      <c r="BS711" s="7"/>
      <c r="BT711" s="7"/>
      <c r="BU711" s="2" t="s">
        <v>2528</v>
      </c>
      <c r="BV711" s="2" t="s">
        <v>97</v>
      </c>
      <c r="BW711" s="2" t="s">
        <v>100</v>
      </c>
      <c r="BX711" s="2" t="s">
        <v>100</v>
      </c>
      <c r="BY711" s="2" t="s">
        <v>113</v>
      </c>
      <c r="BZ711" s="2" t="s">
        <v>100</v>
      </c>
    </row>
    <row r="712">
      <c r="A712" s="2" t="s">
        <v>2763</v>
      </c>
      <c r="B712" s="2" t="s">
        <v>87</v>
      </c>
      <c r="C712" s="2" t="s">
        <v>2611</v>
      </c>
      <c r="D712" s="2" t="s">
        <v>1638</v>
      </c>
      <c r="E712" s="2" t="s">
        <v>1639</v>
      </c>
      <c r="F712" s="2" t="s">
        <v>2731</v>
      </c>
      <c r="G712" s="2" t="s">
        <v>2731</v>
      </c>
      <c r="H712" s="2" t="s">
        <v>2731</v>
      </c>
      <c r="I712" s="2" t="s">
        <v>2762</v>
      </c>
      <c r="J712" s="2" t="s">
        <v>270</v>
      </c>
      <c r="K712" s="2" t="s">
        <v>130</v>
      </c>
      <c r="L712" s="3">
        <v>68.57</v>
      </c>
      <c r="M712" s="3">
        <v>72</v>
      </c>
      <c r="N712" s="3">
        <v>149.99</v>
      </c>
      <c r="O712" s="2" t="s">
        <v>97</v>
      </c>
      <c r="P712" s="2" t="s">
        <v>2478</v>
      </c>
      <c r="Q712" s="2" t="s">
        <v>99</v>
      </c>
      <c r="R712" s="2" t="s">
        <v>100</v>
      </c>
      <c r="S712" s="2" t="s">
        <v>100</v>
      </c>
      <c r="T712" s="2" t="s">
        <v>280</v>
      </c>
      <c r="U712" s="2" t="s">
        <v>480</v>
      </c>
      <c r="V712" s="2" t="s">
        <v>146</v>
      </c>
      <c r="W712" s="2" t="s">
        <v>100</v>
      </c>
      <c r="X712" s="2" t="s">
        <v>100</v>
      </c>
      <c r="Y712" s="2" t="s">
        <v>100</v>
      </c>
      <c r="Z712" s="4"/>
      <c r="AA712" s="4">
        <f>=ROUNDDOWN({0},0)</f>
      </c>
      <c r="AB712" s="5"/>
      <c r="AC712" s="2" t="s">
        <v>100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/>
      <c r="BK712" s="8"/>
      <c r="BL712" s="2" t="s">
        <v>100</v>
      </c>
      <c r="BM712" s="7"/>
      <c r="BN712" s="7"/>
      <c r="BO712" s="4"/>
      <c r="BP712" s="8"/>
      <c r="BQ712" s="4"/>
      <c r="BR712" s="8"/>
      <c r="BS712" s="7"/>
      <c r="BT712" s="7"/>
      <c r="BU712" s="2" t="s">
        <v>2528</v>
      </c>
      <c r="BV712" s="2" t="s">
        <v>97</v>
      </c>
      <c r="BW712" s="2" t="s">
        <v>100</v>
      </c>
      <c r="BX712" s="2" t="s">
        <v>100</v>
      </c>
      <c r="BY712" s="2" t="s">
        <v>113</v>
      </c>
      <c r="BZ712" s="2" t="s">
        <v>100</v>
      </c>
    </row>
    <row r="713">
      <c r="A713" s="2" t="s">
        <v>2764</v>
      </c>
      <c r="B713" s="2" t="s">
        <v>87</v>
      </c>
      <c r="C713" s="2" t="s">
        <v>2611</v>
      </c>
      <c r="D713" s="2" t="s">
        <v>1638</v>
      </c>
      <c r="E713" s="2" t="s">
        <v>1759</v>
      </c>
      <c r="F713" s="2" t="s">
        <v>2625</v>
      </c>
      <c r="G713" s="2" t="s">
        <v>2625</v>
      </c>
      <c r="H713" s="2" t="s">
        <v>2625</v>
      </c>
      <c r="I713" s="2" t="s">
        <v>2765</v>
      </c>
      <c r="J713" s="2" t="s">
        <v>247</v>
      </c>
      <c r="K713" s="2" t="s">
        <v>629</v>
      </c>
      <c r="L713" s="3">
        <v>85</v>
      </c>
      <c r="M713" s="3">
        <v>89.24</v>
      </c>
      <c r="N713" s="3">
        <v>179.99</v>
      </c>
      <c r="O713" s="2" t="s">
        <v>97</v>
      </c>
      <c r="P713" s="2" t="s">
        <v>372</v>
      </c>
      <c r="Q713" s="2" t="s">
        <v>99</v>
      </c>
      <c r="R713" s="2" t="s">
        <v>100</v>
      </c>
      <c r="S713" s="2" t="s">
        <v>2627</v>
      </c>
      <c r="T713" s="2" t="s">
        <v>100</v>
      </c>
      <c r="U713" s="2" t="s">
        <v>100</v>
      </c>
      <c r="V713" s="2" t="s">
        <v>350</v>
      </c>
      <c r="W713" s="2" t="s">
        <v>219</v>
      </c>
      <c r="X713" s="2" t="s">
        <v>239</v>
      </c>
      <c r="Y713" s="2" t="s">
        <v>2628</v>
      </c>
      <c r="Z713" s="4">
        <v>100</v>
      </c>
      <c r="AA713" s="4">
        <f>=ROUNDDOWN(14.2857142857143,0)</f>
      </c>
      <c r="AB713" s="5">
        <v>7</v>
      </c>
      <c r="AC713" s="2" t="s">
        <v>241</v>
      </c>
      <c r="AD713" s="4">
        <v>30</v>
      </c>
      <c r="AE713" s="4">
        <v>120</v>
      </c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126</v>
      </c>
      <c r="BK713" s="8">
        <v>11476.66</v>
      </c>
      <c r="BL713" s="2" t="s">
        <v>2766</v>
      </c>
      <c r="BM713" s="7"/>
      <c r="BN713" s="7"/>
      <c r="BO713" s="4"/>
      <c r="BP713" s="8"/>
      <c r="BQ713" s="4"/>
      <c r="BR713" s="8"/>
      <c r="BS713" s="7"/>
      <c r="BT713" s="7"/>
      <c r="BU713" s="2" t="s">
        <v>2528</v>
      </c>
      <c r="BV713" s="2" t="s">
        <v>97</v>
      </c>
      <c r="BW713" s="2" t="s">
        <v>100</v>
      </c>
      <c r="BX713" s="2" t="s">
        <v>100</v>
      </c>
      <c r="BY713" s="2" t="s">
        <v>113</v>
      </c>
      <c r="BZ713" s="2" t="s">
        <v>100</v>
      </c>
    </row>
    <row r="714">
      <c r="A714" s="2" t="s">
        <v>2767</v>
      </c>
      <c r="B714" s="2" t="s">
        <v>87</v>
      </c>
      <c r="C714" s="2" t="s">
        <v>2611</v>
      </c>
      <c r="D714" s="2" t="s">
        <v>1638</v>
      </c>
      <c r="E714" s="2" t="s">
        <v>1759</v>
      </c>
      <c r="F714" s="2" t="s">
        <v>2625</v>
      </c>
      <c r="G714" s="2" t="s">
        <v>2625</v>
      </c>
      <c r="H714" s="2" t="s">
        <v>2625</v>
      </c>
      <c r="I714" s="2" t="s">
        <v>2765</v>
      </c>
      <c r="J714" s="2" t="s">
        <v>714</v>
      </c>
      <c r="K714" s="2" t="s">
        <v>629</v>
      </c>
      <c r="L714" s="3">
        <v>95</v>
      </c>
      <c r="M714" s="3">
        <v>99.74</v>
      </c>
      <c r="N714" s="3">
        <v>199.99</v>
      </c>
      <c r="O714" s="2" t="s">
        <v>97</v>
      </c>
      <c r="P714" s="2" t="s">
        <v>372</v>
      </c>
      <c r="Q714" s="2" t="s">
        <v>99</v>
      </c>
      <c r="R714" s="2" t="s">
        <v>100</v>
      </c>
      <c r="S714" s="2" t="s">
        <v>2627</v>
      </c>
      <c r="T714" s="2" t="s">
        <v>100</v>
      </c>
      <c r="U714" s="2" t="s">
        <v>100</v>
      </c>
      <c r="V714" s="2" t="s">
        <v>350</v>
      </c>
      <c r="W714" s="2" t="s">
        <v>219</v>
      </c>
      <c r="X714" s="2" t="s">
        <v>239</v>
      </c>
      <c r="Y714" s="2" t="s">
        <v>2628</v>
      </c>
      <c r="Z714" s="4">
        <v>46</v>
      </c>
      <c r="AA714" s="4">
        <f>=ROUNDDOWN(5.11111111111111,0)</f>
      </c>
      <c r="AB714" s="5">
        <v>9</v>
      </c>
      <c r="AC714" s="2" t="s">
        <v>241</v>
      </c>
      <c r="AD714" s="4">
        <v>100</v>
      </c>
      <c r="AE714" s="4">
        <v>290</v>
      </c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198</v>
      </c>
      <c r="BK714" s="8">
        <v>20106.39</v>
      </c>
      <c r="BL714" s="2" t="s">
        <v>2768</v>
      </c>
      <c r="BM714" s="7"/>
      <c r="BN714" s="7"/>
      <c r="BO714" s="4"/>
      <c r="BP714" s="8"/>
      <c r="BQ714" s="4"/>
      <c r="BR714" s="8"/>
      <c r="BS714" s="7"/>
      <c r="BT714" s="7"/>
      <c r="BU714" s="2" t="s">
        <v>2528</v>
      </c>
      <c r="BV714" s="2" t="s">
        <v>97</v>
      </c>
      <c r="BW714" s="2" t="s">
        <v>100</v>
      </c>
      <c r="BX714" s="2" t="s">
        <v>100</v>
      </c>
      <c r="BY714" s="2" t="s">
        <v>113</v>
      </c>
      <c r="BZ714" s="2" t="s">
        <v>100</v>
      </c>
    </row>
    <row r="715">
      <c r="A715" s="2" t="s">
        <v>2769</v>
      </c>
      <c r="B715" s="2" t="s">
        <v>87</v>
      </c>
      <c r="C715" s="2" t="s">
        <v>2611</v>
      </c>
      <c r="D715" s="2" t="s">
        <v>1638</v>
      </c>
      <c r="E715" s="2" t="s">
        <v>1759</v>
      </c>
      <c r="F715" s="2" t="s">
        <v>2612</v>
      </c>
      <c r="G715" s="2" t="s">
        <v>2612</v>
      </c>
      <c r="H715" s="2" t="s">
        <v>2612</v>
      </c>
      <c r="I715" s="2" t="s">
        <v>2770</v>
      </c>
      <c r="J715" s="2" t="s">
        <v>247</v>
      </c>
      <c r="K715" s="2" t="s">
        <v>96</v>
      </c>
      <c r="L715" s="3">
        <v>76.49</v>
      </c>
      <c r="M715" s="3">
        <v>80.32</v>
      </c>
      <c r="N715" s="3">
        <v>174.99</v>
      </c>
      <c r="O715" s="2" t="s">
        <v>97</v>
      </c>
      <c r="P715" s="2" t="s">
        <v>950</v>
      </c>
      <c r="Q715" s="2" t="s">
        <v>99</v>
      </c>
      <c r="R715" s="2" t="s">
        <v>100</v>
      </c>
      <c r="S715" s="2" t="s">
        <v>2613</v>
      </c>
      <c r="T715" s="2" t="s">
        <v>100</v>
      </c>
      <c r="U715" s="2" t="s">
        <v>100</v>
      </c>
      <c r="V715" s="2" t="s">
        <v>239</v>
      </c>
      <c r="W715" s="2" t="s">
        <v>239</v>
      </c>
      <c r="X715" s="2" t="s">
        <v>219</v>
      </c>
      <c r="Y715" s="2" t="s">
        <v>240</v>
      </c>
      <c r="Z715" s="4">
        <v>136</v>
      </c>
      <c r="AA715" s="4">
        <f>=ROUNDDOWN(64.7619047619048,0)</f>
      </c>
      <c r="AB715" s="5">
        <v>2.1</v>
      </c>
      <c r="AC715" s="2" t="s">
        <v>356</v>
      </c>
      <c r="AD715" s="4">
        <v>450</v>
      </c>
      <c r="AE715" s="4">
        <v>450</v>
      </c>
      <c r="AF715" s="6">
        <v>68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62</v>
      </c>
      <c r="BK715" s="8">
        <v>4832.25</v>
      </c>
      <c r="BL715" s="2" t="s">
        <v>2771</v>
      </c>
      <c r="BM715" s="7"/>
      <c r="BN715" s="7"/>
      <c r="BO715" s="4"/>
      <c r="BP715" s="8"/>
      <c r="BQ715" s="4"/>
      <c r="BR715" s="8"/>
      <c r="BS715" s="7"/>
      <c r="BT715" s="7"/>
      <c r="BU715" s="2" t="s">
        <v>2528</v>
      </c>
      <c r="BV715" s="2" t="s">
        <v>97</v>
      </c>
      <c r="BW715" s="2" t="s">
        <v>100</v>
      </c>
      <c r="BX715" s="2" t="s">
        <v>100</v>
      </c>
      <c r="BY715" s="2" t="s">
        <v>113</v>
      </c>
      <c r="BZ715" s="2" t="s">
        <v>100</v>
      </c>
    </row>
    <row r="716">
      <c r="A716" s="2" t="s">
        <v>2772</v>
      </c>
      <c r="B716" s="2" t="s">
        <v>87</v>
      </c>
      <c r="C716" s="2" t="s">
        <v>2611</v>
      </c>
      <c r="D716" s="2" t="s">
        <v>1638</v>
      </c>
      <c r="E716" s="2" t="s">
        <v>1759</v>
      </c>
      <c r="F716" s="2" t="s">
        <v>2612</v>
      </c>
      <c r="G716" s="2" t="s">
        <v>2612</v>
      </c>
      <c r="H716" s="2" t="s">
        <v>2612</v>
      </c>
      <c r="I716" s="2" t="s">
        <v>2770</v>
      </c>
      <c r="J716" s="2" t="s">
        <v>270</v>
      </c>
      <c r="K716" s="2" t="s">
        <v>96</v>
      </c>
      <c r="L716" s="3">
        <v>86.69</v>
      </c>
      <c r="M716" s="3">
        <v>91.03</v>
      </c>
      <c r="N716" s="3">
        <v>194.99</v>
      </c>
      <c r="O716" s="2" t="s">
        <v>97</v>
      </c>
      <c r="P716" s="2" t="s">
        <v>950</v>
      </c>
      <c r="Q716" s="2" t="s">
        <v>99</v>
      </c>
      <c r="R716" s="2" t="s">
        <v>100</v>
      </c>
      <c r="S716" s="2" t="s">
        <v>2613</v>
      </c>
      <c r="T716" s="2" t="s">
        <v>100</v>
      </c>
      <c r="U716" s="2" t="s">
        <v>100</v>
      </c>
      <c r="V716" s="2" t="s">
        <v>239</v>
      </c>
      <c r="W716" s="2" t="s">
        <v>239</v>
      </c>
      <c r="X716" s="2" t="s">
        <v>219</v>
      </c>
      <c r="Y716" s="2" t="s">
        <v>240</v>
      </c>
      <c r="Z716" s="4">
        <v>130</v>
      </c>
      <c r="AA716" s="4">
        <f>=ROUNDDOWN(50,0)</f>
      </c>
      <c r="AB716" s="5">
        <v>2.6</v>
      </c>
      <c r="AC716" s="2" t="s">
        <v>356</v>
      </c>
      <c r="AD716" s="4">
        <v>300</v>
      </c>
      <c r="AE716" s="4">
        <v>300</v>
      </c>
      <c r="AF716" s="6">
        <v>68</v>
      </c>
      <c r="AG716" s="6"/>
      <c r="AH716" s="7">
        <v>0.8182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42</v>
      </c>
      <c r="BK716" s="8">
        <v>3868.06</v>
      </c>
      <c r="BL716" s="2" t="s">
        <v>2773</v>
      </c>
      <c r="BM716" s="7"/>
      <c r="BN716" s="7"/>
      <c r="BO716" s="4"/>
      <c r="BP716" s="8"/>
      <c r="BQ716" s="4"/>
      <c r="BR716" s="8"/>
      <c r="BS716" s="7"/>
      <c r="BT716" s="7"/>
      <c r="BU716" s="2" t="s">
        <v>2528</v>
      </c>
      <c r="BV716" s="2" t="s">
        <v>97</v>
      </c>
      <c r="BW716" s="2" t="s">
        <v>100</v>
      </c>
      <c r="BX716" s="2" t="s">
        <v>100</v>
      </c>
      <c r="BY716" s="2" t="s">
        <v>113</v>
      </c>
      <c r="BZ716" s="2" t="s">
        <v>100</v>
      </c>
    </row>
    <row r="717">
      <c r="A717" s="2" t="s">
        <v>2774</v>
      </c>
      <c r="B717" s="2" t="s">
        <v>87</v>
      </c>
      <c r="C717" s="2" t="s">
        <v>2611</v>
      </c>
      <c r="D717" s="2" t="s">
        <v>1638</v>
      </c>
      <c r="E717" s="2" t="s">
        <v>1759</v>
      </c>
      <c r="F717" s="2" t="s">
        <v>2648</v>
      </c>
      <c r="G717" s="2" t="s">
        <v>2648</v>
      </c>
      <c r="H717" s="2" t="s">
        <v>2648</v>
      </c>
      <c r="I717" s="2" t="s">
        <v>2775</v>
      </c>
      <c r="J717" s="2" t="s">
        <v>247</v>
      </c>
      <c r="K717" s="2" t="s">
        <v>198</v>
      </c>
      <c r="L717" s="3">
        <v>75</v>
      </c>
      <c r="M717" s="3">
        <v>78.74</v>
      </c>
      <c r="N717" s="3">
        <v>159.99</v>
      </c>
      <c r="O717" s="2" t="s">
        <v>97</v>
      </c>
      <c r="P717" s="2" t="s">
        <v>950</v>
      </c>
      <c r="Q717" s="2" t="s">
        <v>99</v>
      </c>
      <c r="R717" s="2" t="s">
        <v>100</v>
      </c>
      <c r="S717" s="2" t="s">
        <v>2650</v>
      </c>
      <c r="T717" s="2" t="s">
        <v>100</v>
      </c>
      <c r="U717" s="2" t="s">
        <v>100</v>
      </c>
      <c r="V717" s="2" t="s">
        <v>489</v>
      </c>
      <c r="W717" s="2" t="s">
        <v>309</v>
      </c>
      <c r="X717" s="2" t="s">
        <v>219</v>
      </c>
      <c r="Y717" s="2" t="s">
        <v>2628</v>
      </c>
      <c r="Z717" s="4">
        <v>69</v>
      </c>
      <c r="AA717" s="4">
        <f>=ROUNDDOWN(31.3636363636364,0)</f>
      </c>
      <c r="AB717" s="5">
        <v>2.2</v>
      </c>
      <c r="AC717" s="2" t="s">
        <v>997</v>
      </c>
      <c r="AD717" s="4">
        <v>40</v>
      </c>
      <c r="AE717" s="4">
        <v>40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36</v>
      </c>
      <c r="BK717" s="8">
        <v>2680.63</v>
      </c>
      <c r="BL717" s="2" t="s">
        <v>2776</v>
      </c>
      <c r="BM717" s="7"/>
      <c r="BN717" s="7"/>
      <c r="BO717" s="4"/>
      <c r="BP717" s="8"/>
      <c r="BQ717" s="4"/>
      <c r="BR717" s="8"/>
      <c r="BS717" s="7"/>
      <c r="BT717" s="7"/>
      <c r="BU717" s="2" t="s">
        <v>2528</v>
      </c>
      <c r="BV717" s="2" t="s">
        <v>97</v>
      </c>
      <c r="BW717" s="2" t="s">
        <v>100</v>
      </c>
      <c r="BX717" s="2" t="s">
        <v>100</v>
      </c>
      <c r="BY717" s="2" t="s">
        <v>113</v>
      </c>
      <c r="BZ717" s="2" t="s">
        <v>100</v>
      </c>
    </row>
    <row r="718">
      <c r="A718" s="2" t="s">
        <v>2777</v>
      </c>
      <c r="B718" s="2" t="s">
        <v>87</v>
      </c>
      <c r="C718" s="2" t="s">
        <v>2611</v>
      </c>
      <c r="D718" s="2" t="s">
        <v>1638</v>
      </c>
      <c r="E718" s="2" t="s">
        <v>1759</v>
      </c>
      <c r="F718" s="2" t="s">
        <v>2648</v>
      </c>
      <c r="G718" s="2" t="s">
        <v>2648</v>
      </c>
      <c r="H718" s="2" t="s">
        <v>2648</v>
      </c>
      <c r="I718" s="2" t="s">
        <v>2775</v>
      </c>
      <c r="J718" s="2" t="s">
        <v>714</v>
      </c>
      <c r="K718" s="2" t="s">
        <v>198</v>
      </c>
      <c r="L718" s="3">
        <v>85</v>
      </c>
      <c r="M718" s="3">
        <v>89.24</v>
      </c>
      <c r="N718" s="3">
        <v>179.99</v>
      </c>
      <c r="O718" s="2" t="s">
        <v>97</v>
      </c>
      <c r="P718" s="2" t="s">
        <v>950</v>
      </c>
      <c r="Q718" s="2" t="s">
        <v>99</v>
      </c>
      <c r="R718" s="2" t="s">
        <v>100</v>
      </c>
      <c r="S718" s="2" t="s">
        <v>2650</v>
      </c>
      <c r="T718" s="2" t="s">
        <v>100</v>
      </c>
      <c r="U718" s="2" t="s">
        <v>100</v>
      </c>
      <c r="V718" s="2" t="s">
        <v>489</v>
      </c>
      <c r="W718" s="2" t="s">
        <v>309</v>
      </c>
      <c r="X718" s="2" t="s">
        <v>219</v>
      </c>
      <c r="Y718" s="2" t="s">
        <v>2628</v>
      </c>
      <c r="Z718" s="4">
        <v>90</v>
      </c>
      <c r="AA718" s="4">
        <f>=ROUNDDOWN(37.5,0)</f>
      </c>
      <c r="AB718" s="5">
        <v>2.4</v>
      </c>
      <c r="AC718" s="2" t="s">
        <v>997</v>
      </c>
      <c r="AD718" s="4">
        <v>200</v>
      </c>
      <c r="AE718" s="4">
        <v>200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73</v>
      </c>
      <c r="BK718" s="8">
        <v>6584.46</v>
      </c>
      <c r="BL718" s="2" t="s">
        <v>1165</v>
      </c>
      <c r="BM718" s="7"/>
      <c r="BN718" s="7"/>
      <c r="BO718" s="4"/>
      <c r="BP718" s="8"/>
      <c r="BQ718" s="4"/>
      <c r="BR718" s="8"/>
      <c r="BS718" s="7"/>
      <c r="BT718" s="7"/>
      <c r="BU718" s="2" t="s">
        <v>2528</v>
      </c>
      <c r="BV718" s="2" t="s">
        <v>97</v>
      </c>
      <c r="BW718" s="2" t="s">
        <v>100</v>
      </c>
      <c r="BX718" s="2" t="s">
        <v>100</v>
      </c>
      <c r="BY718" s="2" t="s">
        <v>113</v>
      </c>
      <c r="BZ718" s="2" t="s">
        <v>100</v>
      </c>
    </row>
    <row r="719">
      <c r="A719" s="2" t="s">
        <v>2778</v>
      </c>
      <c r="B719" s="2" t="s">
        <v>87</v>
      </c>
      <c r="C719" s="2" t="s">
        <v>2611</v>
      </c>
      <c r="D719" s="2" t="s">
        <v>1638</v>
      </c>
      <c r="E719" s="2" t="s">
        <v>1759</v>
      </c>
      <c r="F719" s="2" t="s">
        <v>2659</v>
      </c>
      <c r="G719" s="2" t="s">
        <v>2659</v>
      </c>
      <c r="H719" s="2" t="s">
        <v>2659</v>
      </c>
      <c r="I719" s="2" t="s">
        <v>2779</v>
      </c>
      <c r="J719" s="2" t="s">
        <v>247</v>
      </c>
      <c r="K719" s="2" t="s">
        <v>130</v>
      </c>
      <c r="L719" s="3">
        <v>68.57</v>
      </c>
      <c r="M719" s="3">
        <v>72</v>
      </c>
      <c r="N719" s="3">
        <v>149.99</v>
      </c>
      <c r="O719" s="2" t="s">
        <v>97</v>
      </c>
      <c r="P719" s="2" t="s">
        <v>2478</v>
      </c>
      <c r="Q719" s="2" t="s">
        <v>99</v>
      </c>
      <c r="R719" s="2" t="s">
        <v>100</v>
      </c>
      <c r="S719" s="2" t="s">
        <v>100</v>
      </c>
      <c r="T719" s="2" t="s">
        <v>280</v>
      </c>
      <c r="U719" s="2" t="s">
        <v>171</v>
      </c>
      <c r="V719" s="2" t="s">
        <v>2661</v>
      </c>
      <c r="W719" s="2" t="s">
        <v>100</v>
      </c>
      <c r="X719" s="2" t="s">
        <v>100</v>
      </c>
      <c r="Y719" s="2" t="s">
        <v>100</v>
      </c>
      <c r="Z719" s="4"/>
      <c r="AA719" s="4">
        <f>=ROUNDDOWN({0},0)</f>
      </c>
      <c r="AB719" s="5"/>
      <c r="AC719" s="2" t="s">
        <v>100</v>
      </c>
      <c r="AD719" s="4"/>
      <c r="AE719" s="4"/>
      <c r="AF719" s="6"/>
      <c r="AG719" s="6"/>
      <c r="AH719" s="7"/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/>
      <c r="BK719" s="8"/>
      <c r="BL719" s="2" t="s">
        <v>100</v>
      </c>
      <c r="BM719" s="7"/>
      <c r="BN719" s="7"/>
      <c r="BO719" s="4"/>
      <c r="BP719" s="8"/>
      <c r="BQ719" s="4"/>
      <c r="BR719" s="8"/>
      <c r="BS719" s="7"/>
      <c r="BT719" s="7"/>
      <c r="BU719" s="2" t="s">
        <v>2528</v>
      </c>
      <c r="BV719" s="2" t="s">
        <v>97</v>
      </c>
      <c r="BW719" s="2" t="s">
        <v>100</v>
      </c>
      <c r="BX719" s="2" t="s">
        <v>100</v>
      </c>
      <c r="BY719" s="2" t="s">
        <v>113</v>
      </c>
      <c r="BZ719" s="2" t="s">
        <v>100</v>
      </c>
    </row>
    <row r="720">
      <c r="A720" s="2" t="s">
        <v>2780</v>
      </c>
      <c r="B720" s="2" t="s">
        <v>87</v>
      </c>
      <c r="C720" s="2" t="s">
        <v>2611</v>
      </c>
      <c r="D720" s="2" t="s">
        <v>1638</v>
      </c>
      <c r="E720" s="2" t="s">
        <v>1759</v>
      </c>
      <c r="F720" s="2" t="s">
        <v>2659</v>
      </c>
      <c r="G720" s="2" t="s">
        <v>2659</v>
      </c>
      <c r="H720" s="2" t="s">
        <v>2659</v>
      </c>
      <c r="I720" s="2" t="s">
        <v>2779</v>
      </c>
      <c r="J720" s="2" t="s">
        <v>270</v>
      </c>
      <c r="K720" s="2" t="s">
        <v>130</v>
      </c>
      <c r="L720" s="3">
        <v>77.71</v>
      </c>
      <c r="M720" s="3">
        <v>81.6</v>
      </c>
      <c r="N720" s="3">
        <v>169.99</v>
      </c>
      <c r="O720" s="2" t="s">
        <v>97</v>
      </c>
      <c r="P720" s="2" t="s">
        <v>2478</v>
      </c>
      <c r="Q720" s="2" t="s">
        <v>99</v>
      </c>
      <c r="R720" s="2" t="s">
        <v>100</v>
      </c>
      <c r="S720" s="2" t="s">
        <v>100</v>
      </c>
      <c r="T720" s="2" t="s">
        <v>280</v>
      </c>
      <c r="U720" s="2" t="s">
        <v>171</v>
      </c>
      <c r="V720" s="2" t="s">
        <v>2661</v>
      </c>
      <c r="W720" s="2" t="s">
        <v>100</v>
      </c>
      <c r="X720" s="2" t="s">
        <v>100</v>
      </c>
      <c r="Y720" s="2" t="s">
        <v>100</v>
      </c>
      <c r="Z720" s="4"/>
      <c r="AA720" s="4">
        <f>=ROUNDDOWN({0},0)</f>
      </c>
      <c r="AB720" s="5"/>
      <c r="AC720" s="2" t="s">
        <v>100</v>
      </c>
      <c r="AD720" s="4"/>
      <c r="AE720" s="4"/>
      <c r="AF720" s="6"/>
      <c r="AG720" s="6"/>
      <c r="AH720" s="7"/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/>
      <c r="BK720" s="8"/>
      <c r="BL720" s="2" t="s">
        <v>100</v>
      </c>
      <c r="BM720" s="7"/>
      <c r="BN720" s="7"/>
      <c r="BO720" s="4"/>
      <c r="BP720" s="8"/>
      <c r="BQ720" s="4"/>
      <c r="BR720" s="8"/>
      <c r="BS720" s="7"/>
      <c r="BT720" s="7"/>
      <c r="BU720" s="2" t="s">
        <v>2528</v>
      </c>
      <c r="BV720" s="2" t="s">
        <v>97</v>
      </c>
      <c r="BW720" s="2" t="s">
        <v>100</v>
      </c>
      <c r="BX720" s="2" t="s">
        <v>100</v>
      </c>
      <c r="BY720" s="2" t="s">
        <v>113</v>
      </c>
      <c r="BZ720" s="2" t="s">
        <v>100</v>
      </c>
    </row>
    <row r="721">
      <c r="A721" s="2" t="s">
        <v>2781</v>
      </c>
      <c r="B721" s="2" t="s">
        <v>87</v>
      </c>
      <c r="C721" s="2" t="s">
        <v>2611</v>
      </c>
      <c r="D721" s="2" t="s">
        <v>1638</v>
      </c>
      <c r="E721" s="2" t="s">
        <v>1759</v>
      </c>
      <c r="F721" s="2" t="s">
        <v>2665</v>
      </c>
      <c r="G721" s="2" t="s">
        <v>2665</v>
      </c>
      <c r="H721" s="2" t="s">
        <v>2665</v>
      </c>
      <c r="I721" s="2" t="s">
        <v>2782</v>
      </c>
      <c r="J721" s="2" t="s">
        <v>247</v>
      </c>
      <c r="K721" s="2" t="s">
        <v>118</v>
      </c>
      <c r="L721" s="3">
        <v>72</v>
      </c>
      <c r="M721" s="3">
        <v>75.6</v>
      </c>
      <c r="N721" s="3">
        <v>149.99</v>
      </c>
      <c r="O721" s="2" t="s">
        <v>97</v>
      </c>
      <c r="P721" s="2" t="s">
        <v>119</v>
      </c>
      <c r="Q721" s="2" t="s">
        <v>99</v>
      </c>
      <c r="R721" s="2" t="s">
        <v>100</v>
      </c>
      <c r="S721" s="2" t="s">
        <v>2783</v>
      </c>
      <c r="T721" s="2" t="s">
        <v>280</v>
      </c>
      <c r="U721" s="2" t="s">
        <v>171</v>
      </c>
      <c r="V721" s="2" t="s">
        <v>239</v>
      </c>
      <c r="W721" s="2" t="s">
        <v>239</v>
      </c>
      <c r="X721" s="2" t="s">
        <v>183</v>
      </c>
      <c r="Y721" s="2" t="s">
        <v>2784</v>
      </c>
      <c r="Z721" s="4">
        <v>54</v>
      </c>
      <c r="AA721" s="4">
        <f>=ROUNDDOWN(18.6206896551724,0)</f>
      </c>
      <c r="AB721" s="5">
        <v>2.9</v>
      </c>
      <c r="AC721" s="2" t="s">
        <v>100</v>
      </c>
      <c r="AD721" s="4"/>
      <c r="AE721" s="4"/>
      <c r="AF721" s="6">
        <v>70</v>
      </c>
      <c r="AG721" s="6"/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81</v>
      </c>
      <c r="BK721" s="8">
        <v>6451.26</v>
      </c>
      <c r="BL721" s="2" t="s">
        <v>734</v>
      </c>
      <c r="BM721" s="7"/>
      <c r="BN721" s="7"/>
      <c r="BO721" s="4"/>
      <c r="BP721" s="8"/>
      <c r="BQ721" s="4"/>
      <c r="BR721" s="8"/>
      <c r="BS721" s="7"/>
      <c r="BT721" s="7"/>
      <c r="BU721" s="2" t="s">
        <v>2528</v>
      </c>
      <c r="BV721" s="2" t="s">
        <v>97</v>
      </c>
      <c r="BW721" s="2" t="s">
        <v>100</v>
      </c>
      <c r="BX721" s="2" t="s">
        <v>100</v>
      </c>
      <c r="BY721" s="2" t="s">
        <v>113</v>
      </c>
      <c r="BZ721" s="2" t="s">
        <v>100</v>
      </c>
    </row>
    <row r="722">
      <c r="A722" s="2" t="s">
        <v>2785</v>
      </c>
      <c r="B722" s="2" t="s">
        <v>87</v>
      </c>
      <c r="C722" s="2" t="s">
        <v>2611</v>
      </c>
      <c r="D722" s="2" t="s">
        <v>1638</v>
      </c>
      <c r="E722" s="2" t="s">
        <v>1759</v>
      </c>
      <c r="F722" s="2" t="s">
        <v>2665</v>
      </c>
      <c r="G722" s="2" t="s">
        <v>2665</v>
      </c>
      <c r="H722" s="2" t="s">
        <v>2665</v>
      </c>
      <c r="I722" s="2" t="s">
        <v>2782</v>
      </c>
      <c r="J722" s="2" t="s">
        <v>270</v>
      </c>
      <c r="K722" s="2" t="s">
        <v>118</v>
      </c>
      <c r="L722" s="3">
        <v>81.6</v>
      </c>
      <c r="M722" s="3">
        <v>85.68</v>
      </c>
      <c r="N722" s="3">
        <v>169.99</v>
      </c>
      <c r="O722" s="2" t="s">
        <v>97</v>
      </c>
      <c r="P722" s="2" t="s">
        <v>119</v>
      </c>
      <c r="Q722" s="2" t="s">
        <v>99</v>
      </c>
      <c r="R722" s="2" t="s">
        <v>100</v>
      </c>
      <c r="S722" s="2" t="s">
        <v>2783</v>
      </c>
      <c r="T722" s="2" t="s">
        <v>280</v>
      </c>
      <c r="U722" s="2" t="s">
        <v>171</v>
      </c>
      <c r="V722" s="2" t="s">
        <v>239</v>
      </c>
      <c r="W722" s="2" t="s">
        <v>239</v>
      </c>
      <c r="X722" s="2" t="s">
        <v>183</v>
      </c>
      <c r="Y722" s="2" t="s">
        <v>2784</v>
      </c>
      <c r="Z722" s="4">
        <v>64</v>
      </c>
      <c r="AA722" s="4">
        <f>=ROUNDDOWN(17.2972972972973,0)</f>
      </c>
      <c r="AB722" s="5">
        <v>3.7</v>
      </c>
      <c r="AC722" s="2" t="s">
        <v>100</v>
      </c>
      <c r="AD722" s="4"/>
      <c r="AE722" s="4"/>
      <c r="AF722" s="6">
        <v>70</v>
      </c>
      <c r="AG722" s="6"/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87</v>
      </c>
      <c r="BK722" s="8">
        <v>7638.06</v>
      </c>
      <c r="BL722" s="2" t="s">
        <v>2786</v>
      </c>
      <c r="BM722" s="7"/>
      <c r="BN722" s="7"/>
      <c r="BO722" s="4"/>
      <c r="BP722" s="8"/>
      <c r="BQ722" s="4"/>
      <c r="BR722" s="8"/>
      <c r="BS722" s="7"/>
      <c r="BT722" s="7"/>
      <c r="BU722" s="2" t="s">
        <v>2528</v>
      </c>
      <c r="BV722" s="2" t="s">
        <v>97</v>
      </c>
      <c r="BW722" s="2" t="s">
        <v>100</v>
      </c>
      <c r="BX722" s="2" t="s">
        <v>100</v>
      </c>
      <c r="BY722" s="2" t="s">
        <v>113</v>
      </c>
      <c r="BZ722" s="2" t="s">
        <v>100</v>
      </c>
    </row>
    <row r="723">
      <c r="A723" s="2" t="s">
        <v>2787</v>
      </c>
      <c r="B723" s="2" t="s">
        <v>87</v>
      </c>
      <c r="C723" s="2" t="s">
        <v>2611</v>
      </c>
      <c r="D723" s="2" t="s">
        <v>1638</v>
      </c>
      <c r="E723" s="2" t="s">
        <v>1759</v>
      </c>
      <c r="F723" s="2" t="s">
        <v>2677</v>
      </c>
      <c r="G723" s="2" t="s">
        <v>2677</v>
      </c>
      <c r="H723" s="2" t="s">
        <v>2677</v>
      </c>
      <c r="I723" s="2" t="s">
        <v>2775</v>
      </c>
      <c r="J723" s="2" t="s">
        <v>247</v>
      </c>
      <c r="K723" s="2" t="s">
        <v>130</v>
      </c>
      <c r="L723" s="3">
        <v>75</v>
      </c>
      <c r="M723" s="3">
        <v>78.74</v>
      </c>
      <c r="N723" s="3">
        <v>149.99</v>
      </c>
      <c r="O723" s="2" t="s">
        <v>97</v>
      </c>
      <c r="P723" s="2" t="s">
        <v>950</v>
      </c>
      <c r="Q723" s="2" t="s">
        <v>99</v>
      </c>
      <c r="R723" s="2" t="s">
        <v>100</v>
      </c>
      <c r="S723" s="2" t="s">
        <v>2678</v>
      </c>
      <c r="T723" s="2" t="s">
        <v>280</v>
      </c>
      <c r="U723" s="2" t="s">
        <v>171</v>
      </c>
      <c r="V723" s="2" t="s">
        <v>292</v>
      </c>
      <c r="W723" s="2" t="s">
        <v>219</v>
      </c>
      <c r="X723" s="2" t="s">
        <v>2679</v>
      </c>
      <c r="Y723" s="2" t="s">
        <v>2788</v>
      </c>
      <c r="Z723" s="4">
        <v>47</v>
      </c>
      <c r="AA723" s="4">
        <f>=ROUNDDOWN(18.0769230769231,0)</f>
      </c>
      <c r="AB723" s="5">
        <v>2.6</v>
      </c>
      <c r="AC723" s="2" t="s">
        <v>2681</v>
      </c>
      <c r="AD723" s="4">
        <v>60</v>
      </c>
      <c r="AE723" s="4">
        <v>60</v>
      </c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45</v>
      </c>
      <c r="BK723" s="8">
        <v>3690.88</v>
      </c>
      <c r="BL723" s="2" t="s">
        <v>2789</v>
      </c>
      <c r="BM723" s="7"/>
      <c r="BN723" s="7"/>
      <c r="BO723" s="4"/>
      <c r="BP723" s="8"/>
      <c r="BQ723" s="4"/>
      <c r="BR723" s="8"/>
      <c r="BS723" s="7"/>
      <c r="BT723" s="7"/>
      <c r="BU723" s="2" t="s">
        <v>2528</v>
      </c>
      <c r="BV723" s="2" t="s">
        <v>97</v>
      </c>
      <c r="BW723" s="2" t="s">
        <v>100</v>
      </c>
      <c r="BX723" s="2" t="s">
        <v>100</v>
      </c>
      <c r="BY723" s="2" t="s">
        <v>113</v>
      </c>
      <c r="BZ723" s="2" t="s">
        <v>100</v>
      </c>
    </row>
    <row r="724">
      <c r="A724" s="2" t="s">
        <v>2790</v>
      </c>
      <c r="B724" s="2" t="s">
        <v>87</v>
      </c>
      <c r="C724" s="2" t="s">
        <v>2611</v>
      </c>
      <c r="D724" s="2" t="s">
        <v>1638</v>
      </c>
      <c r="E724" s="2" t="s">
        <v>1759</v>
      </c>
      <c r="F724" s="2" t="s">
        <v>2677</v>
      </c>
      <c r="G724" s="2" t="s">
        <v>2677</v>
      </c>
      <c r="H724" s="2" t="s">
        <v>2677</v>
      </c>
      <c r="I724" s="2" t="s">
        <v>2775</v>
      </c>
      <c r="J724" s="2" t="s">
        <v>714</v>
      </c>
      <c r="K724" s="2" t="s">
        <v>130</v>
      </c>
      <c r="L724" s="3">
        <v>85</v>
      </c>
      <c r="M724" s="3">
        <v>89.24</v>
      </c>
      <c r="N724" s="3">
        <v>169.99</v>
      </c>
      <c r="O724" s="2" t="s">
        <v>97</v>
      </c>
      <c r="P724" s="2" t="s">
        <v>950</v>
      </c>
      <c r="Q724" s="2" t="s">
        <v>99</v>
      </c>
      <c r="R724" s="2" t="s">
        <v>100</v>
      </c>
      <c r="S724" s="2" t="s">
        <v>2678</v>
      </c>
      <c r="T724" s="2" t="s">
        <v>280</v>
      </c>
      <c r="U724" s="2" t="s">
        <v>171</v>
      </c>
      <c r="V724" s="2" t="s">
        <v>292</v>
      </c>
      <c r="W724" s="2" t="s">
        <v>219</v>
      </c>
      <c r="X724" s="2" t="s">
        <v>2679</v>
      </c>
      <c r="Y724" s="2" t="s">
        <v>2788</v>
      </c>
      <c r="Z724" s="4">
        <v>93</v>
      </c>
      <c r="AA724" s="4">
        <f>=ROUNDDOWN(34.4444444444444,0)</f>
      </c>
      <c r="AB724" s="5">
        <v>2.7</v>
      </c>
      <c r="AC724" s="2" t="s">
        <v>100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51</v>
      </c>
      <c r="BK724" s="8">
        <v>4845.42</v>
      </c>
      <c r="BL724" s="2" t="s">
        <v>2614</v>
      </c>
      <c r="BM724" s="7"/>
      <c r="BN724" s="7"/>
      <c r="BO724" s="4"/>
      <c r="BP724" s="8"/>
      <c r="BQ724" s="4"/>
      <c r="BR724" s="8"/>
      <c r="BS724" s="7"/>
      <c r="BT724" s="7"/>
      <c r="BU724" s="2" t="s">
        <v>2528</v>
      </c>
      <c r="BV724" s="2" t="s">
        <v>97</v>
      </c>
      <c r="BW724" s="2" t="s">
        <v>100</v>
      </c>
      <c r="BX724" s="2" t="s">
        <v>100</v>
      </c>
      <c r="BY724" s="2" t="s">
        <v>113</v>
      </c>
      <c r="BZ724" s="2" t="s">
        <v>100</v>
      </c>
    </row>
    <row r="725">
      <c r="A725" s="2" t="s">
        <v>2791</v>
      </c>
      <c r="B725" s="2" t="s">
        <v>87</v>
      </c>
      <c r="C725" s="2" t="s">
        <v>2611</v>
      </c>
      <c r="D725" s="2" t="s">
        <v>1638</v>
      </c>
      <c r="E725" s="2" t="s">
        <v>1759</v>
      </c>
      <c r="F725" s="2" t="s">
        <v>2690</v>
      </c>
      <c r="G725" s="2" t="s">
        <v>2690</v>
      </c>
      <c r="H725" s="2" t="s">
        <v>2690</v>
      </c>
      <c r="I725" s="2" t="s">
        <v>2792</v>
      </c>
      <c r="J725" s="2" t="s">
        <v>247</v>
      </c>
      <c r="K725" s="2" t="s">
        <v>130</v>
      </c>
      <c r="L725" s="3">
        <v>75</v>
      </c>
      <c r="M725" s="3">
        <v>78.74</v>
      </c>
      <c r="N725" s="3">
        <v>159.99</v>
      </c>
      <c r="O725" s="2" t="s">
        <v>97</v>
      </c>
      <c r="P725" s="2" t="s">
        <v>950</v>
      </c>
      <c r="Q725" s="2" t="s">
        <v>99</v>
      </c>
      <c r="R725" s="2" t="s">
        <v>100</v>
      </c>
      <c r="S725" s="2" t="s">
        <v>2692</v>
      </c>
      <c r="T725" s="2" t="s">
        <v>100</v>
      </c>
      <c r="U725" s="2" t="s">
        <v>100</v>
      </c>
      <c r="V725" s="2" t="s">
        <v>292</v>
      </c>
      <c r="W725" s="2" t="s">
        <v>239</v>
      </c>
      <c r="X725" s="2" t="s">
        <v>219</v>
      </c>
      <c r="Y725" s="2" t="s">
        <v>240</v>
      </c>
      <c r="Z725" s="4">
        <v>7</v>
      </c>
      <c r="AA725" s="4">
        <f>=ROUNDDOWN(4.11764705882353,0)</f>
      </c>
      <c r="AB725" s="5">
        <v>1.7</v>
      </c>
      <c r="AC725" s="2" t="s">
        <v>100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29</v>
      </c>
      <c r="BK725" s="8">
        <v>2350.41</v>
      </c>
      <c r="BL725" s="2" t="s">
        <v>2793</v>
      </c>
      <c r="BM725" s="7"/>
      <c r="BN725" s="7"/>
      <c r="BO725" s="4"/>
      <c r="BP725" s="8"/>
      <c r="BQ725" s="4"/>
      <c r="BR725" s="8"/>
      <c r="BS725" s="7"/>
      <c r="BT725" s="7"/>
      <c r="BU725" s="2" t="s">
        <v>2528</v>
      </c>
      <c r="BV725" s="2" t="s">
        <v>97</v>
      </c>
      <c r="BW725" s="2" t="s">
        <v>100</v>
      </c>
      <c r="BX725" s="2" t="s">
        <v>100</v>
      </c>
      <c r="BY725" s="2" t="s">
        <v>113</v>
      </c>
      <c r="BZ725" s="2" t="s">
        <v>100</v>
      </c>
    </row>
    <row r="726">
      <c r="A726" s="2" t="s">
        <v>2794</v>
      </c>
      <c r="B726" s="2" t="s">
        <v>87</v>
      </c>
      <c r="C726" s="2" t="s">
        <v>2611</v>
      </c>
      <c r="D726" s="2" t="s">
        <v>1638</v>
      </c>
      <c r="E726" s="2" t="s">
        <v>1759</v>
      </c>
      <c r="F726" s="2" t="s">
        <v>2690</v>
      </c>
      <c r="G726" s="2" t="s">
        <v>2690</v>
      </c>
      <c r="H726" s="2" t="s">
        <v>2690</v>
      </c>
      <c r="I726" s="2" t="s">
        <v>2792</v>
      </c>
      <c r="J726" s="2" t="s">
        <v>270</v>
      </c>
      <c r="K726" s="2" t="s">
        <v>130</v>
      </c>
      <c r="L726" s="3">
        <v>85</v>
      </c>
      <c r="M726" s="3">
        <v>89.24</v>
      </c>
      <c r="N726" s="3">
        <v>179.99</v>
      </c>
      <c r="O726" s="2" t="s">
        <v>97</v>
      </c>
      <c r="P726" s="2" t="s">
        <v>950</v>
      </c>
      <c r="Q726" s="2" t="s">
        <v>99</v>
      </c>
      <c r="R726" s="2" t="s">
        <v>100</v>
      </c>
      <c r="S726" s="2" t="s">
        <v>2692</v>
      </c>
      <c r="T726" s="2" t="s">
        <v>100</v>
      </c>
      <c r="U726" s="2" t="s">
        <v>100</v>
      </c>
      <c r="V726" s="2" t="s">
        <v>292</v>
      </c>
      <c r="W726" s="2" t="s">
        <v>239</v>
      </c>
      <c r="X726" s="2" t="s">
        <v>219</v>
      </c>
      <c r="Y726" s="2" t="s">
        <v>240</v>
      </c>
      <c r="Z726" s="4">
        <v>35</v>
      </c>
      <c r="AA726" s="4">
        <f>=ROUNDDOWN(10.9375,0)</f>
      </c>
      <c r="AB726" s="5">
        <v>3.2</v>
      </c>
      <c r="AC726" s="2" t="s">
        <v>100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77</v>
      </c>
      <c r="BK726" s="8">
        <v>6817.86</v>
      </c>
      <c r="BL726" s="2" t="s">
        <v>2795</v>
      </c>
      <c r="BM726" s="7"/>
      <c r="BN726" s="7"/>
      <c r="BO726" s="4"/>
      <c r="BP726" s="8"/>
      <c r="BQ726" s="4"/>
      <c r="BR726" s="8"/>
      <c r="BS726" s="7"/>
      <c r="BT726" s="7"/>
      <c r="BU726" s="2" t="s">
        <v>2528</v>
      </c>
      <c r="BV726" s="2" t="s">
        <v>97</v>
      </c>
      <c r="BW726" s="2" t="s">
        <v>100</v>
      </c>
      <c r="BX726" s="2" t="s">
        <v>100</v>
      </c>
      <c r="BY726" s="2" t="s">
        <v>113</v>
      </c>
      <c r="BZ726" s="2" t="s">
        <v>100</v>
      </c>
    </row>
    <row r="727">
      <c r="A727" s="2" t="s">
        <v>2796</v>
      </c>
      <c r="B727" s="2" t="s">
        <v>87</v>
      </c>
      <c r="C727" s="2" t="s">
        <v>2611</v>
      </c>
      <c r="D727" s="2" t="s">
        <v>1638</v>
      </c>
      <c r="E727" s="2" t="s">
        <v>1759</v>
      </c>
      <c r="F727" s="2" t="s">
        <v>2621</v>
      </c>
      <c r="G727" s="2" t="s">
        <v>2621</v>
      </c>
      <c r="H727" s="2" t="s">
        <v>2621</v>
      </c>
      <c r="I727" s="2" t="s">
        <v>2770</v>
      </c>
      <c r="J727" s="2" t="s">
        <v>247</v>
      </c>
      <c r="K727" s="2" t="s">
        <v>189</v>
      </c>
      <c r="L727" s="3">
        <v>96.89</v>
      </c>
      <c r="M727" s="3">
        <v>101.74</v>
      </c>
      <c r="N727" s="3">
        <v>199.99</v>
      </c>
      <c r="O727" s="2" t="s">
        <v>97</v>
      </c>
      <c r="P727" s="2" t="s">
        <v>950</v>
      </c>
      <c r="Q727" s="2" t="s">
        <v>99</v>
      </c>
      <c r="R727" s="2" t="s">
        <v>100</v>
      </c>
      <c r="S727" s="2" t="s">
        <v>2622</v>
      </c>
      <c r="T727" s="2" t="s">
        <v>100</v>
      </c>
      <c r="U727" s="2" t="s">
        <v>100</v>
      </c>
      <c r="V727" s="2" t="s">
        <v>239</v>
      </c>
      <c r="W727" s="2" t="s">
        <v>239</v>
      </c>
      <c r="X727" s="2" t="s">
        <v>219</v>
      </c>
      <c r="Y727" s="2" t="s">
        <v>240</v>
      </c>
      <c r="Z727" s="4">
        <v>257</v>
      </c>
      <c r="AA727" s="4">
        <f>=ROUNDDOWN(85.6666666666667,0)</f>
      </c>
      <c r="AB727" s="5">
        <v>3</v>
      </c>
      <c r="AC727" s="2" t="s">
        <v>100</v>
      </c>
      <c r="AD727" s="4"/>
      <c r="AE727" s="4"/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56</v>
      </c>
      <c r="BK727" s="8">
        <v>5849.15</v>
      </c>
      <c r="BL727" s="2" t="s">
        <v>2797</v>
      </c>
      <c r="BM727" s="7"/>
      <c r="BN727" s="7"/>
      <c r="BO727" s="4"/>
      <c r="BP727" s="8"/>
      <c r="BQ727" s="4"/>
      <c r="BR727" s="8"/>
      <c r="BS727" s="7"/>
      <c r="BT727" s="7"/>
      <c r="BU727" s="2" t="s">
        <v>2528</v>
      </c>
      <c r="BV727" s="2" t="s">
        <v>97</v>
      </c>
      <c r="BW727" s="2" t="s">
        <v>100</v>
      </c>
      <c r="BX727" s="2" t="s">
        <v>100</v>
      </c>
      <c r="BY727" s="2" t="s">
        <v>113</v>
      </c>
      <c r="BZ727" s="2" t="s">
        <v>100</v>
      </c>
    </row>
    <row r="728">
      <c r="A728" s="2" t="s">
        <v>2798</v>
      </c>
      <c r="B728" s="2" t="s">
        <v>87</v>
      </c>
      <c r="C728" s="2" t="s">
        <v>2611</v>
      </c>
      <c r="D728" s="2" t="s">
        <v>1638</v>
      </c>
      <c r="E728" s="2" t="s">
        <v>1759</v>
      </c>
      <c r="F728" s="2" t="s">
        <v>2621</v>
      </c>
      <c r="G728" s="2" t="s">
        <v>2621</v>
      </c>
      <c r="H728" s="2" t="s">
        <v>2621</v>
      </c>
      <c r="I728" s="2" t="s">
        <v>2770</v>
      </c>
      <c r="J728" s="2" t="s">
        <v>714</v>
      </c>
      <c r="K728" s="2" t="s">
        <v>189</v>
      </c>
      <c r="L728" s="3">
        <v>109.19</v>
      </c>
      <c r="M728" s="3">
        <v>114.65</v>
      </c>
      <c r="N728" s="3">
        <v>224.99</v>
      </c>
      <c r="O728" s="2" t="s">
        <v>97</v>
      </c>
      <c r="P728" s="2" t="s">
        <v>950</v>
      </c>
      <c r="Q728" s="2" t="s">
        <v>99</v>
      </c>
      <c r="R728" s="2" t="s">
        <v>100</v>
      </c>
      <c r="S728" s="2" t="s">
        <v>2622</v>
      </c>
      <c r="T728" s="2" t="s">
        <v>100</v>
      </c>
      <c r="U728" s="2" t="s">
        <v>100</v>
      </c>
      <c r="V728" s="2" t="s">
        <v>239</v>
      </c>
      <c r="W728" s="2" t="s">
        <v>239</v>
      </c>
      <c r="X728" s="2" t="s">
        <v>219</v>
      </c>
      <c r="Y728" s="2" t="s">
        <v>240</v>
      </c>
      <c r="Z728" s="4">
        <v>87</v>
      </c>
      <c r="AA728" s="4">
        <f>=ROUNDDOWN(36.25,0)</f>
      </c>
      <c r="AB728" s="5">
        <v>2.4</v>
      </c>
      <c r="AC728" s="2" t="s">
        <v>100</v>
      </c>
      <c r="AD728" s="4"/>
      <c r="AE728" s="4"/>
      <c r="AF728" s="6">
        <v>66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80</v>
      </c>
      <c r="BK728" s="8">
        <v>9340.43</v>
      </c>
      <c r="BL728" s="2" t="s">
        <v>2799</v>
      </c>
      <c r="BM728" s="7"/>
      <c r="BN728" s="7"/>
      <c r="BO728" s="4"/>
      <c r="BP728" s="8"/>
      <c r="BQ728" s="4"/>
      <c r="BR728" s="8"/>
      <c r="BS728" s="7"/>
      <c r="BT728" s="7"/>
      <c r="BU728" s="2" t="s">
        <v>2528</v>
      </c>
      <c r="BV728" s="2" t="s">
        <v>97</v>
      </c>
      <c r="BW728" s="2" t="s">
        <v>100</v>
      </c>
      <c r="BX728" s="2" t="s">
        <v>100</v>
      </c>
      <c r="BY728" s="2" t="s">
        <v>113</v>
      </c>
      <c r="BZ728" s="2" t="s">
        <v>100</v>
      </c>
    </row>
    <row r="729">
      <c r="A729" s="2" t="s">
        <v>2800</v>
      </c>
      <c r="B729" s="2" t="s">
        <v>87</v>
      </c>
      <c r="C729" s="2" t="s">
        <v>2611</v>
      </c>
      <c r="D729" s="2" t="s">
        <v>1638</v>
      </c>
      <c r="E729" s="2" t="s">
        <v>1759</v>
      </c>
      <c r="F729" s="2" t="s">
        <v>2708</v>
      </c>
      <c r="G729" s="2" t="s">
        <v>2708</v>
      </c>
      <c r="H729" s="2" t="s">
        <v>2708</v>
      </c>
      <c r="I729" s="2" t="s">
        <v>2801</v>
      </c>
      <c r="J729" s="2" t="s">
        <v>247</v>
      </c>
      <c r="K729" s="2" t="s">
        <v>2710</v>
      </c>
      <c r="L729" s="3">
        <v>80</v>
      </c>
      <c r="M729" s="3">
        <v>84</v>
      </c>
      <c r="N729" s="3">
        <v>159.99</v>
      </c>
      <c r="O729" s="2" t="s">
        <v>97</v>
      </c>
      <c r="P729" s="2" t="s">
        <v>225</v>
      </c>
      <c r="Q729" s="2" t="s">
        <v>99</v>
      </c>
      <c r="R729" s="2" t="s">
        <v>100</v>
      </c>
      <c r="S729" s="2" t="s">
        <v>2711</v>
      </c>
      <c r="T729" s="2" t="s">
        <v>280</v>
      </c>
      <c r="U729" s="2" t="s">
        <v>171</v>
      </c>
      <c r="V729" s="2" t="s">
        <v>350</v>
      </c>
      <c r="W729" s="2" t="s">
        <v>219</v>
      </c>
      <c r="X729" s="2" t="s">
        <v>2712</v>
      </c>
      <c r="Y729" s="2" t="s">
        <v>2713</v>
      </c>
      <c r="Z729" s="4">
        <v>115</v>
      </c>
      <c r="AA729" s="4">
        <f>=ROUNDDOWN(57.5,0)</f>
      </c>
      <c r="AB729" s="5">
        <v>2</v>
      </c>
      <c r="AC729" s="2" t="s">
        <v>100</v>
      </c>
      <c r="AD729" s="4"/>
      <c r="AE729" s="4"/>
      <c r="AF729" s="6">
        <v>65</v>
      </c>
      <c r="AG729" s="6"/>
      <c r="AH729" s="7">
        <v>0.8503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22</v>
      </c>
      <c r="BK729" s="8">
        <v>1950.68</v>
      </c>
      <c r="BL729" s="2" t="s">
        <v>2802</v>
      </c>
      <c r="BM729" s="7"/>
      <c r="BN729" s="7"/>
      <c r="BO729" s="4"/>
      <c r="BP729" s="8"/>
      <c r="BQ729" s="4"/>
      <c r="BR729" s="8"/>
      <c r="BS729" s="7"/>
      <c r="BT729" s="7"/>
      <c r="BU729" s="2" t="s">
        <v>2528</v>
      </c>
      <c r="BV729" s="2" t="s">
        <v>97</v>
      </c>
      <c r="BW729" s="2" t="s">
        <v>100</v>
      </c>
      <c r="BX729" s="2" t="s">
        <v>100</v>
      </c>
      <c r="BY729" s="2" t="s">
        <v>113</v>
      </c>
      <c r="BZ729" s="2" t="s">
        <v>100</v>
      </c>
    </row>
    <row r="730">
      <c r="A730" s="2" t="s">
        <v>2803</v>
      </c>
      <c r="B730" s="2" t="s">
        <v>87</v>
      </c>
      <c r="C730" s="2" t="s">
        <v>2611</v>
      </c>
      <c r="D730" s="2" t="s">
        <v>1638</v>
      </c>
      <c r="E730" s="2" t="s">
        <v>1759</v>
      </c>
      <c r="F730" s="2" t="s">
        <v>2708</v>
      </c>
      <c r="G730" s="2" t="s">
        <v>2708</v>
      </c>
      <c r="H730" s="2" t="s">
        <v>2708</v>
      </c>
      <c r="I730" s="2" t="s">
        <v>2801</v>
      </c>
      <c r="J730" s="2" t="s">
        <v>270</v>
      </c>
      <c r="K730" s="2" t="s">
        <v>2710</v>
      </c>
      <c r="L730" s="3">
        <v>90</v>
      </c>
      <c r="M730" s="3">
        <v>94.5</v>
      </c>
      <c r="N730" s="3">
        <v>179.99</v>
      </c>
      <c r="O730" s="2" t="s">
        <v>97</v>
      </c>
      <c r="P730" s="2" t="s">
        <v>225</v>
      </c>
      <c r="Q730" s="2" t="s">
        <v>99</v>
      </c>
      <c r="R730" s="2" t="s">
        <v>100</v>
      </c>
      <c r="S730" s="2" t="s">
        <v>2711</v>
      </c>
      <c r="T730" s="2" t="s">
        <v>280</v>
      </c>
      <c r="U730" s="2" t="s">
        <v>171</v>
      </c>
      <c r="V730" s="2" t="s">
        <v>350</v>
      </c>
      <c r="W730" s="2" t="s">
        <v>219</v>
      </c>
      <c r="X730" s="2" t="s">
        <v>2712</v>
      </c>
      <c r="Y730" s="2" t="s">
        <v>2713</v>
      </c>
      <c r="Z730" s="4">
        <v>116</v>
      </c>
      <c r="AA730" s="4">
        <f>=ROUNDDOWN(58,0)</f>
      </c>
      <c r="AB730" s="5">
        <v>2</v>
      </c>
      <c r="AC730" s="2" t="s">
        <v>100</v>
      </c>
      <c r="AD730" s="4"/>
      <c r="AE730" s="4"/>
      <c r="AF730" s="6">
        <v>65</v>
      </c>
      <c r="AG730" s="6"/>
      <c r="AH730" s="7">
        <v>0.4813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18</v>
      </c>
      <c r="BK730" s="8">
        <v>1782.9</v>
      </c>
      <c r="BL730" s="2" t="s">
        <v>2804</v>
      </c>
      <c r="BM730" s="7"/>
      <c r="BN730" s="7"/>
      <c r="BO730" s="4"/>
      <c r="BP730" s="8"/>
      <c r="BQ730" s="4"/>
      <c r="BR730" s="8"/>
      <c r="BS730" s="7"/>
      <c r="BT730" s="7"/>
      <c r="BU730" s="2" t="s">
        <v>2528</v>
      </c>
      <c r="BV730" s="2" t="s">
        <v>97</v>
      </c>
      <c r="BW730" s="2" t="s">
        <v>100</v>
      </c>
      <c r="BX730" s="2" t="s">
        <v>100</v>
      </c>
      <c r="BY730" s="2" t="s">
        <v>113</v>
      </c>
      <c r="BZ730" s="2" t="s">
        <v>100</v>
      </c>
    </row>
    <row r="731">
      <c r="A731" s="2" t="s">
        <v>2805</v>
      </c>
      <c r="B731" s="2" t="s">
        <v>87</v>
      </c>
      <c r="C731" s="2" t="s">
        <v>2611</v>
      </c>
      <c r="D731" s="2" t="s">
        <v>1638</v>
      </c>
      <c r="E731" s="2" t="s">
        <v>1759</v>
      </c>
      <c r="F731" s="2" t="s">
        <v>2708</v>
      </c>
      <c r="G731" s="2" t="s">
        <v>2708</v>
      </c>
      <c r="H731" s="2" t="s">
        <v>2708</v>
      </c>
      <c r="I731" s="2" t="s">
        <v>2801</v>
      </c>
      <c r="J731" s="2" t="s">
        <v>247</v>
      </c>
      <c r="K731" s="2" t="s">
        <v>2720</v>
      </c>
      <c r="L731" s="3">
        <v>80</v>
      </c>
      <c r="M731" s="3">
        <v>84</v>
      </c>
      <c r="N731" s="3">
        <v>159.99</v>
      </c>
      <c r="O731" s="2" t="s">
        <v>97</v>
      </c>
      <c r="P731" s="2" t="s">
        <v>372</v>
      </c>
      <c r="Q731" s="2" t="s">
        <v>99</v>
      </c>
      <c r="R731" s="2" t="s">
        <v>100</v>
      </c>
      <c r="S731" s="2" t="s">
        <v>2721</v>
      </c>
      <c r="T731" s="2" t="s">
        <v>280</v>
      </c>
      <c r="U731" s="2" t="s">
        <v>171</v>
      </c>
      <c r="V731" s="2" t="s">
        <v>350</v>
      </c>
      <c r="W731" s="2" t="s">
        <v>219</v>
      </c>
      <c r="X731" s="2" t="s">
        <v>2712</v>
      </c>
      <c r="Y731" s="2" t="s">
        <v>2722</v>
      </c>
      <c r="Z731" s="4">
        <v>128</v>
      </c>
      <c r="AA731" s="4">
        <f>=ROUNDDOWN(64,0)</f>
      </c>
      <c r="AB731" s="5">
        <v>2</v>
      </c>
      <c r="AC731" s="2" t="s">
        <v>100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29</v>
      </c>
      <c r="BK731" s="8">
        <v>2590.89</v>
      </c>
      <c r="BL731" s="2" t="s">
        <v>2786</v>
      </c>
      <c r="BM731" s="7"/>
      <c r="BN731" s="7"/>
      <c r="BO731" s="4"/>
      <c r="BP731" s="8"/>
      <c r="BQ731" s="4"/>
      <c r="BR731" s="8"/>
      <c r="BS731" s="7"/>
      <c r="BT731" s="7"/>
      <c r="BU731" s="2" t="s">
        <v>2528</v>
      </c>
      <c r="BV731" s="2" t="s">
        <v>97</v>
      </c>
      <c r="BW731" s="2" t="s">
        <v>100</v>
      </c>
      <c r="BX731" s="2" t="s">
        <v>100</v>
      </c>
      <c r="BY731" s="2" t="s">
        <v>113</v>
      </c>
      <c r="BZ731" s="2" t="s">
        <v>100</v>
      </c>
    </row>
    <row r="732">
      <c r="A732" s="2" t="s">
        <v>2806</v>
      </c>
      <c r="B732" s="2" t="s">
        <v>87</v>
      </c>
      <c r="C732" s="2" t="s">
        <v>2611</v>
      </c>
      <c r="D732" s="2" t="s">
        <v>1638</v>
      </c>
      <c r="E732" s="2" t="s">
        <v>1759</v>
      </c>
      <c r="F732" s="2" t="s">
        <v>2708</v>
      </c>
      <c r="G732" s="2" t="s">
        <v>2708</v>
      </c>
      <c r="H732" s="2" t="s">
        <v>2708</v>
      </c>
      <c r="I732" s="2" t="s">
        <v>2801</v>
      </c>
      <c r="J732" s="2" t="s">
        <v>270</v>
      </c>
      <c r="K732" s="2" t="s">
        <v>2720</v>
      </c>
      <c r="L732" s="3">
        <v>90</v>
      </c>
      <c r="M732" s="3">
        <v>94.5</v>
      </c>
      <c r="N732" s="3">
        <v>179.99</v>
      </c>
      <c r="O732" s="2" t="s">
        <v>97</v>
      </c>
      <c r="P732" s="2" t="s">
        <v>372</v>
      </c>
      <c r="Q732" s="2" t="s">
        <v>99</v>
      </c>
      <c r="R732" s="2" t="s">
        <v>100</v>
      </c>
      <c r="S732" s="2" t="s">
        <v>2721</v>
      </c>
      <c r="T732" s="2" t="s">
        <v>280</v>
      </c>
      <c r="U732" s="2" t="s">
        <v>171</v>
      </c>
      <c r="V732" s="2" t="s">
        <v>350</v>
      </c>
      <c r="W732" s="2" t="s">
        <v>219</v>
      </c>
      <c r="X732" s="2" t="s">
        <v>2712</v>
      </c>
      <c r="Y732" s="2" t="s">
        <v>2722</v>
      </c>
      <c r="Z732" s="4">
        <v>115</v>
      </c>
      <c r="AA732" s="4">
        <f>=ROUNDDOWN(57.5,0)</f>
      </c>
      <c r="AB732" s="5">
        <v>2</v>
      </c>
      <c r="AC732" s="2" t="s">
        <v>100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48</v>
      </c>
      <c r="BK732" s="8">
        <v>4850.13</v>
      </c>
      <c r="BL732" s="2" t="s">
        <v>2671</v>
      </c>
      <c r="BM732" s="7"/>
      <c r="BN732" s="7"/>
      <c r="BO732" s="4"/>
      <c r="BP732" s="8"/>
      <c r="BQ732" s="4"/>
      <c r="BR732" s="8"/>
      <c r="BS732" s="7"/>
      <c r="BT732" s="7"/>
      <c r="BU732" s="2" t="s">
        <v>2528</v>
      </c>
      <c r="BV732" s="2" t="s">
        <v>97</v>
      </c>
      <c r="BW732" s="2" t="s">
        <v>100</v>
      </c>
      <c r="BX732" s="2" t="s">
        <v>100</v>
      </c>
      <c r="BY732" s="2" t="s">
        <v>113</v>
      </c>
      <c r="BZ732" s="2" t="s">
        <v>100</v>
      </c>
    </row>
    <row r="733">
      <c r="A733" s="2" t="s">
        <v>2807</v>
      </c>
      <c r="B733" s="2" t="s">
        <v>87</v>
      </c>
      <c r="C733" s="2" t="s">
        <v>2611</v>
      </c>
      <c r="D733" s="2" t="s">
        <v>1638</v>
      </c>
      <c r="E733" s="2" t="s">
        <v>1759</v>
      </c>
      <c r="F733" s="2" t="s">
        <v>2736</v>
      </c>
      <c r="G733" s="2" t="s">
        <v>100</v>
      </c>
      <c r="H733" s="2" t="s">
        <v>100</v>
      </c>
      <c r="I733" s="2" t="s">
        <v>1639</v>
      </c>
      <c r="J733" s="2" t="s">
        <v>247</v>
      </c>
      <c r="K733" s="2" t="s">
        <v>1614</v>
      </c>
      <c r="L733" s="3">
        <v>96.89</v>
      </c>
      <c r="M733" s="3">
        <v>101.74</v>
      </c>
      <c r="N733" s="3">
        <v>199.99</v>
      </c>
      <c r="O733" s="2" t="s">
        <v>97</v>
      </c>
      <c r="P733" s="2" t="s">
        <v>119</v>
      </c>
      <c r="Q733" s="2" t="s">
        <v>99</v>
      </c>
      <c r="R733" s="2" t="s">
        <v>100</v>
      </c>
      <c r="S733" s="2" t="s">
        <v>2738</v>
      </c>
      <c r="T733" s="2" t="s">
        <v>100</v>
      </c>
      <c r="U733" s="2" t="s">
        <v>100</v>
      </c>
      <c r="V733" s="2" t="s">
        <v>103</v>
      </c>
      <c r="W733" s="2" t="s">
        <v>219</v>
      </c>
      <c r="X733" s="2" t="s">
        <v>158</v>
      </c>
      <c r="Y733" s="2" t="s">
        <v>240</v>
      </c>
      <c r="Z733" s="4">
        <v>62</v>
      </c>
      <c r="AA733" s="4">
        <f>=ROUNDDOWN(44.2857142857143,0)</f>
      </c>
      <c r="AB733" s="5">
        <v>1.4</v>
      </c>
      <c r="AC733" s="2" t="s">
        <v>2739</v>
      </c>
      <c r="AD733" s="4">
        <v>70</v>
      </c>
      <c r="AE733" s="4">
        <v>70</v>
      </c>
      <c r="AF733" s="6">
        <v>69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22</v>
      </c>
      <c r="BK733" s="8">
        <v>2122.23</v>
      </c>
      <c r="BL733" s="2" t="s">
        <v>2808</v>
      </c>
      <c r="BM733" s="7"/>
      <c r="BN733" s="7"/>
      <c r="BO733" s="4"/>
      <c r="BP733" s="8"/>
      <c r="BQ733" s="4"/>
      <c r="BR733" s="8"/>
      <c r="BS733" s="7"/>
      <c r="BT733" s="7"/>
      <c r="BU733" s="2" t="s">
        <v>2528</v>
      </c>
      <c r="BV733" s="2" t="s">
        <v>97</v>
      </c>
      <c r="BW733" s="2" t="s">
        <v>100</v>
      </c>
      <c r="BX733" s="2" t="s">
        <v>100</v>
      </c>
      <c r="BY733" s="2" t="s">
        <v>113</v>
      </c>
      <c r="BZ733" s="2" t="s">
        <v>100</v>
      </c>
    </row>
    <row r="734">
      <c r="A734" s="2" t="s">
        <v>2809</v>
      </c>
      <c r="B734" s="2" t="s">
        <v>87</v>
      </c>
      <c r="C734" s="2" t="s">
        <v>2611</v>
      </c>
      <c r="D734" s="2" t="s">
        <v>1638</v>
      </c>
      <c r="E734" s="2" t="s">
        <v>1759</v>
      </c>
      <c r="F734" s="2" t="s">
        <v>2736</v>
      </c>
      <c r="G734" s="2" t="s">
        <v>100</v>
      </c>
      <c r="H734" s="2" t="s">
        <v>100</v>
      </c>
      <c r="I734" s="2" t="s">
        <v>1639</v>
      </c>
      <c r="J734" s="2" t="s">
        <v>714</v>
      </c>
      <c r="K734" s="2" t="s">
        <v>1614</v>
      </c>
      <c r="L734" s="3">
        <v>109.19</v>
      </c>
      <c r="M734" s="3">
        <v>114.65</v>
      </c>
      <c r="N734" s="3">
        <v>224.99</v>
      </c>
      <c r="O734" s="2" t="s">
        <v>97</v>
      </c>
      <c r="P734" s="2" t="s">
        <v>119</v>
      </c>
      <c r="Q734" s="2" t="s">
        <v>99</v>
      </c>
      <c r="R734" s="2" t="s">
        <v>100</v>
      </c>
      <c r="S734" s="2" t="s">
        <v>2738</v>
      </c>
      <c r="T734" s="2" t="s">
        <v>100</v>
      </c>
      <c r="U734" s="2" t="s">
        <v>100</v>
      </c>
      <c r="V734" s="2" t="s">
        <v>103</v>
      </c>
      <c r="W734" s="2" t="s">
        <v>219</v>
      </c>
      <c r="X734" s="2" t="s">
        <v>158</v>
      </c>
      <c r="Y734" s="2" t="s">
        <v>240</v>
      </c>
      <c r="Z734" s="4">
        <v>35</v>
      </c>
      <c r="AA734" s="4">
        <f>=ROUNDDOWN(12.5,0)</f>
      </c>
      <c r="AB734" s="5">
        <v>2.8</v>
      </c>
      <c r="AC734" s="2" t="s">
        <v>2739</v>
      </c>
      <c r="AD734" s="4">
        <v>70</v>
      </c>
      <c r="AE734" s="4">
        <v>70</v>
      </c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>
        <v>54</v>
      </c>
      <c r="BK734" s="8">
        <v>6189.8</v>
      </c>
      <c r="BL734" s="2" t="s">
        <v>2810</v>
      </c>
      <c r="BM734" s="7"/>
      <c r="BN734" s="7"/>
      <c r="BO734" s="4"/>
      <c r="BP734" s="8"/>
      <c r="BQ734" s="4"/>
      <c r="BR734" s="8"/>
      <c r="BS734" s="7"/>
      <c r="BT734" s="7"/>
      <c r="BU734" s="2" t="s">
        <v>2528</v>
      </c>
      <c r="BV734" s="2" t="s">
        <v>97</v>
      </c>
      <c r="BW734" s="2" t="s">
        <v>100</v>
      </c>
      <c r="BX734" s="2" t="s">
        <v>100</v>
      </c>
      <c r="BY734" s="2" t="s">
        <v>113</v>
      </c>
      <c r="BZ734" s="2" t="s">
        <v>100</v>
      </c>
    </row>
    <row r="735">
      <c r="A735" s="2" t="s">
        <v>2811</v>
      </c>
      <c r="B735" s="2" t="s">
        <v>87</v>
      </c>
      <c r="C735" s="2" t="s">
        <v>2611</v>
      </c>
      <c r="D735" s="2" t="s">
        <v>1638</v>
      </c>
      <c r="E735" s="2" t="s">
        <v>1759</v>
      </c>
      <c r="F735" s="2" t="s">
        <v>2736</v>
      </c>
      <c r="G735" s="2" t="s">
        <v>100</v>
      </c>
      <c r="H735" s="2" t="s">
        <v>100</v>
      </c>
      <c r="I735" s="2" t="s">
        <v>2812</v>
      </c>
      <c r="J735" s="2" t="s">
        <v>247</v>
      </c>
      <c r="K735" s="2" t="s">
        <v>629</v>
      </c>
      <c r="L735" s="3">
        <v>96.89</v>
      </c>
      <c r="M735" s="3">
        <v>101.74</v>
      </c>
      <c r="N735" s="3">
        <v>199.99</v>
      </c>
      <c r="O735" s="2" t="s">
        <v>97</v>
      </c>
      <c r="P735" s="2" t="s">
        <v>119</v>
      </c>
      <c r="Q735" s="2" t="s">
        <v>99</v>
      </c>
      <c r="R735" s="2" t="s">
        <v>100</v>
      </c>
      <c r="S735" s="2" t="s">
        <v>2744</v>
      </c>
      <c r="T735" s="2" t="s">
        <v>100</v>
      </c>
      <c r="U735" s="2" t="s">
        <v>100</v>
      </c>
      <c r="V735" s="2" t="s">
        <v>103</v>
      </c>
      <c r="W735" s="2" t="s">
        <v>219</v>
      </c>
      <c r="X735" s="2" t="s">
        <v>158</v>
      </c>
      <c r="Y735" s="2" t="s">
        <v>2745</v>
      </c>
      <c r="Z735" s="4">
        <v>97</v>
      </c>
      <c r="AA735" s="4">
        <f>=ROUNDDOWN(42.1739130434783,0)</f>
      </c>
      <c r="AB735" s="5">
        <v>2.3</v>
      </c>
      <c r="AC735" s="2" t="s">
        <v>100</v>
      </c>
      <c r="AD735" s="4"/>
      <c r="AE735" s="4"/>
      <c r="AF735" s="6">
        <v>69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41</v>
      </c>
      <c r="BK735" s="8">
        <v>3799.84</v>
      </c>
      <c r="BL735" s="2" t="s">
        <v>2813</v>
      </c>
      <c r="BM735" s="7"/>
      <c r="BN735" s="7"/>
      <c r="BO735" s="4"/>
      <c r="BP735" s="8"/>
      <c r="BQ735" s="4"/>
      <c r="BR735" s="8"/>
      <c r="BS735" s="7"/>
      <c r="BT735" s="7"/>
      <c r="BU735" s="2" t="s">
        <v>2528</v>
      </c>
      <c r="BV735" s="2" t="s">
        <v>97</v>
      </c>
      <c r="BW735" s="2" t="s">
        <v>100</v>
      </c>
      <c r="BX735" s="2" t="s">
        <v>100</v>
      </c>
      <c r="BY735" s="2" t="s">
        <v>113</v>
      </c>
      <c r="BZ735" s="2" t="s">
        <v>100</v>
      </c>
    </row>
    <row r="736">
      <c r="A736" s="2" t="s">
        <v>2814</v>
      </c>
      <c r="B736" s="2" t="s">
        <v>87</v>
      </c>
      <c r="C736" s="2" t="s">
        <v>2611</v>
      </c>
      <c r="D736" s="2" t="s">
        <v>1638</v>
      </c>
      <c r="E736" s="2" t="s">
        <v>1759</v>
      </c>
      <c r="F736" s="2" t="s">
        <v>2736</v>
      </c>
      <c r="G736" s="2" t="s">
        <v>100</v>
      </c>
      <c r="H736" s="2" t="s">
        <v>100</v>
      </c>
      <c r="I736" s="2" t="s">
        <v>2815</v>
      </c>
      <c r="J736" s="2" t="s">
        <v>714</v>
      </c>
      <c r="K736" s="2" t="s">
        <v>629</v>
      </c>
      <c r="L736" s="3">
        <v>109.19</v>
      </c>
      <c r="M736" s="3">
        <v>114.65</v>
      </c>
      <c r="N736" s="3">
        <v>224.99</v>
      </c>
      <c r="O736" s="2" t="s">
        <v>97</v>
      </c>
      <c r="P736" s="2" t="s">
        <v>119</v>
      </c>
      <c r="Q736" s="2" t="s">
        <v>99</v>
      </c>
      <c r="R736" s="2" t="s">
        <v>100</v>
      </c>
      <c r="S736" s="2" t="s">
        <v>2744</v>
      </c>
      <c r="T736" s="2" t="s">
        <v>100</v>
      </c>
      <c r="U736" s="2" t="s">
        <v>100</v>
      </c>
      <c r="V736" s="2" t="s">
        <v>103</v>
      </c>
      <c r="W736" s="2" t="s">
        <v>219</v>
      </c>
      <c r="X736" s="2" t="s">
        <v>158</v>
      </c>
      <c r="Y736" s="2" t="s">
        <v>2745</v>
      </c>
      <c r="Z736" s="4">
        <v>1</v>
      </c>
      <c r="AA736" s="4">
        <f>=ROUNDDOWN(0.175438596491228,0)</f>
      </c>
      <c r="AB736" s="5">
        <v>5.7</v>
      </c>
      <c r="AC736" s="2" t="s">
        <v>2746</v>
      </c>
      <c r="AD736" s="4">
        <v>80</v>
      </c>
      <c r="AE736" s="4">
        <v>80</v>
      </c>
      <c r="AF736" s="6">
        <v>69</v>
      </c>
      <c r="AG736" s="6"/>
      <c r="AH736" s="7">
        <v>0.984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109</v>
      </c>
      <c r="BK736" s="8">
        <v>11450.07</v>
      </c>
      <c r="BL736" s="2" t="s">
        <v>2810</v>
      </c>
      <c r="BM736" s="7"/>
      <c r="BN736" s="7"/>
      <c r="BO736" s="4"/>
      <c r="BP736" s="8"/>
      <c r="BQ736" s="4"/>
      <c r="BR736" s="8"/>
      <c r="BS736" s="7"/>
      <c r="BT736" s="7"/>
      <c r="BU736" s="2" t="s">
        <v>2528</v>
      </c>
      <c r="BV736" s="2" t="s">
        <v>97</v>
      </c>
      <c r="BW736" s="2" t="s">
        <v>100</v>
      </c>
      <c r="BX736" s="2" t="s">
        <v>100</v>
      </c>
      <c r="BY736" s="2" t="s">
        <v>113</v>
      </c>
      <c r="BZ736" s="2" t="s">
        <v>100</v>
      </c>
    </row>
    <row r="737">
      <c r="A737" s="2" t="s">
        <v>2816</v>
      </c>
      <c r="B737" s="2" t="s">
        <v>87</v>
      </c>
      <c r="C737" s="2" t="s">
        <v>2611</v>
      </c>
      <c r="D737" s="2" t="s">
        <v>2503</v>
      </c>
      <c r="E737" s="2" t="s">
        <v>2504</v>
      </c>
      <c r="F737" s="2" t="s">
        <v>2625</v>
      </c>
      <c r="G737" s="2" t="s">
        <v>2625</v>
      </c>
      <c r="H737" s="2" t="s">
        <v>2625</v>
      </c>
      <c r="I737" s="2" t="s">
        <v>2817</v>
      </c>
      <c r="J737" s="2" t="s">
        <v>2818</v>
      </c>
      <c r="K737" s="2" t="s">
        <v>629</v>
      </c>
      <c r="L737" s="3">
        <v>15.75</v>
      </c>
      <c r="M737" s="3">
        <v>16.53</v>
      </c>
      <c r="N737" s="3">
        <v>34.99</v>
      </c>
      <c r="O737" s="2" t="s">
        <v>97</v>
      </c>
      <c r="P737" s="2" t="s">
        <v>372</v>
      </c>
      <c r="Q737" s="2" t="s">
        <v>99</v>
      </c>
      <c r="R737" s="2" t="s">
        <v>100</v>
      </c>
      <c r="S737" s="2" t="s">
        <v>2819</v>
      </c>
      <c r="T737" s="2" t="s">
        <v>100</v>
      </c>
      <c r="U737" s="2" t="s">
        <v>100</v>
      </c>
      <c r="V737" s="2" t="s">
        <v>338</v>
      </c>
      <c r="W737" s="2" t="s">
        <v>219</v>
      </c>
      <c r="X737" s="2" t="s">
        <v>239</v>
      </c>
      <c r="Y737" s="2" t="s">
        <v>2628</v>
      </c>
      <c r="Z737" s="4">
        <v>198</v>
      </c>
      <c r="AA737" s="4">
        <f>=ROUNDDOWN(15.2307692307692,0)</f>
      </c>
      <c r="AB737" s="5">
        <v>13</v>
      </c>
      <c r="AC737" s="2" t="s">
        <v>2618</v>
      </c>
      <c r="AD737" s="4">
        <v>300</v>
      </c>
      <c r="AE737" s="4">
        <v>300</v>
      </c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290</v>
      </c>
      <c r="BK737" s="8">
        <v>5061.8</v>
      </c>
      <c r="BL737" s="2" t="s">
        <v>2820</v>
      </c>
      <c r="BM737" s="7"/>
      <c r="BN737" s="7"/>
      <c r="BO737" s="4"/>
      <c r="BP737" s="8"/>
      <c r="BQ737" s="4"/>
      <c r="BR737" s="8"/>
      <c r="BS737" s="7"/>
      <c r="BT737" s="7"/>
      <c r="BU737" s="2" t="s">
        <v>2528</v>
      </c>
      <c r="BV737" s="2" t="s">
        <v>97</v>
      </c>
      <c r="BW737" s="2" t="s">
        <v>100</v>
      </c>
      <c r="BX737" s="2" t="s">
        <v>100</v>
      </c>
      <c r="BY737" s="2" t="s">
        <v>113</v>
      </c>
      <c r="BZ737" s="2" t="s">
        <v>100</v>
      </c>
    </row>
    <row r="738">
      <c r="A738" s="2" t="s">
        <v>2821</v>
      </c>
      <c r="B738" s="2" t="s">
        <v>87</v>
      </c>
      <c r="C738" s="2" t="s">
        <v>2611</v>
      </c>
      <c r="D738" s="2" t="s">
        <v>2503</v>
      </c>
      <c r="E738" s="2" t="s">
        <v>2504</v>
      </c>
      <c r="F738" s="2" t="s">
        <v>2625</v>
      </c>
      <c r="G738" s="2" t="s">
        <v>2625</v>
      </c>
      <c r="H738" s="2" t="s">
        <v>2625</v>
      </c>
      <c r="I738" s="2" t="s">
        <v>2822</v>
      </c>
      <c r="J738" s="2" t="s">
        <v>2507</v>
      </c>
      <c r="K738" s="2" t="s">
        <v>629</v>
      </c>
      <c r="L738" s="3">
        <v>18.8</v>
      </c>
      <c r="M738" s="3">
        <v>19.74</v>
      </c>
      <c r="N738" s="3">
        <v>39.99</v>
      </c>
      <c r="O738" s="2" t="s">
        <v>97</v>
      </c>
      <c r="P738" s="2" t="s">
        <v>372</v>
      </c>
      <c r="Q738" s="2" t="s">
        <v>99</v>
      </c>
      <c r="R738" s="2" t="s">
        <v>100</v>
      </c>
      <c r="S738" s="2" t="s">
        <v>2819</v>
      </c>
      <c r="T738" s="2" t="s">
        <v>100</v>
      </c>
      <c r="U738" s="2" t="s">
        <v>100</v>
      </c>
      <c r="V738" s="2" t="s">
        <v>403</v>
      </c>
      <c r="W738" s="2" t="s">
        <v>219</v>
      </c>
      <c r="X738" s="2" t="s">
        <v>239</v>
      </c>
      <c r="Y738" s="2" t="s">
        <v>2628</v>
      </c>
      <c r="Z738" s="4">
        <v>259</v>
      </c>
      <c r="AA738" s="4">
        <f>=ROUNDDOWN(43.1666666666667,0)</f>
      </c>
      <c r="AB738" s="5">
        <v>6</v>
      </c>
      <c r="AC738" s="2" t="s">
        <v>2618</v>
      </c>
      <c r="AD738" s="4">
        <v>200</v>
      </c>
      <c r="AE738" s="4">
        <v>200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159</v>
      </c>
      <c r="BK738" s="8">
        <v>3301.04</v>
      </c>
      <c r="BL738" s="2" t="s">
        <v>2823</v>
      </c>
      <c r="BM738" s="7"/>
      <c r="BN738" s="7"/>
      <c r="BO738" s="4"/>
      <c r="BP738" s="8"/>
      <c r="BQ738" s="4"/>
      <c r="BR738" s="8"/>
      <c r="BS738" s="7"/>
      <c r="BT738" s="7"/>
      <c r="BU738" s="2" t="s">
        <v>2528</v>
      </c>
      <c r="BV738" s="2" t="s">
        <v>97</v>
      </c>
      <c r="BW738" s="2" t="s">
        <v>100</v>
      </c>
      <c r="BX738" s="2" t="s">
        <v>100</v>
      </c>
      <c r="BY738" s="2" t="s">
        <v>113</v>
      </c>
      <c r="BZ738" s="2" t="s">
        <v>100</v>
      </c>
    </row>
    <row r="739">
      <c r="A739" s="2" t="s">
        <v>2824</v>
      </c>
      <c r="B739" s="2" t="s">
        <v>87</v>
      </c>
      <c r="C739" s="2" t="s">
        <v>2611</v>
      </c>
      <c r="D739" s="2" t="s">
        <v>2503</v>
      </c>
      <c r="E739" s="2" t="s">
        <v>2504</v>
      </c>
      <c r="F739" s="2" t="s">
        <v>2612</v>
      </c>
      <c r="G739" s="2" t="s">
        <v>2612</v>
      </c>
      <c r="H739" s="2" t="s">
        <v>2612</v>
      </c>
      <c r="I739" s="2" t="s">
        <v>2825</v>
      </c>
      <c r="J739" s="2" t="s">
        <v>2826</v>
      </c>
      <c r="K739" s="2" t="s">
        <v>96</v>
      </c>
      <c r="L739" s="3">
        <v>22.5</v>
      </c>
      <c r="M739" s="3">
        <v>23.62</v>
      </c>
      <c r="N739" s="3">
        <v>49.99</v>
      </c>
      <c r="O739" s="2" t="s">
        <v>97</v>
      </c>
      <c r="P739" s="2" t="s">
        <v>950</v>
      </c>
      <c r="Q739" s="2" t="s">
        <v>99</v>
      </c>
      <c r="R739" s="2" t="s">
        <v>100</v>
      </c>
      <c r="S739" s="2" t="s">
        <v>2613</v>
      </c>
      <c r="T739" s="2" t="s">
        <v>100</v>
      </c>
      <c r="U739" s="2" t="s">
        <v>100</v>
      </c>
      <c r="V739" s="2" t="s">
        <v>239</v>
      </c>
      <c r="W739" s="2" t="s">
        <v>239</v>
      </c>
      <c r="X739" s="2" t="s">
        <v>219</v>
      </c>
      <c r="Y739" s="2" t="s">
        <v>240</v>
      </c>
      <c r="Z739" s="4">
        <v>242</v>
      </c>
      <c r="AA739" s="4">
        <f>=ROUNDDOWN(44,0)</f>
      </c>
      <c r="AB739" s="5">
        <v>5.5</v>
      </c>
      <c r="AC739" s="2" t="s">
        <v>356</v>
      </c>
      <c r="AD739" s="4">
        <v>330</v>
      </c>
      <c r="AE739" s="4">
        <v>330</v>
      </c>
      <c r="AF739" s="6">
        <v>68</v>
      </c>
      <c r="AG739" s="6"/>
      <c r="AH739" s="7">
        <v>0.8182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124</v>
      </c>
      <c r="BK739" s="8">
        <v>3050.64</v>
      </c>
      <c r="BL739" s="2" t="s">
        <v>2827</v>
      </c>
      <c r="BM739" s="7"/>
      <c r="BN739" s="7"/>
      <c r="BO739" s="4"/>
      <c r="BP739" s="8"/>
      <c r="BQ739" s="4"/>
      <c r="BR739" s="8"/>
      <c r="BS739" s="7"/>
      <c r="BT739" s="7"/>
      <c r="BU739" s="2" t="s">
        <v>2528</v>
      </c>
      <c r="BV739" s="2" t="s">
        <v>97</v>
      </c>
      <c r="BW739" s="2" t="s">
        <v>100</v>
      </c>
      <c r="BX739" s="2" t="s">
        <v>100</v>
      </c>
      <c r="BY739" s="2" t="s">
        <v>113</v>
      </c>
      <c r="BZ739" s="2" t="s">
        <v>100</v>
      </c>
    </row>
    <row r="740">
      <c r="A740" s="2" t="s">
        <v>2828</v>
      </c>
      <c r="B740" s="2" t="s">
        <v>87</v>
      </c>
      <c r="C740" s="2" t="s">
        <v>2611</v>
      </c>
      <c r="D740" s="2" t="s">
        <v>2503</v>
      </c>
      <c r="E740" s="2" t="s">
        <v>2504</v>
      </c>
      <c r="F740" s="2" t="s">
        <v>2612</v>
      </c>
      <c r="G740" s="2" t="s">
        <v>2612</v>
      </c>
      <c r="H740" s="2" t="s">
        <v>2612</v>
      </c>
      <c r="I740" s="2" t="s">
        <v>2829</v>
      </c>
      <c r="J740" s="2" t="s">
        <v>2830</v>
      </c>
      <c r="K740" s="2" t="s">
        <v>1614</v>
      </c>
      <c r="L740" s="3">
        <v>22.5</v>
      </c>
      <c r="M740" s="3">
        <v>23.62</v>
      </c>
      <c r="N740" s="3">
        <v>49.99</v>
      </c>
      <c r="O740" s="2" t="s">
        <v>97</v>
      </c>
      <c r="P740" s="2" t="s">
        <v>950</v>
      </c>
      <c r="Q740" s="2" t="s">
        <v>99</v>
      </c>
      <c r="R740" s="2" t="s">
        <v>100</v>
      </c>
      <c r="S740" s="2" t="s">
        <v>2613</v>
      </c>
      <c r="T740" s="2" t="s">
        <v>100</v>
      </c>
      <c r="U740" s="2" t="s">
        <v>100</v>
      </c>
      <c r="V740" s="2" t="s">
        <v>239</v>
      </c>
      <c r="W740" s="2" t="s">
        <v>239</v>
      </c>
      <c r="X740" s="2" t="s">
        <v>219</v>
      </c>
      <c r="Y740" s="2" t="s">
        <v>240</v>
      </c>
      <c r="Z740" s="4">
        <v>136</v>
      </c>
      <c r="AA740" s="4">
        <f>=ROUNDDOWN(50.3703703703704,0)</f>
      </c>
      <c r="AB740" s="5">
        <v>2.7</v>
      </c>
      <c r="AC740" s="2" t="s">
        <v>356</v>
      </c>
      <c r="AD740" s="4">
        <v>234</v>
      </c>
      <c r="AE740" s="4">
        <v>234</v>
      </c>
      <c r="AF740" s="6">
        <v>68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56</v>
      </c>
      <c r="BK740" s="8">
        <v>1335.7</v>
      </c>
      <c r="BL740" s="2" t="s">
        <v>2831</v>
      </c>
      <c r="BM740" s="7"/>
      <c r="BN740" s="7"/>
      <c r="BO740" s="4"/>
      <c r="BP740" s="8"/>
      <c r="BQ740" s="4"/>
      <c r="BR740" s="8"/>
      <c r="BS740" s="7"/>
      <c r="BT740" s="7"/>
      <c r="BU740" s="2" t="s">
        <v>2528</v>
      </c>
      <c r="BV740" s="2" t="s">
        <v>97</v>
      </c>
      <c r="BW740" s="2" t="s">
        <v>100</v>
      </c>
      <c r="BX740" s="2" t="s">
        <v>100</v>
      </c>
      <c r="BY740" s="2" t="s">
        <v>113</v>
      </c>
      <c r="BZ740" s="2" t="s">
        <v>100</v>
      </c>
    </row>
    <row r="741">
      <c r="A741" s="2" t="s">
        <v>2832</v>
      </c>
      <c r="B741" s="2" t="s">
        <v>87</v>
      </c>
      <c r="C741" s="2" t="s">
        <v>2611</v>
      </c>
      <c r="D741" s="2" t="s">
        <v>2503</v>
      </c>
      <c r="E741" s="2" t="s">
        <v>2504</v>
      </c>
      <c r="F741" s="2" t="s">
        <v>2616</v>
      </c>
      <c r="G741" s="2" t="s">
        <v>2616</v>
      </c>
      <c r="H741" s="2" t="s">
        <v>2616</v>
      </c>
      <c r="I741" s="2" t="s">
        <v>2833</v>
      </c>
      <c r="J741" s="2" t="s">
        <v>2834</v>
      </c>
      <c r="K741" s="2" t="s">
        <v>118</v>
      </c>
      <c r="L741" s="3">
        <v>22.5</v>
      </c>
      <c r="M741" s="3">
        <v>23.62</v>
      </c>
      <c r="N741" s="3">
        <v>49.99</v>
      </c>
      <c r="O741" s="2" t="s">
        <v>97</v>
      </c>
      <c r="P741" s="2" t="s">
        <v>950</v>
      </c>
      <c r="Q741" s="2" t="s">
        <v>99</v>
      </c>
      <c r="R741" s="2" t="s">
        <v>100</v>
      </c>
      <c r="S741" s="2" t="s">
        <v>2617</v>
      </c>
      <c r="T741" s="2" t="s">
        <v>100</v>
      </c>
      <c r="U741" s="2" t="s">
        <v>100</v>
      </c>
      <c r="V741" s="2" t="s">
        <v>239</v>
      </c>
      <c r="W741" s="2" t="s">
        <v>239</v>
      </c>
      <c r="X741" s="2" t="s">
        <v>219</v>
      </c>
      <c r="Y741" s="2" t="s">
        <v>240</v>
      </c>
      <c r="Z741" s="4">
        <v>318</v>
      </c>
      <c r="AA741" s="4">
        <f>=ROUNDDOWN(44.1666666666667,0)</f>
      </c>
      <c r="AB741" s="5">
        <v>7.2</v>
      </c>
      <c r="AC741" s="2" t="s">
        <v>1164</v>
      </c>
      <c r="AD741" s="4">
        <v>20</v>
      </c>
      <c r="AE741" s="4">
        <v>20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220</v>
      </c>
      <c r="BK741" s="8">
        <v>5014.08</v>
      </c>
      <c r="BL741" s="2" t="s">
        <v>2623</v>
      </c>
      <c r="BM741" s="7"/>
      <c r="BN741" s="7"/>
      <c r="BO741" s="4"/>
      <c r="BP741" s="8"/>
      <c r="BQ741" s="4"/>
      <c r="BR741" s="8"/>
      <c r="BS741" s="7"/>
      <c r="BT741" s="7"/>
      <c r="BU741" s="2" t="s">
        <v>2528</v>
      </c>
      <c r="BV741" s="2" t="s">
        <v>97</v>
      </c>
      <c r="BW741" s="2" t="s">
        <v>100</v>
      </c>
      <c r="BX741" s="2" t="s">
        <v>100</v>
      </c>
      <c r="BY741" s="2" t="s">
        <v>113</v>
      </c>
      <c r="BZ741" s="2" t="s">
        <v>100</v>
      </c>
    </row>
    <row r="742">
      <c r="A742" s="2" t="s">
        <v>2835</v>
      </c>
      <c r="B742" s="2" t="s">
        <v>87</v>
      </c>
      <c r="C742" s="2" t="s">
        <v>2611</v>
      </c>
      <c r="D742" s="2" t="s">
        <v>2503</v>
      </c>
      <c r="E742" s="2" t="s">
        <v>2504</v>
      </c>
      <c r="F742" s="2" t="s">
        <v>2616</v>
      </c>
      <c r="G742" s="2" t="s">
        <v>2616</v>
      </c>
      <c r="H742" s="2" t="s">
        <v>2616</v>
      </c>
      <c r="I742" s="2" t="s">
        <v>2836</v>
      </c>
      <c r="J742" s="2" t="s">
        <v>2818</v>
      </c>
      <c r="K742" s="2" t="s">
        <v>189</v>
      </c>
      <c r="L742" s="3">
        <v>22.5</v>
      </c>
      <c r="M742" s="3">
        <v>23.62</v>
      </c>
      <c r="N742" s="3">
        <v>49.99</v>
      </c>
      <c r="O742" s="2" t="s">
        <v>97</v>
      </c>
      <c r="P742" s="2" t="s">
        <v>950</v>
      </c>
      <c r="Q742" s="2" t="s">
        <v>99</v>
      </c>
      <c r="R742" s="2" t="s">
        <v>100</v>
      </c>
      <c r="S742" s="2" t="s">
        <v>2617</v>
      </c>
      <c r="T742" s="2" t="s">
        <v>100</v>
      </c>
      <c r="U742" s="2" t="s">
        <v>100</v>
      </c>
      <c r="V742" s="2" t="s">
        <v>239</v>
      </c>
      <c r="W742" s="2" t="s">
        <v>239</v>
      </c>
      <c r="X742" s="2" t="s">
        <v>219</v>
      </c>
      <c r="Y742" s="2" t="s">
        <v>240</v>
      </c>
      <c r="Z742" s="4">
        <v>272</v>
      </c>
      <c r="AA742" s="4">
        <f>=ROUNDDOWN(34.8717948717949,0)</f>
      </c>
      <c r="AB742" s="5">
        <v>7.8</v>
      </c>
      <c r="AC742" s="2" t="s">
        <v>1164</v>
      </c>
      <c r="AD742" s="4">
        <v>20</v>
      </c>
      <c r="AE742" s="4">
        <v>170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196</v>
      </c>
      <c r="BK742" s="8">
        <v>4528.02</v>
      </c>
      <c r="BL742" s="2" t="s">
        <v>2619</v>
      </c>
      <c r="BM742" s="7"/>
      <c r="BN742" s="7"/>
      <c r="BO742" s="4"/>
      <c r="BP742" s="8"/>
      <c r="BQ742" s="4"/>
      <c r="BR742" s="8"/>
      <c r="BS742" s="7"/>
      <c r="BT742" s="7"/>
      <c r="BU742" s="2" t="s">
        <v>2528</v>
      </c>
      <c r="BV742" s="2" t="s">
        <v>97</v>
      </c>
      <c r="BW742" s="2" t="s">
        <v>100</v>
      </c>
      <c r="BX742" s="2" t="s">
        <v>100</v>
      </c>
      <c r="BY742" s="2" t="s">
        <v>113</v>
      </c>
      <c r="BZ742" s="2" t="s">
        <v>100</v>
      </c>
    </row>
    <row r="743">
      <c r="A743" s="2" t="s">
        <v>2837</v>
      </c>
      <c r="B743" s="2" t="s">
        <v>87</v>
      </c>
      <c r="C743" s="2" t="s">
        <v>2611</v>
      </c>
      <c r="D743" s="2" t="s">
        <v>2503</v>
      </c>
      <c r="E743" s="2" t="s">
        <v>2504</v>
      </c>
      <c r="F743" s="2" t="s">
        <v>2616</v>
      </c>
      <c r="G743" s="2" t="s">
        <v>2616</v>
      </c>
      <c r="H743" s="2" t="s">
        <v>2616</v>
      </c>
      <c r="I743" s="2" t="s">
        <v>2838</v>
      </c>
      <c r="J743" s="2" t="s">
        <v>2507</v>
      </c>
      <c r="K743" s="2" t="s">
        <v>189</v>
      </c>
      <c r="L743" s="3">
        <v>17.49</v>
      </c>
      <c r="M743" s="3">
        <v>18.37</v>
      </c>
      <c r="N743" s="3">
        <v>39.99</v>
      </c>
      <c r="O743" s="2" t="s">
        <v>97</v>
      </c>
      <c r="P743" s="2" t="s">
        <v>950</v>
      </c>
      <c r="Q743" s="2" t="s">
        <v>99</v>
      </c>
      <c r="R743" s="2" t="s">
        <v>100</v>
      </c>
      <c r="S743" s="2" t="s">
        <v>2617</v>
      </c>
      <c r="T743" s="2" t="s">
        <v>100</v>
      </c>
      <c r="U743" s="2" t="s">
        <v>100</v>
      </c>
      <c r="V743" s="2" t="s">
        <v>350</v>
      </c>
      <c r="W743" s="2" t="s">
        <v>239</v>
      </c>
      <c r="X743" s="2" t="s">
        <v>219</v>
      </c>
      <c r="Y743" s="2" t="s">
        <v>240</v>
      </c>
      <c r="Z743" s="4">
        <v>261</v>
      </c>
      <c r="AA743" s="4">
        <f>=ROUNDDOWN(23.0973451327434,0)</f>
      </c>
      <c r="AB743" s="5">
        <v>11.3</v>
      </c>
      <c r="AC743" s="2" t="s">
        <v>1164</v>
      </c>
      <c r="AD743" s="4">
        <v>20</v>
      </c>
      <c r="AE743" s="4">
        <v>170</v>
      </c>
      <c r="AF743" s="6">
        <v>64</v>
      </c>
      <c r="AG743" s="6"/>
      <c r="AH743" s="7">
        <v>0.9305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216</v>
      </c>
      <c r="BK743" s="8">
        <v>3888.38</v>
      </c>
      <c r="BL743" s="2" t="s">
        <v>2839</v>
      </c>
      <c r="BM743" s="7"/>
      <c r="BN743" s="7"/>
      <c r="BO743" s="4"/>
      <c r="BP743" s="8"/>
      <c r="BQ743" s="4"/>
      <c r="BR743" s="8"/>
      <c r="BS743" s="7"/>
      <c r="BT743" s="7"/>
      <c r="BU743" s="2" t="s">
        <v>2528</v>
      </c>
      <c r="BV743" s="2" t="s">
        <v>97</v>
      </c>
      <c r="BW743" s="2" t="s">
        <v>100</v>
      </c>
      <c r="BX743" s="2" t="s">
        <v>100</v>
      </c>
      <c r="BY743" s="2" t="s">
        <v>113</v>
      </c>
      <c r="BZ743" s="2" t="s">
        <v>100</v>
      </c>
    </row>
    <row r="744">
      <c r="A744" s="2" t="s">
        <v>2840</v>
      </c>
      <c r="B744" s="2" t="s">
        <v>87</v>
      </c>
      <c r="C744" s="2" t="s">
        <v>2611</v>
      </c>
      <c r="D744" s="2" t="s">
        <v>2503</v>
      </c>
      <c r="E744" s="2" t="s">
        <v>2504</v>
      </c>
      <c r="F744" s="2" t="s">
        <v>2621</v>
      </c>
      <c r="G744" s="2" t="s">
        <v>2621</v>
      </c>
      <c r="H744" s="2" t="s">
        <v>2621</v>
      </c>
      <c r="I744" s="2" t="s">
        <v>2825</v>
      </c>
      <c r="J744" s="2" t="s">
        <v>2818</v>
      </c>
      <c r="K744" s="2" t="s">
        <v>118</v>
      </c>
      <c r="L744" s="3">
        <v>16.8</v>
      </c>
      <c r="M744" s="3">
        <v>17.63</v>
      </c>
      <c r="N744" s="3">
        <v>34.99</v>
      </c>
      <c r="O744" s="2" t="s">
        <v>97</v>
      </c>
      <c r="P744" s="2" t="s">
        <v>950</v>
      </c>
      <c r="Q744" s="2" t="s">
        <v>99</v>
      </c>
      <c r="R744" s="2" t="s">
        <v>100</v>
      </c>
      <c r="S744" s="2" t="s">
        <v>2622</v>
      </c>
      <c r="T744" s="2" t="s">
        <v>100</v>
      </c>
      <c r="U744" s="2" t="s">
        <v>100</v>
      </c>
      <c r="V744" s="2" t="s">
        <v>146</v>
      </c>
      <c r="W744" s="2" t="s">
        <v>239</v>
      </c>
      <c r="X744" s="2" t="s">
        <v>309</v>
      </c>
      <c r="Y744" s="2" t="s">
        <v>240</v>
      </c>
      <c r="Z744" s="4">
        <v>234</v>
      </c>
      <c r="AA744" s="4">
        <f>=ROUNDDOWN(58.5,0)</f>
      </c>
      <c r="AB744" s="5">
        <v>4</v>
      </c>
      <c r="AC744" s="2" t="s">
        <v>100</v>
      </c>
      <c r="AD744" s="4"/>
      <c r="AE744" s="4"/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107</v>
      </c>
      <c r="BK744" s="8">
        <v>1868.4</v>
      </c>
      <c r="BL744" s="2" t="s">
        <v>2619</v>
      </c>
      <c r="BM744" s="7"/>
      <c r="BN744" s="7"/>
      <c r="BO744" s="4"/>
      <c r="BP744" s="8"/>
      <c r="BQ744" s="4"/>
      <c r="BR744" s="8"/>
      <c r="BS744" s="7"/>
      <c r="BT744" s="7"/>
      <c r="BU744" s="2" t="s">
        <v>2528</v>
      </c>
      <c r="BV744" s="2" t="s">
        <v>97</v>
      </c>
      <c r="BW744" s="2" t="s">
        <v>100</v>
      </c>
      <c r="BX744" s="2" t="s">
        <v>100</v>
      </c>
      <c r="BY744" s="2" t="s">
        <v>113</v>
      </c>
      <c r="BZ744" s="2" t="s">
        <v>100</v>
      </c>
    </row>
    <row r="745">
      <c r="A745" s="2" t="s">
        <v>2841</v>
      </c>
      <c r="B745" s="2" t="s">
        <v>87</v>
      </c>
      <c r="C745" s="2" t="s">
        <v>2611</v>
      </c>
      <c r="D745" s="2" t="s">
        <v>2503</v>
      </c>
      <c r="E745" s="2" t="s">
        <v>2504</v>
      </c>
      <c r="F745" s="2" t="s">
        <v>2621</v>
      </c>
      <c r="G745" s="2" t="s">
        <v>2621</v>
      </c>
      <c r="H745" s="2" t="s">
        <v>2621</v>
      </c>
      <c r="I745" s="2" t="s">
        <v>2829</v>
      </c>
      <c r="J745" s="2" t="s">
        <v>2830</v>
      </c>
      <c r="K745" s="2" t="s">
        <v>189</v>
      </c>
      <c r="L745" s="3">
        <v>22.5</v>
      </c>
      <c r="M745" s="3">
        <v>23.62</v>
      </c>
      <c r="N745" s="3">
        <v>44.99</v>
      </c>
      <c r="O745" s="2" t="s">
        <v>97</v>
      </c>
      <c r="P745" s="2" t="s">
        <v>950</v>
      </c>
      <c r="Q745" s="2" t="s">
        <v>99</v>
      </c>
      <c r="R745" s="2" t="s">
        <v>100</v>
      </c>
      <c r="S745" s="2" t="s">
        <v>2622</v>
      </c>
      <c r="T745" s="2" t="s">
        <v>100</v>
      </c>
      <c r="U745" s="2" t="s">
        <v>100</v>
      </c>
      <c r="V745" s="2" t="s">
        <v>239</v>
      </c>
      <c r="W745" s="2" t="s">
        <v>239</v>
      </c>
      <c r="X745" s="2" t="s">
        <v>309</v>
      </c>
      <c r="Y745" s="2" t="s">
        <v>240</v>
      </c>
      <c r="Z745" s="4">
        <v>382</v>
      </c>
      <c r="AA745" s="4">
        <f>=ROUNDDOWN(38.9795918367347,0)</f>
      </c>
      <c r="AB745" s="5">
        <v>9.8</v>
      </c>
      <c r="AC745" s="2" t="s">
        <v>100</v>
      </c>
      <c r="AD745" s="4"/>
      <c r="AE745" s="4"/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310</v>
      </c>
      <c r="BK745" s="8">
        <v>7238.57</v>
      </c>
      <c r="BL745" s="2" t="s">
        <v>2842</v>
      </c>
      <c r="BM745" s="7"/>
      <c r="BN745" s="7"/>
      <c r="BO745" s="4"/>
      <c r="BP745" s="8"/>
      <c r="BQ745" s="4"/>
      <c r="BR745" s="8"/>
      <c r="BS745" s="7"/>
      <c r="BT745" s="7"/>
      <c r="BU745" s="2" t="s">
        <v>2528</v>
      </c>
      <c r="BV745" s="2" t="s">
        <v>97</v>
      </c>
      <c r="BW745" s="2" t="s">
        <v>100</v>
      </c>
      <c r="BX745" s="2" t="s">
        <v>100</v>
      </c>
      <c r="BY745" s="2" t="s">
        <v>113</v>
      </c>
      <c r="BZ745" s="2" t="s">
        <v>100</v>
      </c>
    </row>
    <row r="746">
      <c r="A746" s="2" t="s">
        <v>2843</v>
      </c>
      <c r="B746" s="2" t="s">
        <v>87</v>
      </c>
      <c r="C746" s="2" t="s">
        <v>2611</v>
      </c>
      <c r="D746" s="2" t="s">
        <v>2503</v>
      </c>
      <c r="E746" s="2" t="s">
        <v>2504</v>
      </c>
      <c r="F746" s="2" t="s">
        <v>2736</v>
      </c>
      <c r="G746" s="2" t="s">
        <v>100</v>
      </c>
      <c r="H746" s="2" t="s">
        <v>100</v>
      </c>
      <c r="I746" s="2" t="s">
        <v>2829</v>
      </c>
      <c r="J746" s="2" t="s">
        <v>2507</v>
      </c>
      <c r="K746" s="2" t="s">
        <v>629</v>
      </c>
      <c r="L746" s="3">
        <v>22.5</v>
      </c>
      <c r="M746" s="3">
        <v>23.62</v>
      </c>
      <c r="N746" s="3">
        <v>49.99</v>
      </c>
      <c r="O746" s="2" t="s">
        <v>97</v>
      </c>
      <c r="P746" s="2" t="s">
        <v>119</v>
      </c>
      <c r="Q746" s="2" t="s">
        <v>99</v>
      </c>
      <c r="R746" s="2" t="s">
        <v>100</v>
      </c>
      <c r="S746" s="2" t="s">
        <v>2744</v>
      </c>
      <c r="T746" s="2" t="s">
        <v>100</v>
      </c>
      <c r="U746" s="2" t="s">
        <v>100</v>
      </c>
      <c r="V746" s="2" t="s">
        <v>103</v>
      </c>
      <c r="W746" s="2" t="s">
        <v>219</v>
      </c>
      <c r="X746" s="2" t="s">
        <v>158</v>
      </c>
      <c r="Y746" s="2" t="s">
        <v>2844</v>
      </c>
      <c r="Z746" s="4">
        <v>176</v>
      </c>
      <c r="AA746" s="4">
        <f>=ROUNDDOWN(29.3333333333333,0)</f>
      </c>
      <c r="AB746" s="5">
        <v>6</v>
      </c>
      <c r="AC746" s="2" t="s">
        <v>123</v>
      </c>
      <c r="AD746" s="4">
        <v>200</v>
      </c>
      <c r="AE746" s="4">
        <v>200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102</v>
      </c>
      <c r="BK746" s="8">
        <v>2365.54</v>
      </c>
      <c r="BL746" s="2" t="s">
        <v>2845</v>
      </c>
      <c r="BM746" s="7"/>
      <c r="BN746" s="7"/>
      <c r="BO746" s="4"/>
      <c r="BP746" s="8"/>
      <c r="BQ746" s="4"/>
      <c r="BR746" s="8"/>
      <c r="BS746" s="7"/>
      <c r="BT746" s="7"/>
      <c r="BU746" s="2" t="s">
        <v>2528</v>
      </c>
      <c r="BV746" s="2" t="s">
        <v>97</v>
      </c>
      <c r="BW746" s="2" t="s">
        <v>100</v>
      </c>
      <c r="BX746" s="2" t="s">
        <v>100</v>
      </c>
      <c r="BY746" s="2" t="s">
        <v>113</v>
      </c>
      <c r="BZ746" s="2" t="s">
        <v>100</v>
      </c>
    </row>
    <row r="747">
      <c r="A747" s="2" t="s">
        <v>2846</v>
      </c>
      <c r="B747" s="2" t="s">
        <v>87</v>
      </c>
      <c r="C747" s="2" t="s">
        <v>2611</v>
      </c>
      <c r="D747" s="2" t="s">
        <v>2503</v>
      </c>
      <c r="E747" s="2" t="s">
        <v>2504</v>
      </c>
      <c r="F747" s="2" t="s">
        <v>2736</v>
      </c>
      <c r="G747" s="2" t="s">
        <v>100</v>
      </c>
      <c r="H747" s="2" t="s">
        <v>100</v>
      </c>
      <c r="I747" s="2" t="s">
        <v>2825</v>
      </c>
      <c r="J747" s="2" t="s">
        <v>2818</v>
      </c>
      <c r="K747" s="2" t="s">
        <v>189</v>
      </c>
      <c r="L747" s="3">
        <v>16.8</v>
      </c>
      <c r="M747" s="3">
        <v>17.63</v>
      </c>
      <c r="N747" s="3">
        <v>49.99</v>
      </c>
      <c r="O747" s="2" t="s">
        <v>97</v>
      </c>
      <c r="P747" s="2" t="s">
        <v>119</v>
      </c>
      <c r="Q747" s="2" t="s">
        <v>99</v>
      </c>
      <c r="R747" s="2" t="s">
        <v>100</v>
      </c>
      <c r="S747" s="2" t="s">
        <v>2744</v>
      </c>
      <c r="T747" s="2" t="s">
        <v>100</v>
      </c>
      <c r="U747" s="2" t="s">
        <v>100</v>
      </c>
      <c r="V747" s="2" t="s">
        <v>103</v>
      </c>
      <c r="W747" s="2" t="s">
        <v>219</v>
      </c>
      <c r="X747" s="2" t="s">
        <v>158</v>
      </c>
      <c r="Y747" s="2" t="s">
        <v>2847</v>
      </c>
      <c r="Z747" s="4">
        <v>199</v>
      </c>
      <c r="AA747" s="4">
        <f>=ROUNDDOWN(66.3333333333333,0)</f>
      </c>
      <c r="AB747" s="5">
        <v>3</v>
      </c>
      <c r="AC747" s="2" t="s">
        <v>100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66</v>
      </c>
      <c r="BK747" s="8">
        <v>1184.7</v>
      </c>
      <c r="BL747" s="2" t="s">
        <v>2848</v>
      </c>
      <c r="BM747" s="7"/>
      <c r="BN747" s="7"/>
      <c r="BO747" s="4"/>
      <c r="BP747" s="8"/>
      <c r="BQ747" s="4"/>
      <c r="BR747" s="8"/>
      <c r="BS747" s="7"/>
      <c r="BT747" s="7"/>
      <c r="BU747" s="2" t="s">
        <v>2528</v>
      </c>
      <c r="BV747" s="2" t="s">
        <v>97</v>
      </c>
      <c r="BW747" s="2" t="s">
        <v>100</v>
      </c>
      <c r="BX747" s="2" t="s">
        <v>100</v>
      </c>
      <c r="BY747" s="2" t="s">
        <v>113</v>
      </c>
      <c r="BZ747" s="2" t="s">
        <v>100</v>
      </c>
    </row>
    <row r="748">
      <c r="A748" s="2" t="s">
        <v>2849</v>
      </c>
      <c r="B748" s="2" t="s">
        <v>87</v>
      </c>
      <c r="C748" s="2" t="s">
        <v>2850</v>
      </c>
      <c r="D748" s="2" t="s">
        <v>1857</v>
      </c>
      <c r="E748" s="2" t="s">
        <v>2427</v>
      </c>
      <c r="F748" s="2" t="s">
        <v>2851</v>
      </c>
      <c r="G748" s="2" t="s">
        <v>2851</v>
      </c>
      <c r="H748" s="2" t="s">
        <v>2851</v>
      </c>
      <c r="I748" s="2" t="s">
        <v>2852</v>
      </c>
      <c r="J748" s="2" t="s">
        <v>2430</v>
      </c>
      <c r="K748" s="2" t="s">
        <v>335</v>
      </c>
      <c r="L748" s="3">
        <v>14.85</v>
      </c>
      <c r="M748" s="3">
        <v>15.59</v>
      </c>
      <c r="N748" s="3">
        <v>32.99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2853</v>
      </c>
      <c r="T748" s="2" t="s">
        <v>100</v>
      </c>
      <c r="U748" s="2" t="s">
        <v>100</v>
      </c>
      <c r="V748" s="2" t="s">
        <v>146</v>
      </c>
      <c r="W748" s="2" t="s">
        <v>673</v>
      </c>
      <c r="X748" s="2" t="s">
        <v>100</v>
      </c>
      <c r="Y748" s="2" t="s">
        <v>240</v>
      </c>
      <c r="Z748" s="4">
        <v>897</v>
      </c>
      <c r="AA748" s="4">
        <f>=ROUNDDOWN(25.6285714285714,0)</f>
      </c>
      <c r="AB748" s="5">
        <v>35</v>
      </c>
      <c r="AC748" s="2" t="s">
        <v>872</v>
      </c>
      <c r="AD748" s="4">
        <v>500</v>
      </c>
      <c r="AE748" s="4">
        <v>1000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933</v>
      </c>
      <c r="BK748" s="8">
        <v>14619.25</v>
      </c>
      <c r="BL748" s="2" t="s">
        <v>2854</v>
      </c>
      <c r="BM748" s="7"/>
      <c r="BN748" s="7"/>
      <c r="BO748" s="4"/>
      <c r="BP748" s="8"/>
      <c r="BQ748" s="4"/>
      <c r="BR748" s="8"/>
      <c r="BS748" s="7"/>
      <c r="BT748" s="7"/>
      <c r="BU748" s="2" t="s">
        <v>2528</v>
      </c>
      <c r="BV748" s="2" t="s">
        <v>97</v>
      </c>
      <c r="BW748" s="2" t="s">
        <v>100</v>
      </c>
      <c r="BX748" s="2" t="s">
        <v>100</v>
      </c>
      <c r="BY748" s="2" t="s">
        <v>113</v>
      </c>
      <c r="BZ748" s="2" t="s">
        <v>100</v>
      </c>
    </row>
    <row r="749">
      <c r="A749" s="2" t="s">
        <v>2855</v>
      </c>
      <c r="B749" s="2" t="s">
        <v>87</v>
      </c>
      <c r="C749" s="2" t="s">
        <v>2850</v>
      </c>
      <c r="D749" s="2" t="s">
        <v>1857</v>
      </c>
      <c r="E749" s="2" t="s">
        <v>2427</v>
      </c>
      <c r="F749" s="2" t="s">
        <v>2851</v>
      </c>
      <c r="G749" s="2" t="s">
        <v>2851</v>
      </c>
      <c r="H749" s="2" t="s">
        <v>2851</v>
      </c>
      <c r="I749" s="2" t="s">
        <v>2852</v>
      </c>
      <c r="J749" s="2" t="s">
        <v>2430</v>
      </c>
      <c r="K749" s="2" t="s">
        <v>198</v>
      </c>
      <c r="L749" s="3">
        <v>14.85</v>
      </c>
      <c r="M749" s="3">
        <v>15.59</v>
      </c>
      <c r="N749" s="3">
        <v>32.99</v>
      </c>
      <c r="O749" s="2" t="s">
        <v>97</v>
      </c>
      <c r="P749" s="2" t="s">
        <v>119</v>
      </c>
      <c r="Q749" s="2" t="s">
        <v>99</v>
      </c>
      <c r="R749" s="2" t="s">
        <v>100</v>
      </c>
      <c r="S749" s="2" t="s">
        <v>2856</v>
      </c>
      <c r="T749" s="2" t="s">
        <v>100</v>
      </c>
      <c r="U749" s="2" t="s">
        <v>100</v>
      </c>
      <c r="V749" s="2" t="s">
        <v>146</v>
      </c>
      <c r="W749" s="2" t="s">
        <v>673</v>
      </c>
      <c r="X749" s="2" t="s">
        <v>100</v>
      </c>
      <c r="Y749" s="2" t="s">
        <v>2857</v>
      </c>
      <c r="Z749" s="4">
        <v>597</v>
      </c>
      <c r="AA749" s="4">
        <f>=ROUNDDOWN(54.2727272727273,0)</f>
      </c>
      <c r="AB749" s="5">
        <v>11</v>
      </c>
      <c r="AC749" s="2" t="s">
        <v>100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298</v>
      </c>
      <c r="BK749" s="8">
        <v>4514.01</v>
      </c>
      <c r="BL749" s="2" t="s">
        <v>2858</v>
      </c>
      <c r="BM749" s="7"/>
      <c r="BN749" s="7"/>
      <c r="BO749" s="4"/>
      <c r="BP749" s="8"/>
      <c r="BQ749" s="4"/>
      <c r="BR749" s="8"/>
      <c r="BS749" s="7"/>
      <c r="BT749" s="7"/>
      <c r="BU749" s="2" t="s">
        <v>2528</v>
      </c>
      <c r="BV749" s="2" t="s">
        <v>97</v>
      </c>
      <c r="BW749" s="2" t="s">
        <v>100</v>
      </c>
      <c r="BX749" s="2" t="s">
        <v>100</v>
      </c>
      <c r="BY749" s="2" t="s">
        <v>113</v>
      </c>
      <c r="BZ749" s="2" t="s">
        <v>100</v>
      </c>
    </row>
    <row r="750">
      <c r="A750" s="2" t="s">
        <v>2859</v>
      </c>
      <c r="B750" s="2" t="s">
        <v>87</v>
      </c>
      <c r="C750" s="2" t="s">
        <v>2850</v>
      </c>
      <c r="D750" s="2" t="s">
        <v>1857</v>
      </c>
      <c r="E750" s="2" t="s">
        <v>2427</v>
      </c>
      <c r="F750" s="2" t="s">
        <v>2851</v>
      </c>
      <c r="G750" s="2" t="s">
        <v>2851</v>
      </c>
      <c r="H750" s="2" t="s">
        <v>2851</v>
      </c>
      <c r="I750" s="2" t="s">
        <v>2852</v>
      </c>
      <c r="J750" s="2" t="s">
        <v>2430</v>
      </c>
      <c r="K750" s="2" t="s">
        <v>360</v>
      </c>
      <c r="L750" s="3">
        <v>14.85</v>
      </c>
      <c r="M750" s="3">
        <v>15.59</v>
      </c>
      <c r="N750" s="3">
        <v>32.99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2860</v>
      </c>
      <c r="T750" s="2" t="s">
        <v>280</v>
      </c>
      <c r="U750" s="2" t="s">
        <v>1847</v>
      </c>
      <c r="V750" s="2" t="s">
        <v>146</v>
      </c>
      <c r="W750" s="2" t="s">
        <v>673</v>
      </c>
      <c r="X750" s="2" t="s">
        <v>100</v>
      </c>
      <c r="Y750" s="2" t="s">
        <v>2286</v>
      </c>
      <c r="Z750" s="4">
        <v>595</v>
      </c>
      <c r="AA750" s="4">
        <f>=ROUNDDOWN(11.9,0)</f>
      </c>
      <c r="AB750" s="5">
        <v>50</v>
      </c>
      <c r="AC750" s="2" t="s">
        <v>977</v>
      </c>
      <c r="AD750" s="4">
        <v>600</v>
      </c>
      <c r="AE750" s="4">
        <v>1000</v>
      </c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1479</v>
      </c>
      <c r="BK750" s="8">
        <v>24039.91</v>
      </c>
      <c r="BL750" s="2" t="s">
        <v>2861</v>
      </c>
      <c r="BM750" s="7"/>
      <c r="BN750" s="7"/>
      <c r="BO750" s="4"/>
      <c r="BP750" s="8"/>
      <c r="BQ750" s="4"/>
      <c r="BR750" s="8"/>
      <c r="BS750" s="7"/>
      <c r="BT750" s="7"/>
      <c r="BU750" s="2" t="s">
        <v>2528</v>
      </c>
      <c r="BV750" s="2" t="s">
        <v>97</v>
      </c>
      <c r="BW750" s="2" t="s">
        <v>100</v>
      </c>
      <c r="BX750" s="2" t="s">
        <v>100</v>
      </c>
      <c r="BY750" s="2" t="s">
        <v>113</v>
      </c>
      <c r="BZ750" s="2" t="s">
        <v>100</v>
      </c>
    </row>
    <row r="751">
      <c r="A751" s="2" t="s">
        <v>2862</v>
      </c>
      <c r="B751" s="2" t="s">
        <v>87</v>
      </c>
      <c r="C751" s="2" t="s">
        <v>2850</v>
      </c>
      <c r="D751" s="2" t="s">
        <v>1857</v>
      </c>
      <c r="E751" s="2" t="s">
        <v>2427</v>
      </c>
      <c r="F751" s="2" t="s">
        <v>2851</v>
      </c>
      <c r="G751" s="2" t="s">
        <v>2851</v>
      </c>
      <c r="H751" s="2" t="s">
        <v>2851</v>
      </c>
      <c r="I751" s="2" t="s">
        <v>2852</v>
      </c>
      <c r="J751" s="2" t="s">
        <v>2430</v>
      </c>
      <c r="K751" s="2" t="s">
        <v>629</v>
      </c>
      <c r="L751" s="3">
        <v>14.85</v>
      </c>
      <c r="M751" s="3">
        <v>15.59</v>
      </c>
      <c r="N751" s="3">
        <v>32.99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2863</v>
      </c>
      <c r="T751" s="2" t="s">
        <v>100</v>
      </c>
      <c r="U751" s="2" t="s">
        <v>100</v>
      </c>
      <c r="V751" s="2" t="s">
        <v>146</v>
      </c>
      <c r="W751" s="2" t="s">
        <v>673</v>
      </c>
      <c r="X751" s="2" t="s">
        <v>100</v>
      </c>
      <c r="Y751" s="2" t="s">
        <v>240</v>
      </c>
      <c r="Z751" s="4">
        <v>610</v>
      </c>
      <c r="AA751" s="4">
        <f>=ROUNDDOWN(30.3482587064677,0)</f>
      </c>
      <c r="AB751" s="5">
        <v>20.1</v>
      </c>
      <c r="AC751" s="2" t="s">
        <v>100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574</v>
      </c>
      <c r="BK751" s="8">
        <v>8844.32</v>
      </c>
      <c r="BL751" s="2" t="s">
        <v>2864</v>
      </c>
      <c r="BM751" s="7"/>
      <c r="BN751" s="7"/>
      <c r="BO751" s="4"/>
      <c r="BP751" s="8"/>
      <c r="BQ751" s="4"/>
      <c r="BR751" s="8"/>
      <c r="BS751" s="7"/>
      <c r="BT751" s="7"/>
      <c r="BU751" s="2" t="s">
        <v>2528</v>
      </c>
      <c r="BV751" s="2" t="s">
        <v>97</v>
      </c>
      <c r="BW751" s="2" t="s">
        <v>100</v>
      </c>
      <c r="BX751" s="2" t="s">
        <v>100</v>
      </c>
      <c r="BY751" s="2" t="s">
        <v>113</v>
      </c>
      <c r="BZ751" s="2" t="s">
        <v>100</v>
      </c>
    </row>
    <row r="752">
      <c r="A752" s="2" t="s">
        <v>2865</v>
      </c>
      <c r="B752" s="2" t="s">
        <v>87</v>
      </c>
      <c r="C752" s="2" t="s">
        <v>2850</v>
      </c>
      <c r="D752" s="2" t="s">
        <v>1857</v>
      </c>
      <c r="E752" s="2" t="s">
        <v>2427</v>
      </c>
      <c r="F752" s="2" t="s">
        <v>2851</v>
      </c>
      <c r="G752" s="2" t="s">
        <v>2851</v>
      </c>
      <c r="H752" s="2" t="s">
        <v>2851</v>
      </c>
      <c r="I752" s="2" t="s">
        <v>2852</v>
      </c>
      <c r="J752" s="2" t="s">
        <v>2430</v>
      </c>
      <c r="K752" s="2" t="s">
        <v>189</v>
      </c>
      <c r="L752" s="3">
        <v>14.85</v>
      </c>
      <c r="M752" s="3">
        <v>15.59</v>
      </c>
      <c r="N752" s="3">
        <v>32.99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2866</v>
      </c>
      <c r="T752" s="2" t="s">
        <v>100</v>
      </c>
      <c r="U752" s="2" t="s">
        <v>100</v>
      </c>
      <c r="V752" s="2" t="s">
        <v>146</v>
      </c>
      <c r="W752" s="2" t="s">
        <v>673</v>
      </c>
      <c r="X752" s="2" t="s">
        <v>100</v>
      </c>
      <c r="Y752" s="2" t="s">
        <v>240</v>
      </c>
      <c r="Z752" s="4">
        <v>999</v>
      </c>
      <c r="AA752" s="4">
        <f>=ROUNDDOWN(35.6785714285714,0)</f>
      </c>
      <c r="AB752" s="5">
        <v>28</v>
      </c>
      <c r="AC752" s="2" t="s">
        <v>100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742</v>
      </c>
      <c r="BK752" s="8">
        <v>11603.49</v>
      </c>
      <c r="BL752" s="2" t="s">
        <v>2867</v>
      </c>
      <c r="BM752" s="7"/>
      <c r="BN752" s="7"/>
      <c r="BO752" s="4"/>
      <c r="BP752" s="8"/>
      <c r="BQ752" s="4"/>
      <c r="BR752" s="8"/>
      <c r="BS752" s="7"/>
      <c r="BT752" s="7"/>
      <c r="BU752" s="2" t="s">
        <v>2528</v>
      </c>
      <c r="BV752" s="2" t="s">
        <v>97</v>
      </c>
      <c r="BW752" s="2" t="s">
        <v>100</v>
      </c>
      <c r="BX752" s="2" t="s">
        <v>100</v>
      </c>
      <c r="BY752" s="2" t="s">
        <v>113</v>
      </c>
      <c r="BZ752" s="2" t="s">
        <v>100</v>
      </c>
    </row>
    <row r="753">
      <c r="A753" s="2" t="s">
        <v>2868</v>
      </c>
      <c r="B753" s="2" t="s">
        <v>87</v>
      </c>
      <c r="C753" s="2" t="s">
        <v>2850</v>
      </c>
      <c r="D753" s="2" t="s">
        <v>1857</v>
      </c>
      <c r="E753" s="2" t="s">
        <v>2427</v>
      </c>
      <c r="F753" s="2" t="s">
        <v>2869</v>
      </c>
      <c r="G753" s="2" t="s">
        <v>2869</v>
      </c>
      <c r="H753" s="2" t="s">
        <v>2869</v>
      </c>
      <c r="I753" s="2" t="s">
        <v>2870</v>
      </c>
      <c r="J753" s="2" t="s">
        <v>2430</v>
      </c>
      <c r="K753" s="2" t="s">
        <v>189</v>
      </c>
      <c r="L753" s="3">
        <v>14.85</v>
      </c>
      <c r="M753" s="3">
        <v>15.59</v>
      </c>
      <c r="N753" s="3">
        <v>32.99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2871</v>
      </c>
      <c r="T753" s="2" t="s">
        <v>100</v>
      </c>
      <c r="U753" s="2" t="s">
        <v>100</v>
      </c>
      <c r="V753" s="2" t="s">
        <v>338</v>
      </c>
      <c r="W753" s="2" t="s">
        <v>2872</v>
      </c>
      <c r="X753" s="2" t="s">
        <v>100</v>
      </c>
      <c r="Y753" s="2" t="s">
        <v>240</v>
      </c>
      <c r="Z753" s="4">
        <v>2099</v>
      </c>
      <c r="AA753" s="4">
        <f>=ROUNDDOWN(53.8205128205128,0)</f>
      </c>
      <c r="AB753" s="5">
        <v>39</v>
      </c>
      <c r="AC753" s="2" t="s">
        <v>241</v>
      </c>
      <c r="AD753" s="4">
        <v>700</v>
      </c>
      <c r="AE753" s="4">
        <v>700</v>
      </c>
      <c r="AF753" s="6">
        <v>65</v>
      </c>
      <c r="AG753" s="6">
        <v>48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973</v>
      </c>
      <c r="BK753" s="8">
        <v>15466.97</v>
      </c>
      <c r="BL753" s="2" t="s">
        <v>2873</v>
      </c>
      <c r="BM753" s="7"/>
      <c r="BN753" s="7"/>
      <c r="BO753" s="4"/>
      <c r="BP753" s="8"/>
      <c r="BQ753" s="4"/>
      <c r="BR753" s="8"/>
      <c r="BS753" s="7"/>
      <c r="BT753" s="7"/>
      <c r="BU753" s="2" t="s">
        <v>2528</v>
      </c>
      <c r="BV753" s="2" t="s">
        <v>97</v>
      </c>
      <c r="BW753" s="2" t="s">
        <v>100</v>
      </c>
      <c r="BX753" s="2" t="s">
        <v>100</v>
      </c>
      <c r="BY753" s="2" t="s">
        <v>113</v>
      </c>
      <c r="BZ753" s="2" t="s">
        <v>100</v>
      </c>
    </row>
    <row r="754">
      <c r="A754" s="2" t="s">
        <v>2874</v>
      </c>
      <c r="B754" s="2" t="s">
        <v>87</v>
      </c>
      <c r="C754" s="2" t="s">
        <v>2850</v>
      </c>
      <c r="D754" s="2" t="s">
        <v>803</v>
      </c>
      <c r="E754" s="2" t="s">
        <v>1532</v>
      </c>
      <c r="F754" s="2" t="s">
        <v>2875</v>
      </c>
      <c r="G754" s="2" t="s">
        <v>2875</v>
      </c>
      <c r="H754" s="2" t="s">
        <v>2875</v>
      </c>
      <c r="I754" s="2" t="s">
        <v>2876</v>
      </c>
      <c r="J754" s="2" t="s">
        <v>247</v>
      </c>
      <c r="K754" s="2" t="s">
        <v>96</v>
      </c>
      <c r="L754" s="3">
        <v>54</v>
      </c>
      <c r="M754" s="3">
        <v>56.7</v>
      </c>
      <c r="N754" s="3">
        <v>109.99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2877</v>
      </c>
      <c r="T754" s="2" t="s">
        <v>280</v>
      </c>
      <c r="U754" s="2" t="s">
        <v>480</v>
      </c>
      <c r="V754" s="2" t="s">
        <v>2878</v>
      </c>
      <c r="W754" s="2" t="s">
        <v>1580</v>
      </c>
      <c r="X754" s="2" t="s">
        <v>378</v>
      </c>
      <c r="Y754" s="2" t="s">
        <v>240</v>
      </c>
      <c r="Z754" s="4">
        <v>323</v>
      </c>
      <c r="AA754" s="4">
        <f>=ROUNDDOWN(40.375,0)</f>
      </c>
      <c r="AB754" s="5">
        <v>8</v>
      </c>
      <c r="AC754" s="2" t="s">
        <v>100</v>
      </c>
      <c r="AD754" s="4"/>
      <c r="AE754" s="4"/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186</v>
      </c>
      <c r="BK754" s="8">
        <v>11677.91</v>
      </c>
      <c r="BL754" s="2" t="s">
        <v>2879</v>
      </c>
      <c r="BM754" s="7"/>
      <c r="BN754" s="7"/>
      <c r="BO754" s="4"/>
      <c r="BP754" s="8"/>
      <c r="BQ754" s="4"/>
      <c r="BR754" s="8"/>
      <c r="BS754" s="7"/>
      <c r="BT754" s="7"/>
      <c r="BU754" s="2" t="s">
        <v>2528</v>
      </c>
      <c r="BV754" s="2" t="s">
        <v>97</v>
      </c>
      <c r="BW754" s="2" t="s">
        <v>100</v>
      </c>
      <c r="BX754" s="2" t="s">
        <v>100</v>
      </c>
      <c r="BY754" s="2" t="s">
        <v>113</v>
      </c>
      <c r="BZ754" s="2" t="s">
        <v>100</v>
      </c>
    </row>
    <row r="755">
      <c r="A755" s="2" t="s">
        <v>2880</v>
      </c>
      <c r="B755" s="2" t="s">
        <v>87</v>
      </c>
      <c r="C755" s="2" t="s">
        <v>2850</v>
      </c>
      <c r="D755" s="2" t="s">
        <v>803</v>
      </c>
      <c r="E755" s="2" t="s">
        <v>1532</v>
      </c>
      <c r="F755" s="2" t="s">
        <v>2875</v>
      </c>
      <c r="G755" s="2" t="s">
        <v>2875</v>
      </c>
      <c r="H755" s="2" t="s">
        <v>2875</v>
      </c>
      <c r="I755" s="2" t="s">
        <v>2876</v>
      </c>
      <c r="J755" s="2" t="s">
        <v>270</v>
      </c>
      <c r="K755" s="2" t="s">
        <v>96</v>
      </c>
      <c r="L755" s="3">
        <v>67.5</v>
      </c>
      <c r="M755" s="3">
        <v>70.88</v>
      </c>
      <c r="N755" s="3">
        <v>139.99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2877</v>
      </c>
      <c r="T755" s="2" t="s">
        <v>280</v>
      </c>
      <c r="U755" s="2" t="s">
        <v>480</v>
      </c>
      <c r="V755" s="2" t="s">
        <v>2878</v>
      </c>
      <c r="W755" s="2" t="s">
        <v>1580</v>
      </c>
      <c r="X755" s="2" t="s">
        <v>378</v>
      </c>
      <c r="Y755" s="2" t="s">
        <v>2881</v>
      </c>
      <c r="Z755" s="4">
        <v>763</v>
      </c>
      <c r="AA755" s="4">
        <f>=ROUNDDOWN(63.5833333333333,0)</f>
      </c>
      <c r="AB755" s="5">
        <v>12</v>
      </c>
      <c r="AC755" s="2" t="s">
        <v>100</v>
      </c>
      <c r="AD755" s="4"/>
      <c r="AE755" s="4"/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201</v>
      </c>
      <c r="BK755" s="8">
        <v>15865.5</v>
      </c>
      <c r="BL755" s="2" t="s">
        <v>2882</v>
      </c>
      <c r="BM755" s="7"/>
      <c r="BN755" s="7"/>
      <c r="BO755" s="4"/>
      <c r="BP755" s="8"/>
      <c r="BQ755" s="4"/>
      <c r="BR755" s="8"/>
      <c r="BS755" s="7"/>
      <c r="BT755" s="7"/>
      <c r="BU755" s="2" t="s">
        <v>2528</v>
      </c>
      <c r="BV755" s="2" t="s">
        <v>97</v>
      </c>
      <c r="BW755" s="2" t="s">
        <v>100</v>
      </c>
      <c r="BX755" s="2" t="s">
        <v>100</v>
      </c>
      <c r="BY755" s="2" t="s">
        <v>113</v>
      </c>
      <c r="BZ755" s="2" t="s">
        <v>100</v>
      </c>
    </row>
    <row r="756">
      <c r="A756" s="2" t="s">
        <v>2883</v>
      </c>
      <c r="B756" s="2" t="s">
        <v>87</v>
      </c>
      <c r="C756" s="2" t="s">
        <v>2850</v>
      </c>
      <c r="D756" s="2" t="s">
        <v>803</v>
      </c>
      <c r="E756" s="2" t="s">
        <v>1532</v>
      </c>
      <c r="F756" s="2" t="s">
        <v>2875</v>
      </c>
      <c r="G756" s="2" t="s">
        <v>2875</v>
      </c>
      <c r="H756" s="2" t="s">
        <v>2875</v>
      </c>
      <c r="I756" s="2" t="s">
        <v>2876</v>
      </c>
      <c r="J756" s="2" t="s">
        <v>247</v>
      </c>
      <c r="K756" s="2" t="s">
        <v>360</v>
      </c>
      <c r="L756" s="3">
        <v>54</v>
      </c>
      <c r="M756" s="3">
        <v>56.7</v>
      </c>
      <c r="N756" s="3">
        <v>109.99</v>
      </c>
      <c r="O756" s="2" t="s">
        <v>97</v>
      </c>
      <c r="P756" s="2" t="s">
        <v>98</v>
      </c>
      <c r="Q756" s="2" t="s">
        <v>99</v>
      </c>
      <c r="R756" s="2" t="s">
        <v>100</v>
      </c>
      <c r="S756" s="2" t="s">
        <v>2884</v>
      </c>
      <c r="T756" s="2" t="s">
        <v>280</v>
      </c>
      <c r="U756" s="2" t="s">
        <v>480</v>
      </c>
      <c r="V756" s="2" t="s">
        <v>2878</v>
      </c>
      <c r="W756" s="2" t="s">
        <v>1580</v>
      </c>
      <c r="X756" s="2" t="s">
        <v>378</v>
      </c>
      <c r="Y756" s="2" t="s">
        <v>240</v>
      </c>
      <c r="Z756" s="4">
        <v>738</v>
      </c>
      <c r="AA756" s="4">
        <f>=ROUNDDOWN(73.8,0)</f>
      </c>
      <c r="AB756" s="5">
        <v>10</v>
      </c>
      <c r="AC756" s="2" t="s">
        <v>271</v>
      </c>
      <c r="AD756" s="4">
        <v>90</v>
      </c>
      <c r="AE756" s="4">
        <v>90</v>
      </c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245</v>
      </c>
      <c r="BK756" s="8">
        <v>15494.08</v>
      </c>
      <c r="BL756" s="2" t="s">
        <v>2885</v>
      </c>
      <c r="BM756" s="7"/>
      <c r="BN756" s="7"/>
      <c r="BO756" s="4"/>
      <c r="BP756" s="8"/>
      <c r="BQ756" s="4"/>
      <c r="BR756" s="8"/>
      <c r="BS756" s="7"/>
      <c r="BT756" s="7"/>
      <c r="BU756" s="2" t="s">
        <v>2528</v>
      </c>
      <c r="BV756" s="2" t="s">
        <v>97</v>
      </c>
      <c r="BW756" s="2" t="s">
        <v>100</v>
      </c>
      <c r="BX756" s="2" t="s">
        <v>100</v>
      </c>
      <c r="BY756" s="2" t="s">
        <v>113</v>
      </c>
      <c r="BZ756" s="2" t="s">
        <v>100</v>
      </c>
    </row>
    <row r="757">
      <c r="A757" s="2" t="s">
        <v>2886</v>
      </c>
      <c r="B757" s="2" t="s">
        <v>87</v>
      </c>
      <c r="C757" s="2" t="s">
        <v>2850</v>
      </c>
      <c r="D757" s="2" t="s">
        <v>803</v>
      </c>
      <c r="E757" s="2" t="s">
        <v>1532</v>
      </c>
      <c r="F757" s="2" t="s">
        <v>2875</v>
      </c>
      <c r="G757" s="2" t="s">
        <v>2875</v>
      </c>
      <c r="H757" s="2" t="s">
        <v>2875</v>
      </c>
      <c r="I757" s="2" t="s">
        <v>2876</v>
      </c>
      <c r="J757" s="2" t="s">
        <v>270</v>
      </c>
      <c r="K757" s="2" t="s">
        <v>360</v>
      </c>
      <c r="L757" s="3">
        <v>67.5</v>
      </c>
      <c r="M757" s="3">
        <v>70.88</v>
      </c>
      <c r="N757" s="3">
        <v>139.99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2884</v>
      </c>
      <c r="T757" s="2" t="s">
        <v>280</v>
      </c>
      <c r="U757" s="2" t="s">
        <v>480</v>
      </c>
      <c r="V757" s="2" t="s">
        <v>2878</v>
      </c>
      <c r="W757" s="2" t="s">
        <v>1580</v>
      </c>
      <c r="X757" s="2" t="s">
        <v>378</v>
      </c>
      <c r="Y757" s="2" t="s">
        <v>240</v>
      </c>
      <c r="Z757" s="4">
        <v>690</v>
      </c>
      <c r="AA757" s="4">
        <f>=ROUNDDOWN(57.5,0)</f>
      </c>
      <c r="AB757" s="5">
        <v>12</v>
      </c>
      <c r="AC757" s="2" t="s">
        <v>320</v>
      </c>
      <c r="AD757" s="4">
        <v>5</v>
      </c>
      <c r="AE757" s="4">
        <v>5</v>
      </c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305</v>
      </c>
      <c r="BK757" s="8">
        <v>24190.44</v>
      </c>
      <c r="BL757" s="2" t="s">
        <v>2887</v>
      </c>
      <c r="BM757" s="7"/>
      <c r="BN757" s="7"/>
      <c r="BO757" s="4"/>
      <c r="BP757" s="8"/>
      <c r="BQ757" s="4"/>
      <c r="BR757" s="8"/>
      <c r="BS757" s="7"/>
      <c r="BT757" s="7"/>
      <c r="BU757" s="2" t="s">
        <v>2528</v>
      </c>
      <c r="BV757" s="2" t="s">
        <v>97</v>
      </c>
      <c r="BW757" s="2" t="s">
        <v>100</v>
      </c>
      <c r="BX757" s="2" t="s">
        <v>100</v>
      </c>
      <c r="BY757" s="2" t="s">
        <v>113</v>
      </c>
      <c r="BZ757" s="2" t="s">
        <v>100</v>
      </c>
    </row>
    <row r="758">
      <c r="A758" s="2" t="s">
        <v>2888</v>
      </c>
      <c r="B758" s="2" t="s">
        <v>87</v>
      </c>
      <c r="C758" s="2" t="s">
        <v>2850</v>
      </c>
      <c r="D758" s="2" t="s">
        <v>803</v>
      </c>
      <c r="E758" s="2" t="s">
        <v>1532</v>
      </c>
      <c r="F758" s="2" t="s">
        <v>2875</v>
      </c>
      <c r="G758" s="2" t="s">
        <v>2875</v>
      </c>
      <c r="H758" s="2" t="s">
        <v>2875</v>
      </c>
      <c r="I758" s="2" t="s">
        <v>2876</v>
      </c>
      <c r="J758" s="2" t="s">
        <v>247</v>
      </c>
      <c r="K758" s="2" t="s">
        <v>297</v>
      </c>
      <c r="L758" s="3">
        <v>54</v>
      </c>
      <c r="M758" s="3">
        <v>56.7</v>
      </c>
      <c r="N758" s="3">
        <v>109.99</v>
      </c>
      <c r="O758" s="2" t="s">
        <v>97</v>
      </c>
      <c r="P758" s="2" t="s">
        <v>950</v>
      </c>
      <c r="Q758" s="2" t="s">
        <v>99</v>
      </c>
      <c r="R758" s="2" t="s">
        <v>100</v>
      </c>
      <c r="S758" s="2" t="s">
        <v>2889</v>
      </c>
      <c r="T758" s="2" t="s">
        <v>280</v>
      </c>
      <c r="U758" s="2" t="s">
        <v>480</v>
      </c>
      <c r="V758" s="2" t="s">
        <v>2878</v>
      </c>
      <c r="W758" s="2" t="s">
        <v>1580</v>
      </c>
      <c r="X758" s="2" t="s">
        <v>378</v>
      </c>
      <c r="Y758" s="2" t="s">
        <v>240</v>
      </c>
      <c r="Z758" s="4">
        <v>470</v>
      </c>
      <c r="AA758" s="4">
        <f>=ROUNDDOWN(67.1428571428571,0)</f>
      </c>
      <c r="AB758" s="5">
        <v>7</v>
      </c>
      <c r="AC758" s="2" t="s">
        <v>100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135</v>
      </c>
      <c r="BK758" s="8">
        <v>8480.7</v>
      </c>
      <c r="BL758" s="2" t="s">
        <v>2890</v>
      </c>
      <c r="BM758" s="7"/>
      <c r="BN758" s="7"/>
      <c r="BO758" s="4"/>
      <c r="BP758" s="8"/>
      <c r="BQ758" s="4"/>
      <c r="BR758" s="8"/>
      <c r="BS758" s="7"/>
      <c r="BT758" s="7"/>
      <c r="BU758" s="2" t="s">
        <v>2528</v>
      </c>
      <c r="BV758" s="2" t="s">
        <v>97</v>
      </c>
      <c r="BW758" s="2" t="s">
        <v>100</v>
      </c>
      <c r="BX758" s="2" t="s">
        <v>100</v>
      </c>
      <c r="BY758" s="2" t="s">
        <v>113</v>
      </c>
      <c r="BZ758" s="2" t="s">
        <v>100</v>
      </c>
    </row>
    <row r="759">
      <c r="A759" s="2" t="s">
        <v>2891</v>
      </c>
      <c r="B759" s="2" t="s">
        <v>87</v>
      </c>
      <c r="C759" s="2" t="s">
        <v>2850</v>
      </c>
      <c r="D759" s="2" t="s">
        <v>803</v>
      </c>
      <c r="E759" s="2" t="s">
        <v>1532</v>
      </c>
      <c r="F759" s="2" t="s">
        <v>2875</v>
      </c>
      <c r="G759" s="2" t="s">
        <v>2875</v>
      </c>
      <c r="H759" s="2" t="s">
        <v>2875</v>
      </c>
      <c r="I759" s="2" t="s">
        <v>2876</v>
      </c>
      <c r="J759" s="2" t="s">
        <v>270</v>
      </c>
      <c r="K759" s="2" t="s">
        <v>297</v>
      </c>
      <c r="L759" s="3">
        <v>67.5</v>
      </c>
      <c r="M759" s="3">
        <v>70.88</v>
      </c>
      <c r="N759" s="3">
        <v>139.99</v>
      </c>
      <c r="O759" s="2" t="s">
        <v>97</v>
      </c>
      <c r="P759" s="2" t="s">
        <v>950</v>
      </c>
      <c r="Q759" s="2" t="s">
        <v>99</v>
      </c>
      <c r="R759" s="2" t="s">
        <v>100</v>
      </c>
      <c r="S759" s="2" t="s">
        <v>2889</v>
      </c>
      <c r="T759" s="2" t="s">
        <v>280</v>
      </c>
      <c r="U759" s="2" t="s">
        <v>480</v>
      </c>
      <c r="V759" s="2" t="s">
        <v>2878</v>
      </c>
      <c r="W759" s="2" t="s">
        <v>1580</v>
      </c>
      <c r="X759" s="2" t="s">
        <v>378</v>
      </c>
      <c r="Y759" s="2" t="s">
        <v>240</v>
      </c>
      <c r="Z759" s="4">
        <v>603</v>
      </c>
      <c r="AA759" s="4">
        <f>=ROUNDDOWN(67,0)</f>
      </c>
      <c r="AB759" s="5">
        <v>9</v>
      </c>
      <c r="AC759" s="2" t="s">
        <v>100</v>
      </c>
      <c r="AD759" s="4"/>
      <c r="AE759" s="4"/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185</v>
      </c>
      <c r="BK759" s="8">
        <v>14312.39</v>
      </c>
      <c r="BL759" s="2" t="s">
        <v>2892</v>
      </c>
      <c r="BM759" s="7"/>
      <c r="BN759" s="7"/>
      <c r="BO759" s="4"/>
      <c r="BP759" s="8"/>
      <c r="BQ759" s="4"/>
      <c r="BR759" s="8"/>
      <c r="BS759" s="7"/>
      <c r="BT759" s="7"/>
      <c r="BU759" s="2" t="s">
        <v>2528</v>
      </c>
      <c r="BV759" s="2" t="s">
        <v>97</v>
      </c>
      <c r="BW759" s="2" t="s">
        <v>100</v>
      </c>
      <c r="BX759" s="2" t="s">
        <v>100</v>
      </c>
      <c r="BY759" s="2" t="s">
        <v>113</v>
      </c>
      <c r="BZ759" s="2" t="s">
        <v>100</v>
      </c>
    </row>
    <row r="760">
      <c r="A760" s="2" t="s">
        <v>2893</v>
      </c>
      <c r="B760" s="2" t="s">
        <v>87</v>
      </c>
      <c r="C760" s="2" t="s">
        <v>2850</v>
      </c>
      <c r="D760" s="2" t="s">
        <v>803</v>
      </c>
      <c r="E760" s="2" t="s">
        <v>1532</v>
      </c>
      <c r="F760" s="2" t="s">
        <v>2894</v>
      </c>
      <c r="G760" s="2" t="s">
        <v>2894</v>
      </c>
      <c r="H760" s="2" t="s">
        <v>2894</v>
      </c>
      <c r="I760" s="2" t="s">
        <v>2895</v>
      </c>
      <c r="J760" s="2" t="s">
        <v>247</v>
      </c>
      <c r="K760" s="2" t="s">
        <v>297</v>
      </c>
      <c r="L760" s="3">
        <v>75.6</v>
      </c>
      <c r="M760" s="3">
        <v>79.38</v>
      </c>
      <c r="N760" s="3">
        <v>151.99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2896</v>
      </c>
      <c r="T760" s="2" t="s">
        <v>280</v>
      </c>
      <c r="U760" s="2" t="s">
        <v>480</v>
      </c>
      <c r="V760" s="2" t="s">
        <v>403</v>
      </c>
      <c r="W760" s="2" t="s">
        <v>319</v>
      </c>
      <c r="X760" s="2" t="s">
        <v>2897</v>
      </c>
      <c r="Y760" s="2" t="s">
        <v>2898</v>
      </c>
      <c r="Z760" s="4">
        <v>410</v>
      </c>
      <c r="AA760" s="4">
        <f>=ROUNDDOWN(41,0)</f>
      </c>
      <c r="AB760" s="5">
        <v>10</v>
      </c>
      <c r="AC760" s="2" t="s">
        <v>100</v>
      </c>
      <c r="AD760" s="4"/>
      <c r="AE760" s="4"/>
      <c r="AF760" s="6">
        <v>67</v>
      </c>
      <c r="AG760" s="6">
        <v>75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235</v>
      </c>
      <c r="BK760" s="8">
        <v>19335.52</v>
      </c>
      <c r="BL760" s="2" t="s">
        <v>2899</v>
      </c>
      <c r="BM760" s="7"/>
      <c r="BN760" s="7"/>
      <c r="BO760" s="4"/>
      <c r="BP760" s="8"/>
      <c r="BQ760" s="4"/>
      <c r="BR760" s="8"/>
      <c r="BS760" s="7"/>
      <c r="BT760" s="7"/>
      <c r="BU760" s="2" t="s">
        <v>2528</v>
      </c>
      <c r="BV760" s="2" t="s">
        <v>97</v>
      </c>
      <c r="BW760" s="2" t="s">
        <v>100</v>
      </c>
      <c r="BX760" s="2" t="s">
        <v>100</v>
      </c>
      <c r="BY760" s="2" t="s">
        <v>113</v>
      </c>
      <c r="BZ760" s="2" t="s">
        <v>100</v>
      </c>
    </row>
    <row r="761">
      <c r="A761" s="2" t="s">
        <v>2900</v>
      </c>
      <c r="B761" s="2" t="s">
        <v>87</v>
      </c>
      <c r="C761" s="2" t="s">
        <v>2850</v>
      </c>
      <c r="D761" s="2" t="s">
        <v>803</v>
      </c>
      <c r="E761" s="2" t="s">
        <v>1532</v>
      </c>
      <c r="F761" s="2" t="s">
        <v>2894</v>
      </c>
      <c r="G761" s="2" t="s">
        <v>2894</v>
      </c>
      <c r="H761" s="2" t="s">
        <v>2894</v>
      </c>
      <c r="I761" s="2" t="s">
        <v>2895</v>
      </c>
      <c r="J761" s="2" t="s">
        <v>270</v>
      </c>
      <c r="K761" s="2" t="s">
        <v>297</v>
      </c>
      <c r="L761" s="3">
        <v>91.8</v>
      </c>
      <c r="M761" s="3">
        <v>96.39</v>
      </c>
      <c r="N761" s="3">
        <v>183.99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2896</v>
      </c>
      <c r="T761" s="2" t="s">
        <v>280</v>
      </c>
      <c r="U761" s="2" t="s">
        <v>480</v>
      </c>
      <c r="V761" s="2" t="s">
        <v>403</v>
      </c>
      <c r="W761" s="2" t="s">
        <v>319</v>
      </c>
      <c r="X761" s="2" t="s">
        <v>2897</v>
      </c>
      <c r="Y761" s="2" t="s">
        <v>2898</v>
      </c>
      <c r="Z761" s="4">
        <v>312</v>
      </c>
      <c r="AA761" s="4">
        <f>=ROUNDDOWN(39,0)</f>
      </c>
      <c r="AB761" s="5">
        <v>8</v>
      </c>
      <c r="AC761" s="2" t="s">
        <v>100</v>
      </c>
      <c r="AD761" s="4"/>
      <c r="AE761" s="4"/>
      <c r="AF761" s="6">
        <v>67</v>
      </c>
      <c r="AG761" s="6">
        <v>75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210</v>
      </c>
      <c r="BK761" s="8">
        <v>21298.33</v>
      </c>
      <c r="BL761" s="2" t="s">
        <v>2901</v>
      </c>
      <c r="BM761" s="7"/>
      <c r="BN761" s="7"/>
      <c r="BO761" s="4"/>
      <c r="BP761" s="8"/>
      <c r="BQ761" s="4"/>
      <c r="BR761" s="8"/>
      <c r="BS761" s="7"/>
      <c r="BT761" s="7"/>
      <c r="BU761" s="2" t="s">
        <v>2528</v>
      </c>
      <c r="BV761" s="2" t="s">
        <v>97</v>
      </c>
      <c r="BW761" s="2" t="s">
        <v>100</v>
      </c>
      <c r="BX761" s="2" t="s">
        <v>100</v>
      </c>
      <c r="BY761" s="2" t="s">
        <v>113</v>
      </c>
      <c r="BZ761" s="2" t="s">
        <v>100</v>
      </c>
    </row>
    <row r="762">
      <c r="A762" s="2" t="s">
        <v>2902</v>
      </c>
      <c r="B762" s="2" t="s">
        <v>87</v>
      </c>
      <c r="C762" s="2" t="s">
        <v>2850</v>
      </c>
      <c r="D762" s="2" t="s">
        <v>803</v>
      </c>
      <c r="E762" s="2" t="s">
        <v>1532</v>
      </c>
      <c r="F762" s="2" t="s">
        <v>2903</v>
      </c>
      <c r="G762" s="2" t="s">
        <v>2903</v>
      </c>
      <c r="H762" s="2" t="s">
        <v>2903</v>
      </c>
      <c r="I762" s="2" t="s">
        <v>2904</v>
      </c>
      <c r="J762" s="2" t="s">
        <v>247</v>
      </c>
      <c r="K762" s="2" t="s">
        <v>1614</v>
      </c>
      <c r="L762" s="3">
        <v>59.42</v>
      </c>
      <c r="M762" s="3">
        <v>62.39</v>
      </c>
      <c r="N762" s="3">
        <v>129.99</v>
      </c>
      <c r="O762" s="2" t="s">
        <v>97</v>
      </c>
      <c r="P762" s="2" t="s">
        <v>225</v>
      </c>
      <c r="Q762" s="2" t="s">
        <v>99</v>
      </c>
      <c r="R762" s="2" t="s">
        <v>100</v>
      </c>
      <c r="S762" s="2" t="s">
        <v>2905</v>
      </c>
      <c r="T762" s="2" t="s">
        <v>280</v>
      </c>
      <c r="U762" s="2" t="s">
        <v>480</v>
      </c>
      <c r="V762" s="2" t="s">
        <v>403</v>
      </c>
      <c r="W762" s="2" t="s">
        <v>561</v>
      </c>
      <c r="X762" s="2" t="s">
        <v>100</v>
      </c>
      <c r="Y762" s="2" t="s">
        <v>2906</v>
      </c>
      <c r="Z762" s="4">
        <v>370</v>
      </c>
      <c r="AA762" s="4">
        <f>=ROUNDDOWN(411.111111111111,0)</f>
      </c>
      <c r="AB762" s="5">
        <v>0.9</v>
      </c>
      <c r="AC762" s="2" t="s">
        <v>100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15</v>
      </c>
      <c r="BK762" s="8">
        <v>1017.95</v>
      </c>
      <c r="BL762" s="2" t="s">
        <v>2163</v>
      </c>
      <c r="BM762" s="7"/>
      <c r="BN762" s="7"/>
      <c r="BO762" s="4"/>
      <c r="BP762" s="8"/>
      <c r="BQ762" s="4"/>
      <c r="BR762" s="8"/>
      <c r="BS762" s="7"/>
      <c r="BT762" s="7"/>
      <c r="BU762" s="2" t="s">
        <v>2528</v>
      </c>
      <c r="BV762" s="2" t="s">
        <v>97</v>
      </c>
      <c r="BW762" s="2" t="s">
        <v>100</v>
      </c>
      <c r="BX762" s="2" t="s">
        <v>100</v>
      </c>
      <c r="BY762" s="2" t="s">
        <v>113</v>
      </c>
      <c r="BZ762" s="2" t="s">
        <v>100</v>
      </c>
    </row>
    <row r="763">
      <c r="A763" s="2" t="s">
        <v>2907</v>
      </c>
      <c r="B763" s="2" t="s">
        <v>87</v>
      </c>
      <c r="C763" s="2" t="s">
        <v>2850</v>
      </c>
      <c r="D763" s="2" t="s">
        <v>803</v>
      </c>
      <c r="E763" s="2" t="s">
        <v>1532</v>
      </c>
      <c r="F763" s="2" t="s">
        <v>2903</v>
      </c>
      <c r="G763" s="2" t="s">
        <v>2903</v>
      </c>
      <c r="H763" s="2" t="s">
        <v>2903</v>
      </c>
      <c r="I763" s="2" t="s">
        <v>2904</v>
      </c>
      <c r="J763" s="2" t="s">
        <v>270</v>
      </c>
      <c r="K763" s="2" t="s">
        <v>1614</v>
      </c>
      <c r="L763" s="3">
        <v>68.57</v>
      </c>
      <c r="M763" s="3">
        <v>72</v>
      </c>
      <c r="N763" s="3">
        <v>149.99</v>
      </c>
      <c r="O763" s="2" t="s">
        <v>97</v>
      </c>
      <c r="P763" s="2" t="s">
        <v>225</v>
      </c>
      <c r="Q763" s="2" t="s">
        <v>99</v>
      </c>
      <c r="R763" s="2" t="s">
        <v>100</v>
      </c>
      <c r="S763" s="2" t="s">
        <v>2905</v>
      </c>
      <c r="T763" s="2" t="s">
        <v>280</v>
      </c>
      <c r="U763" s="2" t="s">
        <v>480</v>
      </c>
      <c r="V763" s="2" t="s">
        <v>403</v>
      </c>
      <c r="W763" s="2" t="s">
        <v>561</v>
      </c>
      <c r="X763" s="2" t="s">
        <v>100</v>
      </c>
      <c r="Y763" s="2" t="s">
        <v>2906</v>
      </c>
      <c r="Z763" s="4">
        <v>185</v>
      </c>
      <c r="AA763" s="4">
        <f>=ROUNDDOWN(61.6666666666667,0)</f>
      </c>
      <c r="AB763" s="5">
        <v>3</v>
      </c>
      <c r="AC763" s="2" t="s">
        <v>100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49</v>
      </c>
      <c r="BK763" s="8">
        <v>3852.14</v>
      </c>
      <c r="BL763" s="2" t="s">
        <v>2908</v>
      </c>
      <c r="BM763" s="7"/>
      <c r="BN763" s="7"/>
      <c r="BO763" s="4"/>
      <c r="BP763" s="8"/>
      <c r="BQ763" s="4"/>
      <c r="BR763" s="8"/>
      <c r="BS763" s="7"/>
      <c r="BT763" s="7"/>
      <c r="BU763" s="2" t="s">
        <v>2528</v>
      </c>
      <c r="BV763" s="2" t="s">
        <v>97</v>
      </c>
      <c r="BW763" s="2" t="s">
        <v>100</v>
      </c>
      <c r="BX763" s="2" t="s">
        <v>100</v>
      </c>
      <c r="BY763" s="2" t="s">
        <v>113</v>
      </c>
      <c r="BZ763" s="2" t="s">
        <v>100</v>
      </c>
    </row>
    <row r="764">
      <c r="A764" s="2" t="s">
        <v>2909</v>
      </c>
      <c r="B764" s="2" t="s">
        <v>87</v>
      </c>
      <c r="C764" s="2" t="s">
        <v>2850</v>
      </c>
      <c r="D764" s="2" t="s">
        <v>803</v>
      </c>
      <c r="E764" s="2" t="s">
        <v>1532</v>
      </c>
      <c r="F764" s="2" t="s">
        <v>2910</v>
      </c>
      <c r="G764" s="2" t="s">
        <v>2910</v>
      </c>
      <c r="H764" s="2" t="s">
        <v>2910</v>
      </c>
      <c r="I764" s="2" t="s">
        <v>2895</v>
      </c>
      <c r="J764" s="2" t="s">
        <v>247</v>
      </c>
      <c r="K764" s="2" t="s">
        <v>2911</v>
      </c>
      <c r="L764" s="3">
        <v>70</v>
      </c>
      <c r="M764" s="3">
        <v>73.49</v>
      </c>
      <c r="N764" s="3">
        <v>139.99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2912</v>
      </c>
      <c r="T764" s="2" t="s">
        <v>280</v>
      </c>
      <c r="U764" s="2" t="s">
        <v>480</v>
      </c>
      <c r="V764" s="2" t="s">
        <v>350</v>
      </c>
      <c r="W764" s="2" t="s">
        <v>319</v>
      </c>
      <c r="X764" s="2" t="s">
        <v>183</v>
      </c>
      <c r="Y764" s="2" t="s">
        <v>2913</v>
      </c>
      <c r="Z764" s="4">
        <v>456</v>
      </c>
      <c r="AA764" s="4">
        <f>=ROUNDDOWN(50.6666666666667,0)</f>
      </c>
      <c r="AB764" s="5">
        <v>9</v>
      </c>
      <c r="AC764" s="2" t="s">
        <v>100</v>
      </c>
      <c r="AD764" s="4"/>
      <c r="AE764" s="4"/>
      <c r="AF764" s="6">
        <v>67</v>
      </c>
      <c r="AG764" s="6">
        <v>75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197</v>
      </c>
      <c r="BK764" s="8">
        <v>15121.15</v>
      </c>
      <c r="BL764" s="2" t="s">
        <v>2914</v>
      </c>
      <c r="BM764" s="7"/>
      <c r="BN764" s="7"/>
      <c r="BO764" s="4"/>
      <c r="BP764" s="8"/>
      <c r="BQ764" s="4"/>
      <c r="BR764" s="8"/>
      <c r="BS764" s="7"/>
      <c r="BT764" s="7"/>
      <c r="BU764" s="2" t="s">
        <v>2528</v>
      </c>
      <c r="BV764" s="2" t="s">
        <v>97</v>
      </c>
      <c r="BW764" s="2" t="s">
        <v>100</v>
      </c>
      <c r="BX764" s="2" t="s">
        <v>100</v>
      </c>
      <c r="BY764" s="2" t="s">
        <v>113</v>
      </c>
      <c r="BZ764" s="2" t="s">
        <v>100</v>
      </c>
    </row>
    <row r="765">
      <c r="A765" s="2" t="s">
        <v>2915</v>
      </c>
      <c r="B765" s="2" t="s">
        <v>87</v>
      </c>
      <c r="C765" s="2" t="s">
        <v>2850</v>
      </c>
      <c r="D765" s="2" t="s">
        <v>803</v>
      </c>
      <c r="E765" s="2" t="s">
        <v>1532</v>
      </c>
      <c r="F765" s="2" t="s">
        <v>2910</v>
      </c>
      <c r="G765" s="2" t="s">
        <v>2910</v>
      </c>
      <c r="H765" s="2" t="s">
        <v>2910</v>
      </c>
      <c r="I765" s="2" t="s">
        <v>2895</v>
      </c>
      <c r="J765" s="2" t="s">
        <v>270</v>
      </c>
      <c r="K765" s="2" t="s">
        <v>2911</v>
      </c>
      <c r="L765" s="3">
        <v>85</v>
      </c>
      <c r="M765" s="3">
        <v>89.24</v>
      </c>
      <c r="N765" s="3">
        <v>169.99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2912</v>
      </c>
      <c r="T765" s="2" t="s">
        <v>280</v>
      </c>
      <c r="U765" s="2" t="s">
        <v>480</v>
      </c>
      <c r="V765" s="2" t="s">
        <v>350</v>
      </c>
      <c r="W765" s="2" t="s">
        <v>319</v>
      </c>
      <c r="X765" s="2" t="s">
        <v>183</v>
      </c>
      <c r="Y765" s="2" t="s">
        <v>2913</v>
      </c>
      <c r="Z765" s="4">
        <v>347</v>
      </c>
      <c r="AA765" s="4">
        <f>=ROUNDDOWN(38.5555555555556,0)</f>
      </c>
      <c r="AB765" s="5">
        <v>9</v>
      </c>
      <c r="AC765" s="2" t="s">
        <v>100</v>
      </c>
      <c r="AD765" s="4"/>
      <c r="AE765" s="4"/>
      <c r="AF765" s="6">
        <v>67</v>
      </c>
      <c r="AG765" s="6">
        <v>75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175</v>
      </c>
      <c r="BK765" s="8">
        <v>16062.01</v>
      </c>
      <c r="BL765" s="2" t="s">
        <v>2916</v>
      </c>
      <c r="BM765" s="7"/>
      <c r="BN765" s="7"/>
      <c r="BO765" s="4"/>
      <c r="BP765" s="8"/>
      <c r="BQ765" s="4"/>
      <c r="BR765" s="8"/>
      <c r="BS765" s="7"/>
      <c r="BT765" s="7"/>
      <c r="BU765" s="2" t="s">
        <v>2528</v>
      </c>
      <c r="BV765" s="2" t="s">
        <v>97</v>
      </c>
      <c r="BW765" s="2" t="s">
        <v>100</v>
      </c>
      <c r="BX765" s="2" t="s">
        <v>100</v>
      </c>
      <c r="BY765" s="2" t="s">
        <v>113</v>
      </c>
      <c r="BZ765" s="2" t="s">
        <v>100</v>
      </c>
    </row>
    <row r="766">
      <c r="A766" s="2" t="s">
        <v>2917</v>
      </c>
      <c r="B766" s="2" t="s">
        <v>87</v>
      </c>
      <c r="C766" s="2" t="s">
        <v>2850</v>
      </c>
      <c r="D766" s="2" t="s">
        <v>803</v>
      </c>
      <c r="E766" s="2" t="s">
        <v>1532</v>
      </c>
      <c r="F766" s="2" t="s">
        <v>2918</v>
      </c>
      <c r="G766" s="2" t="s">
        <v>2918</v>
      </c>
      <c r="H766" s="2" t="s">
        <v>2918</v>
      </c>
      <c r="I766" s="2" t="s">
        <v>2919</v>
      </c>
      <c r="J766" s="2" t="s">
        <v>247</v>
      </c>
      <c r="K766" s="2" t="s">
        <v>432</v>
      </c>
      <c r="L766" s="3">
        <v>62.49</v>
      </c>
      <c r="M766" s="3">
        <v>65.62</v>
      </c>
      <c r="N766" s="3">
        <v>124.99</v>
      </c>
      <c r="O766" s="2" t="s">
        <v>97</v>
      </c>
      <c r="P766" s="2" t="s">
        <v>950</v>
      </c>
      <c r="Q766" s="2" t="s">
        <v>99</v>
      </c>
      <c r="R766" s="2" t="s">
        <v>100</v>
      </c>
      <c r="S766" s="2" t="s">
        <v>2920</v>
      </c>
      <c r="T766" s="2" t="s">
        <v>280</v>
      </c>
      <c r="U766" s="2" t="s">
        <v>480</v>
      </c>
      <c r="V766" s="2" t="s">
        <v>403</v>
      </c>
      <c r="W766" s="2" t="s">
        <v>561</v>
      </c>
      <c r="X766" s="2" t="s">
        <v>183</v>
      </c>
      <c r="Y766" s="2" t="s">
        <v>2921</v>
      </c>
      <c r="Z766" s="4">
        <v>543</v>
      </c>
      <c r="AA766" s="4">
        <f>=ROUNDDOWN(49.3636363636364,0)</f>
      </c>
      <c r="AB766" s="5">
        <v>11</v>
      </c>
      <c r="AC766" s="2" t="s">
        <v>872</v>
      </c>
      <c r="AD766" s="4">
        <v>170</v>
      </c>
      <c r="AE766" s="4">
        <v>170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225</v>
      </c>
      <c r="BK766" s="8">
        <v>14458.31</v>
      </c>
      <c r="BL766" s="2" t="s">
        <v>2922</v>
      </c>
      <c r="BM766" s="7"/>
      <c r="BN766" s="7"/>
      <c r="BO766" s="4"/>
      <c r="BP766" s="8"/>
      <c r="BQ766" s="4"/>
      <c r="BR766" s="8"/>
      <c r="BS766" s="7"/>
      <c r="BT766" s="7"/>
      <c r="BU766" s="2" t="s">
        <v>2528</v>
      </c>
      <c r="BV766" s="2" t="s">
        <v>97</v>
      </c>
      <c r="BW766" s="2" t="s">
        <v>100</v>
      </c>
      <c r="BX766" s="2" t="s">
        <v>100</v>
      </c>
      <c r="BY766" s="2" t="s">
        <v>113</v>
      </c>
      <c r="BZ766" s="2" t="s">
        <v>100</v>
      </c>
    </row>
    <row r="767">
      <c r="A767" s="2" t="s">
        <v>2923</v>
      </c>
      <c r="B767" s="2" t="s">
        <v>87</v>
      </c>
      <c r="C767" s="2" t="s">
        <v>2850</v>
      </c>
      <c r="D767" s="2" t="s">
        <v>803</v>
      </c>
      <c r="E767" s="2" t="s">
        <v>1532</v>
      </c>
      <c r="F767" s="2" t="s">
        <v>2918</v>
      </c>
      <c r="G767" s="2" t="s">
        <v>2918</v>
      </c>
      <c r="H767" s="2" t="s">
        <v>2918</v>
      </c>
      <c r="I767" s="2" t="s">
        <v>2919</v>
      </c>
      <c r="J767" s="2" t="s">
        <v>270</v>
      </c>
      <c r="K767" s="2" t="s">
        <v>432</v>
      </c>
      <c r="L767" s="3">
        <v>77.5</v>
      </c>
      <c r="M767" s="3">
        <v>81.37</v>
      </c>
      <c r="N767" s="3">
        <v>154.99</v>
      </c>
      <c r="O767" s="2" t="s">
        <v>97</v>
      </c>
      <c r="P767" s="2" t="s">
        <v>950</v>
      </c>
      <c r="Q767" s="2" t="s">
        <v>99</v>
      </c>
      <c r="R767" s="2" t="s">
        <v>100</v>
      </c>
      <c r="S767" s="2" t="s">
        <v>2920</v>
      </c>
      <c r="T767" s="2" t="s">
        <v>280</v>
      </c>
      <c r="U767" s="2" t="s">
        <v>480</v>
      </c>
      <c r="V767" s="2" t="s">
        <v>403</v>
      </c>
      <c r="W767" s="2" t="s">
        <v>561</v>
      </c>
      <c r="X767" s="2" t="s">
        <v>183</v>
      </c>
      <c r="Y767" s="2" t="s">
        <v>2921</v>
      </c>
      <c r="Z767" s="4">
        <v>497</v>
      </c>
      <c r="AA767" s="4">
        <f>=ROUNDDOWN(82.8333333333333,0)</f>
      </c>
      <c r="AB767" s="5">
        <v>6</v>
      </c>
      <c r="AC767" s="2" t="s">
        <v>100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133</v>
      </c>
      <c r="BK767" s="8">
        <v>10828.42</v>
      </c>
      <c r="BL767" s="2" t="s">
        <v>2924</v>
      </c>
      <c r="BM767" s="7"/>
      <c r="BN767" s="7"/>
      <c r="BO767" s="4"/>
      <c r="BP767" s="8"/>
      <c r="BQ767" s="4"/>
      <c r="BR767" s="8"/>
      <c r="BS767" s="7"/>
      <c r="BT767" s="7"/>
      <c r="BU767" s="2" t="s">
        <v>2528</v>
      </c>
      <c r="BV767" s="2" t="s">
        <v>97</v>
      </c>
      <c r="BW767" s="2" t="s">
        <v>100</v>
      </c>
      <c r="BX767" s="2" t="s">
        <v>100</v>
      </c>
      <c r="BY767" s="2" t="s">
        <v>113</v>
      </c>
      <c r="BZ767" s="2" t="s">
        <v>100</v>
      </c>
    </row>
    <row r="768">
      <c r="A768" s="2" t="s">
        <v>2925</v>
      </c>
      <c r="B768" s="2" t="s">
        <v>87</v>
      </c>
      <c r="C768" s="2" t="s">
        <v>2850</v>
      </c>
      <c r="D768" s="2" t="s">
        <v>803</v>
      </c>
      <c r="E768" s="2" t="s">
        <v>1532</v>
      </c>
      <c r="F768" s="2" t="s">
        <v>2918</v>
      </c>
      <c r="G768" s="2" t="s">
        <v>2918</v>
      </c>
      <c r="H768" s="2" t="s">
        <v>2918</v>
      </c>
      <c r="I768" s="2" t="s">
        <v>2919</v>
      </c>
      <c r="J768" s="2" t="s">
        <v>247</v>
      </c>
      <c r="K768" s="2" t="s">
        <v>360</v>
      </c>
      <c r="L768" s="3">
        <v>62.49</v>
      </c>
      <c r="M768" s="3">
        <v>65.62</v>
      </c>
      <c r="N768" s="3">
        <v>124.99</v>
      </c>
      <c r="O768" s="2" t="s">
        <v>97</v>
      </c>
      <c r="P768" s="2" t="s">
        <v>119</v>
      </c>
      <c r="Q768" s="2" t="s">
        <v>99</v>
      </c>
      <c r="R768" s="2" t="s">
        <v>100</v>
      </c>
      <c r="S768" s="2" t="s">
        <v>2926</v>
      </c>
      <c r="T768" s="2" t="s">
        <v>280</v>
      </c>
      <c r="U768" s="2" t="s">
        <v>480</v>
      </c>
      <c r="V768" s="2" t="s">
        <v>403</v>
      </c>
      <c r="W768" s="2" t="s">
        <v>561</v>
      </c>
      <c r="X768" s="2" t="s">
        <v>183</v>
      </c>
      <c r="Y768" s="2" t="s">
        <v>2927</v>
      </c>
      <c r="Z768" s="4">
        <v>418</v>
      </c>
      <c r="AA768" s="4">
        <f>=ROUNDDOWN(69.6666666666667,0)</f>
      </c>
      <c r="AB768" s="5">
        <v>6</v>
      </c>
      <c r="AC768" s="2" t="s">
        <v>100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136</v>
      </c>
      <c r="BK768" s="8">
        <v>8604.8</v>
      </c>
      <c r="BL768" s="2" t="s">
        <v>1749</v>
      </c>
      <c r="BM768" s="7"/>
      <c r="BN768" s="7"/>
      <c r="BO768" s="4"/>
      <c r="BP768" s="8"/>
      <c r="BQ768" s="4"/>
      <c r="BR768" s="8"/>
      <c r="BS768" s="7"/>
      <c r="BT768" s="7"/>
      <c r="BU768" s="2" t="s">
        <v>2528</v>
      </c>
      <c r="BV768" s="2" t="s">
        <v>97</v>
      </c>
      <c r="BW768" s="2" t="s">
        <v>100</v>
      </c>
      <c r="BX768" s="2" t="s">
        <v>100</v>
      </c>
      <c r="BY768" s="2" t="s">
        <v>113</v>
      </c>
      <c r="BZ768" s="2" t="s">
        <v>100</v>
      </c>
    </row>
    <row r="769">
      <c r="A769" s="2" t="s">
        <v>2928</v>
      </c>
      <c r="B769" s="2" t="s">
        <v>87</v>
      </c>
      <c r="C769" s="2" t="s">
        <v>2850</v>
      </c>
      <c r="D769" s="2" t="s">
        <v>803</v>
      </c>
      <c r="E769" s="2" t="s">
        <v>1532</v>
      </c>
      <c r="F769" s="2" t="s">
        <v>2918</v>
      </c>
      <c r="G769" s="2" t="s">
        <v>2918</v>
      </c>
      <c r="H769" s="2" t="s">
        <v>2918</v>
      </c>
      <c r="I769" s="2" t="s">
        <v>2919</v>
      </c>
      <c r="J769" s="2" t="s">
        <v>270</v>
      </c>
      <c r="K769" s="2" t="s">
        <v>360</v>
      </c>
      <c r="L769" s="3">
        <v>77.5</v>
      </c>
      <c r="M769" s="3">
        <v>81.37</v>
      </c>
      <c r="N769" s="3">
        <v>154.99</v>
      </c>
      <c r="O769" s="2" t="s">
        <v>97</v>
      </c>
      <c r="P769" s="2" t="s">
        <v>119</v>
      </c>
      <c r="Q769" s="2" t="s">
        <v>99</v>
      </c>
      <c r="R769" s="2" t="s">
        <v>100</v>
      </c>
      <c r="S769" s="2" t="s">
        <v>2926</v>
      </c>
      <c r="T769" s="2" t="s">
        <v>280</v>
      </c>
      <c r="U769" s="2" t="s">
        <v>480</v>
      </c>
      <c r="V769" s="2" t="s">
        <v>403</v>
      </c>
      <c r="W769" s="2" t="s">
        <v>561</v>
      </c>
      <c r="X769" s="2" t="s">
        <v>183</v>
      </c>
      <c r="Y769" s="2" t="s">
        <v>2929</v>
      </c>
      <c r="Z769" s="4">
        <v>295</v>
      </c>
      <c r="AA769" s="4">
        <f>=ROUNDDOWN(59,0)</f>
      </c>
      <c r="AB769" s="5">
        <v>5</v>
      </c>
      <c r="AC769" s="2" t="s">
        <v>100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137</v>
      </c>
      <c r="BK769" s="8">
        <v>10922.41</v>
      </c>
      <c r="BL769" s="2" t="s">
        <v>2930</v>
      </c>
      <c r="BM769" s="7"/>
      <c r="BN769" s="7"/>
      <c r="BO769" s="4"/>
      <c r="BP769" s="8"/>
      <c r="BQ769" s="4"/>
      <c r="BR769" s="8"/>
      <c r="BS769" s="7"/>
      <c r="BT769" s="7"/>
      <c r="BU769" s="2" t="s">
        <v>2528</v>
      </c>
      <c r="BV769" s="2" t="s">
        <v>97</v>
      </c>
      <c r="BW769" s="2" t="s">
        <v>100</v>
      </c>
      <c r="BX769" s="2" t="s">
        <v>100</v>
      </c>
      <c r="BY769" s="2" t="s">
        <v>113</v>
      </c>
      <c r="BZ769" s="2" t="s">
        <v>100</v>
      </c>
    </row>
    <row r="770">
      <c r="A770" s="2" t="s">
        <v>2931</v>
      </c>
      <c r="B770" s="2" t="s">
        <v>87</v>
      </c>
      <c r="C770" s="2" t="s">
        <v>2850</v>
      </c>
      <c r="D770" s="2" t="s">
        <v>803</v>
      </c>
      <c r="E770" s="2" t="s">
        <v>1532</v>
      </c>
      <c r="F770" s="2" t="s">
        <v>2932</v>
      </c>
      <c r="G770" s="2" t="s">
        <v>2932</v>
      </c>
      <c r="H770" s="2" t="s">
        <v>2932</v>
      </c>
      <c r="I770" s="2" t="s">
        <v>2933</v>
      </c>
      <c r="J770" s="2" t="s">
        <v>247</v>
      </c>
      <c r="K770" s="2" t="s">
        <v>1148</v>
      </c>
      <c r="L770" s="3">
        <v>61.18</v>
      </c>
      <c r="M770" s="3">
        <v>64.24</v>
      </c>
      <c r="N770" s="3">
        <v>129.99</v>
      </c>
      <c r="O770" s="2" t="s">
        <v>97</v>
      </c>
      <c r="P770" s="2" t="s">
        <v>372</v>
      </c>
      <c r="Q770" s="2" t="s">
        <v>99</v>
      </c>
      <c r="R770" s="2" t="s">
        <v>100</v>
      </c>
      <c r="S770" s="2" t="s">
        <v>2934</v>
      </c>
      <c r="T770" s="2" t="s">
        <v>280</v>
      </c>
      <c r="U770" s="2" t="s">
        <v>480</v>
      </c>
      <c r="V770" s="2" t="s">
        <v>2935</v>
      </c>
      <c r="W770" s="2" t="s">
        <v>319</v>
      </c>
      <c r="X770" s="2" t="s">
        <v>100</v>
      </c>
      <c r="Y770" s="2" t="s">
        <v>1704</v>
      </c>
      <c r="Z770" s="4">
        <v>1125</v>
      </c>
      <c r="AA770" s="4">
        <f>=ROUNDDOWN(66.1764705882353,0)</f>
      </c>
      <c r="AB770" s="5">
        <v>17</v>
      </c>
      <c r="AC770" s="2" t="s">
        <v>2746</v>
      </c>
      <c r="AD770" s="4">
        <v>100</v>
      </c>
      <c r="AE770" s="4">
        <v>100</v>
      </c>
      <c r="AF770" s="6">
        <v>69</v>
      </c>
      <c r="AG770" s="6">
        <v>77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463</v>
      </c>
      <c r="BK770" s="8">
        <v>31892.45</v>
      </c>
      <c r="BL770" s="2" t="s">
        <v>2936</v>
      </c>
      <c r="BM770" s="7"/>
      <c r="BN770" s="7"/>
      <c r="BO770" s="4"/>
      <c r="BP770" s="8"/>
      <c r="BQ770" s="4"/>
      <c r="BR770" s="8"/>
      <c r="BS770" s="7"/>
      <c r="BT770" s="7"/>
      <c r="BU770" s="2" t="s">
        <v>2528</v>
      </c>
      <c r="BV770" s="2" t="s">
        <v>97</v>
      </c>
      <c r="BW770" s="2" t="s">
        <v>100</v>
      </c>
      <c r="BX770" s="2" t="s">
        <v>100</v>
      </c>
      <c r="BY770" s="2" t="s">
        <v>113</v>
      </c>
      <c r="BZ770" s="2" t="s">
        <v>100</v>
      </c>
    </row>
    <row r="771">
      <c r="A771" s="2" t="s">
        <v>2937</v>
      </c>
      <c r="B771" s="2" t="s">
        <v>87</v>
      </c>
      <c r="C771" s="2" t="s">
        <v>2850</v>
      </c>
      <c r="D771" s="2" t="s">
        <v>803</v>
      </c>
      <c r="E771" s="2" t="s">
        <v>1532</v>
      </c>
      <c r="F771" s="2" t="s">
        <v>2932</v>
      </c>
      <c r="G771" s="2" t="s">
        <v>2932</v>
      </c>
      <c r="H771" s="2" t="s">
        <v>2932</v>
      </c>
      <c r="I771" s="2" t="s">
        <v>2933</v>
      </c>
      <c r="J771" s="2" t="s">
        <v>270</v>
      </c>
      <c r="K771" s="2" t="s">
        <v>1148</v>
      </c>
      <c r="L771" s="3">
        <v>74.29</v>
      </c>
      <c r="M771" s="3">
        <v>78</v>
      </c>
      <c r="N771" s="3">
        <v>159.99</v>
      </c>
      <c r="O771" s="2" t="s">
        <v>97</v>
      </c>
      <c r="P771" s="2" t="s">
        <v>372</v>
      </c>
      <c r="Q771" s="2" t="s">
        <v>99</v>
      </c>
      <c r="R771" s="2" t="s">
        <v>100</v>
      </c>
      <c r="S771" s="2" t="s">
        <v>2934</v>
      </c>
      <c r="T771" s="2" t="s">
        <v>280</v>
      </c>
      <c r="U771" s="2" t="s">
        <v>480</v>
      </c>
      <c r="V771" s="2" t="s">
        <v>2935</v>
      </c>
      <c r="W771" s="2" t="s">
        <v>319</v>
      </c>
      <c r="X771" s="2" t="s">
        <v>100</v>
      </c>
      <c r="Y771" s="2" t="s">
        <v>2938</v>
      </c>
      <c r="Z771" s="4">
        <v>1093</v>
      </c>
      <c r="AA771" s="4">
        <f>=ROUNDDOWN(31.2285714285714,0)</f>
      </c>
      <c r="AB771" s="5">
        <v>35</v>
      </c>
      <c r="AC771" s="2" t="s">
        <v>562</v>
      </c>
      <c r="AD771" s="4">
        <v>360</v>
      </c>
      <c r="AE771" s="4">
        <v>543</v>
      </c>
      <c r="AF771" s="6">
        <v>69</v>
      </c>
      <c r="AG771" s="6">
        <v>77</v>
      </c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1053</v>
      </c>
      <c r="BK771" s="8">
        <v>89311.03</v>
      </c>
      <c r="BL771" s="2" t="s">
        <v>2939</v>
      </c>
      <c r="BM771" s="7"/>
      <c r="BN771" s="7"/>
      <c r="BO771" s="4"/>
      <c r="BP771" s="8"/>
      <c r="BQ771" s="4"/>
      <c r="BR771" s="8"/>
      <c r="BS771" s="7"/>
      <c r="BT771" s="7"/>
      <c r="BU771" s="2" t="s">
        <v>2528</v>
      </c>
      <c r="BV771" s="2" t="s">
        <v>97</v>
      </c>
      <c r="BW771" s="2" t="s">
        <v>100</v>
      </c>
      <c r="BX771" s="2" t="s">
        <v>100</v>
      </c>
      <c r="BY771" s="2" t="s">
        <v>113</v>
      </c>
      <c r="BZ771" s="2" t="s">
        <v>100</v>
      </c>
    </row>
    <row r="772">
      <c r="A772" s="2" t="s">
        <v>2940</v>
      </c>
      <c r="B772" s="2" t="s">
        <v>87</v>
      </c>
      <c r="C772" s="2" t="s">
        <v>2850</v>
      </c>
      <c r="D772" s="2" t="s">
        <v>803</v>
      </c>
      <c r="E772" s="2" t="s">
        <v>1532</v>
      </c>
      <c r="F772" s="2" t="s">
        <v>2932</v>
      </c>
      <c r="G772" s="2" t="s">
        <v>2932</v>
      </c>
      <c r="H772" s="2" t="s">
        <v>2932</v>
      </c>
      <c r="I772" s="2" t="s">
        <v>2933</v>
      </c>
      <c r="J772" s="2" t="s">
        <v>247</v>
      </c>
      <c r="K772" s="2" t="s">
        <v>1614</v>
      </c>
      <c r="L772" s="3">
        <v>61.18</v>
      </c>
      <c r="M772" s="3">
        <v>64.24</v>
      </c>
      <c r="N772" s="3">
        <v>129.99</v>
      </c>
      <c r="O772" s="2" t="s">
        <v>97</v>
      </c>
      <c r="P772" s="2" t="s">
        <v>372</v>
      </c>
      <c r="Q772" s="2" t="s">
        <v>99</v>
      </c>
      <c r="R772" s="2" t="s">
        <v>100</v>
      </c>
      <c r="S772" s="2" t="s">
        <v>2941</v>
      </c>
      <c r="T772" s="2" t="s">
        <v>280</v>
      </c>
      <c r="U772" s="2" t="s">
        <v>480</v>
      </c>
      <c r="V772" s="2" t="s">
        <v>2935</v>
      </c>
      <c r="W772" s="2" t="s">
        <v>319</v>
      </c>
      <c r="X772" s="2" t="s">
        <v>100</v>
      </c>
      <c r="Y772" s="2" t="s">
        <v>2942</v>
      </c>
      <c r="Z772" s="4">
        <v>1262</v>
      </c>
      <c r="AA772" s="4">
        <f>=ROUNDDOWN(38.2424242424242,0)</f>
      </c>
      <c r="AB772" s="5">
        <v>33</v>
      </c>
      <c r="AC772" s="2" t="s">
        <v>320</v>
      </c>
      <c r="AD772" s="4">
        <v>330</v>
      </c>
      <c r="AE772" s="4">
        <v>680</v>
      </c>
      <c r="AF772" s="6">
        <v>69</v>
      </c>
      <c r="AG772" s="6">
        <v>77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0.4332</v>
      </c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1281</v>
      </c>
      <c r="BK772" s="8">
        <v>86019.58</v>
      </c>
      <c r="BL772" s="2" t="s">
        <v>2943</v>
      </c>
      <c r="BM772" s="7"/>
      <c r="BN772" s="7"/>
      <c r="BO772" s="4"/>
      <c r="BP772" s="8"/>
      <c r="BQ772" s="4"/>
      <c r="BR772" s="8"/>
      <c r="BS772" s="7"/>
      <c r="BT772" s="7"/>
      <c r="BU772" s="2" t="s">
        <v>2528</v>
      </c>
      <c r="BV772" s="2" t="s">
        <v>97</v>
      </c>
      <c r="BW772" s="2" t="s">
        <v>100</v>
      </c>
      <c r="BX772" s="2" t="s">
        <v>100</v>
      </c>
      <c r="BY772" s="2" t="s">
        <v>113</v>
      </c>
      <c r="BZ772" s="2" t="s">
        <v>100</v>
      </c>
    </row>
    <row r="773">
      <c r="A773" s="2" t="s">
        <v>2944</v>
      </c>
      <c r="B773" s="2" t="s">
        <v>87</v>
      </c>
      <c r="C773" s="2" t="s">
        <v>2850</v>
      </c>
      <c r="D773" s="2" t="s">
        <v>803</v>
      </c>
      <c r="E773" s="2" t="s">
        <v>1532</v>
      </c>
      <c r="F773" s="2" t="s">
        <v>2932</v>
      </c>
      <c r="G773" s="2" t="s">
        <v>2932</v>
      </c>
      <c r="H773" s="2" t="s">
        <v>2932</v>
      </c>
      <c r="I773" s="2" t="s">
        <v>2933</v>
      </c>
      <c r="J773" s="2" t="s">
        <v>270</v>
      </c>
      <c r="K773" s="2" t="s">
        <v>1614</v>
      </c>
      <c r="L773" s="3">
        <v>74.29</v>
      </c>
      <c r="M773" s="3">
        <v>78</v>
      </c>
      <c r="N773" s="3">
        <v>159.99</v>
      </c>
      <c r="O773" s="2" t="s">
        <v>97</v>
      </c>
      <c r="P773" s="2" t="s">
        <v>372</v>
      </c>
      <c r="Q773" s="2" t="s">
        <v>99</v>
      </c>
      <c r="R773" s="2" t="s">
        <v>100</v>
      </c>
      <c r="S773" s="2" t="s">
        <v>2941</v>
      </c>
      <c r="T773" s="2" t="s">
        <v>280</v>
      </c>
      <c r="U773" s="2" t="s">
        <v>480</v>
      </c>
      <c r="V773" s="2" t="s">
        <v>2935</v>
      </c>
      <c r="W773" s="2" t="s">
        <v>319</v>
      </c>
      <c r="X773" s="2" t="s">
        <v>100</v>
      </c>
      <c r="Y773" s="2" t="s">
        <v>2942</v>
      </c>
      <c r="Z773" s="4">
        <v>3858</v>
      </c>
      <c r="AA773" s="4">
        <f>=ROUNDDOWN(67.6842105263158,0)</f>
      </c>
      <c r="AB773" s="5">
        <v>57</v>
      </c>
      <c r="AC773" s="2" t="s">
        <v>320</v>
      </c>
      <c r="AD773" s="4">
        <v>290</v>
      </c>
      <c r="AE773" s="4">
        <v>690</v>
      </c>
      <c r="AF773" s="6">
        <v>69</v>
      </c>
      <c r="AG773" s="6">
        <v>77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0.4332</v>
      </c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1726</v>
      </c>
      <c r="BK773" s="8">
        <v>138133.36</v>
      </c>
      <c r="BL773" s="2" t="s">
        <v>2945</v>
      </c>
      <c r="BM773" s="7"/>
      <c r="BN773" s="7"/>
      <c r="BO773" s="4"/>
      <c r="BP773" s="8"/>
      <c r="BQ773" s="4"/>
      <c r="BR773" s="8"/>
      <c r="BS773" s="7"/>
      <c r="BT773" s="7"/>
      <c r="BU773" s="2" t="s">
        <v>2528</v>
      </c>
      <c r="BV773" s="2" t="s">
        <v>97</v>
      </c>
      <c r="BW773" s="2" t="s">
        <v>100</v>
      </c>
      <c r="BX773" s="2" t="s">
        <v>100</v>
      </c>
      <c r="BY773" s="2" t="s">
        <v>113</v>
      </c>
      <c r="BZ773" s="2" t="s">
        <v>100</v>
      </c>
    </row>
    <row r="774">
      <c r="A774" s="2" t="s">
        <v>2946</v>
      </c>
      <c r="B774" s="2" t="s">
        <v>87</v>
      </c>
      <c r="C774" s="2" t="s">
        <v>2850</v>
      </c>
      <c r="D774" s="2" t="s">
        <v>803</v>
      </c>
      <c r="E774" s="2" t="s">
        <v>1532</v>
      </c>
      <c r="F774" s="2" t="s">
        <v>2932</v>
      </c>
      <c r="G774" s="2" t="s">
        <v>2932</v>
      </c>
      <c r="H774" s="2" t="s">
        <v>2932</v>
      </c>
      <c r="I774" s="2" t="s">
        <v>2933</v>
      </c>
      <c r="J774" s="2" t="s">
        <v>247</v>
      </c>
      <c r="K774" s="2" t="s">
        <v>2947</v>
      </c>
      <c r="L774" s="3">
        <v>61.18</v>
      </c>
      <c r="M774" s="3">
        <v>64.24</v>
      </c>
      <c r="N774" s="3">
        <v>129.99</v>
      </c>
      <c r="O774" s="2" t="s">
        <v>97</v>
      </c>
      <c r="P774" s="2" t="s">
        <v>2478</v>
      </c>
      <c r="Q774" s="2" t="s">
        <v>99</v>
      </c>
      <c r="R774" s="2" t="s">
        <v>100</v>
      </c>
      <c r="S774" s="2" t="s">
        <v>100</v>
      </c>
      <c r="T774" s="2" t="s">
        <v>280</v>
      </c>
      <c r="U774" s="2" t="s">
        <v>480</v>
      </c>
      <c r="V774" s="2" t="s">
        <v>2935</v>
      </c>
      <c r="W774" s="2" t="s">
        <v>319</v>
      </c>
      <c r="X774" s="2" t="s">
        <v>100</v>
      </c>
      <c r="Y774" s="2" t="s">
        <v>100</v>
      </c>
      <c r="Z774" s="4"/>
      <c r="AA774" s="4">
        <f>=ROUNDDOWN({0},0)</f>
      </c>
      <c r="AB774" s="5"/>
      <c r="AC774" s="2" t="s">
        <v>2948</v>
      </c>
      <c r="AD774" s="4">
        <v>290</v>
      </c>
      <c r="AE774" s="4">
        <v>580</v>
      </c>
      <c r="AF774" s="6"/>
      <c r="AG774" s="6"/>
      <c r="AH774" s="7"/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/>
      <c r="BK774" s="8"/>
      <c r="BL774" s="2" t="s">
        <v>100</v>
      </c>
      <c r="BM774" s="7"/>
      <c r="BN774" s="7"/>
      <c r="BO774" s="4"/>
      <c r="BP774" s="8"/>
      <c r="BQ774" s="4"/>
      <c r="BR774" s="8"/>
      <c r="BS774" s="7"/>
      <c r="BT774" s="7"/>
      <c r="BU774" s="2" t="s">
        <v>2528</v>
      </c>
      <c r="BV774" s="2" t="s">
        <v>97</v>
      </c>
      <c r="BW774" s="2" t="s">
        <v>100</v>
      </c>
      <c r="BX774" s="2" t="s">
        <v>100</v>
      </c>
      <c r="BY774" s="2" t="s">
        <v>113</v>
      </c>
      <c r="BZ774" s="2" t="s">
        <v>100</v>
      </c>
    </row>
    <row r="775">
      <c r="A775" s="2" t="s">
        <v>2949</v>
      </c>
      <c r="B775" s="2" t="s">
        <v>87</v>
      </c>
      <c r="C775" s="2" t="s">
        <v>2850</v>
      </c>
      <c r="D775" s="2" t="s">
        <v>803</v>
      </c>
      <c r="E775" s="2" t="s">
        <v>1532</v>
      </c>
      <c r="F775" s="2" t="s">
        <v>2932</v>
      </c>
      <c r="G775" s="2" t="s">
        <v>2932</v>
      </c>
      <c r="H775" s="2" t="s">
        <v>2932</v>
      </c>
      <c r="I775" s="2" t="s">
        <v>2933</v>
      </c>
      <c r="J775" s="2" t="s">
        <v>270</v>
      </c>
      <c r="K775" s="2" t="s">
        <v>2947</v>
      </c>
      <c r="L775" s="3">
        <v>74.29</v>
      </c>
      <c r="M775" s="3">
        <v>78</v>
      </c>
      <c r="N775" s="3">
        <v>159.99</v>
      </c>
      <c r="O775" s="2" t="s">
        <v>97</v>
      </c>
      <c r="P775" s="2" t="s">
        <v>2478</v>
      </c>
      <c r="Q775" s="2" t="s">
        <v>99</v>
      </c>
      <c r="R775" s="2" t="s">
        <v>100</v>
      </c>
      <c r="S775" s="2" t="s">
        <v>100</v>
      </c>
      <c r="T775" s="2" t="s">
        <v>280</v>
      </c>
      <c r="U775" s="2" t="s">
        <v>480</v>
      </c>
      <c r="V775" s="2" t="s">
        <v>2935</v>
      </c>
      <c r="W775" s="2" t="s">
        <v>319</v>
      </c>
      <c r="X775" s="2" t="s">
        <v>100</v>
      </c>
      <c r="Y775" s="2" t="s">
        <v>100</v>
      </c>
      <c r="Z775" s="4"/>
      <c r="AA775" s="4">
        <f>=ROUNDDOWN({0},0)</f>
      </c>
      <c r="AB775" s="5"/>
      <c r="AC775" s="2" t="s">
        <v>2948</v>
      </c>
      <c r="AD775" s="4">
        <v>370</v>
      </c>
      <c r="AE775" s="4">
        <v>740</v>
      </c>
      <c r="AF775" s="6"/>
      <c r="AG775" s="6"/>
      <c r="AH775" s="7"/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/>
      <c r="BK775" s="8"/>
      <c r="BL775" s="2" t="s">
        <v>100</v>
      </c>
      <c r="BM775" s="7"/>
      <c r="BN775" s="7"/>
      <c r="BO775" s="4"/>
      <c r="BP775" s="8"/>
      <c r="BQ775" s="4"/>
      <c r="BR775" s="8"/>
      <c r="BS775" s="7"/>
      <c r="BT775" s="7"/>
      <c r="BU775" s="2" t="s">
        <v>2528</v>
      </c>
      <c r="BV775" s="2" t="s">
        <v>97</v>
      </c>
      <c r="BW775" s="2" t="s">
        <v>100</v>
      </c>
      <c r="BX775" s="2" t="s">
        <v>100</v>
      </c>
      <c r="BY775" s="2" t="s">
        <v>113</v>
      </c>
      <c r="BZ775" s="2" t="s">
        <v>100</v>
      </c>
    </row>
    <row r="776">
      <c r="A776" s="2" t="s">
        <v>2950</v>
      </c>
      <c r="B776" s="2" t="s">
        <v>87</v>
      </c>
      <c r="C776" s="2" t="s">
        <v>2850</v>
      </c>
      <c r="D776" s="2" t="s">
        <v>803</v>
      </c>
      <c r="E776" s="2" t="s">
        <v>1532</v>
      </c>
      <c r="F776" s="2" t="s">
        <v>2932</v>
      </c>
      <c r="G776" s="2" t="s">
        <v>2932</v>
      </c>
      <c r="H776" s="2" t="s">
        <v>2932</v>
      </c>
      <c r="I776" s="2" t="s">
        <v>2933</v>
      </c>
      <c r="J776" s="2" t="s">
        <v>247</v>
      </c>
      <c r="K776" s="2" t="s">
        <v>2951</v>
      </c>
      <c r="L776" s="3">
        <v>61.18</v>
      </c>
      <c r="M776" s="3">
        <v>64.24</v>
      </c>
      <c r="N776" s="3">
        <v>129.99</v>
      </c>
      <c r="O776" s="2" t="s">
        <v>97</v>
      </c>
      <c r="P776" s="2" t="s">
        <v>372</v>
      </c>
      <c r="Q776" s="2" t="s">
        <v>99</v>
      </c>
      <c r="R776" s="2" t="s">
        <v>100</v>
      </c>
      <c r="S776" s="2" t="s">
        <v>2952</v>
      </c>
      <c r="T776" s="2" t="s">
        <v>280</v>
      </c>
      <c r="U776" s="2" t="s">
        <v>480</v>
      </c>
      <c r="V776" s="2" t="s">
        <v>2935</v>
      </c>
      <c r="W776" s="2" t="s">
        <v>319</v>
      </c>
      <c r="X776" s="2" t="s">
        <v>100</v>
      </c>
      <c r="Y776" s="2" t="s">
        <v>2953</v>
      </c>
      <c r="Z776" s="4">
        <v>1110</v>
      </c>
      <c r="AA776" s="4">
        <f>=ROUNDDOWN(55.5,0)</f>
      </c>
      <c r="AB776" s="5">
        <v>20</v>
      </c>
      <c r="AC776" s="2" t="s">
        <v>542</v>
      </c>
      <c r="AD776" s="4">
        <v>500</v>
      </c>
      <c r="AE776" s="4">
        <v>500</v>
      </c>
      <c r="AF776" s="6">
        <v>69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660</v>
      </c>
      <c r="BK776" s="8">
        <v>45843.21</v>
      </c>
      <c r="BL776" s="2" t="s">
        <v>2954</v>
      </c>
      <c r="BM776" s="7"/>
      <c r="BN776" s="7"/>
      <c r="BO776" s="4"/>
      <c r="BP776" s="8"/>
      <c r="BQ776" s="4"/>
      <c r="BR776" s="8"/>
      <c r="BS776" s="7"/>
      <c r="BT776" s="7"/>
      <c r="BU776" s="2" t="s">
        <v>2528</v>
      </c>
      <c r="BV776" s="2" t="s">
        <v>97</v>
      </c>
      <c r="BW776" s="2" t="s">
        <v>100</v>
      </c>
      <c r="BX776" s="2" t="s">
        <v>100</v>
      </c>
      <c r="BY776" s="2" t="s">
        <v>113</v>
      </c>
      <c r="BZ776" s="2" t="s">
        <v>100</v>
      </c>
    </row>
    <row r="777">
      <c r="A777" s="2" t="s">
        <v>2955</v>
      </c>
      <c r="B777" s="2" t="s">
        <v>87</v>
      </c>
      <c r="C777" s="2" t="s">
        <v>2850</v>
      </c>
      <c r="D777" s="2" t="s">
        <v>803</v>
      </c>
      <c r="E777" s="2" t="s">
        <v>1532</v>
      </c>
      <c r="F777" s="2" t="s">
        <v>2932</v>
      </c>
      <c r="G777" s="2" t="s">
        <v>2932</v>
      </c>
      <c r="H777" s="2" t="s">
        <v>2932</v>
      </c>
      <c r="I777" s="2" t="s">
        <v>2933</v>
      </c>
      <c r="J777" s="2" t="s">
        <v>270</v>
      </c>
      <c r="K777" s="2" t="s">
        <v>2951</v>
      </c>
      <c r="L777" s="3">
        <v>74.29</v>
      </c>
      <c r="M777" s="3">
        <v>78</v>
      </c>
      <c r="N777" s="3">
        <v>159.99</v>
      </c>
      <c r="O777" s="2" t="s">
        <v>97</v>
      </c>
      <c r="P777" s="2" t="s">
        <v>372</v>
      </c>
      <c r="Q777" s="2" t="s">
        <v>99</v>
      </c>
      <c r="R777" s="2" t="s">
        <v>100</v>
      </c>
      <c r="S777" s="2" t="s">
        <v>2952</v>
      </c>
      <c r="T777" s="2" t="s">
        <v>280</v>
      </c>
      <c r="U777" s="2" t="s">
        <v>480</v>
      </c>
      <c r="V777" s="2" t="s">
        <v>2935</v>
      </c>
      <c r="W777" s="2" t="s">
        <v>319</v>
      </c>
      <c r="X777" s="2" t="s">
        <v>100</v>
      </c>
      <c r="Y777" s="2" t="s">
        <v>2953</v>
      </c>
      <c r="Z777" s="4">
        <v>1079</v>
      </c>
      <c r="AA777" s="4">
        <f>=ROUNDDOWN(49.0454545454545,0)</f>
      </c>
      <c r="AB777" s="5">
        <v>22</v>
      </c>
      <c r="AC777" s="2" t="s">
        <v>542</v>
      </c>
      <c r="AD777" s="4">
        <v>200</v>
      </c>
      <c r="AE777" s="4">
        <v>200</v>
      </c>
      <c r="AF777" s="6">
        <v>69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619</v>
      </c>
      <c r="BK777" s="8">
        <v>52375.08</v>
      </c>
      <c r="BL777" s="2" t="s">
        <v>2956</v>
      </c>
      <c r="BM777" s="7"/>
      <c r="BN777" s="7"/>
      <c r="BO777" s="4"/>
      <c r="BP777" s="8"/>
      <c r="BQ777" s="4"/>
      <c r="BR777" s="8"/>
      <c r="BS777" s="7"/>
      <c r="BT777" s="7"/>
      <c r="BU777" s="2" t="s">
        <v>2528</v>
      </c>
      <c r="BV777" s="2" t="s">
        <v>97</v>
      </c>
      <c r="BW777" s="2" t="s">
        <v>100</v>
      </c>
      <c r="BX777" s="2" t="s">
        <v>100</v>
      </c>
      <c r="BY777" s="2" t="s">
        <v>113</v>
      </c>
      <c r="BZ777" s="2" t="s">
        <v>100</v>
      </c>
    </row>
    <row r="778">
      <c r="A778" s="2" t="s">
        <v>2957</v>
      </c>
      <c r="B778" s="2" t="s">
        <v>87</v>
      </c>
      <c r="C778" s="2" t="s">
        <v>2850</v>
      </c>
      <c r="D778" s="2" t="s">
        <v>803</v>
      </c>
      <c r="E778" s="2" t="s">
        <v>1532</v>
      </c>
      <c r="F778" s="2" t="s">
        <v>2958</v>
      </c>
      <c r="G778" s="2" t="s">
        <v>2958</v>
      </c>
      <c r="H778" s="2" t="s">
        <v>2958</v>
      </c>
      <c r="I778" s="2" t="s">
        <v>2904</v>
      </c>
      <c r="J778" s="2" t="s">
        <v>247</v>
      </c>
      <c r="K778" s="2" t="s">
        <v>96</v>
      </c>
      <c r="L778" s="3">
        <v>65</v>
      </c>
      <c r="M778" s="3">
        <v>68.25</v>
      </c>
      <c r="N778" s="3">
        <v>129.99</v>
      </c>
      <c r="O778" s="2" t="s">
        <v>97</v>
      </c>
      <c r="P778" s="2" t="s">
        <v>950</v>
      </c>
      <c r="Q778" s="2" t="s">
        <v>99</v>
      </c>
      <c r="R778" s="2" t="s">
        <v>100</v>
      </c>
      <c r="S778" s="2" t="s">
        <v>2959</v>
      </c>
      <c r="T778" s="2" t="s">
        <v>280</v>
      </c>
      <c r="U778" s="2" t="s">
        <v>480</v>
      </c>
      <c r="V778" s="2" t="s">
        <v>146</v>
      </c>
      <c r="W778" s="2" t="s">
        <v>2679</v>
      </c>
      <c r="X778" s="2" t="s">
        <v>183</v>
      </c>
      <c r="Y778" s="2" t="s">
        <v>2960</v>
      </c>
      <c r="Z778" s="4">
        <v>495</v>
      </c>
      <c r="AA778" s="4">
        <f>=ROUNDDOWN(49.5,0)</f>
      </c>
      <c r="AB778" s="5">
        <v>10</v>
      </c>
      <c r="AC778" s="2" t="s">
        <v>320</v>
      </c>
      <c r="AD778" s="4">
        <v>100</v>
      </c>
      <c r="AE778" s="4">
        <v>280</v>
      </c>
      <c r="AF778" s="6">
        <v>67</v>
      </c>
      <c r="AG778" s="6">
        <v>75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265</v>
      </c>
      <c r="BK778" s="8">
        <v>19547.05</v>
      </c>
      <c r="BL778" s="2" t="s">
        <v>2961</v>
      </c>
      <c r="BM778" s="7"/>
      <c r="BN778" s="7"/>
      <c r="BO778" s="4"/>
      <c r="BP778" s="8"/>
      <c r="BQ778" s="4"/>
      <c r="BR778" s="8"/>
      <c r="BS778" s="7"/>
      <c r="BT778" s="7"/>
      <c r="BU778" s="2" t="s">
        <v>2528</v>
      </c>
      <c r="BV778" s="2" t="s">
        <v>97</v>
      </c>
      <c r="BW778" s="2" t="s">
        <v>100</v>
      </c>
      <c r="BX778" s="2" t="s">
        <v>100</v>
      </c>
      <c r="BY778" s="2" t="s">
        <v>113</v>
      </c>
      <c r="BZ778" s="2" t="s">
        <v>245</v>
      </c>
    </row>
    <row r="779">
      <c r="A779" s="2" t="s">
        <v>2962</v>
      </c>
      <c r="B779" s="2" t="s">
        <v>87</v>
      </c>
      <c r="C779" s="2" t="s">
        <v>2850</v>
      </c>
      <c r="D779" s="2" t="s">
        <v>803</v>
      </c>
      <c r="E779" s="2" t="s">
        <v>1532</v>
      </c>
      <c r="F779" s="2" t="s">
        <v>2958</v>
      </c>
      <c r="G779" s="2" t="s">
        <v>2958</v>
      </c>
      <c r="H779" s="2" t="s">
        <v>2958</v>
      </c>
      <c r="I779" s="2" t="s">
        <v>2904</v>
      </c>
      <c r="J779" s="2" t="s">
        <v>270</v>
      </c>
      <c r="K779" s="2" t="s">
        <v>96</v>
      </c>
      <c r="L779" s="3">
        <v>80</v>
      </c>
      <c r="M779" s="3">
        <v>84</v>
      </c>
      <c r="N779" s="3">
        <v>159.99</v>
      </c>
      <c r="O779" s="2" t="s">
        <v>97</v>
      </c>
      <c r="P779" s="2" t="s">
        <v>950</v>
      </c>
      <c r="Q779" s="2" t="s">
        <v>99</v>
      </c>
      <c r="R779" s="2" t="s">
        <v>100</v>
      </c>
      <c r="S779" s="2" t="s">
        <v>2959</v>
      </c>
      <c r="T779" s="2" t="s">
        <v>280</v>
      </c>
      <c r="U779" s="2" t="s">
        <v>480</v>
      </c>
      <c r="V779" s="2" t="s">
        <v>146</v>
      </c>
      <c r="W779" s="2" t="s">
        <v>2679</v>
      </c>
      <c r="X779" s="2" t="s">
        <v>183</v>
      </c>
      <c r="Y779" s="2" t="s">
        <v>2960</v>
      </c>
      <c r="Z779" s="4">
        <v>340</v>
      </c>
      <c r="AA779" s="4">
        <f>=ROUNDDOWN(34,0)</f>
      </c>
      <c r="AB779" s="5">
        <v>10</v>
      </c>
      <c r="AC779" s="2" t="s">
        <v>320</v>
      </c>
      <c r="AD779" s="4">
        <v>120</v>
      </c>
      <c r="AE779" s="4">
        <v>120</v>
      </c>
      <c r="AF779" s="6">
        <v>67</v>
      </c>
      <c r="AG779" s="6">
        <v>75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232</v>
      </c>
      <c r="BK779" s="8">
        <v>21034.91</v>
      </c>
      <c r="BL779" s="2" t="s">
        <v>2963</v>
      </c>
      <c r="BM779" s="7"/>
      <c r="BN779" s="7"/>
      <c r="BO779" s="4"/>
      <c r="BP779" s="8"/>
      <c r="BQ779" s="4"/>
      <c r="BR779" s="8"/>
      <c r="BS779" s="7"/>
      <c r="BT779" s="7"/>
      <c r="BU779" s="2" t="s">
        <v>2528</v>
      </c>
      <c r="BV779" s="2" t="s">
        <v>97</v>
      </c>
      <c r="BW779" s="2" t="s">
        <v>100</v>
      </c>
      <c r="BX779" s="2" t="s">
        <v>100</v>
      </c>
      <c r="BY779" s="2" t="s">
        <v>113</v>
      </c>
      <c r="BZ779" s="2" t="s">
        <v>245</v>
      </c>
    </row>
    <row r="780">
      <c r="A780" s="2" t="s">
        <v>2964</v>
      </c>
      <c r="B780" s="2" t="s">
        <v>87</v>
      </c>
      <c r="C780" s="2" t="s">
        <v>2850</v>
      </c>
      <c r="D780" s="2" t="s">
        <v>803</v>
      </c>
      <c r="E780" s="2" t="s">
        <v>1532</v>
      </c>
      <c r="F780" s="2" t="s">
        <v>2958</v>
      </c>
      <c r="G780" s="2" t="s">
        <v>2958</v>
      </c>
      <c r="H780" s="2" t="s">
        <v>2958</v>
      </c>
      <c r="I780" s="2" t="s">
        <v>2904</v>
      </c>
      <c r="J780" s="2" t="s">
        <v>247</v>
      </c>
      <c r="K780" s="2" t="s">
        <v>1148</v>
      </c>
      <c r="L780" s="3">
        <v>65</v>
      </c>
      <c r="M780" s="3">
        <v>68.25</v>
      </c>
      <c r="N780" s="3">
        <v>129.99</v>
      </c>
      <c r="O780" s="2" t="s">
        <v>97</v>
      </c>
      <c r="P780" s="2" t="s">
        <v>119</v>
      </c>
      <c r="Q780" s="2" t="s">
        <v>99</v>
      </c>
      <c r="R780" s="2" t="s">
        <v>100</v>
      </c>
      <c r="S780" s="2" t="s">
        <v>2965</v>
      </c>
      <c r="T780" s="2" t="s">
        <v>280</v>
      </c>
      <c r="U780" s="2" t="s">
        <v>480</v>
      </c>
      <c r="V780" s="2" t="s">
        <v>146</v>
      </c>
      <c r="W780" s="2" t="s">
        <v>2679</v>
      </c>
      <c r="X780" s="2" t="s">
        <v>183</v>
      </c>
      <c r="Y780" s="2" t="s">
        <v>2966</v>
      </c>
      <c r="Z780" s="4">
        <v>280</v>
      </c>
      <c r="AA780" s="4">
        <f>=ROUNDDOWN(56,0)</f>
      </c>
      <c r="AB780" s="5">
        <v>5</v>
      </c>
      <c r="AC780" s="2" t="s">
        <v>100</v>
      </c>
      <c r="AD780" s="4"/>
      <c r="AE780" s="4"/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81</v>
      </c>
      <c r="BK780" s="8">
        <v>5938.15</v>
      </c>
      <c r="BL780" s="2" t="s">
        <v>2967</v>
      </c>
      <c r="BM780" s="7"/>
      <c r="BN780" s="7"/>
      <c r="BO780" s="4"/>
      <c r="BP780" s="8"/>
      <c r="BQ780" s="4"/>
      <c r="BR780" s="8"/>
      <c r="BS780" s="7"/>
      <c r="BT780" s="7"/>
      <c r="BU780" s="2" t="s">
        <v>2528</v>
      </c>
      <c r="BV780" s="2" t="s">
        <v>97</v>
      </c>
      <c r="BW780" s="2" t="s">
        <v>100</v>
      </c>
      <c r="BX780" s="2" t="s">
        <v>100</v>
      </c>
      <c r="BY780" s="2" t="s">
        <v>113</v>
      </c>
      <c r="BZ780" s="2" t="s">
        <v>245</v>
      </c>
    </row>
    <row r="781">
      <c r="A781" s="2" t="s">
        <v>2968</v>
      </c>
      <c r="B781" s="2" t="s">
        <v>87</v>
      </c>
      <c r="C781" s="2" t="s">
        <v>2850</v>
      </c>
      <c r="D781" s="2" t="s">
        <v>803</v>
      </c>
      <c r="E781" s="2" t="s">
        <v>1532</v>
      </c>
      <c r="F781" s="2" t="s">
        <v>2958</v>
      </c>
      <c r="G781" s="2" t="s">
        <v>2958</v>
      </c>
      <c r="H781" s="2" t="s">
        <v>2958</v>
      </c>
      <c r="I781" s="2" t="s">
        <v>2904</v>
      </c>
      <c r="J781" s="2" t="s">
        <v>270</v>
      </c>
      <c r="K781" s="2" t="s">
        <v>1148</v>
      </c>
      <c r="L781" s="3">
        <v>80</v>
      </c>
      <c r="M781" s="3">
        <v>83.99</v>
      </c>
      <c r="N781" s="3">
        <v>159.99</v>
      </c>
      <c r="O781" s="2" t="s">
        <v>97</v>
      </c>
      <c r="P781" s="2" t="s">
        <v>119</v>
      </c>
      <c r="Q781" s="2" t="s">
        <v>99</v>
      </c>
      <c r="R781" s="2" t="s">
        <v>100</v>
      </c>
      <c r="S781" s="2" t="s">
        <v>2965</v>
      </c>
      <c r="T781" s="2" t="s">
        <v>280</v>
      </c>
      <c r="U781" s="2" t="s">
        <v>480</v>
      </c>
      <c r="V781" s="2" t="s">
        <v>146</v>
      </c>
      <c r="W781" s="2" t="s">
        <v>2679</v>
      </c>
      <c r="X781" s="2" t="s">
        <v>183</v>
      </c>
      <c r="Y781" s="2" t="s">
        <v>2966</v>
      </c>
      <c r="Z781" s="4">
        <v>257</v>
      </c>
      <c r="AA781" s="4">
        <f>=ROUNDDOWN(42.8333333333333,0)</f>
      </c>
      <c r="AB781" s="5">
        <v>6</v>
      </c>
      <c r="AC781" s="2" t="s">
        <v>100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146</v>
      </c>
      <c r="BK781" s="8">
        <v>13028.02</v>
      </c>
      <c r="BL781" s="2" t="s">
        <v>2969</v>
      </c>
      <c r="BM781" s="7"/>
      <c r="BN781" s="7"/>
      <c r="BO781" s="4"/>
      <c r="BP781" s="8"/>
      <c r="BQ781" s="4"/>
      <c r="BR781" s="8"/>
      <c r="BS781" s="7"/>
      <c r="BT781" s="7"/>
      <c r="BU781" s="2" t="s">
        <v>2528</v>
      </c>
      <c r="BV781" s="2" t="s">
        <v>97</v>
      </c>
      <c r="BW781" s="2" t="s">
        <v>100</v>
      </c>
      <c r="BX781" s="2" t="s">
        <v>100</v>
      </c>
      <c r="BY781" s="2" t="s">
        <v>113</v>
      </c>
      <c r="BZ781" s="2" t="s">
        <v>245</v>
      </c>
    </row>
    <row r="782">
      <c r="A782" s="2" t="s">
        <v>2970</v>
      </c>
      <c r="B782" s="2" t="s">
        <v>87</v>
      </c>
      <c r="C782" s="2" t="s">
        <v>2850</v>
      </c>
      <c r="D782" s="2" t="s">
        <v>803</v>
      </c>
      <c r="E782" s="2" t="s">
        <v>1532</v>
      </c>
      <c r="F782" s="2" t="s">
        <v>2971</v>
      </c>
      <c r="G782" s="2" t="s">
        <v>2971</v>
      </c>
      <c r="H782" s="2" t="s">
        <v>2971</v>
      </c>
      <c r="I782" s="2" t="s">
        <v>2972</v>
      </c>
      <c r="J782" s="2" t="s">
        <v>247</v>
      </c>
      <c r="K782" s="2" t="s">
        <v>858</v>
      </c>
      <c r="L782" s="3">
        <v>75.6</v>
      </c>
      <c r="M782" s="3">
        <v>79.38</v>
      </c>
      <c r="N782" s="3">
        <v>151.99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2973</v>
      </c>
      <c r="T782" s="2" t="s">
        <v>280</v>
      </c>
      <c r="U782" s="2" t="s">
        <v>480</v>
      </c>
      <c r="V782" s="2" t="s">
        <v>2935</v>
      </c>
      <c r="W782" s="2" t="s">
        <v>319</v>
      </c>
      <c r="X782" s="2" t="s">
        <v>100</v>
      </c>
      <c r="Y782" s="2" t="s">
        <v>2974</v>
      </c>
      <c r="Z782" s="4">
        <v>289</v>
      </c>
      <c r="AA782" s="4">
        <f>=ROUNDDOWN(36.125,0)</f>
      </c>
      <c r="AB782" s="5">
        <v>8</v>
      </c>
      <c r="AC782" s="2" t="s">
        <v>320</v>
      </c>
      <c r="AD782" s="4">
        <v>162</v>
      </c>
      <c r="AE782" s="4">
        <v>242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179</v>
      </c>
      <c r="BK782" s="8">
        <v>14804.88</v>
      </c>
      <c r="BL782" s="2" t="s">
        <v>2975</v>
      </c>
      <c r="BM782" s="7"/>
      <c r="BN782" s="7"/>
      <c r="BO782" s="4"/>
      <c r="BP782" s="8"/>
      <c r="BQ782" s="4"/>
      <c r="BR782" s="8"/>
      <c r="BS782" s="7"/>
      <c r="BT782" s="7"/>
      <c r="BU782" s="2" t="s">
        <v>2528</v>
      </c>
      <c r="BV782" s="2" t="s">
        <v>97</v>
      </c>
      <c r="BW782" s="2" t="s">
        <v>100</v>
      </c>
      <c r="BX782" s="2" t="s">
        <v>100</v>
      </c>
      <c r="BY782" s="2" t="s">
        <v>113</v>
      </c>
      <c r="BZ782" s="2" t="s">
        <v>100</v>
      </c>
    </row>
    <row r="783">
      <c r="A783" s="2" t="s">
        <v>2976</v>
      </c>
      <c r="B783" s="2" t="s">
        <v>87</v>
      </c>
      <c r="C783" s="2" t="s">
        <v>2850</v>
      </c>
      <c r="D783" s="2" t="s">
        <v>803</v>
      </c>
      <c r="E783" s="2" t="s">
        <v>1532</v>
      </c>
      <c r="F783" s="2" t="s">
        <v>2971</v>
      </c>
      <c r="G783" s="2" t="s">
        <v>2971</v>
      </c>
      <c r="H783" s="2" t="s">
        <v>2971</v>
      </c>
      <c r="I783" s="2" t="s">
        <v>2972</v>
      </c>
      <c r="J783" s="2" t="s">
        <v>270</v>
      </c>
      <c r="K783" s="2" t="s">
        <v>858</v>
      </c>
      <c r="L783" s="3">
        <v>91.8</v>
      </c>
      <c r="M783" s="3">
        <v>96.39</v>
      </c>
      <c r="N783" s="3">
        <v>183.99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2973</v>
      </c>
      <c r="T783" s="2" t="s">
        <v>280</v>
      </c>
      <c r="U783" s="2" t="s">
        <v>480</v>
      </c>
      <c r="V783" s="2" t="s">
        <v>2935</v>
      </c>
      <c r="W783" s="2" t="s">
        <v>319</v>
      </c>
      <c r="X783" s="2" t="s">
        <v>100</v>
      </c>
      <c r="Y783" s="2" t="s">
        <v>2974</v>
      </c>
      <c r="Z783" s="4">
        <v>317</v>
      </c>
      <c r="AA783" s="4">
        <f>=ROUNDDOWN(35.2222222222222,0)</f>
      </c>
      <c r="AB783" s="5">
        <v>9</v>
      </c>
      <c r="AC783" s="2" t="s">
        <v>320</v>
      </c>
      <c r="AD783" s="4">
        <v>183</v>
      </c>
      <c r="AE783" s="4">
        <v>263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230</v>
      </c>
      <c r="BK783" s="8">
        <v>22818.79</v>
      </c>
      <c r="BL783" s="2" t="s">
        <v>2956</v>
      </c>
      <c r="BM783" s="7"/>
      <c r="BN783" s="7"/>
      <c r="BO783" s="4"/>
      <c r="BP783" s="8"/>
      <c r="BQ783" s="4"/>
      <c r="BR783" s="8"/>
      <c r="BS783" s="7"/>
      <c r="BT783" s="7"/>
      <c r="BU783" s="2" t="s">
        <v>2528</v>
      </c>
      <c r="BV783" s="2" t="s">
        <v>97</v>
      </c>
      <c r="BW783" s="2" t="s">
        <v>100</v>
      </c>
      <c r="BX783" s="2" t="s">
        <v>100</v>
      </c>
      <c r="BY783" s="2" t="s">
        <v>113</v>
      </c>
      <c r="BZ783" s="2" t="s">
        <v>100</v>
      </c>
    </row>
    <row r="784">
      <c r="A784" s="2" t="s">
        <v>2977</v>
      </c>
      <c r="B784" s="2" t="s">
        <v>87</v>
      </c>
      <c r="C784" s="2" t="s">
        <v>2850</v>
      </c>
      <c r="D784" s="2" t="s">
        <v>803</v>
      </c>
      <c r="E784" s="2" t="s">
        <v>1532</v>
      </c>
      <c r="F784" s="2" t="s">
        <v>2978</v>
      </c>
      <c r="G784" s="2" t="s">
        <v>2978</v>
      </c>
      <c r="H784" s="2" t="s">
        <v>2978</v>
      </c>
      <c r="I784" s="2" t="s">
        <v>2979</v>
      </c>
      <c r="J784" s="2" t="s">
        <v>247</v>
      </c>
      <c r="K784" s="2" t="s">
        <v>189</v>
      </c>
      <c r="L784" s="3">
        <v>59.99</v>
      </c>
      <c r="M784" s="3">
        <v>62.99</v>
      </c>
      <c r="N784" s="3">
        <v>119.99</v>
      </c>
      <c r="O784" s="2" t="s">
        <v>97</v>
      </c>
      <c r="P784" s="2" t="s">
        <v>119</v>
      </c>
      <c r="Q784" s="2" t="s">
        <v>99</v>
      </c>
      <c r="R784" s="2" t="s">
        <v>100</v>
      </c>
      <c r="S784" s="2" t="s">
        <v>2980</v>
      </c>
      <c r="T784" s="2" t="s">
        <v>100</v>
      </c>
      <c r="U784" s="2" t="s">
        <v>480</v>
      </c>
      <c r="V784" s="2" t="s">
        <v>146</v>
      </c>
      <c r="W784" s="2" t="s">
        <v>104</v>
      </c>
      <c r="X784" s="2" t="s">
        <v>183</v>
      </c>
      <c r="Y784" s="2" t="s">
        <v>240</v>
      </c>
      <c r="Z784" s="4">
        <v>184</v>
      </c>
      <c r="AA784" s="4">
        <f>=ROUNDDOWN(46,0)</f>
      </c>
      <c r="AB784" s="5">
        <v>4</v>
      </c>
      <c r="AC784" s="2" t="s">
        <v>100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57</v>
      </c>
      <c r="BK784" s="8">
        <v>3395.39</v>
      </c>
      <c r="BL784" s="2" t="s">
        <v>2981</v>
      </c>
      <c r="BM784" s="7"/>
      <c r="BN784" s="7"/>
      <c r="BO784" s="4"/>
      <c r="BP784" s="8"/>
      <c r="BQ784" s="4"/>
      <c r="BR784" s="8"/>
      <c r="BS784" s="7"/>
      <c r="BT784" s="7"/>
      <c r="BU784" s="2" t="s">
        <v>2528</v>
      </c>
      <c r="BV784" s="2" t="s">
        <v>97</v>
      </c>
      <c r="BW784" s="2" t="s">
        <v>100</v>
      </c>
      <c r="BX784" s="2" t="s">
        <v>100</v>
      </c>
      <c r="BY784" s="2" t="s">
        <v>113</v>
      </c>
      <c r="BZ784" s="2" t="s">
        <v>100</v>
      </c>
    </row>
    <row r="785">
      <c r="A785" s="2" t="s">
        <v>2982</v>
      </c>
      <c r="B785" s="2" t="s">
        <v>87</v>
      </c>
      <c r="C785" s="2" t="s">
        <v>2850</v>
      </c>
      <c r="D785" s="2" t="s">
        <v>803</v>
      </c>
      <c r="E785" s="2" t="s">
        <v>1532</v>
      </c>
      <c r="F785" s="2" t="s">
        <v>2978</v>
      </c>
      <c r="G785" s="2" t="s">
        <v>2978</v>
      </c>
      <c r="H785" s="2" t="s">
        <v>2978</v>
      </c>
      <c r="I785" s="2" t="s">
        <v>2979</v>
      </c>
      <c r="J785" s="2" t="s">
        <v>270</v>
      </c>
      <c r="K785" s="2" t="s">
        <v>189</v>
      </c>
      <c r="L785" s="3">
        <v>75</v>
      </c>
      <c r="M785" s="3">
        <v>78.74</v>
      </c>
      <c r="N785" s="3">
        <v>149.99</v>
      </c>
      <c r="O785" s="2" t="s">
        <v>97</v>
      </c>
      <c r="P785" s="2" t="s">
        <v>119</v>
      </c>
      <c r="Q785" s="2" t="s">
        <v>99</v>
      </c>
      <c r="R785" s="2" t="s">
        <v>100</v>
      </c>
      <c r="S785" s="2" t="s">
        <v>2980</v>
      </c>
      <c r="T785" s="2" t="s">
        <v>100</v>
      </c>
      <c r="U785" s="2" t="s">
        <v>480</v>
      </c>
      <c r="V785" s="2" t="s">
        <v>146</v>
      </c>
      <c r="W785" s="2" t="s">
        <v>104</v>
      </c>
      <c r="X785" s="2" t="s">
        <v>183</v>
      </c>
      <c r="Y785" s="2" t="s">
        <v>240</v>
      </c>
      <c r="Z785" s="4">
        <v>159</v>
      </c>
      <c r="AA785" s="4">
        <f>=ROUNDDOWN(39.75,0)</f>
      </c>
      <c r="AB785" s="5">
        <v>4</v>
      </c>
      <c r="AC785" s="2" t="s">
        <v>100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75</v>
      </c>
      <c r="BK785" s="8">
        <v>6068.74</v>
      </c>
      <c r="BL785" s="2" t="s">
        <v>2983</v>
      </c>
      <c r="BM785" s="7"/>
      <c r="BN785" s="7"/>
      <c r="BO785" s="4"/>
      <c r="BP785" s="8"/>
      <c r="BQ785" s="4"/>
      <c r="BR785" s="8"/>
      <c r="BS785" s="7"/>
      <c r="BT785" s="7"/>
      <c r="BU785" s="2" t="s">
        <v>2528</v>
      </c>
      <c r="BV785" s="2" t="s">
        <v>97</v>
      </c>
      <c r="BW785" s="2" t="s">
        <v>100</v>
      </c>
      <c r="BX785" s="2" t="s">
        <v>100</v>
      </c>
      <c r="BY785" s="2" t="s">
        <v>113</v>
      </c>
      <c r="BZ785" s="2" t="s">
        <v>100</v>
      </c>
    </row>
    <row r="786">
      <c r="A786" s="2" t="s">
        <v>2984</v>
      </c>
      <c r="B786" s="2" t="s">
        <v>87</v>
      </c>
      <c r="C786" s="2" t="s">
        <v>2850</v>
      </c>
      <c r="D786" s="2" t="s">
        <v>803</v>
      </c>
      <c r="E786" s="2" t="s">
        <v>1532</v>
      </c>
      <c r="F786" s="2" t="s">
        <v>2985</v>
      </c>
      <c r="G786" s="2" t="s">
        <v>2985</v>
      </c>
      <c r="H786" s="2" t="s">
        <v>2985</v>
      </c>
      <c r="I786" s="2" t="s">
        <v>2986</v>
      </c>
      <c r="J786" s="2" t="s">
        <v>247</v>
      </c>
      <c r="K786" s="2" t="s">
        <v>1148</v>
      </c>
      <c r="L786" s="3">
        <v>59.85</v>
      </c>
      <c r="M786" s="3">
        <v>62.84</v>
      </c>
      <c r="N786" s="3">
        <v>129.99</v>
      </c>
      <c r="O786" s="2" t="s">
        <v>97</v>
      </c>
      <c r="P786" s="2" t="s">
        <v>119</v>
      </c>
      <c r="Q786" s="2" t="s">
        <v>99</v>
      </c>
      <c r="R786" s="2" t="s">
        <v>100</v>
      </c>
      <c r="S786" s="2" t="s">
        <v>2987</v>
      </c>
      <c r="T786" s="2" t="s">
        <v>280</v>
      </c>
      <c r="U786" s="2" t="s">
        <v>480</v>
      </c>
      <c r="V786" s="2" t="s">
        <v>2935</v>
      </c>
      <c r="W786" s="2" t="s">
        <v>319</v>
      </c>
      <c r="X786" s="2" t="s">
        <v>100</v>
      </c>
      <c r="Y786" s="2" t="s">
        <v>2988</v>
      </c>
      <c r="Z786" s="4">
        <v>390</v>
      </c>
      <c r="AA786" s="4">
        <f>=ROUNDDOWN(130,0)</f>
      </c>
      <c r="AB786" s="5">
        <v>3</v>
      </c>
      <c r="AC786" s="2" t="s">
        <v>100</v>
      </c>
      <c r="AD786" s="4"/>
      <c r="AE786" s="4"/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55</v>
      </c>
      <c r="BK786" s="8">
        <v>3728.12</v>
      </c>
      <c r="BL786" s="2" t="s">
        <v>852</v>
      </c>
      <c r="BM786" s="7"/>
      <c r="BN786" s="7"/>
      <c r="BO786" s="4"/>
      <c r="BP786" s="8"/>
      <c r="BQ786" s="4"/>
      <c r="BR786" s="8"/>
      <c r="BS786" s="7"/>
      <c r="BT786" s="7"/>
      <c r="BU786" s="2" t="s">
        <v>2528</v>
      </c>
      <c r="BV786" s="2" t="s">
        <v>97</v>
      </c>
      <c r="BW786" s="2" t="s">
        <v>100</v>
      </c>
      <c r="BX786" s="2" t="s">
        <v>100</v>
      </c>
      <c r="BY786" s="2" t="s">
        <v>113</v>
      </c>
      <c r="BZ786" s="2" t="s">
        <v>100</v>
      </c>
    </row>
    <row r="787">
      <c r="A787" s="2" t="s">
        <v>2989</v>
      </c>
      <c r="B787" s="2" t="s">
        <v>87</v>
      </c>
      <c r="C787" s="2" t="s">
        <v>2850</v>
      </c>
      <c r="D787" s="2" t="s">
        <v>803</v>
      </c>
      <c r="E787" s="2" t="s">
        <v>1532</v>
      </c>
      <c r="F787" s="2" t="s">
        <v>2985</v>
      </c>
      <c r="G787" s="2" t="s">
        <v>2985</v>
      </c>
      <c r="H787" s="2" t="s">
        <v>2985</v>
      </c>
      <c r="I787" s="2" t="s">
        <v>2986</v>
      </c>
      <c r="J787" s="2" t="s">
        <v>270</v>
      </c>
      <c r="K787" s="2" t="s">
        <v>1148</v>
      </c>
      <c r="L787" s="3">
        <v>74.29</v>
      </c>
      <c r="M787" s="3">
        <v>78</v>
      </c>
      <c r="N787" s="3">
        <v>159.99</v>
      </c>
      <c r="O787" s="2" t="s">
        <v>97</v>
      </c>
      <c r="P787" s="2" t="s">
        <v>119</v>
      </c>
      <c r="Q787" s="2" t="s">
        <v>99</v>
      </c>
      <c r="R787" s="2" t="s">
        <v>100</v>
      </c>
      <c r="S787" s="2" t="s">
        <v>2987</v>
      </c>
      <c r="T787" s="2" t="s">
        <v>280</v>
      </c>
      <c r="U787" s="2" t="s">
        <v>480</v>
      </c>
      <c r="V787" s="2" t="s">
        <v>2935</v>
      </c>
      <c r="W787" s="2" t="s">
        <v>319</v>
      </c>
      <c r="X787" s="2" t="s">
        <v>100</v>
      </c>
      <c r="Y787" s="2" t="s">
        <v>2988</v>
      </c>
      <c r="Z787" s="4">
        <v>429</v>
      </c>
      <c r="AA787" s="4">
        <f>=ROUNDDOWN(71.5,0)</f>
      </c>
      <c r="AB787" s="5">
        <v>6</v>
      </c>
      <c r="AC787" s="2" t="s">
        <v>100</v>
      </c>
      <c r="AD787" s="4"/>
      <c r="AE787" s="4"/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99</v>
      </c>
      <c r="BK787" s="8">
        <v>8360.72</v>
      </c>
      <c r="BL787" s="2" t="s">
        <v>2990</v>
      </c>
      <c r="BM787" s="7"/>
      <c r="BN787" s="7"/>
      <c r="BO787" s="4"/>
      <c r="BP787" s="8"/>
      <c r="BQ787" s="4"/>
      <c r="BR787" s="8"/>
      <c r="BS787" s="7"/>
      <c r="BT787" s="7"/>
      <c r="BU787" s="2" t="s">
        <v>2528</v>
      </c>
      <c r="BV787" s="2" t="s">
        <v>97</v>
      </c>
      <c r="BW787" s="2" t="s">
        <v>100</v>
      </c>
      <c r="BX787" s="2" t="s">
        <v>100</v>
      </c>
      <c r="BY787" s="2" t="s">
        <v>113</v>
      </c>
      <c r="BZ787" s="2" t="s">
        <v>100</v>
      </c>
    </row>
    <row r="788">
      <c r="A788" s="2" t="s">
        <v>2991</v>
      </c>
      <c r="B788" s="2" t="s">
        <v>87</v>
      </c>
      <c r="C788" s="2" t="s">
        <v>2850</v>
      </c>
      <c r="D788" s="2" t="s">
        <v>803</v>
      </c>
      <c r="E788" s="2" t="s">
        <v>1532</v>
      </c>
      <c r="F788" s="2" t="s">
        <v>2985</v>
      </c>
      <c r="G788" s="2" t="s">
        <v>2985</v>
      </c>
      <c r="H788" s="2" t="s">
        <v>2985</v>
      </c>
      <c r="I788" s="2" t="s">
        <v>2986</v>
      </c>
      <c r="J788" s="2" t="s">
        <v>247</v>
      </c>
      <c r="K788" s="2" t="s">
        <v>360</v>
      </c>
      <c r="L788" s="3">
        <v>59.85</v>
      </c>
      <c r="M788" s="3">
        <v>62.84</v>
      </c>
      <c r="N788" s="3">
        <v>129.99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2992</v>
      </c>
      <c r="T788" s="2" t="s">
        <v>280</v>
      </c>
      <c r="U788" s="2" t="s">
        <v>480</v>
      </c>
      <c r="V788" s="2" t="s">
        <v>2935</v>
      </c>
      <c r="W788" s="2" t="s">
        <v>319</v>
      </c>
      <c r="X788" s="2" t="s">
        <v>100</v>
      </c>
      <c r="Y788" s="2" t="s">
        <v>2286</v>
      </c>
      <c r="Z788" s="4">
        <v>698</v>
      </c>
      <c r="AA788" s="4">
        <f>=ROUNDDOWN(53.6923076923077,0)</f>
      </c>
      <c r="AB788" s="5">
        <v>13</v>
      </c>
      <c r="AC788" s="2" t="s">
        <v>1728</v>
      </c>
      <c r="AD788" s="4">
        <v>100</v>
      </c>
      <c r="AE788" s="4">
        <v>150</v>
      </c>
      <c r="AF788" s="6">
        <v>66</v>
      </c>
      <c r="AG788" s="6">
        <v>74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234</v>
      </c>
      <c r="BK788" s="8">
        <v>16036.69</v>
      </c>
      <c r="BL788" s="2" t="s">
        <v>2993</v>
      </c>
      <c r="BM788" s="7"/>
      <c r="BN788" s="7"/>
      <c r="BO788" s="4"/>
      <c r="BP788" s="8"/>
      <c r="BQ788" s="4"/>
      <c r="BR788" s="8"/>
      <c r="BS788" s="7"/>
      <c r="BT788" s="7"/>
      <c r="BU788" s="2" t="s">
        <v>2528</v>
      </c>
      <c r="BV788" s="2" t="s">
        <v>97</v>
      </c>
      <c r="BW788" s="2" t="s">
        <v>100</v>
      </c>
      <c r="BX788" s="2" t="s">
        <v>100</v>
      </c>
      <c r="BY788" s="2" t="s">
        <v>113</v>
      </c>
      <c r="BZ788" s="2" t="s">
        <v>100</v>
      </c>
    </row>
    <row r="789">
      <c r="A789" s="2" t="s">
        <v>2994</v>
      </c>
      <c r="B789" s="2" t="s">
        <v>87</v>
      </c>
      <c r="C789" s="2" t="s">
        <v>2850</v>
      </c>
      <c r="D789" s="2" t="s">
        <v>803</v>
      </c>
      <c r="E789" s="2" t="s">
        <v>1532</v>
      </c>
      <c r="F789" s="2" t="s">
        <v>2985</v>
      </c>
      <c r="G789" s="2" t="s">
        <v>2985</v>
      </c>
      <c r="H789" s="2" t="s">
        <v>2985</v>
      </c>
      <c r="I789" s="2" t="s">
        <v>2986</v>
      </c>
      <c r="J789" s="2" t="s">
        <v>270</v>
      </c>
      <c r="K789" s="2" t="s">
        <v>360</v>
      </c>
      <c r="L789" s="3">
        <v>74.29</v>
      </c>
      <c r="M789" s="3">
        <v>78</v>
      </c>
      <c r="N789" s="3">
        <v>159.99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2992</v>
      </c>
      <c r="T789" s="2" t="s">
        <v>280</v>
      </c>
      <c r="U789" s="2" t="s">
        <v>480</v>
      </c>
      <c r="V789" s="2" t="s">
        <v>2935</v>
      </c>
      <c r="W789" s="2" t="s">
        <v>319</v>
      </c>
      <c r="X789" s="2" t="s">
        <v>100</v>
      </c>
      <c r="Y789" s="2" t="s">
        <v>2286</v>
      </c>
      <c r="Z789" s="4">
        <v>656</v>
      </c>
      <c r="AA789" s="4">
        <f>=ROUNDDOWN(38.5882352941176,0)</f>
      </c>
      <c r="AB789" s="5">
        <v>17</v>
      </c>
      <c r="AC789" s="2" t="s">
        <v>241</v>
      </c>
      <c r="AD789" s="4">
        <v>120</v>
      </c>
      <c r="AE789" s="4">
        <v>319</v>
      </c>
      <c r="AF789" s="6">
        <v>66</v>
      </c>
      <c r="AG789" s="6">
        <v>74</v>
      </c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280</v>
      </c>
      <c r="BK789" s="8">
        <v>23513.49</v>
      </c>
      <c r="BL789" s="2" t="s">
        <v>2995</v>
      </c>
      <c r="BM789" s="7"/>
      <c r="BN789" s="7"/>
      <c r="BO789" s="4"/>
      <c r="BP789" s="8"/>
      <c r="BQ789" s="4"/>
      <c r="BR789" s="8"/>
      <c r="BS789" s="7"/>
      <c r="BT789" s="7"/>
      <c r="BU789" s="2" t="s">
        <v>2528</v>
      </c>
      <c r="BV789" s="2" t="s">
        <v>97</v>
      </c>
      <c r="BW789" s="2" t="s">
        <v>100</v>
      </c>
      <c r="BX789" s="2" t="s">
        <v>100</v>
      </c>
      <c r="BY789" s="2" t="s">
        <v>113</v>
      </c>
      <c r="BZ789" s="2" t="s">
        <v>100</v>
      </c>
    </row>
    <row r="790">
      <c r="A790" s="2" t="s">
        <v>2996</v>
      </c>
      <c r="B790" s="2" t="s">
        <v>87</v>
      </c>
      <c r="C790" s="2" t="s">
        <v>2850</v>
      </c>
      <c r="D790" s="2" t="s">
        <v>803</v>
      </c>
      <c r="E790" s="2" t="s">
        <v>1532</v>
      </c>
      <c r="F790" s="2" t="s">
        <v>2985</v>
      </c>
      <c r="G790" s="2" t="s">
        <v>2985</v>
      </c>
      <c r="H790" s="2" t="s">
        <v>2985</v>
      </c>
      <c r="I790" s="2" t="s">
        <v>2986</v>
      </c>
      <c r="J790" s="2" t="s">
        <v>247</v>
      </c>
      <c r="K790" s="2" t="s">
        <v>629</v>
      </c>
      <c r="L790" s="3">
        <v>59.85</v>
      </c>
      <c r="M790" s="3">
        <v>62.84</v>
      </c>
      <c r="N790" s="3">
        <v>129.99</v>
      </c>
      <c r="O790" s="2" t="s">
        <v>97</v>
      </c>
      <c r="P790" s="2" t="s">
        <v>98</v>
      </c>
      <c r="Q790" s="2" t="s">
        <v>99</v>
      </c>
      <c r="R790" s="2" t="s">
        <v>100</v>
      </c>
      <c r="S790" s="2" t="s">
        <v>2997</v>
      </c>
      <c r="T790" s="2" t="s">
        <v>280</v>
      </c>
      <c r="U790" s="2" t="s">
        <v>480</v>
      </c>
      <c r="V790" s="2" t="s">
        <v>2935</v>
      </c>
      <c r="W790" s="2" t="s">
        <v>319</v>
      </c>
      <c r="X790" s="2" t="s">
        <v>100</v>
      </c>
      <c r="Y790" s="2" t="s">
        <v>2013</v>
      </c>
      <c r="Z790" s="4">
        <v>656</v>
      </c>
      <c r="AA790" s="4">
        <f>=ROUNDDOWN(59.6363636363636,0)</f>
      </c>
      <c r="AB790" s="5">
        <v>11</v>
      </c>
      <c r="AC790" s="2" t="s">
        <v>148</v>
      </c>
      <c r="AD790" s="4">
        <v>180</v>
      </c>
      <c r="AE790" s="4">
        <v>300</v>
      </c>
      <c r="AF790" s="6">
        <v>66</v>
      </c>
      <c r="AG790" s="6">
        <v>74</v>
      </c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202</v>
      </c>
      <c r="BK790" s="8">
        <v>14072.02</v>
      </c>
      <c r="BL790" s="2" t="s">
        <v>2998</v>
      </c>
      <c r="BM790" s="7"/>
      <c r="BN790" s="7"/>
      <c r="BO790" s="4"/>
      <c r="BP790" s="8"/>
      <c r="BQ790" s="4"/>
      <c r="BR790" s="8"/>
      <c r="BS790" s="7"/>
      <c r="BT790" s="7"/>
      <c r="BU790" s="2" t="s">
        <v>2528</v>
      </c>
      <c r="BV790" s="2" t="s">
        <v>97</v>
      </c>
      <c r="BW790" s="2" t="s">
        <v>100</v>
      </c>
      <c r="BX790" s="2" t="s">
        <v>100</v>
      </c>
      <c r="BY790" s="2" t="s">
        <v>113</v>
      </c>
      <c r="BZ790" s="2" t="s">
        <v>100</v>
      </c>
    </row>
    <row r="791">
      <c r="A791" s="2" t="s">
        <v>2999</v>
      </c>
      <c r="B791" s="2" t="s">
        <v>87</v>
      </c>
      <c r="C791" s="2" t="s">
        <v>2850</v>
      </c>
      <c r="D791" s="2" t="s">
        <v>803</v>
      </c>
      <c r="E791" s="2" t="s">
        <v>1532</v>
      </c>
      <c r="F791" s="2" t="s">
        <v>2985</v>
      </c>
      <c r="G791" s="2" t="s">
        <v>2985</v>
      </c>
      <c r="H791" s="2" t="s">
        <v>2985</v>
      </c>
      <c r="I791" s="2" t="s">
        <v>2986</v>
      </c>
      <c r="J791" s="2" t="s">
        <v>270</v>
      </c>
      <c r="K791" s="2" t="s">
        <v>629</v>
      </c>
      <c r="L791" s="3">
        <v>74.29</v>
      </c>
      <c r="M791" s="3">
        <v>78</v>
      </c>
      <c r="N791" s="3">
        <v>159.99</v>
      </c>
      <c r="O791" s="2" t="s">
        <v>97</v>
      </c>
      <c r="P791" s="2" t="s">
        <v>98</v>
      </c>
      <c r="Q791" s="2" t="s">
        <v>99</v>
      </c>
      <c r="R791" s="2" t="s">
        <v>100</v>
      </c>
      <c r="S791" s="2" t="s">
        <v>2997</v>
      </c>
      <c r="T791" s="2" t="s">
        <v>280</v>
      </c>
      <c r="U791" s="2" t="s">
        <v>480</v>
      </c>
      <c r="V791" s="2" t="s">
        <v>2935</v>
      </c>
      <c r="W791" s="2" t="s">
        <v>319</v>
      </c>
      <c r="X791" s="2" t="s">
        <v>100</v>
      </c>
      <c r="Y791" s="2" t="s">
        <v>2013</v>
      </c>
      <c r="Z791" s="4">
        <v>707</v>
      </c>
      <c r="AA791" s="4">
        <f>=ROUNDDOWN(47.1333333333333,0)</f>
      </c>
      <c r="AB791" s="5">
        <v>15</v>
      </c>
      <c r="AC791" s="2" t="s">
        <v>1728</v>
      </c>
      <c r="AD791" s="4">
        <v>110</v>
      </c>
      <c r="AE791" s="4">
        <v>570</v>
      </c>
      <c r="AF791" s="6">
        <v>66</v>
      </c>
      <c r="AG791" s="6">
        <v>74</v>
      </c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314</v>
      </c>
      <c r="BK791" s="8">
        <v>26738.01</v>
      </c>
      <c r="BL791" s="2" t="s">
        <v>3000</v>
      </c>
      <c r="BM791" s="7"/>
      <c r="BN791" s="7"/>
      <c r="BO791" s="4"/>
      <c r="BP791" s="8"/>
      <c r="BQ791" s="4"/>
      <c r="BR791" s="8"/>
      <c r="BS791" s="7"/>
      <c r="BT791" s="7"/>
      <c r="BU791" s="2" t="s">
        <v>2528</v>
      </c>
      <c r="BV791" s="2" t="s">
        <v>97</v>
      </c>
      <c r="BW791" s="2" t="s">
        <v>100</v>
      </c>
      <c r="BX791" s="2" t="s">
        <v>100</v>
      </c>
      <c r="BY791" s="2" t="s">
        <v>113</v>
      </c>
      <c r="BZ791" s="2" t="s">
        <v>100</v>
      </c>
    </row>
    <row r="792">
      <c r="A792" s="2" t="s">
        <v>3001</v>
      </c>
      <c r="B792" s="2" t="s">
        <v>87</v>
      </c>
      <c r="C792" s="2" t="s">
        <v>2850</v>
      </c>
      <c r="D792" s="2" t="s">
        <v>803</v>
      </c>
      <c r="E792" s="2" t="s">
        <v>1532</v>
      </c>
      <c r="F792" s="2" t="s">
        <v>3002</v>
      </c>
      <c r="G792" s="2" t="s">
        <v>3002</v>
      </c>
      <c r="H792" s="2" t="s">
        <v>3002</v>
      </c>
      <c r="I792" s="2" t="s">
        <v>3003</v>
      </c>
      <c r="J792" s="2" t="s">
        <v>247</v>
      </c>
      <c r="K792" s="2" t="s">
        <v>3004</v>
      </c>
      <c r="L792" s="3">
        <v>51.84</v>
      </c>
      <c r="M792" s="3">
        <v>54.43</v>
      </c>
      <c r="N792" s="3">
        <v>104.99</v>
      </c>
      <c r="O792" s="2" t="s">
        <v>97</v>
      </c>
      <c r="P792" s="2" t="s">
        <v>950</v>
      </c>
      <c r="Q792" s="2" t="s">
        <v>99</v>
      </c>
      <c r="R792" s="2" t="s">
        <v>100</v>
      </c>
      <c r="S792" s="2" t="s">
        <v>3005</v>
      </c>
      <c r="T792" s="2" t="s">
        <v>280</v>
      </c>
      <c r="U792" s="2" t="s">
        <v>480</v>
      </c>
      <c r="V792" s="2" t="s">
        <v>319</v>
      </c>
      <c r="W792" s="2" t="s">
        <v>561</v>
      </c>
      <c r="X792" s="2" t="s">
        <v>319</v>
      </c>
      <c r="Y792" s="2" t="s">
        <v>3006</v>
      </c>
      <c r="Z792" s="4">
        <v>147</v>
      </c>
      <c r="AA792" s="4">
        <f>=ROUNDDOWN(24.0983606557377,0)</f>
      </c>
      <c r="AB792" s="5">
        <v>6.1</v>
      </c>
      <c r="AC792" s="2" t="s">
        <v>282</v>
      </c>
      <c r="AD792" s="4">
        <v>330</v>
      </c>
      <c r="AE792" s="4">
        <v>330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255</v>
      </c>
      <c r="BK792" s="8">
        <v>15058.91</v>
      </c>
      <c r="BL792" s="2" t="s">
        <v>3007</v>
      </c>
      <c r="BM792" s="7"/>
      <c r="BN792" s="7"/>
      <c r="BO792" s="4"/>
      <c r="BP792" s="8"/>
      <c r="BQ792" s="4"/>
      <c r="BR792" s="8"/>
      <c r="BS792" s="7"/>
      <c r="BT792" s="7"/>
      <c r="BU792" s="2" t="s">
        <v>2528</v>
      </c>
      <c r="BV792" s="2" t="s">
        <v>97</v>
      </c>
      <c r="BW792" s="2" t="s">
        <v>100</v>
      </c>
      <c r="BX792" s="2" t="s">
        <v>100</v>
      </c>
      <c r="BY792" s="2" t="s">
        <v>113</v>
      </c>
      <c r="BZ792" s="2" t="s">
        <v>245</v>
      </c>
    </row>
    <row r="793">
      <c r="A793" s="2" t="s">
        <v>3008</v>
      </c>
      <c r="B793" s="2" t="s">
        <v>87</v>
      </c>
      <c r="C793" s="2" t="s">
        <v>2850</v>
      </c>
      <c r="D793" s="2" t="s">
        <v>803</v>
      </c>
      <c r="E793" s="2" t="s">
        <v>1532</v>
      </c>
      <c r="F793" s="2" t="s">
        <v>3002</v>
      </c>
      <c r="G793" s="2" t="s">
        <v>3002</v>
      </c>
      <c r="H793" s="2" t="s">
        <v>3002</v>
      </c>
      <c r="I793" s="2" t="s">
        <v>3003</v>
      </c>
      <c r="J793" s="2" t="s">
        <v>270</v>
      </c>
      <c r="K793" s="2" t="s">
        <v>3004</v>
      </c>
      <c r="L793" s="3">
        <v>67.5</v>
      </c>
      <c r="M793" s="3">
        <v>70.88</v>
      </c>
      <c r="N793" s="3">
        <v>134.99</v>
      </c>
      <c r="O793" s="2" t="s">
        <v>97</v>
      </c>
      <c r="P793" s="2" t="s">
        <v>950</v>
      </c>
      <c r="Q793" s="2" t="s">
        <v>99</v>
      </c>
      <c r="R793" s="2" t="s">
        <v>100</v>
      </c>
      <c r="S793" s="2" t="s">
        <v>3005</v>
      </c>
      <c r="T793" s="2" t="s">
        <v>280</v>
      </c>
      <c r="U793" s="2" t="s">
        <v>480</v>
      </c>
      <c r="V793" s="2" t="s">
        <v>319</v>
      </c>
      <c r="W793" s="2" t="s">
        <v>561</v>
      </c>
      <c r="X793" s="2" t="s">
        <v>319</v>
      </c>
      <c r="Y793" s="2" t="s">
        <v>3006</v>
      </c>
      <c r="Z793" s="4">
        <v>205</v>
      </c>
      <c r="AA793" s="4">
        <f>=ROUNDDOWN(25.3086419753086,0)</f>
      </c>
      <c r="AB793" s="5">
        <v>8.1</v>
      </c>
      <c r="AC793" s="2" t="s">
        <v>282</v>
      </c>
      <c r="AD793" s="4">
        <v>310</v>
      </c>
      <c r="AE793" s="4">
        <v>310</v>
      </c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284</v>
      </c>
      <c r="BK793" s="8">
        <v>22047.95</v>
      </c>
      <c r="BL793" s="2" t="s">
        <v>3009</v>
      </c>
      <c r="BM793" s="7"/>
      <c r="BN793" s="7"/>
      <c r="BO793" s="4"/>
      <c r="BP793" s="8"/>
      <c r="BQ793" s="4"/>
      <c r="BR793" s="8"/>
      <c r="BS793" s="7"/>
      <c r="BT793" s="7"/>
      <c r="BU793" s="2" t="s">
        <v>2528</v>
      </c>
      <c r="BV793" s="2" t="s">
        <v>97</v>
      </c>
      <c r="BW793" s="2" t="s">
        <v>100</v>
      </c>
      <c r="BX793" s="2" t="s">
        <v>100</v>
      </c>
      <c r="BY793" s="2" t="s">
        <v>113</v>
      </c>
      <c r="BZ793" s="2" t="s">
        <v>245</v>
      </c>
    </row>
    <row r="794">
      <c r="A794" s="2" t="s">
        <v>3010</v>
      </c>
      <c r="B794" s="2" t="s">
        <v>87</v>
      </c>
      <c r="C794" s="2" t="s">
        <v>2850</v>
      </c>
      <c r="D794" s="2" t="s">
        <v>803</v>
      </c>
      <c r="E794" s="2" t="s">
        <v>1532</v>
      </c>
      <c r="F794" s="2" t="s">
        <v>3002</v>
      </c>
      <c r="G794" s="2" t="s">
        <v>3002</v>
      </c>
      <c r="H794" s="2" t="s">
        <v>3002</v>
      </c>
      <c r="I794" s="2" t="s">
        <v>3003</v>
      </c>
      <c r="J794" s="2" t="s">
        <v>247</v>
      </c>
      <c r="K794" s="2" t="s">
        <v>3011</v>
      </c>
      <c r="L794" s="3">
        <v>51.84</v>
      </c>
      <c r="M794" s="3">
        <v>54.43</v>
      </c>
      <c r="N794" s="3">
        <v>104.99</v>
      </c>
      <c r="O794" s="2" t="s">
        <v>97</v>
      </c>
      <c r="P794" s="2" t="s">
        <v>950</v>
      </c>
      <c r="Q794" s="2" t="s">
        <v>99</v>
      </c>
      <c r="R794" s="2" t="s">
        <v>100</v>
      </c>
      <c r="S794" s="2" t="s">
        <v>3012</v>
      </c>
      <c r="T794" s="2" t="s">
        <v>280</v>
      </c>
      <c r="U794" s="2" t="s">
        <v>480</v>
      </c>
      <c r="V794" s="2" t="s">
        <v>319</v>
      </c>
      <c r="W794" s="2" t="s">
        <v>561</v>
      </c>
      <c r="X794" s="2" t="s">
        <v>3013</v>
      </c>
      <c r="Y794" s="2" t="s">
        <v>3014</v>
      </c>
      <c r="Z794" s="4">
        <v>333</v>
      </c>
      <c r="AA794" s="4">
        <f>=ROUNDDOWN(41.625,0)</f>
      </c>
      <c r="AB794" s="5">
        <v>8</v>
      </c>
      <c r="AC794" s="2" t="s">
        <v>3015</v>
      </c>
      <c r="AD794" s="4">
        <v>30</v>
      </c>
      <c r="AE794" s="4">
        <v>100</v>
      </c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224</v>
      </c>
      <c r="BK794" s="8">
        <v>12960.22</v>
      </c>
      <c r="BL794" s="2" t="s">
        <v>3016</v>
      </c>
      <c r="BM794" s="7"/>
      <c r="BN794" s="7"/>
      <c r="BO794" s="4"/>
      <c r="BP794" s="8"/>
      <c r="BQ794" s="4"/>
      <c r="BR794" s="8"/>
      <c r="BS794" s="7"/>
      <c r="BT794" s="7"/>
      <c r="BU794" s="2" t="s">
        <v>2528</v>
      </c>
      <c r="BV794" s="2" t="s">
        <v>97</v>
      </c>
      <c r="BW794" s="2" t="s">
        <v>100</v>
      </c>
      <c r="BX794" s="2" t="s">
        <v>100</v>
      </c>
      <c r="BY794" s="2" t="s">
        <v>113</v>
      </c>
      <c r="BZ794" s="2" t="s">
        <v>245</v>
      </c>
    </row>
    <row r="795">
      <c r="A795" s="2" t="s">
        <v>3017</v>
      </c>
      <c r="B795" s="2" t="s">
        <v>87</v>
      </c>
      <c r="C795" s="2" t="s">
        <v>2850</v>
      </c>
      <c r="D795" s="2" t="s">
        <v>803</v>
      </c>
      <c r="E795" s="2" t="s">
        <v>1532</v>
      </c>
      <c r="F795" s="2" t="s">
        <v>3002</v>
      </c>
      <c r="G795" s="2" t="s">
        <v>3002</v>
      </c>
      <c r="H795" s="2" t="s">
        <v>3002</v>
      </c>
      <c r="I795" s="2" t="s">
        <v>3003</v>
      </c>
      <c r="J795" s="2" t="s">
        <v>270</v>
      </c>
      <c r="K795" s="2" t="s">
        <v>3011</v>
      </c>
      <c r="L795" s="3">
        <v>67.5</v>
      </c>
      <c r="M795" s="3">
        <v>70.88</v>
      </c>
      <c r="N795" s="3">
        <v>134.99</v>
      </c>
      <c r="O795" s="2" t="s">
        <v>97</v>
      </c>
      <c r="P795" s="2" t="s">
        <v>950</v>
      </c>
      <c r="Q795" s="2" t="s">
        <v>99</v>
      </c>
      <c r="R795" s="2" t="s">
        <v>100</v>
      </c>
      <c r="S795" s="2" t="s">
        <v>3012</v>
      </c>
      <c r="T795" s="2" t="s">
        <v>280</v>
      </c>
      <c r="U795" s="2" t="s">
        <v>480</v>
      </c>
      <c r="V795" s="2" t="s">
        <v>319</v>
      </c>
      <c r="W795" s="2" t="s">
        <v>561</v>
      </c>
      <c r="X795" s="2" t="s">
        <v>3013</v>
      </c>
      <c r="Y795" s="2" t="s">
        <v>3014</v>
      </c>
      <c r="Z795" s="4">
        <v>275</v>
      </c>
      <c r="AA795" s="4">
        <f>=ROUNDDOWN(30.5555555555556,0)</f>
      </c>
      <c r="AB795" s="5">
        <v>9</v>
      </c>
      <c r="AC795" s="2" t="s">
        <v>1516</v>
      </c>
      <c r="AD795" s="4">
        <v>110</v>
      </c>
      <c r="AE795" s="4">
        <v>110</v>
      </c>
      <c r="AF795" s="6">
        <v>66</v>
      </c>
      <c r="AG795" s="6">
        <v>49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243</v>
      </c>
      <c r="BK795" s="8">
        <v>18203.79</v>
      </c>
      <c r="BL795" s="2" t="s">
        <v>3018</v>
      </c>
      <c r="BM795" s="7"/>
      <c r="BN795" s="7"/>
      <c r="BO795" s="4"/>
      <c r="BP795" s="8"/>
      <c r="BQ795" s="4"/>
      <c r="BR795" s="8"/>
      <c r="BS795" s="7"/>
      <c r="BT795" s="7"/>
      <c r="BU795" s="2" t="s">
        <v>2528</v>
      </c>
      <c r="BV795" s="2" t="s">
        <v>97</v>
      </c>
      <c r="BW795" s="2" t="s">
        <v>100</v>
      </c>
      <c r="BX795" s="2" t="s">
        <v>100</v>
      </c>
      <c r="BY795" s="2" t="s">
        <v>113</v>
      </c>
      <c r="BZ795" s="2" t="s">
        <v>245</v>
      </c>
    </row>
    <row r="796">
      <c r="A796" s="2" t="s">
        <v>3019</v>
      </c>
      <c r="B796" s="2" t="s">
        <v>87</v>
      </c>
      <c r="C796" s="2" t="s">
        <v>2850</v>
      </c>
      <c r="D796" s="2" t="s">
        <v>803</v>
      </c>
      <c r="E796" s="2" t="s">
        <v>1532</v>
      </c>
      <c r="F796" s="2" t="s">
        <v>3020</v>
      </c>
      <c r="G796" s="2" t="s">
        <v>3020</v>
      </c>
      <c r="H796" s="2" t="s">
        <v>3020</v>
      </c>
      <c r="I796" s="2" t="s">
        <v>3021</v>
      </c>
      <c r="J796" s="2" t="s">
        <v>247</v>
      </c>
      <c r="K796" s="2" t="s">
        <v>3022</v>
      </c>
      <c r="L796" s="3">
        <v>52.99</v>
      </c>
      <c r="M796" s="3">
        <v>55.64</v>
      </c>
      <c r="N796" s="3">
        <v>104.99</v>
      </c>
      <c r="O796" s="2" t="s">
        <v>97</v>
      </c>
      <c r="P796" s="2" t="s">
        <v>119</v>
      </c>
      <c r="Q796" s="2" t="s">
        <v>99</v>
      </c>
      <c r="R796" s="2" t="s">
        <v>100</v>
      </c>
      <c r="S796" s="2" t="s">
        <v>3023</v>
      </c>
      <c r="T796" s="2" t="s">
        <v>280</v>
      </c>
      <c r="U796" s="2" t="s">
        <v>480</v>
      </c>
      <c r="V796" s="2" t="s">
        <v>403</v>
      </c>
      <c r="W796" s="2" t="s">
        <v>1580</v>
      </c>
      <c r="X796" s="2" t="s">
        <v>339</v>
      </c>
      <c r="Y796" s="2" t="s">
        <v>790</v>
      </c>
      <c r="Z796" s="4">
        <v>444</v>
      </c>
      <c r="AA796" s="4">
        <f>=ROUNDDOWN(63.4285714285714,0)</f>
      </c>
      <c r="AB796" s="5">
        <v>7</v>
      </c>
      <c r="AC796" s="2" t="s">
        <v>100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178</v>
      </c>
      <c r="BK796" s="8">
        <v>10852.34</v>
      </c>
      <c r="BL796" s="2" t="s">
        <v>3024</v>
      </c>
      <c r="BM796" s="7"/>
      <c r="BN796" s="7"/>
      <c r="BO796" s="4"/>
      <c r="BP796" s="8"/>
      <c r="BQ796" s="4"/>
      <c r="BR796" s="8"/>
      <c r="BS796" s="7"/>
      <c r="BT796" s="7"/>
      <c r="BU796" s="2" t="s">
        <v>2528</v>
      </c>
      <c r="BV796" s="2" t="s">
        <v>97</v>
      </c>
      <c r="BW796" s="2" t="s">
        <v>100</v>
      </c>
      <c r="BX796" s="2" t="s">
        <v>100</v>
      </c>
      <c r="BY796" s="2" t="s">
        <v>113</v>
      </c>
      <c r="BZ796" s="2" t="s">
        <v>100</v>
      </c>
    </row>
    <row r="797">
      <c r="A797" s="2" t="s">
        <v>3025</v>
      </c>
      <c r="B797" s="2" t="s">
        <v>87</v>
      </c>
      <c r="C797" s="2" t="s">
        <v>2850</v>
      </c>
      <c r="D797" s="2" t="s">
        <v>803</v>
      </c>
      <c r="E797" s="2" t="s">
        <v>1532</v>
      </c>
      <c r="F797" s="2" t="s">
        <v>3020</v>
      </c>
      <c r="G797" s="2" t="s">
        <v>3020</v>
      </c>
      <c r="H797" s="2" t="s">
        <v>3020</v>
      </c>
      <c r="I797" s="2" t="s">
        <v>3021</v>
      </c>
      <c r="J797" s="2" t="s">
        <v>270</v>
      </c>
      <c r="K797" s="2" t="s">
        <v>3022</v>
      </c>
      <c r="L797" s="3">
        <v>69</v>
      </c>
      <c r="M797" s="3">
        <v>72.45</v>
      </c>
      <c r="N797" s="3">
        <v>134.99</v>
      </c>
      <c r="O797" s="2" t="s">
        <v>97</v>
      </c>
      <c r="P797" s="2" t="s">
        <v>119</v>
      </c>
      <c r="Q797" s="2" t="s">
        <v>99</v>
      </c>
      <c r="R797" s="2" t="s">
        <v>100</v>
      </c>
      <c r="S797" s="2" t="s">
        <v>3023</v>
      </c>
      <c r="T797" s="2" t="s">
        <v>280</v>
      </c>
      <c r="U797" s="2" t="s">
        <v>480</v>
      </c>
      <c r="V797" s="2" t="s">
        <v>403</v>
      </c>
      <c r="W797" s="2" t="s">
        <v>1580</v>
      </c>
      <c r="X797" s="2" t="s">
        <v>339</v>
      </c>
      <c r="Y797" s="2" t="s">
        <v>790</v>
      </c>
      <c r="Z797" s="4">
        <v>672</v>
      </c>
      <c r="AA797" s="4">
        <f>=ROUNDDOWN(74.6666666666667,0)</f>
      </c>
      <c r="AB797" s="5">
        <v>9</v>
      </c>
      <c r="AC797" s="2" t="s">
        <v>100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226</v>
      </c>
      <c r="BK797" s="8">
        <v>17448.92</v>
      </c>
      <c r="BL797" s="2" t="s">
        <v>3026</v>
      </c>
      <c r="BM797" s="7"/>
      <c r="BN797" s="7"/>
      <c r="BO797" s="4"/>
      <c r="BP797" s="8"/>
      <c r="BQ797" s="4"/>
      <c r="BR797" s="8"/>
      <c r="BS797" s="7"/>
      <c r="BT797" s="7"/>
      <c r="BU797" s="2" t="s">
        <v>2528</v>
      </c>
      <c r="BV797" s="2" t="s">
        <v>97</v>
      </c>
      <c r="BW797" s="2" t="s">
        <v>100</v>
      </c>
      <c r="BX797" s="2" t="s">
        <v>100</v>
      </c>
      <c r="BY797" s="2" t="s">
        <v>113</v>
      </c>
      <c r="BZ797" s="2" t="s">
        <v>245</v>
      </c>
    </row>
    <row r="798">
      <c r="A798" s="2" t="s">
        <v>3027</v>
      </c>
      <c r="B798" s="2" t="s">
        <v>87</v>
      </c>
      <c r="C798" s="2" t="s">
        <v>2850</v>
      </c>
      <c r="D798" s="2" t="s">
        <v>803</v>
      </c>
      <c r="E798" s="2" t="s">
        <v>1532</v>
      </c>
      <c r="F798" s="2" t="s">
        <v>3020</v>
      </c>
      <c r="G798" s="2" t="s">
        <v>3020</v>
      </c>
      <c r="H798" s="2" t="s">
        <v>3020</v>
      </c>
      <c r="I798" s="2" t="s">
        <v>3021</v>
      </c>
      <c r="J798" s="2" t="s">
        <v>247</v>
      </c>
      <c r="K798" s="2" t="s">
        <v>3028</v>
      </c>
      <c r="L798" s="3">
        <v>52.99</v>
      </c>
      <c r="M798" s="3">
        <v>55.64</v>
      </c>
      <c r="N798" s="3">
        <v>104.99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3029</v>
      </c>
      <c r="T798" s="2" t="s">
        <v>280</v>
      </c>
      <c r="U798" s="2" t="s">
        <v>480</v>
      </c>
      <c r="V798" s="2" t="s">
        <v>403</v>
      </c>
      <c r="W798" s="2" t="s">
        <v>1580</v>
      </c>
      <c r="X798" s="2" t="s">
        <v>339</v>
      </c>
      <c r="Y798" s="2" t="s">
        <v>3030</v>
      </c>
      <c r="Z798" s="4">
        <v>393</v>
      </c>
      <c r="AA798" s="4">
        <f>=ROUNDDOWN(24.5625,0)</f>
      </c>
      <c r="AB798" s="5">
        <v>16</v>
      </c>
      <c r="AC798" s="2" t="s">
        <v>3031</v>
      </c>
      <c r="AD798" s="4">
        <v>600</v>
      </c>
      <c r="AE798" s="4">
        <v>600</v>
      </c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462</v>
      </c>
      <c r="BK798" s="8">
        <v>28131.32</v>
      </c>
      <c r="BL798" s="2" t="s">
        <v>3032</v>
      </c>
      <c r="BM798" s="7"/>
      <c r="BN798" s="7"/>
      <c r="BO798" s="4"/>
      <c r="BP798" s="8"/>
      <c r="BQ798" s="4"/>
      <c r="BR798" s="8"/>
      <c r="BS798" s="7"/>
      <c r="BT798" s="7"/>
      <c r="BU798" s="2" t="s">
        <v>2528</v>
      </c>
      <c r="BV798" s="2" t="s">
        <v>97</v>
      </c>
      <c r="BW798" s="2" t="s">
        <v>100</v>
      </c>
      <c r="BX798" s="2" t="s">
        <v>100</v>
      </c>
      <c r="BY798" s="2" t="s">
        <v>113</v>
      </c>
      <c r="BZ798" s="2" t="s">
        <v>100</v>
      </c>
    </row>
    <row r="799">
      <c r="A799" s="2" t="s">
        <v>3033</v>
      </c>
      <c r="B799" s="2" t="s">
        <v>87</v>
      </c>
      <c r="C799" s="2" t="s">
        <v>2850</v>
      </c>
      <c r="D799" s="2" t="s">
        <v>803</v>
      </c>
      <c r="E799" s="2" t="s">
        <v>1532</v>
      </c>
      <c r="F799" s="2" t="s">
        <v>3020</v>
      </c>
      <c r="G799" s="2" t="s">
        <v>3020</v>
      </c>
      <c r="H799" s="2" t="s">
        <v>3020</v>
      </c>
      <c r="I799" s="2" t="s">
        <v>3021</v>
      </c>
      <c r="J799" s="2" t="s">
        <v>270</v>
      </c>
      <c r="K799" s="2" t="s">
        <v>3028</v>
      </c>
      <c r="L799" s="3">
        <v>69</v>
      </c>
      <c r="M799" s="3">
        <v>72.45</v>
      </c>
      <c r="N799" s="3">
        <v>134.99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3029</v>
      </c>
      <c r="T799" s="2" t="s">
        <v>280</v>
      </c>
      <c r="U799" s="2" t="s">
        <v>480</v>
      </c>
      <c r="V799" s="2" t="s">
        <v>403</v>
      </c>
      <c r="W799" s="2" t="s">
        <v>1580</v>
      </c>
      <c r="X799" s="2" t="s">
        <v>339</v>
      </c>
      <c r="Y799" s="2" t="s">
        <v>3030</v>
      </c>
      <c r="Z799" s="4">
        <v>5739</v>
      </c>
      <c r="AA799" s="4">
        <f>=ROUNDDOWN(251.710526315789,0)</f>
      </c>
      <c r="AB799" s="5">
        <v>22.8</v>
      </c>
      <c r="AC799" s="2" t="s">
        <v>100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1173</v>
      </c>
      <c r="BK799" s="8">
        <v>90610.47</v>
      </c>
      <c r="BL799" s="2" t="s">
        <v>3034</v>
      </c>
      <c r="BM799" s="7"/>
      <c r="BN799" s="7"/>
      <c r="BO799" s="4"/>
      <c r="BP799" s="8"/>
      <c r="BQ799" s="4"/>
      <c r="BR799" s="8"/>
      <c r="BS799" s="7"/>
      <c r="BT799" s="7"/>
      <c r="BU799" s="2" t="s">
        <v>2528</v>
      </c>
      <c r="BV799" s="2" t="s">
        <v>97</v>
      </c>
      <c r="BW799" s="2" t="s">
        <v>100</v>
      </c>
      <c r="BX799" s="2" t="s">
        <v>100</v>
      </c>
      <c r="BY799" s="2" t="s">
        <v>113</v>
      </c>
      <c r="BZ799" s="2" t="s">
        <v>100</v>
      </c>
    </row>
    <row r="800">
      <c r="A800" s="2" t="s">
        <v>3035</v>
      </c>
      <c r="B800" s="2" t="s">
        <v>87</v>
      </c>
      <c r="C800" s="2" t="s">
        <v>2850</v>
      </c>
      <c r="D800" s="2" t="s">
        <v>803</v>
      </c>
      <c r="E800" s="2" t="s">
        <v>1532</v>
      </c>
      <c r="F800" s="2" t="s">
        <v>3036</v>
      </c>
      <c r="G800" s="2" t="s">
        <v>3036</v>
      </c>
      <c r="H800" s="2" t="s">
        <v>3036</v>
      </c>
      <c r="I800" s="2" t="s">
        <v>3037</v>
      </c>
      <c r="J800" s="2" t="s">
        <v>247</v>
      </c>
      <c r="K800" s="2" t="s">
        <v>3038</v>
      </c>
      <c r="L800" s="3">
        <v>54.85</v>
      </c>
      <c r="M800" s="3">
        <v>57.59</v>
      </c>
      <c r="N800" s="3">
        <v>119.99</v>
      </c>
      <c r="O800" s="2" t="s">
        <v>97</v>
      </c>
      <c r="P800" s="2" t="s">
        <v>119</v>
      </c>
      <c r="Q800" s="2" t="s">
        <v>99</v>
      </c>
      <c r="R800" s="2" t="s">
        <v>100</v>
      </c>
      <c r="S800" s="2" t="s">
        <v>3039</v>
      </c>
      <c r="T800" s="2" t="s">
        <v>280</v>
      </c>
      <c r="U800" s="2" t="s">
        <v>480</v>
      </c>
      <c r="V800" s="2" t="s">
        <v>350</v>
      </c>
      <c r="W800" s="2" t="s">
        <v>3013</v>
      </c>
      <c r="X800" s="2" t="s">
        <v>183</v>
      </c>
      <c r="Y800" s="2" t="s">
        <v>2162</v>
      </c>
      <c r="Z800" s="4">
        <v>103</v>
      </c>
      <c r="AA800" s="4">
        <f>=ROUNDDOWN(12.875,0)</f>
      </c>
      <c r="AB800" s="5">
        <v>8</v>
      </c>
      <c r="AC800" s="2" t="s">
        <v>1035</v>
      </c>
      <c r="AD800" s="4">
        <v>70</v>
      </c>
      <c r="AE800" s="4">
        <v>300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104</v>
      </c>
      <c r="BK800" s="8">
        <v>6611.1</v>
      </c>
      <c r="BL800" s="2" t="s">
        <v>3040</v>
      </c>
      <c r="BM800" s="7"/>
      <c r="BN800" s="7"/>
      <c r="BO800" s="4"/>
      <c r="BP800" s="8"/>
      <c r="BQ800" s="4"/>
      <c r="BR800" s="8"/>
      <c r="BS800" s="7"/>
      <c r="BT800" s="7"/>
      <c r="BU800" s="2" t="s">
        <v>2528</v>
      </c>
      <c r="BV800" s="2" t="s">
        <v>97</v>
      </c>
      <c r="BW800" s="2" t="s">
        <v>100</v>
      </c>
      <c r="BX800" s="2" t="s">
        <v>100</v>
      </c>
      <c r="BY800" s="2" t="s">
        <v>113</v>
      </c>
      <c r="BZ800" s="2" t="s">
        <v>100</v>
      </c>
    </row>
    <row r="801">
      <c r="A801" s="2" t="s">
        <v>3041</v>
      </c>
      <c r="B801" s="2" t="s">
        <v>87</v>
      </c>
      <c r="C801" s="2" t="s">
        <v>2850</v>
      </c>
      <c r="D801" s="2" t="s">
        <v>803</v>
      </c>
      <c r="E801" s="2" t="s">
        <v>1532</v>
      </c>
      <c r="F801" s="2" t="s">
        <v>3036</v>
      </c>
      <c r="G801" s="2" t="s">
        <v>3036</v>
      </c>
      <c r="H801" s="2" t="s">
        <v>3036</v>
      </c>
      <c r="I801" s="2" t="s">
        <v>3037</v>
      </c>
      <c r="J801" s="2" t="s">
        <v>270</v>
      </c>
      <c r="K801" s="2" t="s">
        <v>3038</v>
      </c>
      <c r="L801" s="3">
        <v>64</v>
      </c>
      <c r="M801" s="3">
        <v>67.2</v>
      </c>
      <c r="N801" s="3">
        <v>139.99</v>
      </c>
      <c r="O801" s="2" t="s">
        <v>97</v>
      </c>
      <c r="P801" s="2" t="s">
        <v>119</v>
      </c>
      <c r="Q801" s="2" t="s">
        <v>99</v>
      </c>
      <c r="R801" s="2" t="s">
        <v>100</v>
      </c>
      <c r="S801" s="2" t="s">
        <v>3039</v>
      </c>
      <c r="T801" s="2" t="s">
        <v>280</v>
      </c>
      <c r="U801" s="2" t="s">
        <v>480</v>
      </c>
      <c r="V801" s="2" t="s">
        <v>350</v>
      </c>
      <c r="W801" s="2" t="s">
        <v>3013</v>
      </c>
      <c r="X801" s="2" t="s">
        <v>183</v>
      </c>
      <c r="Y801" s="2" t="s">
        <v>2162</v>
      </c>
      <c r="Z801" s="4">
        <v>45</v>
      </c>
      <c r="AA801" s="4">
        <f>=ROUNDDOWN(4.32692307692308,0)</f>
      </c>
      <c r="AB801" s="5">
        <v>10.4</v>
      </c>
      <c r="AC801" s="2" t="s">
        <v>1035</v>
      </c>
      <c r="AD801" s="4">
        <v>70</v>
      </c>
      <c r="AE801" s="4">
        <v>270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154</v>
      </c>
      <c r="BK801" s="8">
        <v>10945.48</v>
      </c>
      <c r="BL801" s="2" t="s">
        <v>1649</v>
      </c>
      <c r="BM801" s="7"/>
      <c r="BN801" s="7"/>
      <c r="BO801" s="4"/>
      <c r="BP801" s="8"/>
      <c r="BQ801" s="4"/>
      <c r="BR801" s="8"/>
      <c r="BS801" s="7"/>
      <c r="BT801" s="7"/>
      <c r="BU801" s="2" t="s">
        <v>2528</v>
      </c>
      <c r="BV801" s="2" t="s">
        <v>97</v>
      </c>
      <c r="BW801" s="2" t="s">
        <v>100</v>
      </c>
      <c r="BX801" s="2" t="s">
        <v>100</v>
      </c>
      <c r="BY801" s="2" t="s">
        <v>113</v>
      </c>
      <c r="BZ801" s="2" t="s">
        <v>100</v>
      </c>
    </row>
    <row r="802">
      <c r="A802" s="2" t="s">
        <v>3042</v>
      </c>
      <c r="B802" s="2" t="s">
        <v>87</v>
      </c>
      <c r="C802" s="2" t="s">
        <v>2850</v>
      </c>
      <c r="D802" s="2" t="s">
        <v>803</v>
      </c>
      <c r="E802" s="2" t="s">
        <v>1532</v>
      </c>
      <c r="F802" s="2" t="s">
        <v>3036</v>
      </c>
      <c r="G802" s="2" t="s">
        <v>3036</v>
      </c>
      <c r="H802" s="2" t="s">
        <v>3036</v>
      </c>
      <c r="I802" s="2" t="s">
        <v>3037</v>
      </c>
      <c r="J802" s="2" t="s">
        <v>247</v>
      </c>
      <c r="K802" s="2" t="s">
        <v>629</v>
      </c>
      <c r="L802" s="3">
        <v>54.85</v>
      </c>
      <c r="M802" s="3">
        <v>57.59</v>
      </c>
      <c r="N802" s="3">
        <v>119.99</v>
      </c>
      <c r="O802" s="2" t="s">
        <v>97</v>
      </c>
      <c r="P802" s="2" t="s">
        <v>119</v>
      </c>
      <c r="Q802" s="2" t="s">
        <v>99</v>
      </c>
      <c r="R802" s="2" t="s">
        <v>100</v>
      </c>
      <c r="S802" s="2" t="s">
        <v>3043</v>
      </c>
      <c r="T802" s="2" t="s">
        <v>280</v>
      </c>
      <c r="U802" s="2" t="s">
        <v>480</v>
      </c>
      <c r="V802" s="2" t="s">
        <v>350</v>
      </c>
      <c r="W802" s="2" t="s">
        <v>3013</v>
      </c>
      <c r="X802" s="2" t="s">
        <v>183</v>
      </c>
      <c r="Y802" s="2" t="s">
        <v>2162</v>
      </c>
      <c r="Z802" s="4">
        <v>172</v>
      </c>
      <c r="AA802" s="4">
        <f>=ROUNDDOWN(28.6666666666667,0)</f>
      </c>
      <c r="AB802" s="5">
        <v>6</v>
      </c>
      <c r="AC802" s="2" t="s">
        <v>2618</v>
      </c>
      <c r="AD802" s="4">
        <v>100</v>
      </c>
      <c r="AE802" s="4">
        <v>190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46</v>
      </c>
      <c r="BK802" s="8">
        <v>2822.15</v>
      </c>
      <c r="BL802" s="2" t="s">
        <v>3044</v>
      </c>
      <c r="BM802" s="7"/>
      <c r="BN802" s="7"/>
      <c r="BO802" s="4"/>
      <c r="BP802" s="8"/>
      <c r="BQ802" s="4"/>
      <c r="BR802" s="8"/>
      <c r="BS802" s="7"/>
      <c r="BT802" s="7"/>
      <c r="BU802" s="2" t="s">
        <v>2528</v>
      </c>
      <c r="BV802" s="2" t="s">
        <v>97</v>
      </c>
      <c r="BW802" s="2" t="s">
        <v>100</v>
      </c>
      <c r="BX802" s="2" t="s">
        <v>100</v>
      </c>
      <c r="BY802" s="2" t="s">
        <v>113</v>
      </c>
      <c r="BZ802" s="2" t="s">
        <v>100</v>
      </c>
    </row>
    <row r="803">
      <c r="A803" s="2" t="s">
        <v>3045</v>
      </c>
      <c r="B803" s="2" t="s">
        <v>87</v>
      </c>
      <c r="C803" s="2" t="s">
        <v>2850</v>
      </c>
      <c r="D803" s="2" t="s">
        <v>803</v>
      </c>
      <c r="E803" s="2" t="s">
        <v>1532</v>
      </c>
      <c r="F803" s="2" t="s">
        <v>3036</v>
      </c>
      <c r="G803" s="2" t="s">
        <v>3036</v>
      </c>
      <c r="H803" s="2" t="s">
        <v>3036</v>
      </c>
      <c r="I803" s="2" t="s">
        <v>3037</v>
      </c>
      <c r="J803" s="2" t="s">
        <v>270</v>
      </c>
      <c r="K803" s="2" t="s">
        <v>629</v>
      </c>
      <c r="L803" s="3">
        <v>64</v>
      </c>
      <c r="M803" s="3">
        <v>67.2</v>
      </c>
      <c r="N803" s="3">
        <v>139.99</v>
      </c>
      <c r="O803" s="2" t="s">
        <v>97</v>
      </c>
      <c r="P803" s="2" t="s">
        <v>119</v>
      </c>
      <c r="Q803" s="2" t="s">
        <v>99</v>
      </c>
      <c r="R803" s="2" t="s">
        <v>100</v>
      </c>
      <c r="S803" s="2" t="s">
        <v>3043</v>
      </c>
      <c r="T803" s="2" t="s">
        <v>280</v>
      </c>
      <c r="U803" s="2" t="s">
        <v>480</v>
      </c>
      <c r="V803" s="2" t="s">
        <v>350</v>
      </c>
      <c r="W803" s="2" t="s">
        <v>3013</v>
      </c>
      <c r="X803" s="2" t="s">
        <v>183</v>
      </c>
      <c r="Y803" s="2" t="s">
        <v>2132</v>
      </c>
      <c r="Z803" s="4">
        <v>133</v>
      </c>
      <c r="AA803" s="4">
        <f>=ROUNDDOWN(19,0)</f>
      </c>
      <c r="AB803" s="5">
        <v>7</v>
      </c>
      <c r="AC803" s="2" t="s">
        <v>2618</v>
      </c>
      <c r="AD803" s="4">
        <v>130</v>
      </c>
      <c r="AE803" s="4">
        <v>240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64</v>
      </c>
      <c r="BK803" s="8">
        <v>4531.32</v>
      </c>
      <c r="BL803" s="2" t="s">
        <v>3046</v>
      </c>
      <c r="BM803" s="7"/>
      <c r="BN803" s="7"/>
      <c r="BO803" s="4"/>
      <c r="BP803" s="8"/>
      <c r="BQ803" s="4"/>
      <c r="BR803" s="8"/>
      <c r="BS803" s="7"/>
      <c r="BT803" s="7"/>
      <c r="BU803" s="2" t="s">
        <v>2528</v>
      </c>
      <c r="BV803" s="2" t="s">
        <v>97</v>
      </c>
      <c r="BW803" s="2" t="s">
        <v>100</v>
      </c>
      <c r="BX803" s="2" t="s">
        <v>100</v>
      </c>
      <c r="BY803" s="2" t="s">
        <v>113</v>
      </c>
      <c r="BZ803" s="2" t="s">
        <v>100</v>
      </c>
    </row>
    <row r="804">
      <c r="A804" s="2" t="s">
        <v>3047</v>
      </c>
      <c r="B804" s="2" t="s">
        <v>87</v>
      </c>
      <c r="C804" s="2" t="s">
        <v>2850</v>
      </c>
      <c r="D804" s="2" t="s">
        <v>803</v>
      </c>
      <c r="E804" s="2" t="s">
        <v>1532</v>
      </c>
      <c r="F804" s="2" t="s">
        <v>3048</v>
      </c>
      <c r="G804" s="2" t="s">
        <v>3048</v>
      </c>
      <c r="H804" s="2" t="s">
        <v>3048</v>
      </c>
      <c r="I804" s="2" t="s">
        <v>3049</v>
      </c>
      <c r="J804" s="2" t="s">
        <v>247</v>
      </c>
      <c r="K804" s="2" t="s">
        <v>3050</v>
      </c>
      <c r="L804" s="3">
        <v>65</v>
      </c>
      <c r="M804" s="3">
        <v>68.25</v>
      </c>
      <c r="N804" s="3">
        <v>129.99</v>
      </c>
      <c r="O804" s="2" t="s">
        <v>97</v>
      </c>
      <c r="P804" s="2" t="s">
        <v>119</v>
      </c>
      <c r="Q804" s="2" t="s">
        <v>99</v>
      </c>
      <c r="R804" s="2" t="s">
        <v>100</v>
      </c>
      <c r="S804" s="2" t="s">
        <v>3051</v>
      </c>
      <c r="T804" s="2" t="s">
        <v>280</v>
      </c>
      <c r="U804" s="2" t="s">
        <v>480</v>
      </c>
      <c r="V804" s="2" t="s">
        <v>1150</v>
      </c>
      <c r="W804" s="2" t="s">
        <v>158</v>
      </c>
      <c r="X804" s="2" t="s">
        <v>183</v>
      </c>
      <c r="Y804" s="2" t="s">
        <v>779</v>
      </c>
      <c r="Z804" s="4">
        <v>209</v>
      </c>
      <c r="AA804" s="4">
        <f>=ROUNDDOWN(21.7708333333333,0)</f>
      </c>
      <c r="AB804" s="5">
        <v>9.6</v>
      </c>
      <c r="AC804" s="2" t="s">
        <v>977</v>
      </c>
      <c r="AD804" s="4">
        <v>100</v>
      </c>
      <c r="AE804" s="4">
        <v>240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205</v>
      </c>
      <c r="BK804" s="8">
        <v>15105.41</v>
      </c>
      <c r="BL804" s="2" t="s">
        <v>3052</v>
      </c>
      <c r="BM804" s="7"/>
      <c r="BN804" s="7"/>
      <c r="BO804" s="4"/>
      <c r="BP804" s="8"/>
      <c r="BQ804" s="4"/>
      <c r="BR804" s="8"/>
      <c r="BS804" s="7"/>
      <c r="BT804" s="7"/>
      <c r="BU804" s="2" t="s">
        <v>2528</v>
      </c>
      <c r="BV804" s="2" t="s">
        <v>97</v>
      </c>
      <c r="BW804" s="2" t="s">
        <v>100</v>
      </c>
      <c r="BX804" s="2" t="s">
        <v>100</v>
      </c>
      <c r="BY804" s="2" t="s">
        <v>113</v>
      </c>
      <c r="BZ804" s="2" t="s">
        <v>100</v>
      </c>
    </row>
    <row r="805">
      <c r="A805" s="2" t="s">
        <v>3053</v>
      </c>
      <c r="B805" s="2" t="s">
        <v>87</v>
      </c>
      <c r="C805" s="2" t="s">
        <v>2850</v>
      </c>
      <c r="D805" s="2" t="s">
        <v>803</v>
      </c>
      <c r="E805" s="2" t="s">
        <v>1532</v>
      </c>
      <c r="F805" s="2" t="s">
        <v>3048</v>
      </c>
      <c r="G805" s="2" t="s">
        <v>3048</v>
      </c>
      <c r="H805" s="2" t="s">
        <v>3048</v>
      </c>
      <c r="I805" s="2" t="s">
        <v>3049</v>
      </c>
      <c r="J805" s="2" t="s">
        <v>270</v>
      </c>
      <c r="K805" s="2" t="s">
        <v>3050</v>
      </c>
      <c r="L805" s="3">
        <v>80</v>
      </c>
      <c r="M805" s="3">
        <v>84</v>
      </c>
      <c r="N805" s="3">
        <v>159.99</v>
      </c>
      <c r="O805" s="2" t="s">
        <v>97</v>
      </c>
      <c r="P805" s="2" t="s">
        <v>119</v>
      </c>
      <c r="Q805" s="2" t="s">
        <v>99</v>
      </c>
      <c r="R805" s="2" t="s">
        <v>100</v>
      </c>
      <c r="S805" s="2" t="s">
        <v>3051</v>
      </c>
      <c r="T805" s="2" t="s">
        <v>280</v>
      </c>
      <c r="U805" s="2" t="s">
        <v>480</v>
      </c>
      <c r="V805" s="2" t="s">
        <v>1150</v>
      </c>
      <c r="W805" s="2" t="s">
        <v>158</v>
      </c>
      <c r="X805" s="2" t="s">
        <v>183</v>
      </c>
      <c r="Y805" s="2" t="s">
        <v>779</v>
      </c>
      <c r="Z805" s="4">
        <v>195</v>
      </c>
      <c r="AA805" s="4">
        <f>=ROUNDDOWN(19.5,0)</f>
      </c>
      <c r="AB805" s="5">
        <v>10</v>
      </c>
      <c r="AC805" s="2" t="s">
        <v>977</v>
      </c>
      <c r="AD805" s="4">
        <v>180</v>
      </c>
      <c r="AE805" s="4">
        <v>240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222</v>
      </c>
      <c r="BK805" s="8">
        <v>20336.43</v>
      </c>
      <c r="BL805" s="2" t="s">
        <v>3054</v>
      </c>
      <c r="BM805" s="7"/>
      <c r="BN805" s="7"/>
      <c r="BO805" s="4"/>
      <c r="BP805" s="8"/>
      <c r="BQ805" s="4"/>
      <c r="BR805" s="8"/>
      <c r="BS805" s="7"/>
      <c r="BT805" s="7"/>
      <c r="BU805" s="2" t="s">
        <v>2528</v>
      </c>
      <c r="BV805" s="2" t="s">
        <v>97</v>
      </c>
      <c r="BW805" s="2" t="s">
        <v>100</v>
      </c>
      <c r="BX805" s="2" t="s">
        <v>100</v>
      </c>
      <c r="BY805" s="2" t="s">
        <v>113</v>
      </c>
      <c r="BZ805" s="2" t="s">
        <v>100</v>
      </c>
    </row>
    <row r="806">
      <c r="A806" s="2" t="s">
        <v>3055</v>
      </c>
      <c r="B806" s="2" t="s">
        <v>87</v>
      </c>
      <c r="C806" s="2" t="s">
        <v>2850</v>
      </c>
      <c r="D806" s="2" t="s">
        <v>89</v>
      </c>
      <c r="E806" s="2" t="s">
        <v>2577</v>
      </c>
      <c r="F806" s="2" t="s">
        <v>2875</v>
      </c>
      <c r="G806" s="2" t="s">
        <v>2875</v>
      </c>
      <c r="H806" s="2" t="s">
        <v>2875</v>
      </c>
      <c r="I806" s="2" t="s">
        <v>3056</v>
      </c>
      <c r="J806" s="2" t="s">
        <v>247</v>
      </c>
      <c r="K806" s="2" t="s">
        <v>360</v>
      </c>
      <c r="L806" s="3">
        <v>52.8</v>
      </c>
      <c r="M806" s="3">
        <v>55.43</v>
      </c>
      <c r="N806" s="3">
        <v>109.99</v>
      </c>
      <c r="O806" s="2" t="s">
        <v>97</v>
      </c>
      <c r="P806" s="2" t="s">
        <v>119</v>
      </c>
      <c r="Q806" s="2" t="s">
        <v>99</v>
      </c>
      <c r="R806" s="2" t="s">
        <v>100</v>
      </c>
      <c r="S806" s="2" t="s">
        <v>2884</v>
      </c>
      <c r="T806" s="2" t="s">
        <v>280</v>
      </c>
      <c r="U806" s="2" t="s">
        <v>480</v>
      </c>
      <c r="V806" s="2" t="s">
        <v>2878</v>
      </c>
      <c r="W806" s="2" t="s">
        <v>1580</v>
      </c>
      <c r="X806" s="2" t="s">
        <v>3057</v>
      </c>
      <c r="Y806" s="2" t="s">
        <v>3058</v>
      </c>
      <c r="Z806" s="4">
        <v>248</v>
      </c>
      <c r="AA806" s="4">
        <f>=ROUNDDOWN(35.4285714285714,0)</f>
      </c>
      <c r="AB806" s="5">
        <v>7</v>
      </c>
      <c r="AC806" s="2" t="s">
        <v>326</v>
      </c>
      <c r="AD806" s="4">
        <v>40</v>
      </c>
      <c r="AE806" s="4">
        <v>40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158</v>
      </c>
      <c r="BK806" s="8">
        <v>8828.76</v>
      </c>
      <c r="BL806" s="2" t="s">
        <v>3059</v>
      </c>
      <c r="BM806" s="7"/>
      <c r="BN806" s="7"/>
      <c r="BO806" s="4"/>
      <c r="BP806" s="8"/>
      <c r="BQ806" s="4"/>
      <c r="BR806" s="8"/>
      <c r="BS806" s="7"/>
      <c r="BT806" s="7"/>
      <c r="BU806" s="2" t="s">
        <v>2528</v>
      </c>
      <c r="BV806" s="2" t="s">
        <v>97</v>
      </c>
      <c r="BW806" s="2" t="s">
        <v>100</v>
      </c>
      <c r="BX806" s="2" t="s">
        <v>100</v>
      </c>
      <c r="BY806" s="2" t="s">
        <v>113</v>
      </c>
      <c r="BZ806" s="2" t="s">
        <v>100</v>
      </c>
    </row>
    <row r="807">
      <c r="A807" s="2" t="s">
        <v>3060</v>
      </c>
      <c r="B807" s="2" t="s">
        <v>87</v>
      </c>
      <c r="C807" s="2" t="s">
        <v>2850</v>
      </c>
      <c r="D807" s="2" t="s">
        <v>89</v>
      </c>
      <c r="E807" s="2" t="s">
        <v>2577</v>
      </c>
      <c r="F807" s="2" t="s">
        <v>2875</v>
      </c>
      <c r="G807" s="2" t="s">
        <v>2875</v>
      </c>
      <c r="H807" s="2" t="s">
        <v>2875</v>
      </c>
      <c r="I807" s="2" t="s">
        <v>3056</v>
      </c>
      <c r="J807" s="2" t="s">
        <v>270</v>
      </c>
      <c r="K807" s="2" t="s">
        <v>360</v>
      </c>
      <c r="L807" s="3">
        <v>72.79</v>
      </c>
      <c r="M807" s="3">
        <v>76.43</v>
      </c>
      <c r="N807" s="3">
        <v>139.99</v>
      </c>
      <c r="O807" s="2" t="s">
        <v>97</v>
      </c>
      <c r="P807" s="2" t="s">
        <v>119</v>
      </c>
      <c r="Q807" s="2" t="s">
        <v>99</v>
      </c>
      <c r="R807" s="2" t="s">
        <v>100</v>
      </c>
      <c r="S807" s="2" t="s">
        <v>2884</v>
      </c>
      <c r="T807" s="2" t="s">
        <v>280</v>
      </c>
      <c r="U807" s="2" t="s">
        <v>480</v>
      </c>
      <c r="V807" s="2" t="s">
        <v>2878</v>
      </c>
      <c r="W807" s="2" t="s">
        <v>1580</v>
      </c>
      <c r="X807" s="2" t="s">
        <v>3057</v>
      </c>
      <c r="Y807" s="2" t="s">
        <v>3058</v>
      </c>
      <c r="Z807" s="4">
        <v>325</v>
      </c>
      <c r="AA807" s="4">
        <f>=ROUNDDOWN(46.4285714285714,0)</f>
      </c>
      <c r="AB807" s="5">
        <v>7</v>
      </c>
      <c r="AC807" s="2" t="s">
        <v>320</v>
      </c>
      <c r="AD807" s="4">
        <v>42</v>
      </c>
      <c r="AE807" s="4">
        <v>99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181</v>
      </c>
      <c r="BK807" s="8">
        <v>14182.89</v>
      </c>
      <c r="BL807" s="2" t="s">
        <v>3061</v>
      </c>
      <c r="BM807" s="7"/>
      <c r="BN807" s="7"/>
      <c r="BO807" s="4"/>
      <c r="BP807" s="8"/>
      <c r="BQ807" s="4"/>
      <c r="BR807" s="8"/>
      <c r="BS807" s="7"/>
      <c r="BT807" s="7"/>
      <c r="BU807" s="2" t="s">
        <v>2528</v>
      </c>
      <c r="BV807" s="2" t="s">
        <v>97</v>
      </c>
      <c r="BW807" s="2" t="s">
        <v>100</v>
      </c>
      <c r="BX807" s="2" t="s">
        <v>100</v>
      </c>
      <c r="BY807" s="2" t="s">
        <v>113</v>
      </c>
      <c r="BZ807" s="2" t="s">
        <v>100</v>
      </c>
    </row>
    <row r="808">
      <c r="A808" s="2" t="s">
        <v>3062</v>
      </c>
      <c r="B808" s="2" t="s">
        <v>87</v>
      </c>
      <c r="C808" s="2" t="s">
        <v>2850</v>
      </c>
      <c r="D808" s="2" t="s">
        <v>89</v>
      </c>
      <c r="E808" s="2" t="s">
        <v>2577</v>
      </c>
      <c r="F808" s="2" t="s">
        <v>3063</v>
      </c>
      <c r="G808" s="2" t="s">
        <v>3063</v>
      </c>
      <c r="H808" s="2" t="s">
        <v>3063</v>
      </c>
      <c r="I808" s="2" t="s">
        <v>3064</v>
      </c>
      <c r="J808" s="2" t="s">
        <v>247</v>
      </c>
      <c r="K808" s="2" t="s">
        <v>335</v>
      </c>
      <c r="L808" s="3">
        <v>63.7</v>
      </c>
      <c r="M808" s="3">
        <v>66.89</v>
      </c>
      <c r="N808" s="3">
        <v>129.99</v>
      </c>
      <c r="O808" s="2" t="s">
        <v>97</v>
      </c>
      <c r="P808" s="2" t="s">
        <v>119</v>
      </c>
      <c r="Q808" s="2" t="s">
        <v>99</v>
      </c>
      <c r="R808" s="2" t="s">
        <v>100</v>
      </c>
      <c r="S808" s="2" t="s">
        <v>3065</v>
      </c>
      <c r="T808" s="2" t="s">
        <v>280</v>
      </c>
      <c r="U808" s="2" t="s">
        <v>480</v>
      </c>
      <c r="V808" s="2" t="s">
        <v>3066</v>
      </c>
      <c r="W808" s="2" t="s">
        <v>561</v>
      </c>
      <c r="X808" s="2" t="s">
        <v>100</v>
      </c>
      <c r="Y808" s="2" t="s">
        <v>3067</v>
      </c>
      <c r="Z808" s="4">
        <v>177</v>
      </c>
      <c r="AA808" s="4">
        <f>=ROUNDDOWN(44.25,0)</f>
      </c>
      <c r="AB808" s="5">
        <v>4</v>
      </c>
      <c r="AC808" s="2" t="s">
        <v>100</v>
      </c>
      <c r="AD808" s="4"/>
      <c r="AE808" s="4"/>
      <c r="AF808" s="6">
        <v>64</v>
      </c>
      <c r="AG808" s="6"/>
      <c r="AH808" s="7">
        <v>0.8824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94</v>
      </c>
      <c r="BK808" s="8">
        <v>6442.2</v>
      </c>
      <c r="BL808" s="2" t="s">
        <v>3068</v>
      </c>
      <c r="BM808" s="7"/>
      <c r="BN808" s="7"/>
      <c r="BO808" s="4"/>
      <c r="BP808" s="8"/>
      <c r="BQ808" s="4"/>
      <c r="BR808" s="8"/>
      <c r="BS808" s="7"/>
      <c r="BT808" s="7"/>
      <c r="BU808" s="2" t="s">
        <v>2528</v>
      </c>
      <c r="BV808" s="2" t="s">
        <v>97</v>
      </c>
      <c r="BW808" s="2" t="s">
        <v>100</v>
      </c>
      <c r="BX808" s="2" t="s">
        <v>100</v>
      </c>
      <c r="BY808" s="2" t="s">
        <v>113</v>
      </c>
      <c r="BZ808" s="2" t="s">
        <v>100</v>
      </c>
    </row>
    <row r="809">
      <c r="A809" s="2" t="s">
        <v>3069</v>
      </c>
      <c r="B809" s="2" t="s">
        <v>87</v>
      </c>
      <c r="C809" s="2" t="s">
        <v>2850</v>
      </c>
      <c r="D809" s="2" t="s">
        <v>89</v>
      </c>
      <c r="E809" s="2" t="s">
        <v>2577</v>
      </c>
      <c r="F809" s="2" t="s">
        <v>3063</v>
      </c>
      <c r="G809" s="2" t="s">
        <v>3063</v>
      </c>
      <c r="H809" s="2" t="s">
        <v>3063</v>
      </c>
      <c r="I809" s="2" t="s">
        <v>3064</v>
      </c>
      <c r="J809" s="2" t="s">
        <v>270</v>
      </c>
      <c r="K809" s="2" t="s">
        <v>335</v>
      </c>
      <c r="L809" s="3">
        <v>73.5</v>
      </c>
      <c r="M809" s="3">
        <v>77.18</v>
      </c>
      <c r="N809" s="3">
        <v>149.99</v>
      </c>
      <c r="O809" s="2" t="s">
        <v>97</v>
      </c>
      <c r="P809" s="2" t="s">
        <v>119</v>
      </c>
      <c r="Q809" s="2" t="s">
        <v>99</v>
      </c>
      <c r="R809" s="2" t="s">
        <v>100</v>
      </c>
      <c r="S809" s="2" t="s">
        <v>3065</v>
      </c>
      <c r="T809" s="2" t="s">
        <v>280</v>
      </c>
      <c r="U809" s="2" t="s">
        <v>480</v>
      </c>
      <c r="V809" s="2" t="s">
        <v>3066</v>
      </c>
      <c r="W809" s="2" t="s">
        <v>561</v>
      </c>
      <c r="X809" s="2" t="s">
        <v>100</v>
      </c>
      <c r="Y809" s="2" t="s">
        <v>3067</v>
      </c>
      <c r="Z809" s="4">
        <v>265</v>
      </c>
      <c r="AA809" s="4">
        <f>=ROUNDDOWN(44.1666666666667,0)</f>
      </c>
      <c r="AB809" s="5">
        <v>6</v>
      </c>
      <c r="AC809" s="2" t="s">
        <v>100</v>
      </c>
      <c r="AD809" s="4"/>
      <c r="AE809" s="4"/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94</v>
      </c>
      <c r="BK809" s="8">
        <v>7434.26</v>
      </c>
      <c r="BL809" s="2" t="s">
        <v>3070</v>
      </c>
      <c r="BM809" s="7"/>
      <c r="BN809" s="7"/>
      <c r="BO809" s="4"/>
      <c r="BP809" s="8"/>
      <c r="BQ809" s="4"/>
      <c r="BR809" s="8"/>
      <c r="BS809" s="7"/>
      <c r="BT809" s="7"/>
      <c r="BU809" s="2" t="s">
        <v>2528</v>
      </c>
      <c r="BV809" s="2" t="s">
        <v>97</v>
      </c>
      <c r="BW809" s="2" t="s">
        <v>100</v>
      </c>
      <c r="BX809" s="2" t="s">
        <v>100</v>
      </c>
      <c r="BY809" s="2" t="s">
        <v>113</v>
      </c>
      <c r="BZ809" s="2" t="s">
        <v>100</v>
      </c>
    </row>
    <row r="810">
      <c r="A810" s="2" t="s">
        <v>3071</v>
      </c>
      <c r="B810" s="2" t="s">
        <v>87</v>
      </c>
      <c r="C810" s="2" t="s">
        <v>2850</v>
      </c>
      <c r="D810" s="2" t="s">
        <v>89</v>
      </c>
      <c r="E810" s="2" t="s">
        <v>2577</v>
      </c>
      <c r="F810" s="2" t="s">
        <v>3063</v>
      </c>
      <c r="G810" s="2" t="s">
        <v>3063</v>
      </c>
      <c r="H810" s="2" t="s">
        <v>3063</v>
      </c>
      <c r="I810" s="2" t="s">
        <v>3064</v>
      </c>
      <c r="J810" s="2" t="s">
        <v>247</v>
      </c>
      <c r="K810" s="2" t="s">
        <v>360</v>
      </c>
      <c r="L810" s="3">
        <v>63.7</v>
      </c>
      <c r="M810" s="3">
        <v>66.88</v>
      </c>
      <c r="N810" s="3">
        <v>129.99</v>
      </c>
      <c r="O810" s="2" t="s">
        <v>97</v>
      </c>
      <c r="P810" s="2" t="s">
        <v>119</v>
      </c>
      <c r="Q810" s="2" t="s">
        <v>99</v>
      </c>
      <c r="R810" s="2" t="s">
        <v>100</v>
      </c>
      <c r="S810" s="2" t="s">
        <v>3072</v>
      </c>
      <c r="T810" s="2" t="s">
        <v>280</v>
      </c>
      <c r="U810" s="2" t="s">
        <v>480</v>
      </c>
      <c r="V810" s="2" t="s">
        <v>3066</v>
      </c>
      <c r="W810" s="2" t="s">
        <v>561</v>
      </c>
      <c r="X810" s="2" t="s">
        <v>100</v>
      </c>
      <c r="Y810" s="2" t="s">
        <v>240</v>
      </c>
      <c r="Z810" s="4">
        <v>139</v>
      </c>
      <c r="AA810" s="4">
        <f>=ROUNDDOWN(27.8,0)</f>
      </c>
      <c r="AB810" s="5">
        <v>5</v>
      </c>
      <c r="AC810" s="2" t="s">
        <v>100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153</v>
      </c>
      <c r="BK810" s="8">
        <v>10319.54</v>
      </c>
      <c r="BL810" s="2" t="s">
        <v>3073</v>
      </c>
      <c r="BM810" s="7"/>
      <c r="BN810" s="7"/>
      <c r="BO810" s="4"/>
      <c r="BP810" s="8"/>
      <c r="BQ810" s="4"/>
      <c r="BR810" s="8"/>
      <c r="BS810" s="7"/>
      <c r="BT810" s="7"/>
      <c r="BU810" s="2" t="s">
        <v>2528</v>
      </c>
      <c r="BV810" s="2" t="s">
        <v>97</v>
      </c>
      <c r="BW810" s="2" t="s">
        <v>100</v>
      </c>
      <c r="BX810" s="2" t="s">
        <v>100</v>
      </c>
      <c r="BY810" s="2" t="s">
        <v>113</v>
      </c>
      <c r="BZ810" s="2" t="s">
        <v>245</v>
      </c>
    </row>
    <row r="811">
      <c r="A811" s="2" t="s">
        <v>3074</v>
      </c>
      <c r="B811" s="2" t="s">
        <v>87</v>
      </c>
      <c r="C811" s="2" t="s">
        <v>2850</v>
      </c>
      <c r="D811" s="2" t="s">
        <v>89</v>
      </c>
      <c r="E811" s="2" t="s">
        <v>2577</v>
      </c>
      <c r="F811" s="2" t="s">
        <v>3063</v>
      </c>
      <c r="G811" s="2" t="s">
        <v>3063</v>
      </c>
      <c r="H811" s="2" t="s">
        <v>3063</v>
      </c>
      <c r="I811" s="2" t="s">
        <v>3064</v>
      </c>
      <c r="J811" s="2" t="s">
        <v>270</v>
      </c>
      <c r="K811" s="2" t="s">
        <v>360</v>
      </c>
      <c r="L811" s="3">
        <v>73.5</v>
      </c>
      <c r="M811" s="3">
        <v>77.17</v>
      </c>
      <c r="N811" s="3">
        <v>149.99</v>
      </c>
      <c r="O811" s="2" t="s">
        <v>97</v>
      </c>
      <c r="P811" s="2" t="s">
        <v>119</v>
      </c>
      <c r="Q811" s="2" t="s">
        <v>99</v>
      </c>
      <c r="R811" s="2" t="s">
        <v>100</v>
      </c>
      <c r="S811" s="2" t="s">
        <v>3072</v>
      </c>
      <c r="T811" s="2" t="s">
        <v>280</v>
      </c>
      <c r="U811" s="2" t="s">
        <v>480</v>
      </c>
      <c r="V811" s="2" t="s">
        <v>3066</v>
      </c>
      <c r="W811" s="2" t="s">
        <v>561</v>
      </c>
      <c r="X811" s="2" t="s">
        <v>100</v>
      </c>
      <c r="Y811" s="2" t="s">
        <v>240</v>
      </c>
      <c r="Z811" s="4">
        <v>421</v>
      </c>
      <c r="AA811" s="4">
        <f>=ROUNDDOWN(42.1,0)</f>
      </c>
      <c r="AB811" s="5">
        <v>10</v>
      </c>
      <c r="AC811" s="2" t="s">
        <v>100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192</v>
      </c>
      <c r="BK811" s="8">
        <v>15009.06</v>
      </c>
      <c r="BL811" s="2" t="s">
        <v>780</v>
      </c>
      <c r="BM811" s="7"/>
      <c r="BN811" s="7"/>
      <c r="BO811" s="4"/>
      <c r="BP811" s="8"/>
      <c r="BQ811" s="4"/>
      <c r="BR811" s="8"/>
      <c r="BS811" s="7"/>
      <c r="BT811" s="7"/>
      <c r="BU811" s="2" t="s">
        <v>2528</v>
      </c>
      <c r="BV811" s="2" t="s">
        <v>97</v>
      </c>
      <c r="BW811" s="2" t="s">
        <v>100</v>
      </c>
      <c r="BX811" s="2" t="s">
        <v>100</v>
      </c>
      <c r="BY811" s="2" t="s">
        <v>113</v>
      </c>
      <c r="BZ811" s="2" t="s">
        <v>245</v>
      </c>
    </row>
    <row r="812">
      <c r="A812" s="2" t="s">
        <v>3075</v>
      </c>
      <c r="B812" s="2" t="s">
        <v>87</v>
      </c>
      <c r="C812" s="2" t="s">
        <v>2850</v>
      </c>
      <c r="D812" s="2" t="s">
        <v>1638</v>
      </c>
      <c r="E812" s="2" t="s">
        <v>1639</v>
      </c>
      <c r="F812" s="2" t="s">
        <v>2875</v>
      </c>
      <c r="G812" s="2" t="s">
        <v>2875</v>
      </c>
      <c r="H812" s="2" t="s">
        <v>2875</v>
      </c>
      <c r="I812" s="2" t="s">
        <v>3076</v>
      </c>
      <c r="J812" s="2" t="s">
        <v>247</v>
      </c>
      <c r="K812" s="2" t="s">
        <v>96</v>
      </c>
      <c r="L812" s="3">
        <v>44.1</v>
      </c>
      <c r="M812" s="3">
        <v>46.3</v>
      </c>
      <c r="N812" s="3">
        <v>89.99</v>
      </c>
      <c r="O812" s="2" t="s">
        <v>97</v>
      </c>
      <c r="P812" s="2" t="s">
        <v>119</v>
      </c>
      <c r="Q812" s="2" t="s">
        <v>99</v>
      </c>
      <c r="R812" s="2" t="s">
        <v>100</v>
      </c>
      <c r="S812" s="2" t="s">
        <v>2877</v>
      </c>
      <c r="T812" s="2" t="s">
        <v>280</v>
      </c>
      <c r="U812" s="2" t="s">
        <v>480</v>
      </c>
      <c r="V812" s="2" t="s">
        <v>2878</v>
      </c>
      <c r="W812" s="2" t="s">
        <v>1580</v>
      </c>
      <c r="X812" s="2" t="s">
        <v>378</v>
      </c>
      <c r="Y812" s="2" t="s">
        <v>240</v>
      </c>
      <c r="Z812" s="4">
        <v>170</v>
      </c>
      <c r="AA812" s="4">
        <f>=ROUNDDOWN(56.6666666666667,0)</f>
      </c>
      <c r="AB812" s="5">
        <v>3</v>
      </c>
      <c r="AC812" s="2" t="s">
        <v>100</v>
      </c>
      <c r="AD812" s="4"/>
      <c r="AE812" s="4"/>
      <c r="AF812" s="6">
        <v>65</v>
      </c>
      <c r="AG812" s="6">
        <v>73</v>
      </c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40</v>
      </c>
      <c r="BK812" s="8">
        <v>1953.33</v>
      </c>
      <c r="BL812" s="2" t="s">
        <v>3077</v>
      </c>
      <c r="BM812" s="7"/>
      <c r="BN812" s="7"/>
      <c r="BO812" s="4"/>
      <c r="BP812" s="8"/>
      <c r="BQ812" s="4"/>
      <c r="BR812" s="8"/>
      <c r="BS812" s="7"/>
      <c r="BT812" s="7"/>
      <c r="BU812" s="2" t="s">
        <v>2528</v>
      </c>
      <c r="BV812" s="2" t="s">
        <v>97</v>
      </c>
      <c r="BW812" s="2" t="s">
        <v>100</v>
      </c>
      <c r="BX812" s="2" t="s">
        <v>100</v>
      </c>
      <c r="BY812" s="2" t="s">
        <v>113</v>
      </c>
      <c r="BZ812" s="2" t="s">
        <v>100</v>
      </c>
    </row>
    <row r="813">
      <c r="A813" s="2" t="s">
        <v>3078</v>
      </c>
      <c r="B813" s="2" t="s">
        <v>87</v>
      </c>
      <c r="C813" s="2" t="s">
        <v>2850</v>
      </c>
      <c r="D813" s="2" t="s">
        <v>1638</v>
      </c>
      <c r="E813" s="2" t="s">
        <v>1639</v>
      </c>
      <c r="F813" s="2" t="s">
        <v>2875</v>
      </c>
      <c r="G813" s="2" t="s">
        <v>2875</v>
      </c>
      <c r="H813" s="2" t="s">
        <v>2875</v>
      </c>
      <c r="I813" s="2" t="s">
        <v>3076</v>
      </c>
      <c r="J813" s="2" t="s">
        <v>270</v>
      </c>
      <c r="K813" s="2" t="s">
        <v>96</v>
      </c>
      <c r="L813" s="3">
        <v>58.5</v>
      </c>
      <c r="M813" s="3">
        <v>61.42</v>
      </c>
      <c r="N813" s="3">
        <v>119.99</v>
      </c>
      <c r="O813" s="2" t="s">
        <v>97</v>
      </c>
      <c r="P813" s="2" t="s">
        <v>119</v>
      </c>
      <c r="Q813" s="2" t="s">
        <v>99</v>
      </c>
      <c r="R813" s="2" t="s">
        <v>100</v>
      </c>
      <c r="S813" s="2" t="s">
        <v>2877</v>
      </c>
      <c r="T813" s="2" t="s">
        <v>280</v>
      </c>
      <c r="U813" s="2" t="s">
        <v>480</v>
      </c>
      <c r="V813" s="2" t="s">
        <v>2878</v>
      </c>
      <c r="W813" s="2" t="s">
        <v>1580</v>
      </c>
      <c r="X813" s="2" t="s">
        <v>378</v>
      </c>
      <c r="Y813" s="2" t="s">
        <v>240</v>
      </c>
      <c r="Z813" s="4">
        <v>117</v>
      </c>
      <c r="AA813" s="4">
        <f>=ROUNDDOWN(58.5,0)</f>
      </c>
      <c r="AB813" s="5">
        <v>2</v>
      </c>
      <c r="AC813" s="2" t="s">
        <v>100</v>
      </c>
      <c r="AD813" s="4"/>
      <c r="AE813" s="4"/>
      <c r="AF813" s="6">
        <v>65</v>
      </c>
      <c r="AG813" s="6">
        <v>73</v>
      </c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47</v>
      </c>
      <c r="BK813" s="8">
        <v>3085.07</v>
      </c>
      <c r="BL813" s="2" t="s">
        <v>3079</v>
      </c>
      <c r="BM813" s="7"/>
      <c r="BN813" s="7"/>
      <c r="BO813" s="4"/>
      <c r="BP813" s="8"/>
      <c r="BQ813" s="4"/>
      <c r="BR813" s="8"/>
      <c r="BS813" s="7"/>
      <c r="BT813" s="7"/>
      <c r="BU813" s="2" t="s">
        <v>2528</v>
      </c>
      <c r="BV813" s="2" t="s">
        <v>97</v>
      </c>
      <c r="BW813" s="2" t="s">
        <v>100</v>
      </c>
      <c r="BX813" s="2" t="s">
        <v>100</v>
      </c>
      <c r="BY813" s="2" t="s">
        <v>113</v>
      </c>
      <c r="BZ813" s="2" t="s">
        <v>100</v>
      </c>
    </row>
    <row r="814">
      <c r="A814" s="2" t="s">
        <v>3080</v>
      </c>
      <c r="B814" s="2" t="s">
        <v>87</v>
      </c>
      <c r="C814" s="2" t="s">
        <v>2850</v>
      </c>
      <c r="D814" s="2" t="s">
        <v>1638</v>
      </c>
      <c r="E814" s="2" t="s">
        <v>1639</v>
      </c>
      <c r="F814" s="2" t="s">
        <v>2875</v>
      </c>
      <c r="G814" s="2" t="s">
        <v>2875</v>
      </c>
      <c r="H814" s="2" t="s">
        <v>2875</v>
      </c>
      <c r="I814" s="2" t="s">
        <v>3076</v>
      </c>
      <c r="J814" s="2" t="s">
        <v>247</v>
      </c>
      <c r="K814" s="2" t="s">
        <v>360</v>
      </c>
      <c r="L814" s="3">
        <v>44.1</v>
      </c>
      <c r="M814" s="3">
        <v>46.3</v>
      </c>
      <c r="N814" s="3">
        <v>89.99</v>
      </c>
      <c r="O814" s="2" t="s">
        <v>97</v>
      </c>
      <c r="P814" s="2" t="s">
        <v>119</v>
      </c>
      <c r="Q814" s="2" t="s">
        <v>99</v>
      </c>
      <c r="R814" s="2" t="s">
        <v>100</v>
      </c>
      <c r="S814" s="2" t="s">
        <v>2884</v>
      </c>
      <c r="T814" s="2" t="s">
        <v>280</v>
      </c>
      <c r="U814" s="2" t="s">
        <v>480</v>
      </c>
      <c r="V814" s="2" t="s">
        <v>2878</v>
      </c>
      <c r="W814" s="2" t="s">
        <v>1580</v>
      </c>
      <c r="X814" s="2" t="s">
        <v>378</v>
      </c>
      <c r="Y814" s="2" t="s">
        <v>240</v>
      </c>
      <c r="Z814" s="4">
        <v>371</v>
      </c>
      <c r="AA814" s="4">
        <f>=ROUNDDOWN(74.2,0)</f>
      </c>
      <c r="AB814" s="5">
        <v>5</v>
      </c>
      <c r="AC814" s="2" t="s">
        <v>271</v>
      </c>
      <c r="AD814" s="4">
        <v>80</v>
      </c>
      <c r="AE814" s="4">
        <v>80</v>
      </c>
      <c r="AF814" s="6">
        <v>65</v>
      </c>
      <c r="AG814" s="6">
        <v>73</v>
      </c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91</v>
      </c>
      <c r="BK814" s="8">
        <v>4654.43</v>
      </c>
      <c r="BL814" s="2" t="s">
        <v>420</v>
      </c>
      <c r="BM814" s="7"/>
      <c r="BN814" s="7"/>
      <c r="BO814" s="4"/>
      <c r="BP814" s="8"/>
      <c r="BQ814" s="4"/>
      <c r="BR814" s="8"/>
      <c r="BS814" s="7"/>
      <c r="BT814" s="7"/>
      <c r="BU814" s="2" t="s">
        <v>2528</v>
      </c>
      <c r="BV814" s="2" t="s">
        <v>97</v>
      </c>
      <c r="BW814" s="2" t="s">
        <v>100</v>
      </c>
      <c r="BX814" s="2" t="s">
        <v>100</v>
      </c>
      <c r="BY814" s="2" t="s">
        <v>113</v>
      </c>
      <c r="BZ814" s="2" t="s">
        <v>100</v>
      </c>
    </row>
    <row r="815">
      <c r="A815" s="2" t="s">
        <v>3081</v>
      </c>
      <c r="B815" s="2" t="s">
        <v>87</v>
      </c>
      <c r="C815" s="2" t="s">
        <v>2850</v>
      </c>
      <c r="D815" s="2" t="s">
        <v>1638</v>
      </c>
      <c r="E815" s="2" t="s">
        <v>1639</v>
      </c>
      <c r="F815" s="2" t="s">
        <v>2875</v>
      </c>
      <c r="G815" s="2" t="s">
        <v>2875</v>
      </c>
      <c r="H815" s="2" t="s">
        <v>2875</v>
      </c>
      <c r="I815" s="2" t="s">
        <v>3076</v>
      </c>
      <c r="J815" s="2" t="s">
        <v>270</v>
      </c>
      <c r="K815" s="2" t="s">
        <v>360</v>
      </c>
      <c r="L815" s="3">
        <v>58.5</v>
      </c>
      <c r="M815" s="3">
        <v>61.42</v>
      </c>
      <c r="N815" s="3">
        <v>119.99</v>
      </c>
      <c r="O815" s="2" t="s">
        <v>97</v>
      </c>
      <c r="P815" s="2" t="s">
        <v>119</v>
      </c>
      <c r="Q815" s="2" t="s">
        <v>99</v>
      </c>
      <c r="R815" s="2" t="s">
        <v>100</v>
      </c>
      <c r="S815" s="2" t="s">
        <v>2884</v>
      </c>
      <c r="T815" s="2" t="s">
        <v>280</v>
      </c>
      <c r="U815" s="2" t="s">
        <v>480</v>
      </c>
      <c r="V815" s="2" t="s">
        <v>2878</v>
      </c>
      <c r="W815" s="2" t="s">
        <v>1580</v>
      </c>
      <c r="X815" s="2" t="s">
        <v>378</v>
      </c>
      <c r="Y815" s="2" t="s">
        <v>240</v>
      </c>
      <c r="Z815" s="4">
        <v>142</v>
      </c>
      <c r="AA815" s="4">
        <f>=ROUNDDOWN(35.5,0)</f>
      </c>
      <c r="AB815" s="5">
        <v>4</v>
      </c>
      <c r="AC815" s="2" t="s">
        <v>271</v>
      </c>
      <c r="AD815" s="4">
        <v>50</v>
      </c>
      <c r="AE815" s="4">
        <v>50</v>
      </c>
      <c r="AF815" s="6">
        <v>65</v>
      </c>
      <c r="AG815" s="6">
        <v>73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57</v>
      </c>
      <c r="BK815" s="8">
        <v>3815.56</v>
      </c>
      <c r="BL815" s="2" t="s">
        <v>1241</v>
      </c>
      <c r="BM815" s="7"/>
      <c r="BN815" s="7"/>
      <c r="BO815" s="4"/>
      <c r="BP815" s="8"/>
      <c r="BQ815" s="4"/>
      <c r="BR815" s="8"/>
      <c r="BS815" s="7"/>
      <c r="BT815" s="7"/>
      <c r="BU815" s="2" t="s">
        <v>2528</v>
      </c>
      <c r="BV815" s="2" t="s">
        <v>97</v>
      </c>
      <c r="BW815" s="2" t="s">
        <v>100</v>
      </c>
      <c r="BX815" s="2" t="s">
        <v>100</v>
      </c>
      <c r="BY815" s="2" t="s">
        <v>113</v>
      </c>
      <c r="BZ815" s="2" t="s">
        <v>100</v>
      </c>
    </row>
    <row r="816">
      <c r="A816" s="2" t="s">
        <v>3082</v>
      </c>
      <c r="B816" s="2" t="s">
        <v>87</v>
      </c>
      <c r="C816" s="2" t="s">
        <v>2850</v>
      </c>
      <c r="D816" s="2" t="s">
        <v>1638</v>
      </c>
      <c r="E816" s="2" t="s">
        <v>1639</v>
      </c>
      <c r="F816" s="2" t="s">
        <v>2875</v>
      </c>
      <c r="G816" s="2" t="s">
        <v>2875</v>
      </c>
      <c r="H816" s="2" t="s">
        <v>2875</v>
      </c>
      <c r="I816" s="2" t="s">
        <v>3076</v>
      </c>
      <c r="J816" s="2" t="s">
        <v>247</v>
      </c>
      <c r="K816" s="2" t="s">
        <v>297</v>
      </c>
      <c r="L816" s="3">
        <v>44.1</v>
      </c>
      <c r="M816" s="3">
        <v>46.3</v>
      </c>
      <c r="N816" s="3">
        <v>89.99</v>
      </c>
      <c r="O816" s="2" t="s">
        <v>97</v>
      </c>
      <c r="P816" s="2" t="s">
        <v>119</v>
      </c>
      <c r="Q816" s="2" t="s">
        <v>99</v>
      </c>
      <c r="R816" s="2" t="s">
        <v>100</v>
      </c>
      <c r="S816" s="2" t="s">
        <v>2889</v>
      </c>
      <c r="T816" s="2" t="s">
        <v>280</v>
      </c>
      <c r="U816" s="2" t="s">
        <v>480</v>
      </c>
      <c r="V816" s="2" t="s">
        <v>2878</v>
      </c>
      <c r="W816" s="2" t="s">
        <v>1580</v>
      </c>
      <c r="X816" s="2" t="s">
        <v>378</v>
      </c>
      <c r="Y816" s="2" t="s">
        <v>240</v>
      </c>
      <c r="Z816" s="4">
        <v>196</v>
      </c>
      <c r="AA816" s="4">
        <f>=ROUNDDOWN(70,0)</f>
      </c>
      <c r="AB816" s="5">
        <v>2.8</v>
      </c>
      <c r="AC816" s="2" t="s">
        <v>100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83</v>
      </c>
      <c r="BK816" s="8">
        <v>4123.7</v>
      </c>
      <c r="BL816" s="2" t="s">
        <v>553</v>
      </c>
      <c r="BM816" s="7"/>
      <c r="BN816" s="7"/>
      <c r="BO816" s="4"/>
      <c r="BP816" s="8"/>
      <c r="BQ816" s="4"/>
      <c r="BR816" s="8"/>
      <c r="BS816" s="7"/>
      <c r="BT816" s="7"/>
      <c r="BU816" s="2" t="s">
        <v>2528</v>
      </c>
      <c r="BV816" s="2" t="s">
        <v>97</v>
      </c>
      <c r="BW816" s="2" t="s">
        <v>100</v>
      </c>
      <c r="BX816" s="2" t="s">
        <v>100</v>
      </c>
      <c r="BY816" s="2" t="s">
        <v>113</v>
      </c>
      <c r="BZ816" s="2" t="s">
        <v>100</v>
      </c>
    </row>
    <row r="817">
      <c r="A817" s="2" t="s">
        <v>3083</v>
      </c>
      <c r="B817" s="2" t="s">
        <v>87</v>
      </c>
      <c r="C817" s="2" t="s">
        <v>2850</v>
      </c>
      <c r="D817" s="2" t="s">
        <v>1638</v>
      </c>
      <c r="E817" s="2" t="s">
        <v>1639</v>
      </c>
      <c r="F817" s="2" t="s">
        <v>2875</v>
      </c>
      <c r="G817" s="2" t="s">
        <v>2875</v>
      </c>
      <c r="H817" s="2" t="s">
        <v>2875</v>
      </c>
      <c r="I817" s="2" t="s">
        <v>3076</v>
      </c>
      <c r="J817" s="2" t="s">
        <v>270</v>
      </c>
      <c r="K817" s="2" t="s">
        <v>297</v>
      </c>
      <c r="L817" s="3">
        <v>58.5</v>
      </c>
      <c r="M817" s="3">
        <v>61.42</v>
      </c>
      <c r="N817" s="3">
        <v>119.99</v>
      </c>
      <c r="O817" s="2" t="s">
        <v>97</v>
      </c>
      <c r="P817" s="2" t="s">
        <v>119</v>
      </c>
      <c r="Q817" s="2" t="s">
        <v>99</v>
      </c>
      <c r="R817" s="2" t="s">
        <v>100</v>
      </c>
      <c r="S817" s="2" t="s">
        <v>2889</v>
      </c>
      <c r="T817" s="2" t="s">
        <v>280</v>
      </c>
      <c r="U817" s="2" t="s">
        <v>480</v>
      </c>
      <c r="V817" s="2" t="s">
        <v>2878</v>
      </c>
      <c r="W817" s="2" t="s">
        <v>1580</v>
      </c>
      <c r="X817" s="2" t="s">
        <v>378</v>
      </c>
      <c r="Y817" s="2" t="s">
        <v>240</v>
      </c>
      <c r="Z817" s="4">
        <v>111</v>
      </c>
      <c r="AA817" s="4">
        <f>=ROUNDDOWN(55.5,0)</f>
      </c>
      <c r="AB817" s="5">
        <v>2</v>
      </c>
      <c r="AC817" s="2" t="s">
        <v>100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63</v>
      </c>
      <c r="BK817" s="8">
        <v>4053.46</v>
      </c>
      <c r="BL817" s="2" t="s">
        <v>529</v>
      </c>
      <c r="BM817" s="7"/>
      <c r="BN817" s="7"/>
      <c r="BO817" s="4"/>
      <c r="BP817" s="8"/>
      <c r="BQ817" s="4"/>
      <c r="BR817" s="8"/>
      <c r="BS817" s="7"/>
      <c r="BT817" s="7"/>
      <c r="BU817" s="2" t="s">
        <v>2528</v>
      </c>
      <c r="BV817" s="2" t="s">
        <v>97</v>
      </c>
      <c r="BW817" s="2" t="s">
        <v>100</v>
      </c>
      <c r="BX817" s="2" t="s">
        <v>100</v>
      </c>
      <c r="BY817" s="2" t="s">
        <v>113</v>
      </c>
      <c r="BZ817" s="2" t="s">
        <v>100</v>
      </c>
    </row>
    <row r="818">
      <c r="A818" s="2" t="s">
        <v>3084</v>
      </c>
      <c r="B818" s="2" t="s">
        <v>87</v>
      </c>
      <c r="C818" s="2" t="s">
        <v>2850</v>
      </c>
      <c r="D818" s="2" t="s">
        <v>1638</v>
      </c>
      <c r="E818" s="2" t="s">
        <v>1639</v>
      </c>
      <c r="F818" s="2" t="s">
        <v>2894</v>
      </c>
      <c r="G818" s="2" t="s">
        <v>2894</v>
      </c>
      <c r="H818" s="2" t="s">
        <v>2894</v>
      </c>
      <c r="I818" s="2" t="s">
        <v>1742</v>
      </c>
      <c r="J818" s="2" t="s">
        <v>247</v>
      </c>
      <c r="K818" s="2" t="s">
        <v>297</v>
      </c>
      <c r="L818" s="3">
        <v>64.79</v>
      </c>
      <c r="M818" s="3">
        <v>68.03</v>
      </c>
      <c r="N818" s="3">
        <v>131.99</v>
      </c>
      <c r="O818" s="2" t="s">
        <v>97</v>
      </c>
      <c r="P818" s="2" t="s">
        <v>950</v>
      </c>
      <c r="Q818" s="2" t="s">
        <v>99</v>
      </c>
      <c r="R818" s="2" t="s">
        <v>100</v>
      </c>
      <c r="S818" s="2" t="s">
        <v>2896</v>
      </c>
      <c r="T818" s="2" t="s">
        <v>280</v>
      </c>
      <c r="U818" s="2" t="s">
        <v>480</v>
      </c>
      <c r="V818" s="2" t="s">
        <v>403</v>
      </c>
      <c r="W818" s="2" t="s">
        <v>319</v>
      </c>
      <c r="X818" s="2" t="s">
        <v>2897</v>
      </c>
      <c r="Y818" s="2" t="s">
        <v>2898</v>
      </c>
      <c r="Z818" s="4">
        <v>223</v>
      </c>
      <c r="AA818" s="4">
        <f>=ROUNDDOWN(44.6,0)</f>
      </c>
      <c r="AB818" s="5">
        <v>5</v>
      </c>
      <c r="AC818" s="2" t="s">
        <v>100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107</v>
      </c>
      <c r="BK818" s="8">
        <v>7675.57</v>
      </c>
      <c r="BL818" s="2" t="s">
        <v>553</v>
      </c>
      <c r="BM818" s="7"/>
      <c r="BN818" s="7"/>
      <c r="BO818" s="4"/>
      <c r="BP818" s="8"/>
      <c r="BQ818" s="4"/>
      <c r="BR818" s="8"/>
      <c r="BS818" s="7"/>
      <c r="BT818" s="7"/>
      <c r="BU818" s="2" t="s">
        <v>2528</v>
      </c>
      <c r="BV818" s="2" t="s">
        <v>97</v>
      </c>
      <c r="BW818" s="2" t="s">
        <v>100</v>
      </c>
      <c r="BX818" s="2" t="s">
        <v>100</v>
      </c>
      <c r="BY818" s="2" t="s">
        <v>113</v>
      </c>
      <c r="BZ818" s="2" t="s">
        <v>100</v>
      </c>
    </row>
    <row r="819">
      <c r="A819" s="2" t="s">
        <v>3085</v>
      </c>
      <c r="B819" s="2" t="s">
        <v>87</v>
      </c>
      <c r="C819" s="2" t="s">
        <v>2850</v>
      </c>
      <c r="D819" s="2" t="s">
        <v>1638</v>
      </c>
      <c r="E819" s="2" t="s">
        <v>1639</v>
      </c>
      <c r="F819" s="2" t="s">
        <v>2894</v>
      </c>
      <c r="G819" s="2" t="s">
        <v>2894</v>
      </c>
      <c r="H819" s="2" t="s">
        <v>2894</v>
      </c>
      <c r="I819" s="2" t="s">
        <v>1742</v>
      </c>
      <c r="J819" s="2" t="s">
        <v>270</v>
      </c>
      <c r="K819" s="2" t="s">
        <v>297</v>
      </c>
      <c r="L819" s="3">
        <v>79.38</v>
      </c>
      <c r="M819" s="3">
        <v>83.35</v>
      </c>
      <c r="N819" s="3">
        <v>161.99</v>
      </c>
      <c r="O819" s="2" t="s">
        <v>97</v>
      </c>
      <c r="P819" s="2" t="s">
        <v>119</v>
      </c>
      <c r="Q819" s="2" t="s">
        <v>99</v>
      </c>
      <c r="R819" s="2" t="s">
        <v>100</v>
      </c>
      <c r="S819" s="2" t="s">
        <v>2896</v>
      </c>
      <c r="T819" s="2" t="s">
        <v>280</v>
      </c>
      <c r="U819" s="2" t="s">
        <v>480</v>
      </c>
      <c r="V819" s="2" t="s">
        <v>403</v>
      </c>
      <c r="W819" s="2" t="s">
        <v>319</v>
      </c>
      <c r="X819" s="2" t="s">
        <v>2897</v>
      </c>
      <c r="Y819" s="2" t="s">
        <v>2898</v>
      </c>
      <c r="Z819" s="4">
        <v>130</v>
      </c>
      <c r="AA819" s="4">
        <f>=ROUNDDOWN(32.5,0)</f>
      </c>
      <c r="AB819" s="5">
        <v>4</v>
      </c>
      <c r="AC819" s="2" t="s">
        <v>100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88</v>
      </c>
      <c r="BK819" s="8">
        <v>7662.34</v>
      </c>
      <c r="BL819" s="2" t="s">
        <v>689</v>
      </c>
      <c r="BM819" s="7"/>
      <c r="BN819" s="7"/>
      <c r="BO819" s="4"/>
      <c r="BP819" s="8"/>
      <c r="BQ819" s="4"/>
      <c r="BR819" s="8"/>
      <c r="BS819" s="7"/>
      <c r="BT819" s="7"/>
      <c r="BU819" s="2" t="s">
        <v>2528</v>
      </c>
      <c r="BV819" s="2" t="s">
        <v>97</v>
      </c>
      <c r="BW819" s="2" t="s">
        <v>100</v>
      </c>
      <c r="BX819" s="2" t="s">
        <v>100</v>
      </c>
      <c r="BY819" s="2" t="s">
        <v>113</v>
      </c>
      <c r="BZ819" s="2" t="s">
        <v>100</v>
      </c>
    </row>
    <row r="820">
      <c r="A820" s="2" t="s">
        <v>3086</v>
      </c>
      <c r="B820" s="2" t="s">
        <v>87</v>
      </c>
      <c r="C820" s="2" t="s">
        <v>2850</v>
      </c>
      <c r="D820" s="2" t="s">
        <v>1638</v>
      </c>
      <c r="E820" s="2" t="s">
        <v>1639</v>
      </c>
      <c r="F820" s="2" t="s">
        <v>2903</v>
      </c>
      <c r="G820" s="2" t="s">
        <v>2903</v>
      </c>
      <c r="H820" s="2" t="s">
        <v>2903</v>
      </c>
      <c r="I820" s="2" t="s">
        <v>3087</v>
      </c>
      <c r="J820" s="2" t="s">
        <v>247</v>
      </c>
      <c r="K820" s="2" t="s">
        <v>1614</v>
      </c>
      <c r="L820" s="3">
        <v>45.71</v>
      </c>
      <c r="M820" s="3">
        <v>48</v>
      </c>
      <c r="N820" s="3">
        <v>99.99</v>
      </c>
      <c r="O820" s="2" t="s">
        <v>97</v>
      </c>
      <c r="P820" s="2" t="s">
        <v>225</v>
      </c>
      <c r="Q820" s="2" t="s">
        <v>99</v>
      </c>
      <c r="R820" s="2" t="s">
        <v>100</v>
      </c>
      <c r="S820" s="2" t="s">
        <v>2905</v>
      </c>
      <c r="T820" s="2" t="s">
        <v>280</v>
      </c>
      <c r="U820" s="2" t="s">
        <v>480</v>
      </c>
      <c r="V820" s="2" t="s">
        <v>403</v>
      </c>
      <c r="W820" s="2" t="s">
        <v>561</v>
      </c>
      <c r="X820" s="2" t="s">
        <v>100</v>
      </c>
      <c r="Y820" s="2" t="s">
        <v>2906</v>
      </c>
      <c r="Z820" s="4">
        <v>256</v>
      </c>
      <c r="AA820" s="4">
        <f>=ROUNDDOWN(94.8148148148148,0)</f>
      </c>
      <c r="AB820" s="5">
        <v>2.7</v>
      </c>
      <c r="AC820" s="2" t="s">
        <v>100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29</v>
      </c>
      <c r="BK820" s="8">
        <v>1518.54</v>
      </c>
      <c r="BL820" s="2" t="s">
        <v>3088</v>
      </c>
      <c r="BM820" s="7"/>
      <c r="BN820" s="7"/>
      <c r="BO820" s="4"/>
      <c r="BP820" s="8"/>
      <c r="BQ820" s="4"/>
      <c r="BR820" s="8"/>
      <c r="BS820" s="7"/>
      <c r="BT820" s="7"/>
      <c r="BU820" s="2" t="s">
        <v>2528</v>
      </c>
      <c r="BV820" s="2" t="s">
        <v>97</v>
      </c>
      <c r="BW820" s="2" t="s">
        <v>100</v>
      </c>
      <c r="BX820" s="2" t="s">
        <v>100</v>
      </c>
      <c r="BY820" s="2" t="s">
        <v>113</v>
      </c>
      <c r="BZ820" s="2" t="s">
        <v>100</v>
      </c>
    </row>
    <row r="821">
      <c r="A821" s="2" t="s">
        <v>3089</v>
      </c>
      <c r="B821" s="2" t="s">
        <v>87</v>
      </c>
      <c r="C821" s="2" t="s">
        <v>2850</v>
      </c>
      <c r="D821" s="2" t="s">
        <v>1638</v>
      </c>
      <c r="E821" s="2" t="s">
        <v>1639</v>
      </c>
      <c r="F821" s="2" t="s">
        <v>2903</v>
      </c>
      <c r="G821" s="2" t="s">
        <v>2903</v>
      </c>
      <c r="H821" s="2" t="s">
        <v>2903</v>
      </c>
      <c r="I821" s="2" t="s">
        <v>3087</v>
      </c>
      <c r="J821" s="2" t="s">
        <v>270</v>
      </c>
      <c r="K821" s="2" t="s">
        <v>1614</v>
      </c>
      <c r="L821" s="3">
        <v>54.85</v>
      </c>
      <c r="M821" s="3">
        <v>57.59</v>
      </c>
      <c r="N821" s="3">
        <v>119.99</v>
      </c>
      <c r="O821" s="2" t="s">
        <v>97</v>
      </c>
      <c r="P821" s="2" t="s">
        <v>225</v>
      </c>
      <c r="Q821" s="2" t="s">
        <v>99</v>
      </c>
      <c r="R821" s="2" t="s">
        <v>100</v>
      </c>
      <c r="S821" s="2" t="s">
        <v>2905</v>
      </c>
      <c r="T821" s="2" t="s">
        <v>280</v>
      </c>
      <c r="U821" s="2" t="s">
        <v>480</v>
      </c>
      <c r="V821" s="2" t="s">
        <v>403</v>
      </c>
      <c r="W821" s="2" t="s">
        <v>561</v>
      </c>
      <c r="X821" s="2" t="s">
        <v>100</v>
      </c>
      <c r="Y821" s="2" t="s">
        <v>2906</v>
      </c>
      <c r="Z821" s="4">
        <v>210</v>
      </c>
      <c r="AA821" s="4">
        <f>=ROUNDDOWN(72.4137931034483,0)</f>
      </c>
      <c r="AB821" s="5">
        <v>2.9</v>
      </c>
      <c r="AC821" s="2" t="s">
        <v>100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/>
      <c r="BJ821" s="4">
        <v>29</v>
      </c>
      <c r="BK821" s="8">
        <v>1835.83</v>
      </c>
      <c r="BL821" s="2" t="s">
        <v>3090</v>
      </c>
      <c r="BM821" s="7"/>
      <c r="BN821" s="7"/>
      <c r="BO821" s="4"/>
      <c r="BP821" s="8"/>
      <c r="BQ821" s="4"/>
      <c r="BR821" s="8"/>
      <c r="BS821" s="7"/>
      <c r="BT821" s="7"/>
      <c r="BU821" s="2" t="s">
        <v>2528</v>
      </c>
      <c r="BV821" s="2" t="s">
        <v>97</v>
      </c>
      <c r="BW821" s="2" t="s">
        <v>100</v>
      </c>
      <c r="BX821" s="2" t="s">
        <v>100</v>
      </c>
      <c r="BY821" s="2" t="s">
        <v>113</v>
      </c>
      <c r="BZ821" s="2" t="s">
        <v>100</v>
      </c>
    </row>
    <row r="822">
      <c r="A822" s="2" t="s">
        <v>3091</v>
      </c>
      <c r="B822" s="2" t="s">
        <v>87</v>
      </c>
      <c r="C822" s="2" t="s">
        <v>2850</v>
      </c>
      <c r="D822" s="2" t="s">
        <v>1638</v>
      </c>
      <c r="E822" s="2" t="s">
        <v>1639</v>
      </c>
      <c r="F822" s="2" t="s">
        <v>2910</v>
      </c>
      <c r="G822" s="2" t="s">
        <v>2910</v>
      </c>
      <c r="H822" s="2" t="s">
        <v>2910</v>
      </c>
      <c r="I822" s="2" t="s">
        <v>1742</v>
      </c>
      <c r="J822" s="2" t="s">
        <v>247</v>
      </c>
      <c r="K822" s="2" t="s">
        <v>2911</v>
      </c>
      <c r="L822" s="3">
        <v>58.8</v>
      </c>
      <c r="M822" s="3">
        <v>61.73</v>
      </c>
      <c r="N822" s="3">
        <v>119.99</v>
      </c>
      <c r="O822" s="2" t="s">
        <v>97</v>
      </c>
      <c r="P822" s="2" t="s">
        <v>119</v>
      </c>
      <c r="Q822" s="2" t="s">
        <v>99</v>
      </c>
      <c r="R822" s="2" t="s">
        <v>100</v>
      </c>
      <c r="S822" s="2" t="s">
        <v>2912</v>
      </c>
      <c r="T822" s="2" t="s">
        <v>280</v>
      </c>
      <c r="U822" s="2" t="s">
        <v>480</v>
      </c>
      <c r="V822" s="2" t="s">
        <v>350</v>
      </c>
      <c r="W822" s="2" t="s">
        <v>319</v>
      </c>
      <c r="X822" s="2" t="s">
        <v>183</v>
      </c>
      <c r="Y822" s="2" t="s">
        <v>2913</v>
      </c>
      <c r="Z822" s="4">
        <v>185</v>
      </c>
      <c r="AA822" s="4">
        <f>=ROUNDDOWN(37,0)</f>
      </c>
      <c r="AB822" s="5">
        <v>5</v>
      </c>
      <c r="AC822" s="2" t="s">
        <v>100</v>
      </c>
      <c r="AD822" s="4"/>
      <c r="AE822" s="4"/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116</v>
      </c>
      <c r="BK822" s="8">
        <v>7445.56</v>
      </c>
      <c r="BL822" s="2" t="s">
        <v>1472</v>
      </c>
      <c r="BM822" s="7"/>
      <c r="BN822" s="7"/>
      <c r="BO822" s="4"/>
      <c r="BP822" s="8"/>
      <c r="BQ822" s="4"/>
      <c r="BR822" s="8"/>
      <c r="BS822" s="7"/>
      <c r="BT822" s="7"/>
      <c r="BU822" s="2" t="s">
        <v>2528</v>
      </c>
      <c r="BV822" s="2" t="s">
        <v>97</v>
      </c>
      <c r="BW822" s="2" t="s">
        <v>100</v>
      </c>
      <c r="BX822" s="2" t="s">
        <v>100</v>
      </c>
      <c r="BY822" s="2" t="s">
        <v>113</v>
      </c>
      <c r="BZ822" s="2" t="s">
        <v>100</v>
      </c>
    </row>
    <row r="823">
      <c r="A823" s="2" t="s">
        <v>3092</v>
      </c>
      <c r="B823" s="2" t="s">
        <v>87</v>
      </c>
      <c r="C823" s="2" t="s">
        <v>2850</v>
      </c>
      <c r="D823" s="2" t="s">
        <v>1638</v>
      </c>
      <c r="E823" s="2" t="s">
        <v>1639</v>
      </c>
      <c r="F823" s="2" t="s">
        <v>2910</v>
      </c>
      <c r="G823" s="2" t="s">
        <v>2910</v>
      </c>
      <c r="H823" s="2" t="s">
        <v>2910</v>
      </c>
      <c r="I823" s="2" t="s">
        <v>1742</v>
      </c>
      <c r="J823" s="2" t="s">
        <v>270</v>
      </c>
      <c r="K823" s="2" t="s">
        <v>2911</v>
      </c>
      <c r="L823" s="3">
        <v>73.5</v>
      </c>
      <c r="M823" s="3">
        <v>77.17</v>
      </c>
      <c r="N823" s="3">
        <v>149.99</v>
      </c>
      <c r="O823" s="2" t="s">
        <v>97</v>
      </c>
      <c r="P823" s="2" t="s">
        <v>119</v>
      </c>
      <c r="Q823" s="2" t="s">
        <v>99</v>
      </c>
      <c r="R823" s="2" t="s">
        <v>100</v>
      </c>
      <c r="S823" s="2" t="s">
        <v>2912</v>
      </c>
      <c r="T823" s="2" t="s">
        <v>280</v>
      </c>
      <c r="U823" s="2" t="s">
        <v>480</v>
      </c>
      <c r="V823" s="2" t="s">
        <v>350</v>
      </c>
      <c r="W823" s="2" t="s">
        <v>3013</v>
      </c>
      <c r="X823" s="2" t="s">
        <v>183</v>
      </c>
      <c r="Y823" s="2" t="s">
        <v>2913</v>
      </c>
      <c r="Z823" s="4">
        <v>205</v>
      </c>
      <c r="AA823" s="4">
        <f>=ROUNDDOWN(41,0)</f>
      </c>
      <c r="AB823" s="5">
        <v>5</v>
      </c>
      <c r="AC823" s="2" t="s">
        <v>100</v>
      </c>
      <c r="AD823" s="4"/>
      <c r="AE823" s="4"/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>
        <v>112</v>
      </c>
      <c r="BK823" s="8">
        <v>8972.93</v>
      </c>
      <c r="BL823" s="2" t="s">
        <v>1336</v>
      </c>
      <c r="BM823" s="7"/>
      <c r="BN823" s="7"/>
      <c r="BO823" s="4"/>
      <c r="BP823" s="8"/>
      <c r="BQ823" s="4"/>
      <c r="BR823" s="8"/>
      <c r="BS823" s="7"/>
      <c r="BT823" s="7"/>
      <c r="BU823" s="2" t="s">
        <v>2528</v>
      </c>
      <c r="BV823" s="2" t="s">
        <v>97</v>
      </c>
      <c r="BW823" s="2" t="s">
        <v>100</v>
      </c>
      <c r="BX823" s="2" t="s">
        <v>100</v>
      </c>
      <c r="BY823" s="2" t="s">
        <v>113</v>
      </c>
      <c r="BZ823" s="2" t="s">
        <v>100</v>
      </c>
    </row>
    <row r="824">
      <c r="A824" s="2" t="s">
        <v>3093</v>
      </c>
      <c r="B824" s="2" t="s">
        <v>87</v>
      </c>
      <c r="C824" s="2" t="s">
        <v>2850</v>
      </c>
      <c r="D824" s="2" t="s">
        <v>1638</v>
      </c>
      <c r="E824" s="2" t="s">
        <v>1639</v>
      </c>
      <c r="F824" s="2" t="s">
        <v>2918</v>
      </c>
      <c r="G824" s="2" t="s">
        <v>2918</v>
      </c>
      <c r="H824" s="2" t="s">
        <v>2918</v>
      </c>
      <c r="I824" s="2" t="s">
        <v>3094</v>
      </c>
      <c r="J824" s="2" t="s">
        <v>247</v>
      </c>
      <c r="K824" s="2" t="s">
        <v>432</v>
      </c>
      <c r="L824" s="3">
        <v>50.4</v>
      </c>
      <c r="M824" s="3">
        <v>52.91</v>
      </c>
      <c r="N824" s="3">
        <v>104.99</v>
      </c>
      <c r="O824" s="2" t="s">
        <v>97</v>
      </c>
      <c r="P824" s="2" t="s">
        <v>950</v>
      </c>
      <c r="Q824" s="2" t="s">
        <v>99</v>
      </c>
      <c r="R824" s="2" t="s">
        <v>100</v>
      </c>
      <c r="S824" s="2" t="s">
        <v>2920</v>
      </c>
      <c r="T824" s="2" t="s">
        <v>280</v>
      </c>
      <c r="U824" s="2" t="s">
        <v>480</v>
      </c>
      <c r="V824" s="2" t="s">
        <v>403</v>
      </c>
      <c r="W824" s="2" t="s">
        <v>561</v>
      </c>
      <c r="X824" s="2" t="s">
        <v>183</v>
      </c>
      <c r="Y824" s="2" t="s">
        <v>2921</v>
      </c>
      <c r="Z824" s="4">
        <v>556</v>
      </c>
      <c r="AA824" s="4">
        <f>=ROUNDDOWN(79.4285714285714,0)</f>
      </c>
      <c r="AB824" s="5">
        <v>7</v>
      </c>
      <c r="AC824" s="2" t="s">
        <v>100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/>
      <c r="BJ824" s="4">
        <v>154</v>
      </c>
      <c r="BK824" s="8">
        <v>8087.83</v>
      </c>
      <c r="BL824" s="2" t="s">
        <v>3095</v>
      </c>
      <c r="BM824" s="7"/>
      <c r="BN824" s="7"/>
      <c r="BO824" s="4"/>
      <c r="BP824" s="8"/>
      <c r="BQ824" s="4"/>
      <c r="BR824" s="8"/>
      <c r="BS824" s="7"/>
      <c r="BT824" s="7"/>
      <c r="BU824" s="2" t="s">
        <v>2528</v>
      </c>
      <c r="BV824" s="2" t="s">
        <v>97</v>
      </c>
      <c r="BW824" s="2" t="s">
        <v>100</v>
      </c>
      <c r="BX824" s="2" t="s">
        <v>100</v>
      </c>
      <c r="BY824" s="2" t="s">
        <v>113</v>
      </c>
      <c r="BZ824" s="2" t="s">
        <v>100</v>
      </c>
    </row>
    <row r="825">
      <c r="A825" s="2" t="s">
        <v>3096</v>
      </c>
      <c r="B825" s="2" t="s">
        <v>87</v>
      </c>
      <c r="C825" s="2" t="s">
        <v>2850</v>
      </c>
      <c r="D825" s="2" t="s">
        <v>1638</v>
      </c>
      <c r="E825" s="2" t="s">
        <v>1639</v>
      </c>
      <c r="F825" s="2" t="s">
        <v>2918</v>
      </c>
      <c r="G825" s="2" t="s">
        <v>2918</v>
      </c>
      <c r="H825" s="2" t="s">
        <v>2918</v>
      </c>
      <c r="I825" s="2" t="s">
        <v>3094</v>
      </c>
      <c r="J825" s="2" t="s">
        <v>270</v>
      </c>
      <c r="K825" s="2" t="s">
        <v>432</v>
      </c>
      <c r="L825" s="3">
        <v>66.15</v>
      </c>
      <c r="M825" s="3">
        <v>69.45</v>
      </c>
      <c r="N825" s="3">
        <v>134.99</v>
      </c>
      <c r="O825" s="2" t="s">
        <v>97</v>
      </c>
      <c r="P825" s="2" t="s">
        <v>950</v>
      </c>
      <c r="Q825" s="2" t="s">
        <v>99</v>
      </c>
      <c r="R825" s="2" t="s">
        <v>100</v>
      </c>
      <c r="S825" s="2" t="s">
        <v>2920</v>
      </c>
      <c r="T825" s="2" t="s">
        <v>280</v>
      </c>
      <c r="U825" s="2" t="s">
        <v>480</v>
      </c>
      <c r="V825" s="2" t="s">
        <v>403</v>
      </c>
      <c r="W825" s="2" t="s">
        <v>561</v>
      </c>
      <c r="X825" s="2" t="s">
        <v>183</v>
      </c>
      <c r="Y825" s="2" t="s">
        <v>2921</v>
      </c>
      <c r="Z825" s="4">
        <v>323</v>
      </c>
      <c r="AA825" s="4">
        <f>=ROUNDDOWN(64.6,0)</f>
      </c>
      <c r="AB825" s="5">
        <v>5</v>
      </c>
      <c r="AC825" s="2" t="s">
        <v>100</v>
      </c>
      <c r="AD825" s="4"/>
      <c r="AE825" s="4"/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94</v>
      </c>
      <c r="BK825" s="8">
        <v>6580.92</v>
      </c>
      <c r="BL825" s="2" t="s">
        <v>3097</v>
      </c>
      <c r="BM825" s="7"/>
      <c r="BN825" s="7"/>
      <c r="BO825" s="4"/>
      <c r="BP825" s="8"/>
      <c r="BQ825" s="4"/>
      <c r="BR825" s="8"/>
      <c r="BS825" s="7"/>
      <c r="BT825" s="7"/>
      <c r="BU825" s="2" t="s">
        <v>2528</v>
      </c>
      <c r="BV825" s="2" t="s">
        <v>97</v>
      </c>
      <c r="BW825" s="2" t="s">
        <v>100</v>
      </c>
      <c r="BX825" s="2" t="s">
        <v>100</v>
      </c>
      <c r="BY825" s="2" t="s">
        <v>113</v>
      </c>
      <c r="BZ825" s="2" t="s">
        <v>100</v>
      </c>
    </row>
    <row r="826">
      <c r="A826" s="2" t="s">
        <v>3098</v>
      </c>
      <c r="B826" s="2" t="s">
        <v>87</v>
      </c>
      <c r="C826" s="2" t="s">
        <v>2850</v>
      </c>
      <c r="D826" s="2" t="s">
        <v>1638</v>
      </c>
      <c r="E826" s="2" t="s">
        <v>1639</v>
      </c>
      <c r="F826" s="2" t="s">
        <v>2918</v>
      </c>
      <c r="G826" s="2" t="s">
        <v>2918</v>
      </c>
      <c r="H826" s="2" t="s">
        <v>2918</v>
      </c>
      <c r="I826" s="2" t="s">
        <v>3094</v>
      </c>
      <c r="J826" s="2" t="s">
        <v>247</v>
      </c>
      <c r="K826" s="2" t="s">
        <v>360</v>
      </c>
      <c r="L826" s="3">
        <v>50.4</v>
      </c>
      <c r="M826" s="3">
        <v>52.91</v>
      </c>
      <c r="N826" s="3">
        <v>104.99</v>
      </c>
      <c r="O826" s="2" t="s">
        <v>97</v>
      </c>
      <c r="P826" s="2" t="s">
        <v>119</v>
      </c>
      <c r="Q826" s="2" t="s">
        <v>99</v>
      </c>
      <c r="R826" s="2" t="s">
        <v>100</v>
      </c>
      <c r="S826" s="2" t="s">
        <v>2926</v>
      </c>
      <c r="T826" s="2" t="s">
        <v>280</v>
      </c>
      <c r="U826" s="2" t="s">
        <v>480</v>
      </c>
      <c r="V826" s="2" t="s">
        <v>403</v>
      </c>
      <c r="W826" s="2" t="s">
        <v>561</v>
      </c>
      <c r="X826" s="2" t="s">
        <v>183</v>
      </c>
      <c r="Y826" s="2" t="s">
        <v>2929</v>
      </c>
      <c r="Z826" s="4">
        <v>205</v>
      </c>
      <c r="AA826" s="4">
        <f>=ROUNDDOWN(68.3333333333333,0)</f>
      </c>
      <c r="AB826" s="5">
        <v>3</v>
      </c>
      <c r="AC826" s="2" t="s">
        <v>100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64</v>
      </c>
      <c r="BK826" s="8">
        <v>3307.45</v>
      </c>
      <c r="BL826" s="2" t="s">
        <v>3099</v>
      </c>
      <c r="BM826" s="7"/>
      <c r="BN826" s="7"/>
      <c r="BO826" s="4"/>
      <c r="BP826" s="8"/>
      <c r="BQ826" s="4"/>
      <c r="BR826" s="8"/>
      <c r="BS826" s="7"/>
      <c r="BT826" s="7"/>
      <c r="BU826" s="2" t="s">
        <v>2528</v>
      </c>
      <c r="BV826" s="2" t="s">
        <v>97</v>
      </c>
      <c r="BW826" s="2" t="s">
        <v>100</v>
      </c>
      <c r="BX826" s="2" t="s">
        <v>100</v>
      </c>
      <c r="BY826" s="2" t="s">
        <v>113</v>
      </c>
      <c r="BZ826" s="2" t="s">
        <v>100</v>
      </c>
    </row>
    <row r="827">
      <c r="A827" s="2" t="s">
        <v>3100</v>
      </c>
      <c r="B827" s="2" t="s">
        <v>87</v>
      </c>
      <c r="C827" s="2" t="s">
        <v>2850</v>
      </c>
      <c r="D827" s="2" t="s">
        <v>1638</v>
      </c>
      <c r="E827" s="2" t="s">
        <v>1639</v>
      </c>
      <c r="F827" s="2" t="s">
        <v>2918</v>
      </c>
      <c r="G827" s="2" t="s">
        <v>2918</v>
      </c>
      <c r="H827" s="2" t="s">
        <v>2918</v>
      </c>
      <c r="I827" s="2" t="s">
        <v>3094</v>
      </c>
      <c r="J827" s="2" t="s">
        <v>270</v>
      </c>
      <c r="K827" s="2" t="s">
        <v>360</v>
      </c>
      <c r="L827" s="3">
        <v>66.15</v>
      </c>
      <c r="M827" s="3">
        <v>69.45</v>
      </c>
      <c r="N827" s="3">
        <v>134.99</v>
      </c>
      <c r="O827" s="2" t="s">
        <v>97</v>
      </c>
      <c r="P827" s="2" t="s">
        <v>119</v>
      </c>
      <c r="Q827" s="2" t="s">
        <v>99</v>
      </c>
      <c r="R827" s="2" t="s">
        <v>100</v>
      </c>
      <c r="S827" s="2" t="s">
        <v>2926</v>
      </c>
      <c r="T827" s="2" t="s">
        <v>280</v>
      </c>
      <c r="U827" s="2" t="s">
        <v>480</v>
      </c>
      <c r="V827" s="2" t="s">
        <v>403</v>
      </c>
      <c r="W827" s="2" t="s">
        <v>561</v>
      </c>
      <c r="X827" s="2" t="s">
        <v>183</v>
      </c>
      <c r="Y827" s="2" t="s">
        <v>2927</v>
      </c>
      <c r="Z827" s="4">
        <v>189</v>
      </c>
      <c r="AA827" s="4">
        <f>=ROUNDDOWN(47.25,0)</f>
      </c>
      <c r="AB827" s="5">
        <v>4</v>
      </c>
      <c r="AC827" s="2" t="s">
        <v>100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69</v>
      </c>
      <c r="BK827" s="8">
        <v>4771.95</v>
      </c>
      <c r="BL827" s="2" t="s">
        <v>3101</v>
      </c>
      <c r="BM827" s="7"/>
      <c r="BN827" s="7"/>
      <c r="BO827" s="4"/>
      <c r="BP827" s="8"/>
      <c r="BQ827" s="4"/>
      <c r="BR827" s="8"/>
      <c r="BS827" s="7"/>
      <c r="BT827" s="7"/>
      <c r="BU827" s="2" t="s">
        <v>2528</v>
      </c>
      <c r="BV827" s="2" t="s">
        <v>97</v>
      </c>
      <c r="BW827" s="2" t="s">
        <v>100</v>
      </c>
      <c r="BX827" s="2" t="s">
        <v>100</v>
      </c>
      <c r="BY827" s="2" t="s">
        <v>113</v>
      </c>
      <c r="BZ827" s="2" t="s">
        <v>100</v>
      </c>
    </row>
    <row r="828">
      <c r="A828" s="2" t="s">
        <v>3102</v>
      </c>
      <c r="B828" s="2" t="s">
        <v>87</v>
      </c>
      <c r="C828" s="2" t="s">
        <v>2850</v>
      </c>
      <c r="D828" s="2" t="s">
        <v>1638</v>
      </c>
      <c r="E828" s="2" t="s">
        <v>1639</v>
      </c>
      <c r="F828" s="2" t="s">
        <v>2932</v>
      </c>
      <c r="G828" s="2" t="s">
        <v>2932</v>
      </c>
      <c r="H828" s="2" t="s">
        <v>2932</v>
      </c>
      <c r="I828" s="2" t="s">
        <v>3103</v>
      </c>
      <c r="J828" s="2" t="s">
        <v>247</v>
      </c>
      <c r="K828" s="2" t="s">
        <v>1148</v>
      </c>
      <c r="L828" s="3">
        <v>51.3</v>
      </c>
      <c r="M828" s="3">
        <v>53.86</v>
      </c>
      <c r="N828" s="3">
        <v>109.99</v>
      </c>
      <c r="O828" s="2" t="s">
        <v>97</v>
      </c>
      <c r="P828" s="2" t="s">
        <v>119</v>
      </c>
      <c r="Q828" s="2" t="s">
        <v>99</v>
      </c>
      <c r="R828" s="2" t="s">
        <v>100</v>
      </c>
      <c r="S828" s="2" t="s">
        <v>2934</v>
      </c>
      <c r="T828" s="2" t="s">
        <v>280</v>
      </c>
      <c r="U828" s="2" t="s">
        <v>480</v>
      </c>
      <c r="V828" s="2" t="s">
        <v>2935</v>
      </c>
      <c r="W828" s="2" t="s">
        <v>319</v>
      </c>
      <c r="X828" s="2" t="s">
        <v>100</v>
      </c>
      <c r="Y828" s="2" t="s">
        <v>3104</v>
      </c>
      <c r="Z828" s="4">
        <v>296</v>
      </c>
      <c r="AA828" s="4">
        <f>=ROUNDDOWN(49.3333333333333,0)</f>
      </c>
      <c r="AB828" s="5">
        <v>6</v>
      </c>
      <c r="AC828" s="2" t="s">
        <v>1546</v>
      </c>
      <c r="AD828" s="4">
        <v>50</v>
      </c>
      <c r="AE828" s="4">
        <v>50</v>
      </c>
      <c r="AF828" s="6">
        <v>69</v>
      </c>
      <c r="AG828" s="6">
        <v>77</v>
      </c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99</v>
      </c>
      <c r="BK828" s="8">
        <v>5755.12</v>
      </c>
      <c r="BL828" s="2" t="s">
        <v>3105</v>
      </c>
      <c r="BM828" s="7"/>
      <c r="BN828" s="7"/>
      <c r="BO828" s="4"/>
      <c r="BP828" s="8"/>
      <c r="BQ828" s="4"/>
      <c r="BR828" s="8"/>
      <c r="BS828" s="7"/>
      <c r="BT828" s="7"/>
      <c r="BU828" s="2" t="s">
        <v>2528</v>
      </c>
      <c r="BV828" s="2" t="s">
        <v>97</v>
      </c>
      <c r="BW828" s="2" t="s">
        <v>100</v>
      </c>
      <c r="BX828" s="2" t="s">
        <v>100</v>
      </c>
      <c r="BY828" s="2" t="s">
        <v>113</v>
      </c>
      <c r="BZ828" s="2" t="s">
        <v>100</v>
      </c>
    </row>
    <row r="829">
      <c r="A829" s="2" t="s">
        <v>3106</v>
      </c>
      <c r="B829" s="2" t="s">
        <v>87</v>
      </c>
      <c r="C829" s="2" t="s">
        <v>2850</v>
      </c>
      <c r="D829" s="2" t="s">
        <v>1638</v>
      </c>
      <c r="E829" s="2" t="s">
        <v>1639</v>
      </c>
      <c r="F829" s="2" t="s">
        <v>2932</v>
      </c>
      <c r="G829" s="2" t="s">
        <v>2932</v>
      </c>
      <c r="H829" s="2" t="s">
        <v>2932</v>
      </c>
      <c r="I829" s="2" t="s">
        <v>3103</v>
      </c>
      <c r="J829" s="2" t="s">
        <v>270</v>
      </c>
      <c r="K829" s="2" t="s">
        <v>1148</v>
      </c>
      <c r="L829" s="3">
        <v>65.55</v>
      </c>
      <c r="M829" s="3">
        <v>68.83</v>
      </c>
      <c r="N829" s="3">
        <v>139.99</v>
      </c>
      <c r="O829" s="2" t="s">
        <v>97</v>
      </c>
      <c r="P829" s="2" t="s">
        <v>119</v>
      </c>
      <c r="Q829" s="2" t="s">
        <v>99</v>
      </c>
      <c r="R829" s="2" t="s">
        <v>100</v>
      </c>
      <c r="S829" s="2" t="s">
        <v>2934</v>
      </c>
      <c r="T829" s="2" t="s">
        <v>280</v>
      </c>
      <c r="U829" s="2" t="s">
        <v>480</v>
      </c>
      <c r="V829" s="2" t="s">
        <v>2935</v>
      </c>
      <c r="W829" s="2" t="s">
        <v>319</v>
      </c>
      <c r="X829" s="2" t="s">
        <v>100</v>
      </c>
      <c r="Y829" s="2" t="s">
        <v>2938</v>
      </c>
      <c r="Z829" s="4">
        <v>452</v>
      </c>
      <c r="AA829" s="4">
        <f>=ROUNDDOWN(45.2,0)</f>
      </c>
      <c r="AB829" s="5">
        <v>10</v>
      </c>
      <c r="AC829" s="2" t="s">
        <v>1546</v>
      </c>
      <c r="AD829" s="4">
        <v>100</v>
      </c>
      <c r="AE829" s="4">
        <v>100</v>
      </c>
      <c r="AF829" s="6">
        <v>69</v>
      </c>
      <c r="AG829" s="6">
        <v>77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159</v>
      </c>
      <c r="BK829" s="8">
        <v>11534.25</v>
      </c>
      <c r="BL829" s="2" t="s">
        <v>3107</v>
      </c>
      <c r="BM829" s="7"/>
      <c r="BN829" s="7"/>
      <c r="BO829" s="4"/>
      <c r="BP829" s="8"/>
      <c r="BQ829" s="4"/>
      <c r="BR829" s="8"/>
      <c r="BS829" s="7"/>
      <c r="BT829" s="7"/>
      <c r="BU829" s="2" t="s">
        <v>2528</v>
      </c>
      <c r="BV829" s="2" t="s">
        <v>97</v>
      </c>
      <c r="BW829" s="2" t="s">
        <v>100</v>
      </c>
      <c r="BX829" s="2" t="s">
        <v>100</v>
      </c>
      <c r="BY829" s="2" t="s">
        <v>113</v>
      </c>
      <c r="BZ829" s="2" t="s">
        <v>100</v>
      </c>
    </row>
    <row r="830">
      <c r="A830" s="2" t="s">
        <v>3108</v>
      </c>
      <c r="B830" s="2" t="s">
        <v>87</v>
      </c>
      <c r="C830" s="2" t="s">
        <v>2850</v>
      </c>
      <c r="D830" s="2" t="s">
        <v>1638</v>
      </c>
      <c r="E830" s="2" t="s">
        <v>1639</v>
      </c>
      <c r="F830" s="2" t="s">
        <v>2932</v>
      </c>
      <c r="G830" s="2" t="s">
        <v>2932</v>
      </c>
      <c r="H830" s="2" t="s">
        <v>2932</v>
      </c>
      <c r="I830" s="2" t="s">
        <v>3103</v>
      </c>
      <c r="J830" s="2" t="s">
        <v>247</v>
      </c>
      <c r="K830" s="2" t="s">
        <v>1614</v>
      </c>
      <c r="L830" s="3">
        <v>51.3</v>
      </c>
      <c r="M830" s="3">
        <v>53.86</v>
      </c>
      <c r="N830" s="3">
        <v>109.99</v>
      </c>
      <c r="O830" s="2" t="s">
        <v>97</v>
      </c>
      <c r="P830" s="2" t="s">
        <v>372</v>
      </c>
      <c r="Q830" s="2" t="s">
        <v>99</v>
      </c>
      <c r="R830" s="2" t="s">
        <v>100</v>
      </c>
      <c r="S830" s="2" t="s">
        <v>2941</v>
      </c>
      <c r="T830" s="2" t="s">
        <v>280</v>
      </c>
      <c r="U830" s="2" t="s">
        <v>480</v>
      </c>
      <c r="V830" s="2" t="s">
        <v>2935</v>
      </c>
      <c r="W830" s="2" t="s">
        <v>319</v>
      </c>
      <c r="X830" s="2" t="s">
        <v>100</v>
      </c>
      <c r="Y830" s="2" t="s">
        <v>2942</v>
      </c>
      <c r="Z830" s="4">
        <v>833</v>
      </c>
      <c r="AA830" s="4">
        <f>=ROUNDDOWN(59.5,0)</f>
      </c>
      <c r="AB830" s="5">
        <v>14</v>
      </c>
      <c r="AC830" s="2" t="s">
        <v>320</v>
      </c>
      <c r="AD830" s="4">
        <v>150</v>
      </c>
      <c r="AE830" s="4">
        <v>240</v>
      </c>
      <c r="AF830" s="6">
        <v>69</v>
      </c>
      <c r="AG830" s="6">
        <v>77</v>
      </c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0.1444</v>
      </c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309</v>
      </c>
      <c r="BK830" s="8">
        <v>16973.01</v>
      </c>
      <c r="BL830" s="2" t="s">
        <v>3109</v>
      </c>
      <c r="BM830" s="7"/>
      <c r="BN830" s="7"/>
      <c r="BO830" s="4"/>
      <c r="BP830" s="8"/>
      <c r="BQ830" s="4"/>
      <c r="BR830" s="8"/>
      <c r="BS830" s="7"/>
      <c r="BT830" s="7"/>
      <c r="BU830" s="2" t="s">
        <v>2528</v>
      </c>
      <c r="BV830" s="2" t="s">
        <v>97</v>
      </c>
      <c r="BW830" s="2" t="s">
        <v>100</v>
      </c>
      <c r="BX830" s="2" t="s">
        <v>100</v>
      </c>
      <c r="BY830" s="2" t="s">
        <v>113</v>
      </c>
      <c r="BZ830" s="2" t="s">
        <v>100</v>
      </c>
    </row>
    <row r="831">
      <c r="A831" s="2" t="s">
        <v>3110</v>
      </c>
      <c r="B831" s="2" t="s">
        <v>87</v>
      </c>
      <c r="C831" s="2" t="s">
        <v>2850</v>
      </c>
      <c r="D831" s="2" t="s">
        <v>1638</v>
      </c>
      <c r="E831" s="2" t="s">
        <v>1639</v>
      </c>
      <c r="F831" s="2" t="s">
        <v>2932</v>
      </c>
      <c r="G831" s="2" t="s">
        <v>2932</v>
      </c>
      <c r="H831" s="2" t="s">
        <v>2932</v>
      </c>
      <c r="I831" s="2" t="s">
        <v>3103</v>
      </c>
      <c r="J831" s="2" t="s">
        <v>270</v>
      </c>
      <c r="K831" s="2" t="s">
        <v>1614</v>
      </c>
      <c r="L831" s="3">
        <v>65.55</v>
      </c>
      <c r="M831" s="3">
        <v>68.83</v>
      </c>
      <c r="N831" s="3">
        <v>139.99</v>
      </c>
      <c r="O831" s="2" t="s">
        <v>97</v>
      </c>
      <c r="P831" s="2" t="s">
        <v>372</v>
      </c>
      <c r="Q831" s="2" t="s">
        <v>99</v>
      </c>
      <c r="R831" s="2" t="s">
        <v>100</v>
      </c>
      <c r="S831" s="2" t="s">
        <v>2941</v>
      </c>
      <c r="T831" s="2" t="s">
        <v>280</v>
      </c>
      <c r="U831" s="2" t="s">
        <v>480</v>
      </c>
      <c r="V831" s="2" t="s">
        <v>2935</v>
      </c>
      <c r="W831" s="2" t="s">
        <v>319</v>
      </c>
      <c r="X831" s="2" t="s">
        <v>100</v>
      </c>
      <c r="Y831" s="2" t="s">
        <v>2942</v>
      </c>
      <c r="Z831" s="4">
        <v>839</v>
      </c>
      <c r="AA831" s="4">
        <f>=ROUNDDOWN(69.9166666666667,0)</f>
      </c>
      <c r="AB831" s="5">
        <v>12</v>
      </c>
      <c r="AC831" s="2" t="s">
        <v>100</v>
      </c>
      <c r="AD831" s="4"/>
      <c r="AE831" s="4"/>
      <c r="AF831" s="6">
        <v>69</v>
      </c>
      <c r="AG831" s="6">
        <v>77</v>
      </c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347</v>
      </c>
      <c r="BK831" s="8">
        <v>24756.22</v>
      </c>
      <c r="BL831" s="2" t="s">
        <v>3111</v>
      </c>
      <c r="BM831" s="7"/>
      <c r="BN831" s="7"/>
      <c r="BO831" s="4"/>
      <c r="BP831" s="8"/>
      <c r="BQ831" s="4"/>
      <c r="BR831" s="8"/>
      <c r="BS831" s="7"/>
      <c r="BT831" s="7"/>
      <c r="BU831" s="2" t="s">
        <v>2528</v>
      </c>
      <c r="BV831" s="2" t="s">
        <v>97</v>
      </c>
      <c r="BW831" s="2" t="s">
        <v>100</v>
      </c>
      <c r="BX831" s="2" t="s">
        <v>100</v>
      </c>
      <c r="BY831" s="2" t="s">
        <v>113</v>
      </c>
      <c r="BZ831" s="2" t="s">
        <v>100</v>
      </c>
    </row>
    <row r="832">
      <c r="A832" s="2" t="s">
        <v>3112</v>
      </c>
      <c r="B832" s="2" t="s">
        <v>87</v>
      </c>
      <c r="C832" s="2" t="s">
        <v>2850</v>
      </c>
      <c r="D832" s="2" t="s">
        <v>1638</v>
      </c>
      <c r="E832" s="2" t="s">
        <v>1639</v>
      </c>
      <c r="F832" s="2" t="s">
        <v>2932</v>
      </c>
      <c r="G832" s="2" t="s">
        <v>2932</v>
      </c>
      <c r="H832" s="2" t="s">
        <v>2932</v>
      </c>
      <c r="I832" s="2" t="s">
        <v>3103</v>
      </c>
      <c r="J832" s="2" t="s">
        <v>247</v>
      </c>
      <c r="K832" s="2" t="s">
        <v>2947</v>
      </c>
      <c r="L832" s="3">
        <v>51.3</v>
      </c>
      <c r="M832" s="3">
        <v>53.87</v>
      </c>
      <c r="N832" s="3">
        <v>109.99</v>
      </c>
      <c r="O832" s="2" t="s">
        <v>97</v>
      </c>
      <c r="P832" s="2" t="s">
        <v>2478</v>
      </c>
      <c r="Q832" s="2" t="s">
        <v>99</v>
      </c>
      <c r="R832" s="2" t="s">
        <v>100</v>
      </c>
      <c r="S832" s="2" t="s">
        <v>100</v>
      </c>
      <c r="T832" s="2" t="s">
        <v>280</v>
      </c>
      <c r="U832" s="2" t="s">
        <v>480</v>
      </c>
      <c r="V832" s="2" t="s">
        <v>2935</v>
      </c>
      <c r="W832" s="2" t="s">
        <v>561</v>
      </c>
      <c r="X832" s="2" t="s">
        <v>100</v>
      </c>
      <c r="Y832" s="2" t="s">
        <v>100</v>
      </c>
      <c r="Z832" s="4"/>
      <c r="AA832" s="4">
        <f>=ROUNDDOWN({0},0)</f>
      </c>
      <c r="AB832" s="5"/>
      <c r="AC832" s="2" t="s">
        <v>2948</v>
      </c>
      <c r="AD832" s="4">
        <v>116</v>
      </c>
      <c r="AE832" s="4">
        <v>230</v>
      </c>
      <c r="AF832" s="6"/>
      <c r="AG832" s="6"/>
      <c r="AH832" s="7"/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/>
      <c r="BK832" s="8"/>
      <c r="BL832" s="2" t="s">
        <v>100</v>
      </c>
      <c r="BM832" s="7"/>
      <c r="BN832" s="7"/>
      <c r="BO832" s="4"/>
      <c r="BP832" s="8"/>
      <c r="BQ832" s="4"/>
      <c r="BR832" s="8"/>
      <c r="BS832" s="7"/>
      <c r="BT832" s="7"/>
      <c r="BU832" s="2" t="s">
        <v>2528</v>
      </c>
      <c r="BV832" s="2" t="s">
        <v>97</v>
      </c>
      <c r="BW832" s="2" t="s">
        <v>100</v>
      </c>
      <c r="BX832" s="2" t="s">
        <v>100</v>
      </c>
      <c r="BY832" s="2" t="s">
        <v>113</v>
      </c>
      <c r="BZ832" s="2" t="s">
        <v>100</v>
      </c>
    </row>
    <row r="833">
      <c r="A833" s="2" t="s">
        <v>3113</v>
      </c>
      <c r="B833" s="2" t="s">
        <v>87</v>
      </c>
      <c r="C833" s="2" t="s">
        <v>2850</v>
      </c>
      <c r="D833" s="2" t="s">
        <v>1638</v>
      </c>
      <c r="E833" s="2" t="s">
        <v>1639</v>
      </c>
      <c r="F833" s="2" t="s">
        <v>2932</v>
      </c>
      <c r="G833" s="2" t="s">
        <v>2932</v>
      </c>
      <c r="H833" s="2" t="s">
        <v>2932</v>
      </c>
      <c r="I833" s="2" t="s">
        <v>3103</v>
      </c>
      <c r="J833" s="2" t="s">
        <v>270</v>
      </c>
      <c r="K833" s="2" t="s">
        <v>2947</v>
      </c>
      <c r="L833" s="3">
        <v>65.55</v>
      </c>
      <c r="M833" s="3">
        <v>68.83</v>
      </c>
      <c r="N833" s="3">
        <v>139.99</v>
      </c>
      <c r="O833" s="2" t="s">
        <v>97</v>
      </c>
      <c r="P833" s="2" t="s">
        <v>2478</v>
      </c>
      <c r="Q833" s="2" t="s">
        <v>99</v>
      </c>
      <c r="R833" s="2" t="s">
        <v>100</v>
      </c>
      <c r="S833" s="2" t="s">
        <v>100</v>
      </c>
      <c r="T833" s="2" t="s">
        <v>280</v>
      </c>
      <c r="U833" s="2" t="s">
        <v>480</v>
      </c>
      <c r="V833" s="2" t="s">
        <v>2935</v>
      </c>
      <c r="W833" s="2" t="s">
        <v>561</v>
      </c>
      <c r="X833" s="2" t="s">
        <v>100</v>
      </c>
      <c r="Y833" s="2" t="s">
        <v>100</v>
      </c>
      <c r="Z833" s="4"/>
      <c r="AA833" s="4">
        <f>=ROUNDDOWN({0},0)</f>
      </c>
      <c r="AB833" s="5"/>
      <c r="AC833" s="2" t="s">
        <v>2948</v>
      </c>
      <c r="AD833" s="4">
        <v>126</v>
      </c>
      <c r="AE833" s="4">
        <v>250</v>
      </c>
      <c r="AF833" s="6"/>
      <c r="AG833" s="6"/>
      <c r="AH833" s="7"/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/>
      <c r="BK833" s="8"/>
      <c r="BL833" s="2" t="s">
        <v>100</v>
      </c>
      <c r="BM833" s="7"/>
      <c r="BN833" s="7"/>
      <c r="BO833" s="4"/>
      <c r="BP833" s="8"/>
      <c r="BQ833" s="4"/>
      <c r="BR833" s="8"/>
      <c r="BS833" s="7"/>
      <c r="BT833" s="7"/>
      <c r="BU833" s="2" t="s">
        <v>2528</v>
      </c>
      <c r="BV833" s="2" t="s">
        <v>97</v>
      </c>
      <c r="BW833" s="2" t="s">
        <v>100</v>
      </c>
      <c r="BX833" s="2" t="s">
        <v>100</v>
      </c>
      <c r="BY833" s="2" t="s">
        <v>113</v>
      </c>
      <c r="BZ833" s="2" t="s">
        <v>100</v>
      </c>
    </row>
    <row r="834">
      <c r="A834" s="2" t="s">
        <v>3114</v>
      </c>
      <c r="B834" s="2" t="s">
        <v>87</v>
      </c>
      <c r="C834" s="2" t="s">
        <v>2850</v>
      </c>
      <c r="D834" s="2" t="s">
        <v>1638</v>
      </c>
      <c r="E834" s="2" t="s">
        <v>1639</v>
      </c>
      <c r="F834" s="2" t="s">
        <v>2932</v>
      </c>
      <c r="G834" s="2" t="s">
        <v>2932</v>
      </c>
      <c r="H834" s="2" t="s">
        <v>2932</v>
      </c>
      <c r="I834" s="2" t="s">
        <v>3103</v>
      </c>
      <c r="J834" s="2" t="s">
        <v>247</v>
      </c>
      <c r="K834" s="2" t="s">
        <v>2951</v>
      </c>
      <c r="L834" s="3">
        <v>51.3</v>
      </c>
      <c r="M834" s="3">
        <v>53.86</v>
      </c>
      <c r="N834" s="3">
        <v>109.99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2952</v>
      </c>
      <c r="T834" s="2" t="s">
        <v>280</v>
      </c>
      <c r="U834" s="2" t="s">
        <v>480</v>
      </c>
      <c r="V834" s="2" t="s">
        <v>2935</v>
      </c>
      <c r="W834" s="2" t="s">
        <v>319</v>
      </c>
      <c r="X834" s="2" t="s">
        <v>100</v>
      </c>
      <c r="Y834" s="2" t="s">
        <v>2953</v>
      </c>
      <c r="Z834" s="4">
        <v>432</v>
      </c>
      <c r="AA834" s="4">
        <f>=ROUNDDOWN(43.2,0)</f>
      </c>
      <c r="AB834" s="5">
        <v>10</v>
      </c>
      <c r="AC834" s="2" t="s">
        <v>542</v>
      </c>
      <c r="AD834" s="4">
        <v>50</v>
      </c>
      <c r="AE834" s="4">
        <v>50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205</v>
      </c>
      <c r="BK834" s="8">
        <v>11107.25</v>
      </c>
      <c r="BL834" s="2" t="s">
        <v>3115</v>
      </c>
      <c r="BM834" s="7"/>
      <c r="BN834" s="7"/>
      <c r="BO834" s="4"/>
      <c r="BP834" s="8"/>
      <c r="BQ834" s="4"/>
      <c r="BR834" s="8"/>
      <c r="BS834" s="7"/>
      <c r="BT834" s="7"/>
      <c r="BU834" s="2" t="s">
        <v>2528</v>
      </c>
      <c r="BV834" s="2" t="s">
        <v>97</v>
      </c>
      <c r="BW834" s="2" t="s">
        <v>100</v>
      </c>
      <c r="BX834" s="2" t="s">
        <v>100</v>
      </c>
      <c r="BY834" s="2" t="s">
        <v>113</v>
      </c>
      <c r="BZ834" s="2" t="s">
        <v>100</v>
      </c>
    </row>
    <row r="835">
      <c r="A835" s="2" t="s">
        <v>3116</v>
      </c>
      <c r="B835" s="2" t="s">
        <v>87</v>
      </c>
      <c r="C835" s="2" t="s">
        <v>2850</v>
      </c>
      <c r="D835" s="2" t="s">
        <v>1638</v>
      </c>
      <c r="E835" s="2" t="s">
        <v>1639</v>
      </c>
      <c r="F835" s="2" t="s">
        <v>2932</v>
      </c>
      <c r="G835" s="2" t="s">
        <v>2932</v>
      </c>
      <c r="H835" s="2" t="s">
        <v>2932</v>
      </c>
      <c r="I835" s="2" t="s">
        <v>3103</v>
      </c>
      <c r="J835" s="2" t="s">
        <v>270</v>
      </c>
      <c r="K835" s="2" t="s">
        <v>2951</v>
      </c>
      <c r="L835" s="3">
        <v>65.55</v>
      </c>
      <c r="M835" s="3">
        <v>68.83</v>
      </c>
      <c r="N835" s="3">
        <v>139.99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2952</v>
      </c>
      <c r="T835" s="2" t="s">
        <v>280</v>
      </c>
      <c r="U835" s="2" t="s">
        <v>480</v>
      </c>
      <c r="V835" s="2" t="s">
        <v>2935</v>
      </c>
      <c r="W835" s="2" t="s">
        <v>319</v>
      </c>
      <c r="X835" s="2" t="s">
        <v>100</v>
      </c>
      <c r="Y835" s="2" t="s">
        <v>2953</v>
      </c>
      <c r="Z835" s="4">
        <v>364</v>
      </c>
      <c r="AA835" s="4">
        <f>=ROUNDDOWN(40.4444444444444,0)</f>
      </c>
      <c r="AB835" s="5">
        <v>9</v>
      </c>
      <c r="AC835" s="2" t="s">
        <v>542</v>
      </c>
      <c r="AD835" s="4">
        <v>50</v>
      </c>
      <c r="AE835" s="4">
        <v>50</v>
      </c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>
        <v>210</v>
      </c>
      <c r="BK835" s="8">
        <v>15168.73</v>
      </c>
      <c r="BL835" s="2" t="s">
        <v>3117</v>
      </c>
      <c r="BM835" s="7"/>
      <c r="BN835" s="7"/>
      <c r="BO835" s="4"/>
      <c r="BP835" s="8"/>
      <c r="BQ835" s="4"/>
      <c r="BR835" s="8"/>
      <c r="BS835" s="7"/>
      <c r="BT835" s="7"/>
      <c r="BU835" s="2" t="s">
        <v>2528</v>
      </c>
      <c r="BV835" s="2" t="s">
        <v>97</v>
      </c>
      <c r="BW835" s="2" t="s">
        <v>100</v>
      </c>
      <c r="BX835" s="2" t="s">
        <v>100</v>
      </c>
      <c r="BY835" s="2" t="s">
        <v>113</v>
      </c>
      <c r="BZ835" s="2" t="s">
        <v>100</v>
      </c>
    </row>
    <row r="836">
      <c r="A836" s="2" t="s">
        <v>3118</v>
      </c>
      <c r="B836" s="2" t="s">
        <v>87</v>
      </c>
      <c r="C836" s="2" t="s">
        <v>2850</v>
      </c>
      <c r="D836" s="2" t="s">
        <v>1638</v>
      </c>
      <c r="E836" s="2" t="s">
        <v>1639</v>
      </c>
      <c r="F836" s="2" t="s">
        <v>2958</v>
      </c>
      <c r="G836" s="2" t="s">
        <v>2958</v>
      </c>
      <c r="H836" s="2" t="s">
        <v>2958</v>
      </c>
      <c r="I836" s="2" t="s">
        <v>3119</v>
      </c>
      <c r="J836" s="2" t="s">
        <v>247</v>
      </c>
      <c r="K836" s="2" t="s">
        <v>96</v>
      </c>
      <c r="L836" s="3">
        <v>55</v>
      </c>
      <c r="M836" s="3">
        <v>57.75</v>
      </c>
      <c r="N836" s="3">
        <v>109.99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2959</v>
      </c>
      <c r="T836" s="2" t="s">
        <v>280</v>
      </c>
      <c r="U836" s="2" t="s">
        <v>480</v>
      </c>
      <c r="V836" s="2" t="s">
        <v>146</v>
      </c>
      <c r="W836" s="2" t="s">
        <v>2679</v>
      </c>
      <c r="X836" s="2" t="s">
        <v>183</v>
      </c>
      <c r="Y836" s="2" t="s">
        <v>2960</v>
      </c>
      <c r="Z836" s="4">
        <v>688</v>
      </c>
      <c r="AA836" s="4">
        <f>=ROUNDDOWN(68.8,0)</f>
      </c>
      <c r="AB836" s="5">
        <v>10</v>
      </c>
      <c r="AC836" s="2" t="s">
        <v>241</v>
      </c>
      <c r="AD836" s="4">
        <v>390</v>
      </c>
      <c r="AE836" s="4">
        <v>390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>
        <v>284</v>
      </c>
      <c r="BK836" s="8">
        <v>17217.37</v>
      </c>
      <c r="BL836" s="2" t="s">
        <v>1670</v>
      </c>
      <c r="BM836" s="7"/>
      <c r="BN836" s="7"/>
      <c r="BO836" s="4"/>
      <c r="BP836" s="8"/>
      <c r="BQ836" s="4"/>
      <c r="BR836" s="8"/>
      <c r="BS836" s="7"/>
      <c r="BT836" s="7"/>
      <c r="BU836" s="2" t="s">
        <v>2528</v>
      </c>
      <c r="BV836" s="2" t="s">
        <v>97</v>
      </c>
      <c r="BW836" s="2" t="s">
        <v>100</v>
      </c>
      <c r="BX836" s="2" t="s">
        <v>100</v>
      </c>
      <c r="BY836" s="2" t="s">
        <v>113</v>
      </c>
      <c r="BZ836" s="2" t="s">
        <v>100</v>
      </c>
    </row>
    <row r="837">
      <c r="A837" s="2" t="s">
        <v>3120</v>
      </c>
      <c r="B837" s="2" t="s">
        <v>87</v>
      </c>
      <c r="C837" s="2" t="s">
        <v>2850</v>
      </c>
      <c r="D837" s="2" t="s">
        <v>1638</v>
      </c>
      <c r="E837" s="2" t="s">
        <v>1639</v>
      </c>
      <c r="F837" s="2" t="s">
        <v>2958</v>
      </c>
      <c r="G837" s="2" t="s">
        <v>2958</v>
      </c>
      <c r="H837" s="2" t="s">
        <v>2958</v>
      </c>
      <c r="I837" s="2" t="s">
        <v>3119</v>
      </c>
      <c r="J837" s="2" t="s">
        <v>270</v>
      </c>
      <c r="K837" s="2" t="s">
        <v>96</v>
      </c>
      <c r="L837" s="3">
        <v>70</v>
      </c>
      <c r="M837" s="3">
        <v>73.5</v>
      </c>
      <c r="N837" s="3">
        <v>139.99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2959</v>
      </c>
      <c r="T837" s="2" t="s">
        <v>280</v>
      </c>
      <c r="U837" s="2" t="s">
        <v>480</v>
      </c>
      <c r="V837" s="2" t="s">
        <v>146</v>
      </c>
      <c r="W837" s="2" t="s">
        <v>2679</v>
      </c>
      <c r="X837" s="2" t="s">
        <v>183</v>
      </c>
      <c r="Y837" s="2" t="s">
        <v>2960</v>
      </c>
      <c r="Z837" s="4">
        <v>466</v>
      </c>
      <c r="AA837" s="4">
        <f>=ROUNDDOWN(51.7777777777778,0)</f>
      </c>
      <c r="AB837" s="5">
        <v>9</v>
      </c>
      <c r="AC837" s="2" t="s">
        <v>320</v>
      </c>
      <c r="AD837" s="4">
        <v>12</v>
      </c>
      <c r="AE837" s="4">
        <v>242</v>
      </c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>
        <v>241</v>
      </c>
      <c r="BK837" s="8">
        <v>17719.52</v>
      </c>
      <c r="BL837" s="2" t="s">
        <v>1649</v>
      </c>
      <c r="BM837" s="7"/>
      <c r="BN837" s="7"/>
      <c r="BO837" s="4"/>
      <c r="BP837" s="8"/>
      <c r="BQ837" s="4"/>
      <c r="BR837" s="8"/>
      <c r="BS837" s="7"/>
      <c r="BT837" s="7"/>
      <c r="BU837" s="2" t="s">
        <v>2528</v>
      </c>
      <c r="BV837" s="2" t="s">
        <v>97</v>
      </c>
      <c r="BW837" s="2" t="s">
        <v>100</v>
      </c>
      <c r="BX837" s="2" t="s">
        <v>100</v>
      </c>
      <c r="BY837" s="2" t="s">
        <v>113</v>
      </c>
      <c r="BZ837" s="2" t="s">
        <v>100</v>
      </c>
    </row>
    <row r="838">
      <c r="A838" s="2" t="s">
        <v>3121</v>
      </c>
      <c r="B838" s="2" t="s">
        <v>87</v>
      </c>
      <c r="C838" s="2" t="s">
        <v>2850</v>
      </c>
      <c r="D838" s="2" t="s">
        <v>1638</v>
      </c>
      <c r="E838" s="2" t="s">
        <v>1639</v>
      </c>
      <c r="F838" s="2" t="s">
        <v>2958</v>
      </c>
      <c r="G838" s="2" t="s">
        <v>2958</v>
      </c>
      <c r="H838" s="2" t="s">
        <v>2958</v>
      </c>
      <c r="I838" s="2" t="s">
        <v>3119</v>
      </c>
      <c r="J838" s="2" t="s">
        <v>247</v>
      </c>
      <c r="K838" s="2" t="s">
        <v>1148</v>
      </c>
      <c r="L838" s="3">
        <v>55</v>
      </c>
      <c r="M838" s="3">
        <v>57.74</v>
      </c>
      <c r="N838" s="3">
        <v>109.99</v>
      </c>
      <c r="O838" s="2" t="s">
        <v>97</v>
      </c>
      <c r="P838" s="2" t="s">
        <v>119</v>
      </c>
      <c r="Q838" s="2" t="s">
        <v>99</v>
      </c>
      <c r="R838" s="2" t="s">
        <v>100</v>
      </c>
      <c r="S838" s="2" t="s">
        <v>2965</v>
      </c>
      <c r="T838" s="2" t="s">
        <v>280</v>
      </c>
      <c r="U838" s="2" t="s">
        <v>480</v>
      </c>
      <c r="V838" s="2" t="s">
        <v>146</v>
      </c>
      <c r="W838" s="2" t="s">
        <v>2679</v>
      </c>
      <c r="X838" s="2" t="s">
        <v>183</v>
      </c>
      <c r="Y838" s="2" t="s">
        <v>2966</v>
      </c>
      <c r="Z838" s="4">
        <v>229</v>
      </c>
      <c r="AA838" s="4">
        <f>=ROUNDDOWN(57.25,0)</f>
      </c>
      <c r="AB838" s="5">
        <v>4</v>
      </c>
      <c r="AC838" s="2" t="s">
        <v>100</v>
      </c>
      <c r="AD838" s="4"/>
      <c r="AE838" s="4"/>
      <c r="AF838" s="6">
        <v>67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/>
      <c r="BJ838" s="4">
        <v>96</v>
      </c>
      <c r="BK838" s="8">
        <v>5886.5</v>
      </c>
      <c r="BL838" s="2" t="s">
        <v>3122</v>
      </c>
      <c r="BM838" s="7"/>
      <c r="BN838" s="7"/>
      <c r="BO838" s="4"/>
      <c r="BP838" s="8"/>
      <c r="BQ838" s="4"/>
      <c r="BR838" s="8"/>
      <c r="BS838" s="7"/>
      <c r="BT838" s="7"/>
      <c r="BU838" s="2" t="s">
        <v>2528</v>
      </c>
      <c r="BV838" s="2" t="s">
        <v>97</v>
      </c>
      <c r="BW838" s="2" t="s">
        <v>100</v>
      </c>
      <c r="BX838" s="2" t="s">
        <v>100</v>
      </c>
      <c r="BY838" s="2" t="s">
        <v>113</v>
      </c>
      <c r="BZ838" s="2" t="s">
        <v>100</v>
      </c>
    </row>
    <row r="839">
      <c r="A839" s="2" t="s">
        <v>3123</v>
      </c>
      <c r="B839" s="2" t="s">
        <v>87</v>
      </c>
      <c r="C839" s="2" t="s">
        <v>2850</v>
      </c>
      <c r="D839" s="2" t="s">
        <v>1638</v>
      </c>
      <c r="E839" s="2" t="s">
        <v>1639</v>
      </c>
      <c r="F839" s="2" t="s">
        <v>2958</v>
      </c>
      <c r="G839" s="2" t="s">
        <v>2958</v>
      </c>
      <c r="H839" s="2" t="s">
        <v>2958</v>
      </c>
      <c r="I839" s="2" t="s">
        <v>3119</v>
      </c>
      <c r="J839" s="2" t="s">
        <v>270</v>
      </c>
      <c r="K839" s="2" t="s">
        <v>1148</v>
      </c>
      <c r="L839" s="3">
        <v>70</v>
      </c>
      <c r="M839" s="3">
        <v>73.49</v>
      </c>
      <c r="N839" s="3">
        <v>139.99</v>
      </c>
      <c r="O839" s="2" t="s">
        <v>97</v>
      </c>
      <c r="P839" s="2" t="s">
        <v>119</v>
      </c>
      <c r="Q839" s="2" t="s">
        <v>99</v>
      </c>
      <c r="R839" s="2" t="s">
        <v>100</v>
      </c>
      <c r="S839" s="2" t="s">
        <v>2965</v>
      </c>
      <c r="T839" s="2" t="s">
        <v>280</v>
      </c>
      <c r="U839" s="2" t="s">
        <v>480</v>
      </c>
      <c r="V839" s="2" t="s">
        <v>146</v>
      </c>
      <c r="W839" s="2" t="s">
        <v>2679</v>
      </c>
      <c r="X839" s="2" t="s">
        <v>183</v>
      </c>
      <c r="Y839" s="2" t="s">
        <v>2966</v>
      </c>
      <c r="Z839" s="4">
        <v>165</v>
      </c>
      <c r="AA839" s="4">
        <f>=ROUNDDOWN(41.25,0)</f>
      </c>
      <c r="AB839" s="5">
        <v>4</v>
      </c>
      <c r="AC839" s="2" t="s">
        <v>100</v>
      </c>
      <c r="AD839" s="4"/>
      <c r="AE839" s="4"/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/>
      <c r="BJ839" s="4">
        <v>86</v>
      </c>
      <c r="BK839" s="8">
        <v>6489.25</v>
      </c>
      <c r="BL839" s="2" t="s">
        <v>3124</v>
      </c>
      <c r="BM839" s="7"/>
      <c r="BN839" s="7"/>
      <c r="BO839" s="4"/>
      <c r="BP839" s="8"/>
      <c r="BQ839" s="4"/>
      <c r="BR839" s="8"/>
      <c r="BS839" s="7"/>
      <c r="BT839" s="7"/>
      <c r="BU839" s="2" t="s">
        <v>2528</v>
      </c>
      <c r="BV839" s="2" t="s">
        <v>97</v>
      </c>
      <c r="BW839" s="2" t="s">
        <v>100</v>
      </c>
      <c r="BX839" s="2" t="s">
        <v>100</v>
      </c>
      <c r="BY839" s="2" t="s">
        <v>113</v>
      </c>
      <c r="BZ839" s="2" t="s">
        <v>100</v>
      </c>
    </row>
    <row r="840">
      <c r="A840" s="2" t="s">
        <v>3125</v>
      </c>
      <c r="B840" s="2" t="s">
        <v>87</v>
      </c>
      <c r="C840" s="2" t="s">
        <v>2850</v>
      </c>
      <c r="D840" s="2" t="s">
        <v>1638</v>
      </c>
      <c r="E840" s="2" t="s">
        <v>1639</v>
      </c>
      <c r="F840" s="2" t="s">
        <v>2971</v>
      </c>
      <c r="G840" s="2" t="s">
        <v>2971</v>
      </c>
      <c r="H840" s="2" t="s">
        <v>2971</v>
      </c>
      <c r="I840" s="2" t="s">
        <v>3126</v>
      </c>
      <c r="J840" s="2" t="s">
        <v>247</v>
      </c>
      <c r="K840" s="2" t="s">
        <v>858</v>
      </c>
      <c r="L840" s="3">
        <v>64.79</v>
      </c>
      <c r="M840" s="3">
        <v>68.03</v>
      </c>
      <c r="N840" s="3">
        <v>131.99</v>
      </c>
      <c r="O840" s="2" t="s">
        <v>97</v>
      </c>
      <c r="P840" s="2" t="s">
        <v>950</v>
      </c>
      <c r="Q840" s="2" t="s">
        <v>99</v>
      </c>
      <c r="R840" s="2" t="s">
        <v>100</v>
      </c>
      <c r="S840" s="2" t="s">
        <v>2973</v>
      </c>
      <c r="T840" s="2" t="s">
        <v>280</v>
      </c>
      <c r="U840" s="2" t="s">
        <v>480</v>
      </c>
      <c r="V840" s="2" t="s">
        <v>2935</v>
      </c>
      <c r="W840" s="2" t="s">
        <v>319</v>
      </c>
      <c r="X840" s="2" t="s">
        <v>100</v>
      </c>
      <c r="Y840" s="2" t="s">
        <v>3127</v>
      </c>
      <c r="Z840" s="4">
        <v>131</v>
      </c>
      <c r="AA840" s="4">
        <f>=ROUNDDOWN(32.75,0)</f>
      </c>
      <c r="AB840" s="5">
        <v>4</v>
      </c>
      <c r="AC840" s="2" t="s">
        <v>320</v>
      </c>
      <c r="AD840" s="4">
        <v>75</v>
      </c>
      <c r="AE840" s="4">
        <v>195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/>
      <c r="BJ840" s="4">
        <v>83</v>
      </c>
      <c r="BK840" s="8">
        <v>5835.12</v>
      </c>
      <c r="BL840" s="2" t="s">
        <v>3124</v>
      </c>
      <c r="BM840" s="7"/>
      <c r="BN840" s="7"/>
      <c r="BO840" s="4"/>
      <c r="BP840" s="8"/>
      <c r="BQ840" s="4"/>
      <c r="BR840" s="8"/>
      <c r="BS840" s="7"/>
      <c r="BT840" s="7"/>
      <c r="BU840" s="2" t="s">
        <v>2528</v>
      </c>
      <c r="BV840" s="2" t="s">
        <v>97</v>
      </c>
      <c r="BW840" s="2" t="s">
        <v>100</v>
      </c>
      <c r="BX840" s="2" t="s">
        <v>100</v>
      </c>
      <c r="BY840" s="2" t="s">
        <v>113</v>
      </c>
      <c r="BZ840" s="2" t="s">
        <v>100</v>
      </c>
    </row>
    <row r="841">
      <c r="A841" s="2" t="s">
        <v>3128</v>
      </c>
      <c r="B841" s="2" t="s">
        <v>87</v>
      </c>
      <c r="C841" s="2" t="s">
        <v>2850</v>
      </c>
      <c r="D841" s="2" t="s">
        <v>1638</v>
      </c>
      <c r="E841" s="2" t="s">
        <v>1639</v>
      </c>
      <c r="F841" s="2" t="s">
        <v>2971</v>
      </c>
      <c r="G841" s="2" t="s">
        <v>2971</v>
      </c>
      <c r="H841" s="2" t="s">
        <v>2971</v>
      </c>
      <c r="I841" s="2" t="s">
        <v>3126</v>
      </c>
      <c r="J841" s="2" t="s">
        <v>270</v>
      </c>
      <c r="K841" s="2" t="s">
        <v>858</v>
      </c>
      <c r="L841" s="3">
        <v>79.38</v>
      </c>
      <c r="M841" s="3">
        <v>83.35</v>
      </c>
      <c r="N841" s="3">
        <v>161.99</v>
      </c>
      <c r="O841" s="2" t="s">
        <v>97</v>
      </c>
      <c r="P841" s="2" t="s">
        <v>950</v>
      </c>
      <c r="Q841" s="2" t="s">
        <v>99</v>
      </c>
      <c r="R841" s="2" t="s">
        <v>100</v>
      </c>
      <c r="S841" s="2" t="s">
        <v>2973</v>
      </c>
      <c r="T841" s="2" t="s">
        <v>280</v>
      </c>
      <c r="U841" s="2" t="s">
        <v>480</v>
      </c>
      <c r="V841" s="2" t="s">
        <v>2935</v>
      </c>
      <c r="W841" s="2" t="s">
        <v>319</v>
      </c>
      <c r="X841" s="2" t="s">
        <v>100</v>
      </c>
      <c r="Y841" s="2" t="s">
        <v>3127</v>
      </c>
      <c r="Z841" s="4">
        <v>127</v>
      </c>
      <c r="AA841" s="4">
        <f>=ROUNDDOWN(31.75,0)</f>
      </c>
      <c r="AB841" s="5">
        <v>4</v>
      </c>
      <c r="AC841" s="2" t="s">
        <v>320</v>
      </c>
      <c r="AD841" s="4">
        <v>22</v>
      </c>
      <c r="AE841" s="4">
        <v>142</v>
      </c>
      <c r="AF841" s="6">
        <v>67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141</v>
      </c>
      <c r="BK841" s="8">
        <v>12553.68</v>
      </c>
      <c r="BL841" s="2" t="s">
        <v>3122</v>
      </c>
      <c r="BM841" s="7"/>
      <c r="BN841" s="7"/>
      <c r="BO841" s="4"/>
      <c r="BP841" s="8"/>
      <c r="BQ841" s="4"/>
      <c r="BR841" s="8"/>
      <c r="BS841" s="7"/>
      <c r="BT841" s="7"/>
      <c r="BU841" s="2" t="s">
        <v>2528</v>
      </c>
      <c r="BV841" s="2" t="s">
        <v>97</v>
      </c>
      <c r="BW841" s="2" t="s">
        <v>100</v>
      </c>
      <c r="BX841" s="2" t="s">
        <v>100</v>
      </c>
      <c r="BY841" s="2" t="s">
        <v>113</v>
      </c>
      <c r="BZ841" s="2" t="s">
        <v>100</v>
      </c>
    </row>
    <row r="842">
      <c r="A842" s="2" t="s">
        <v>3129</v>
      </c>
      <c r="B842" s="2" t="s">
        <v>87</v>
      </c>
      <c r="C842" s="2" t="s">
        <v>2850</v>
      </c>
      <c r="D842" s="2" t="s">
        <v>1638</v>
      </c>
      <c r="E842" s="2" t="s">
        <v>1639</v>
      </c>
      <c r="F842" s="2" t="s">
        <v>2978</v>
      </c>
      <c r="G842" s="2" t="s">
        <v>2978</v>
      </c>
      <c r="H842" s="2" t="s">
        <v>100</v>
      </c>
      <c r="I842" s="2" t="s">
        <v>3130</v>
      </c>
      <c r="J842" s="2" t="s">
        <v>247</v>
      </c>
      <c r="K842" s="2" t="s">
        <v>189</v>
      </c>
      <c r="L842" s="3">
        <v>49</v>
      </c>
      <c r="M842" s="3">
        <v>51.44</v>
      </c>
      <c r="N842" s="3">
        <v>99.99</v>
      </c>
      <c r="O842" s="2" t="s">
        <v>97</v>
      </c>
      <c r="P842" s="2" t="s">
        <v>119</v>
      </c>
      <c r="Q842" s="2" t="s">
        <v>99</v>
      </c>
      <c r="R842" s="2" t="s">
        <v>100</v>
      </c>
      <c r="S842" s="2" t="s">
        <v>2980</v>
      </c>
      <c r="T842" s="2" t="s">
        <v>280</v>
      </c>
      <c r="U842" s="2" t="s">
        <v>480</v>
      </c>
      <c r="V842" s="2" t="s">
        <v>146</v>
      </c>
      <c r="W842" s="2" t="s">
        <v>104</v>
      </c>
      <c r="X842" s="2" t="s">
        <v>183</v>
      </c>
      <c r="Y842" s="2" t="s">
        <v>240</v>
      </c>
      <c r="Z842" s="4">
        <v>240</v>
      </c>
      <c r="AA842" s="4">
        <f>=ROUNDDOWN(48,0)</f>
      </c>
      <c r="AB842" s="5">
        <v>5</v>
      </c>
      <c r="AC842" s="2" t="s">
        <v>100</v>
      </c>
      <c r="AD842" s="4"/>
      <c r="AE842" s="4"/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157</v>
      </c>
      <c r="BK842" s="8">
        <v>8370.57</v>
      </c>
      <c r="BL842" s="2" t="s">
        <v>3131</v>
      </c>
      <c r="BM842" s="7"/>
      <c r="BN842" s="7"/>
      <c r="BO842" s="4"/>
      <c r="BP842" s="8"/>
      <c r="BQ842" s="4"/>
      <c r="BR842" s="8"/>
      <c r="BS842" s="7"/>
      <c r="BT842" s="7"/>
      <c r="BU842" s="2" t="s">
        <v>2528</v>
      </c>
      <c r="BV842" s="2" t="s">
        <v>97</v>
      </c>
      <c r="BW842" s="2" t="s">
        <v>100</v>
      </c>
      <c r="BX842" s="2" t="s">
        <v>100</v>
      </c>
      <c r="BY842" s="2" t="s">
        <v>113</v>
      </c>
      <c r="BZ842" s="2" t="s">
        <v>100</v>
      </c>
    </row>
    <row r="843">
      <c r="A843" s="2" t="s">
        <v>3132</v>
      </c>
      <c r="B843" s="2" t="s">
        <v>87</v>
      </c>
      <c r="C843" s="2" t="s">
        <v>2850</v>
      </c>
      <c r="D843" s="2" t="s">
        <v>1638</v>
      </c>
      <c r="E843" s="2" t="s">
        <v>1639</v>
      </c>
      <c r="F843" s="2" t="s">
        <v>2978</v>
      </c>
      <c r="G843" s="2" t="s">
        <v>2978</v>
      </c>
      <c r="H843" s="2" t="s">
        <v>100</v>
      </c>
      <c r="I843" s="2" t="s">
        <v>3130</v>
      </c>
      <c r="J843" s="2" t="s">
        <v>270</v>
      </c>
      <c r="K843" s="2" t="s">
        <v>189</v>
      </c>
      <c r="L843" s="3">
        <v>65</v>
      </c>
      <c r="M843" s="3">
        <v>68.24</v>
      </c>
      <c r="N843" s="3">
        <v>129.99</v>
      </c>
      <c r="O843" s="2" t="s">
        <v>97</v>
      </c>
      <c r="P843" s="2" t="s">
        <v>119</v>
      </c>
      <c r="Q843" s="2" t="s">
        <v>99</v>
      </c>
      <c r="R843" s="2" t="s">
        <v>100</v>
      </c>
      <c r="S843" s="2" t="s">
        <v>2980</v>
      </c>
      <c r="T843" s="2" t="s">
        <v>280</v>
      </c>
      <c r="U843" s="2" t="s">
        <v>480</v>
      </c>
      <c r="V843" s="2" t="s">
        <v>146</v>
      </c>
      <c r="W843" s="2" t="s">
        <v>104</v>
      </c>
      <c r="X843" s="2" t="s">
        <v>183</v>
      </c>
      <c r="Y843" s="2" t="s">
        <v>240</v>
      </c>
      <c r="Z843" s="4">
        <v>294</v>
      </c>
      <c r="AA843" s="4">
        <f>=ROUNDDOWN(98,0)</f>
      </c>
      <c r="AB843" s="5">
        <v>3</v>
      </c>
      <c r="AC843" s="2" t="s">
        <v>100</v>
      </c>
      <c r="AD843" s="4"/>
      <c r="AE843" s="4"/>
      <c r="AF843" s="6">
        <v>67</v>
      </c>
      <c r="AG843" s="6"/>
      <c r="AH843" s="7">
        <v>0.9679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83</v>
      </c>
      <c r="BK843" s="8">
        <v>5851.53</v>
      </c>
      <c r="BL843" s="2" t="s">
        <v>3133</v>
      </c>
      <c r="BM843" s="7"/>
      <c r="BN843" s="7"/>
      <c r="BO843" s="4"/>
      <c r="BP843" s="8"/>
      <c r="BQ843" s="4"/>
      <c r="BR843" s="8"/>
      <c r="BS843" s="7"/>
      <c r="BT843" s="7"/>
      <c r="BU843" s="2" t="s">
        <v>2528</v>
      </c>
      <c r="BV843" s="2" t="s">
        <v>97</v>
      </c>
      <c r="BW843" s="2" t="s">
        <v>100</v>
      </c>
      <c r="BX843" s="2" t="s">
        <v>100</v>
      </c>
      <c r="BY843" s="2" t="s">
        <v>113</v>
      </c>
      <c r="BZ843" s="2" t="s">
        <v>100</v>
      </c>
    </row>
    <row r="844">
      <c r="A844" s="2" t="s">
        <v>3134</v>
      </c>
      <c r="B844" s="2" t="s">
        <v>87</v>
      </c>
      <c r="C844" s="2" t="s">
        <v>2850</v>
      </c>
      <c r="D844" s="2" t="s">
        <v>1638</v>
      </c>
      <c r="E844" s="2" t="s">
        <v>1639</v>
      </c>
      <c r="F844" s="2" t="s">
        <v>2985</v>
      </c>
      <c r="G844" s="2" t="s">
        <v>2985</v>
      </c>
      <c r="H844" s="2" t="s">
        <v>2985</v>
      </c>
      <c r="I844" s="2" t="s">
        <v>3135</v>
      </c>
      <c r="J844" s="2" t="s">
        <v>247</v>
      </c>
      <c r="K844" s="2" t="s">
        <v>1148</v>
      </c>
      <c r="L844" s="3">
        <v>51.3</v>
      </c>
      <c r="M844" s="3">
        <v>53.86</v>
      </c>
      <c r="N844" s="3">
        <v>109.99</v>
      </c>
      <c r="O844" s="2" t="s">
        <v>97</v>
      </c>
      <c r="P844" s="2" t="s">
        <v>119</v>
      </c>
      <c r="Q844" s="2" t="s">
        <v>99</v>
      </c>
      <c r="R844" s="2" t="s">
        <v>100</v>
      </c>
      <c r="S844" s="2" t="s">
        <v>2987</v>
      </c>
      <c r="T844" s="2" t="s">
        <v>280</v>
      </c>
      <c r="U844" s="2" t="s">
        <v>480</v>
      </c>
      <c r="V844" s="2" t="s">
        <v>2935</v>
      </c>
      <c r="W844" s="2" t="s">
        <v>319</v>
      </c>
      <c r="X844" s="2" t="s">
        <v>100</v>
      </c>
      <c r="Y844" s="2" t="s">
        <v>2988</v>
      </c>
      <c r="Z844" s="4">
        <v>107</v>
      </c>
      <c r="AA844" s="4">
        <f>=ROUNDDOWN(53.5,0)</f>
      </c>
      <c r="AB844" s="5">
        <v>2</v>
      </c>
      <c r="AC844" s="2" t="s">
        <v>100</v>
      </c>
      <c r="AD844" s="4"/>
      <c r="AE844" s="4"/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34</v>
      </c>
      <c r="BK844" s="8">
        <v>1934.87</v>
      </c>
      <c r="BL844" s="2" t="s">
        <v>1738</v>
      </c>
      <c r="BM844" s="7"/>
      <c r="BN844" s="7"/>
      <c r="BO844" s="4"/>
      <c r="BP844" s="8"/>
      <c r="BQ844" s="4"/>
      <c r="BR844" s="8"/>
      <c r="BS844" s="7"/>
      <c r="BT844" s="7"/>
      <c r="BU844" s="2" t="s">
        <v>2528</v>
      </c>
      <c r="BV844" s="2" t="s">
        <v>97</v>
      </c>
      <c r="BW844" s="2" t="s">
        <v>100</v>
      </c>
      <c r="BX844" s="2" t="s">
        <v>100</v>
      </c>
      <c r="BY844" s="2" t="s">
        <v>113</v>
      </c>
      <c r="BZ844" s="2" t="s">
        <v>100</v>
      </c>
    </row>
    <row r="845">
      <c r="A845" s="2" t="s">
        <v>3136</v>
      </c>
      <c r="B845" s="2" t="s">
        <v>87</v>
      </c>
      <c r="C845" s="2" t="s">
        <v>2850</v>
      </c>
      <c r="D845" s="2" t="s">
        <v>1638</v>
      </c>
      <c r="E845" s="2" t="s">
        <v>1639</v>
      </c>
      <c r="F845" s="2" t="s">
        <v>2985</v>
      </c>
      <c r="G845" s="2" t="s">
        <v>2985</v>
      </c>
      <c r="H845" s="2" t="s">
        <v>2985</v>
      </c>
      <c r="I845" s="2" t="s">
        <v>3135</v>
      </c>
      <c r="J845" s="2" t="s">
        <v>270</v>
      </c>
      <c r="K845" s="2" t="s">
        <v>1148</v>
      </c>
      <c r="L845" s="3">
        <v>65.55</v>
      </c>
      <c r="M845" s="3">
        <v>68.83</v>
      </c>
      <c r="N845" s="3">
        <v>139.99</v>
      </c>
      <c r="O845" s="2" t="s">
        <v>97</v>
      </c>
      <c r="P845" s="2" t="s">
        <v>119</v>
      </c>
      <c r="Q845" s="2" t="s">
        <v>99</v>
      </c>
      <c r="R845" s="2" t="s">
        <v>100</v>
      </c>
      <c r="S845" s="2" t="s">
        <v>2987</v>
      </c>
      <c r="T845" s="2" t="s">
        <v>280</v>
      </c>
      <c r="U845" s="2" t="s">
        <v>480</v>
      </c>
      <c r="V845" s="2" t="s">
        <v>2935</v>
      </c>
      <c r="W845" s="2" t="s">
        <v>319</v>
      </c>
      <c r="X845" s="2" t="s">
        <v>100</v>
      </c>
      <c r="Y845" s="2" t="s">
        <v>2988</v>
      </c>
      <c r="Z845" s="4">
        <v>173</v>
      </c>
      <c r="AA845" s="4">
        <f>=ROUNDDOWN(57.6666666666667,0)</f>
      </c>
      <c r="AB845" s="5">
        <v>3</v>
      </c>
      <c r="AC845" s="2" t="s">
        <v>100</v>
      </c>
      <c r="AD845" s="4"/>
      <c r="AE845" s="4"/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38</v>
      </c>
      <c r="BK845" s="8">
        <v>2803.33</v>
      </c>
      <c r="BL845" s="2" t="s">
        <v>736</v>
      </c>
      <c r="BM845" s="7"/>
      <c r="BN845" s="7"/>
      <c r="BO845" s="4"/>
      <c r="BP845" s="8"/>
      <c r="BQ845" s="4"/>
      <c r="BR845" s="8"/>
      <c r="BS845" s="7"/>
      <c r="BT845" s="7"/>
      <c r="BU845" s="2" t="s">
        <v>2528</v>
      </c>
      <c r="BV845" s="2" t="s">
        <v>97</v>
      </c>
      <c r="BW845" s="2" t="s">
        <v>100</v>
      </c>
      <c r="BX845" s="2" t="s">
        <v>100</v>
      </c>
      <c r="BY845" s="2" t="s">
        <v>113</v>
      </c>
      <c r="BZ845" s="2" t="s">
        <v>100</v>
      </c>
    </row>
    <row r="846">
      <c r="A846" s="2" t="s">
        <v>3137</v>
      </c>
      <c r="B846" s="2" t="s">
        <v>87</v>
      </c>
      <c r="C846" s="2" t="s">
        <v>2850</v>
      </c>
      <c r="D846" s="2" t="s">
        <v>1638</v>
      </c>
      <c r="E846" s="2" t="s">
        <v>1639</v>
      </c>
      <c r="F846" s="2" t="s">
        <v>2985</v>
      </c>
      <c r="G846" s="2" t="s">
        <v>2985</v>
      </c>
      <c r="H846" s="2" t="s">
        <v>2985</v>
      </c>
      <c r="I846" s="2" t="s">
        <v>3135</v>
      </c>
      <c r="J846" s="2" t="s">
        <v>247</v>
      </c>
      <c r="K846" s="2" t="s">
        <v>360</v>
      </c>
      <c r="L846" s="3">
        <v>51.3</v>
      </c>
      <c r="M846" s="3">
        <v>53.86</v>
      </c>
      <c r="N846" s="3">
        <v>109.99</v>
      </c>
      <c r="O846" s="2" t="s">
        <v>97</v>
      </c>
      <c r="P846" s="2" t="s">
        <v>950</v>
      </c>
      <c r="Q846" s="2" t="s">
        <v>99</v>
      </c>
      <c r="R846" s="2" t="s">
        <v>100</v>
      </c>
      <c r="S846" s="2" t="s">
        <v>2992</v>
      </c>
      <c r="T846" s="2" t="s">
        <v>280</v>
      </c>
      <c r="U846" s="2" t="s">
        <v>480</v>
      </c>
      <c r="V846" s="2" t="s">
        <v>2935</v>
      </c>
      <c r="W846" s="2" t="s">
        <v>319</v>
      </c>
      <c r="X846" s="2" t="s">
        <v>100</v>
      </c>
      <c r="Y846" s="2" t="s">
        <v>2286</v>
      </c>
      <c r="Z846" s="4">
        <v>247</v>
      </c>
      <c r="AA846" s="4">
        <f>=ROUNDDOWN(35.2857142857143,0)</f>
      </c>
      <c r="AB846" s="5">
        <v>7</v>
      </c>
      <c r="AC846" s="2" t="s">
        <v>123</v>
      </c>
      <c r="AD846" s="4">
        <v>80</v>
      </c>
      <c r="AE846" s="4">
        <v>170</v>
      </c>
      <c r="AF846" s="6">
        <v>66</v>
      </c>
      <c r="AG846" s="6">
        <v>74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97</v>
      </c>
      <c r="BK846" s="8">
        <v>5468.79</v>
      </c>
      <c r="BL846" s="2" t="s">
        <v>3138</v>
      </c>
      <c r="BM846" s="7"/>
      <c r="BN846" s="7"/>
      <c r="BO846" s="4"/>
      <c r="BP846" s="8"/>
      <c r="BQ846" s="4"/>
      <c r="BR846" s="8"/>
      <c r="BS846" s="7"/>
      <c r="BT846" s="7"/>
      <c r="BU846" s="2" t="s">
        <v>2528</v>
      </c>
      <c r="BV846" s="2" t="s">
        <v>97</v>
      </c>
      <c r="BW846" s="2" t="s">
        <v>100</v>
      </c>
      <c r="BX846" s="2" t="s">
        <v>100</v>
      </c>
      <c r="BY846" s="2" t="s">
        <v>113</v>
      </c>
      <c r="BZ846" s="2" t="s">
        <v>100</v>
      </c>
    </row>
    <row r="847">
      <c r="A847" s="2" t="s">
        <v>3139</v>
      </c>
      <c r="B847" s="2" t="s">
        <v>87</v>
      </c>
      <c r="C847" s="2" t="s">
        <v>2850</v>
      </c>
      <c r="D847" s="2" t="s">
        <v>1638</v>
      </c>
      <c r="E847" s="2" t="s">
        <v>1639</v>
      </c>
      <c r="F847" s="2" t="s">
        <v>2985</v>
      </c>
      <c r="G847" s="2" t="s">
        <v>2985</v>
      </c>
      <c r="H847" s="2" t="s">
        <v>2985</v>
      </c>
      <c r="I847" s="2" t="s">
        <v>3135</v>
      </c>
      <c r="J847" s="2" t="s">
        <v>270</v>
      </c>
      <c r="K847" s="2" t="s">
        <v>360</v>
      </c>
      <c r="L847" s="3">
        <v>65.55</v>
      </c>
      <c r="M847" s="3">
        <v>68.83</v>
      </c>
      <c r="N847" s="3">
        <v>139.99</v>
      </c>
      <c r="O847" s="2" t="s">
        <v>97</v>
      </c>
      <c r="P847" s="2" t="s">
        <v>950</v>
      </c>
      <c r="Q847" s="2" t="s">
        <v>99</v>
      </c>
      <c r="R847" s="2" t="s">
        <v>100</v>
      </c>
      <c r="S847" s="2" t="s">
        <v>2992</v>
      </c>
      <c r="T847" s="2" t="s">
        <v>280</v>
      </c>
      <c r="U847" s="2" t="s">
        <v>480</v>
      </c>
      <c r="V847" s="2" t="s">
        <v>2935</v>
      </c>
      <c r="W847" s="2" t="s">
        <v>319</v>
      </c>
      <c r="X847" s="2" t="s">
        <v>100</v>
      </c>
      <c r="Y847" s="2" t="s">
        <v>2286</v>
      </c>
      <c r="Z847" s="4">
        <v>363</v>
      </c>
      <c r="AA847" s="4">
        <f>=ROUNDDOWN(40.3333333333333,0)</f>
      </c>
      <c r="AB847" s="5">
        <v>9</v>
      </c>
      <c r="AC847" s="2" t="s">
        <v>123</v>
      </c>
      <c r="AD847" s="4">
        <v>100</v>
      </c>
      <c r="AE847" s="4">
        <v>100</v>
      </c>
      <c r="AF847" s="6">
        <v>66</v>
      </c>
      <c r="AG847" s="6">
        <v>74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167</v>
      </c>
      <c r="BK847" s="8">
        <v>12121.02</v>
      </c>
      <c r="BL847" s="2" t="s">
        <v>3140</v>
      </c>
      <c r="BM847" s="7"/>
      <c r="BN847" s="7"/>
      <c r="BO847" s="4"/>
      <c r="BP847" s="8"/>
      <c r="BQ847" s="4"/>
      <c r="BR847" s="8"/>
      <c r="BS847" s="7"/>
      <c r="BT847" s="7"/>
      <c r="BU847" s="2" t="s">
        <v>2528</v>
      </c>
      <c r="BV847" s="2" t="s">
        <v>97</v>
      </c>
      <c r="BW847" s="2" t="s">
        <v>100</v>
      </c>
      <c r="BX847" s="2" t="s">
        <v>100</v>
      </c>
      <c r="BY847" s="2" t="s">
        <v>113</v>
      </c>
      <c r="BZ847" s="2" t="s">
        <v>100</v>
      </c>
    </row>
    <row r="848">
      <c r="A848" s="2" t="s">
        <v>3141</v>
      </c>
      <c r="B848" s="2" t="s">
        <v>87</v>
      </c>
      <c r="C848" s="2" t="s">
        <v>2850</v>
      </c>
      <c r="D848" s="2" t="s">
        <v>1638</v>
      </c>
      <c r="E848" s="2" t="s">
        <v>1639</v>
      </c>
      <c r="F848" s="2" t="s">
        <v>2985</v>
      </c>
      <c r="G848" s="2" t="s">
        <v>2985</v>
      </c>
      <c r="H848" s="2" t="s">
        <v>2985</v>
      </c>
      <c r="I848" s="2" t="s">
        <v>3135</v>
      </c>
      <c r="J848" s="2" t="s">
        <v>247</v>
      </c>
      <c r="K848" s="2" t="s">
        <v>629</v>
      </c>
      <c r="L848" s="3">
        <v>51.3</v>
      </c>
      <c r="M848" s="3">
        <v>53.86</v>
      </c>
      <c r="N848" s="3">
        <v>109.99</v>
      </c>
      <c r="O848" s="2" t="s">
        <v>97</v>
      </c>
      <c r="P848" s="2" t="s">
        <v>98</v>
      </c>
      <c r="Q848" s="2" t="s">
        <v>99</v>
      </c>
      <c r="R848" s="2" t="s">
        <v>100</v>
      </c>
      <c r="S848" s="2" t="s">
        <v>2997</v>
      </c>
      <c r="T848" s="2" t="s">
        <v>280</v>
      </c>
      <c r="U848" s="2" t="s">
        <v>480</v>
      </c>
      <c r="V848" s="2" t="s">
        <v>2935</v>
      </c>
      <c r="W848" s="2" t="s">
        <v>319</v>
      </c>
      <c r="X848" s="2" t="s">
        <v>100</v>
      </c>
      <c r="Y848" s="2" t="s">
        <v>3142</v>
      </c>
      <c r="Z848" s="4">
        <v>317</v>
      </c>
      <c r="AA848" s="4">
        <f>=ROUNDDOWN(52.8333333333333,0)</f>
      </c>
      <c r="AB848" s="5">
        <v>6</v>
      </c>
      <c r="AC848" s="2" t="s">
        <v>241</v>
      </c>
      <c r="AD848" s="4">
        <v>80</v>
      </c>
      <c r="AE848" s="4">
        <v>260</v>
      </c>
      <c r="AF848" s="6">
        <v>66</v>
      </c>
      <c r="AG848" s="6">
        <v>74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126</v>
      </c>
      <c r="BK848" s="8">
        <v>7293.17</v>
      </c>
      <c r="BL848" s="2" t="s">
        <v>3143</v>
      </c>
      <c r="BM848" s="7"/>
      <c r="BN848" s="7"/>
      <c r="BO848" s="4"/>
      <c r="BP848" s="8"/>
      <c r="BQ848" s="4"/>
      <c r="BR848" s="8"/>
      <c r="BS848" s="7"/>
      <c r="BT848" s="7"/>
      <c r="BU848" s="2" t="s">
        <v>2528</v>
      </c>
      <c r="BV848" s="2" t="s">
        <v>97</v>
      </c>
      <c r="BW848" s="2" t="s">
        <v>100</v>
      </c>
      <c r="BX848" s="2" t="s">
        <v>100</v>
      </c>
      <c r="BY848" s="2" t="s">
        <v>113</v>
      </c>
      <c r="BZ848" s="2" t="s">
        <v>100</v>
      </c>
    </row>
    <row r="849">
      <c r="A849" s="2" t="s">
        <v>3144</v>
      </c>
      <c r="B849" s="2" t="s">
        <v>87</v>
      </c>
      <c r="C849" s="2" t="s">
        <v>2850</v>
      </c>
      <c r="D849" s="2" t="s">
        <v>1638</v>
      </c>
      <c r="E849" s="2" t="s">
        <v>1639</v>
      </c>
      <c r="F849" s="2" t="s">
        <v>2985</v>
      </c>
      <c r="G849" s="2" t="s">
        <v>2985</v>
      </c>
      <c r="H849" s="2" t="s">
        <v>2985</v>
      </c>
      <c r="I849" s="2" t="s">
        <v>3135</v>
      </c>
      <c r="J849" s="2" t="s">
        <v>270</v>
      </c>
      <c r="K849" s="2" t="s">
        <v>629</v>
      </c>
      <c r="L849" s="3">
        <v>65.55</v>
      </c>
      <c r="M849" s="3">
        <v>68.83</v>
      </c>
      <c r="N849" s="3">
        <v>139.99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2997</v>
      </c>
      <c r="T849" s="2" t="s">
        <v>280</v>
      </c>
      <c r="U849" s="2" t="s">
        <v>480</v>
      </c>
      <c r="V849" s="2" t="s">
        <v>2935</v>
      </c>
      <c r="W849" s="2" t="s">
        <v>319</v>
      </c>
      <c r="X849" s="2" t="s">
        <v>100</v>
      </c>
      <c r="Y849" s="2" t="s">
        <v>3142</v>
      </c>
      <c r="Z849" s="4">
        <v>567</v>
      </c>
      <c r="AA849" s="4">
        <f>=ROUNDDOWN(94.5,0)</f>
      </c>
      <c r="AB849" s="5">
        <v>6</v>
      </c>
      <c r="AC849" s="2" t="s">
        <v>148</v>
      </c>
      <c r="AD849" s="4">
        <v>70</v>
      </c>
      <c r="AE849" s="4">
        <v>70</v>
      </c>
      <c r="AF849" s="6">
        <v>66</v>
      </c>
      <c r="AG849" s="6">
        <v>74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128</v>
      </c>
      <c r="BK849" s="8">
        <v>9394.98</v>
      </c>
      <c r="BL849" s="2" t="s">
        <v>3145</v>
      </c>
      <c r="BM849" s="7"/>
      <c r="BN849" s="7"/>
      <c r="BO849" s="4"/>
      <c r="BP849" s="8"/>
      <c r="BQ849" s="4"/>
      <c r="BR849" s="8"/>
      <c r="BS849" s="7"/>
      <c r="BT849" s="7"/>
      <c r="BU849" s="2" t="s">
        <v>2528</v>
      </c>
      <c r="BV849" s="2" t="s">
        <v>97</v>
      </c>
      <c r="BW849" s="2" t="s">
        <v>100</v>
      </c>
      <c r="BX849" s="2" t="s">
        <v>100</v>
      </c>
      <c r="BY849" s="2" t="s">
        <v>113</v>
      </c>
      <c r="BZ849" s="2" t="s">
        <v>100</v>
      </c>
    </row>
    <row r="850">
      <c r="A850" s="2" t="s">
        <v>3146</v>
      </c>
      <c r="B850" s="2" t="s">
        <v>87</v>
      </c>
      <c r="C850" s="2" t="s">
        <v>2850</v>
      </c>
      <c r="D850" s="2" t="s">
        <v>1638</v>
      </c>
      <c r="E850" s="2" t="s">
        <v>1639</v>
      </c>
      <c r="F850" s="2" t="s">
        <v>3002</v>
      </c>
      <c r="G850" s="2" t="s">
        <v>3002</v>
      </c>
      <c r="H850" s="2" t="s">
        <v>3002</v>
      </c>
      <c r="I850" s="2" t="s">
        <v>3147</v>
      </c>
      <c r="J850" s="2" t="s">
        <v>247</v>
      </c>
      <c r="K850" s="2" t="s">
        <v>3004</v>
      </c>
      <c r="L850" s="3">
        <v>43.2</v>
      </c>
      <c r="M850" s="3">
        <v>45.36</v>
      </c>
      <c r="N850" s="3">
        <v>84.99</v>
      </c>
      <c r="O850" s="2" t="s">
        <v>97</v>
      </c>
      <c r="P850" s="2" t="s">
        <v>119</v>
      </c>
      <c r="Q850" s="2" t="s">
        <v>99</v>
      </c>
      <c r="R850" s="2" t="s">
        <v>100</v>
      </c>
      <c r="S850" s="2" t="s">
        <v>3005</v>
      </c>
      <c r="T850" s="2" t="s">
        <v>280</v>
      </c>
      <c r="U850" s="2" t="s">
        <v>480</v>
      </c>
      <c r="V850" s="2" t="s">
        <v>319</v>
      </c>
      <c r="W850" s="2" t="s">
        <v>561</v>
      </c>
      <c r="X850" s="2" t="s">
        <v>319</v>
      </c>
      <c r="Y850" s="2" t="s">
        <v>3006</v>
      </c>
      <c r="Z850" s="4">
        <v>177</v>
      </c>
      <c r="AA850" s="4">
        <f>=ROUNDDOWN(44.25,0)</f>
      </c>
      <c r="AB850" s="5">
        <v>4</v>
      </c>
      <c r="AC850" s="2" t="s">
        <v>282</v>
      </c>
      <c r="AD850" s="4">
        <v>80</v>
      </c>
      <c r="AE850" s="4">
        <v>80</v>
      </c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116</v>
      </c>
      <c r="BK850" s="8">
        <v>5917.92</v>
      </c>
      <c r="BL850" s="2" t="s">
        <v>1619</v>
      </c>
      <c r="BM850" s="7"/>
      <c r="BN850" s="7"/>
      <c r="BO850" s="4"/>
      <c r="BP850" s="8"/>
      <c r="BQ850" s="4"/>
      <c r="BR850" s="8"/>
      <c r="BS850" s="7"/>
      <c r="BT850" s="7"/>
      <c r="BU850" s="2" t="s">
        <v>2528</v>
      </c>
      <c r="BV850" s="2" t="s">
        <v>97</v>
      </c>
      <c r="BW850" s="2" t="s">
        <v>100</v>
      </c>
      <c r="BX850" s="2" t="s">
        <v>100</v>
      </c>
      <c r="BY850" s="2" t="s">
        <v>113</v>
      </c>
      <c r="BZ850" s="2" t="s">
        <v>100</v>
      </c>
    </row>
    <row r="851">
      <c r="A851" s="2" t="s">
        <v>3148</v>
      </c>
      <c r="B851" s="2" t="s">
        <v>87</v>
      </c>
      <c r="C851" s="2" t="s">
        <v>2850</v>
      </c>
      <c r="D851" s="2" t="s">
        <v>1638</v>
      </c>
      <c r="E851" s="2" t="s">
        <v>1639</v>
      </c>
      <c r="F851" s="2" t="s">
        <v>3002</v>
      </c>
      <c r="G851" s="2" t="s">
        <v>3002</v>
      </c>
      <c r="H851" s="2" t="s">
        <v>3002</v>
      </c>
      <c r="I851" s="2" t="s">
        <v>3147</v>
      </c>
      <c r="J851" s="2" t="s">
        <v>270</v>
      </c>
      <c r="K851" s="2" t="s">
        <v>3004</v>
      </c>
      <c r="L851" s="3">
        <v>57.33</v>
      </c>
      <c r="M851" s="3">
        <v>60.2</v>
      </c>
      <c r="N851" s="3">
        <v>114.99</v>
      </c>
      <c r="O851" s="2" t="s">
        <v>97</v>
      </c>
      <c r="P851" s="2" t="s">
        <v>119</v>
      </c>
      <c r="Q851" s="2" t="s">
        <v>99</v>
      </c>
      <c r="R851" s="2" t="s">
        <v>100</v>
      </c>
      <c r="S851" s="2" t="s">
        <v>3005</v>
      </c>
      <c r="T851" s="2" t="s">
        <v>280</v>
      </c>
      <c r="U851" s="2" t="s">
        <v>480</v>
      </c>
      <c r="V851" s="2" t="s">
        <v>319</v>
      </c>
      <c r="W851" s="2" t="s">
        <v>561</v>
      </c>
      <c r="X851" s="2" t="s">
        <v>319</v>
      </c>
      <c r="Y851" s="2" t="s">
        <v>3006</v>
      </c>
      <c r="Z851" s="4">
        <v>137</v>
      </c>
      <c r="AA851" s="4">
        <f>=ROUNDDOWN(22.8333333333333,0)</f>
      </c>
      <c r="AB851" s="5">
        <v>6</v>
      </c>
      <c r="AC851" s="2" t="s">
        <v>282</v>
      </c>
      <c r="AD851" s="4">
        <v>80</v>
      </c>
      <c r="AE851" s="4">
        <v>80</v>
      </c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131</v>
      </c>
      <c r="BK851" s="8">
        <v>9088.79</v>
      </c>
      <c r="BL851" s="2" t="s">
        <v>3149</v>
      </c>
      <c r="BM851" s="7"/>
      <c r="BN851" s="7"/>
      <c r="BO851" s="4"/>
      <c r="BP851" s="8"/>
      <c r="BQ851" s="4"/>
      <c r="BR851" s="8"/>
      <c r="BS851" s="7"/>
      <c r="BT851" s="7"/>
      <c r="BU851" s="2" t="s">
        <v>2528</v>
      </c>
      <c r="BV851" s="2" t="s">
        <v>97</v>
      </c>
      <c r="BW851" s="2" t="s">
        <v>100</v>
      </c>
      <c r="BX851" s="2" t="s">
        <v>100</v>
      </c>
      <c r="BY851" s="2" t="s">
        <v>113</v>
      </c>
      <c r="BZ851" s="2" t="s">
        <v>100</v>
      </c>
    </row>
    <row r="852">
      <c r="A852" s="2" t="s">
        <v>3150</v>
      </c>
      <c r="B852" s="2" t="s">
        <v>87</v>
      </c>
      <c r="C852" s="2" t="s">
        <v>2850</v>
      </c>
      <c r="D852" s="2" t="s">
        <v>1638</v>
      </c>
      <c r="E852" s="2" t="s">
        <v>1639</v>
      </c>
      <c r="F852" s="2" t="s">
        <v>3002</v>
      </c>
      <c r="G852" s="2" t="s">
        <v>3002</v>
      </c>
      <c r="H852" s="2" t="s">
        <v>3002</v>
      </c>
      <c r="I852" s="2" t="s">
        <v>3147</v>
      </c>
      <c r="J852" s="2" t="s">
        <v>247</v>
      </c>
      <c r="K852" s="2" t="s">
        <v>3011</v>
      </c>
      <c r="L852" s="3">
        <v>43.2</v>
      </c>
      <c r="M852" s="3">
        <v>45.36</v>
      </c>
      <c r="N852" s="3">
        <v>84.99</v>
      </c>
      <c r="O852" s="2" t="s">
        <v>97</v>
      </c>
      <c r="P852" s="2" t="s">
        <v>950</v>
      </c>
      <c r="Q852" s="2" t="s">
        <v>99</v>
      </c>
      <c r="R852" s="2" t="s">
        <v>100</v>
      </c>
      <c r="S852" s="2" t="s">
        <v>3012</v>
      </c>
      <c r="T852" s="2" t="s">
        <v>280</v>
      </c>
      <c r="U852" s="2" t="s">
        <v>480</v>
      </c>
      <c r="V852" s="2" t="s">
        <v>319</v>
      </c>
      <c r="W852" s="2" t="s">
        <v>561</v>
      </c>
      <c r="X852" s="2" t="s">
        <v>3013</v>
      </c>
      <c r="Y852" s="2" t="s">
        <v>3014</v>
      </c>
      <c r="Z852" s="4">
        <v>387</v>
      </c>
      <c r="AA852" s="4">
        <f>=ROUNDDOWN(48.375,0)</f>
      </c>
      <c r="AB852" s="5">
        <v>8</v>
      </c>
      <c r="AC852" s="2" t="s">
        <v>100</v>
      </c>
      <c r="AD852" s="4"/>
      <c r="AE852" s="4"/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185</v>
      </c>
      <c r="BK852" s="8">
        <v>9172.22</v>
      </c>
      <c r="BL852" s="2" t="s">
        <v>3151</v>
      </c>
      <c r="BM852" s="7"/>
      <c r="BN852" s="7"/>
      <c r="BO852" s="4"/>
      <c r="BP852" s="8"/>
      <c r="BQ852" s="4"/>
      <c r="BR852" s="8"/>
      <c r="BS852" s="7"/>
      <c r="BT852" s="7"/>
      <c r="BU852" s="2" t="s">
        <v>2528</v>
      </c>
      <c r="BV852" s="2" t="s">
        <v>97</v>
      </c>
      <c r="BW852" s="2" t="s">
        <v>100</v>
      </c>
      <c r="BX852" s="2" t="s">
        <v>100</v>
      </c>
      <c r="BY852" s="2" t="s">
        <v>113</v>
      </c>
      <c r="BZ852" s="2" t="s">
        <v>100</v>
      </c>
    </row>
    <row r="853">
      <c r="A853" s="2" t="s">
        <v>3152</v>
      </c>
      <c r="B853" s="2" t="s">
        <v>87</v>
      </c>
      <c r="C853" s="2" t="s">
        <v>2850</v>
      </c>
      <c r="D853" s="2" t="s">
        <v>1638</v>
      </c>
      <c r="E853" s="2" t="s">
        <v>1639</v>
      </c>
      <c r="F853" s="2" t="s">
        <v>3002</v>
      </c>
      <c r="G853" s="2" t="s">
        <v>3002</v>
      </c>
      <c r="H853" s="2" t="s">
        <v>3002</v>
      </c>
      <c r="I853" s="2" t="s">
        <v>3147</v>
      </c>
      <c r="J853" s="2" t="s">
        <v>270</v>
      </c>
      <c r="K853" s="2" t="s">
        <v>3011</v>
      </c>
      <c r="L853" s="3">
        <v>57.33</v>
      </c>
      <c r="M853" s="3">
        <v>60.2</v>
      </c>
      <c r="N853" s="3">
        <v>114.99</v>
      </c>
      <c r="O853" s="2" t="s">
        <v>97</v>
      </c>
      <c r="P853" s="2" t="s">
        <v>950</v>
      </c>
      <c r="Q853" s="2" t="s">
        <v>99</v>
      </c>
      <c r="R853" s="2" t="s">
        <v>100</v>
      </c>
      <c r="S853" s="2" t="s">
        <v>3012</v>
      </c>
      <c r="T853" s="2" t="s">
        <v>280</v>
      </c>
      <c r="U853" s="2" t="s">
        <v>480</v>
      </c>
      <c r="V853" s="2" t="s">
        <v>319</v>
      </c>
      <c r="W853" s="2" t="s">
        <v>561</v>
      </c>
      <c r="X853" s="2" t="s">
        <v>3013</v>
      </c>
      <c r="Y853" s="2" t="s">
        <v>3014</v>
      </c>
      <c r="Z853" s="4">
        <v>266</v>
      </c>
      <c r="AA853" s="4">
        <f>=ROUNDDOWN(33.25,0)</f>
      </c>
      <c r="AB853" s="5">
        <v>8</v>
      </c>
      <c r="AC853" s="2" t="s">
        <v>3015</v>
      </c>
      <c r="AD853" s="4">
        <v>60</v>
      </c>
      <c r="AE853" s="4">
        <v>60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221</v>
      </c>
      <c r="BK853" s="8">
        <v>14878.66</v>
      </c>
      <c r="BL853" s="2" t="s">
        <v>3153</v>
      </c>
      <c r="BM853" s="7"/>
      <c r="BN853" s="7"/>
      <c r="BO853" s="4"/>
      <c r="BP853" s="8"/>
      <c r="BQ853" s="4"/>
      <c r="BR853" s="8"/>
      <c r="BS853" s="7"/>
      <c r="BT853" s="7"/>
      <c r="BU853" s="2" t="s">
        <v>2528</v>
      </c>
      <c r="BV853" s="2" t="s">
        <v>97</v>
      </c>
      <c r="BW853" s="2" t="s">
        <v>100</v>
      </c>
      <c r="BX853" s="2" t="s">
        <v>100</v>
      </c>
      <c r="BY853" s="2" t="s">
        <v>113</v>
      </c>
      <c r="BZ853" s="2" t="s">
        <v>100</v>
      </c>
    </row>
    <row r="854">
      <c r="A854" s="2" t="s">
        <v>3154</v>
      </c>
      <c r="B854" s="2" t="s">
        <v>87</v>
      </c>
      <c r="C854" s="2" t="s">
        <v>2850</v>
      </c>
      <c r="D854" s="2" t="s">
        <v>1638</v>
      </c>
      <c r="E854" s="2" t="s">
        <v>1639</v>
      </c>
      <c r="F854" s="2" t="s">
        <v>3020</v>
      </c>
      <c r="G854" s="2" t="s">
        <v>3020</v>
      </c>
      <c r="H854" s="2" t="s">
        <v>3020</v>
      </c>
      <c r="I854" s="2" t="s">
        <v>3155</v>
      </c>
      <c r="J854" s="2" t="s">
        <v>247</v>
      </c>
      <c r="K854" s="2" t="s">
        <v>3022</v>
      </c>
      <c r="L854" s="3">
        <v>44.16</v>
      </c>
      <c r="M854" s="3">
        <v>46.37</v>
      </c>
      <c r="N854" s="3">
        <v>84.99</v>
      </c>
      <c r="O854" s="2" t="s">
        <v>97</v>
      </c>
      <c r="P854" s="2" t="s">
        <v>119</v>
      </c>
      <c r="Q854" s="2" t="s">
        <v>99</v>
      </c>
      <c r="R854" s="2" t="s">
        <v>100</v>
      </c>
      <c r="S854" s="2" t="s">
        <v>3023</v>
      </c>
      <c r="T854" s="2" t="s">
        <v>280</v>
      </c>
      <c r="U854" s="2" t="s">
        <v>480</v>
      </c>
      <c r="V854" s="2" t="s">
        <v>403</v>
      </c>
      <c r="W854" s="2" t="s">
        <v>1580</v>
      </c>
      <c r="X854" s="2" t="s">
        <v>339</v>
      </c>
      <c r="Y854" s="2" t="s">
        <v>790</v>
      </c>
      <c r="Z854" s="4">
        <v>160</v>
      </c>
      <c r="AA854" s="4">
        <f>=ROUNDDOWN(55.1724137931035,0)</f>
      </c>
      <c r="AB854" s="5">
        <v>2.9</v>
      </c>
      <c r="AC854" s="2" t="s">
        <v>100</v>
      </c>
      <c r="AD854" s="4"/>
      <c r="AE854" s="4"/>
      <c r="AF854" s="6">
        <v>67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105</v>
      </c>
      <c r="BK854" s="8">
        <v>4901.58</v>
      </c>
      <c r="BL854" s="2" t="s">
        <v>1738</v>
      </c>
      <c r="BM854" s="7"/>
      <c r="BN854" s="7"/>
      <c r="BO854" s="4"/>
      <c r="BP854" s="8"/>
      <c r="BQ854" s="4"/>
      <c r="BR854" s="8"/>
      <c r="BS854" s="7"/>
      <c r="BT854" s="7"/>
      <c r="BU854" s="2" t="s">
        <v>2528</v>
      </c>
      <c r="BV854" s="2" t="s">
        <v>97</v>
      </c>
      <c r="BW854" s="2" t="s">
        <v>100</v>
      </c>
      <c r="BX854" s="2" t="s">
        <v>100</v>
      </c>
      <c r="BY854" s="2" t="s">
        <v>113</v>
      </c>
      <c r="BZ854" s="2" t="s">
        <v>100</v>
      </c>
    </row>
    <row r="855">
      <c r="A855" s="2" t="s">
        <v>3156</v>
      </c>
      <c r="B855" s="2" t="s">
        <v>87</v>
      </c>
      <c r="C855" s="2" t="s">
        <v>2850</v>
      </c>
      <c r="D855" s="2" t="s">
        <v>1638</v>
      </c>
      <c r="E855" s="2" t="s">
        <v>1639</v>
      </c>
      <c r="F855" s="2" t="s">
        <v>3020</v>
      </c>
      <c r="G855" s="2" t="s">
        <v>3020</v>
      </c>
      <c r="H855" s="2" t="s">
        <v>3020</v>
      </c>
      <c r="I855" s="2" t="s">
        <v>3155</v>
      </c>
      <c r="J855" s="2" t="s">
        <v>270</v>
      </c>
      <c r="K855" s="2" t="s">
        <v>3022</v>
      </c>
      <c r="L855" s="3">
        <v>58.6</v>
      </c>
      <c r="M855" s="3">
        <v>61.53</v>
      </c>
      <c r="N855" s="3">
        <v>114.99</v>
      </c>
      <c r="O855" s="2" t="s">
        <v>97</v>
      </c>
      <c r="P855" s="2" t="s">
        <v>119</v>
      </c>
      <c r="Q855" s="2" t="s">
        <v>99</v>
      </c>
      <c r="R855" s="2" t="s">
        <v>100</v>
      </c>
      <c r="S855" s="2" t="s">
        <v>3023</v>
      </c>
      <c r="T855" s="2" t="s">
        <v>280</v>
      </c>
      <c r="U855" s="2" t="s">
        <v>480</v>
      </c>
      <c r="V855" s="2" t="s">
        <v>403</v>
      </c>
      <c r="W855" s="2" t="s">
        <v>1580</v>
      </c>
      <c r="X855" s="2" t="s">
        <v>339</v>
      </c>
      <c r="Y855" s="2" t="s">
        <v>790</v>
      </c>
      <c r="Z855" s="4">
        <v>334</v>
      </c>
      <c r="AA855" s="4">
        <f>=ROUNDDOWN(47.7142857142857,0)</f>
      </c>
      <c r="AB855" s="5">
        <v>7</v>
      </c>
      <c r="AC855" s="2" t="s">
        <v>100</v>
      </c>
      <c r="AD855" s="4"/>
      <c r="AE855" s="4"/>
      <c r="AF855" s="6">
        <v>67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148</v>
      </c>
      <c r="BK855" s="8">
        <v>9762.94</v>
      </c>
      <c r="BL855" s="2" t="s">
        <v>229</v>
      </c>
      <c r="BM855" s="7"/>
      <c r="BN855" s="7"/>
      <c r="BO855" s="4"/>
      <c r="BP855" s="8"/>
      <c r="BQ855" s="4"/>
      <c r="BR855" s="8"/>
      <c r="BS855" s="7"/>
      <c r="BT855" s="7"/>
      <c r="BU855" s="2" t="s">
        <v>2528</v>
      </c>
      <c r="BV855" s="2" t="s">
        <v>97</v>
      </c>
      <c r="BW855" s="2" t="s">
        <v>100</v>
      </c>
      <c r="BX855" s="2" t="s">
        <v>100</v>
      </c>
      <c r="BY855" s="2" t="s">
        <v>113</v>
      </c>
      <c r="BZ855" s="2" t="s">
        <v>100</v>
      </c>
    </row>
    <row r="856">
      <c r="A856" s="2" t="s">
        <v>3157</v>
      </c>
      <c r="B856" s="2" t="s">
        <v>87</v>
      </c>
      <c r="C856" s="2" t="s">
        <v>2850</v>
      </c>
      <c r="D856" s="2" t="s">
        <v>1638</v>
      </c>
      <c r="E856" s="2" t="s">
        <v>1639</v>
      </c>
      <c r="F856" s="2" t="s">
        <v>3020</v>
      </c>
      <c r="G856" s="2" t="s">
        <v>3020</v>
      </c>
      <c r="H856" s="2" t="s">
        <v>3020</v>
      </c>
      <c r="I856" s="2" t="s">
        <v>3155</v>
      </c>
      <c r="J856" s="2" t="s">
        <v>247</v>
      </c>
      <c r="K856" s="2" t="s">
        <v>3028</v>
      </c>
      <c r="L856" s="3">
        <v>44.16</v>
      </c>
      <c r="M856" s="3">
        <v>46.37</v>
      </c>
      <c r="N856" s="3">
        <v>84.99</v>
      </c>
      <c r="O856" s="2" t="s">
        <v>97</v>
      </c>
      <c r="P856" s="2" t="s">
        <v>372</v>
      </c>
      <c r="Q856" s="2" t="s">
        <v>99</v>
      </c>
      <c r="R856" s="2" t="s">
        <v>100</v>
      </c>
      <c r="S856" s="2" t="s">
        <v>3029</v>
      </c>
      <c r="T856" s="2" t="s">
        <v>280</v>
      </c>
      <c r="U856" s="2" t="s">
        <v>480</v>
      </c>
      <c r="V856" s="2" t="s">
        <v>403</v>
      </c>
      <c r="W856" s="2" t="s">
        <v>1580</v>
      </c>
      <c r="X856" s="2" t="s">
        <v>339</v>
      </c>
      <c r="Y856" s="2" t="s">
        <v>3030</v>
      </c>
      <c r="Z856" s="4">
        <v>3003</v>
      </c>
      <c r="AA856" s="4">
        <f>=ROUNDDOWN(231,0)</f>
      </c>
      <c r="AB856" s="5">
        <v>13</v>
      </c>
      <c r="AC856" s="2" t="s">
        <v>100</v>
      </c>
      <c r="AD856" s="4"/>
      <c r="AE856" s="4"/>
      <c r="AF856" s="6">
        <v>67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379</v>
      </c>
      <c r="BK856" s="8">
        <v>18339.38</v>
      </c>
      <c r="BL856" s="2" t="s">
        <v>3158</v>
      </c>
      <c r="BM856" s="7"/>
      <c r="BN856" s="7"/>
      <c r="BO856" s="4"/>
      <c r="BP856" s="8"/>
      <c r="BQ856" s="4"/>
      <c r="BR856" s="8"/>
      <c r="BS856" s="7"/>
      <c r="BT856" s="7"/>
      <c r="BU856" s="2" t="s">
        <v>2528</v>
      </c>
      <c r="BV856" s="2" t="s">
        <v>97</v>
      </c>
      <c r="BW856" s="2" t="s">
        <v>100</v>
      </c>
      <c r="BX856" s="2" t="s">
        <v>100</v>
      </c>
      <c r="BY856" s="2" t="s">
        <v>113</v>
      </c>
      <c r="BZ856" s="2" t="s">
        <v>100</v>
      </c>
    </row>
    <row r="857">
      <c r="A857" s="2" t="s">
        <v>3159</v>
      </c>
      <c r="B857" s="2" t="s">
        <v>87</v>
      </c>
      <c r="C857" s="2" t="s">
        <v>2850</v>
      </c>
      <c r="D857" s="2" t="s">
        <v>1638</v>
      </c>
      <c r="E857" s="2" t="s">
        <v>1639</v>
      </c>
      <c r="F857" s="2" t="s">
        <v>3020</v>
      </c>
      <c r="G857" s="2" t="s">
        <v>3020</v>
      </c>
      <c r="H857" s="2" t="s">
        <v>3020</v>
      </c>
      <c r="I857" s="2" t="s">
        <v>3155</v>
      </c>
      <c r="J857" s="2" t="s">
        <v>270</v>
      </c>
      <c r="K857" s="2" t="s">
        <v>3028</v>
      </c>
      <c r="L857" s="3">
        <v>58.6</v>
      </c>
      <c r="M857" s="3">
        <v>61.53</v>
      </c>
      <c r="N857" s="3">
        <v>114.99</v>
      </c>
      <c r="O857" s="2" t="s">
        <v>97</v>
      </c>
      <c r="P857" s="2" t="s">
        <v>372</v>
      </c>
      <c r="Q857" s="2" t="s">
        <v>99</v>
      </c>
      <c r="R857" s="2" t="s">
        <v>100</v>
      </c>
      <c r="S857" s="2" t="s">
        <v>3029</v>
      </c>
      <c r="T857" s="2" t="s">
        <v>280</v>
      </c>
      <c r="U857" s="2" t="s">
        <v>480</v>
      </c>
      <c r="V857" s="2" t="s">
        <v>403</v>
      </c>
      <c r="W857" s="2" t="s">
        <v>1580</v>
      </c>
      <c r="X857" s="2" t="s">
        <v>339</v>
      </c>
      <c r="Y857" s="2" t="s">
        <v>3030</v>
      </c>
      <c r="Z857" s="4">
        <v>3448</v>
      </c>
      <c r="AA857" s="4">
        <f>=ROUNDDOWN(156.727272727273,0)</f>
      </c>
      <c r="AB857" s="5">
        <v>22</v>
      </c>
      <c r="AC857" s="2" t="s">
        <v>100</v>
      </c>
      <c r="AD857" s="4"/>
      <c r="AE857" s="4"/>
      <c r="AF857" s="6">
        <v>67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575</v>
      </c>
      <c r="BK857" s="8">
        <v>38557.1</v>
      </c>
      <c r="BL857" s="2" t="s">
        <v>3160</v>
      </c>
      <c r="BM857" s="7"/>
      <c r="BN857" s="7"/>
      <c r="BO857" s="4"/>
      <c r="BP857" s="8"/>
      <c r="BQ857" s="4"/>
      <c r="BR857" s="8"/>
      <c r="BS857" s="7"/>
      <c r="BT857" s="7"/>
      <c r="BU857" s="2" t="s">
        <v>2528</v>
      </c>
      <c r="BV857" s="2" t="s">
        <v>97</v>
      </c>
      <c r="BW857" s="2" t="s">
        <v>100</v>
      </c>
      <c r="BX857" s="2" t="s">
        <v>100</v>
      </c>
      <c r="BY857" s="2" t="s">
        <v>113</v>
      </c>
      <c r="BZ857" s="2" t="s">
        <v>100</v>
      </c>
    </row>
    <row r="858">
      <c r="A858" s="2" t="s">
        <v>3161</v>
      </c>
      <c r="B858" s="2" t="s">
        <v>87</v>
      </c>
      <c r="C858" s="2" t="s">
        <v>2850</v>
      </c>
      <c r="D858" s="2" t="s">
        <v>1638</v>
      </c>
      <c r="E858" s="2" t="s">
        <v>1639</v>
      </c>
      <c r="F858" s="2" t="s">
        <v>3036</v>
      </c>
      <c r="G858" s="2" t="s">
        <v>3036</v>
      </c>
      <c r="H858" s="2" t="s">
        <v>3036</v>
      </c>
      <c r="I858" s="2" t="s">
        <v>3162</v>
      </c>
      <c r="J858" s="2" t="s">
        <v>247</v>
      </c>
      <c r="K858" s="2" t="s">
        <v>3038</v>
      </c>
      <c r="L858" s="3">
        <v>45.71</v>
      </c>
      <c r="M858" s="3">
        <v>48</v>
      </c>
      <c r="N858" s="3">
        <v>99.99</v>
      </c>
      <c r="O858" s="2" t="s">
        <v>97</v>
      </c>
      <c r="P858" s="2" t="s">
        <v>119</v>
      </c>
      <c r="Q858" s="2" t="s">
        <v>99</v>
      </c>
      <c r="R858" s="2" t="s">
        <v>100</v>
      </c>
      <c r="S858" s="2" t="s">
        <v>3039</v>
      </c>
      <c r="T858" s="2" t="s">
        <v>280</v>
      </c>
      <c r="U858" s="2" t="s">
        <v>480</v>
      </c>
      <c r="V858" s="2" t="s">
        <v>350</v>
      </c>
      <c r="W858" s="2" t="s">
        <v>3013</v>
      </c>
      <c r="X858" s="2" t="s">
        <v>183</v>
      </c>
      <c r="Y858" s="2" t="s">
        <v>2162</v>
      </c>
      <c r="Z858" s="4">
        <v>116</v>
      </c>
      <c r="AA858" s="4">
        <f>=ROUNDDOWN(23.2,0)</f>
      </c>
      <c r="AB858" s="5">
        <v>5</v>
      </c>
      <c r="AC858" s="2" t="s">
        <v>174</v>
      </c>
      <c r="AD858" s="4">
        <v>80</v>
      </c>
      <c r="AE858" s="4">
        <v>80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64</v>
      </c>
      <c r="BK858" s="8">
        <v>3363.01</v>
      </c>
      <c r="BL858" s="2" t="s">
        <v>3163</v>
      </c>
      <c r="BM858" s="7"/>
      <c r="BN858" s="7"/>
      <c r="BO858" s="4"/>
      <c r="BP858" s="8"/>
      <c r="BQ858" s="4"/>
      <c r="BR858" s="8"/>
      <c r="BS858" s="7"/>
      <c r="BT858" s="7"/>
      <c r="BU858" s="2" t="s">
        <v>2528</v>
      </c>
      <c r="BV858" s="2" t="s">
        <v>97</v>
      </c>
      <c r="BW858" s="2" t="s">
        <v>100</v>
      </c>
      <c r="BX858" s="2" t="s">
        <v>100</v>
      </c>
      <c r="BY858" s="2" t="s">
        <v>113</v>
      </c>
      <c r="BZ858" s="2" t="s">
        <v>100</v>
      </c>
    </row>
    <row r="859">
      <c r="A859" s="2" t="s">
        <v>3164</v>
      </c>
      <c r="B859" s="2" t="s">
        <v>87</v>
      </c>
      <c r="C859" s="2" t="s">
        <v>2850</v>
      </c>
      <c r="D859" s="2" t="s">
        <v>1638</v>
      </c>
      <c r="E859" s="2" t="s">
        <v>1639</v>
      </c>
      <c r="F859" s="2" t="s">
        <v>3036</v>
      </c>
      <c r="G859" s="2" t="s">
        <v>3036</v>
      </c>
      <c r="H859" s="2" t="s">
        <v>3036</v>
      </c>
      <c r="I859" s="2" t="s">
        <v>3162</v>
      </c>
      <c r="J859" s="2" t="s">
        <v>270</v>
      </c>
      <c r="K859" s="2" t="s">
        <v>3038</v>
      </c>
      <c r="L859" s="3">
        <v>54.85</v>
      </c>
      <c r="M859" s="3">
        <v>57.59</v>
      </c>
      <c r="N859" s="3">
        <v>119.99</v>
      </c>
      <c r="O859" s="2" t="s">
        <v>97</v>
      </c>
      <c r="P859" s="2" t="s">
        <v>119</v>
      </c>
      <c r="Q859" s="2" t="s">
        <v>99</v>
      </c>
      <c r="R859" s="2" t="s">
        <v>100</v>
      </c>
      <c r="S859" s="2" t="s">
        <v>3039</v>
      </c>
      <c r="T859" s="2" t="s">
        <v>280</v>
      </c>
      <c r="U859" s="2" t="s">
        <v>480</v>
      </c>
      <c r="V859" s="2" t="s">
        <v>350</v>
      </c>
      <c r="W859" s="2" t="s">
        <v>3013</v>
      </c>
      <c r="X859" s="2" t="s">
        <v>183</v>
      </c>
      <c r="Y859" s="2" t="s">
        <v>2162</v>
      </c>
      <c r="Z859" s="4">
        <v>97</v>
      </c>
      <c r="AA859" s="4">
        <f>=ROUNDDOWN(13.8571428571429,0)</f>
      </c>
      <c r="AB859" s="5">
        <v>7</v>
      </c>
      <c r="AC859" s="2" t="s">
        <v>1035</v>
      </c>
      <c r="AD859" s="4">
        <v>50</v>
      </c>
      <c r="AE859" s="4">
        <v>150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81</v>
      </c>
      <c r="BK859" s="8">
        <v>5088.03</v>
      </c>
      <c r="BL859" s="2" t="s">
        <v>3095</v>
      </c>
      <c r="BM859" s="7"/>
      <c r="BN859" s="7"/>
      <c r="BO859" s="4"/>
      <c r="BP859" s="8"/>
      <c r="BQ859" s="4"/>
      <c r="BR859" s="8"/>
      <c r="BS859" s="7"/>
      <c r="BT859" s="7"/>
      <c r="BU859" s="2" t="s">
        <v>2528</v>
      </c>
      <c r="BV859" s="2" t="s">
        <v>97</v>
      </c>
      <c r="BW859" s="2" t="s">
        <v>100</v>
      </c>
      <c r="BX859" s="2" t="s">
        <v>100</v>
      </c>
      <c r="BY859" s="2" t="s">
        <v>113</v>
      </c>
      <c r="BZ859" s="2" t="s">
        <v>100</v>
      </c>
    </row>
    <row r="860">
      <c r="A860" s="2" t="s">
        <v>3165</v>
      </c>
      <c r="B860" s="2" t="s">
        <v>87</v>
      </c>
      <c r="C860" s="2" t="s">
        <v>2850</v>
      </c>
      <c r="D860" s="2" t="s">
        <v>1638</v>
      </c>
      <c r="E860" s="2" t="s">
        <v>1639</v>
      </c>
      <c r="F860" s="2" t="s">
        <v>3036</v>
      </c>
      <c r="G860" s="2" t="s">
        <v>3036</v>
      </c>
      <c r="H860" s="2" t="s">
        <v>3036</v>
      </c>
      <c r="I860" s="2" t="s">
        <v>3162</v>
      </c>
      <c r="J860" s="2" t="s">
        <v>247</v>
      </c>
      <c r="K860" s="2" t="s">
        <v>629</v>
      </c>
      <c r="L860" s="3">
        <v>45.71</v>
      </c>
      <c r="M860" s="3">
        <v>48</v>
      </c>
      <c r="N860" s="3">
        <v>99.99</v>
      </c>
      <c r="O860" s="2" t="s">
        <v>97</v>
      </c>
      <c r="P860" s="2" t="s">
        <v>119</v>
      </c>
      <c r="Q860" s="2" t="s">
        <v>99</v>
      </c>
      <c r="R860" s="2" t="s">
        <v>100</v>
      </c>
      <c r="S860" s="2" t="s">
        <v>3043</v>
      </c>
      <c r="T860" s="2" t="s">
        <v>280</v>
      </c>
      <c r="U860" s="2" t="s">
        <v>480</v>
      </c>
      <c r="V860" s="2" t="s">
        <v>350</v>
      </c>
      <c r="W860" s="2" t="s">
        <v>3013</v>
      </c>
      <c r="X860" s="2" t="s">
        <v>183</v>
      </c>
      <c r="Y860" s="2" t="s">
        <v>2162</v>
      </c>
      <c r="Z860" s="4">
        <v>156</v>
      </c>
      <c r="AA860" s="4">
        <f>=ROUNDDOWN(39,0)</f>
      </c>
      <c r="AB860" s="5">
        <v>4</v>
      </c>
      <c r="AC860" s="2" t="s">
        <v>2618</v>
      </c>
      <c r="AD860" s="4">
        <v>80</v>
      </c>
      <c r="AE860" s="4">
        <v>150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42</v>
      </c>
      <c r="BK860" s="8">
        <v>2189.48</v>
      </c>
      <c r="BL860" s="2" t="s">
        <v>3166</v>
      </c>
      <c r="BM860" s="7"/>
      <c r="BN860" s="7"/>
      <c r="BO860" s="4"/>
      <c r="BP860" s="8"/>
      <c r="BQ860" s="4"/>
      <c r="BR860" s="8"/>
      <c r="BS860" s="7"/>
      <c r="BT860" s="7"/>
      <c r="BU860" s="2" t="s">
        <v>2528</v>
      </c>
      <c r="BV860" s="2" t="s">
        <v>97</v>
      </c>
      <c r="BW860" s="2" t="s">
        <v>100</v>
      </c>
      <c r="BX860" s="2" t="s">
        <v>100</v>
      </c>
      <c r="BY860" s="2" t="s">
        <v>113</v>
      </c>
      <c r="BZ860" s="2" t="s">
        <v>100</v>
      </c>
    </row>
    <row r="861">
      <c r="A861" s="2" t="s">
        <v>3167</v>
      </c>
      <c r="B861" s="2" t="s">
        <v>87</v>
      </c>
      <c r="C861" s="2" t="s">
        <v>2850</v>
      </c>
      <c r="D861" s="2" t="s">
        <v>1638</v>
      </c>
      <c r="E861" s="2" t="s">
        <v>1639</v>
      </c>
      <c r="F861" s="2" t="s">
        <v>3036</v>
      </c>
      <c r="G861" s="2" t="s">
        <v>3036</v>
      </c>
      <c r="H861" s="2" t="s">
        <v>3036</v>
      </c>
      <c r="I861" s="2" t="s">
        <v>3162</v>
      </c>
      <c r="J861" s="2" t="s">
        <v>270</v>
      </c>
      <c r="K861" s="2" t="s">
        <v>629</v>
      </c>
      <c r="L861" s="3">
        <v>54.85</v>
      </c>
      <c r="M861" s="3">
        <v>57.59</v>
      </c>
      <c r="N861" s="3">
        <v>119.99</v>
      </c>
      <c r="O861" s="2" t="s">
        <v>97</v>
      </c>
      <c r="P861" s="2" t="s">
        <v>119</v>
      </c>
      <c r="Q861" s="2" t="s">
        <v>99</v>
      </c>
      <c r="R861" s="2" t="s">
        <v>100</v>
      </c>
      <c r="S861" s="2" t="s">
        <v>3043</v>
      </c>
      <c r="T861" s="2" t="s">
        <v>280</v>
      </c>
      <c r="U861" s="2" t="s">
        <v>480</v>
      </c>
      <c r="V861" s="2" t="s">
        <v>350</v>
      </c>
      <c r="W861" s="2" t="s">
        <v>3013</v>
      </c>
      <c r="X861" s="2" t="s">
        <v>183</v>
      </c>
      <c r="Y861" s="2" t="s">
        <v>2162</v>
      </c>
      <c r="Z861" s="4">
        <v>124</v>
      </c>
      <c r="AA861" s="4">
        <f>=ROUNDDOWN(31,0)</f>
      </c>
      <c r="AB861" s="5">
        <v>4</v>
      </c>
      <c r="AC861" s="2" t="s">
        <v>2618</v>
      </c>
      <c r="AD861" s="4">
        <v>130</v>
      </c>
      <c r="AE861" s="4">
        <v>220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52</v>
      </c>
      <c r="BK861" s="8">
        <v>3255.33</v>
      </c>
      <c r="BL861" s="2" t="s">
        <v>3168</v>
      </c>
      <c r="BM861" s="7"/>
      <c r="BN861" s="7"/>
      <c r="BO861" s="4"/>
      <c r="BP861" s="8"/>
      <c r="BQ861" s="4"/>
      <c r="BR861" s="8"/>
      <c r="BS861" s="7"/>
      <c r="BT861" s="7"/>
      <c r="BU861" s="2" t="s">
        <v>2528</v>
      </c>
      <c r="BV861" s="2" t="s">
        <v>97</v>
      </c>
      <c r="BW861" s="2" t="s">
        <v>100</v>
      </c>
      <c r="BX861" s="2" t="s">
        <v>100</v>
      </c>
      <c r="BY861" s="2" t="s">
        <v>113</v>
      </c>
      <c r="BZ861" s="2" t="s">
        <v>100</v>
      </c>
    </row>
    <row r="862">
      <c r="A862" s="2" t="s">
        <v>3169</v>
      </c>
      <c r="B862" s="2" t="s">
        <v>87</v>
      </c>
      <c r="C862" s="2" t="s">
        <v>2850</v>
      </c>
      <c r="D862" s="2" t="s">
        <v>1638</v>
      </c>
      <c r="E862" s="2" t="s">
        <v>1639</v>
      </c>
      <c r="F862" s="2" t="s">
        <v>3048</v>
      </c>
      <c r="G862" s="2" t="s">
        <v>3048</v>
      </c>
      <c r="H862" s="2" t="s">
        <v>3048</v>
      </c>
      <c r="I862" s="2" t="s">
        <v>3170</v>
      </c>
      <c r="J862" s="2" t="s">
        <v>247</v>
      </c>
      <c r="K862" s="2" t="s">
        <v>3050</v>
      </c>
      <c r="L862" s="3">
        <v>53.9</v>
      </c>
      <c r="M862" s="3">
        <v>56.6</v>
      </c>
      <c r="N862" s="3">
        <v>109.99</v>
      </c>
      <c r="O862" s="2" t="s">
        <v>97</v>
      </c>
      <c r="P862" s="2" t="s">
        <v>119</v>
      </c>
      <c r="Q862" s="2" t="s">
        <v>99</v>
      </c>
      <c r="R862" s="2" t="s">
        <v>100</v>
      </c>
      <c r="S862" s="2" t="s">
        <v>3051</v>
      </c>
      <c r="T862" s="2" t="s">
        <v>280</v>
      </c>
      <c r="U862" s="2" t="s">
        <v>480</v>
      </c>
      <c r="V862" s="2" t="s">
        <v>1150</v>
      </c>
      <c r="W862" s="2" t="s">
        <v>158</v>
      </c>
      <c r="X862" s="2" t="s">
        <v>183</v>
      </c>
      <c r="Y862" s="2" t="s">
        <v>779</v>
      </c>
      <c r="Z862" s="4">
        <v>86</v>
      </c>
      <c r="AA862" s="4">
        <f>=ROUNDDOWN(14.3333333333333,0)</f>
      </c>
      <c r="AB862" s="5">
        <v>6</v>
      </c>
      <c r="AC862" s="2" t="s">
        <v>977</v>
      </c>
      <c r="AD862" s="4">
        <v>100</v>
      </c>
      <c r="AE862" s="4">
        <v>170</v>
      </c>
      <c r="AF862" s="6">
        <v>67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105</v>
      </c>
      <c r="BK862" s="8">
        <v>6415.93</v>
      </c>
      <c r="BL862" s="2" t="s">
        <v>3099</v>
      </c>
      <c r="BM862" s="7"/>
      <c r="BN862" s="7"/>
      <c r="BO862" s="4"/>
      <c r="BP862" s="8"/>
      <c r="BQ862" s="4"/>
      <c r="BR862" s="8"/>
      <c r="BS862" s="7"/>
      <c r="BT862" s="7"/>
      <c r="BU862" s="2" t="s">
        <v>2528</v>
      </c>
      <c r="BV862" s="2" t="s">
        <v>97</v>
      </c>
      <c r="BW862" s="2" t="s">
        <v>100</v>
      </c>
      <c r="BX862" s="2" t="s">
        <v>100</v>
      </c>
      <c r="BY862" s="2" t="s">
        <v>113</v>
      </c>
      <c r="BZ862" s="2" t="s">
        <v>100</v>
      </c>
    </row>
    <row r="863">
      <c r="A863" s="2" t="s">
        <v>3171</v>
      </c>
      <c r="B863" s="2" t="s">
        <v>87</v>
      </c>
      <c r="C863" s="2" t="s">
        <v>2850</v>
      </c>
      <c r="D863" s="2" t="s">
        <v>1638</v>
      </c>
      <c r="E863" s="2" t="s">
        <v>1639</v>
      </c>
      <c r="F863" s="2" t="s">
        <v>3048</v>
      </c>
      <c r="G863" s="2" t="s">
        <v>3048</v>
      </c>
      <c r="H863" s="2" t="s">
        <v>3048</v>
      </c>
      <c r="I863" s="2" t="s">
        <v>3170</v>
      </c>
      <c r="J863" s="2" t="s">
        <v>270</v>
      </c>
      <c r="K863" s="2" t="s">
        <v>3050</v>
      </c>
      <c r="L863" s="3">
        <v>67.2</v>
      </c>
      <c r="M863" s="3">
        <v>70.56</v>
      </c>
      <c r="N863" s="3">
        <v>139.99</v>
      </c>
      <c r="O863" s="2" t="s">
        <v>97</v>
      </c>
      <c r="P863" s="2" t="s">
        <v>119</v>
      </c>
      <c r="Q863" s="2" t="s">
        <v>99</v>
      </c>
      <c r="R863" s="2" t="s">
        <v>100</v>
      </c>
      <c r="S863" s="2" t="s">
        <v>3051</v>
      </c>
      <c r="T863" s="2" t="s">
        <v>280</v>
      </c>
      <c r="U863" s="2" t="s">
        <v>480</v>
      </c>
      <c r="V863" s="2" t="s">
        <v>1150</v>
      </c>
      <c r="W863" s="2" t="s">
        <v>158</v>
      </c>
      <c r="X863" s="2" t="s">
        <v>183</v>
      </c>
      <c r="Y863" s="2" t="s">
        <v>779</v>
      </c>
      <c r="Z863" s="4">
        <v>102</v>
      </c>
      <c r="AA863" s="4">
        <f>=ROUNDDOWN(23.7209302325581,0)</f>
      </c>
      <c r="AB863" s="5">
        <v>4.3</v>
      </c>
      <c r="AC863" s="2" t="s">
        <v>977</v>
      </c>
      <c r="AD863" s="4">
        <v>150</v>
      </c>
      <c r="AE863" s="4">
        <v>150</v>
      </c>
      <c r="AF863" s="6">
        <v>67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96</v>
      </c>
      <c r="BK863" s="8">
        <v>7278.75</v>
      </c>
      <c r="BL863" s="2" t="s">
        <v>3099</v>
      </c>
      <c r="BM863" s="7"/>
      <c r="BN863" s="7"/>
      <c r="BO863" s="4"/>
      <c r="BP863" s="8"/>
      <c r="BQ863" s="4"/>
      <c r="BR863" s="8"/>
      <c r="BS863" s="7"/>
      <c r="BT863" s="7"/>
      <c r="BU863" s="2" t="s">
        <v>2528</v>
      </c>
      <c r="BV863" s="2" t="s">
        <v>97</v>
      </c>
      <c r="BW863" s="2" t="s">
        <v>100</v>
      </c>
      <c r="BX863" s="2" t="s">
        <v>100</v>
      </c>
      <c r="BY863" s="2" t="s">
        <v>113</v>
      </c>
      <c r="BZ863" s="2" t="s">
        <v>100</v>
      </c>
    </row>
    <row r="864">
      <c r="A864" s="2" t="s">
        <v>3172</v>
      </c>
      <c r="B864" s="2" t="s">
        <v>87</v>
      </c>
      <c r="C864" s="2" t="s">
        <v>2850</v>
      </c>
      <c r="D864" s="2" t="s">
        <v>2503</v>
      </c>
      <c r="E864" s="2" t="s">
        <v>2504</v>
      </c>
      <c r="F864" s="2" t="s">
        <v>2005</v>
      </c>
      <c r="G864" s="2" t="s">
        <v>2005</v>
      </c>
      <c r="H864" s="2" t="s">
        <v>100</v>
      </c>
      <c r="I864" s="2" t="s">
        <v>3173</v>
      </c>
      <c r="J864" s="2" t="s">
        <v>3174</v>
      </c>
      <c r="K864" s="2" t="s">
        <v>198</v>
      </c>
      <c r="L864" s="3">
        <v>15.2</v>
      </c>
      <c r="M864" s="3">
        <v>15.96</v>
      </c>
      <c r="N864" s="3">
        <v>36.99</v>
      </c>
      <c r="O864" s="2" t="s">
        <v>97</v>
      </c>
      <c r="P864" s="2" t="s">
        <v>98</v>
      </c>
      <c r="Q864" s="2" t="s">
        <v>99</v>
      </c>
      <c r="R864" s="2" t="s">
        <v>100</v>
      </c>
      <c r="S864" s="2" t="s">
        <v>3175</v>
      </c>
      <c r="T864" s="2" t="s">
        <v>280</v>
      </c>
      <c r="U864" s="2" t="s">
        <v>1847</v>
      </c>
      <c r="V864" s="2" t="s">
        <v>103</v>
      </c>
      <c r="W864" s="2" t="s">
        <v>1580</v>
      </c>
      <c r="X864" s="2" t="s">
        <v>183</v>
      </c>
      <c r="Y864" s="2" t="s">
        <v>240</v>
      </c>
      <c r="Z864" s="4">
        <v>1452</v>
      </c>
      <c r="AA864" s="4">
        <f>=ROUNDDOWN(41.4857142857143,0)</f>
      </c>
      <c r="AB864" s="5">
        <v>35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>
        <v>987</v>
      </c>
      <c r="BK864" s="8">
        <v>16951.64</v>
      </c>
      <c r="BL864" s="2" t="s">
        <v>3176</v>
      </c>
      <c r="BM864" s="7"/>
      <c r="BN864" s="7"/>
      <c r="BO864" s="4"/>
      <c r="BP864" s="8"/>
      <c r="BQ864" s="4"/>
      <c r="BR864" s="8"/>
      <c r="BS864" s="7"/>
      <c r="BT864" s="7"/>
      <c r="BU864" s="2" t="s">
        <v>2528</v>
      </c>
      <c r="BV864" s="2" t="s">
        <v>97</v>
      </c>
      <c r="BW864" s="2" t="s">
        <v>100</v>
      </c>
      <c r="BX864" s="2" t="s">
        <v>100</v>
      </c>
      <c r="BY864" s="2" t="s">
        <v>113</v>
      </c>
      <c r="BZ864" s="2" t="s">
        <v>100</v>
      </c>
    </row>
    <row r="865">
      <c r="A865" s="2" t="s">
        <v>3177</v>
      </c>
      <c r="B865" s="2" t="s">
        <v>87</v>
      </c>
      <c r="C865" s="2" t="s">
        <v>3178</v>
      </c>
      <c r="D865" s="2" t="s">
        <v>803</v>
      </c>
      <c r="E865" s="2" t="s">
        <v>804</v>
      </c>
      <c r="F865" s="2" t="s">
        <v>3179</v>
      </c>
      <c r="G865" s="2" t="s">
        <v>3179</v>
      </c>
      <c r="H865" s="2" t="s">
        <v>3179</v>
      </c>
      <c r="I865" s="2" t="s">
        <v>2559</v>
      </c>
      <c r="J865" s="2" t="s">
        <v>706</v>
      </c>
      <c r="K865" s="2" t="s">
        <v>858</v>
      </c>
      <c r="L865" s="3">
        <v>172.2</v>
      </c>
      <c r="M865" s="3">
        <v>180.81</v>
      </c>
      <c r="N865" s="3">
        <v>409.99</v>
      </c>
      <c r="O865" s="2" t="s">
        <v>97</v>
      </c>
      <c r="P865" s="2" t="s">
        <v>98</v>
      </c>
      <c r="Q865" s="2" t="s">
        <v>99</v>
      </c>
      <c r="R865" s="2" t="s">
        <v>100</v>
      </c>
      <c r="S865" s="2" t="s">
        <v>3180</v>
      </c>
      <c r="T865" s="2" t="s">
        <v>100</v>
      </c>
      <c r="U865" s="2" t="s">
        <v>833</v>
      </c>
      <c r="V865" s="2" t="s">
        <v>489</v>
      </c>
      <c r="W865" s="2" t="s">
        <v>219</v>
      </c>
      <c r="X865" s="2" t="s">
        <v>362</v>
      </c>
      <c r="Y865" s="2" t="s">
        <v>3181</v>
      </c>
      <c r="Z865" s="4">
        <v>311</v>
      </c>
      <c r="AA865" s="4">
        <f>=ROUNDDOWN(62.2,0)</f>
      </c>
      <c r="AB865" s="5">
        <v>5</v>
      </c>
      <c r="AC865" s="2" t="s">
        <v>100</v>
      </c>
      <c r="AD865" s="4"/>
      <c r="AE865" s="4"/>
      <c r="AF865" s="6">
        <v>67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107</v>
      </c>
      <c r="BK865" s="8">
        <v>19518.84</v>
      </c>
      <c r="BL865" s="2" t="s">
        <v>3182</v>
      </c>
      <c r="BM865" s="7"/>
      <c r="BN865" s="7"/>
      <c r="BO865" s="4"/>
      <c r="BP865" s="8"/>
      <c r="BQ865" s="4"/>
      <c r="BR865" s="8"/>
      <c r="BS865" s="7"/>
      <c r="BT865" s="7"/>
      <c r="BU865" s="2" t="s">
        <v>2528</v>
      </c>
      <c r="BV865" s="2" t="s">
        <v>97</v>
      </c>
      <c r="BW865" s="2" t="s">
        <v>100</v>
      </c>
      <c r="BX865" s="2" t="s">
        <v>100</v>
      </c>
      <c r="BY865" s="2" t="s">
        <v>113</v>
      </c>
      <c r="BZ865" s="2" t="s">
        <v>100</v>
      </c>
    </row>
    <row r="866">
      <c r="A866" s="2" t="s">
        <v>3183</v>
      </c>
      <c r="B866" s="2" t="s">
        <v>87</v>
      </c>
      <c r="C866" s="2" t="s">
        <v>3178</v>
      </c>
      <c r="D866" s="2" t="s">
        <v>803</v>
      </c>
      <c r="E866" s="2" t="s">
        <v>804</v>
      </c>
      <c r="F866" s="2" t="s">
        <v>3179</v>
      </c>
      <c r="G866" s="2" t="s">
        <v>3179</v>
      </c>
      <c r="H866" s="2" t="s">
        <v>3179</v>
      </c>
      <c r="I866" s="2" t="s">
        <v>2559</v>
      </c>
      <c r="J866" s="2" t="s">
        <v>714</v>
      </c>
      <c r="K866" s="2" t="s">
        <v>858</v>
      </c>
      <c r="L866" s="3">
        <v>197.8</v>
      </c>
      <c r="M866" s="3">
        <v>207.69</v>
      </c>
      <c r="N866" s="3">
        <v>459.99</v>
      </c>
      <c r="O866" s="2" t="s">
        <v>97</v>
      </c>
      <c r="P866" s="2" t="s">
        <v>98</v>
      </c>
      <c r="Q866" s="2" t="s">
        <v>99</v>
      </c>
      <c r="R866" s="2" t="s">
        <v>100</v>
      </c>
      <c r="S866" s="2" t="s">
        <v>3180</v>
      </c>
      <c r="T866" s="2" t="s">
        <v>100</v>
      </c>
      <c r="U866" s="2" t="s">
        <v>1240</v>
      </c>
      <c r="V866" s="2" t="s">
        <v>489</v>
      </c>
      <c r="W866" s="2" t="s">
        <v>219</v>
      </c>
      <c r="X866" s="2" t="s">
        <v>362</v>
      </c>
      <c r="Y866" s="2" t="s">
        <v>3181</v>
      </c>
      <c r="Z866" s="4">
        <v>369</v>
      </c>
      <c r="AA866" s="4">
        <f>=ROUNDDOWN(46.125,0)</f>
      </c>
      <c r="AB866" s="5">
        <v>8</v>
      </c>
      <c r="AC866" s="2" t="s">
        <v>100</v>
      </c>
      <c r="AD866" s="4"/>
      <c r="AE866" s="4"/>
      <c r="AF866" s="6">
        <v>67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179</v>
      </c>
      <c r="BK866" s="8">
        <v>39005.71</v>
      </c>
      <c r="BL866" s="2" t="s">
        <v>3184</v>
      </c>
      <c r="BM866" s="7"/>
      <c r="BN866" s="7"/>
      <c r="BO866" s="4"/>
      <c r="BP866" s="8"/>
      <c r="BQ866" s="4"/>
      <c r="BR866" s="8"/>
      <c r="BS866" s="7"/>
      <c r="BT866" s="7"/>
      <c r="BU866" s="2" t="s">
        <v>2528</v>
      </c>
      <c r="BV866" s="2" t="s">
        <v>97</v>
      </c>
      <c r="BW866" s="2" t="s">
        <v>100</v>
      </c>
      <c r="BX866" s="2" t="s">
        <v>100</v>
      </c>
      <c r="BY866" s="2" t="s">
        <v>113</v>
      </c>
      <c r="BZ866" s="2" t="s">
        <v>100</v>
      </c>
    </row>
    <row r="867">
      <c r="A867" s="2" t="s">
        <v>3185</v>
      </c>
      <c r="B867" s="2" t="s">
        <v>87</v>
      </c>
      <c r="C867" s="2" t="s">
        <v>3178</v>
      </c>
      <c r="D867" s="2" t="s">
        <v>803</v>
      </c>
      <c r="E867" s="2" t="s">
        <v>804</v>
      </c>
      <c r="F867" s="2" t="s">
        <v>3186</v>
      </c>
      <c r="G867" s="2" t="s">
        <v>3186</v>
      </c>
      <c r="H867" s="2" t="s">
        <v>3186</v>
      </c>
      <c r="I867" s="2" t="s">
        <v>2559</v>
      </c>
      <c r="J867" s="2" t="s">
        <v>706</v>
      </c>
      <c r="K867" s="2" t="s">
        <v>3187</v>
      </c>
      <c r="L867" s="3">
        <v>150</v>
      </c>
      <c r="M867" s="3">
        <v>157.5</v>
      </c>
      <c r="N867" s="3">
        <v>299.99</v>
      </c>
      <c r="O867" s="2" t="s">
        <v>97</v>
      </c>
      <c r="P867" s="2" t="s">
        <v>225</v>
      </c>
      <c r="Q867" s="2" t="s">
        <v>99</v>
      </c>
      <c r="R867" s="2" t="s">
        <v>100</v>
      </c>
      <c r="S867" s="2" t="s">
        <v>100</v>
      </c>
      <c r="T867" s="2" t="s">
        <v>100</v>
      </c>
      <c r="U867" s="2" t="s">
        <v>833</v>
      </c>
      <c r="V867" s="2" t="s">
        <v>3188</v>
      </c>
      <c r="W867" s="2" t="s">
        <v>100</v>
      </c>
      <c r="X867" s="2" t="s">
        <v>100</v>
      </c>
      <c r="Y867" s="2" t="s">
        <v>100</v>
      </c>
      <c r="Z867" s="4"/>
      <c r="AA867" s="4">
        <f>=ROUNDDOWN({0},0)</f>
      </c>
      <c r="AB867" s="5"/>
      <c r="AC867" s="2" t="s">
        <v>821</v>
      </c>
      <c r="AD867" s="4">
        <v>200</v>
      </c>
      <c r="AE867" s="4">
        <v>200</v>
      </c>
      <c r="AF867" s="6">
        <v>67</v>
      </c>
      <c r="AG867" s="6"/>
      <c r="AH867" s="7"/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/>
      <c r="BK867" s="8"/>
      <c r="BL867" s="2" t="s">
        <v>100</v>
      </c>
      <c r="BM867" s="7"/>
      <c r="BN867" s="7"/>
      <c r="BO867" s="4"/>
      <c r="BP867" s="8"/>
      <c r="BQ867" s="4"/>
      <c r="BR867" s="8"/>
      <c r="BS867" s="7"/>
      <c r="BT867" s="7"/>
      <c r="BU867" s="2" t="s">
        <v>2528</v>
      </c>
      <c r="BV867" s="2" t="s">
        <v>97</v>
      </c>
      <c r="BW867" s="2" t="s">
        <v>100</v>
      </c>
      <c r="BX867" s="2" t="s">
        <v>100</v>
      </c>
      <c r="BY867" s="2" t="s">
        <v>113</v>
      </c>
      <c r="BZ867" s="2" t="s">
        <v>100</v>
      </c>
    </row>
    <row r="868">
      <c r="A868" s="2" t="s">
        <v>3189</v>
      </c>
      <c r="B868" s="2" t="s">
        <v>87</v>
      </c>
      <c r="C868" s="2" t="s">
        <v>3178</v>
      </c>
      <c r="D868" s="2" t="s">
        <v>803</v>
      </c>
      <c r="E868" s="2" t="s">
        <v>804</v>
      </c>
      <c r="F868" s="2" t="s">
        <v>3186</v>
      </c>
      <c r="G868" s="2" t="s">
        <v>3186</v>
      </c>
      <c r="H868" s="2" t="s">
        <v>3186</v>
      </c>
      <c r="I868" s="2" t="s">
        <v>2559</v>
      </c>
      <c r="J868" s="2" t="s">
        <v>714</v>
      </c>
      <c r="K868" s="2" t="s">
        <v>3187</v>
      </c>
      <c r="L868" s="3">
        <v>175</v>
      </c>
      <c r="M868" s="3">
        <v>183.75</v>
      </c>
      <c r="N868" s="3">
        <v>349.99</v>
      </c>
      <c r="O868" s="2" t="s">
        <v>97</v>
      </c>
      <c r="P868" s="2" t="s">
        <v>225</v>
      </c>
      <c r="Q868" s="2" t="s">
        <v>99</v>
      </c>
      <c r="R868" s="2" t="s">
        <v>100</v>
      </c>
      <c r="S868" s="2" t="s">
        <v>100</v>
      </c>
      <c r="T868" s="2" t="s">
        <v>100</v>
      </c>
      <c r="U868" s="2" t="s">
        <v>1240</v>
      </c>
      <c r="V868" s="2" t="s">
        <v>3188</v>
      </c>
      <c r="W868" s="2" t="s">
        <v>100</v>
      </c>
      <c r="X868" s="2" t="s">
        <v>100</v>
      </c>
      <c r="Y868" s="2" t="s">
        <v>100</v>
      </c>
      <c r="Z868" s="4"/>
      <c r="AA868" s="4">
        <f>=ROUNDDOWN({0},0)</f>
      </c>
      <c r="AB868" s="5"/>
      <c r="AC868" s="2" t="s">
        <v>821</v>
      </c>
      <c r="AD868" s="4">
        <v>300</v>
      </c>
      <c r="AE868" s="4">
        <v>300</v>
      </c>
      <c r="AF868" s="6">
        <v>67</v>
      </c>
      <c r="AG868" s="6"/>
      <c r="AH868" s="7"/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/>
      <c r="BK868" s="8"/>
      <c r="BL868" s="2" t="s">
        <v>100</v>
      </c>
      <c r="BM868" s="7"/>
      <c r="BN868" s="7"/>
      <c r="BO868" s="4"/>
      <c r="BP868" s="8"/>
      <c r="BQ868" s="4"/>
      <c r="BR868" s="8"/>
      <c r="BS868" s="7"/>
      <c r="BT868" s="7"/>
      <c r="BU868" s="2" t="s">
        <v>2528</v>
      </c>
      <c r="BV868" s="2" t="s">
        <v>97</v>
      </c>
      <c r="BW868" s="2" t="s">
        <v>100</v>
      </c>
      <c r="BX868" s="2" t="s">
        <v>100</v>
      </c>
      <c r="BY868" s="2" t="s">
        <v>113</v>
      </c>
      <c r="BZ868" s="2" t="s">
        <v>100</v>
      </c>
    </row>
    <row r="869">
      <c r="A869" s="2" t="s">
        <v>3190</v>
      </c>
      <c r="B869" s="2" t="s">
        <v>87</v>
      </c>
      <c r="C869" s="2" t="s">
        <v>3178</v>
      </c>
      <c r="D869" s="2" t="s">
        <v>803</v>
      </c>
      <c r="E869" s="2" t="s">
        <v>804</v>
      </c>
      <c r="F869" s="2" t="s">
        <v>3191</v>
      </c>
      <c r="G869" s="2" t="s">
        <v>100</v>
      </c>
      <c r="H869" s="2" t="s">
        <v>100</v>
      </c>
      <c r="I869" s="2" t="s">
        <v>2559</v>
      </c>
      <c r="J869" s="2" t="s">
        <v>706</v>
      </c>
      <c r="K869" s="2" t="s">
        <v>2580</v>
      </c>
      <c r="L869" s="3">
        <v>172.2</v>
      </c>
      <c r="M869" s="3">
        <v>180.81</v>
      </c>
      <c r="N869" s="3">
        <v>409.99</v>
      </c>
      <c r="O869" s="2" t="s">
        <v>97</v>
      </c>
      <c r="P869" s="2" t="s">
        <v>372</v>
      </c>
      <c r="Q869" s="2" t="s">
        <v>99</v>
      </c>
      <c r="R869" s="2" t="s">
        <v>100</v>
      </c>
      <c r="S869" s="2" t="s">
        <v>3192</v>
      </c>
      <c r="T869" s="2" t="s">
        <v>100</v>
      </c>
      <c r="U869" s="2" t="s">
        <v>833</v>
      </c>
      <c r="V869" s="2" t="s">
        <v>350</v>
      </c>
      <c r="W869" s="2" t="s">
        <v>202</v>
      </c>
      <c r="X869" s="2" t="s">
        <v>3193</v>
      </c>
      <c r="Y869" s="2" t="s">
        <v>240</v>
      </c>
      <c r="Z869" s="4">
        <v>247</v>
      </c>
      <c r="AA869" s="4">
        <f>=ROUNDDOWN(35.2857142857143,0)</f>
      </c>
      <c r="AB869" s="5">
        <v>7</v>
      </c>
      <c r="AC869" s="2" t="s">
        <v>100</v>
      </c>
      <c r="AD869" s="4"/>
      <c r="AE869" s="4"/>
      <c r="AF869" s="6">
        <v>67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133</v>
      </c>
      <c r="BK869" s="8">
        <v>23417.35</v>
      </c>
      <c r="BL869" s="2" t="s">
        <v>3194</v>
      </c>
      <c r="BM869" s="7"/>
      <c r="BN869" s="7"/>
      <c r="BO869" s="4"/>
      <c r="BP869" s="8"/>
      <c r="BQ869" s="4"/>
      <c r="BR869" s="8"/>
      <c r="BS869" s="7"/>
      <c r="BT869" s="7"/>
      <c r="BU869" s="2" t="s">
        <v>2528</v>
      </c>
      <c r="BV869" s="2" t="s">
        <v>97</v>
      </c>
      <c r="BW869" s="2" t="s">
        <v>100</v>
      </c>
      <c r="BX869" s="2" t="s">
        <v>100</v>
      </c>
      <c r="BY869" s="2" t="s">
        <v>113</v>
      </c>
      <c r="BZ869" s="2" t="s">
        <v>100</v>
      </c>
    </row>
    <row r="870">
      <c r="A870" s="2" t="s">
        <v>3195</v>
      </c>
      <c r="B870" s="2" t="s">
        <v>87</v>
      </c>
      <c r="C870" s="2" t="s">
        <v>3178</v>
      </c>
      <c r="D870" s="2" t="s">
        <v>803</v>
      </c>
      <c r="E870" s="2" t="s">
        <v>804</v>
      </c>
      <c r="F870" s="2" t="s">
        <v>3191</v>
      </c>
      <c r="G870" s="2" t="s">
        <v>100</v>
      </c>
      <c r="H870" s="2" t="s">
        <v>100</v>
      </c>
      <c r="I870" s="2" t="s">
        <v>2559</v>
      </c>
      <c r="J870" s="2" t="s">
        <v>714</v>
      </c>
      <c r="K870" s="2" t="s">
        <v>2580</v>
      </c>
      <c r="L870" s="3">
        <v>197.8</v>
      </c>
      <c r="M870" s="3">
        <v>207.69</v>
      </c>
      <c r="N870" s="3">
        <v>459.99</v>
      </c>
      <c r="O870" s="2" t="s">
        <v>97</v>
      </c>
      <c r="P870" s="2" t="s">
        <v>372</v>
      </c>
      <c r="Q870" s="2" t="s">
        <v>99</v>
      </c>
      <c r="R870" s="2" t="s">
        <v>100</v>
      </c>
      <c r="S870" s="2" t="s">
        <v>3192</v>
      </c>
      <c r="T870" s="2" t="s">
        <v>100</v>
      </c>
      <c r="U870" s="2" t="s">
        <v>1240</v>
      </c>
      <c r="V870" s="2" t="s">
        <v>350</v>
      </c>
      <c r="W870" s="2" t="s">
        <v>202</v>
      </c>
      <c r="X870" s="2" t="s">
        <v>3193</v>
      </c>
      <c r="Y870" s="2" t="s">
        <v>240</v>
      </c>
      <c r="Z870" s="4">
        <v>316</v>
      </c>
      <c r="AA870" s="4">
        <f>=ROUNDDOWN(24.3076923076923,0)</f>
      </c>
      <c r="AB870" s="5">
        <v>13</v>
      </c>
      <c r="AC870" s="2" t="s">
        <v>1342</v>
      </c>
      <c r="AD870" s="4">
        <v>150</v>
      </c>
      <c r="AE870" s="4">
        <v>150</v>
      </c>
      <c r="AF870" s="6">
        <v>67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269</v>
      </c>
      <c r="BK870" s="8">
        <v>55058.24</v>
      </c>
      <c r="BL870" s="2" t="s">
        <v>3194</v>
      </c>
      <c r="BM870" s="7"/>
      <c r="BN870" s="7"/>
      <c r="BO870" s="4"/>
      <c r="BP870" s="8"/>
      <c r="BQ870" s="4"/>
      <c r="BR870" s="8"/>
      <c r="BS870" s="7"/>
      <c r="BT870" s="7"/>
      <c r="BU870" s="2" t="s">
        <v>2528</v>
      </c>
      <c r="BV870" s="2" t="s">
        <v>97</v>
      </c>
      <c r="BW870" s="2" t="s">
        <v>100</v>
      </c>
      <c r="BX870" s="2" t="s">
        <v>100</v>
      </c>
      <c r="BY870" s="2" t="s">
        <v>113</v>
      </c>
      <c r="BZ870" s="2" t="s">
        <v>100</v>
      </c>
    </row>
    <row r="871">
      <c r="A871" s="2" t="s">
        <v>3196</v>
      </c>
      <c r="B871" s="2" t="s">
        <v>87</v>
      </c>
      <c r="C871" s="2" t="s">
        <v>3178</v>
      </c>
      <c r="D871" s="2" t="s">
        <v>803</v>
      </c>
      <c r="E871" s="2" t="s">
        <v>804</v>
      </c>
      <c r="F871" s="2" t="s">
        <v>3197</v>
      </c>
      <c r="G871" s="2" t="s">
        <v>3197</v>
      </c>
      <c r="H871" s="2" t="s">
        <v>3197</v>
      </c>
      <c r="I871" s="2" t="s">
        <v>3198</v>
      </c>
      <c r="J871" s="2" t="s">
        <v>706</v>
      </c>
      <c r="K871" s="2" t="s">
        <v>3199</v>
      </c>
      <c r="L871" s="3">
        <v>150</v>
      </c>
      <c r="M871" s="3">
        <v>157.5</v>
      </c>
      <c r="N871" s="3">
        <v>299.99</v>
      </c>
      <c r="O871" s="2" t="s">
        <v>97</v>
      </c>
      <c r="P871" s="2" t="s">
        <v>2478</v>
      </c>
      <c r="Q871" s="2" t="s">
        <v>99</v>
      </c>
      <c r="R871" s="2" t="s">
        <v>100</v>
      </c>
      <c r="S871" s="2" t="s">
        <v>100</v>
      </c>
      <c r="T871" s="2" t="s">
        <v>200</v>
      </c>
      <c r="U871" s="2" t="s">
        <v>833</v>
      </c>
      <c r="V871" s="2" t="s">
        <v>3188</v>
      </c>
      <c r="W871" s="2" t="s">
        <v>100</v>
      </c>
      <c r="X871" s="2" t="s">
        <v>100</v>
      </c>
      <c r="Y871" s="2" t="s">
        <v>100</v>
      </c>
      <c r="Z871" s="4"/>
      <c r="AA871" s="4">
        <f>=ROUNDDOWN({0},0)</f>
      </c>
      <c r="AB871" s="5"/>
      <c r="AC871" s="2" t="s">
        <v>1259</v>
      </c>
      <c r="AD871" s="4">
        <v>60</v>
      </c>
      <c r="AE871" s="4">
        <v>120</v>
      </c>
      <c r="AF871" s="6"/>
      <c r="AG871" s="6"/>
      <c r="AH871" s="7"/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/>
      <c r="BK871" s="8"/>
      <c r="BL871" s="2" t="s">
        <v>100</v>
      </c>
      <c r="BM871" s="7"/>
      <c r="BN871" s="7"/>
      <c r="BO871" s="4"/>
      <c r="BP871" s="8"/>
      <c r="BQ871" s="4"/>
      <c r="BR871" s="8"/>
      <c r="BS871" s="7"/>
      <c r="BT871" s="7"/>
      <c r="BU871" s="2" t="s">
        <v>2528</v>
      </c>
      <c r="BV871" s="2" t="s">
        <v>97</v>
      </c>
      <c r="BW871" s="2" t="s">
        <v>100</v>
      </c>
      <c r="BX871" s="2" t="s">
        <v>100</v>
      </c>
      <c r="BY871" s="2" t="s">
        <v>113</v>
      </c>
      <c r="BZ871" s="2" t="s">
        <v>100</v>
      </c>
    </row>
    <row r="872">
      <c r="A872" s="2" t="s">
        <v>3200</v>
      </c>
      <c r="B872" s="2" t="s">
        <v>87</v>
      </c>
      <c r="C872" s="2" t="s">
        <v>3178</v>
      </c>
      <c r="D872" s="2" t="s">
        <v>803</v>
      </c>
      <c r="E872" s="2" t="s">
        <v>804</v>
      </c>
      <c r="F872" s="2" t="s">
        <v>3197</v>
      </c>
      <c r="G872" s="2" t="s">
        <v>3197</v>
      </c>
      <c r="H872" s="2" t="s">
        <v>3197</v>
      </c>
      <c r="I872" s="2" t="s">
        <v>3198</v>
      </c>
      <c r="J872" s="2" t="s">
        <v>714</v>
      </c>
      <c r="K872" s="2" t="s">
        <v>3199</v>
      </c>
      <c r="L872" s="3">
        <v>175</v>
      </c>
      <c r="M872" s="3">
        <v>183.75</v>
      </c>
      <c r="N872" s="3">
        <v>349.99</v>
      </c>
      <c r="O872" s="2" t="s">
        <v>97</v>
      </c>
      <c r="P872" s="2" t="s">
        <v>2478</v>
      </c>
      <c r="Q872" s="2" t="s">
        <v>99</v>
      </c>
      <c r="R872" s="2" t="s">
        <v>100</v>
      </c>
      <c r="S872" s="2" t="s">
        <v>100</v>
      </c>
      <c r="T872" s="2" t="s">
        <v>200</v>
      </c>
      <c r="U872" s="2" t="s">
        <v>1240</v>
      </c>
      <c r="V872" s="2" t="s">
        <v>3188</v>
      </c>
      <c r="W872" s="2" t="s">
        <v>100</v>
      </c>
      <c r="X872" s="2" t="s">
        <v>100</v>
      </c>
      <c r="Y872" s="2" t="s">
        <v>100</v>
      </c>
      <c r="Z872" s="4"/>
      <c r="AA872" s="4">
        <f>=ROUNDDOWN({0},0)</f>
      </c>
      <c r="AB872" s="5"/>
      <c r="AC872" s="2" t="s">
        <v>1259</v>
      </c>
      <c r="AD872" s="4">
        <v>126</v>
      </c>
      <c r="AE872" s="4">
        <v>250</v>
      </c>
      <c r="AF872" s="6"/>
      <c r="AG872" s="6"/>
      <c r="AH872" s="7"/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/>
      <c r="BK872" s="8"/>
      <c r="BL872" s="2" t="s">
        <v>100</v>
      </c>
      <c r="BM872" s="7"/>
      <c r="BN872" s="7"/>
      <c r="BO872" s="4"/>
      <c r="BP872" s="8"/>
      <c r="BQ872" s="4"/>
      <c r="BR872" s="8"/>
      <c r="BS872" s="7"/>
      <c r="BT872" s="7"/>
      <c r="BU872" s="2" t="s">
        <v>2528</v>
      </c>
      <c r="BV872" s="2" t="s">
        <v>97</v>
      </c>
      <c r="BW872" s="2" t="s">
        <v>100</v>
      </c>
      <c r="BX872" s="2" t="s">
        <v>100</v>
      </c>
      <c r="BY872" s="2" t="s">
        <v>113</v>
      </c>
      <c r="BZ872" s="2" t="s">
        <v>100</v>
      </c>
    </row>
    <row r="873">
      <c r="A873" s="2" t="s">
        <v>3201</v>
      </c>
      <c r="B873" s="2" t="s">
        <v>87</v>
      </c>
      <c r="C873" s="2" t="s">
        <v>3178</v>
      </c>
      <c r="D873" s="2" t="s">
        <v>803</v>
      </c>
      <c r="E873" s="2" t="s">
        <v>804</v>
      </c>
      <c r="F873" s="2" t="s">
        <v>3202</v>
      </c>
      <c r="G873" s="2" t="s">
        <v>3202</v>
      </c>
      <c r="H873" s="2" t="s">
        <v>3202</v>
      </c>
      <c r="I873" s="2" t="s">
        <v>3203</v>
      </c>
      <c r="J873" s="2" t="s">
        <v>706</v>
      </c>
      <c r="K873" s="2" t="s">
        <v>118</v>
      </c>
      <c r="L873" s="3">
        <v>165</v>
      </c>
      <c r="M873" s="3">
        <v>173.24</v>
      </c>
      <c r="N873" s="3">
        <v>329.99</v>
      </c>
      <c r="O873" s="2" t="s">
        <v>97</v>
      </c>
      <c r="P873" s="2" t="s">
        <v>98</v>
      </c>
      <c r="Q873" s="2" t="s">
        <v>99</v>
      </c>
      <c r="R873" s="2" t="s">
        <v>100</v>
      </c>
      <c r="S873" s="2" t="s">
        <v>3204</v>
      </c>
      <c r="T873" s="2" t="s">
        <v>280</v>
      </c>
      <c r="U873" s="2" t="s">
        <v>833</v>
      </c>
      <c r="V873" s="2" t="s">
        <v>350</v>
      </c>
      <c r="W873" s="2" t="s">
        <v>415</v>
      </c>
      <c r="X873" s="2" t="s">
        <v>183</v>
      </c>
      <c r="Y873" s="2" t="s">
        <v>3205</v>
      </c>
      <c r="Z873" s="4">
        <v>105</v>
      </c>
      <c r="AA873" s="4">
        <f>=ROUNDDOWN(3.38709677419355,0)</f>
      </c>
      <c r="AB873" s="5">
        <v>31</v>
      </c>
      <c r="AC873" s="2" t="s">
        <v>1292</v>
      </c>
      <c r="AD873" s="4">
        <v>330</v>
      </c>
      <c r="AE873" s="4">
        <v>780</v>
      </c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230</v>
      </c>
      <c r="BK873" s="8">
        <v>40492.73</v>
      </c>
      <c r="BL873" s="2" t="s">
        <v>3206</v>
      </c>
      <c r="BM873" s="7"/>
      <c r="BN873" s="7"/>
      <c r="BO873" s="4"/>
      <c r="BP873" s="8"/>
      <c r="BQ873" s="4"/>
      <c r="BR873" s="8"/>
      <c r="BS873" s="7"/>
      <c r="BT873" s="7"/>
      <c r="BU873" s="2" t="s">
        <v>2528</v>
      </c>
      <c r="BV873" s="2" t="s">
        <v>97</v>
      </c>
      <c r="BW873" s="2" t="s">
        <v>100</v>
      </c>
      <c r="BX873" s="2" t="s">
        <v>100</v>
      </c>
      <c r="BY873" s="2" t="s">
        <v>113</v>
      </c>
      <c r="BZ873" s="2" t="s">
        <v>100</v>
      </c>
    </row>
    <row r="874">
      <c r="A874" s="2" t="s">
        <v>3207</v>
      </c>
      <c r="B874" s="2" t="s">
        <v>87</v>
      </c>
      <c r="C874" s="2" t="s">
        <v>3178</v>
      </c>
      <c r="D874" s="2" t="s">
        <v>803</v>
      </c>
      <c r="E874" s="2" t="s">
        <v>804</v>
      </c>
      <c r="F874" s="2" t="s">
        <v>3202</v>
      </c>
      <c r="G874" s="2" t="s">
        <v>3202</v>
      </c>
      <c r="H874" s="2" t="s">
        <v>3202</v>
      </c>
      <c r="I874" s="2" t="s">
        <v>3203</v>
      </c>
      <c r="J874" s="2" t="s">
        <v>714</v>
      </c>
      <c r="K874" s="2" t="s">
        <v>118</v>
      </c>
      <c r="L874" s="3">
        <v>190</v>
      </c>
      <c r="M874" s="3">
        <v>199.49</v>
      </c>
      <c r="N874" s="3">
        <v>379.99</v>
      </c>
      <c r="O874" s="2" t="s">
        <v>97</v>
      </c>
      <c r="P874" s="2" t="s">
        <v>98</v>
      </c>
      <c r="Q874" s="2" t="s">
        <v>99</v>
      </c>
      <c r="R874" s="2" t="s">
        <v>100</v>
      </c>
      <c r="S874" s="2" t="s">
        <v>3204</v>
      </c>
      <c r="T874" s="2" t="s">
        <v>280</v>
      </c>
      <c r="U874" s="2" t="s">
        <v>1240</v>
      </c>
      <c r="V874" s="2" t="s">
        <v>350</v>
      </c>
      <c r="W874" s="2" t="s">
        <v>415</v>
      </c>
      <c r="X874" s="2" t="s">
        <v>183</v>
      </c>
      <c r="Y874" s="2" t="s">
        <v>3205</v>
      </c>
      <c r="Z874" s="4">
        <v>135</v>
      </c>
      <c r="AA874" s="4">
        <f>=ROUNDDOWN(3.375,0)</f>
      </c>
      <c r="AB874" s="5">
        <v>40</v>
      </c>
      <c r="AC874" s="2" t="s">
        <v>1292</v>
      </c>
      <c r="AD874" s="4">
        <v>570</v>
      </c>
      <c r="AE874" s="4">
        <v>1060</v>
      </c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362</v>
      </c>
      <c r="BK874" s="8">
        <v>74924.13</v>
      </c>
      <c r="BL874" s="2" t="s">
        <v>3208</v>
      </c>
      <c r="BM874" s="7"/>
      <c r="BN874" s="7"/>
      <c r="BO874" s="4"/>
      <c r="BP874" s="8"/>
      <c r="BQ874" s="4"/>
      <c r="BR874" s="8"/>
      <c r="BS874" s="7"/>
      <c r="BT874" s="7"/>
      <c r="BU874" s="2" t="s">
        <v>2528</v>
      </c>
      <c r="BV874" s="2" t="s">
        <v>97</v>
      </c>
      <c r="BW874" s="2" t="s">
        <v>100</v>
      </c>
      <c r="BX874" s="2" t="s">
        <v>100</v>
      </c>
      <c r="BY874" s="2" t="s">
        <v>113</v>
      </c>
      <c r="BZ874" s="2" t="s">
        <v>100</v>
      </c>
    </row>
    <row r="875">
      <c r="A875" s="2" t="s">
        <v>3209</v>
      </c>
      <c r="B875" s="2" t="s">
        <v>87</v>
      </c>
      <c r="C875" s="2" t="s">
        <v>3178</v>
      </c>
      <c r="D875" s="2" t="s">
        <v>803</v>
      </c>
      <c r="E875" s="2" t="s">
        <v>804</v>
      </c>
      <c r="F875" s="2" t="s">
        <v>3202</v>
      </c>
      <c r="G875" s="2" t="s">
        <v>3202</v>
      </c>
      <c r="H875" s="2" t="s">
        <v>3202</v>
      </c>
      <c r="I875" s="2" t="s">
        <v>3203</v>
      </c>
      <c r="J875" s="2" t="s">
        <v>706</v>
      </c>
      <c r="K875" s="2" t="s">
        <v>1148</v>
      </c>
      <c r="L875" s="3">
        <v>165</v>
      </c>
      <c r="M875" s="3">
        <v>173.24</v>
      </c>
      <c r="N875" s="3">
        <v>329.99</v>
      </c>
      <c r="O875" s="2" t="s">
        <v>97</v>
      </c>
      <c r="P875" s="2" t="s">
        <v>307</v>
      </c>
      <c r="Q875" s="2" t="s">
        <v>99</v>
      </c>
      <c r="R875" s="2" t="s">
        <v>100</v>
      </c>
      <c r="S875" s="2" t="s">
        <v>3210</v>
      </c>
      <c r="T875" s="2" t="s">
        <v>280</v>
      </c>
      <c r="U875" s="2" t="s">
        <v>833</v>
      </c>
      <c r="V875" s="2" t="s">
        <v>350</v>
      </c>
      <c r="W875" s="2" t="s">
        <v>3211</v>
      </c>
      <c r="X875" s="2" t="s">
        <v>183</v>
      </c>
      <c r="Y875" s="2" t="s">
        <v>3142</v>
      </c>
      <c r="Z875" s="4">
        <v>786</v>
      </c>
      <c r="AA875" s="4">
        <f>=ROUNDDOWN(23.1176470588235,0)</f>
      </c>
      <c r="AB875" s="5">
        <v>34</v>
      </c>
      <c r="AC875" s="2" t="s">
        <v>1318</v>
      </c>
      <c r="AD875" s="4">
        <v>100</v>
      </c>
      <c r="AE875" s="4">
        <v>380</v>
      </c>
      <c r="AF875" s="6">
        <v>67</v>
      </c>
      <c r="AG875" s="6">
        <v>50</v>
      </c>
      <c r="AH875" s="7">
        <v>1</v>
      </c>
      <c r="AI875" s="4"/>
      <c r="AJ875" s="4">
        <f>=ROUNDDOWN({0},0)</f>
      </c>
      <c r="AK875" s="5">
        <v>40.1</v>
      </c>
      <c r="AL875" s="2" t="s">
        <v>977</v>
      </c>
      <c r="AM875" s="4">
        <v>150</v>
      </c>
      <c r="AN875" s="4">
        <v>150</v>
      </c>
      <c r="AO875" s="7">
        <v>0.4332</v>
      </c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1233</v>
      </c>
      <c r="BK875" s="8">
        <v>212080.27</v>
      </c>
      <c r="BL875" s="2" t="s">
        <v>3212</v>
      </c>
      <c r="BM875" s="7"/>
      <c r="BN875" s="7"/>
      <c r="BO875" s="4"/>
      <c r="BP875" s="8"/>
      <c r="BQ875" s="4"/>
      <c r="BR875" s="8"/>
      <c r="BS875" s="7"/>
      <c r="BT875" s="7"/>
      <c r="BU875" s="2" t="s">
        <v>2528</v>
      </c>
      <c r="BV875" s="2" t="s">
        <v>97</v>
      </c>
      <c r="BW875" s="2" t="s">
        <v>100</v>
      </c>
      <c r="BX875" s="2" t="s">
        <v>100</v>
      </c>
      <c r="BY875" s="2" t="s">
        <v>113</v>
      </c>
      <c r="BZ875" s="2" t="s">
        <v>100</v>
      </c>
    </row>
    <row r="876">
      <c r="A876" s="2" t="s">
        <v>3213</v>
      </c>
      <c r="B876" s="2" t="s">
        <v>87</v>
      </c>
      <c r="C876" s="2" t="s">
        <v>3178</v>
      </c>
      <c r="D876" s="2" t="s">
        <v>803</v>
      </c>
      <c r="E876" s="2" t="s">
        <v>804</v>
      </c>
      <c r="F876" s="2" t="s">
        <v>3202</v>
      </c>
      <c r="G876" s="2" t="s">
        <v>3202</v>
      </c>
      <c r="H876" s="2" t="s">
        <v>3202</v>
      </c>
      <c r="I876" s="2" t="s">
        <v>3203</v>
      </c>
      <c r="J876" s="2" t="s">
        <v>714</v>
      </c>
      <c r="K876" s="2" t="s">
        <v>1148</v>
      </c>
      <c r="L876" s="3">
        <v>190</v>
      </c>
      <c r="M876" s="3">
        <v>199.49</v>
      </c>
      <c r="N876" s="3">
        <v>379.99</v>
      </c>
      <c r="O876" s="2" t="s">
        <v>97</v>
      </c>
      <c r="P876" s="2" t="s">
        <v>307</v>
      </c>
      <c r="Q876" s="2" t="s">
        <v>99</v>
      </c>
      <c r="R876" s="2" t="s">
        <v>100</v>
      </c>
      <c r="S876" s="2" t="s">
        <v>3210</v>
      </c>
      <c r="T876" s="2" t="s">
        <v>280</v>
      </c>
      <c r="U876" s="2" t="s">
        <v>1240</v>
      </c>
      <c r="V876" s="2" t="s">
        <v>350</v>
      </c>
      <c r="W876" s="2" t="s">
        <v>3211</v>
      </c>
      <c r="X876" s="2" t="s">
        <v>183</v>
      </c>
      <c r="Y876" s="2" t="s">
        <v>3142</v>
      </c>
      <c r="Z876" s="4">
        <v>1235</v>
      </c>
      <c r="AA876" s="4">
        <f>=ROUNDDOWN(21.2931034482759,0)</f>
      </c>
      <c r="AB876" s="5">
        <v>58</v>
      </c>
      <c r="AC876" s="2" t="s">
        <v>542</v>
      </c>
      <c r="AD876" s="4">
        <v>100</v>
      </c>
      <c r="AE876" s="4">
        <v>850</v>
      </c>
      <c r="AF876" s="6">
        <v>67</v>
      </c>
      <c r="AG876" s="6">
        <v>50</v>
      </c>
      <c r="AH876" s="7">
        <v>1</v>
      </c>
      <c r="AI876" s="4"/>
      <c r="AJ876" s="4">
        <f>=ROUNDDOWN({0},0)</f>
      </c>
      <c r="AK876" s="5">
        <v>52.5</v>
      </c>
      <c r="AL876" s="2" t="s">
        <v>977</v>
      </c>
      <c r="AM876" s="4">
        <v>200</v>
      </c>
      <c r="AN876" s="4">
        <v>200</v>
      </c>
      <c r="AO876" s="7">
        <v>0.4332</v>
      </c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1653</v>
      </c>
      <c r="BK876" s="8">
        <v>334967.88</v>
      </c>
      <c r="BL876" s="2" t="s">
        <v>3214</v>
      </c>
      <c r="BM876" s="7"/>
      <c r="BN876" s="7"/>
      <c r="BO876" s="4"/>
      <c r="BP876" s="8"/>
      <c r="BQ876" s="4"/>
      <c r="BR876" s="8"/>
      <c r="BS876" s="7"/>
      <c r="BT876" s="7"/>
      <c r="BU876" s="2" t="s">
        <v>2528</v>
      </c>
      <c r="BV876" s="2" t="s">
        <v>97</v>
      </c>
      <c r="BW876" s="2" t="s">
        <v>100</v>
      </c>
      <c r="BX876" s="2" t="s">
        <v>100</v>
      </c>
      <c r="BY876" s="2" t="s">
        <v>113</v>
      </c>
      <c r="BZ876" s="2" t="s">
        <v>100</v>
      </c>
    </row>
    <row r="877">
      <c r="A877" s="2" t="s">
        <v>3215</v>
      </c>
      <c r="B877" s="2" t="s">
        <v>87</v>
      </c>
      <c r="C877" s="2" t="s">
        <v>3178</v>
      </c>
      <c r="D877" s="2" t="s">
        <v>803</v>
      </c>
      <c r="E877" s="2" t="s">
        <v>804</v>
      </c>
      <c r="F877" s="2" t="s">
        <v>3202</v>
      </c>
      <c r="G877" s="2" t="s">
        <v>3202</v>
      </c>
      <c r="H877" s="2" t="s">
        <v>3202</v>
      </c>
      <c r="I877" s="2" t="s">
        <v>3203</v>
      </c>
      <c r="J877" s="2" t="s">
        <v>706</v>
      </c>
      <c r="K877" s="2" t="s">
        <v>278</v>
      </c>
      <c r="L877" s="3">
        <v>165</v>
      </c>
      <c r="M877" s="3">
        <v>173.24</v>
      </c>
      <c r="N877" s="3">
        <v>329.99</v>
      </c>
      <c r="O877" s="2" t="s">
        <v>97</v>
      </c>
      <c r="P877" s="2" t="s">
        <v>2478</v>
      </c>
      <c r="Q877" s="2" t="s">
        <v>99</v>
      </c>
      <c r="R877" s="2" t="s">
        <v>100</v>
      </c>
      <c r="S877" s="2" t="s">
        <v>100</v>
      </c>
      <c r="T877" s="2" t="s">
        <v>280</v>
      </c>
      <c r="U877" s="2" t="s">
        <v>833</v>
      </c>
      <c r="V877" s="2" t="s">
        <v>350</v>
      </c>
      <c r="W877" s="2" t="s">
        <v>415</v>
      </c>
      <c r="X877" s="2" t="s">
        <v>183</v>
      </c>
      <c r="Y877" s="2" t="s">
        <v>100</v>
      </c>
      <c r="Z877" s="4"/>
      <c r="AA877" s="4">
        <f>=ROUNDDOWN({0},0)</f>
      </c>
      <c r="AB877" s="5"/>
      <c r="AC877" s="2" t="s">
        <v>1457</v>
      </c>
      <c r="AD877" s="4">
        <v>120</v>
      </c>
      <c r="AE877" s="4">
        <v>240</v>
      </c>
      <c r="AF877" s="6"/>
      <c r="AG877" s="6"/>
      <c r="AH877" s="7"/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/>
      <c r="BK877" s="8"/>
      <c r="BL877" s="2" t="s">
        <v>100</v>
      </c>
      <c r="BM877" s="7"/>
      <c r="BN877" s="7"/>
      <c r="BO877" s="4"/>
      <c r="BP877" s="8"/>
      <c r="BQ877" s="4"/>
      <c r="BR877" s="8"/>
      <c r="BS877" s="7"/>
      <c r="BT877" s="7"/>
      <c r="BU877" s="2" t="s">
        <v>2528</v>
      </c>
      <c r="BV877" s="2" t="s">
        <v>97</v>
      </c>
      <c r="BW877" s="2" t="s">
        <v>100</v>
      </c>
      <c r="BX877" s="2" t="s">
        <v>100</v>
      </c>
      <c r="BY877" s="2" t="s">
        <v>113</v>
      </c>
      <c r="BZ877" s="2" t="s">
        <v>100</v>
      </c>
    </row>
    <row r="878">
      <c r="A878" s="2" t="s">
        <v>3216</v>
      </c>
      <c r="B878" s="2" t="s">
        <v>87</v>
      </c>
      <c r="C878" s="2" t="s">
        <v>3178</v>
      </c>
      <c r="D878" s="2" t="s">
        <v>803</v>
      </c>
      <c r="E878" s="2" t="s">
        <v>804</v>
      </c>
      <c r="F878" s="2" t="s">
        <v>3202</v>
      </c>
      <c r="G878" s="2" t="s">
        <v>3202</v>
      </c>
      <c r="H878" s="2" t="s">
        <v>3202</v>
      </c>
      <c r="I878" s="2" t="s">
        <v>3203</v>
      </c>
      <c r="J878" s="2" t="s">
        <v>714</v>
      </c>
      <c r="K878" s="2" t="s">
        <v>278</v>
      </c>
      <c r="L878" s="3">
        <v>190</v>
      </c>
      <c r="M878" s="3">
        <v>199.49</v>
      </c>
      <c r="N878" s="3">
        <v>379.99</v>
      </c>
      <c r="O878" s="2" t="s">
        <v>97</v>
      </c>
      <c r="P878" s="2" t="s">
        <v>2478</v>
      </c>
      <c r="Q878" s="2" t="s">
        <v>99</v>
      </c>
      <c r="R878" s="2" t="s">
        <v>100</v>
      </c>
      <c r="S878" s="2" t="s">
        <v>100</v>
      </c>
      <c r="T878" s="2" t="s">
        <v>280</v>
      </c>
      <c r="U878" s="2" t="s">
        <v>1240</v>
      </c>
      <c r="V878" s="2" t="s">
        <v>350</v>
      </c>
      <c r="W878" s="2" t="s">
        <v>415</v>
      </c>
      <c r="X878" s="2" t="s">
        <v>183</v>
      </c>
      <c r="Y878" s="2" t="s">
        <v>100</v>
      </c>
      <c r="Z878" s="4"/>
      <c r="AA878" s="4">
        <f>=ROUNDDOWN({0},0)</f>
      </c>
      <c r="AB878" s="5"/>
      <c r="AC878" s="2" t="s">
        <v>1457</v>
      </c>
      <c r="AD878" s="4">
        <v>180</v>
      </c>
      <c r="AE878" s="4">
        <v>360</v>
      </c>
      <c r="AF878" s="6"/>
      <c r="AG878" s="6"/>
      <c r="AH878" s="7"/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/>
      <c r="BK878" s="8"/>
      <c r="BL878" s="2" t="s">
        <v>100</v>
      </c>
      <c r="BM878" s="7"/>
      <c r="BN878" s="7"/>
      <c r="BO878" s="4"/>
      <c r="BP878" s="8"/>
      <c r="BQ878" s="4"/>
      <c r="BR878" s="8"/>
      <c r="BS878" s="7"/>
      <c r="BT878" s="7"/>
      <c r="BU878" s="2" t="s">
        <v>2528</v>
      </c>
      <c r="BV878" s="2" t="s">
        <v>97</v>
      </c>
      <c r="BW878" s="2" t="s">
        <v>100</v>
      </c>
      <c r="BX878" s="2" t="s">
        <v>100</v>
      </c>
      <c r="BY878" s="2" t="s">
        <v>113</v>
      </c>
      <c r="BZ878" s="2" t="s">
        <v>100</v>
      </c>
    </row>
    <row r="879">
      <c r="A879" s="2" t="s">
        <v>3217</v>
      </c>
      <c r="B879" s="2" t="s">
        <v>87</v>
      </c>
      <c r="C879" s="2" t="s">
        <v>3178</v>
      </c>
      <c r="D879" s="2" t="s">
        <v>803</v>
      </c>
      <c r="E879" s="2" t="s">
        <v>804</v>
      </c>
      <c r="F879" s="2" t="s">
        <v>3202</v>
      </c>
      <c r="G879" s="2" t="s">
        <v>3202</v>
      </c>
      <c r="H879" s="2" t="s">
        <v>3202</v>
      </c>
      <c r="I879" s="2" t="s">
        <v>3203</v>
      </c>
      <c r="J879" s="2" t="s">
        <v>706</v>
      </c>
      <c r="K879" s="2" t="s">
        <v>1614</v>
      </c>
      <c r="L879" s="3">
        <v>165</v>
      </c>
      <c r="M879" s="3">
        <v>173.24</v>
      </c>
      <c r="N879" s="3">
        <v>329.99</v>
      </c>
      <c r="O879" s="2" t="s">
        <v>97</v>
      </c>
      <c r="P879" s="2" t="s">
        <v>307</v>
      </c>
      <c r="Q879" s="2" t="s">
        <v>99</v>
      </c>
      <c r="R879" s="2" t="s">
        <v>100</v>
      </c>
      <c r="S879" s="2" t="s">
        <v>3218</v>
      </c>
      <c r="T879" s="2" t="s">
        <v>280</v>
      </c>
      <c r="U879" s="2" t="s">
        <v>833</v>
      </c>
      <c r="V879" s="2" t="s">
        <v>350</v>
      </c>
      <c r="W879" s="2" t="s">
        <v>415</v>
      </c>
      <c r="X879" s="2" t="s">
        <v>183</v>
      </c>
      <c r="Y879" s="2" t="s">
        <v>3219</v>
      </c>
      <c r="Z879" s="4">
        <v>1017</v>
      </c>
      <c r="AA879" s="4">
        <f>=ROUNDDOWN(23.6511627906977,0)</f>
      </c>
      <c r="AB879" s="5">
        <v>43</v>
      </c>
      <c r="AC879" s="2" t="s">
        <v>148</v>
      </c>
      <c r="AD879" s="4">
        <v>350</v>
      </c>
      <c r="AE879" s="4">
        <v>850</v>
      </c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889</v>
      </c>
      <c r="BK879" s="8">
        <v>159661.03</v>
      </c>
      <c r="BL879" s="2" t="s">
        <v>3220</v>
      </c>
      <c r="BM879" s="7"/>
      <c r="BN879" s="7"/>
      <c r="BO879" s="4"/>
      <c r="BP879" s="8"/>
      <c r="BQ879" s="4"/>
      <c r="BR879" s="8"/>
      <c r="BS879" s="7"/>
      <c r="BT879" s="7"/>
      <c r="BU879" s="2" t="s">
        <v>2528</v>
      </c>
      <c r="BV879" s="2" t="s">
        <v>97</v>
      </c>
      <c r="BW879" s="2" t="s">
        <v>100</v>
      </c>
      <c r="BX879" s="2" t="s">
        <v>100</v>
      </c>
      <c r="BY879" s="2" t="s">
        <v>113</v>
      </c>
      <c r="BZ879" s="2" t="s">
        <v>100</v>
      </c>
    </row>
    <row r="880">
      <c r="A880" s="2" t="s">
        <v>3221</v>
      </c>
      <c r="B880" s="2" t="s">
        <v>87</v>
      </c>
      <c r="C880" s="2" t="s">
        <v>3178</v>
      </c>
      <c r="D880" s="2" t="s">
        <v>803</v>
      </c>
      <c r="E880" s="2" t="s">
        <v>804</v>
      </c>
      <c r="F880" s="2" t="s">
        <v>3202</v>
      </c>
      <c r="G880" s="2" t="s">
        <v>3202</v>
      </c>
      <c r="H880" s="2" t="s">
        <v>3202</v>
      </c>
      <c r="I880" s="2" t="s">
        <v>3203</v>
      </c>
      <c r="J880" s="2" t="s">
        <v>714</v>
      </c>
      <c r="K880" s="2" t="s">
        <v>1614</v>
      </c>
      <c r="L880" s="3">
        <v>190</v>
      </c>
      <c r="M880" s="3">
        <v>199.49</v>
      </c>
      <c r="N880" s="3">
        <v>379.99</v>
      </c>
      <c r="O880" s="2" t="s">
        <v>97</v>
      </c>
      <c r="P880" s="2" t="s">
        <v>307</v>
      </c>
      <c r="Q880" s="2" t="s">
        <v>99</v>
      </c>
      <c r="R880" s="2" t="s">
        <v>100</v>
      </c>
      <c r="S880" s="2" t="s">
        <v>3218</v>
      </c>
      <c r="T880" s="2" t="s">
        <v>280</v>
      </c>
      <c r="U880" s="2" t="s">
        <v>1240</v>
      </c>
      <c r="V880" s="2" t="s">
        <v>350</v>
      </c>
      <c r="W880" s="2" t="s">
        <v>415</v>
      </c>
      <c r="X880" s="2" t="s">
        <v>183</v>
      </c>
      <c r="Y880" s="2" t="s">
        <v>3219</v>
      </c>
      <c r="Z880" s="4">
        <v>801</v>
      </c>
      <c r="AA880" s="4">
        <f>=ROUNDDOWN(10.68,0)</f>
      </c>
      <c r="AB880" s="5">
        <v>75</v>
      </c>
      <c r="AC880" s="2" t="s">
        <v>821</v>
      </c>
      <c r="AD880" s="4">
        <v>350</v>
      </c>
      <c r="AE880" s="4">
        <v>2170</v>
      </c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1832</v>
      </c>
      <c r="BK880" s="8">
        <v>385741.66</v>
      </c>
      <c r="BL880" s="2" t="s">
        <v>3222</v>
      </c>
      <c r="BM880" s="7"/>
      <c r="BN880" s="7"/>
      <c r="BO880" s="4"/>
      <c r="BP880" s="8"/>
      <c r="BQ880" s="4"/>
      <c r="BR880" s="8"/>
      <c r="BS880" s="7"/>
      <c r="BT880" s="7"/>
      <c r="BU880" s="2" t="s">
        <v>2528</v>
      </c>
      <c r="BV880" s="2" t="s">
        <v>97</v>
      </c>
      <c r="BW880" s="2" t="s">
        <v>100</v>
      </c>
      <c r="BX880" s="2" t="s">
        <v>100</v>
      </c>
      <c r="BY880" s="2" t="s">
        <v>113</v>
      </c>
      <c r="BZ880" s="2" t="s">
        <v>100</v>
      </c>
    </row>
    <row r="881">
      <c r="A881" s="2" t="s">
        <v>3223</v>
      </c>
      <c r="B881" s="2" t="s">
        <v>87</v>
      </c>
      <c r="C881" s="2" t="s">
        <v>3178</v>
      </c>
      <c r="D881" s="2" t="s">
        <v>803</v>
      </c>
      <c r="E881" s="2" t="s">
        <v>804</v>
      </c>
      <c r="F881" s="2" t="s">
        <v>2679</v>
      </c>
      <c r="G881" s="2" t="s">
        <v>100</v>
      </c>
      <c r="H881" s="2" t="s">
        <v>100</v>
      </c>
      <c r="I881" s="2" t="s">
        <v>2559</v>
      </c>
      <c r="J881" s="2" t="s">
        <v>706</v>
      </c>
      <c r="K881" s="2" t="s">
        <v>118</v>
      </c>
      <c r="L881" s="3">
        <v>139.5</v>
      </c>
      <c r="M881" s="3">
        <v>146.48</v>
      </c>
      <c r="N881" s="3">
        <v>309.99</v>
      </c>
      <c r="O881" s="2" t="s">
        <v>97</v>
      </c>
      <c r="P881" s="2" t="s">
        <v>119</v>
      </c>
      <c r="Q881" s="2" t="s">
        <v>99</v>
      </c>
      <c r="R881" s="2" t="s">
        <v>100</v>
      </c>
      <c r="S881" s="2" t="s">
        <v>3224</v>
      </c>
      <c r="T881" s="2" t="s">
        <v>100</v>
      </c>
      <c r="U881" s="2" t="s">
        <v>833</v>
      </c>
      <c r="V881" s="2" t="s">
        <v>350</v>
      </c>
      <c r="W881" s="2" t="s">
        <v>415</v>
      </c>
      <c r="X881" s="2" t="s">
        <v>1470</v>
      </c>
      <c r="Y881" s="2" t="s">
        <v>2042</v>
      </c>
      <c r="Z881" s="4">
        <v>161</v>
      </c>
      <c r="AA881" s="4">
        <f>=ROUNDDOWN(26.8333333333333,0)</f>
      </c>
      <c r="AB881" s="5">
        <v>6</v>
      </c>
      <c r="AC881" s="2" t="s">
        <v>931</v>
      </c>
      <c r="AD881" s="4">
        <v>150</v>
      </c>
      <c r="AE881" s="4">
        <v>150</v>
      </c>
      <c r="AF881" s="6">
        <v>67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129</v>
      </c>
      <c r="BK881" s="8">
        <v>18571.01</v>
      </c>
      <c r="BL881" s="2" t="s">
        <v>3225</v>
      </c>
      <c r="BM881" s="7"/>
      <c r="BN881" s="7"/>
      <c r="BO881" s="4"/>
      <c r="BP881" s="8"/>
      <c r="BQ881" s="4"/>
      <c r="BR881" s="8"/>
      <c r="BS881" s="7"/>
      <c r="BT881" s="7"/>
      <c r="BU881" s="2" t="s">
        <v>2528</v>
      </c>
      <c r="BV881" s="2" t="s">
        <v>97</v>
      </c>
      <c r="BW881" s="2" t="s">
        <v>100</v>
      </c>
      <c r="BX881" s="2" t="s">
        <v>100</v>
      </c>
      <c r="BY881" s="2" t="s">
        <v>113</v>
      </c>
      <c r="BZ881" s="2" t="s">
        <v>100</v>
      </c>
    </row>
    <row r="882">
      <c r="A882" s="2" t="s">
        <v>3226</v>
      </c>
      <c r="B882" s="2" t="s">
        <v>87</v>
      </c>
      <c r="C882" s="2" t="s">
        <v>3178</v>
      </c>
      <c r="D882" s="2" t="s">
        <v>803</v>
      </c>
      <c r="E882" s="2" t="s">
        <v>804</v>
      </c>
      <c r="F882" s="2" t="s">
        <v>2679</v>
      </c>
      <c r="G882" s="2" t="s">
        <v>100</v>
      </c>
      <c r="H882" s="2" t="s">
        <v>100</v>
      </c>
      <c r="I882" s="2" t="s">
        <v>2559</v>
      </c>
      <c r="J882" s="2" t="s">
        <v>714</v>
      </c>
      <c r="K882" s="2" t="s">
        <v>118</v>
      </c>
      <c r="L882" s="3">
        <v>180</v>
      </c>
      <c r="M882" s="3">
        <v>189</v>
      </c>
      <c r="N882" s="3">
        <v>359.99</v>
      </c>
      <c r="O882" s="2" t="s">
        <v>97</v>
      </c>
      <c r="P882" s="2" t="s">
        <v>119</v>
      </c>
      <c r="Q882" s="2" t="s">
        <v>99</v>
      </c>
      <c r="R882" s="2" t="s">
        <v>100</v>
      </c>
      <c r="S882" s="2" t="s">
        <v>3224</v>
      </c>
      <c r="T882" s="2" t="s">
        <v>100</v>
      </c>
      <c r="U882" s="2" t="s">
        <v>1240</v>
      </c>
      <c r="V882" s="2" t="s">
        <v>350</v>
      </c>
      <c r="W882" s="2" t="s">
        <v>415</v>
      </c>
      <c r="X882" s="2" t="s">
        <v>1470</v>
      </c>
      <c r="Y882" s="2" t="s">
        <v>2042</v>
      </c>
      <c r="Z882" s="4">
        <v>88</v>
      </c>
      <c r="AA882" s="4">
        <f>=ROUNDDOWN(12.5714285714286,0)</f>
      </c>
      <c r="AB882" s="5">
        <v>7</v>
      </c>
      <c r="AC882" s="2" t="s">
        <v>931</v>
      </c>
      <c r="AD882" s="4">
        <v>200</v>
      </c>
      <c r="AE882" s="4">
        <v>200</v>
      </c>
      <c r="AF882" s="6">
        <v>67</v>
      </c>
      <c r="AG882" s="6"/>
      <c r="AH882" s="7">
        <v>0.7754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>
        <v>137</v>
      </c>
      <c r="BK882" s="8">
        <v>24256.63</v>
      </c>
      <c r="BL882" s="2" t="s">
        <v>3227</v>
      </c>
      <c r="BM882" s="7"/>
      <c r="BN882" s="7"/>
      <c r="BO882" s="4"/>
      <c r="BP882" s="8"/>
      <c r="BQ882" s="4"/>
      <c r="BR882" s="8"/>
      <c r="BS882" s="7"/>
      <c r="BT882" s="7"/>
      <c r="BU882" s="2" t="s">
        <v>2528</v>
      </c>
      <c r="BV882" s="2" t="s">
        <v>97</v>
      </c>
      <c r="BW882" s="2" t="s">
        <v>100</v>
      </c>
      <c r="BX882" s="2" t="s">
        <v>100</v>
      </c>
      <c r="BY882" s="2" t="s">
        <v>113</v>
      </c>
      <c r="BZ882" s="2" t="s">
        <v>100</v>
      </c>
    </row>
    <row r="883">
      <c r="A883" s="2" t="s">
        <v>3228</v>
      </c>
      <c r="B883" s="2" t="s">
        <v>87</v>
      </c>
      <c r="C883" s="2" t="s">
        <v>3178</v>
      </c>
      <c r="D883" s="2" t="s">
        <v>803</v>
      </c>
      <c r="E883" s="2" t="s">
        <v>804</v>
      </c>
      <c r="F883" s="2" t="s">
        <v>1505</v>
      </c>
      <c r="G883" s="2" t="s">
        <v>3229</v>
      </c>
      <c r="H883" s="2" t="s">
        <v>1505</v>
      </c>
      <c r="I883" s="2" t="s">
        <v>3230</v>
      </c>
      <c r="J883" s="2" t="s">
        <v>706</v>
      </c>
      <c r="K883" s="2" t="s">
        <v>629</v>
      </c>
      <c r="L883" s="3">
        <v>148.5</v>
      </c>
      <c r="M883" s="3">
        <v>155.93</v>
      </c>
      <c r="N883" s="3">
        <v>329.99</v>
      </c>
      <c r="O883" s="2" t="s">
        <v>97</v>
      </c>
      <c r="P883" s="2" t="s">
        <v>98</v>
      </c>
      <c r="Q883" s="2" t="s">
        <v>99</v>
      </c>
      <c r="R883" s="2" t="s">
        <v>100</v>
      </c>
      <c r="S883" s="2" t="s">
        <v>3231</v>
      </c>
      <c r="T883" s="2" t="s">
        <v>100</v>
      </c>
      <c r="U883" s="2" t="s">
        <v>833</v>
      </c>
      <c r="V883" s="2" t="s">
        <v>403</v>
      </c>
      <c r="W883" s="2" t="s">
        <v>104</v>
      </c>
      <c r="X883" s="2" t="s">
        <v>3232</v>
      </c>
      <c r="Y883" s="2" t="s">
        <v>3233</v>
      </c>
      <c r="Z883" s="4">
        <v>177</v>
      </c>
      <c r="AA883" s="4">
        <f>=ROUNDDOWN(22.125,0)</f>
      </c>
      <c r="AB883" s="5">
        <v>8</v>
      </c>
      <c r="AC883" s="2" t="s">
        <v>872</v>
      </c>
      <c r="AD883" s="4">
        <v>40</v>
      </c>
      <c r="AE883" s="4">
        <v>180</v>
      </c>
      <c r="AF883" s="6">
        <v>67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199</v>
      </c>
      <c r="BK883" s="8">
        <v>32092.56</v>
      </c>
      <c r="BL883" s="2" t="s">
        <v>3234</v>
      </c>
      <c r="BM883" s="7"/>
      <c r="BN883" s="7"/>
      <c r="BO883" s="4"/>
      <c r="BP883" s="8"/>
      <c r="BQ883" s="4"/>
      <c r="BR883" s="8"/>
      <c r="BS883" s="7"/>
      <c r="BT883" s="7"/>
      <c r="BU883" s="2" t="s">
        <v>2528</v>
      </c>
      <c r="BV883" s="2" t="s">
        <v>97</v>
      </c>
      <c r="BW883" s="2" t="s">
        <v>100</v>
      </c>
      <c r="BX883" s="2" t="s">
        <v>100</v>
      </c>
      <c r="BY883" s="2" t="s">
        <v>113</v>
      </c>
      <c r="BZ883" s="2" t="s">
        <v>100</v>
      </c>
    </row>
    <row r="884">
      <c r="A884" s="2" t="s">
        <v>3235</v>
      </c>
      <c r="B884" s="2" t="s">
        <v>87</v>
      </c>
      <c r="C884" s="2" t="s">
        <v>3178</v>
      </c>
      <c r="D884" s="2" t="s">
        <v>803</v>
      </c>
      <c r="E884" s="2" t="s">
        <v>804</v>
      </c>
      <c r="F884" s="2" t="s">
        <v>1505</v>
      </c>
      <c r="G884" s="2" t="s">
        <v>3229</v>
      </c>
      <c r="H884" s="2" t="s">
        <v>1505</v>
      </c>
      <c r="I884" s="2" t="s">
        <v>3236</v>
      </c>
      <c r="J884" s="2" t="s">
        <v>714</v>
      </c>
      <c r="K884" s="2" t="s">
        <v>629</v>
      </c>
      <c r="L884" s="3">
        <v>171</v>
      </c>
      <c r="M884" s="3">
        <v>179.55</v>
      </c>
      <c r="N884" s="3">
        <v>379.99</v>
      </c>
      <c r="O884" s="2" t="s">
        <v>97</v>
      </c>
      <c r="P884" s="2" t="s">
        <v>98</v>
      </c>
      <c r="Q884" s="2" t="s">
        <v>99</v>
      </c>
      <c r="R884" s="2" t="s">
        <v>100</v>
      </c>
      <c r="S884" s="2" t="s">
        <v>3231</v>
      </c>
      <c r="T884" s="2" t="s">
        <v>100</v>
      </c>
      <c r="U884" s="2" t="s">
        <v>1240</v>
      </c>
      <c r="V884" s="2" t="s">
        <v>403</v>
      </c>
      <c r="W884" s="2" t="s">
        <v>104</v>
      </c>
      <c r="X884" s="2" t="s">
        <v>3232</v>
      </c>
      <c r="Y884" s="2" t="s">
        <v>3233</v>
      </c>
      <c r="Z884" s="4">
        <v>39</v>
      </c>
      <c r="AA884" s="4">
        <f>=ROUNDDOWN(1.95,0)</f>
      </c>
      <c r="AB884" s="5">
        <v>20</v>
      </c>
      <c r="AC884" s="2" t="s">
        <v>872</v>
      </c>
      <c r="AD884" s="4">
        <v>210</v>
      </c>
      <c r="AE884" s="4">
        <v>520</v>
      </c>
      <c r="AF884" s="6">
        <v>67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/>
      <c r="BJ884" s="4">
        <v>409</v>
      </c>
      <c r="BK884" s="8">
        <v>77515.95</v>
      </c>
      <c r="BL884" s="2" t="s">
        <v>3237</v>
      </c>
      <c r="BM884" s="7"/>
      <c r="BN884" s="7"/>
      <c r="BO884" s="4"/>
      <c r="BP884" s="8"/>
      <c r="BQ884" s="4"/>
      <c r="BR884" s="8"/>
      <c r="BS884" s="7"/>
      <c r="BT884" s="7"/>
      <c r="BU884" s="2" t="s">
        <v>2528</v>
      </c>
      <c r="BV884" s="2" t="s">
        <v>97</v>
      </c>
      <c r="BW884" s="2" t="s">
        <v>100</v>
      </c>
      <c r="BX884" s="2" t="s">
        <v>100</v>
      </c>
      <c r="BY884" s="2" t="s">
        <v>113</v>
      </c>
      <c r="BZ884" s="2" t="s">
        <v>100</v>
      </c>
    </row>
    <row r="885">
      <c r="A885" s="2" t="s">
        <v>3238</v>
      </c>
      <c r="B885" s="2" t="s">
        <v>87</v>
      </c>
      <c r="C885" s="2" t="s">
        <v>3178</v>
      </c>
      <c r="D885" s="2" t="s">
        <v>803</v>
      </c>
      <c r="E885" s="2" t="s">
        <v>804</v>
      </c>
      <c r="F885" s="2" t="s">
        <v>3239</v>
      </c>
      <c r="G885" s="2" t="s">
        <v>100</v>
      </c>
      <c r="H885" s="2" t="s">
        <v>100</v>
      </c>
      <c r="I885" s="2" t="s">
        <v>2559</v>
      </c>
      <c r="J885" s="2" t="s">
        <v>706</v>
      </c>
      <c r="K885" s="2" t="s">
        <v>189</v>
      </c>
      <c r="L885" s="3">
        <v>172.2</v>
      </c>
      <c r="M885" s="3">
        <v>180.81</v>
      </c>
      <c r="N885" s="3">
        <v>409.99</v>
      </c>
      <c r="O885" s="2" t="s">
        <v>97</v>
      </c>
      <c r="P885" s="2" t="s">
        <v>119</v>
      </c>
      <c r="Q885" s="2" t="s">
        <v>99</v>
      </c>
      <c r="R885" s="2" t="s">
        <v>100</v>
      </c>
      <c r="S885" s="2" t="s">
        <v>3240</v>
      </c>
      <c r="T885" s="2" t="s">
        <v>100</v>
      </c>
      <c r="U885" s="2" t="s">
        <v>833</v>
      </c>
      <c r="V885" s="2" t="s">
        <v>1150</v>
      </c>
      <c r="W885" s="2" t="s">
        <v>673</v>
      </c>
      <c r="X885" s="2" t="s">
        <v>3241</v>
      </c>
      <c r="Y885" s="2" t="s">
        <v>940</v>
      </c>
      <c r="Z885" s="4">
        <v>152</v>
      </c>
      <c r="AA885" s="4">
        <f>=ROUNDDOWN(25.3333333333333,0)</f>
      </c>
      <c r="AB885" s="5">
        <v>6</v>
      </c>
      <c r="AC885" s="2" t="s">
        <v>2681</v>
      </c>
      <c r="AD885" s="4">
        <v>100</v>
      </c>
      <c r="AE885" s="4">
        <v>100</v>
      </c>
      <c r="AF885" s="6">
        <v>67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/>
      <c r="BJ885" s="4">
        <v>124</v>
      </c>
      <c r="BK885" s="8">
        <v>21549.67</v>
      </c>
      <c r="BL885" s="2" t="s">
        <v>3242</v>
      </c>
      <c r="BM885" s="7"/>
      <c r="BN885" s="7"/>
      <c r="BO885" s="4"/>
      <c r="BP885" s="8"/>
      <c r="BQ885" s="4"/>
      <c r="BR885" s="8"/>
      <c r="BS885" s="7"/>
      <c r="BT885" s="7"/>
      <c r="BU885" s="2" t="s">
        <v>2528</v>
      </c>
      <c r="BV885" s="2" t="s">
        <v>97</v>
      </c>
      <c r="BW885" s="2" t="s">
        <v>100</v>
      </c>
      <c r="BX885" s="2" t="s">
        <v>100</v>
      </c>
      <c r="BY885" s="2" t="s">
        <v>113</v>
      </c>
      <c r="BZ885" s="2" t="s">
        <v>100</v>
      </c>
    </row>
    <row r="886">
      <c r="A886" s="2" t="s">
        <v>3243</v>
      </c>
      <c r="B886" s="2" t="s">
        <v>87</v>
      </c>
      <c r="C886" s="2" t="s">
        <v>3178</v>
      </c>
      <c r="D886" s="2" t="s">
        <v>803</v>
      </c>
      <c r="E886" s="2" t="s">
        <v>804</v>
      </c>
      <c r="F886" s="2" t="s">
        <v>3239</v>
      </c>
      <c r="G886" s="2" t="s">
        <v>100</v>
      </c>
      <c r="H886" s="2" t="s">
        <v>100</v>
      </c>
      <c r="I886" s="2" t="s">
        <v>2559</v>
      </c>
      <c r="J886" s="2" t="s">
        <v>714</v>
      </c>
      <c r="K886" s="2" t="s">
        <v>189</v>
      </c>
      <c r="L886" s="3">
        <v>202.4</v>
      </c>
      <c r="M886" s="3">
        <v>212.52</v>
      </c>
      <c r="N886" s="3">
        <v>459.99</v>
      </c>
      <c r="O886" s="2" t="s">
        <v>97</v>
      </c>
      <c r="P886" s="2" t="s">
        <v>119</v>
      </c>
      <c r="Q886" s="2" t="s">
        <v>99</v>
      </c>
      <c r="R886" s="2" t="s">
        <v>100</v>
      </c>
      <c r="S886" s="2" t="s">
        <v>3240</v>
      </c>
      <c r="T886" s="2" t="s">
        <v>100</v>
      </c>
      <c r="U886" s="2" t="s">
        <v>1240</v>
      </c>
      <c r="V886" s="2" t="s">
        <v>1150</v>
      </c>
      <c r="W886" s="2" t="s">
        <v>673</v>
      </c>
      <c r="X886" s="2" t="s">
        <v>3241</v>
      </c>
      <c r="Y886" s="2" t="s">
        <v>940</v>
      </c>
      <c r="Z886" s="4">
        <v>358</v>
      </c>
      <c r="AA886" s="4">
        <f>=ROUNDDOWN(44.75,0)</f>
      </c>
      <c r="AB886" s="5">
        <v>8</v>
      </c>
      <c r="AC886" s="2" t="s">
        <v>2681</v>
      </c>
      <c r="AD886" s="4">
        <v>60</v>
      </c>
      <c r="AE886" s="4">
        <v>60</v>
      </c>
      <c r="AF886" s="6">
        <v>67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/>
      <c r="BJ886" s="4">
        <v>176</v>
      </c>
      <c r="BK886" s="8">
        <v>36306.34</v>
      </c>
      <c r="BL886" s="2" t="s">
        <v>3244</v>
      </c>
      <c r="BM886" s="7"/>
      <c r="BN886" s="7"/>
      <c r="BO886" s="4"/>
      <c r="BP886" s="8"/>
      <c r="BQ886" s="4"/>
      <c r="BR886" s="8"/>
      <c r="BS886" s="7"/>
      <c r="BT886" s="7"/>
      <c r="BU886" s="2" t="s">
        <v>2528</v>
      </c>
      <c r="BV886" s="2" t="s">
        <v>97</v>
      </c>
      <c r="BW886" s="2" t="s">
        <v>100</v>
      </c>
      <c r="BX886" s="2" t="s">
        <v>100</v>
      </c>
      <c r="BY886" s="2" t="s">
        <v>113</v>
      </c>
      <c r="BZ886" s="2" t="s">
        <v>100</v>
      </c>
    </row>
    <row r="887">
      <c r="A887" s="2" t="s">
        <v>3245</v>
      </c>
      <c r="B887" s="2" t="s">
        <v>87</v>
      </c>
      <c r="C887" s="2" t="s">
        <v>3178</v>
      </c>
      <c r="D887" s="2" t="s">
        <v>803</v>
      </c>
      <c r="E887" s="2" t="s">
        <v>804</v>
      </c>
      <c r="F887" s="2" t="s">
        <v>3246</v>
      </c>
      <c r="G887" s="2" t="s">
        <v>3246</v>
      </c>
      <c r="H887" s="2" t="s">
        <v>3246</v>
      </c>
      <c r="I887" s="2" t="s">
        <v>3247</v>
      </c>
      <c r="J887" s="2" t="s">
        <v>706</v>
      </c>
      <c r="K887" s="2" t="s">
        <v>3004</v>
      </c>
      <c r="L887" s="3">
        <v>150</v>
      </c>
      <c r="M887" s="3">
        <v>157.5</v>
      </c>
      <c r="N887" s="3">
        <v>299.99</v>
      </c>
      <c r="O887" s="2" t="s">
        <v>97</v>
      </c>
      <c r="P887" s="2" t="s">
        <v>2478</v>
      </c>
      <c r="Q887" s="2" t="s">
        <v>99</v>
      </c>
      <c r="R887" s="2" t="s">
        <v>100</v>
      </c>
      <c r="S887" s="2" t="s">
        <v>100</v>
      </c>
      <c r="T887" s="2" t="s">
        <v>200</v>
      </c>
      <c r="U887" s="2" t="s">
        <v>833</v>
      </c>
      <c r="V887" s="2" t="s">
        <v>146</v>
      </c>
      <c r="W887" s="2" t="s">
        <v>100</v>
      </c>
      <c r="X887" s="2" t="s">
        <v>100</v>
      </c>
      <c r="Y887" s="2" t="s">
        <v>100</v>
      </c>
      <c r="Z887" s="4"/>
      <c r="AA887" s="4">
        <f>=ROUNDDOWN({0},0)</f>
      </c>
      <c r="AB887" s="5"/>
      <c r="AC887" s="2" t="s">
        <v>1259</v>
      </c>
      <c r="AD887" s="4">
        <v>70</v>
      </c>
      <c r="AE887" s="4">
        <v>140</v>
      </c>
      <c r="AF887" s="6"/>
      <c r="AG887" s="6"/>
      <c r="AH887" s="7"/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/>
      <c r="BK887" s="8"/>
      <c r="BL887" s="2" t="s">
        <v>100</v>
      </c>
      <c r="BM887" s="7"/>
      <c r="BN887" s="7"/>
      <c r="BO887" s="4"/>
      <c r="BP887" s="8"/>
      <c r="BQ887" s="4"/>
      <c r="BR887" s="8"/>
      <c r="BS887" s="7"/>
      <c r="BT887" s="7"/>
      <c r="BU887" s="2" t="s">
        <v>2528</v>
      </c>
      <c r="BV887" s="2" t="s">
        <v>97</v>
      </c>
      <c r="BW887" s="2" t="s">
        <v>100</v>
      </c>
      <c r="BX887" s="2" t="s">
        <v>100</v>
      </c>
      <c r="BY887" s="2" t="s">
        <v>113</v>
      </c>
      <c r="BZ887" s="2" t="s">
        <v>100</v>
      </c>
    </row>
    <row r="888">
      <c r="A888" s="2" t="s">
        <v>3248</v>
      </c>
      <c r="B888" s="2" t="s">
        <v>87</v>
      </c>
      <c r="C888" s="2" t="s">
        <v>3178</v>
      </c>
      <c r="D888" s="2" t="s">
        <v>803</v>
      </c>
      <c r="E888" s="2" t="s">
        <v>804</v>
      </c>
      <c r="F888" s="2" t="s">
        <v>3246</v>
      </c>
      <c r="G888" s="2" t="s">
        <v>3246</v>
      </c>
      <c r="H888" s="2" t="s">
        <v>3246</v>
      </c>
      <c r="I888" s="2" t="s">
        <v>3247</v>
      </c>
      <c r="J888" s="2" t="s">
        <v>714</v>
      </c>
      <c r="K888" s="2" t="s">
        <v>3004</v>
      </c>
      <c r="L888" s="3">
        <v>175</v>
      </c>
      <c r="M888" s="3">
        <v>183.75</v>
      </c>
      <c r="N888" s="3">
        <v>349.99</v>
      </c>
      <c r="O888" s="2" t="s">
        <v>97</v>
      </c>
      <c r="P888" s="2" t="s">
        <v>2478</v>
      </c>
      <c r="Q888" s="2" t="s">
        <v>99</v>
      </c>
      <c r="R888" s="2" t="s">
        <v>100</v>
      </c>
      <c r="S888" s="2" t="s">
        <v>100</v>
      </c>
      <c r="T888" s="2" t="s">
        <v>200</v>
      </c>
      <c r="U888" s="2" t="s">
        <v>1240</v>
      </c>
      <c r="V888" s="2" t="s">
        <v>146</v>
      </c>
      <c r="W888" s="2" t="s">
        <v>100</v>
      </c>
      <c r="X888" s="2" t="s">
        <v>100</v>
      </c>
      <c r="Y888" s="2" t="s">
        <v>100</v>
      </c>
      <c r="Z888" s="4"/>
      <c r="AA888" s="4">
        <f>=ROUNDDOWN({0},0)</f>
      </c>
      <c r="AB888" s="5"/>
      <c r="AC888" s="2" t="s">
        <v>1259</v>
      </c>
      <c r="AD888" s="4">
        <v>116</v>
      </c>
      <c r="AE888" s="4">
        <v>230</v>
      </c>
      <c r="AF888" s="6"/>
      <c r="AG888" s="6"/>
      <c r="AH888" s="7"/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/>
      <c r="BK888" s="8"/>
      <c r="BL888" s="2" t="s">
        <v>100</v>
      </c>
      <c r="BM888" s="7"/>
      <c r="BN888" s="7"/>
      <c r="BO888" s="4"/>
      <c r="BP888" s="8"/>
      <c r="BQ888" s="4"/>
      <c r="BR888" s="8"/>
      <c r="BS888" s="7"/>
      <c r="BT888" s="7"/>
      <c r="BU888" s="2" t="s">
        <v>2528</v>
      </c>
      <c r="BV888" s="2" t="s">
        <v>97</v>
      </c>
      <c r="BW888" s="2" t="s">
        <v>100</v>
      </c>
      <c r="BX888" s="2" t="s">
        <v>100</v>
      </c>
      <c r="BY888" s="2" t="s">
        <v>113</v>
      </c>
      <c r="BZ888" s="2" t="s">
        <v>100</v>
      </c>
    </row>
    <row r="889">
      <c r="A889" s="2" t="s">
        <v>3249</v>
      </c>
      <c r="B889" s="2" t="s">
        <v>87</v>
      </c>
      <c r="C889" s="2" t="s">
        <v>3178</v>
      </c>
      <c r="D889" s="2" t="s">
        <v>803</v>
      </c>
      <c r="E889" s="2" t="s">
        <v>804</v>
      </c>
      <c r="F889" s="2" t="s">
        <v>3250</v>
      </c>
      <c r="G889" s="2" t="s">
        <v>3250</v>
      </c>
      <c r="H889" s="2" t="s">
        <v>3250</v>
      </c>
      <c r="I889" s="2" t="s">
        <v>3251</v>
      </c>
      <c r="J889" s="2" t="s">
        <v>247</v>
      </c>
      <c r="K889" s="2" t="s">
        <v>118</v>
      </c>
      <c r="L889" s="3">
        <v>150</v>
      </c>
      <c r="M889" s="3">
        <v>157.5</v>
      </c>
      <c r="N889" s="3">
        <v>299.99</v>
      </c>
      <c r="O889" s="2" t="s">
        <v>97</v>
      </c>
      <c r="P889" s="2" t="s">
        <v>225</v>
      </c>
      <c r="Q889" s="2" t="s">
        <v>99</v>
      </c>
      <c r="R889" s="2" t="s">
        <v>100</v>
      </c>
      <c r="S889" s="2" t="s">
        <v>3252</v>
      </c>
      <c r="T889" s="2" t="s">
        <v>280</v>
      </c>
      <c r="U889" s="2" t="s">
        <v>833</v>
      </c>
      <c r="V889" s="2" t="s">
        <v>350</v>
      </c>
      <c r="W889" s="2" t="s">
        <v>104</v>
      </c>
      <c r="X889" s="2" t="s">
        <v>415</v>
      </c>
      <c r="Y889" s="2" t="s">
        <v>3253</v>
      </c>
      <c r="Z889" s="4">
        <v>234</v>
      </c>
      <c r="AA889" s="4">
        <f>=ROUNDDOWN(58.5,0)</f>
      </c>
      <c r="AB889" s="5">
        <v>4</v>
      </c>
      <c r="AC889" s="2" t="s">
        <v>100</v>
      </c>
      <c r="AD889" s="4"/>
      <c r="AE889" s="4"/>
      <c r="AF889" s="6">
        <v>67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28</v>
      </c>
      <c r="BK889" s="8">
        <v>4828.43</v>
      </c>
      <c r="BL889" s="2" t="s">
        <v>3254</v>
      </c>
      <c r="BM889" s="7"/>
      <c r="BN889" s="7"/>
      <c r="BO889" s="4"/>
      <c r="BP889" s="8"/>
      <c r="BQ889" s="4"/>
      <c r="BR889" s="8"/>
      <c r="BS889" s="7"/>
      <c r="BT889" s="7"/>
      <c r="BU889" s="2" t="s">
        <v>2528</v>
      </c>
      <c r="BV889" s="2" t="s">
        <v>97</v>
      </c>
      <c r="BW889" s="2" t="s">
        <v>100</v>
      </c>
      <c r="BX889" s="2" t="s">
        <v>100</v>
      </c>
      <c r="BY889" s="2" t="s">
        <v>113</v>
      </c>
      <c r="BZ889" s="2" t="s">
        <v>100</v>
      </c>
    </row>
    <row r="890">
      <c r="A890" s="2" t="s">
        <v>3255</v>
      </c>
      <c r="B890" s="2" t="s">
        <v>87</v>
      </c>
      <c r="C890" s="2" t="s">
        <v>3178</v>
      </c>
      <c r="D890" s="2" t="s">
        <v>803</v>
      </c>
      <c r="E890" s="2" t="s">
        <v>804</v>
      </c>
      <c r="F890" s="2" t="s">
        <v>3250</v>
      </c>
      <c r="G890" s="2" t="s">
        <v>3250</v>
      </c>
      <c r="H890" s="2" t="s">
        <v>3250</v>
      </c>
      <c r="I890" s="2" t="s">
        <v>3251</v>
      </c>
      <c r="J890" s="2" t="s">
        <v>270</v>
      </c>
      <c r="K890" s="2" t="s">
        <v>118</v>
      </c>
      <c r="L890" s="3">
        <v>175</v>
      </c>
      <c r="M890" s="3">
        <v>183.75</v>
      </c>
      <c r="N890" s="3">
        <v>349.99</v>
      </c>
      <c r="O890" s="2" t="s">
        <v>97</v>
      </c>
      <c r="P890" s="2" t="s">
        <v>225</v>
      </c>
      <c r="Q890" s="2" t="s">
        <v>99</v>
      </c>
      <c r="R890" s="2" t="s">
        <v>100</v>
      </c>
      <c r="S890" s="2" t="s">
        <v>3252</v>
      </c>
      <c r="T890" s="2" t="s">
        <v>280</v>
      </c>
      <c r="U890" s="2" t="s">
        <v>1240</v>
      </c>
      <c r="V890" s="2" t="s">
        <v>350</v>
      </c>
      <c r="W890" s="2" t="s">
        <v>104</v>
      </c>
      <c r="X890" s="2" t="s">
        <v>415</v>
      </c>
      <c r="Y890" s="2" t="s">
        <v>3256</v>
      </c>
      <c r="Z890" s="4">
        <v>183</v>
      </c>
      <c r="AA890" s="4">
        <f>=ROUNDDOWN(36.6,0)</f>
      </c>
      <c r="AB890" s="5">
        <v>5</v>
      </c>
      <c r="AC890" s="2" t="s">
        <v>100</v>
      </c>
      <c r="AD890" s="4"/>
      <c r="AE890" s="4"/>
      <c r="AF890" s="6">
        <v>67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28</v>
      </c>
      <c r="BK890" s="8">
        <v>5684.23</v>
      </c>
      <c r="BL890" s="2" t="s">
        <v>3257</v>
      </c>
      <c r="BM890" s="7"/>
      <c r="BN890" s="7"/>
      <c r="BO890" s="4"/>
      <c r="BP890" s="8"/>
      <c r="BQ890" s="4"/>
      <c r="BR890" s="8"/>
      <c r="BS890" s="7"/>
      <c r="BT890" s="7"/>
      <c r="BU890" s="2" t="s">
        <v>2528</v>
      </c>
      <c r="BV890" s="2" t="s">
        <v>97</v>
      </c>
      <c r="BW890" s="2" t="s">
        <v>100</v>
      </c>
      <c r="BX890" s="2" t="s">
        <v>100</v>
      </c>
      <c r="BY890" s="2" t="s">
        <v>113</v>
      </c>
      <c r="BZ890" s="2" t="s">
        <v>100</v>
      </c>
    </row>
    <row r="891">
      <c r="A891" s="2" t="s">
        <v>3258</v>
      </c>
      <c r="B891" s="2" t="s">
        <v>87</v>
      </c>
      <c r="C891" s="2" t="s">
        <v>3178</v>
      </c>
      <c r="D891" s="2" t="s">
        <v>803</v>
      </c>
      <c r="E891" s="2" t="s">
        <v>804</v>
      </c>
      <c r="F891" s="2" t="s">
        <v>3259</v>
      </c>
      <c r="G891" s="2" t="s">
        <v>3259</v>
      </c>
      <c r="H891" s="2" t="s">
        <v>3259</v>
      </c>
      <c r="I891" s="2" t="s">
        <v>3260</v>
      </c>
      <c r="J891" s="2" t="s">
        <v>247</v>
      </c>
      <c r="K891" s="2" t="s">
        <v>2477</v>
      </c>
      <c r="L891" s="3">
        <v>150</v>
      </c>
      <c r="M891" s="3">
        <v>157.5</v>
      </c>
      <c r="N891" s="3">
        <v>299.99</v>
      </c>
      <c r="O891" s="2" t="s">
        <v>97</v>
      </c>
      <c r="P891" s="2" t="s">
        <v>225</v>
      </c>
      <c r="Q891" s="2" t="s">
        <v>99</v>
      </c>
      <c r="R891" s="2" t="s">
        <v>100</v>
      </c>
      <c r="S891" s="2" t="s">
        <v>3261</v>
      </c>
      <c r="T891" s="2" t="s">
        <v>100</v>
      </c>
      <c r="U891" s="2" t="s">
        <v>833</v>
      </c>
      <c r="V891" s="2" t="s">
        <v>350</v>
      </c>
      <c r="W891" s="2" t="s">
        <v>561</v>
      </c>
      <c r="X891" s="2" t="s">
        <v>100</v>
      </c>
      <c r="Y891" s="2" t="s">
        <v>2670</v>
      </c>
      <c r="Z891" s="4">
        <v>99</v>
      </c>
      <c r="AA891" s="4">
        <f>=ROUNDDOWN(49.5,0)</f>
      </c>
      <c r="AB891" s="5">
        <v>2</v>
      </c>
      <c r="AC891" s="2" t="s">
        <v>100</v>
      </c>
      <c r="AD891" s="4"/>
      <c r="AE891" s="4"/>
      <c r="AF891" s="6">
        <v>67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47</v>
      </c>
      <c r="BK891" s="8">
        <v>7466.51</v>
      </c>
      <c r="BL891" s="2" t="s">
        <v>3262</v>
      </c>
      <c r="BM891" s="7"/>
      <c r="BN891" s="7"/>
      <c r="BO891" s="4"/>
      <c r="BP891" s="8"/>
      <c r="BQ891" s="4"/>
      <c r="BR891" s="8"/>
      <c r="BS891" s="7"/>
      <c r="BT891" s="7"/>
      <c r="BU891" s="2" t="s">
        <v>2528</v>
      </c>
      <c r="BV891" s="2" t="s">
        <v>97</v>
      </c>
      <c r="BW891" s="2" t="s">
        <v>100</v>
      </c>
      <c r="BX891" s="2" t="s">
        <v>100</v>
      </c>
      <c r="BY891" s="2" t="s">
        <v>113</v>
      </c>
      <c r="BZ891" s="2" t="s">
        <v>100</v>
      </c>
    </row>
    <row r="892">
      <c r="A892" s="2" t="s">
        <v>3263</v>
      </c>
      <c r="B892" s="2" t="s">
        <v>87</v>
      </c>
      <c r="C892" s="2" t="s">
        <v>3178</v>
      </c>
      <c r="D892" s="2" t="s">
        <v>803</v>
      </c>
      <c r="E892" s="2" t="s">
        <v>804</v>
      </c>
      <c r="F892" s="2" t="s">
        <v>3259</v>
      </c>
      <c r="G892" s="2" t="s">
        <v>3259</v>
      </c>
      <c r="H892" s="2" t="s">
        <v>3259</v>
      </c>
      <c r="I892" s="2" t="s">
        <v>3260</v>
      </c>
      <c r="J892" s="2" t="s">
        <v>270</v>
      </c>
      <c r="K892" s="2" t="s">
        <v>2477</v>
      </c>
      <c r="L892" s="3">
        <v>175</v>
      </c>
      <c r="M892" s="3">
        <v>183.75</v>
      </c>
      <c r="N892" s="3">
        <v>349.99</v>
      </c>
      <c r="O892" s="2" t="s">
        <v>97</v>
      </c>
      <c r="P892" s="2" t="s">
        <v>225</v>
      </c>
      <c r="Q892" s="2" t="s">
        <v>99</v>
      </c>
      <c r="R892" s="2" t="s">
        <v>100</v>
      </c>
      <c r="S892" s="2" t="s">
        <v>3261</v>
      </c>
      <c r="T892" s="2" t="s">
        <v>100</v>
      </c>
      <c r="U892" s="2" t="s">
        <v>1240</v>
      </c>
      <c r="V892" s="2" t="s">
        <v>350</v>
      </c>
      <c r="W892" s="2" t="s">
        <v>561</v>
      </c>
      <c r="X892" s="2" t="s">
        <v>100</v>
      </c>
      <c r="Y892" s="2" t="s">
        <v>3264</v>
      </c>
      <c r="Z892" s="4">
        <v>105</v>
      </c>
      <c r="AA892" s="4">
        <f>=ROUNDDOWN(35,0)</f>
      </c>
      <c r="AB892" s="5">
        <v>3</v>
      </c>
      <c r="AC892" s="2" t="s">
        <v>100</v>
      </c>
      <c r="AD892" s="4"/>
      <c r="AE892" s="4"/>
      <c r="AF892" s="6">
        <v>67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48</v>
      </c>
      <c r="BK892" s="8">
        <v>8894.69</v>
      </c>
      <c r="BL892" s="2" t="s">
        <v>3265</v>
      </c>
      <c r="BM892" s="7"/>
      <c r="BN892" s="7"/>
      <c r="BO892" s="4"/>
      <c r="BP892" s="8"/>
      <c r="BQ892" s="4"/>
      <c r="BR892" s="8"/>
      <c r="BS892" s="7"/>
      <c r="BT892" s="7"/>
      <c r="BU892" s="2" t="s">
        <v>2528</v>
      </c>
      <c r="BV892" s="2" t="s">
        <v>97</v>
      </c>
      <c r="BW892" s="2" t="s">
        <v>100</v>
      </c>
      <c r="BX892" s="2" t="s">
        <v>100</v>
      </c>
      <c r="BY892" s="2" t="s">
        <v>113</v>
      </c>
      <c r="BZ892" s="2" t="s">
        <v>100</v>
      </c>
    </row>
    <row r="893">
      <c r="A893" s="2" t="s">
        <v>3266</v>
      </c>
      <c r="B893" s="2" t="s">
        <v>87</v>
      </c>
      <c r="C893" s="2" t="s">
        <v>3178</v>
      </c>
      <c r="D893" s="2" t="s">
        <v>803</v>
      </c>
      <c r="E893" s="2" t="s">
        <v>804</v>
      </c>
      <c r="F893" s="2" t="s">
        <v>3267</v>
      </c>
      <c r="G893" s="2" t="s">
        <v>3267</v>
      </c>
      <c r="H893" s="2" t="s">
        <v>3267</v>
      </c>
      <c r="I893" s="2" t="s">
        <v>3268</v>
      </c>
      <c r="J893" s="2" t="s">
        <v>247</v>
      </c>
      <c r="K893" s="2" t="s">
        <v>3269</v>
      </c>
      <c r="L893" s="3">
        <v>150</v>
      </c>
      <c r="M893" s="3">
        <v>157.5</v>
      </c>
      <c r="N893" s="3">
        <v>299.99</v>
      </c>
      <c r="O893" s="2" t="s">
        <v>97</v>
      </c>
      <c r="P893" s="2" t="s">
        <v>225</v>
      </c>
      <c r="Q893" s="2" t="s">
        <v>99</v>
      </c>
      <c r="R893" s="2" t="s">
        <v>100</v>
      </c>
      <c r="S893" s="2" t="s">
        <v>3270</v>
      </c>
      <c r="T893" s="2" t="s">
        <v>200</v>
      </c>
      <c r="U893" s="2" t="s">
        <v>833</v>
      </c>
      <c r="V893" s="2" t="s">
        <v>1150</v>
      </c>
      <c r="W893" s="2" t="s">
        <v>104</v>
      </c>
      <c r="X893" s="2" t="s">
        <v>673</v>
      </c>
      <c r="Y893" s="2" t="s">
        <v>528</v>
      </c>
      <c r="Z893" s="4">
        <v>132</v>
      </c>
      <c r="AA893" s="4">
        <f>=ROUNDDOWN(44,0)</f>
      </c>
      <c r="AB893" s="5">
        <v>3</v>
      </c>
      <c r="AC893" s="2" t="s">
        <v>100</v>
      </c>
      <c r="AD893" s="4"/>
      <c r="AE893" s="4"/>
      <c r="AF893" s="6">
        <v>67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8</v>
      </c>
      <c r="BK893" s="8">
        <v>1360.2</v>
      </c>
      <c r="BL893" s="2" t="s">
        <v>3271</v>
      </c>
      <c r="BM893" s="7"/>
      <c r="BN893" s="7"/>
      <c r="BO893" s="4"/>
      <c r="BP893" s="8"/>
      <c r="BQ893" s="4"/>
      <c r="BR893" s="8"/>
      <c r="BS893" s="7"/>
      <c r="BT893" s="7"/>
      <c r="BU893" s="2" t="s">
        <v>2528</v>
      </c>
      <c r="BV893" s="2" t="s">
        <v>97</v>
      </c>
      <c r="BW893" s="2" t="s">
        <v>100</v>
      </c>
      <c r="BX893" s="2" t="s">
        <v>100</v>
      </c>
      <c r="BY893" s="2" t="s">
        <v>113</v>
      </c>
      <c r="BZ893" s="2" t="s">
        <v>100</v>
      </c>
    </row>
    <row r="894">
      <c r="A894" s="2" t="s">
        <v>3272</v>
      </c>
      <c r="B894" s="2" t="s">
        <v>87</v>
      </c>
      <c r="C894" s="2" t="s">
        <v>3178</v>
      </c>
      <c r="D894" s="2" t="s">
        <v>803</v>
      </c>
      <c r="E894" s="2" t="s">
        <v>804</v>
      </c>
      <c r="F894" s="2" t="s">
        <v>3267</v>
      </c>
      <c r="G894" s="2" t="s">
        <v>3267</v>
      </c>
      <c r="H894" s="2" t="s">
        <v>3267</v>
      </c>
      <c r="I894" s="2" t="s">
        <v>3268</v>
      </c>
      <c r="J894" s="2" t="s">
        <v>270</v>
      </c>
      <c r="K894" s="2" t="s">
        <v>3269</v>
      </c>
      <c r="L894" s="3">
        <v>175</v>
      </c>
      <c r="M894" s="3">
        <v>183.75</v>
      </c>
      <c r="N894" s="3">
        <v>349.99</v>
      </c>
      <c r="O894" s="2" t="s">
        <v>97</v>
      </c>
      <c r="P894" s="2" t="s">
        <v>225</v>
      </c>
      <c r="Q894" s="2" t="s">
        <v>99</v>
      </c>
      <c r="R894" s="2" t="s">
        <v>100</v>
      </c>
      <c r="S894" s="2" t="s">
        <v>3270</v>
      </c>
      <c r="T894" s="2" t="s">
        <v>200</v>
      </c>
      <c r="U894" s="2" t="s">
        <v>1240</v>
      </c>
      <c r="V894" s="2" t="s">
        <v>1150</v>
      </c>
      <c r="W894" s="2" t="s">
        <v>104</v>
      </c>
      <c r="X894" s="2" t="s">
        <v>673</v>
      </c>
      <c r="Y894" s="2" t="s">
        <v>528</v>
      </c>
      <c r="Z894" s="4">
        <v>238</v>
      </c>
      <c r="AA894" s="4">
        <f>=ROUNDDOWN(170,0)</f>
      </c>
      <c r="AB894" s="5">
        <v>1.4</v>
      </c>
      <c r="AC894" s="2" t="s">
        <v>100</v>
      </c>
      <c r="AD894" s="4"/>
      <c r="AE894" s="4"/>
      <c r="AF894" s="6">
        <v>67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19</v>
      </c>
      <c r="BK894" s="8">
        <v>3917.15</v>
      </c>
      <c r="BL894" s="2" t="s">
        <v>3273</v>
      </c>
      <c r="BM894" s="7"/>
      <c r="BN894" s="7"/>
      <c r="BO894" s="4"/>
      <c r="BP894" s="8"/>
      <c r="BQ894" s="4"/>
      <c r="BR894" s="8"/>
      <c r="BS894" s="7"/>
      <c r="BT894" s="7"/>
      <c r="BU894" s="2" t="s">
        <v>2528</v>
      </c>
      <c r="BV894" s="2" t="s">
        <v>97</v>
      </c>
      <c r="BW894" s="2" t="s">
        <v>100</v>
      </c>
      <c r="BX894" s="2" t="s">
        <v>100</v>
      </c>
      <c r="BY894" s="2" t="s">
        <v>113</v>
      </c>
      <c r="BZ894" s="2" t="s">
        <v>100</v>
      </c>
    </row>
    <row r="895">
      <c r="A895" s="2" t="s">
        <v>3274</v>
      </c>
      <c r="B895" s="2" t="s">
        <v>87</v>
      </c>
      <c r="C895" s="2" t="s">
        <v>3178</v>
      </c>
      <c r="D895" s="2" t="s">
        <v>803</v>
      </c>
      <c r="E895" s="2" t="s">
        <v>804</v>
      </c>
      <c r="F895" s="2" t="s">
        <v>3275</v>
      </c>
      <c r="G895" s="2" t="s">
        <v>3275</v>
      </c>
      <c r="H895" s="2" t="s">
        <v>3275</v>
      </c>
      <c r="I895" s="2" t="s">
        <v>3198</v>
      </c>
      <c r="J895" s="2" t="s">
        <v>706</v>
      </c>
      <c r="K895" s="2" t="s">
        <v>629</v>
      </c>
      <c r="L895" s="3">
        <v>150</v>
      </c>
      <c r="M895" s="3">
        <v>157.5</v>
      </c>
      <c r="N895" s="3">
        <v>299.99</v>
      </c>
      <c r="O895" s="2" t="s">
        <v>97</v>
      </c>
      <c r="P895" s="2" t="s">
        <v>2478</v>
      </c>
      <c r="Q895" s="2" t="s">
        <v>99</v>
      </c>
      <c r="R895" s="2" t="s">
        <v>100</v>
      </c>
      <c r="S895" s="2" t="s">
        <v>100</v>
      </c>
      <c r="T895" s="2" t="s">
        <v>200</v>
      </c>
      <c r="U895" s="2" t="s">
        <v>833</v>
      </c>
      <c r="V895" s="2" t="s">
        <v>3188</v>
      </c>
      <c r="W895" s="2" t="s">
        <v>100</v>
      </c>
      <c r="X895" s="2" t="s">
        <v>100</v>
      </c>
      <c r="Y895" s="2" t="s">
        <v>100</v>
      </c>
      <c r="Z895" s="4"/>
      <c r="AA895" s="4">
        <f>=ROUNDDOWN({0},0)</f>
      </c>
      <c r="AB895" s="5"/>
      <c r="AC895" s="2" t="s">
        <v>1259</v>
      </c>
      <c r="AD895" s="4">
        <v>70</v>
      </c>
      <c r="AE895" s="4">
        <v>140</v>
      </c>
      <c r="AF895" s="6"/>
      <c r="AG895" s="6"/>
      <c r="AH895" s="7"/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/>
      <c r="BK895" s="8"/>
      <c r="BL895" s="2" t="s">
        <v>100</v>
      </c>
      <c r="BM895" s="7"/>
      <c r="BN895" s="7"/>
      <c r="BO895" s="4"/>
      <c r="BP895" s="8"/>
      <c r="BQ895" s="4"/>
      <c r="BR895" s="8"/>
      <c r="BS895" s="7"/>
      <c r="BT895" s="7"/>
      <c r="BU895" s="2" t="s">
        <v>2528</v>
      </c>
      <c r="BV895" s="2" t="s">
        <v>97</v>
      </c>
      <c r="BW895" s="2" t="s">
        <v>100</v>
      </c>
      <c r="BX895" s="2" t="s">
        <v>100</v>
      </c>
      <c r="BY895" s="2" t="s">
        <v>113</v>
      </c>
      <c r="BZ895" s="2" t="s">
        <v>100</v>
      </c>
    </row>
    <row r="896">
      <c r="A896" s="2" t="s">
        <v>3276</v>
      </c>
      <c r="B896" s="2" t="s">
        <v>87</v>
      </c>
      <c r="C896" s="2" t="s">
        <v>3178</v>
      </c>
      <c r="D896" s="2" t="s">
        <v>803</v>
      </c>
      <c r="E896" s="2" t="s">
        <v>804</v>
      </c>
      <c r="F896" s="2" t="s">
        <v>3275</v>
      </c>
      <c r="G896" s="2" t="s">
        <v>3275</v>
      </c>
      <c r="H896" s="2" t="s">
        <v>3275</v>
      </c>
      <c r="I896" s="2" t="s">
        <v>3198</v>
      </c>
      <c r="J896" s="2" t="s">
        <v>714</v>
      </c>
      <c r="K896" s="2" t="s">
        <v>629</v>
      </c>
      <c r="L896" s="3">
        <v>175</v>
      </c>
      <c r="M896" s="3">
        <v>183.75</v>
      </c>
      <c r="N896" s="3">
        <v>349.99</v>
      </c>
      <c r="O896" s="2" t="s">
        <v>97</v>
      </c>
      <c r="P896" s="2" t="s">
        <v>2478</v>
      </c>
      <c r="Q896" s="2" t="s">
        <v>99</v>
      </c>
      <c r="R896" s="2" t="s">
        <v>100</v>
      </c>
      <c r="S896" s="2" t="s">
        <v>100</v>
      </c>
      <c r="T896" s="2" t="s">
        <v>200</v>
      </c>
      <c r="U896" s="2" t="s">
        <v>1240</v>
      </c>
      <c r="V896" s="2" t="s">
        <v>3188</v>
      </c>
      <c r="W896" s="2" t="s">
        <v>100</v>
      </c>
      <c r="X896" s="2" t="s">
        <v>100</v>
      </c>
      <c r="Y896" s="2" t="s">
        <v>100</v>
      </c>
      <c r="Z896" s="4"/>
      <c r="AA896" s="4">
        <f>=ROUNDDOWN({0},0)</f>
      </c>
      <c r="AB896" s="5"/>
      <c r="AC896" s="2" t="s">
        <v>1259</v>
      </c>
      <c r="AD896" s="4">
        <v>116</v>
      </c>
      <c r="AE896" s="4">
        <v>230</v>
      </c>
      <c r="AF896" s="6"/>
      <c r="AG896" s="6"/>
      <c r="AH896" s="7"/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/>
      <c r="BK896" s="8"/>
      <c r="BL896" s="2" t="s">
        <v>100</v>
      </c>
      <c r="BM896" s="7"/>
      <c r="BN896" s="7"/>
      <c r="BO896" s="4"/>
      <c r="BP896" s="8"/>
      <c r="BQ896" s="4"/>
      <c r="BR896" s="8"/>
      <c r="BS896" s="7"/>
      <c r="BT896" s="7"/>
      <c r="BU896" s="2" t="s">
        <v>2528</v>
      </c>
      <c r="BV896" s="2" t="s">
        <v>97</v>
      </c>
      <c r="BW896" s="2" t="s">
        <v>100</v>
      </c>
      <c r="BX896" s="2" t="s">
        <v>100</v>
      </c>
      <c r="BY896" s="2" t="s">
        <v>113</v>
      </c>
      <c r="BZ896" s="2" t="s">
        <v>100</v>
      </c>
    </row>
    <row r="897">
      <c r="A897" s="2" t="s">
        <v>3277</v>
      </c>
      <c r="B897" s="2" t="s">
        <v>87</v>
      </c>
      <c r="C897" s="2" t="s">
        <v>3178</v>
      </c>
      <c r="D897" s="2" t="s">
        <v>803</v>
      </c>
      <c r="E897" s="2" t="s">
        <v>804</v>
      </c>
      <c r="F897" s="2" t="s">
        <v>3278</v>
      </c>
      <c r="G897" s="2" t="s">
        <v>3278</v>
      </c>
      <c r="H897" s="2" t="s">
        <v>3278</v>
      </c>
      <c r="I897" s="2" t="s">
        <v>2559</v>
      </c>
      <c r="J897" s="2" t="s">
        <v>706</v>
      </c>
      <c r="K897" s="2" t="s">
        <v>1148</v>
      </c>
      <c r="L897" s="3">
        <v>150</v>
      </c>
      <c r="M897" s="3">
        <v>157.5</v>
      </c>
      <c r="N897" s="3">
        <v>299.99</v>
      </c>
      <c r="O897" s="2" t="s">
        <v>97</v>
      </c>
      <c r="P897" s="2" t="s">
        <v>225</v>
      </c>
      <c r="Q897" s="2" t="s">
        <v>99</v>
      </c>
      <c r="R897" s="2" t="s">
        <v>100</v>
      </c>
      <c r="S897" s="2" t="s">
        <v>100</v>
      </c>
      <c r="T897" s="2" t="s">
        <v>100</v>
      </c>
      <c r="U897" s="2" t="s">
        <v>833</v>
      </c>
      <c r="V897" s="2" t="s">
        <v>3188</v>
      </c>
      <c r="W897" s="2" t="s">
        <v>100</v>
      </c>
      <c r="X897" s="2" t="s">
        <v>100</v>
      </c>
      <c r="Y897" s="2" t="s">
        <v>100</v>
      </c>
      <c r="Z897" s="4"/>
      <c r="AA897" s="4">
        <f>=ROUNDDOWN({0},0)</f>
      </c>
      <c r="AB897" s="5"/>
      <c r="AC897" s="2" t="s">
        <v>821</v>
      </c>
      <c r="AD897" s="4">
        <v>200</v>
      </c>
      <c r="AE897" s="4">
        <v>200</v>
      </c>
      <c r="AF897" s="6">
        <v>67</v>
      </c>
      <c r="AG897" s="6"/>
      <c r="AH897" s="7"/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/>
      <c r="BK897" s="8"/>
      <c r="BL897" s="2" t="s">
        <v>100</v>
      </c>
      <c r="BM897" s="7"/>
      <c r="BN897" s="7"/>
      <c r="BO897" s="4"/>
      <c r="BP897" s="8"/>
      <c r="BQ897" s="4"/>
      <c r="BR897" s="8"/>
      <c r="BS897" s="7"/>
      <c r="BT897" s="7"/>
      <c r="BU897" s="2" t="s">
        <v>2528</v>
      </c>
      <c r="BV897" s="2" t="s">
        <v>97</v>
      </c>
      <c r="BW897" s="2" t="s">
        <v>100</v>
      </c>
      <c r="BX897" s="2" t="s">
        <v>100</v>
      </c>
      <c r="BY897" s="2" t="s">
        <v>113</v>
      </c>
      <c r="BZ897" s="2" t="s">
        <v>100</v>
      </c>
    </row>
    <row r="898">
      <c r="A898" s="2" t="s">
        <v>3279</v>
      </c>
      <c r="B898" s="2" t="s">
        <v>87</v>
      </c>
      <c r="C898" s="2" t="s">
        <v>3178</v>
      </c>
      <c r="D898" s="2" t="s">
        <v>803</v>
      </c>
      <c r="E898" s="2" t="s">
        <v>804</v>
      </c>
      <c r="F898" s="2" t="s">
        <v>3278</v>
      </c>
      <c r="G898" s="2" t="s">
        <v>3278</v>
      </c>
      <c r="H898" s="2" t="s">
        <v>3278</v>
      </c>
      <c r="I898" s="2" t="s">
        <v>2559</v>
      </c>
      <c r="J898" s="2" t="s">
        <v>714</v>
      </c>
      <c r="K898" s="2" t="s">
        <v>1148</v>
      </c>
      <c r="L898" s="3">
        <v>175</v>
      </c>
      <c r="M898" s="3">
        <v>183.75</v>
      </c>
      <c r="N898" s="3">
        <v>349.99</v>
      </c>
      <c r="O898" s="2" t="s">
        <v>97</v>
      </c>
      <c r="P898" s="2" t="s">
        <v>225</v>
      </c>
      <c r="Q898" s="2" t="s">
        <v>99</v>
      </c>
      <c r="R898" s="2" t="s">
        <v>100</v>
      </c>
      <c r="S898" s="2" t="s">
        <v>100</v>
      </c>
      <c r="T898" s="2" t="s">
        <v>100</v>
      </c>
      <c r="U898" s="2" t="s">
        <v>1240</v>
      </c>
      <c r="V898" s="2" t="s">
        <v>3188</v>
      </c>
      <c r="W898" s="2" t="s">
        <v>100</v>
      </c>
      <c r="X898" s="2" t="s">
        <v>100</v>
      </c>
      <c r="Y898" s="2" t="s">
        <v>100</v>
      </c>
      <c r="Z898" s="4"/>
      <c r="AA898" s="4">
        <f>=ROUNDDOWN({0},0)</f>
      </c>
      <c r="AB898" s="5"/>
      <c r="AC898" s="2" t="s">
        <v>821</v>
      </c>
      <c r="AD898" s="4">
        <v>300</v>
      </c>
      <c r="AE898" s="4">
        <v>300</v>
      </c>
      <c r="AF898" s="6">
        <v>67</v>
      </c>
      <c r="AG898" s="6"/>
      <c r="AH898" s="7"/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/>
      <c r="BK898" s="8"/>
      <c r="BL898" s="2" t="s">
        <v>100</v>
      </c>
      <c r="BM898" s="7"/>
      <c r="BN898" s="7"/>
      <c r="BO898" s="4"/>
      <c r="BP898" s="8"/>
      <c r="BQ898" s="4"/>
      <c r="BR898" s="8"/>
      <c r="BS898" s="7"/>
      <c r="BT898" s="7"/>
      <c r="BU898" s="2" t="s">
        <v>2528</v>
      </c>
      <c r="BV898" s="2" t="s">
        <v>97</v>
      </c>
      <c r="BW898" s="2" t="s">
        <v>100</v>
      </c>
      <c r="BX898" s="2" t="s">
        <v>100</v>
      </c>
      <c r="BY898" s="2" t="s">
        <v>113</v>
      </c>
      <c r="BZ898" s="2" t="s">
        <v>100</v>
      </c>
    </row>
    <row r="899">
      <c r="A899" s="2" t="s">
        <v>3280</v>
      </c>
      <c r="B899" s="2" t="s">
        <v>87</v>
      </c>
      <c r="C899" s="2" t="s">
        <v>3178</v>
      </c>
      <c r="D899" s="2" t="s">
        <v>803</v>
      </c>
      <c r="E899" s="2" t="s">
        <v>804</v>
      </c>
      <c r="F899" s="2" t="s">
        <v>3281</v>
      </c>
      <c r="G899" s="2" t="s">
        <v>3281</v>
      </c>
      <c r="H899" s="2" t="s">
        <v>3281</v>
      </c>
      <c r="I899" s="2" t="s">
        <v>3282</v>
      </c>
      <c r="J899" s="2" t="s">
        <v>706</v>
      </c>
      <c r="K899" s="2" t="s">
        <v>3283</v>
      </c>
      <c r="L899" s="3">
        <v>165</v>
      </c>
      <c r="M899" s="3">
        <v>173.24</v>
      </c>
      <c r="N899" s="3">
        <v>329.99</v>
      </c>
      <c r="O899" s="2" t="s">
        <v>97</v>
      </c>
      <c r="P899" s="2" t="s">
        <v>119</v>
      </c>
      <c r="Q899" s="2" t="s">
        <v>99</v>
      </c>
      <c r="R899" s="2" t="s">
        <v>100</v>
      </c>
      <c r="S899" s="2" t="s">
        <v>3284</v>
      </c>
      <c r="T899" s="2" t="s">
        <v>100</v>
      </c>
      <c r="U899" s="2" t="s">
        <v>833</v>
      </c>
      <c r="V899" s="2" t="s">
        <v>1150</v>
      </c>
      <c r="W899" s="2" t="s">
        <v>673</v>
      </c>
      <c r="X899" s="2" t="s">
        <v>100</v>
      </c>
      <c r="Y899" s="2" t="s">
        <v>841</v>
      </c>
      <c r="Z899" s="4">
        <v>114</v>
      </c>
      <c r="AA899" s="4">
        <f>=ROUNDDOWN(19,0)</f>
      </c>
      <c r="AB899" s="5">
        <v>6</v>
      </c>
      <c r="AC899" s="2" t="s">
        <v>148</v>
      </c>
      <c r="AD899" s="4">
        <v>150</v>
      </c>
      <c r="AE899" s="4">
        <v>150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122</v>
      </c>
      <c r="BK899" s="8">
        <v>21867.13</v>
      </c>
      <c r="BL899" s="2" t="s">
        <v>734</v>
      </c>
      <c r="BM899" s="7"/>
      <c r="BN899" s="7"/>
      <c r="BO899" s="4"/>
      <c r="BP899" s="8"/>
      <c r="BQ899" s="4"/>
      <c r="BR899" s="8"/>
      <c r="BS899" s="7"/>
      <c r="BT899" s="7"/>
      <c r="BU899" s="2" t="s">
        <v>2528</v>
      </c>
      <c r="BV899" s="2" t="s">
        <v>97</v>
      </c>
      <c r="BW899" s="2" t="s">
        <v>100</v>
      </c>
      <c r="BX899" s="2" t="s">
        <v>100</v>
      </c>
      <c r="BY899" s="2" t="s">
        <v>113</v>
      </c>
      <c r="BZ899" s="2" t="s">
        <v>100</v>
      </c>
    </row>
    <row r="900">
      <c r="A900" s="2" t="s">
        <v>3285</v>
      </c>
      <c r="B900" s="2" t="s">
        <v>87</v>
      </c>
      <c r="C900" s="2" t="s">
        <v>3178</v>
      </c>
      <c r="D900" s="2" t="s">
        <v>803</v>
      </c>
      <c r="E900" s="2" t="s">
        <v>804</v>
      </c>
      <c r="F900" s="2" t="s">
        <v>3281</v>
      </c>
      <c r="G900" s="2" t="s">
        <v>3281</v>
      </c>
      <c r="H900" s="2" t="s">
        <v>3281</v>
      </c>
      <c r="I900" s="2" t="s">
        <v>3286</v>
      </c>
      <c r="J900" s="2" t="s">
        <v>714</v>
      </c>
      <c r="K900" s="2" t="s">
        <v>3283</v>
      </c>
      <c r="L900" s="3">
        <v>190</v>
      </c>
      <c r="M900" s="3">
        <v>199.49</v>
      </c>
      <c r="N900" s="3">
        <v>379.99</v>
      </c>
      <c r="O900" s="2" t="s">
        <v>97</v>
      </c>
      <c r="P900" s="2" t="s">
        <v>119</v>
      </c>
      <c r="Q900" s="2" t="s">
        <v>99</v>
      </c>
      <c r="R900" s="2" t="s">
        <v>100</v>
      </c>
      <c r="S900" s="2" t="s">
        <v>3284</v>
      </c>
      <c r="T900" s="2" t="s">
        <v>100</v>
      </c>
      <c r="U900" s="2" t="s">
        <v>1240</v>
      </c>
      <c r="V900" s="2" t="s">
        <v>1150</v>
      </c>
      <c r="W900" s="2" t="s">
        <v>673</v>
      </c>
      <c r="X900" s="2" t="s">
        <v>100</v>
      </c>
      <c r="Y900" s="2" t="s">
        <v>841</v>
      </c>
      <c r="Z900" s="4">
        <v>207</v>
      </c>
      <c r="AA900" s="4">
        <f>=ROUNDDOWN(18.8181818181818,0)</f>
      </c>
      <c r="AB900" s="5">
        <v>11</v>
      </c>
      <c r="AC900" s="2" t="s">
        <v>148</v>
      </c>
      <c r="AD900" s="4">
        <v>200</v>
      </c>
      <c r="AE900" s="4">
        <v>200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253</v>
      </c>
      <c r="BK900" s="8">
        <v>51101.52</v>
      </c>
      <c r="BL900" s="2" t="s">
        <v>3234</v>
      </c>
      <c r="BM900" s="7"/>
      <c r="BN900" s="7"/>
      <c r="BO900" s="4"/>
      <c r="BP900" s="8"/>
      <c r="BQ900" s="4"/>
      <c r="BR900" s="8"/>
      <c r="BS900" s="7"/>
      <c r="BT900" s="7"/>
      <c r="BU900" s="2" t="s">
        <v>2528</v>
      </c>
      <c r="BV900" s="2" t="s">
        <v>97</v>
      </c>
      <c r="BW900" s="2" t="s">
        <v>100</v>
      </c>
      <c r="BX900" s="2" t="s">
        <v>100</v>
      </c>
      <c r="BY900" s="2" t="s">
        <v>113</v>
      </c>
      <c r="BZ900" s="2" t="s">
        <v>100</v>
      </c>
    </row>
    <row r="901">
      <c r="A901" s="2" t="s">
        <v>3287</v>
      </c>
      <c r="B901" s="2" t="s">
        <v>87</v>
      </c>
      <c r="C901" s="2" t="s">
        <v>3178</v>
      </c>
      <c r="D901" s="2" t="s">
        <v>803</v>
      </c>
      <c r="E901" s="2" t="s">
        <v>804</v>
      </c>
      <c r="F901" s="2" t="s">
        <v>3288</v>
      </c>
      <c r="G901" s="2" t="s">
        <v>100</v>
      </c>
      <c r="H901" s="2" t="s">
        <v>100</v>
      </c>
      <c r="I901" s="2" t="s">
        <v>2559</v>
      </c>
      <c r="J901" s="2" t="s">
        <v>706</v>
      </c>
      <c r="K901" s="2" t="s">
        <v>198</v>
      </c>
      <c r="L901" s="3">
        <v>139.5</v>
      </c>
      <c r="M901" s="3">
        <v>146.47</v>
      </c>
      <c r="N901" s="3">
        <v>309.99</v>
      </c>
      <c r="O901" s="2" t="s">
        <v>97</v>
      </c>
      <c r="P901" s="2" t="s">
        <v>307</v>
      </c>
      <c r="Q901" s="2" t="s">
        <v>99</v>
      </c>
      <c r="R901" s="2" t="s">
        <v>100</v>
      </c>
      <c r="S901" s="2" t="s">
        <v>3289</v>
      </c>
      <c r="T901" s="2" t="s">
        <v>100</v>
      </c>
      <c r="U901" s="2" t="s">
        <v>833</v>
      </c>
      <c r="V901" s="2" t="s">
        <v>403</v>
      </c>
      <c r="W901" s="2" t="s">
        <v>561</v>
      </c>
      <c r="X901" s="2" t="s">
        <v>3232</v>
      </c>
      <c r="Y901" s="2" t="s">
        <v>240</v>
      </c>
      <c r="Z901" s="4">
        <v>496</v>
      </c>
      <c r="AA901" s="4">
        <f>=ROUNDDOWN(27.5555555555556,0)</f>
      </c>
      <c r="AB901" s="5">
        <v>18</v>
      </c>
      <c r="AC901" s="2" t="s">
        <v>1457</v>
      </c>
      <c r="AD901" s="4">
        <v>100</v>
      </c>
      <c r="AE901" s="4">
        <v>170</v>
      </c>
      <c r="AF901" s="6">
        <v>67</v>
      </c>
      <c r="AG901" s="6">
        <v>50</v>
      </c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393</v>
      </c>
      <c r="BK901" s="8">
        <v>55598.29</v>
      </c>
      <c r="BL901" s="2" t="s">
        <v>3290</v>
      </c>
      <c r="BM901" s="7"/>
      <c r="BN901" s="7"/>
      <c r="BO901" s="4"/>
      <c r="BP901" s="8"/>
      <c r="BQ901" s="4"/>
      <c r="BR901" s="8"/>
      <c r="BS901" s="7"/>
      <c r="BT901" s="7"/>
      <c r="BU901" s="2" t="s">
        <v>2528</v>
      </c>
      <c r="BV901" s="2" t="s">
        <v>97</v>
      </c>
      <c r="BW901" s="2" t="s">
        <v>100</v>
      </c>
      <c r="BX901" s="2" t="s">
        <v>100</v>
      </c>
      <c r="BY901" s="2" t="s">
        <v>113</v>
      </c>
      <c r="BZ901" s="2" t="s">
        <v>100</v>
      </c>
    </row>
    <row r="902">
      <c r="A902" s="2" t="s">
        <v>3291</v>
      </c>
      <c r="B902" s="2" t="s">
        <v>87</v>
      </c>
      <c r="C902" s="2" t="s">
        <v>3178</v>
      </c>
      <c r="D902" s="2" t="s">
        <v>803</v>
      </c>
      <c r="E902" s="2" t="s">
        <v>804</v>
      </c>
      <c r="F902" s="2" t="s">
        <v>3288</v>
      </c>
      <c r="G902" s="2" t="s">
        <v>100</v>
      </c>
      <c r="H902" s="2" t="s">
        <v>100</v>
      </c>
      <c r="I902" s="2" t="s">
        <v>2559</v>
      </c>
      <c r="J902" s="2" t="s">
        <v>714</v>
      </c>
      <c r="K902" s="2" t="s">
        <v>198</v>
      </c>
      <c r="L902" s="3">
        <v>165.6</v>
      </c>
      <c r="M902" s="3">
        <v>173.88</v>
      </c>
      <c r="N902" s="3">
        <v>359.99</v>
      </c>
      <c r="O902" s="2" t="s">
        <v>97</v>
      </c>
      <c r="P902" s="2" t="s">
        <v>307</v>
      </c>
      <c r="Q902" s="2" t="s">
        <v>99</v>
      </c>
      <c r="R902" s="2" t="s">
        <v>100</v>
      </c>
      <c r="S902" s="2" t="s">
        <v>3289</v>
      </c>
      <c r="T902" s="2" t="s">
        <v>100</v>
      </c>
      <c r="U902" s="2" t="s">
        <v>1240</v>
      </c>
      <c r="V902" s="2" t="s">
        <v>403</v>
      </c>
      <c r="W902" s="2" t="s">
        <v>561</v>
      </c>
      <c r="X902" s="2" t="s">
        <v>3232</v>
      </c>
      <c r="Y902" s="2" t="s">
        <v>240</v>
      </c>
      <c r="Z902" s="4">
        <v>639</v>
      </c>
      <c r="AA902" s="4">
        <f>=ROUNDDOWN(18.7941176470588,0)</f>
      </c>
      <c r="AB902" s="5">
        <v>34</v>
      </c>
      <c r="AC902" s="2" t="s">
        <v>1318</v>
      </c>
      <c r="AD902" s="4">
        <v>150</v>
      </c>
      <c r="AE902" s="4">
        <v>680</v>
      </c>
      <c r="AF902" s="6">
        <v>67</v>
      </c>
      <c r="AG902" s="6">
        <v>50</v>
      </c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726</v>
      </c>
      <c r="BK902" s="8">
        <v>122659.79</v>
      </c>
      <c r="BL902" s="2" t="s">
        <v>3292</v>
      </c>
      <c r="BM902" s="7"/>
      <c r="BN902" s="7"/>
      <c r="BO902" s="4"/>
      <c r="BP902" s="8"/>
      <c r="BQ902" s="4"/>
      <c r="BR902" s="8"/>
      <c r="BS902" s="7"/>
      <c r="BT902" s="7"/>
      <c r="BU902" s="2" t="s">
        <v>2528</v>
      </c>
      <c r="BV902" s="2" t="s">
        <v>97</v>
      </c>
      <c r="BW902" s="2" t="s">
        <v>100</v>
      </c>
      <c r="BX902" s="2" t="s">
        <v>100</v>
      </c>
      <c r="BY902" s="2" t="s">
        <v>113</v>
      </c>
      <c r="BZ902" s="2" t="s">
        <v>100</v>
      </c>
    </row>
    <row r="903">
      <c r="A903" s="2" t="s">
        <v>3293</v>
      </c>
      <c r="B903" s="2" t="s">
        <v>87</v>
      </c>
      <c r="C903" s="2" t="s">
        <v>3178</v>
      </c>
      <c r="D903" s="2" t="s">
        <v>803</v>
      </c>
      <c r="E903" s="2" t="s">
        <v>804</v>
      </c>
      <c r="F903" s="2" t="s">
        <v>3294</v>
      </c>
      <c r="G903" s="2" t="s">
        <v>3294</v>
      </c>
      <c r="H903" s="2" t="s">
        <v>3294</v>
      </c>
      <c r="I903" s="2" t="s">
        <v>2919</v>
      </c>
      <c r="J903" s="2" t="s">
        <v>706</v>
      </c>
      <c r="K903" s="2" t="s">
        <v>913</v>
      </c>
      <c r="L903" s="3">
        <v>172.2</v>
      </c>
      <c r="M903" s="3">
        <v>180.81</v>
      </c>
      <c r="N903" s="3">
        <v>409.99</v>
      </c>
      <c r="O903" s="2" t="s">
        <v>97</v>
      </c>
      <c r="P903" s="2" t="s">
        <v>307</v>
      </c>
      <c r="Q903" s="2" t="s">
        <v>99</v>
      </c>
      <c r="R903" s="2" t="s">
        <v>100</v>
      </c>
      <c r="S903" s="2" t="s">
        <v>3295</v>
      </c>
      <c r="T903" s="2" t="s">
        <v>280</v>
      </c>
      <c r="U903" s="2" t="s">
        <v>833</v>
      </c>
      <c r="V903" s="2" t="s">
        <v>201</v>
      </c>
      <c r="W903" s="2" t="s">
        <v>415</v>
      </c>
      <c r="X903" s="2" t="s">
        <v>3232</v>
      </c>
      <c r="Y903" s="2" t="s">
        <v>3296</v>
      </c>
      <c r="Z903" s="4">
        <v>465</v>
      </c>
      <c r="AA903" s="4">
        <f>=ROUNDDOWN(29.0625,0)</f>
      </c>
      <c r="AB903" s="5">
        <v>16</v>
      </c>
      <c r="AC903" s="2" t="s">
        <v>3297</v>
      </c>
      <c r="AD903" s="4">
        <v>90</v>
      </c>
      <c r="AE903" s="4">
        <v>160</v>
      </c>
      <c r="AF903" s="6">
        <v>67</v>
      </c>
      <c r="AG903" s="6">
        <v>50</v>
      </c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363</v>
      </c>
      <c r="BK903" s="8">
        <v>64652.88</v>
      </c>
      <c r="BL903" s="2" t="s">
        <v>3298</v>
      </c>
      <c r="BM903" s="7"/>
      <c r="BN903" s="7"/>
      <c r="BO903" s="4"/>
      <c r="BP903" s="8"/>
      <c r="BQ903" s="4"/>
      <c r="BR903" s="8"/>
      <c r="BS903" s="7"/>
      <c r="BT903" s="7"/>
      <c r="BU903" s="2" t="s">
        <v>2528</v>
      </c>
      <c r="BV903" s="2" t="s">
        <v>97</v>
      </c>
      <c r="BW903" s="2" t="s">
        <v>100</v>
      </c>
      <c r="BX903" s="2" t="s">
        <v>100</v>
      </c>
      <c r="BY903" s="2" t="s">
        <v>113</v>
      </c>
      <c r="BZ903" s="2" t="s">
        <v>100</v>
      </c>
    </row>
    <row r="904">
      <c r="A904" s="2" t="s">
        <v>3299</v>
      </c>
      <c r="B904" s="2" t="s">
        <v>87</v>
      </c>
      <c r="C904" s="2" t="s">
        <v>3178</v>
      </c>
      <c r="D904" s="2" t="s">
        <v>803</v>
      </c>
      <c r="E904" s="2" t="s">
        <v>804</v>
      </c>
      <c r="F904" s="2" t="s">
        <v>3294</v>
      </c>
      <c r="G904" s="2" t="s">
        <v>3294</v>
      </c>
      <c r="H904" s="2" t="s">
        <v>3294</v>
      </c>
      <c r="I904" s="2" t="s">
        <v>2919</v>
      </c>
      <c r="J904" s="2" t="s">
        <v>714</v>
      </c>
      <c r="K904" s="2" t="s">
        <v>913</v>
      </c>
      <c r="L904" s="3">
        <v>202.4</v>
      </c>
      <c r="M904" s="3">
        <v>212.52</v>
      </c>
      <c r="N904" s="3">
        <v>459.99</v>
      </c>
      <c r="O904" s="2" t="s">
        <v>97</v>
      </c>
      <c r="P904" s="2" t="s">
        <v>307</v>
      </c>
      <c r="Q904" s="2" t="s">
        <v>99</v>
      </c>
      <c r="R904" s="2" t="s">
        <v>100</v>
      </c>
      <c r="S904" s="2" t="s">
        <v>3295</v>
      </c>
      <c r="T904" s="2" t="s">
        <v>280</v>
      </c>
      <c r="U904" s="2" t="s">
        <v>1240</v>
      </c>
      <c r="V904" s="2" t="s">
        <v>201</v>
      </c>
      <c r="W904" s="2" t="s">
        <v>415</v>
      </c>
      <c r="X904" s="2" t="s">
        <v>3232</v>
      </c>
      <c r="Y904" s="2" t="s">
        <v>3296</v>
      </c>
      <c r="Z904" s="4">
        <v>623</v>
      </c>
      <c r="AA904" s="4">
        <f>=ROUNDDOWN(29.6666666666667,0)</f>
      </c>
      <c r="AB904" s="5">
        <v>21</v>
      </c>
      <c r="AC904" s="2" t="s">
        <v>3297</v>
      </c>
      <c r="AD904" s="4">
        <v>80</v>
      </c>
      <c r="AE904" s="4">
        <v>240</v>
      </c>
      <c r="AF904" s="6">
        <v>67</v>
      </c>
      <c r="AG904" s="6">
        <v>50</v>
      </c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437</v>
      </c>
      <c r="BK904" s="8">
        <v>90785.19</v>
      </c>
      <c r="BL904" s="2" t="s">
        <v>3300</v>
      </c>
      <c r="BM904" s="7"/>
      <c r="BN904" s="7"/>
      <c r="BO904" s="4"/>
      <c r="BP904" s="8"/>
      <c r="BQ904" s="4"/>
      <c r="BR904" s="8"/>
      <c r="BS904" s="7"/>
      <c r="BT904" s="7"/>
      <c r="BU904" s="2" t="s">
        <v>2528</v>
      </c>
      <c r="BV904" s="2" t="s">
        <v>97</v>
      </c>
      <c r="BW904" s="2" t="s">
        <v>100</v>
      </c>
      <c r="BX904" s="2" t="s">
        <v>100</v>
      </c>
      <c r="BY904" s="2" t="s">
        <v>113</v>
      </c>
      <c r="BZ904" s="2" t="s">
        <v>100</v>
      </c>
    </row>
    <row r="905">
      <c r="A905" s="2" t="s">
        <v>3301</v>
      </c>
      <c r="B905" s="2" t="s">
        <v>87</v>
      </c>
      <c r="C905" s="2" t="s">
        <v>3178</v>
      </c>
      <c r="D905" s="2" t="s">
        <v>803</v>
      </c>
      <c r="E905" s="2" t="s">
        <v>804</v>
      </c>
      <c r="F905" s="2" t="s">
        <v>3294</v>
      </c>
      <c r="G905" s="2" t="s">
        <v>3294</v>
      </c>
      <c r="H905" s="2" t="s">
        <v>3294</v>
      </c>
      <c r="I905" s="2" t="s">
        <v>2919</v>
      </c>
      <c r="J905" s="2" t="s">
        <v>706</v>
      </c>
      <c r="K905" s="2" t="s">
        <v>209</v>
      </c>
      <c r="L905" s="3">
        <v>172.2</v>
      </c>
      <c r="M905" s="3">
        <v>180.81</v>
      </c>
      <c r="N905" s="3">
        <v>409.99</v>
      </c>
      <c r="O905" s="2" t="s">
        <v>97</v>
      </c>
      <c r="P905" s="2" t="s">
        <v>225</v>
      </c>
      <c r="Q905" s="2" t="s">
        <v>99</v>
      </c>
      <c r="R905" s="2" t="s">
        <v>100</v>
      </c>
      <c r="S905" s="2" t="s">
        <v>3302</v>
      </c>
      <c r="T905" s="2" t="s">
        <v>280</v>
      </c>
      <c r="U905" s="2" t="s">
        <v>833</v>
      </c>
      <c r="V905" s="2" t="s">
        <v>201</v>
      </c>
      <c r="W905" s="2" t="s">
        <v>415</v>
      </c>
      <c r="X905" s="2" t="s">
        <v>3232</v>
      </c>
      <c r="Y905" s="2" t="s">
        <v>1224</v>
      </c>
      <c r="Z905" s="4">
        <v>265</v>
      </c>
      <c r="AA905" s="4">
        <f>=ROUNDDOWN(37.8571428571429,0)</f>
      </c>
      <c r="AB905" s="5">
        <v>7</v>
      </c>
      <c r="AC905" s="2" t="s">
        <v>100</v>
      </c>
      <c r="AD905" s="4"/>
      <c r="AE905" s="4"/>
      <c r="AF905" s="6">
        <v>67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22</v>
      </c>
      <c r="BK905" s="8">
        <v>3874.16</v>
      </c>
      <c r="BL905" s="2" t="s">
        <v>2133</v>
      </c>
      <c r="BM905" s="7"/>
      <c r="BN905" s="7"/>
      <c r="BO905" s="4"/>
      <c r="BP905" s="8"/>
      <c r="BQ905" s="4"/>
      <c r="BR905" s="8"/>
      <c r="BS905" s="7"/>
      <c r="BT905" s="7"/>
      <c r="BU905" s="2" t="s">
        <v>2528</v>
      </c>
      <c r="BV905" s="2" t="s">
        <v>97</v>
      </c>
      <c r="BW905" s="2" t="s">
        <v>100</v>
      </c>
      <c r="BX905" s="2" t="s">
        <v>100</v>
      </c>
      <c r="BY905" s="2" t="s">
        <v>113</v>
      </c>
      <c r="BZ905" s="2" t="s">
        <v>100</v>
      </c>
    </row>
    <row r="906">
      <c r="A906" s="2" t="s">
        <v>3303</v>
      </c>
      <c r="B906" s="2" t="s">
        <v>87</v>
      </c>
      <c r="C906" s="2" t="s">
        <v>3178</v>
      </c>
      <c r="D906" s="2" t="s">
        <v>803</v>
      </c>
      <c r="E906" s="2" t="s">
        <v>804</v>
      </c>
      <c r="F906" s="2" t="s">
        <v>3294</v>
      </c>
      <c r="G906" s="2" t="s">
        <v>3294</v>
      </c>
      <c r="H906" s="2" t="s">
        <v>3294</v>
      </c>
      <c r="I906" s="2" t="s">
        <v>2919</v>
      </c>
      <c r="J906" s="2" t="s">
        <v>714</v>
      </c>
      <c r="K906" s="2" t="s">
        <v>209</v>
      </c>
      <c r="L906" s="3">
        <v>202.4</v>
      </c>
      <c r="M906" s="3">
        <v>212.52</v>
      </c>
      <c r="N906" s="3">
        <v>459.99</v>
      </c>
      <c r="O906" s="2" t="s">
        <v>97</v>
      </c>
      <c r="P906" s="2" t="s">
        <v>225</v>
      </c>
      <c r="Q906" s="2" t="s">
        <v>99</v>
      </c>
      <c r="R906" s="2" t="s">
        <v>100</v>
      </c>
      <c r="S906" s="2" t="s">
        <v>3302</v>
      </c>
      <c r="T906" s="2" t="s">
        <v>280</v>
      </c>
      <c r="U906" s="2" t="s">
        <v>1240</v>
      </c>
      <c r="V906" s="2" t="s">
        <v>201</v>
      </c>
      <c r="W906" s="2" t="s">
        <v>415</v>
      </c>
      <c r="X906" s="2" t="s">
        <v>3232</v>
      </c>
      <c r="Y906" s="2" t="s">
        <v>1224</v>
      </c>
      <c r="Z906" s="4">
        <v>338</v>
      </c>
      <c r="AA906" s="4">
        <f>=ROUNDDOWN(37.5555555555556,0)</f>
      </c>
      <c r="AB906" s="5">
        <v>9</v>
      </c>
      <c r="AC906" s="2" t="s">
        <v>100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19</v>
      </c>
      <c r="BK906" s="8">
        <v>3904.22</v>
      </c>
      <c r="BL906" s="2" t="s">
        <v>3304</v>
      </c>
      <c r="BM906" s="7"/>
      <c r="BN906" s="7"/>
      <c r="BO906" s="4"/>
      <c r="BP906" s="8"/>
      <c r="BQ906" s="4"/>
      <c r="BR906" s="8"/>
      <c r="BS906" s="7"/>
      <c r="BT906" s="7"/>
      <c r="BU906" s="2" t="s">
        <v>2528</v>
      </c>
      <c r="BV906" s="2" t="s">
        <v>97</v>
      </c>
      <c r="BW906" s="2" t="s">
        <v>100</v>
      </c>
      <c r="BX906" s="2" t="s">
        <v>100</v>
      </c>
      <c r="BY906" s="2" t="s">
        <v>113</v>
      </c>
      <c r="BZ906" s="2" t="s">
        <v>100</v>
      </c>
    </row>
    <row r="907">
      <c r="A907" s="2" t="s">
        <v>3305</v>
      </c>
      <c r="B907" s="2" t="s">
        <v>87</v>
      </c>
      <c r="C907" s="2" t="s">
        <v>3178</v>
      </c>
      <c r="D907" s="2" t="s">
        <v>89</v>
      </c>
      <c r="E907" s="2" t="s">
        <v>2577</v>
      </c>
      <c r="F907" s="2" t="s">
        <v>346</v>
      </c>
      <c r="G907" s="2" t="s">
        <v>346</v>
      </c>
      <c r="H907" s="2" t="s">
        <v>346</v>
      </c>
      <c r="I907" s="2" t="s">
        <v>3306</v>
      </c>
      <c r="J907" s="2" t="s">
        <v>247</v>
      </c>
      <c r="K907" s="2" t="s">
        <v>118</v>
      </c>
      <c r="L907" s="3">
        <v>67.2</v>
      </c>
      <c r="M907" s="3">
        <v>70.56</v>
      </c>
      <c r="N907" s="3">
        <v>159.99</v>
      </c>
      <c r="O907" s="2" t="s">
        <v>97</v>
      </c>
      <c r="P907" s="2" t="s">
        <v>950</v>
      </c>
      <c r="Q907" s="2" t="s">
        <v>99</v>
      </c>
      <c r="R907" s="2" t="s">
        <v>100</v>
      </c>
      <c r="S907" s="2" t="s">
        <v>3307</v>
      </c>
      <c r="T907" s="2" t="s">
        <v>100</v>
      </c>
      <c r="U907" s="2" t="s">
        <v>402</v>
      </c>
      <c r="V907" s="2" t="s">
        <v>292</v>
      </c>
      <c r="W907" s="2" t="s">
        <v>104</v>
      </c>
      <c r="X907" s="2" t="s">
        <v>183</v>
      </c>
      <c r="Y907" s="2" t="s">
        <v>3308</v>
      </c>
      <c r="Z907" s="4">
        <v>472</v>
      </c>
      <c r="AA907" s="4">
        <f>=ROUNDDOWN(47.2,0)</f>
      </c>
      <c r="AB907" s="5">
        <v>10</v>
      </c>
      <c r="AC907" s="2" t="s">
        <v>356</v>
      </c>
      <c r="AD907" s="4">
        <v>240</v>
      </c>
      <c r="AE907" s="4">
        <v>240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269</v>
      </c>
      <c r="BK907" s="8">
        <v>20112.67</v>
      </c>
      <c r="BL907" s="2" t="s">
        <v>3234</v>
      </c>
      <c r="BM907" s="7"/>
      <c r="BN907" s="7"/>
      <c r="BO907" s="4"/>
      <c r="BP907" s="8"/>
      <c r="BQ907" s="4"/>
      <c r="BR907" s="8"/>
      <c r="BS907" s="7"/>
      <c r="BT907" s="7"/>
      <c r="BU907" s="2" t="s">
        <v>2528</v>
      </c>
      <c r="BV907" s="2" t="s">
        <v>97</v>
      </c>
      <c r="BW907" s="2" t="s">
        <v>100</v>
      </c>
      <c r="BX907" s="2" t="s">
        <v>100</v>
      </c>
      <c r="BY907" s="2" t="s">
        <v>113</v>
      </c>
      <c r="BZ907" s="2" t="s">
        <v>100</v>
      </c>
    </row>
    <row r="908">
      <c r="A908" s="2" t="s">
        <v>3309</v>
      </c>
      <c r="B908" s="2" t="s">
        <v>87</v>
      </c>
      <c r="C908" s="2" t="s">
        <v>3178</v>
      </c>
      <c r="D908" s="2" t="s">
        <v>89</v>
      </c>
      <c r="E908" s="2" t="s">
        <v>2577</v>
      </c>
      <c r="F908" s="2" t="s">
        <v>346</v>
      </c>
      <c r="G908" s="2" t="s">
        <v>346</v>
      </c>
      <c r="H908" s="2" t="s">
        <v>346</v>
      </c>
      <c r="I908" s="2" t="s">
        <v>3306</v>
      </c>
      <c r="J908" s="2" t="s">
        <v>270</v>
      </c>
      <c r="K908" s="2" t="s">
        <v>118</v>
      </c>
      <c r="L908" s="3">
        <v>79.8</v>
      </c>
      <c r="M908" s="3">
        <v>83.79</v>
      </c>
      <c r="N908" s="3">
        <v>189.99</v>
      </c>
      <c r="O908" s="2" t="s">
        <v>97</v>
      </c>
      <c r="P908" s="2" t="s">
        <v>950</v>
      </c>
      <c r="Q908" s="2" t="s">
        <v>99</v>
      </c>
      <c r="R908" s="2" t="s">
        <v>100</v>
      </c>
      <c r="S908" s="2" t="s">
        <v>3307</v>
      </c>
      <c r="T908" s="2" t="s">
        <v>100</v>
      </c>
      <c r="U908" s="2" t="s">
        <v>402</v>
      </c>
      <c r="V908" s="2" t="s">
        <v>292</v>
      </c>
      <c r="W908" s="2" t="s">
        <v>104</v>
      </c>
      <c r="X908" s="2" t="s">
        <v>183</v>
      </c>
      <c r="Y908" s="2" t="s">
        <v>3308</v>
      </c>
      <c r="Z908" s="4">
        <v>330</v>
      </c>
      <c r="AA908" s="4">
        <f>=ROUNDDOWN(25.3846153846154,0)</f>
      </c>
      <c r="AB908" s="5">
        <v>13</v>
      </c>
      <c r="AC908" s="2" t="s">
        <v>1342</v>
      </c>
      <c r="AD908" s="4">
        <v>200</v>
      </c>
      <c r="AE908" s="4">
        <v>200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348</v>
      </c>
      <c r="BK908" s="8">
        <v>30788.05</v>
      </c>
      <c r="BL908" s="2" t="s">
        <v>2675</v>
      </c>
      <c r="BM908" s="7"/>
      <c r="BN908" s="7"/>
      <c r="BO908" s="4"/>
      <c r="BP908" s="8"/>
      <c r="BQ908" s="4"/>
      <c r="BR908" s="8"/>
      <c r="BS908" s="7"/>
      <c r="BT908" s="7"/>
      <c r="BU908" s="2" t="s">
        <v>2528</v>
      </c>
      <c r="BV908" s="2" t="s">
        <v>97</v>
      </c>
      <c r="BW908" s="2" t="s">
        <v>100</v>
      </c>
      <c r="BX908" s="2" t="s">
        <v>100</v>
      </c>
      <c r="BY908" s="2" t="s">
        <v>113</v>
      </c>
      <c r="BZ908" s="2" t="s">
        <v>100</v>
      </c>
    </row>
    <row r="909">
      <c r="A909" s="2" t="s">
        <v>3310</v>
      </c>
      <c r="B909" s="2" t="s">
        <v>87</v>
      </c>
      <c r="C909" s="2" t="s">
        <v>3178</v>
      </c>
      <c r="D909" s="2" t="s">
        <v>89</v>
      </c>
      <c r="E909" s="2" t="s">
        <v>2577</v>
      </c>
      <c r="F909" s="2" t="s">
        <v>1093</v>
      </c>
      <c r="G909" s="2" t="s">
        <v>1093</v>
      </c>
      <c r="H909" s="2" t="s">
        <v>1093</v>
      </c>
      <c r="I909" s="2" t="s">
        <v>3311</v>
      </c>
      <c r="J909" s="2" t="s">
        <v>247</v>
      </c>
      <c r="K909" s="2" t="s">
        <v>118</v>
      </c>
      <c r="L909" s="3">
        <v>90.65</v>
      </c>
      <c r="M909" s="3">
        <v>95.18</v>
      </c>
      <c r="N909" s="3">
        <v>259</v>
      </c>
      <c r="O909" s="2" t="s">
        <v>97</v>
      </c>
      <c r="P909" s="2" t="s">
        <v>119</v>
      </c>
      <c r="Q909" s="2" t="s">
        <v>99</v>
      </c>
      <c r="R909" s="2" t="s">
        <v>100</v>
      </c>
      <c r="S909" s="2" t="s">
        <v>3312</v>
      </c>
      <c r="T909" s="2" t="s">
        <v>100</v>
      </c>
      <c r="U909" s="2" t="s">
        <v>480</v>
      </c>
      <c r="V909" s="2" t="s">
        <v>146</v>
      </c>
      <c r="W909" s="2" t="s">
        <v>104</v>
      </c>
      <c r="X909" s="2" t="s">
        <v>362</v>
      </c>
      <c r="Y909" s="2" t="s">
        <v>3313</v>
      </c>
      <c r="Z909" s="4">
        <v>141</v>
      </c>
      <c r="AA909" s="4">
        <f>=ROUNDDOWN(20.1428571428571,0)</f>
      </c>
      <c r="AB909" s="5">
        <v>7</v>
      </c>
      <c r="AC909" s="2" t="s">
        <v>266</v>
      </c>
      <c r="AD909" s="4">
        <v>135</v>
      </c>
      <c r="AE909" s="4">
        <v>135</v>
      </c>
      <c r="AF909" s="6">
        <v>70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163</v>
      </c>
      <c r="BK909" s="8">
        <v>14561.29</v>
      </c>
      <c r="BL909" s="2" t="s">
        <v>3314</v>
      </c>
      <c r="BM909" s="7"/>
      <c r="BN909" s="7"/>
      <c r="BO909" s="4"/>
      <c r="BP909" s="8"/>
      <c r="BQ909" s="4"/>
      <c r="BR909" s="8"/>
      <c r="BS909" s="7"/>
      <c r="BT909" s="7"/>
      <c r="BU909" s="2" t="s">
        <v>2528</v>
      </c>
      <c r="BV909" s="2" t="s">
        <v>97</v>
      </c>
      <c r="BW909" s="2" t="s">
        <v>100</v>
      </c>
      <c r="BX909" s="2" t="s">
        <v>100</v>
      </c>
      <c r="BY909" s="2" t="s">
        <v>113</v>
      </c>
      <c r="BZ909" s="2" t="s">
        <v>100</v>
      </c>
    </row>
    <row r="910">
      <c r="A910" s="2" t="s">
        <v>3315</v>
      </c>
      <c r="B910" s="2" t="s">
        <v>87</v>
      </c>
      <c r="C910" s="2" t="s">
        <v>3178</v>
      </c>
      <c r="D910" s="2" t="s">
        <v>89</v>
      </c>
      <c r="E910" s="2" t="s">
        <v>2577</v>
      </c>
      <c r="F910" s="2" t="s">
        <v>1093</v>
      </c>
      <c r="G910" s="2" t="s">
        <v>1093</v>
      </c>
      <c r="H910" s="2" t="s">
        <v>1093</v>
      </c>
      <c r="I910" s="2" t="s">
        <v>3311</v>
      </c>
      <c r="J910" s="2" t="s">
        <v>714</v>
      </c>
      <c r="K910" s="2" t="s">
        <v>118</v>
      </c>
      <c r="L910" s="3">
        <v>108.15</v>
      </c>
      <c r="M910" s="3">
        <v>113.56</v>
      </c>
      <c r="N910" s="3">
        <v>309</v>
      </c>
      <c r="O910" s="2" t="s">
        <v>97</v>
      </c>
      <c r="P910" s="2" t="s">
        <v>119</v>
      </c>
      <c r="Q910" s="2" t="s">
        <v>99</v>
      </c>
      <c r="R910" s="2" t="s">
        <v>100</v>
      </c>
      <c r="S910" s="2" t="s">
        <v>3312</v>
      </c>
      <c r="T910" s="2" t="s">
        <v>100</v>
      </c>
      <c r="U910" s="2" t="s">
        <v>480</v>
      </c>
      <c r="V910" s="2" t="s">
        <v>146</v>
      </c>
      <c r="W910" s="2" t="s">
        <v>104</v>
      </c>
      <c r="X910" s="2" t="s">
        <v>362</v>
      </c>
      <c r="Y910" s="2" t="s">
        <v>3313</v>
      </c>
      <c r="Z910" s="4">
        <v>169</v>
      </c>
      <c r="AA910" s="4">
        <f>=ROUNDDOWN(21.125,0)</f>
      </c>
      <c r="AB910" s="5">
        <v>8</v>
      </c>
      <c r="AC910" s="2" t="s">
        <v>266</v>
      </c>
      <c r="AD910" s="4">
        <v>104</v>
      </c>
      <c r="AE910" s="4">
        <v>104</v>
      </c>
      <c r="AF910" s="6">
        <v>70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203</v>
      </c>
      <c r="BK910" s="8">
        <v>21575.31</v>
      </c>
      <c r="BL910" s="2" t="s">
        <v>1165</v>
      </c>
      <c r="BM910" s="7"/>
      <c r="BN910" s="7"/>
      <c r="BO910" s="4"/>
      <c r="BP910" s="8"/>
      <c r="BQ910" s="4"/>
      <c r="BR910" s="8"/>
      <c r="BS910" s="7"/>
      <c r="BT910" s="7"/>
      <c r="BU910" s="2" t="s">
        <v>2528</v>
      </c>
      <c r="BV910" s="2" t="s">
        <v>97</v>
      </c>
      <c r="BW910" s="2" t="s">
        <v>100</v>
      </c>
      <c r="BX910" s="2" t="s">
        <v>100</v>
      </c>
      <c r="BY910" s="2" t="s">
        <v>113</v>
      </c>
      <c r="BZ910" s="2" t="s">
        <v>100</v>
      </c>
    </row>
    <row r="911">
      <c r="A911" s="2" t="s">
        <v>3316</v>
      </c>
      <c r="B911" s="2" t="s">
        <v>87</v>
      </c>
      <c r="C911" s="2" t="s">
        <v>3178</v>
      </c>
      <c r="D911" s="2" t="s">
        <v>89</v>
      </c>
      <c r="E911" s="2" t="s">
        <v>2577</v>
      </c>
      <c r="F911" s="2" t="s">
        <v>1093</v>
      </c>
      <c r="G911" s="2" t="s">
        <v>1093</v>
      </c>
      <c r="H911" s="2" t="s">
        <v>1093</v>
      </c>
      <c r="I911" s="2" t="s">
        <v>3311</v>
      </c>
      <c r="J911" s="2" t="s">
        <v>247</v>
      </c>
      <c r="K911" s="2" t="s">
        <v>198</v>
      </c>
      <c r="L911" s="3">
        <v>90.65</v>
      </c>
      <c r="M911" s="3">
        <v>95.18</v>
      </c>
      <c r="N911" s="3">
        <v>259</v>
      </c>
      <c r="O911" s="2" t="s">
        <v>97</v>
      </c>
      <c r="P911" s="2" t="s">
        <v>119</v>
      </c>
      <c r="Q911" s="2" t="s">
        <v>99</v>
      </c>
      <c r="R911" s="2" t="s">
        <v>100</v>
      </c>
      <c r="S911" s="2" t="s">
        <v>3317</v>
      </c>
      <c r="T911" s="2" t="s">
        <v>100</v>
      </c>
      <c r="U911" s="2" t="s">
        <v>480</v>
      </c>
      <c r="V911" s="2" t="s">
        <v>146</v>
      </c>
      <c r="W911" s="2" t="s">
        <v>104</v>
      </c>
      <c r="X911" s="2" t="s">
        <v>362</v>
      </c>
      <c r="Y911" s="2" t="s">
        <v>3313</v>
      </c>
      <c r="Z911" s="4">
        <v>206</v>
      </c>
      <c r="AA911" s="4">
        <f>=ROUNDDOWN(34.3333333333333,0)</f>
      </c>
      <c r="AB911" s="5">
        <v>6</v>
      </c>
      <c r="AC911" s="2" t="s">
        <v>100</v>
      </c>
      <c r="AD911" s="4"/>
      <c r="AE911" s="4"/>
      <c r="AF911" s="6">
        <v>70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155</v>
      </c>
      <c r="BK911" s="8">
        <v>14200.05</v>
      </c>
      <c r="BL911" s="2" t="s">
        <v>3318</v>
      </c>
      <c r="BM911" s="7"/>
      <c r="BN911" s="7"/>
      <c r="BO911" s="4"/>
      <c r="BP911" s="8"/>
      <c r="BQ911" s="4"/>
      <c r="BR911" s="8"/>
      <c r="BS911" s="7"/>
      <c r="BT911" s="7"/>
      <c r="BU911" s="2" t="s">
        <v>2528</v>
      </c>
      <c r="BV911" s="2" t="s">
        <v>97</v>
      </c>
      <c r="BW911" s="2" t="s">
        <v>100</v>
      </c>
      <c r="BX911" s="2" t="s">
        <v>100</v>
      </c>
      <c r="BY911" s="2" t="s">
        <v>113</v>
      </c>
      <c r="BZ911" s="2" t="s">
        <v>100</v>
      </c>
    </row>
    <row r="912">
      <c r="A912" s="2" t="s">
        <v>3319</v>
      </c>
      <c r="B912" s="2" t="s">
        <v>87</v>
      </c>
      <c r="C912" s="2" t="s">
        <v>3178</v>
      </c>
      <c r="D912" s="2" t="s">
        <v>89</v>
      </c>
      <c r="E912" s="2" t="s">
        <v>2577</v>
      </c>
      <c r="F912" s="2" t="s">
        <v>1093</v>
      </c>
      <c r="G912" s="2" t="s">
        <v>1093</v>
      </c>
      <c r="H912" s="2" t="s">
        <v>1093</v>
      </c>
      <c r="I912" s="2" t="s">
        <v>3311</v>
      </c>
      <c r="J912" s="2" t="s">
        <v>714</v>
      </c>
      <c r="K912" s="2" t="s">
        <v>198</v>
      </c>
      <c r="L912" s="3">
        <v>108.15</v>
      </c>
      <c r="M912" s="3">
        <v>113.56</v>
      </c>
      <c r="N912" s="3">
        <v>309</v>
      </c>
      <c r="O912" s="2" t="s">
        <v>97</v>
      </c>
      <c r="P912" s="2" t="s">
        <v>119</v>
      </c>
      <c r="Q912" s="2" t="s">
        <v>99</v>
      </c>
      <c r="R912" s="2" t="s">
        <v>100</v>
      </c>
      <c r="S912" s="2" t="s">
        <v>3317</v>
      </c>
      <c r="T912" s="2" t="s">
        <v>100</v>
      </c>
      <c r="U912" s="2" t="s">
        <v>480</v>
      </c>
      <c r="V912" s="2" t="s">
        <v>146</v>
      </c>
      <c r="W912" s="2" t="s">
        <v>104</v>
      </c>
      <c r="X912" s="2" t="s">
        <v>362</v>
      </c>
      <c r="Y912" s="2" t="s">
        <v>3313</v>
      </c>
      <c r="Z912" s="4">
        <v>197</v>
      </c>
      <c r="AA912" s="4">
        <f>=ROUNDDOWN(28.1428571428571,0)</f>
      </c>
      <c r="AB912" s="5">
        <v>7</v>
      </c>
      <c r="AC912" s="2" t="s">
        <v>100</v>
      </c>
      <c r="AD912" s="4"/>
      <c r="AE912" s="4"/>
      <c r="AF912" s="6">
        <v>70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156</v>
      </c>
      <c r="BK912" s="8">
        <v>16908.87</v>
      </c>
      <c r="BL912" s="2" t="s">
        <v>3318</v>
      </c>
      <c r="BM912" s="7"/>
      <c r="BN912" s="7"/>
      <c r="BO912" s="4"/>
      <c r="BP912" s="8"/>
      <c r="BQ912" s="4"/>
      <c r="BR912" s="8"/>
      <c r="BS912" s="7"/>
      <c r="BT912" s="7"/>
      <c r="BU912" s="2" t="s">
        <v>2528</v>
      </c>
      <c r="BV912" s="2" t="s">
        <v>97</v>
      </c>
      <c r="BW912" s="2" t="s">
        <v>100</v>
      </c>
      <c r="BX912" s="2" t="s">
        <v>100</v>
      </c>
      <c r="BY912" s="2" t="s">
        <v>113</v>
      </c>
      <c r="BZ912" s="2" t="s">
        <v>100</v>
      </c>
    </row>
    <row r="913">
      <c r="A913" s="2" t="s">
        <v>3320</v>
      </c>
      <c r="B913" s="2" t="s">
        <v>87</v>
      </c>
      <c r="C913" s="2" t="s">
        <v>3178</v>
      </c>
      <c r="D913" s="2" t="s">
        <v>89</v>
      </c>
      <c r="E913" s="2" t="s">
        <v>2577</v>
      </c>
      <c r="F913" s="2" t="s">
        <v>1093</v>
      </c>
      <c r="G913" s="2" t="s">
        <v>1093</v>
      </c>
      <c r="H913" s="2" t="s">
        <v>1093</v>
      </c>
      <c r="I913" s="2" t="s">
        <v>3311</v>
      </c>
      <c r="J913" s="2" t="s">
        <v>247</v>
      </c>
      <c r="K913" s="2" t="s">
        <v>2580</v>
      </c>
      <c r="L913" s="3">
        <v>90.65</v>
      </c>
      <c r="M913" s="3">
        <v>95.18</v>
      </c>
      <c r="N913" s="3">
        <v>259</v>
      </c>
      <c r="O913" s="2" t="s">
        <v>97</v>
      </c>
      <c r="P913" s="2" t="s">
        <v>119</v>
      </c>
      <c r="Q913" s="2" t="s">
        <v>99</v>
      </c>
      <c r="R913" s="2" t="s">
        <v>100</v>
      </c>
      <c r="S913" s="2" t="s">
        <v>3321</v>
      </c>
      <c r="T913" s="2" t="s">
        <v>100</v>
      </c>
      <c r="U913" s="2" t="s">
        <v>480</v>
      </c>
      <c r="V913" s="2" t="s">
        <v>146</v>
      </c>
      <c r="W913" s="2" t="s">
        <v>104</v>
      </c>
      <c r="X913" s="2" t="s">
        <v>362</v>
      </c>
      <c r="Y913" s="2" t="s">
        <v>3313</v>
      </c>
      <c r="Z913" s="4">
        <v>201</v>
      </c>
      <c r="AA913" s="4">
        <f>=ROUNDDOWN(20.1,0)</f>
      </c>
      <c r="AB913" s="5">
        <v>10</v>
      </c>
      <c r="AC913" s="2" t="s">
        <v>1102</v>
      </c>
      <c r="AD913" s="4">
        <v>6</v>
      </c>
      <c r="AE913" s="4">
        <v>478</v>
      </c>
      <c r="AF913" s="6">
        <v>70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247</v>
      </c>
      <c r="BK913" s="8">
        <v>23258.15</v>
      </c>
      <c r="BL913" s="2" t="s">
        <v>3322</v>
      </c>
      <c r="BM913" s="7"/>
      <c r="BN913" s="7"/>
      <c r="BO913" s="4"/>
      <c r="BP913" s="8"/>
      <c r="BQ913" s="4"/>
      <c r="BR913" s="8"/>
      <c r="BS913" s="7"/>
      <c r="BT913" s="7"/>
      <c r="BU913" s="2" t="s">
        <v>2528</v>
      </c>
      <c r="BV913" s="2" t="s">
        <v>97</v>
      </c>
      <c r="BW913" s="2" t="s">
        <v>100</v>
      </c>
      <c r="BX913" s="2" t="s">
        <v>100</v>
      </c>
      <c r="BY913" s="2" t="s">
        <v>113</v>
      </c>
      <c r="BZ913" s="2" t="s">
        <v>100</v>
      </c>
    </row>
    <row r="914">
      <c r="A914" s="2" t="s">
        <v>3323</v>
      </c>
      <c r="B914" s="2" t="s">
        <v>87</v>
      </c>
      <c r="C914" s="2" t="s">
        <v>3178</v>
      </c>
      <c r="D914" s="2" t="s">
        <v>89</v>
      </c>
      <c r="E914" s="2" t="s">
        <v>2577</v>
      </c>
      <c r="F914" s="2" t="s">
        <v>1093</v>
      </c>
      <c r="G914" s="2" t="s">
        <v>1093</v>
      </c>
      <c r="H914" s="2" t="s">
        <v>1093</v>
      </c>
      <c r="I914" s="2" t="s">
        <v>3311</v>
      </c>
      <c r="J914" s="2" t="s">
        <v>714</v>
      </c>
      <c r="K914" s="2" t="s">
        <v>2580</v>
      </c>
      <c r="L914" s="3">
        <v>108.15</v>
      </c>
      <c r="M914" s="3">
        <v>113.56</v>
      </c>
      <c r="N914" s="3">
        <v>309</v>
      </c>
      <c r="O914" s="2" t="s">
        <v>97</v>
      </c>
      <c r="P914" s="2" t="s">
        <v>119</v>
      </c>
      <c r="Q914" s="2" t="s">
        <v>99</v>
      </c>
      <c r="R914" s="2" t="s">
        <v>100</v>
      </c>
      <c r="S914" s="2" t="s">
        <v>3321</v>
      </c>
      <c r="T914" s="2" t="s">
        <v>100</v>
      </c>
      <c r="U914" s="2" t="s">
        <v>480</v>
      </c>
      <c r="V914" s="2" t="s">
        <v>146</v>
      </c>
      <c r="W914" s="2" t="s">
        <v>104</v>
      </c>
      <c r="X914" s="2" t="s">
        <v>362</v>
      </c>
      <c r="Y914" s="2" t="s">
        <v>3313</v>
      </c>
      <c r="Z914" s="4">
        <v>358</v>
      </c>
      <c r="AA914" s="4">
        <f>=ROUNDDOWN(23.8666666666667,0)</f>
      </c>
      <c r="AB914" s="5">
        <v>15</v>
      </c>
      <c r="AC914" s="2" t="s">
        <v>1102</v>
      </c>
      <c r="AD914" s="4">
        <v>10</v>
      </c>
      <c r="AE914" s="4">
        <v>556</v>
      </c>
      <c r="AF914" s="6">
        <v>70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356</v>
      </c>
      <c r="BK914" s="8">
        <v>38378.26</v>
      </c>
      <c r="BL914" s="2" t="s">
        <v>3322</v>
      </c>
      <c r="BM914" s="7"/>
      <c r="BN914" s="7"/>
      <c r="BO914" s="4"/>
      <c r="BP914" s="8"/>
      <c r="BQ914" s="4"/>
      <c r="BR914" s="8"/>
      <c r="BS914" s="7"/>
      <c r="BT914" s="7"/>
      <c r="BU914" s="2" t="s">
        <v>2528</v>
      </c>
      <c r="BV914" s="2" t="s">
        <v>97</v>
      </c>
      <c r="BW914" s="2" t="s">
        <v>100</v>
      </c>
      <c r="BX914" s="2" t="s">
        <v>100</v>
      </c>
      <c r="BY914" s="2" t="s">
        <v>113</v>
      </c>
      <c r="BZ914" s="2" t="s">
        <v>100</v>
      </c>
    </row>
    <row r="915">
      <c r="A915" s="2" t="s">
        <v>3324</v>
      </c>
      <c r="B915" s="2" t="s">
        <v>87</v>
      </c>
      <c r="C915" s="2" t="s">
        <v>3325</v>
      </c>
      <c r="D915" s="2" t="s">
        <v>1857</v>
      </c>
      <c r="E915" s="2" t="s">
        <v>3326</v>
      </c>
      <c r="F915" s="2" t="s">
        <v>3327</v>
      </c>
      <c r="G915" s="2" t="s">
        <v>3327</v>
      </c>
      <c r="H915" s="2" t="s">
        <v>3327</v>
      </c>
      <c r="I915" s="2" t="s">
        <v>3328</v>
      </c>
      <c r="J915" s="2" t="s">
        <v>2430</v>
      </c>
      <c r="K915" s="2" t="s">
        <v>189</v>
      </c>
      <c r="L915" s="3">
        <v>18</v>
      </c>
      <c r="M915" s="3">
        <v>18.9</v>
      </c>
      <c r="N915" s="3">
        <v>39.99</v>
      </c>
      <c r="O915" s="2" t="s">
        <v>97</v>
      </c>
      <c r="P915" s="2" t="s">
        <v>119</v>
      </c>
      <c r="Q915" s="2" t="s">
        <v>99</v>
      </c>
      <c r="R915" s="2" t="s">
        <v>100</v>
      </c>
      <c r="S915" s="2" t="s">
        <v>3329</v>
      </c>
      <c r="T915" s="2" t="s">
        <v>218</v>
      </c>
      <c r="U915" s="2" t="s">
        <v>1847</v>
      </c>
      <c r="V915" s="2" t="s">
        <v>146</v>
      </c>
      <c r="W915" s="2" t="s">
        <v>561</v>
      </c>
      <c r="X915" s="2" t="s">
        <v>100</v>
      </c>
      <c r="Y915" s="2" t="s">
        <v>3330</v>
      </c>
      <c r="Z915" s="4">
        <v>222</v>
      </c>
      <c r="AA915" s="4">
        <f>=ROUNDDOWN(76.551724137931,0)</f>
      </c>
      <c r="AB915" s="5">
        <v>2.9</v>
      </c>
      <c r="AC915" s="2" t="s">
        <v>100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55</v>
      </c>
      <c r="BK915" s="8">
        <v>1169.69</v>
      </c>
      <c r="BL915" s="2" t="s">
        <v>3331</v>
      </c>
      <c r="BM915" s="7"/>
      <c r="BN915" s="7"/>
      <c r="BO915" s="4"/>
      <c r="BP915" s="8"/>
      <c r="BQ915" s="4"/>
      <c r="BR915" s="8"/>
      <c r="BS915" s="7"/>
      <c r="BT915" s="7"/>
      <c r="BU915" s="2" t="s">
        <v>2528</v>
      </c>
      <c r="BV915" s="2" t="s">
        <v>97</v>
      </c>
      <c r="BW915" s="2" t="s">
        <v>100</v>
      </c>
      <c r="BX915" s="2" t="s">
        <v>100</v>
      </c>
      <c r="BY915" s="2" t="s">
        <v>113</v>
      </c>
      <c r="BZ915" s="2" t="s">
        <v>100</v>
      </c>
    </row>
    <row r="916">
      <c r="A916" s="2" t="s">
        <v>3332</v>
      </c>
      <c r="B916" s="2" t="s">
        <v>87</v>
      </c>
      <c r="C916" s="2" t="s">
        <v>3325</v>
      </c>
      <c r="D916" s="2" t="s">
        <v>1857</v>
      </c>
      <c r="E916" s="2" t="s">
        <v>2427</v>
      </c>
      <c r="F916" s="2" t="s">
        <v>3333</v>
      </c>
      <c r="G916" s="2" t="s">
        <v>100</v>
      </c>
      <c r="H916" s="2" t="s">
        <v>100</v>
      </c>
      <c r="I916" s="2" t="s">
        <v>2430</v>
      </c>
      <c r="J916" s="2" t="s">
        <v>2430</v>
      </c>
      <c r="K916" s="2" t="s">
        <v>198</v>
      </c>
      <c r="L916" s="3">
        <v>27</v>
      </c>
      <c r="M916" s="3">
        <v>28.35</v>
      </c>
      <c r="N916" s="3">
        <v>59.99</v>
      </c>
      <c r="O916" s="2" t="s">
        <v>97</v>
      </c>
      <c r="P916" s="2" t="s">
        <v>119</v>
      </c>
      <c r="Q916" s="2" t="s">
        <v>99</v>
      </c>
      <c r="R916" s="2" t="s">
        <v>100</v>
      </c>
      <c r="S916" s="2" t="s">
        <v>3334</v>
      </c>
      <c r="T916" s="2" t="s">
        <v>100</v>
      </c>
      <c r="U916" s="2" t="s">
        <v>100</v>
      </c>
      <c r="V916" s="2" t="s">
        <v>350</v>
      </c>
      <c r="W916" s="2" t="s">
        <v>561</v>
      </c>
      <c r="X916" s="2" t="s">
        <v>100</v>
      </c>
      <c r="Y916" s="2" t="s">
        <v>240</v>
      </c>
      <c r="Z916" s="4">
        <v>187</v>
      </c>
      <c r="AA916" s="4">
        <f>=ROUNDDOWN(46.75,0)</f>
      </c>
      <c r="AB916" s="5">
        <v>4</v>
      </c>
      <c r="AC916" s="2" t="s">
        <v>100</v>
      </c>
      <c r="AD916" s="4"/>
      <c r="AE916" s="4"/>
      <c r="AF916" s="6">
        <v>68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>
        <v>38</v>
      </c>
      <c r="BK916" s="8">
        <v>1034.57</v>
      </c>
      <c r="BL916" s="2" t="s">
        <v>2299</v>
      </c>
      <c r="BM916" s="7"/>
      <c r="BN916" s="7"/>
      <c r="BO916" s="4"/>
      <c r="BP916" s="8"/>
      <c r="BQ916" s="4"/>
      <c r="BR916" s="8"/>
      <c r="BS916" s="7"/>
      <c r="BT916" s="7"/>
      <c r="BU916" s="2" t="s">
        <v>2528</v>
      </c>
      <c r="BV916" s="2" t="s">
        <v>97</v>
      </c>
      <c r="BW916" s="2" t="s">
        <v>100</v>
      </c>
      <c r="BX916" s="2" t="s">
        <v>100</v>
      </c>
      <c r="BY916" s="2" t="s">
        <v>113</v>
      </c>
      <c r="BZ916" s="2" t="s">
        <v>100</v>
      </c>
    </row>
    <row r="917">
      <c r="A917" s="2" t="s">
        <v>3335</v>
      </c>
      <c r="B917" s="2" t="s">
        <v>87</v>
      </c>
      <c r="C917" s="2" t="s">
        <v>3325</v>
      </c>
      <c r="D917" s="2" t="s">
        <v>1857</v>
      </c>
      <c r="E917" s="2" t="s">
        <v>2427</v>
      </c>
      <c r="F917" s="2" t="s">
        <v>3336</v>
      </c>
      <c r="G917" s="2" t="s">
        <v>3336</v>
      </c>
      <c r="H917" s="2" t="s">
        <v>3336</v>
      </c>
      <c r="I917" s="2" t="s">
        <v>3337</v>
      </c>
      <c r="J917" s="2" t="s">
        <v>3338</v>
      </c>
      <c r="K917" s="2" t="s">
        <v>198</v>
      </c>
      <c r="L917" s="3">
        <v>17.2</v>
      </c>
      <c r="M917" s="3">
        <v>18.06</v>
      </c>
      <c r="N917" s="3">
        <v>42.99</v>
      </c>
      <c r="O917" s="2" t="s">
        <v>97</v>
      </c>
      <c r="P917" s="2" t="s">
        <v>98</v>
      </c>
      <c r="Q917" s="2" t="s">
        <v>99</v>
      </c>
      <c r="R917" s="2" t="s">
        <v>100</v>
      </c>
      <c r="S917" s="2" t="s">
        <v>3339</v>
      </c>
      <c r="T917" s="2" t="s">
        <v>280</v>
      </c>
      <c r="U917" s="2" t="s">
        <v>1847</v>
      </c>
      <c r="V917" s="2" t="s">
        <v>146</v>
      </c>
      <c r="W917" s="2" t="s">
        <v>104</v>
      </c>
      <c r="X917" s="2" t="s">
        <v>561</v>
      </c>
      <c r="Y917" s="2" t="s">
        <v>3340</v>
      </c>
      <c r="Z917" s="4">
        <v>199</v>
      </c>
      <c r="AA917" s="4">
        <f>=ROUNDDOWN(31.09375,0)</f>
      </c>
      <c r="AB917" s="5">
        <v>6.4</v>
      </c>
      <c r="AC917" s="2" t="s">
        <v>100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142</v>
      </c>
      <c r="BK917" s="8">
        <v>2633.81</v>
      </c>
      <c r="BL917" s="2" t="s">
        <v>2786</v>
      </c>
      <c r="BM917" s="7"/>
      <c r="BN917" s="7"/>
      <c r="BO917" s="4"/>
      <c r="BP917" s="8"/>
      <c r="BQ917" s="4"/>
      <c r="BR917" s="8"/>
      <c r="BS917" s="7"/>
      <c r="BT917" s="7"/>
      <c r="BU917" s="2" t="s">
        <v>2528</v>
      </c>
      <c r="BV917" s="2" t="s">
        <v>97</v>
      </c>
      <c r="BW917" s="2" t="s">
        <v>100</v>
      </c>
      <c r="BX917" s="2" t="s">
        <v>100</v>
      </c>
      <c r="BY917" s="2" t="s">
        <v>113</v>
      </c>
      <c r="BZ917" s="2" t="s">
        <v>100</v>
      </c>
    </row>
    <row r="918">
      <c r="A918" s="2" t="s">
        <v>3341</v>
      </c>
      <c r="B918" s="2" t="s">
        <v>87</v>
      </c>
      <c r="C918" s="2" t="s">
        <v>3325</v>
      </c>
      <c r="D918" s="2" t="s">
        <v>1857</v>
      </c>
      <c r="E918" s="2" t="s">
        <v>2427</v>
      </c>
      <c r="F918" s="2" t="s">
        <v>3336</v>
      </c>
      <c r="G918" s="2" t="s">
        <v>3336</v>
      </c>
      <c r="H918" s="2" t="s">
        <v>3336</v>
      </c>
      <c r="I918" s="2" t="s">
        <v>3337</v>
      </c>
      <c r="J918" s="2" t="s">
        <v>3338</v>
      </c>
      <c r="K918" s="2" t="s">
        <v>189</v>
      </c>
      <c r="L918" s="3">
        <v>17.2</v>
      </c>
      <c r="M918" s="3">
        <v>18.06</v>
      </c>
      <c r="N918" s="3">
        <v>42.99</v>
      </c>
      <c r="O918" s="2" t="s">
        <v>97</v>
      </c>
      <c r="P918" s="2" t="s">
        <v>98</v>
      </c>
      <c r="Q918" s="2" t="s">
        <v>99</v>
      </c>
      <c r="R918" s="2" t="s">
        <v>100</v>
      </c>
      <c r="S918" s="2" t="s">
        <v>3342</v>
      </c>
      <c r="T918" s="2" t="s">
        <v>280</v>
      </c>
      <c r="U918" s="2" t="s">
        <v>1847</v>
      </c>
      <c r="V918" s="2" t="s">
        <v>146</v>
      </c>
      <c r="W918" s="2" t="s">
        <v>104</v>
      </c>
      <c r="X918" s="2" t="s">
        <v>561</v>
      </c>
      <c r="Y918" s="2" t="s">
        <v>3340</v>
      </c>
      <c r="Z918" s="4">
        <v>150</v>
      </c>
      <c r="AA918" s="4">
        <f>=ROUNDDOWN(21.4285714285714,0)</f>
      </c>
      <c r="AB918" s="5">
        <v>7</v>
      </c>
      <c r="AC918" s="2" t="s">
        <v>100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187</v>
      </c>
      <c r="BK918" s="8">
        <v>3530.14</v>
      </c>
      <c r="BL918" s="2" t="s">
        <v>3343</v>
      </c>
      <c r="BM918" s="7"/>
      <c r="BN918" s="7"/>
      <c r="BO918" s="4"/>
      <c r="BP918" s="8"/>
      <c r="BQ918" s="4"/>
      <c r="BR918" s="8"/>
      <c r="BS918" s="7"/>
      <c r="BT918" s="7"/>
      <c r="BU918" s="2" t="s">
        <v>2528</v>
      </c>
      <c r="BV918" s="2" t="s">
        <v>97</v>
      </c>
      <c r="BW918" s="2" t="s">
        <v>100</v>
      </c>
      <c r="BX918" s="2" t="s">
        <v>100</v>
      </c>
      <c r="BY918" s="2" t="s">
        <v>113</v>
      </c>
      <c r="BZ918" s="2" t="s">
        <v>100</v>
      </c>
    </row>
    <row r="919">
      <c r="A919" s="2" t="s">
        <v>3344</v>
      </c>
      <c r="B919" s="2" t="s">
        <v>87</v>
      </c>
      <c r="C919" s="2" t="s">
        <v>3325</v>
      </c>
      <c r="D919" s="2" t="s">
        <v>803</v>
      </c>
      <c r="E919" s="2" t="s">
        <v>804</v>
      </c>
      <c r="F919" s="2" t="s">
        <v>3345</v>
      </c>
      <c r="G919" s="2" t="s">
        <v>3345</v>
      </c>
      <c r="H919" s="2" t="s">
        <v>3345</v>
      </c>
      <c r="I919" s="2" t="s">
        <v>3346</v>
      </c>
      <c r="J919" s="2" t="s">
        <v>247</v>
      </c>
      <c r="K919" s="2" t="s">
        <v>118</v>
      </c>
      <c r="L919" s="3">
        <v>67.5</v>
      </c>
      <c r="M919" s="3">
        <v>70.88</v>
      </c>
      <c r="N919" s="3">
        <v>149.99</v>
      </c>
      <c r="O919" s="2" t="s">
        <v>97</v>
      </c>
      <c r="P919" s="2" t="s">
        <v>119</v>
      </c>
      <c r="Q919" s="2" t="s">
        <v>99</v>
      </c>
      <c r="R919" s="2" t="s">
        <v>100</v>
      </c>
      <c r="S919" s="2" t="s">
        <v>3347</v>
      </c>
      <c r="T919" s="2" t="s">
        <v>218</v>
      </c>
      <c r="U919" s="2" t="s">
        <v>402</v>
      </c>
      <c r="V919" s="2" t="s">
        <v>1150</v>
      </c>
      <c r="W919" s="2" t="s">
        <v>561</v>
      </c>
      <c r="X919" s="2" t="s">
        <v>100</v>
      </c>
      <c r="Y919" s="2" t="s">
        <v>3348</v>
      </c>
      <c r="Z919" s="4">
        <v>104</v>
      </c>
      <c r="AA919" s="4">
        <f>=ROUNDDOWN(24.7619047619048,0)</f>
      </c>
      <c r="AB919" s="5">
        <v>4.2</v>
      </c>
      <c r="AC919" s="2" t="s">
        <v>542</v>
      </c>
      <c r="AD919" s="4">
        <v>135</v>
      </c>
      <c r="AE919" s="4">
        <v>135</v>
      </c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148</v>
      </c>
      <c r="BK919" s="8">
        <v>10718.48</v>
      </c>
      <c r="BL919" s="2" t="s">
        <v>3349</v>
      </c>
      <c r="BM919" s="7"/>
      <c r="BN919" s="7"/>
      <c r="BO919" s="4"/>
      <c r="BP919" s="8"/>
      <c r="BQ919" s="4"/>
      <c r="BR919" s="8"/>
      <c r="BS919" s="7"/>
      <c r="BT919" s="7"/>
      <c r="BU919" s="2" t="s">
        <v>2528</v>
      </c>
      <c r="BV919" s="2" t="s">
        <v>97</v>
      </c>
      <c r="BW919" s="2" t="s">
        <v>100</v>
      </c>
      <c r="BX919" s="2" t="s">
        <v>100</v>
      </c>
      <c r="BY919" s="2" t="s">
        <v>113</v>
      </c>
      <c r="BZ919" s="2" t="s">
        <v>100</v>
      </c>
    </row>
    <row r="920">
      <c r="A920" s="2" t="s">
        <v>3350</v>
      </c>
      <c r="B920" s="2" t="s">
        <v>87</v>
      </c>
      <c r="C920" s="2" t="s">
        <v>3325</v>
      </c>
      <c r="D920" s="2" t="s">
        <v>803</v>
      </c>
      <c r="E920" s="2" t="s">
        <v>804</v>
      </c>
      <c r="F920" s="2" t="s">
        <v>3345</v>
      </c>
      <c r="G920" s="2" t="s">
        <v>3345</v>
      </c>
      <c r="H920" s="2" t="s">
        <v>3345</v>
      </c>
      <c r="I920" s="2" t="s">
        <v>3346</v>
      </c>
      <c r="J920" s="2" t="s">
        <v>714</v>
      </c>
      <c r="K920" s="2" t="s">
        <v>118</v>
      </c>
      <c r="L920" s="3">
        <v>76.5</v>
      </c>
      <c r="M920" s="3">
        <v>80.33</v>
      </c>
      <c r="N920" s="3">
        <v>169.99</v>
      </c>
      <c r="O920" s="2" t="s">
        <v>97</v>
      </c>
      <c r="P920" s="2" t="s">
        <v>119</v>
      </c>
      <c r="Q920" s="2" t="s">
        <v>99</v>
      </c>
      <c r="R920" s="2" t="s">
        <v>100</v>
      </c>
      <c r="S920" s="2" t="s">
        <v>3347</v>
      </c>
      <c r="T920" s="2" t="s">
        <v>218</v>
      </c>
      <c r="U920" s="2" t="s">
        <v>402</v>
      </c>
      <c r="V920" s="2" t="s">
        <v>1150</v>
      </c>
      <c r="W920" s="2" t="s">
        <v>561</v>
      </c>
      <c r="X920" s="2" t="s">
        <v>100</v>
      </c>
      <c r="Y920" s="2" t="s">
        <v>3348</v>
      </c>
      <c r="Z920" s="4">
        <v>141</v>
      </c>
      <c r="AA920" s="4">
        <f>=ROUNDDOWN(18.5526315789474,0)</f>
      </c>
      <c r="AB920" s="5">
        <v>7.6</v>
      </c>
      <c r="AC920" s="2" t="s">
        <v>542</v>
      </c>
      <c r="AD920" s="4">
        <v>150</v>
      </c>
      <c r="AE920" s="4">
        <v>150</v>
      </c>
      <c r="AF920" s="6">
        <v>64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180</v>
      </c>
      <c r="BK920" s="8">
        <v>14870.48</v>
      </c>
      <c r="BL920" s="2" t="s">
        <v>3351</v>
      </c>
      <c r="BM920" s="7"/>
      <c r="BN920" s="7"/>
      <c r="BO920" s="4"/>
      <c r="BP920" s="8"/>
      <c r="BQ920" s="4"/>
      <c r="BR920" s="8"/>
      <c r="BS920" s="7"/>
      <c r="BT920" s="7"/>
      <c r="BU920" s="2" t="s">
        <v>2528</v>
      </c>
      <c r="BV920" s="2" t="s">
        <v>97</v>
      </c>
      <c r="BW920" s="2" t="s">
        <v>100</v>
      </c>
      <c r="BX920" s="2" t="s">
        <v>100</v>
      </c>
      <c r="BY920" s="2" t="s">
        <v>113</v>
      </c>
      <c r="BZ920" s="2" t="s">
        <v>100</v>
      </c>
    </row>
    <row r="921">
      <c r="A921" s="2" t="s">
        <v>3352</v>
      </c>
      <c r="B921" s="2" t="s">
        <v>87</v>
      </c>
      <c r="C921" s="2" t="s">
        <v>3325</v>
      </c>
      <c r="D921" s="2" t="s">
        <v>803</v>
      </c>
      <c r="E921" s="2" t="s">
        <v>804</v>
      </c>
      <c r="F921" s="2" t="s">
        <v>3333</v>
      </c>
      <c r="G921" s="2" t="s">
        <v>100</v>
      </c>
      <c r="H921" s="2" t="s">
        <v>100</v>
      </c>
      <c r="I921" s="2" t="s">
        <v>1532</v>
      </c>
      <c r="J921" s="2" t="s">
        <v>706</v>
      </c>
      <c r="K921" s="2" t="s">
        <v>130</v>
      </c>
      <c r="L921" s="3">
        <v>89.3</v>
      </c>
      <c r="M921" s="3">
        <v>93.76</v>
      </c>
      <c r="N921" s="3">
        <v>189.99</v>
      </c>
      <c r="O921" s="2" t="s">
        <v>97</v>
      </c>
      <c r="P921" s="2" t="s">
        <v>119</v>
      </c>
      <c r="Q921" s="2" t="s">
        <v>99</v>
      </c>
      <c r="R921" s="2" t="s">
        <v>100</v>
      </c>
      <c r="S921" s="2" t="s">
        <v>3353</v>
      </c>
      <c r="T921" s="2" t="s">
        <v>100</v>
      </c>
      <c r="U921" s="2" t="s">
        <v>480</v>
      </c>
      <c r="V921" s="2" t="s">
        <v>256</v>
      </c>
      <c r="W921" s="2" t="s">
        <v>561</v>
      </c>
      <c r="X921" s="2" t="s">
        <v>100</v>
      </c>
      <c r="Y921" s="2" t="s">
        <v>240</v>
      </c>
      <c r="Z921" s="4">
        <v>69</v>
      </c>
      <c r="AA921" s="4">
        <f>=ROUNDDOWN(46,0)</f>
      </c>
      <c r="AB921" s="5">
        <v>1.5</v>
      </c>
      <c r="AC921" s="2" t="s">
        <v>100</v>
      </c>
      <c r="AD921" s="4"/>
      <c r="AE921" s="4"/>
      <c r="AF921" s="6">
        <v>63</v>
      </c>
      <c r="AG921" s="6"/>
      <c r="AH921" s="7">
        <v>0.9572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40</v>
      </c>
      <c r="BK921" s="8">
        <v>3796.3</v>
      </c>
      <c r="BL921" s="2" t="s">
        <v>2596</v>
      </c>
      <c r="BM921" s="7"/>
      <c r="BN921" s="7"/>
      <c r="BO921" s="4"/>
      <c r="BP921" s="8"/>
      <c r="BQ921" s="4"/>
      <c r="BR921" s="8"/>
      <c r="BS921" s="7"/>
      <c r="BT921" s="7"/>
      <c r="BU921" s="2" t="s">
        <v>2528</v>
      </c>
      <c r="BV921" s="2" t="s">
        <v>97</v>
      </c>
      <c r="BW921" s="2" t="s">
        <v>100</v>
      </c>
      <c r="BX921" s="2" t="s">
        <v>100</v>
      </c>
      <c r="BY921" s="2" t="s">
        <v>113</v>
      </c>
      <c r="BZ921" s="2" t="s">
        <v>100</v>
      </c>
    </row>
    <row r="922">
      <c r="A922" s="2" t="s">
        <v>3354</v>
      </c>
      <c r="B922" s="2" t="s">
        <v>87</v>
      </c>
      <c r="C922" s="2" t="s">
        <v>3325</v>
      </c>
      <c r="D922" s="2" t="s">
        <v>803</v>
      </c>
      <c r="E922" s="2" t="s">
        <v>804</v>
      </c>
      <c r="F922" s="2" t="s">
        <v>3333</v>
      </c>
      <c r="G922" s="2" t="s">
        <v>100</v>
      </c>
      <c r="H922" s="2" t="s">
        <v>100</v>
      </c>
      <c r="I922" s="2" t="s">
        <v>1532</v>
      </c>
      <c r="J922" s="2" t="s">
        <v>714</v>
      </c>
      <c r="K922" s="2" t="s">
        <v>130</v>
      </c>
      <c r="L922" s="3">
        <v>98.7</v>
      </c>
      <c r="M922" s="3">
        <v>103.63</v>
      </c>
      <c r="N922" s="3">
        <v>209.99</v>
      </c>
      <c r="O922" s="2" t="s">
        <v>97</v>
      </c>
      <c r="P922" s="2" t="s">
        <v>119</v>
      </c>
      <c r="Q922" s="2" t="s">
        <v>99</v>
      </c>
      <c r="R922" s="2" t="s">
        <v>100</v>
      </c>
      <c r="S922" s="2" t="s">
        <v>3353</v>
      </c>
      <c r="T922" s="2" t="s">
        <v>100</v>
      </c>
      <c r="U922" s="2" t="s">
        <v>480</v>
      </c>
      <c r="V922" s="2" t="s">
        <v>256</v>
      </c>
      <c r="W922" s="2" t="s">
        <v>561</v>
      </c>
      <c r="X922" s="2" t="s">
        <v>100</v>
      </c>
      <c r="Y922" s="2" t="s">
        <v>240</v>
      </c>
      <c r="Z922" s="4">
        <v>58</v>
      </c>
      <c r="AA922" s="4">
        <f>=ROUNDDOWN(30.5263157894737,0)</f>
      </c>
      <c r="AB922" s="5">
        <v>1.9</v>
      </c>
      <c r="AC922" s="2" t="s">
        <v>100</v>
      </c>
      <c r="AD922" s="4"/>
      <c r="AE922" s="4"/>
      <c r="AF922" s="6">
        <v>63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43</v>
      </c>
      <c r="BK922" s="8">
        <v>4473.66</v>
      </c>
      <c r="BL922" s="2" t="s">
        <v>3355</v>
      </c>
      <c r="BM922" s="7"/>
      <c r="BN922" s="7"/>
      <c r="BO922" s="4"/>
      <c r="BP922" s="8"/>
      <c r="BQ922" s="4"/>
      <c r="BR922" s="8"/>
      <c r="BS922" s="7"/>
      <c r="BT922" s="7"/>
      <c r="BU922" s="2" t="s">
        <v>2528</v>
      </c>
      <c r="BV922" s="2" t="s">
        <v>97</v>
      </c>
      <c r="BW922" s="2" t="s">
        <v>100</v>
      </c>
      <c r="BX922" s="2" t="s">
        <v>100</v>
      </c>
      <c r="BY922" s="2" t="s">
        <v>113</v>
      </c>
      <c r="BZ922" s="2" t="s">
        <v>100</v>
      </c>
    </row>
    <row r="923">
      <c r="A923" s="2" t="s">
        <v>3356</v>
      </c>
      <c r="B923" s="2" t="s">
        <v>87</v>
      </c>
      <c r="C923" s="2" t="s">
        <v>3325</v>
      </c>
      <c r="D923" s="2" t="s">
        <v>803</v>
      </c>
      <c r="E923" s="2" t="s">
        <v>804</v>
      </c>
      <c r="F923" s="2" t="s">
        <v>3336</v>
      </c>
      <c r="G923" s="2" t="s">
        <v>3336</v>
      </c>
      <c r="H923" s="2" t="s">
        <v>3336</v>
      </c>
      <c r="I923" s="2" t="s">
        <v>3357</v>
      </c>
      <c r="J923" s="2" t="s">
        <v>247</v>
      </c>
      <c r="K923" s="2" t="s">
        <v>198</v>
      </c>
      <c r="L923" s="3">
        <v>89.3</v>
      </c>
      <c r="M923" s="3">
        <v>93.76</v>
      </c>
      <c r="N923" s="3">
        <v>189.99</v>
      </c>
      <c r="O923" s="2" t="s">
        <v>97</v>
      </c>
      <c r="P923" s="2" t="s">
        <v>98</v>
      </c>
      <c r="Q923" s="2" t="s">
        <v>99</v>
      </c>
      <c r="R923" s="2" t="s">
        <v>100</v>
      </c>
      <c r="S923" s="2" t="s">
        <v>3339</v>
      </c>
      <c r="T923" s="2" t="s">
        <v>280</v>
      </c>
      <c r="U923" s="2" t="s">
        <v>480</v>
      </c>
      <c r="V923" s="2" t="s">
        <v>146</v>
      </c>
      <c r="W923" s="2" t="s">
        <v>104</v>
      </c>
      <c r="X923" s="2" t="s">
        <v>561</v>
      </c>
      <c r="Y923" s="2" t="s">
        <v>3340</v>
      </c>
      <c r="Z923" s="4">
        <v>170</v>
      </c>
      <c r="AA923" s="4">
        <f>=ROUNDDOWN(26.984126984127,0)</f>
      </c>
      <c r="AB923" s="5">
        <v>6.3</v>
      </c>
      <c r="AC923" s="2" t="s">
        <v>2681</v>
      </c>
      <c r="AD923" s="4">
        <v>105</v>
      </c>
      <c r="AE923" s="4">
        <v>105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136</v>
      </c>
      <c r="BK923" s="8">
        <v>12345.95</v>
      </c>
      <c r="BL923" s="2" t="s">
        <v>3358</v>
      </c>
      <c r="BM923" s="7"/>
      <c r="BN923" s="7"/>
      <c r="BO923" s="4"/>
      <c r="BP923" s="8"/>
      <c r="BQ923" s="4"/>
      <c r="BR923" s="8"/>
      <c r="BS923" s="7"/>
      <c r="BT923" s="7"/>
      <c r="BU923" s="2" t="s">
        <v>2528</v>
      </c>
      <c r="BV923" s="2" t="s">
        <v>97</v>
      </c>
      <c r="BW923" s="2" t="s">
        <v>100</v>
      </c>
      <c r="BX923" s="2" t="s">
        <v>100</v>
      </c>
      <c r="BY923" s="2" t="s">
        <v>113</v>
      </c>
      <c r="BZ923" s="2" t="s">
        <v>100</v>
      </c>
    </row>
    <row r="924">
      <c r="A924" s="2" t="s">
        <v>3359</v>
      </c>
      <c r="B924" s="2" t="s">
        <v>87</v>
      </c>
      <c r="C924" s="2" t="s">
        <v>3325</v>
      </c>
      <c r="D924" s="2" t="s">
        <v>803</v>
      </c>
      <c r="E924" s="2" t="s">
        <v>804</v>
      </c>
      <c r="F924" s="2" t="s">
        <v>3336</v>
      </c>
      <c r="G924" s="2" t="s">
        <v>3336</v>
      </c>
      <c r="H924" s="2" t="s">
        <v>3336</v>
      </c>
      <c r="I924" s="2" t="s">
        <v>3357</v>
      </c>
      <c r="J924" s="2" t="s">
        <v>270</v>
      </c>
      <c r="K924" s="2" t="s">
        <v>198</v>
      </c>
      <c r="L924" s="3">
        <v>98.7</v>
      </c>
      <c r="M924" s="3">
        <v>103.63</v>
      </c>
      <c r="N924" s="3">
        <v>209.99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3339</v>
      </c>
      <c r="T924" s="2" t="s">
        <v>280</v>
      </c>
      <c r="U924" s="2" t="s">
        <v>480</v>
      </c>
      <c r="V924" s="2" t="s">
        <v>146</v>
      </c>
      <c r="W924" s="2" t="s">
        <v>104</v>
      </c>
      <c r="X924" s="2" t="s">
        <v>561</v>
      </c>
      <c r="Y924" s="2" t="s">
        <v>3340</v>
      </c>
      <c r="Z924" s="4">
        <v>168</v>
      </c>
      <c r="AA924" s="4">
        <f>=ROUNDDOWN(20.2409638554217,0)</f>
      </c>
      <c r="AB924" s="5">
        <v>8.3</v>
      </c>
      <c r="AC924" s="2" t="s">
        <v>2681</v>
      </c>
      <c r="AD924" s="4">
        <v>195</v>
      </c>
      <c r="AE924" s="4">
        <v>195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215</v>
      </c>
      <c r="BK924" s="8">
        <v>21057.66</v>
      </c>
      <c r="BL924" s="2" t="s">
        <v>3360</v>
      </c>
      <c r="BM924" s="7"/>
      <c r="BN924" s="7"/>
      <c r="BO924" s="4"/>
      <c r="BP924" s="8"/>
      <c r="BQ924" s="4"/>
      <c r="BR924" s="8"/>
      <c r="BS924" s="7"/>
      <c r="BT924" s="7"/>
      <c r="BU924" s="2" t="s">
        <v>2528</v>
      </c>
      <c r="BV924" s="2" t="s">
        <v>97</v>
      </c>
      <c r="BW924" s="2" t="s">
        <v>100</v>
      </c>
      <c r="BX924" s="2" t="s">
        <v>100</v>
      </c>
      <c r="BY924" s="2" t="s">
        <v>113</v>
      </c>
      <c r="BZ924" s="2" t="s">
        <v>100</v>
      </c>
    </row>
    <row r="925">
      <c r="A925" s="2" t="s">
        <v>3361</v>
      </c>
      <c r="B925" s="2" t="s">
        <v>87</v>
      </c>
      <c r="C925" s="2" t="s">
        <v>3325</v>
      </c>
      <c r="D925" s="2" t="s">
        <v>803</v>
      </c>
      <c r="E925" s="2" t="s">
        <v>804</v>
      </c>
      <c r="F925" s="2" t="s">
        <v>3336</v>
      </c>
      <c r="G925" s="2" t="s">
        <v>3336</v>
      </c>
      <c r="H925" s="2" t="s">
        <v>3336</v>
      </c>
      <c r="I925" s="2" t="s">
        <v>3357</v>
      </c>
      <c r="J925" s="2" t="s">
        <v>247</v>
      </c>
      <c r="K925" s="2" t="s">
        <v>189</v>
      </c>
      <c r="L925" s="3">
        <v>89.3</v>
      </c>
      <c r="M925" s="3">
        <v>93.76</v>
      </c>
      <c r="N925" s="3">
        <v>189.99</v>
      </c>
      <c r="O925" s="2" t="s">
        <v>97</v>
      </c>
      <c r="P925" s="2" t="s">
        <v>98</v>
      </c>
      <c r="Q925" s="2" t="s">
        <v>99</v>
      </c>
      <c r="R925" s="2" t="s">
        <v>100</v>
      </c>
      <c r="S925" s="2" t="s">
        <v>3362</v>
      </c>
      <c r="T925" s="2" t="s">
        <v>280</v>
      </c>
      <c r="U925" s="2" t="s">
        <v>480</v>
      </c>
      <c r="V925" s="2" t="s">
        <v>146</v>
      </c>
      <c r="W925" s="2" t="s">
        <v>104</v>
      </c>
      <c r="X925" s="2" t="s">
        <v>561</v>
      </c>
      <c r="Y925" s="2" t="s">
        <v>3340</v>
      </c>
      <c r="Z925" s="4">
        <v>51</v>
      </c>
      <c r="AA925" s="4">
        <f>=ROUNDDOWN(8.5,0)</f>
      </c>
      <c r="AB925" s="5">
        <v>6</v>
      </c>
      <c r="AC925" s="2" t="s">
        <v>205</v>
      </c>
      <c r="AD925" s="4">
        <v>250</v>
      </c>
      <c r="AE925" s="4">
        <v>250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162</v>
      </c>
      <c r="BK925" s="8">
        <v>14593.6</v>
      </c>
      <c r="BL925" s="2" t="s">
        <v>3363</v>
      </c>
      <c r="BM925" s="7"/>
      <c r="BN925" s="7"/>
      <c r="BO925" s="4"/>
      <c r="BP925" s="8"/>
      <c r="BQ925" s="4"/>
      <c r="BR925" s="8"/>
      <c r="BS925" s="7"/>
      <c r="BT925" s="7"/>
      <c r="BU925" s="2" t="s">
        <v>2528</v>
      </c>
      <c r="BV925" s="2" t="s">
        <v>97</v>
      </c>
      <c r="BW925" s="2" t="s">
        <v>100</v>
      </c>
      <c r="BX925" s="2" t="s">
        <v>100</v>
      </c>
      <c r="BY925" s="2" t="s">
        <v>113</v>
      </c>
      <c r="BZ925" s="2" t="s">
        <v>100</v>
      </c>
    </row>
    <row r="926">
      <c r="A926" s="2" t="s">
        <v>3364</v>
      </c>
      <c r="B926" s="2" t="s">
        <v>87</v>
      </c>
      <c r="C926" s="2" t="s">
        <v>3325</v>
      </c>
      <c r="D926" s="2" t="s">
        <v>803</v>
      </c>
      <c r="E926" s="2" t="s">
        <v>804</v>
      </c>
      <c r="F926" s="2" t="s">
        <v>3336</v>
      </c>
      <c r="G926" s="2" t="s">
        <v>3336</v>
      </c>
      <c r="H926" s="2" t="s">
        <v>3336</v>
      </c>
      <c r="I926" s="2" t="s">
        <v>3357</v>
      </c>
      <c r="J926" s="2" t="s">
        <v>270</v>
      </c>
      <c r="K926" s="2" t="s">
        <v>189</v>
      </c>
      <c r="L926" s="3">
        <v>98.7</v>
      </c>
      <c r="M926" s="3">
        <v>103.63</v>
      </c>
      <c r="N926" s="3">
        <v>209.99</v>
      </c>
      <c r="O926" s="2" t="s">
        <v>97</v>
      </c>
      <c r="P926" s="2" t="s">
        <v>98</v>
      </c>
      <c r="Q926" s="2" t="s">
        <v>99</v>
      </c>
      <c r="R926" s="2" t="s">
        <v>100</v>
      </c>
      <c r="S926" s="2" t="s">
        <v>3362</v>
      </c>
      <c r="T926" s="2" t="s">
        <v>280</v>
      </c>
      <c r="U926" s="2" t="s">
        <v>480</v>
      </c>
      <c r="V926" s="2" t="s">
        <v>146</v>
      </c>
      <c r="W926" s="2" t="s">
        <v>104</v>
      </c>
      <c r="X926" s="2" t="s">
        <v>561</v>
      </c>
      <c r="Y926" s="2" t="s">
        <v>3340</v>
      </c>
      <c r="Z926" s="4">
        <v>134</v>
      </c>
      <c r="AA926" s="4">
        <f>=ROUNDDOWN(17.1794871794872,0)</f>
      </c>
      <c r="AB926" s="5">
        <v>7.8</v>
      </c>
      <c r="AC926" s="2" t="s">
        <v>205</v>
      </c>
      <c r="AD926" s="4">
        <v>150</v>
      </c>
      <c r="AE926" s="4">
        <v>150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203</v>
      </c>
      <c r="BK926" s="8">
        <v>20827.38</v>
      </c>
      <c r="BL926" s="2" t="s">
        <v>3365</v>
      </c>
      <c r="BM926" s="7"/>
      <c r="BN926" s="7"/>
      <c r="BO926" s="4"/>
      <c r="BP926" s="8"/>
      <c r="BQ926" s="4"/>
      <c r="BR926" s="8"/>
      <c r="BS926" s="7"/>
      <c r="BT926" s="7"/>
      <c r="BU926" s="2" t="s">
        <v>2528</v>
      </c>
      <c r="BV926" s="2" t="s">
        <v>97</v>
      </c>
      <c r="BW926" s="2" t="s">
        <v>100</v>
      </c>
      <c r="BX926" s="2" t="s">
        <v>100</v>
      </c>
      <c r="BY926" s="2" t="s">
        <v>113</v>
      </c>
      <c r="BZ926" s="2" t="s">
        <v>100</v>
      </c>
    </row>
    <row r="927">
      <c r="A927" s="2" t="s">
        <v>3366</v>
      </c>
      <c r="B927" s="2" t="s">
        <v>87</v>
      </c>
      <c r="C927" s="2" t="s">
        <v>3325</v>
      </c>
      <c r="D927" s="2" t="s">
        <v>803</v>
      </c>
      <c r="E927" s="2" t="s">
        <v>804</v>
      </c>
      <c r="F927" s="2" t="s">
        <v>3367</v>
      </c>
      <c r="G927" s="2" t="s">
        <v>3367</v>
      </c>
      <c r="H927" s="2" t="s">
        <v>3367</v>
      </c>
      <c r="I927" s="2" t="s">
        <v>3368</v>
      </c>
      <c r="J927" s="2" t="s">
        <v>247</v>
      </c>
      <c r="K927" s="2" t="s">
        <v>1603</v>
      </c>
      <c r="L927" s="3">
        <v>89.3</v>
      </c>
      <c r="M927" s="3">
        <v>93.76</v>
      </c>
      <c r="N927" s="3">
        <v>189.99</v>
      </c>
      <c r="O927" s="2" t="s">
        <v>97</v>
      </c>
      <c r="P927" s="2" t="s">
        <v>98</v>
      </c>
      <c r="Q927" s="2" t="s">
        <v>99</v>
      </c>
      <c r="R927" s="2" t="s">
        <v>100</v>
      </c>
      <c r="S927" s="2" t="s">
        <v>3369</v>
      </c>
      <c r="T927" s="2" t="s">
        <v>280</v>
      </c>
      <c r="U927" s="2" t="s">
        <v>480</v>
      </c>
      <c r="V927" s="2" t="s">
        <v>256</v>
      </c>
      <c r="W927" s="2" t="s">
        <v>561</v>
      </c>
      <c r="X927" s="2" t="s">
        <v>100</v>
      </c>
      <c r="Y927" s="2" t="s">
        <v>3370</v>
      </c>
      <c r="Z927" s="4">
        <v>119</v>
      </c>
      <c r="AA927" s="4">
        <f>=ROUNDDOWN(20.5172413793103,0)</f>
      </c>
      <c r="AB927" s="5">
        <v>5.8</v>
      </c>
      <c r="AC927" s="2" t="s">
        <v>3371</v>
      </c>
      <c r="AD927" s="4">
        <v>80</v>
      </c>
      <c r="AE927" s="4">
        <v>80</v>
      </c>
      <c r="AF927" s="6">
        <v>63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133</v>
      </c>
      <c r="BK927" s="8">
        <v>11903.89</v>
      </c>
      <c r="BL927" s="2" t="s">
        <v>3372</v>
      </c>
      <c r="BM927" s="7"/>
      <c r="BN927" s="7"/>
      <c r="BO927" s="4"/>
      <c r="BP927" s="8"/>
      <c r="BQ927" s="4"/>
      <c r="BR927" s="8"/>
      <c r="BS927" s="7"/>
      <c r="BT927" s="7"/>
      <c r="BU927" s="2" t="s">
        <v>2528</v>
      </c>
      <c r="BV927" s="2" t="s">
        <v>97</v>
      </c>
      <c r="BW927" s="2" t="s">
        <v>100</v>
      </c>
      <c r="BX927" s="2" t="s">
        <v>100</v>
      </c>
      <c r="BY927" s="2" t="s">
        <v>113</v>
      </c>
      <c r="BZ927" s="2" t="s">
        <v>100</v>
      </c>
    </row>
    <row r="928">
      <c r="A928" s="2" t="s">
        <v>3373</v>
      </c>
      <c r="B928" s="2" t="s">
        <v>87</v>
      </c>
      <c r="C928" s="2" t="s">
        <v>3325</v>
      </c>
      <c r="D928" s="2" t="s">
        <v>803</v>
      </c>
      <c r="E928" s="2" t="s">
        <v>804</v>
      </c>
      <c r="F928" s="2" t="s">
        <v>3367</v>
      </c>
      <c r="G928" s="2" t="s">
        <v>3367</v>
      </c>
      <c r="H928" s="2" t="s">
        <v>3367</v>
      </c>
      <c r="I928" s="2" t="s">
        <v>3368</v>
      </c>
      <c r="J928" s="2" t="s">
        <v>714</v>
      </c>
      <c r="K928" s="2" t="s">
        <v>1603</v>
      </c>
      <c r="L928" s="3">
        <v>98.7</v>
      </c>
      <c r="M928" s="3">
        <v>103.63</v>
      </c>
      <c r="N928" s="3">
        <v>209.99</v>
      </c>
      <c r="O928" s="2" t="s">
        <v>97</v>
      </c>
      <c r="P928" s="2" t="s">
        <v>98</v>
      </c>
      <c r="Q928" s="2" t="s">
        <v>99</v>
      </c>
      <c r="R928" s="2" t="s">
        <v>100</v>
      </c>
      <c r="S928" s="2" t="s">
        <v>3369</v>
      </c>
      <c r="T928" s="2" t="s">
        <v>280</v>
      </c>
      <c r="U928" s="2" t="s">
        <v>480</v>
      </c>
      <c r="V928" s="2" t="s">
        <v>256</v>
      </c>
      <c r="W928" s="2" t="s">
        <v>561</v>
      </c>
      <c r="X928" s="2" t="s">
        <v>100</v>
      </c>
      <c r="Y928" s="2" t="s">
        <v>3370</v>
      </c>
      <c r="Z928" s="4">
        <v>124</v>
      </c>
      <c r="AA928" s="4">
        <f>=ROUNDDOWN(20.327868852459,0)</f>
      </c>
      <c r="AB928" s="5">
        <v>6.1</v>
      </c>
      <c r="AC928" s="2" t="s">
        <v>3371</v>
      </c>
      <c r="AD928" s="4">
        <v>110</v>
      </c>
      <c r="AE928" s="4">
        <v>110</v>
      </c>
      <c r="AF928" s="6">
        <v>63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128</v>
      </c>
      <c r="BK928" s="8">
        <v>12952.1</v>
      </c>
      <c r="BL928" s="2" t="s">
        <v>3374</v>
      </c>
      <c r="BM928" s="7"/>
      <c r="BN928" s="7"/>
      <c r="BO928" s="4"/>
      <c r="BP928" s="8"/>
      <c r="BQ928" s="4"/>
      <c r="BR928" s="8"/>
      <c r="BS928" s="7"/>
      <c r="BT928" s="7"/>
      <c r="BU928" s="2" t="s">
        <v>2528</v>
      </c>
      <c r="BV928" s="2" t="s">
        <v>97</v>
      </c>
      <c r="BW928" s="2" t="s">
        <v>100</v>
      </c>
      <c r="BX928" s="2" t="s">
        <v>100</v>
      </c>
      <c r="BY928" s="2" t="s">
        <v>113</v>
      </c>
      <c r="BZ928" s="2" t="s">
        <v>100</v>
      </c>
    </row>
    <row r="929">
      <c r="A929" s="2" t="s">
        <v>3375</v>
      </c>
      <c r="B929" s="2" t="s">
        <v>87</v>
      </c>
      <c r="C929" s="2" t="s">
        <v>3325</v>
      </c>
      <c r="D929" s="2" t="s">
        <v>803</v>
      </c>
      <c r="E929" s="2" t="s">
        <v>1532</v>
      </c>
      <c r="F929" s="2" t="s">
        <v>3327</v>
      </c>
      <c r="G929" s="2" t="s">
        <v>3327</v>
      </c>
      <c r="H929" s="2" t="s">
        <v>3327</v>
      </c>
      <c r="I929" s="2" t="s">
        <v>3376</v>
      </c>
      <c r="J929" s="2" t="s">
        <v>247</v>
      </c>
      <c r="K929" s="2" t="s">
        <v>189</v>
      </c>
      <c r="L929" s="3">
        <v>72</v>
      </c>
      <c r="M929" s="3">
        <v>75.6</v>
      </c>
      <c r="N929" s="3">
        <v>159.99</v>
      </c>
      <c r="O929" s="2" t="s">
        <v>97</v>
      </c>
      <c r="P929" s="2" t="s">
        <v>119</v>
      </c>
      <c r="Q929" s="2" t="s">
        <v>99</v>
      </c>
      <c r="R929" s="2" t="s">
        <v>100</v>
      </c>
      <c r="S929" s="2" t="s">
        <v>3329</v>
      </c>
      <c r="T929" s="2" t="s">
        <v>218</v>
      </c>
      <c r="U929" s="2" t="s">
        <v>480</v>
      </c>
      <c r="V929" s="2" t="s">
        <v>146</v>
      </c>
      <c r="W929" s="2" t="s">
        <v>561</v>
      </c>
      <c r="X929" s="2" t="s">
        <v>100</v>
      </c>
      <c r="Y929" s="2" t="s">
        <v>3330</v>
      </c>
      <c r="Z929" s="4">
        <v>83</v>
      </c>
      <c r="AA929" s="4">
        <f>=ROUNDDOWN(25.9375,0)</f>
      </c>
      <c r="AB929" s="5">
        <v>3.2</v>
      </c>
      <c r="AC929" s="2" t="s">
        <v>100</v>
      </c>
      <c r="AD929" s="4"/>
      <c r="AE929" s="4"/>
      <c r="AF929" s="6">
        <v>65</v>
      </c>
      <c r="AG929" s="6"/>
      <c r="AH929" s="7">
        <v>0.9037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62</v>
      </c>
      <c r="BK929" s="8">
        <v>4874.84</v>
      </c>
      <c r="BL929" s="2" t="s">
        <v>3377</v>
      </c>
      <c r="BM929" s="7"/>
      <c r="BN929" s="7"/>
      <c r="BO929" s="4"/>
      <c r="BP929" s="8"/>
      <c r="BQ929" s="4"/>
      <c r="BR929" s="8"/>
      <c r="BS929" s="7"/>
      <c r="BT929" s="7"/>
      <c r="BU929" s="2" t="s">
        <v>2528</v>
      </c>
      <c r="BV929" s="2" t="s">
        <v>97</v>
      </c>
      <c r="BW929" s="2" t="s">
        <v>100</v>
      </c>
      <c r="BX929" s="2" t="s">
        <v>100</v>
      </c>
      <c r="BY929" s="2" t="s">
        <v>113</v>
      </c>
      <c r="BZ929" s="2" t="s">
        <v>100</v>
      </c>
    </row>
    <row r="930">
      <c r="A930" s="2" t="s">
        <v>3378</v>
      </c>
      <c r="B930" s="2" t="s">
        <v>87</v>
      </c>
      <c r="C930" s="2" t="s">
        <v>3325</v>
      </c>
      <c r="D930" s="2" t="s">
        <v>803</v>
      </c>
      <c r="E930" s="2" t="s">
        <v>1532</v>
      </c>
      <c r="F930" s="2" t="s">
        <v>3327</v>
      </c>
      <c r="G930" s="2" t="s">
        <v>3327</v>
      </c>
      <c r="H930" s="2" t="s">
        <v>3327</v>
      </c>
      <c r="I930" s="2" t="s">
        <v>3376</v>
      </c>
      <c r="J930" s="2" t="s">
        <v>270</v>
      </c>
      <c r="K930" s="2" t="s">
        <v>189</v>
      </c>
      <c r="L930" s="3">
        <v>85.5</v>
      </c>
      <c r="M930" s="3">
        <v>89.78</v>
      </c>
      <c r="N930" s="3">
        <v>189.99</v>
      </c>
      <c r="O930" s="2" t="s">
        <v>97</v>
      </c>
      <c r="P930" s="2" t="s">
        <v>119</v>
      </c>
      <c r="Q930" s="2" t="s">
        <v>99</v>
      </c>
      <c r="R930" s="2" t="s">
        <v>100</v>
      </c>
      <c r="S930" s="2" t="s">
        <v>3329</v>
      </c>
      <c r="T930" s="2" t="s">
        <v>218</v>
      </c>
      <c r="U930" s="2" t="s">
        <v>480</v>
      </c>
      <c r="V930" s="2" t="s">
        <v>146</v>
      </c>
      <c r="W930" s="2" t="s">
        <v>561</v>
      </c>
      <c r="X930" s="2" t="s">
        <v>100</v>
      </c>
      <c r="Y930" s="2" t="s">
        <v>3330</v>
      </c>
      <c r="Z930" s="4">
        <v>351</v>
      </c>
      <c r="AA930" s="4">
        <f>=ROUNDDOWN(159.545454545455,0)</f>
      </c>
      <c r="AB930" s="5">
        <v>2.2</v>
      </c>
      <c r="AC930" s="2" t="s">
        <v>100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96</v>
      </c>
      <c r="BK930" s="8">
        <v>8809.37</v>
      </c>
      <c r="BL930" s="2" t="s">
        <v>3379</v>
      </c>
      <c r="BM930" s="7"/>
      <c r="BN930" s="7"/>
      <c r="BO930" s="4"/>
      <c r="BP930" s="8"/>
      <c r="BQ930" s="4"/>
      <c r="BR930" s="8"/>
      <c r="BS930" s="7"/>
      <c r="BT930" s="7"/>
      <c r="BU930" s="2" t="s">
        <v>2528</v>
      </c>
      <c r="BV930" s="2" t="s">
        <v>97</v>
      </c>
      <c r="BW930" s="2" t="s">
        <v>100</v>
      </c>
      <c r="BX930" s="2" t="s">
        <v>100</v>
      </c>
      <c r="BY930" s="2" t="s">
        <v>113</v>
      </c>
      <c r="BZ930" s="2" t="s">
        <v>100</v>
      </c>
    </row>
    <row r="931">
      <c r="A931" s="2" t="s">
        <v>3380</v>
      </c>
      <c r="B931" s="2" t="s">
        <v>87</v>
      </c>
      <c r="C931" s="2" t="s">
        <v>3325</v>
      </c>
      <c r="D931" s="2" t="s">
        <v>1638</v>
      </c>
      <c r="E931" s="2" t="s">
        <v>1639</v>
      </c>
      <c r="F931" s="2" t="s">
        <v>3345</v>
      </c>
      <c r="G931" s="2" t="s">
        <v>3345</v>
      </c>
      <c r="H931" s="2" t="s">
        <v>3345</v>
      </c>
      <c r="I931" s="2" t="s">
        <v>3381</v>
      </c>
      <c r="J931" s="2" t="s">
        <v>247</v>
      </c>
      <c r="K931" s="2" t="s">
        <v>118</v>
      </c>
      <c r="L931" s="3">
        <v>36</v>
      </c>
      <c r="M931" s="3">
        <v>37.8</v>
      </c>
      <c r="N931" s="3">
        <v>79.99</v>
      </c>
      <c r="O931" s="2" t="s">
        <v>97</v>
      </c>
      <c r="P931" s="2" t="s">
        <v>119</v>
      </c>
      <c r="Q931" s="2" t="s">
        <v>99</v>
      </c>
      <c r="R931" s="2" t="s">
        <v>100</v>
      </c>
      <c r="S931" s="2" t="s">
        <v>3347</v>
      </c>
      <c r="T931" s="2" t="s">
        <v>218</v>
      </c>
      <c r="U931" s="2" t="s">
        <v>480</v>
      </c>
      <c r="V931" s="2" t="s">
        <v>1150</v>
      </c>
      <c r="W931" s="2" t="s">
        <v>561</v>
      </c>
      <c r="X931" s="2" t="s">
        <v>100</v>
      </c>
      <c r="Y931" s="2" t="s">
        <v>3348</v>
      </c>
      <c r="Z931" s="4">
        <v>108</v>
      </c>
      <c r="AA931" s="4">
        <f>=ROUNDDOWN(37.2413793103448,0)</f>
      </c>
      <c r="AB931" s="5">
        <v>2.9</v>
      </c>
      <c r="AC931" s="2" t="s">
        <v>542</v>
      </c>
      <c r="AD931" s="4">
        <v>115</v>
      </c>
      <c r="AE931" s="4">
        <v>115</v>
      </c>
      <c r="AF931" s="6">
        <v>64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87</v>
      </c>
      <c r="BK931" s="8">
        <v>3656.14</v>
      </c>
      <c r="BL931" s="2" t="s">
        <v>3382</v>
      </c>
      <c r="BM931" s="7"/>
      <c r="BN931" s="7"/>
      <c r="BO931" s="4"/>
      <c r="BP931" s="8"/>
      <c r="BQ931" s="4"/>
      <c r="BR931" s="8"/>
      <c r="BS931" s="7"/>
      <c r="BT931" s="7"/>
      <c r="BU931" s="2" t="s">
        <v>2528</v>
      </c>
      <c r="BV931" s="2" t="s">
        <v>97</v>
      </c>
      <c r="BW931" s="2" t="s">
        <v>100</v>
      </c>
      <c r="BX931" s="2" t="s">
        <v>100</v>
      </c>
      <c r="BY931" s="2" t="s">
        <v>113</v>
      </c>
      <c r="BZ931" s="2" t="s">
        <v>100</v>
      </c>
    </row>
    <row r="932">
      <c r="A932" s="2" t="s">
        <v>3383</v>
      </c>
      <c r="B932" s="2" t="s">
        <v>87</v>
      </c>
      <c r="C932" s="2" t="s">
        <v>3325</v>
      </c>
      <c r="D932" s="2" t="s">
        <v>1638</v>
      </c>
      <c r="E932" s="2" t="s">
        <v>1639</v>
      </c>
      <c r="F932" s="2" t="s">
        <v>3345</v>
      </c>
      <c r="G932" s="2" t="s">
        <v>3345</v>
      </c>
      <c r="H932" s="2" t="s">
        <v>3345</v>
      </c>
      <c r="I932" s="2" t="s">
        <v>3381</v>
      </c>
      <c r="J932" s="2" t="s">
        <v>714</v>
      </c>
      <c r="K932" s="2" t="s">
        <v>118</v>
      </c>
      <c r="L932" s="3">
        <v>45</v>
      </c>
      <c r="M932" s="3">
        <v>47.25</v>
      </c>
      <c r="N932" s="3">
        <v>99.99</v>
      </c>
      <c r="O932" s="2" t="s">
        <v>97</v>
      </c>
      <c r="P932" s="2" t="s">
        <v>119</v>
      </c>
      <c r="Q932" s="2" t="s">
        <v>99</v>
      </c>
      <c r="R932" s="2" t="s">
        <v>100</v>
      </c>
      <c r="S932" s="2" t="s">
        <v>3347</v>
      </c>
      <c r="T932" s="2" t="s">
        <v>218</v>
      </c>
      <c r="U932" s="2" t="s">
        <v>480</v>
      </c>
      <c r="V932" s="2" t="s">
        <v>1150</v>
      </c>
      <c r="W932" s="2" t="s">
        <v>561</v>
      </c>
      <c r="X932" s="2" t="s">
        <v>100</v>
      </c>
      <c r="Y932" s="2" t="s">
        <v>3348</v>
      </c>
      <c r="Z932" s="4">
        <v>81</v>
      </c>
      <c r="AA932" s="4">
        <f>=ROUNDDOWN(21.8918918918919,0)</f>
      </c>
      <c r="AB932" s="5">
        <v>3.7</v>
      </c>
      <c r="AC932" s="2" t="s">
        <v>542</v>
      </c>
      <c r="AD932" s="4">
        <v>100</v>
      </c>
      <c r="AE932" s="4">
        <v>100</v>
      </c>
      <c r="AF932" s="6">
        <v>64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90</v>
      </c>
      <c r="BK932" s="8">
        <v>4495.76</v>
      </c>
      <c r="BL932" s="2" t="s">
        <v>3384</v>
      </c>
      <c r="BM932" s="7"/>
      <c r="BN932" s="7"/>
      <c r="BO932" s="4"/>
      <c r="BP932" s="8"/>
      <c r="BQ932" s="4"/>
      <c r="BR932" s="8"/>
      <c r="BS932" s="7"/>
      <c r="BT932" s="7"/>
      <c r="BU932" s="2" t="s">
        <v>2528</v>
      </c>
      <c r="BV932" s="2" t="s">
        <v>97</v>
      </c>
      <c r="BW932" s="2" t="s">
        <v>100</v>
      </c>
      <c r="BX932" s="2" t="s">
        <v>100</v>
      </c>
      <c r="BY932" s="2" t="s">
        <v>113</v>
      </c>
      <c r="BZ932" s="2" t="s">
        <v>100</v>
      </c>
    </row>
    <row r="933">
      <c r="A933" s="2" t="s">
        <v>3385</v>
      </c>
      <c r="B933" s="2" t="s">
        <v>87</v>
      </c>
      <c r="C933" s="2" t="s">
        <v>3325</v>
      </c>
      <c r="D933" s="2" t="s">
        <v>1638</v>
      </c>
      <c r="E933" s="2" t="s">
        <v>1639</v>
      </c>
      <c r="F933" s="2" t="s">
        <v>3327</v>
      </c>
      <c r="G933" s="2" t="s">
        <v>3327</v>
      </c>
      <c r="H933" s="2" t="s">
        <v>3327</v>
      </c>
      <c r="I933" s="2" t="s">
        <v>3386</v>
      </c>
      <c r="J933" s="2" t="s">
        <v>247</v>
      </c>
      <c r="K933" s="2" t="s">
        <v>189</v>
      </c>
      <c r="L933" s="3">
        <v>67.5</v>
      </c>
      <c r="M933" s="3">
        <v>70.88</v>
      </c>
      <c r="N933" s="3">
        <v>149.99</v>
      </c>
      <c r="O933" s="2" t="s">
        <v>97</v>
      </c>
      <c r="P933" s="2" t="s">
        <v>119</v>
      </c>
      <c r="Q933" s="2" t="s">
        <v>99</v>
      </c>
      <c r="R933" s="2" t="s">
        <v>100</v>
      </c>
      <c r="S933" s="2" t="s">
        <v>3329</v>
      </c>
      <c r="T933" s="2" t="s">
        <v>218</v>
      </c>
      <c r="U933" s="2" t="s">
        <v>480</v>
      </c>
      <c r="V933" s="2" t="s">
        <v>146</v>
      </c>
      <c r="W933" s="2" t="s">
        <v>561</v>
      </c>
      <c r="X933" s="2" t="s">
        <v>100</v>
      </c>
      <c r="Y933" s="2" t="s">
        <v>3330</v>
      </c>
      <c r="Z933" s="4">
        <v>63</v>
      </c>
      <c r="AA933" s="4">
        <f>=ROUNDDOWN(42,0)</f>
      </c>
      <c r="AB933" s="5">
        <v>1.5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35</v>
      </c>
      <c r="BK933" s="8">
        <v>2820.38</v>
      </c>
      <c r="BL933" s="2" t="s">
        <v>3387</v>
      </c>
      <c r="BM933" s="7"/>
      <c r="BN933" s="7"/>
      <c r="BO933" s="4"/>
      <c r="BP933" s="8"/>
      <c r="BQ933" s="4"/>
      <c r="BR933" s="8"/>
      <c r="BS933" s="7"/>
      <c r="BT933" s="7"/>
      <c r="BU933" s="2" t="s">
        <v>2528</v>
      </c>
      <c r="BV933" s="2" t="s">
        <v>97</v>
      </c>
      <c r="BW933" s="2" t="s">
        <v>100</v>
      </c>
      <c r="BX933" s="2" t="s">
        <v>100</v>
      </c>
      <c r="BY933" s="2" t="s">
        <v>113</v>
      </c>
      <c r="BZ933" s="2" t="s">
        <v>100</v>
      </c>
    </row>
    <row r="934">
      <c r="A934" s="2" t="s">
        <v>3388</v>
      </c>
      <c r="B934" s="2" t="s">
        <v>87</v>
      </c>
      <c r="C934" s="2" t="s">
        <v>3325</v>
      </c>
      <c r="D934" s="2" t="s">
        <v>1638</v>
      </c>
      <c r="E934" s="2" t="s">
        <v>1639</v>
      </c>
      <c r="F934" s="2" t="s">
        <v>3327</v>
      </c>
      <c r="G934" s="2" t="s">
        <v>3327</v>
      </c>
      <c r="H934" s="2" t="s">
        <v>3327</v>
      </c>
      <c r="I934" s="2" t="s">
        <v>3386</v>
      </c>
      <c r="J934" s="2" t="s">
        <v>270</v>
      </c>
      <c r="K934" s="2" t="s">
        <v>189</v>
      </c>
      <c r="L934" s="3">
        <v>76.5</v>
      </c>
      <c r="M934" s="3">
        <v>80.33</v>
      </c>
      <c r="N934" s="3">
        <v>169.99</v>
      </c>
      <c r="O934" s="2" t="s">
        <v>97</v>
      </c>
      <c r="P934" s="2" t="s">
        <v>119</v>
      </c>
      <c r="Q934" s="2" t="s">
        <v>99</v>
      </c>
      <c r="R934" s="2" t="s">
        <v>100</v>
      </c>
      <c r="S934" s="2" t="s">
        <v>3329</v>
      </c>
      <c r="T934" s="2" t="s">
        <v>218</v>
      </c>
      <c r="U934" s="2" t="s">
        <v>480</v>
      </c>
      <c r="V934" s="2" t="s">
        <v>146</v>
      </c>
      <c r="W934" s="2" t="s">
        <v>561</v>
      </c>
      <c r="X934" s="2" t="s">
        <v>100</v>
      </c>
      <c r="Y934" s="2" t="s">
        <v>3330</v>
      </c>
      <c r="Z934" s="4">
        <v>117</v>
      </c>
      <c r="AA934" s="4">
        <f>=ROUNDDOWN(73.125,0)</f>
      </c>
      <c r="AB934" s="5">
        <v>1.6</v>
      </c>
      <c r="AC934" s="2" t="s">
        <v>100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42</v>
      </c>
      <c r="BK934" s="8">
        <v>3632.92</v>
      </c>
      <c r="BL934" s="2" t="s">
        <v>3389</v>
      </c>
      <c r="BM934" s="7"/>
      <c r="BN934" s="7"/>
      <c r="BO934" s="4"/>
      <c r="BP934" s="8"/>
      <c r="BQ934" s="4"/>
      <c r="BR934" s="8"/>
      <c r="BS934" s="7"/>
      <c r="BT934" s="7"/>
      <c r="BU934" s="2" t="s">
        <v>2528</v>
      </c>
      <c r="BV934" s="2" t="s">
        <v>97</v>
      </c>
      <c r="BW934" s="2" t="s">
        <v>100</v>
      </c>
      <c r="BX934" s="2" t="s">
        <v>100</v>
      </c>
      <c r="BY934" s="2" t="s">
        <v>113</v>
      </c>
      <c r="BZ934" s="2" t="s">
        <v>100</v>
      </c>
    </row>
    <row r="935">
      <c r="A935" s="2" t="s">
        <v>3390</v>
      </c>
      <c r="B935" s="2" t="s">
        <v>87</v>
      </c>
      <c r="C935" s="2" t="s">
        <v>3325</v>
      </c>
      <c r="D935" s="2" t="s">
        <v>1638</v>
      </c>
      <c r="E935" s="2" t="s">
        <v>1759</v>
      </c>
      <c r="F935" s="2" t="s">
        <v>3333</v>
      </c>
      <c r="G935" s="2" t="s">
        <v>100</v>
      </c>
      <c r="H935" s="2" t="s">
        <v>100</v>
      </c>
      <c r="I935" s="2" t="s">
        <v>2770</v>
      </c>
      <c r="J935" s="2" t="s">
        <v>706</v>
      </c>
      <c r="K935" s="2" t="s">
        <v>130</v>
      </c>
      <c r="L935" s="3">
        <v>75.2</v>
      </c>
      <c r="M935" s="3">
        <v>78.96</v>
      </c>
      <c r="N935" s="3">
        <v>159.99</v>
      </c>
      <c r="O935" s="2" t="s">
        <v>97</v>
      </c>
      <c r="P935" s="2" t="s">
        <v>119</v>
      </c>
      <c r="Q935" s="2" t="s">
        <v>99</v>
      </c>
      <c r="R935" s="2" t="s">
        <v>100</v>
      </c>
      <c r="S935" s="2" t="s">
        <v>3353</v>
      </c>
      <c r="T935" s="2" t="s">
        <v>100</v>
      </c>
      <c r="U935" s="2" t="s">
        <v>480</v>
      </c>
      <c r="V935" s="2" t="s">
        <v>256</v>
      </c>
      <c r="W935" s="2" t="s">
        <v>561</v>
      </c>
      <c r="X935" s="2" t="s">
        <v>100</v>
      </c>
      <c r="Y935" s="2" t="s">
        <v>240</v>
      </c>
      <c r="Z935" s="4">
        <v>134</v>
      </c>
      <c r="AA935" s="4">
        <f>=ROUNDDOWN(51.5384615384615,0)</f>
      </c>
      <c r="AB935" s="5">
        <v>2.6</v>
      </c>
      <c r="AC935" s="2" t="s">
        <v>100</v>
      </c>
      <c r="AD935" s="4"/>
      <c r="AE935" s="4"/>
      <c r="AF935" s="6">
        <v>63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55</v>
      </c>
      <c r="BK935" s="8">
        <v>4433.87</v>
      </c>
      <c r="BL935" s="2" t="s">
        <v>658</v>
      </c>
      <c r="BM935" s="7"/>
      <c r="BN935" s="7"/>
      <c r="BO935" s="4"/>
      <c r="BP935" s="8"/>
      <c r="BQ935" s="4"/>
      <c r="BR935" s="8"/>
      <c r="BS935" s="7"/>
      <c r="BT935" s="7"/>
      <c r="BU935" s="2" t="s">
        <v>2528</v>
      </c>
      <c r="BV935" s="2" t="s">
        <v>97</v>
      </c>
      <c r="BW935" s="2" t="s">
        <v>100</v>
      </c>
      <c r="BX935" s="2" t="s">
        <v>100</v>
      </c>
      <c r="BY935" s="2" t="s">
        <v>113</v>
      </c>
      <c r="BZ935" s="2" t="s">
        <v>100</v>
      </c>
    </row>
    <row r="936">
      <c r="A936" s="2" t="s">
        <v>3391</v>
      </c>
      <c r="B936" s="2" t="s">
        <v>87</v>
      </c>
      <c r="C936" s="2" t="s">
        <v>3325</v>
      </c>
      <c r="D936" s="2" t="s">
        <v>1638</v>
      </c>
      <c r="E936" s="2" t="s">
        <v>1759</v>
      </c>
      <c r="F936" s="2" t="s">
        <v>3333</v>
      </c>
      <c r="G936" s="2" t="s">
        <v>100</v>
      </c>
      <c r="H936" s="2" t="s">
        <v>100</v>
      </c>
      <c r="I936" s="2" t="s">
        <v>2770</v>
      </c>
      <c r="J936" s="2" t="s">
        <v>714</v>
      </c>
      <c r="K936" s="2" t="s">
        <v>130</v>
      </c>
      <c r="L936" s="3">
        <v>84.6</v>
      </c>
      <c r="M936" s="3">
        <v>88.83</v>
      </c>
      <c r="N936" s="3">
        <v>179.99</v>
      </c>
      <c r="O936" s="2" t="s">
        <v>97</v>
      </c>
      <c r="P936" s="2" t="s">
        <v>119</v>
      </c>
      <c r="Q936" s="2" t="s">
        <v>99</v>
      </c>
      <c r="R936" s="2" t="s">
        <v>100</v>
      </c>
      <c r="S936" s="2" t="s">
        <v>3353</v>
      </c>
      <c r="T936" s="2" t="s">
        <v>100</v>
      </c>
      <c r="U936" s="2" t="s">
        <v>480</v>
      </c>
      <c r="V936" s="2" t="s">
        <v>256</v>
      </c>
      <c r="W936" s="2" t="s">
        <v>561</v>
      </c>
      <c r="X936" s="2" t="s">
        <v>100</v>
      </c>
      <c r="Y936" s="2" t="s">
        <v>573</v>
      </c>
      <c r="Z936" s="4">
        <v>142</v>
      </c>
      <c r="AA936" s="4">
        <f>=ROUNDDOWN(61.7391304347826,0)</f>
      </c>
      <c r="AB936" s="5">
        <v>2.3</v>
      </c>
      <c r="AC936" s="2" t="s">
        <v>100</v>
      </c>
      <c r="AD936" s="4"/>
      <c r="AE936" s="4"/>
      <c r="AF936" s="6">
        <v>63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52</v>
      </c>
      <c r="BK936" s="8">
        <v>5110.43</v>
      </c>
      <c r="BL936" s="2" t="s">
        <v>658</v>
      </c>
      <c r="BM936" s="7"/>
      <c r="BN936" s="7"/>
      <c r="BO936" s="4"/>
      <c r="BP936" s="8"/>
      <c r="BQ936" s="4"/>
      <c r="BR936" s="8"/>
      <c r="BS936" s="7"/>
      <c r="BT936" s="7"/>
      <c r="BU936" s="2" t="s">
        <v>2528</v>
      </c>
      <c r="BV936" s="2" t="s">
        <v>97</v>
      </c>
      <c r="BW936" s="2" t="s">
        <v>100</v>
      </c>
      <c r="BX936" s="2" t="s">
        <v>100</v>
      </c>
      <c r="BY936" s="2" t="s">
        <v>113</v>
      </c>
      <c r="BZ936" s="2" t="s">
        <v>100</v>
      </c>
    </row>
    <row r="937">
      <c r="A937" s="2" t="s">
        <v>3392</v>
      </c>
      <c r="B937" s="2" t="s">
        <v>87</v>
      </c>
      <c r="C937" s="2" t="s">
        <v>3325</v>
      </c>
      <c r="D937" s="2" t="s">
        <v>1638</v>
      </c>
      <c r="E937" s="2" t="s">
        <v>1759</v>
      </c>
      <c r="F937" s="2" t="s">
        <v>3336</v>
      </c>
      <c r="G937" s="2" t="s">
        <v>3336</v>
      </c>
      <c r="H937" s="2" t="s">
        <v>3336</v>
      </c>
      <c r="I937" s="2" t="s">
        <v>3393</v>
      </c>
      <c r="J937" s="2" t="s">
        <v>247</v>
      </c>
      <c r="K937" s="2" t="s">
        <v>198</v>
      </c>
      <c r="L937" s="3">
        <v>75.2</v>
      </c>
      <c r="M937" s="3">
        <v>78.96</v>
      </c>
      <c r="N937" s="3">
        <v>159.99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3339</v>
      </c>
      <c r="T937" s="2" t="s">
        <v>280</v>
      </c>
      <c r="U937" s="2" t="s">
        <v>480</v>
      </c>
      <c r="V937" s="2" t="s">
        <v>146</v>
      </c>
      <c r="W937" s="2" t="s">
        <v>104</v>
      </c>
      <c r="X937" s="2" t="s">
        <v>561</v>
      </c>
      <c r="Y937" s="2" t="s">
        <v>3340</v>
      </c>
      <c r="Z937" s="4">
        <v>42</v>
      </c>
      <c r="AA937" s="4">
        <f>=ROUNDDOWN(21,0)</f>
      </c>
      <c r="AB937" s="5">
        <v>2</v>
      </c>
      <c r="AC937" s="2" t="s">
        <v>2681</v>
      </c>
      <c r="AD937" s="4">
        <v>55</v>
      </c>
      <c r="AE937" s="4">
        <v>55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44</v>
      </c>
      <c r="BK937" s="8">
        <v>3162.45</v>
      </c>
      <c r="BL937" s="2" t="s">
        <v>3394</v>
      </c>
      <c r="BM937" s="7"/>
      <c r="BN937" s="7"/>
      <c r="BO937" s="4"/>
      <c r="BP937" s="8"/>
      <c r="BQ937" s="4"/>
      <c r="BR937" s="8"/>
      <c r="BS937" s="7"/>
      <c r="BT937" s="7"/>
      <c r="BU937" s="2" t="s">
        <v>2528</v>
      </c>
      <c r="BV937" s="2" t="s">
        <v>97</v>
      </c>
      <c r="BW937" s="2" t="s">
        <v>100</v>
      </c>
      <c r="BX937" s="2" t="s">
        <v>100</v>
      </c>
      <c r="BY937" s="2" t="s">
        <v>113</v>
      </c>
      <c r="BZ937" s="2" t="s">
        <v>100</v>
      </c>
    </row>
    <row r="938">
      <c r="A938" s="2" t="s">
        <v>3395</v>
      </c>
      <c r="B938" s="2" t="s">
        <v>87</v>
      </c>
      <c r="C938" s="2" t="s">
        <v>3325</v>
      </c>
      <c r="D938" s="2" t="s">
        <v>1638</v>
      </c>
      <c r="E938" s="2" t="s">
        <v>1759</v>
      </c>
      <c r="F938" s="2" t="s">
        <v>3336</v>
      </c>
      <c r="G938" s="2" t="s">
        <v>3336</v>
      </c>
      <c r="H938" s="2" t="s">
        <v>3336</v>
      </c>
      <c r="I938" s="2" t="s">
        <v>3393</v>
      </c>
      <c r="J938" s="2" t="s">
        <v>714</v>
      </c>
      <c r="K938" s="2" t="s">
        <v>198</v>
      </c>
      <c r="L938" s="3">
        <v>84.6</v>
      </c>
      <c r="M938" s="3">
        <v>88.83</v>
      </c>
      <c r="N938" s="3">
        <v>179.99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3339</v>
      </c>
      <c r="T938" s="2" t="s">
        <v>280</v>
      </c>
      <c r="U938" s="2" t="s">
        <v>480</v>
      </c>
      <c r="V938" s="2" t="s">
        <v>146</v>
      </c>
      <c r="W938" s="2" t="s">
        <v>104</v>
      </c>
      <c r="X938" s="2" t="s">
        <v>561</v>
      </c>
      <c r="Y938" s="2" t="s">
        <v>3340</v>
      </c>
      <c r="Z938" s="4">
        <v>142</v>
      </c>
      <c r="AA938" s="4">
        <f>=ROUNDDOWN(35.5,0)</f>
      </c>
      <c r="AB938" s="5">
        <v>4</v>
      </c>
      <c r="AC938" s="2" t="s">
        <v>2681</v>
      </c>
      <c r="AD938" s="4">
        <v>45</v>
      </c>
      <c r="AE938" s="4">
        <v>45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73</v>
      </c>
      <c r="BK938" s="8">
        <v>6073.14</v>
      </c>
      <c r="BL938" s="2" t="s">
        <v>3396</v>
      </c>
      <c r="BM938" s="7"/>
      <c r="BN938" s="7"/>
      <c r="BO938" s="4"/>
      <c r="BP938" s="8"/>
      <c r="BQ938" s="4"/>
      <c r="BR938" s="8"/>
      <c r="BS938" s="7"/>
      <c r="BT938" s="7"/>
      <c r="BU938" s="2" t="s">
        <v>2528</v>
      </c>
      <c r="BV938" s="2" t="s">
        <v>97</v>
      </c>
      <c r="BW938" s="2" t="s">
        <v>100</v>
      </c>
      <c r="BX938" s="2" t="s">
        <v>100</v>
      </c>
      <c r="BY938" s="2" t="s">
        <v>113</v>
      </c>
      <c r="BZ938" s="2" t="s">
        <v>100</v>
      </c>
    </row>
    <row r="939">
      <c r="A939" s="2" t="s">
        <v>3397</v>
      </c>
      <c r="B939" s="2" t="s">
        <v>87</v>
      </c>
      <c r="C939" s="2" t="s">
        <v>3325</v>
      </c>
      <c r="D939" s="2" t="s">
        <v>1638</v>
      </c>
      <c r="E939" s="2" t="s">
        <v>1759</v>
      </c>
      <c r="F939" s="2" t="s">
        <v>3336</v>
      </c>
      <c r="G939" s="2" t="s">
        <v>3336</v>
      </c>
      <c r="H939" s="2" t="s">
        <v>3336</v>
      </c>
      <c r="I939" s="2" t="s">
        <v>3393</v>
      </c>
      <c r="J939" s="2" t="s">
        <v>247</v>
      </c>
      <c r="K939" s="2" t="s">
        <v>189</v>
      </c>
      <c r="L939" s="3">
        <v>75.2</v>
      </c>
      <c r="M939" s="3">
        <v>78.96</v>
      </c>
      <c r="N939" s="3">
        <v>159.99</v>
      </c>
      <c r="O939" s="2" t="s">
        <v>97</v>
      </c>
      <c r="P939" s="2" t="s">
        <v>98</v>
      </c>
      <c r="Q939" s="2" t="s">
        <v>99</v>
      </c>
      <c r="R939" s="2" t="s">
        <v>100</v>
      </c>
      <c r="S939" s="2" t="s">
        <v>3362</v>
      </c>
      <c r="T939" s="2" t="s">
        <v>280</v>
      </c>
      <c r="U939" s="2" t="s">
        <v>480</v>
      </c>
      <c r="V939" s="2" t="s">
        <v>146</v>
      </c>
      <c r="W939" s="2" t="s">
        <v>104</v>
      </c>
      <c r="X939" s="2" t="s">
        <v>561</v>
      </c>
      <c r="Y939" s="2" t="s">
        <v>3340</v>
      </c>
      <c r="Z939" s="4">
        <v>40</v>
      </c>
      <c r="AA939" s="4">
        <f>=ROUNDDOWN(20,0)</f>
      </c>
      <c r="AB939" s="5">
        <v>2</v>
      </c>
      <c r="AC939" s="2" t="s">
        <v>205</v>
      </c>
      <c r="AD939" s="4">
        <v>80</v>
      </c>
      <c r="AE939" s="4">
        <v>80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34</v>
      </c>
      <c r="BK939" s="8">
        <v>2690.28</v>
      </c>
      <c r="BL939" s="2" t="s">
        <v>3398</v>
      </c>
      <c r="BM939" s="7"/>
      <c r="BN939" s="7"/>
      <c r="BO939" s="4"/>
      <c r="BP939" s="8"/>
      <c r="BQ939" s="4"/>
      <c r="BR939" s="8"/>
      <c r="BS939" s="7"/>
      <c r="BT939" s="7"/>
      <c r="BU939" s="2" t="s">
        <v>2528</v>
      </c>
      <c r="BV939" s="2" t="s">
        <v>97</v>
      </c>
      <c r="BW939" s="2" t="s">
        <v>100</v>
      </c>
      <c r="BX939" s="2" t="s">
        <v>100</v>
      </c>
      <c r="BY939" s="2" t="s">
        <v>113</v>
      </c>
      <c r="BZ939" s="2" t="s">
        <v>100</v>
      </c>
    </row>
    <row r="940">
      <c r="A940" s="2" t="s">
        <v>3399</v>
      </c>
      <c r="B940" s="2" t="s">
        <v>87</v>
      </c>
      <c r="C940" s="2" t="s">
        <v>3325</v>
      </c>
      <c r="D940" s="2" t="s">
        <v>1638</v>
      </c>
      <c r="E940" s="2" t="s">
        <v>1759</v>
      </c>
      <c r="F940" s="2" t="s">
        <v>3336</v>
      </c>
      <c r="G940" s="2" t="s">
        <v>3336</v>
      </c>
      <c r="H940" s="2" t="s">
        <v>3336</v>
      </c>
      <c r="I940" s="2" t="s">
        <v>3393</v>
      </c>
      <c r="J940" s="2" t="s">
        <v>714</v>
      </c>
      <c r="K940" s="2" t="s">
        <v>189</v>
      </c>
      <c r="L940" s="3">
        <v>84.6</v>
      </c>
      <c r="M940" s="3">
        <v>88.83</v>
      </c>
      <c r="N940" s="3">
        <v>179.99</v>
      </c>
      <c r="O940" s="2" t="s">
        <v>97</v>
      </c>
      <c r="P940" s="2" t="s">
        <v>98</v>
      </c>
      <c r="Q940" s="2" t="s">
        <v>99</v>
      </c>
      <c r="R940" s="2" t="s">
        <v>100</v>
      </c>
      <c r="S940" s="2" t="s">
        <v>3362</v>
      </c>
      <c r="T940" s="2" t="s">
        <v>280</v>
      </c>
      <c r="U940" s="2" t="s">
        <v>480</v>
      </c>
      <c r="V940" s="2" t="s">
        <v>146</v>
      </c>
      <c r="W940" s="2" t="s">
        <v>104</v>
      </c>
      <c r="X940" s="2" t="s">
        <v>561</v>
      </c>
      <c r="Y940" s="2" t="s">
        <v>3340</v>
      </c>
      <c r="Z940" s="4">
        <v>191</v>
      </c>
      <c r="AA940" s="4">
        <f>=ROUNDDOWN(47.75,0)</f>
      </c>
      <c r="AB940" s="5">
        <v>4</v>
      </c>
      <c r="AC940" s="2" t="s">
        <v>205</v>
      </c>
      <c r="AD940" s="4">
        <v>120</v>
      </c>
      <c r="AE940" s="4">
        <v>120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85</v>
      </c>
      <c r="BK940" s="8">
        <v>7458.8</v>
      </c>
      <c r="BL940" s="2" t="s">
        <v>3400</v>
      </c>
      <c r="BM940" s="7"/>
      <c r="BN940" s="7"/>
      <c r="BO940" s="4"/>
      <c r="BP940" s="8"/>
      <c r="BQ940" s="4"/>
      <c r="BR940" s="8"/>
      <c r="BS940" s="7"/>
      <c r="BT940" s="7"/>
      <c r="BU940" s="2" t="s">
        <v>2528</v>
      </c>
      <c r="BV940" s="2" t="s">
        <v>97</v>
      </c>
      <c r="BW940" s="2" t="s">
        <v>100</v>
      </c>
      <c r="BX940" s="2" t="s">
        <v>100</v>
      </c>
      <c r="BY940" s="2" t="s">
        <v>113</v>
      </c>
      <c r="BZ940" s="2" t="s">
        <v>100</v>
      </c>
    </row>
    <row r="941">
      <c r="A941" s="2" t="s">
        <v>3401</v>
      </c>
      <c r="B941" s="2" t="s">
        <v>87</v>
      </c>
      <c r="C941" s="2" t="s">
        <v>3325</v>
      </c>
      <c r="D941" s="2" t="s">
        <v>1638</v>
      </c>
      <c r="E941" s="2" t="s">
        <v>1759</v>
      </c>
      <c r="F941" s="2" t="s">
        <v>3367</v>
      </c>
      <c r="G941" s="2" t="s">
        <v>3367</v>
      </c>
      <c r="H941" s="2" t="s">
        <v>3367</v>
      </c>
      <c r="I941" s="2" t="s">
        <v>3402</v>
      </c>
      <c r="J941" s="2" t="s">
        <v>247</v>
      </c>
      <c r="K941" s="2" t="s">
        <v>1603</v>
      </c>
      <c r="L941" s="3">
        <v>75.2</v>
      </c>
      <c r="M941" s="3">
        <v>78.96</v>
      </c>
      <c r="N941" s="3">
        <v>159.99</v>
      </c>
      <c r="O941" s="2" t="s">
        <v>97</v>
      </c>
      <c r="P941" s="2" t="s">
        <v>98</v>
      </c>
      <c r="Q941" s="2" t="s">
        <v>99</v>
      </c>
      <c r="R941" s="2" t="s">
        <v>100</v>
      </c>
      <c r="S941" s="2" t="s">
        <v>3369</v>
      </c>
      <c r="T941" s="2" t="s">
        <v>280</v>
      </c>
      <c r="U941" s="2" t="s">
        <v>480</v>
      </c>
      <c r="V941" s="2" t="s">
        <v>256</v>
      </c>
      <c r="W941" s="2" t="s">
        <v>561</v>
      </c>
      <c r="X941" s="2" t="s">
        <v>100</v>
      </c>
      <c r="Y941" s="2" t="s">
        <v>3370</v>
      </c>
      <c r="Z941" s="4">
        <v>73</v>
      </c>
      <c r="AA941" s="4">
        <f>=ROUNDDOWN(10.4285714285714,0)</f>
      </c>
      <c r="AB941" s="5">
        <v>7</v>
      </c>
      <c r="AC941" s="2" t="s">
        <v>3371</v>
      </c>
      <c r="AD941" s="4">
        <v>190</v>
      </c>
      <c r="AE941" s="4">
        <v>190</v>
      </c>
      <c r="AF941" s="6">
        <v>63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141</v>
      </c>
      <c r="BK941" s="8">
        <v>10861.15</v>
      </c>
      <c r="BL941" s="2" t="s">
        <v>1358</v>
      </c>
      <c r="BM941" s="7"/>
      <c r="BN941" s="7"/>
      <c r="BO941" s="4"/>
      <c r="BP941" s="8"/>
      <c r="BQ941" s="4"/>
      <c r="BR941" s="8"/>
      <c r="BS941" s="7"/>
      <c r="BT941" s="7"/>
      <c r="BU941" s="2" t="s">
        <v>2528</v>
      </c>
      <c r="BV941" s="2" t="s">
        <v>97</v>
      </c>
      <c r="BW941" s="2" t="s">
        <v>100</v>
      </c>
      <c r="BX941" s="2" t="s">
        <v>100</v>
      </c>
      <c r="BY941" s="2" t="s">
        <v>113</v>
      </c>
      <c r="BZ941" s="2" t="s">
        <v>100</v>
      </c>
    </row>
    <row r="942">
      <c r="A942" s="2" t="s">
        <v>3403</v>
      </c>
      <c r="B942" s="2" t="s">
        <v>87</v>
      </c>
      <c r="C942" s="2" t="s">
        <v>3325</v>
      </c>
      <c r="D942" s="2" t="s">
        <v>1638</v>
      </c>
      <c r="E942" s="2" t="s">
        <v>1759</v>
      </c>
      <c r="F942" s="2" t="s">
        <v>3367</v>
      </c>
      <c r="G942" s="2" t="s">
        <v>3367</v>
      </c>
      <c r="H942" s="2" t="s">
        <v>3367</v>
      </c>
      <c r="I942" s="2" t="s">
        <v>3402</v>
      </c>
      <c r="J942" s="2" t="s">
        <v>714</v>
      </c>
      <c r="K942" s="2" t="s">
        <v>1603</v>
      </c>
      <c r="L942" s="3">
        <v>84.6</v>
      </c>
      <c r="M942" s="3">
        <v>88.83</v>
      </c>
      <c r="N942" s="3">
        <v>179.99</v>
      </c>
      <c r="O942" s="2" t="s">
        <v>97</v>
      </c>
      <c r="P942" s="2" t="s">
        <v>98</v>
      </c>
      <c r="Q942" s="2" t="s">
        <v>99</v>
      </c>
      <c r="R942" s="2" t="s">
        <v>100</v>
      </c>
      <c r="S942" s="2" t="s">
        <v>3369</v>
      </c>
      <c r="T942" s="2" t="s">
        <v>280</v>
      </c>
      <c r="U942" s="2" t="s">
        <v>480</v>
      </c>
      <c r="V942" s="2" t="s">
        <v>256</v>
      </c>
      <c r="W942" s="2" t="s">
        <v>561</v>
      </c>
      <c r="X942" s="2" t="s">
        <v>100</v>
      </c>
      <c r="Y942" s="2" t="s">
        <v>3370</v>
      </c>
      <c r="Z942" s="4">
        <v>74</v>
      </c>
      <c r="AA942" s="4">
        <f>=ROUNDDOWN(12.3333333333333,0)</f>
      </c>
      <c r="AB942" s="5">
        <v>6</v>
      </c>
      <c r="AC942" s="2" t="s">
        <v>3371</v>
      </c>
      <c r="AD942" s="4">
        <v>120</v>
      </c>
      <c r="AE942" s="4">
        <v>120</v>
      </c>
      <c r="AF942" s="6">
        <v>63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143</v>
      </c>
      <c r="BK942" s="8">
        <v>12200.61</v>
      </c>
      <c r="BL942" s="2" t="s">
        <v>3404</v>
      </c>
      <c r="BM942" s="7"/>
      <c r="BN942" s="7"/>
      <c r="BO942" s="4"/>
      <c r="BP942" s="8"/>
      <c r="BQ942" s="4"/>
      <c r="BR942" s="8"/>
      <c r="BS942" s="7"/>
      <c r="BT942" s="7"/>
      <c r="BU942" s="2" t="s">
        <v>2528</v>
      </c>
      <c r="BV942" s="2" t="s">
        <v>97</v>
      </c>
      <c r="BW942" s="2" t="s">
        <v>100</v>
      </c>
      <c r="BX942" s="2" t="s">
        <v>100</v>
      </c>
      <c r="BY942" s="2" t="s">
        <v>113</v>
      </c>
      <c r="BZ942" s="2" t="s">
        <v>100</v>
      </c>
    </row>
    <row r="943">
      <c r="A943" s="2" t="s">
        <v>3405</v>
      </c>
      <c r="B943" s="2" t="s">
        <v>87</v>
      </c>
      <c r="C943" s="2" t="s">
        <v>3325</v>
      </c>
      <c r="D943" s="2" t="s">
        <v>2503</v>
      </c>
      <c r="E943" s="2" t="s">
        <v>2504</v>
      </c>
      <c r="F943" s="2" t="s">
        <v>3336</v>
      </c>
      <c r="G943" s="2" t="s">
        <v>3336</v>
      </c>
      <c r="H943" s="2" t="s">
        <v>3336</v>
      </c>
      <c r="I943" s="2" t="s">
        <v>2817</v>
      </c>
      <c r="J943" s="2" t="s">
        <v>2818</v>
      </c>
      <c r="K943" s="2" t="s">
        <v>198</v>
      </c>
      <c r="L943" s="3">
        <v>18</v>
      </c>
      <c r="M943" s="3">
        <v>18.9</v>
      </c>
      <c r="N943" s="3">
        <v>44.99</v>
      </c>
      <c r="O943" s="2" t="s">
        <v>97</v>
      </c>
      <c r="P943" s="2" t="s">
        <v>98</v>
      </c>
      <c r="Q943" s="2" t="s">
        <v>99</v>
      </c>
      <c r="R943" s="2" t="s">
        <v>100</v>
      </c>
      <c r="S943" s="2" t="s">
        <v>3406</v>
      </c>
      <c r="T943" s="2" t="s">
        <v>280</v>
      </c>
      <c r="U943" s="2" t="s">
        <v>1847</v>
      </c>
      <c r="V943" s="2" t="s">
        <v>146</v>
      </c>
      <c r="W943" s="2" t="s">
        <v>104</v>
      </c>
      <c r="X943" s="2" t="s">
        <v>561</v>
      </c>
      <c r="Y943" s="2" t="s">
        <v>3340</v>
      </c>
      <c r="Z943" s="4">
        <v>109</v>
      </c>
      <c r="AA943" s="4">
        <f>=ROUNDDOWN(18.1666666666667,0)</f>
      </c>
      <c r="AB943" s="5">
        <v>6</v>
      </c>
      <c r="AC943" s="2" t="s">
        <v>2681</v>
      </c>
      <c r="AD943" s="4">
        <v>160</v>
      </c>
      <c r="AE943" s="4">
        <v>160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104</v>
      </c>
      <c r="BK943" s="8">
        <v>2015.16</v>
      </c>
      <c r="BL943" s="2" t="s">
        <v>3407</v>
      </c>
      <c r="BM943" s="7"/>
      <c r="BN943" s="7"/>
      <c r="BO943" s="4"/>
      <c r="BP943" s="8"/>
      <c r="BQ943" s="4"/>
      <c r="BR943" s="8"/>
      <c r="BS943" s="7"/>
      <c r="BT943" s="7"/>
      <c r="BU943" s="2" t="s">
        <v>2528</v>
      </c>
      <c r="BV943" s="2" t="s">
        <v>97</v>
      </c>
      <c r="BW943" s="2" t="s">
        <v>100</v>
      </c>
      <c r="BX943" s="2" t="s">
        <v>100</v>
      </c>
      <c r="BY943" s="2" t="s">
        <v>113</v>
      </c>
      <c r="BZ943" s="2" t="s">
        <v>100</v>
      </c>
    </row>
    <row r="944">
      <c r="A944" s="2" t="s">
        <v>3408</v>
      </c>
      <c r="B944" s="2" t="s">
        <v>87</v>
      </c>
      <c r="C944" s="2" t="s">
        <v>3325</v>
      </c>
      <c r="D944" s="2" t="s">
        <v>2503</v>
      </c>
      <c r="E944" s="2" t="s">
        <v>2504</v>
      </c>
      <c r="F944" s="2" t="s">
        <v>3336</v>
      </c>
      <c r="G944" s="2" t="s">
        <v>3336</v>
      </c>
      <c r="H944" s="2" t="s">
        <v>3336</v>
      </c>
      <c r="I944" s="2" t="s">
        <v>2817</v>
      </c>
      <c r="J944" s="2" t="s">
        <v>2818</v>
      </c>
      <c r="K944" s="2" t="s">
        <v>189</v>
      </c>
      <c r="L944" s="3">
        <v>18</v>
      </c>
      <c r="M944" s="3">
        <v>18.9</v>
      </c>
      <c r="N944" s="3">
        <v>44.99</v>
      </c>
      <c r="O944" s="2" t="s">
        <v>97</v>
      </c>
      <c r="P944" s="2" t="s">
        <v>98</v>
      </c>
      <c r="Q944" s="2" t="s">
        <v>99</v>
      </c>
      <c r="R944" s="2" t="s">
        <v>100</v>
      </c>
      <c r="S944" s="2" t="s">
        <v>3406</v>
      </c>
      <c r="T944" s="2" t="s">
        <v>280</v>
      </c>
      <c r="U944" s="2" t="s">
        <v>1847</v>
      </c>
      <c r="V944" s="2" t="s">
        <v>146</v>
      </c>
      <c r="W944" s="2" t="s">
        <v>104</v>
      </c>
      <c r="X944" s="2" t="s">
        <v>673</v>
      </c>
      <c r="Y944" s="2" t="s">
        <v>3340</v>
      </c>
      <c r="Z944" s="4">
        <v>87</v>
      </c>
      <c r="AA944" s="4">
        <f>=ROUNDDOWN(32.2222222222222,0)</f>
      </c>
      <c r="AB944" s="5">
        <v>2.7</v>
      </c>
      <c r="AC944" s="2" t="s">
        <v>205</v>
      </c>
      <c r="AD944" s="4">
        <v>150</v>
      </c>
      <c r="AE944" s="4">
        <v>150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76</v>
      </c>
      <c r="BK944" s="8">
        <v>1721.27</v>
      </c>
      <c r="BL944" s="2" t="s">
        <v>3384</v>
      </c>
      <c r="BM944" s="7"/>
      <c r="BN944" s="7"/>
      <c r="BO944" s="4"/>
      <c r="BP944" s="8"/>
      <c r="BQ944" s="4"/>
      <c r="BR944" s="8"/>
      <c r="BS944" s="7"/>
      <c r="BT944" s="7"/>
      <c r="BU944" s="2" t="s">
        <v>2528</v>
      </c>
      <c r="BV944" s="2" t="s">
        <v>97</v>
      </c>
      <c r="BW944" s="2" t="s">
        <v>100</v>
      </c>
      <c r="BX944" s="2" t="s">
        <v>100</v>
      </c>
      <c r="BY944" s="2" t="s">
        <v>113</v>
      </c>
      <c r="BZ944" s="2" t="s">
        <v>100</v>
      </c>
    </row>
    <row r="945">
      <c r="A945" s="2" t="s">
        <v>3409</v>
      </c>
      <c r="B945" s="2" t="s">
        <v>87</v>
      </c>
      <c r="C945" s="2" t="s">
        <v>3325</v>
      </c>
      <c r="D945" s="2" t="s">
        <v>2503</v>
      </c>
      <c r="E945" s="2" t="s">
        <v>2504</v>
      </c>
      <c r="F945" s="2" t="s">
        <v>3367</v>
      </c>
      <c r="G945" s="2" t="s">
        <v>3367</v>
      </c>
      <c r="H945" s="2" t="s">
        <v>3367</v>
      </c>
      <c r="I945" s="2" t="s">
        <v>2817</v>
      </c>
      <c r="J945" s="2" t="s">
        <v>2818</v>
      </c>
      <c r="K945" s="2" t="s">
        <v>1603</v>
      </c>
      <c r="L945" s="3">
        <v>18</v>
      </c>
      <c r="M945" s="3">
        <v>18.9</v>
      </c>
      <c r="N945" s="3">
        <v>44.99</v>
      </c>
      <c r="O945" s="2" t="s">
        <v>97</v>
      </c>
      <c r="P945" s="2" t="s">
        <v>98</v>
      </c>
      <c r="Q945" s="2" t="s">
        <v>99</v>
      </c>
      <c r="R945" s="2" t="s">
        <v>100</v>
      </c>
      <c r="S945" s="2" t="s">
        <v>3410</v>
      </c>
      <c r="T945" s="2" t="s">
        <v>280</v>
      </c>
      <c r="U945" s="2" t="s">
        <v>1847</v>
      </c>
      <c r="V945" s="2" t="s">
        <v>256</v>
      </c>
      <c r="W945" s="2" t="s">
        <v>561</v>
      </c>
      <c r="X945" s="2" t="s">
        <v>100</v>
      </c>
      <c r="Y945" s="2" t="s">
        <v>3370</v>
      </c>
      <c r="Z945" s="4">
        <v>115</v>
      </c>
      <c r="AA945" s="4">
        <f>=ROUNDDOWN(23,0)</f>
      </c>
      <c r="AB945" s="5">
        <v>5</v>
      </c>
      <c r="AC945" s="2" t="s">
        <v>3371</v>
      </c>
      <c r="AD945" s="4">
        <v>100</v>
      </c>
      <c r="AE945" s="4">
        <v>100</v>
      </c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110</v>
      </c>
      <c r="BK945" s="8">
        <v>2276.48</v>
      </c>
      <c r="BL945" s="2" t="s">
        <v>3411</v>
      </c>
      <c r="BM945" s="7"/>
      <c r="BN945" s="7"/>
      <c r="BO945" s="4"/>
      <c r="BP945" s="8"/>
      <c r="BQ945" s="4"/>
      <c r="BR945" s="8"/>
      <c r="BS945" s="7"/>
      <c r="BT945" s="7"/>
      <c r="BU945" s="2" t="s">
        <v>2528</v>
      </c>
      <c r="BV945" s="2" t="s">
        <v>97</v>
      </c>
      <c r="BW945" s="2" t="s">
        <v>100</v>
      </c>
      <c r="BX945" s="2" t="s">
        <v>100</v>
      </c>
      <c r="BY945" s="2" t="s">
        <v>113</v>
      </c>
      <c r="BZ945" s="2" t="s">
        <v>100</v>
      </c>
    </row>
    <row r="946">
      <c r="A946" s="2" t="s">
        <v>3412</v>
      </c>
      <c r="B946" s="2" t="s">
        <v>87</v>
      </c>
      <c r="C946" s="2" t="s">
        <v>3413</v>
      </c>
      <c r="D946" s="2" t="s">
        <v>803</v>
      </c>
      <c r="E946" s="2" t="s">
        <v>1532</v>
      </c>
      <c r="F946" s="2" t="s">
        <v>3414</v>
      </c>
      <c r="G946" s="2" t="s">
        <v>3415</v>
      </c>
      <c r="H946" s="2" t="s">
        <v>3416</v>
      </c>
      <c r="I946" s="2" t="s">
        <v>3417</v>
      </c>
      <c r="J946" s="2" t="s">
        <v>237</v>
      </c>
      <c r="K946" s="2" t="s">
        <v>3418</v>
      </c>
      <c r="L946" s="3">
        <v>19.04</v>
      </c>
      <c r="M946" s="3">
        <v>19.99</v>
      </c>
      <c r="N946" s="3">
        <v>39.99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3419</v>
      </c>
      <c r="T946" s="2" t="s">
        <v>218</v>
      </c>
      <c r="U946" s="2" t="s">
        <v>514</v>
      </c>
      <c r="V946" s="2" t="s">
        <v>350</v>
      </c>
      <c r="W946" s="2" t="s">
        <v>561</v>
      </c>
      <c r="X946" s="2" t="s">
        <v>183</v>
      </c>
      <c r="Y946" s="2" t="s">
        <v>3420</v>
      </c>
      <c r="Z946" s="4">
        <v>406</v>
      </c>
      <c r="AA946" s="4">
        <f>=ROUNDDOWN(67.6666666666667,0)</f>
      </c>
      <c r="AB946" s="5">
        <v>6</v>
      </c>
      <c r="AC946" s="2" t="s">
        <v>417</v>
      </c>
      <c r="AD946" s="4">
        <v>51</v>
      </c>
      <c r="AE946" s="4">
        <v>51</v>
      </c>
      <c r="AF946" s="6">
        <v>63</v>
      </c>
      <c r="AG946" s="6">
        <v>46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332</v>
      </c>
      <c r="BK946" s="8">
        <v>6167.08</v>
      </c>
      <c r="BL946" s="2" t="s">
        <v>3421</v>
      </c>
      <c r="BM946" s="7"/>
      <c r="BN946" s="7"/>
      <c r="BO946" s="4"/>
      <c r="BP946" s="8"/>
      <c r="BQ946" s="4"/>
      <c r="BR946" s="8"/>
      <c r="BS946" s="7"/>
      <c r="BT946" s="7"/>
      <c r="BU946" s="2" t="s">
        <v>207</v>
      </c>
      <c r="BV946" s="2" t="s">
        <v>97</v>
      </c>
      <c r="BW946" s="2" t="s">
        <v>100</v>
      </c>
      <c r="BX946" s="2" t="s">
        <v>100</v>
      </c>
      <c r="BY946" s="2" t="s">
        <v>113</v>
      </c>
      <c r="BZ946" s="2" t="s">
        <v>245</v>
      </c>
    </row>
    <row r="947">
      <c r="A947" s="2" t="s">
        <v>3422</v>
      </c>
      <c r="B947" s="2" t="s">
        <v>87</v>
      </c>
      <c r="C947" s="2" t="s">
        <v>3413</v>
      </c>
      <c r="D947" s="2" t="s">
        <v>803</v>
      </c>
      <c r="E947" s="2" t="s">
        <v>1532</v>
      </c>
      <c r="F947" s="2" t="s">
        <v>3414</v>
      </c>
      <c r="G947" s="2" t="s">
        <v>3415</v>
      </c>
      <c r="H947" s="2" t="s">
        <v>3416</v>
      </c>
      <c r="I947" s="2" t="s">
        <v>3417</v>
      </c>
      <c r="J947" s="2" t="s">
        <v>247</v>
      </c>
      <c r="K947" s="2" t="s">
        <v>3418</v>
      </c>
      <c r="L947" s="3">
        <v>23.8</v>
      </c>
      <c r="M947" s="3">
        <v>24.99</v>
      </c>
      <c r="N947" s="3">
        <v>49.99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3419</v>
      </c>
      <c r="T947" s="2" t="s">
        <v>218</v>
      </c>
      <c r="U947" s="2" t="s">
        <v>480</v>
      </c>
      <c r="V947" s="2" t="s">
        <v>350</v>
      </c>
      <c r="W947" s="2" t="s">
        <v>561</v>
      </c>
      <c r="X947" s="2" t="s">
        <v>183</v>
      </c>
      <c r="Y947" s="2" t="s">
        <v>3420</v>
      </c>
      <c r="Z947" s="4">
        <v>1095</v>
      </c>
      <c r="AA947" s="4">
        <f>=ROUNDDOWN(84.2307692307692,0)</f>
      </c>
      <c r="AB947" s="5">
        <v>13</v>
      </c>
      <c r="AC947" s="2" t="s">
        <v>100</v>
      </c>
      <c r="AD947" s="4"/>
      <c r="AE947" s="4"/>
      <c r="AF947" s="6">
        <v>63</v>
      </c>
      <c r="AG947" s="6">
        <v>46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443</v>
      </c>
      <c r="BK947" s="8">
        <v>9832.02</v>
      </c>
      <c r="BL947" s="2" t="s">
        <v>3423</v>
      </c>
      <c r="BM947" s="7"/>
      <c r="BN947" s="7"/>
      <c r="BO947" s="4"/>
      <c r="BP947" s="8"/>
      <c r="BQ947" s="4"/>
      <c r="BR947" s="8"/>
      <c r="BS947" s="7"/>
      <c r="BT947" s="7"/>
      <c r="BU947" s="2" t="s">
        <v>207</v>
      </c>
      <c r="BV947" s="2" t="s">
        <v>97</v>
      </c>
      <c r="BW947" s="2" t="s">
        <v>100</v>
      </c>
      <c r="BX947" s="2" t="s">
        <v>100</v>
      </c>
      <c r="BY947" s="2" t="s">
        <v>113</v>
      </c>
      <c r="BZ947" s="2" t="s">
        <v>245</v>
      </c>
    </row>
    <row r="948">
      <c r="A948" s="2" t="s">
        <v>3424</v>
      </c>
      <c r="B948" s="2" t="s">
        <v>87</v>
      </c>
      <c r="C948" s="2" t="s">
        <v>3413</v>
      </c>
      <c r="D948" s="2" t="s">
        <v>803</v>
      </c>
      <c r="E948" s="2" t="s">
        <v>1532</v>
      </c>
      <c r="F948" s="2" t="s">
        <v>3414</v>
      </c>
      <c r="G948" s="2" t="s">
        <v>3415</v>
      </c>
      <c r="H948" s="2" t="s">
        <v>3416</v>
      </c>
      <c r="I948" s="2" t="s">
        <v>3417</v>
      </c>
      <c r="J948" s="2" t="s">
        <v>270</v>
      </c>
      <c r="K948" s="2" t="s">
        <v>3418</v>
      </c>
      <c r="L948" s="3">
        <v>26.19</v>
      </c>
      <c r="M948" s="3">
        <v>27.5</v>
      </c>
      <c r="N948" s="3">
        <v>54.99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3419</v>
      </c>
      <c r="T948" s="2" t="s">
        <v>218</v>
      </c>
      <c r="U948" s="2" t="s">
        <v>480</v>
      </c>
      <c r="V948" s="2" t="s">
        <v>350</v>
      </c>
      <c r="W948" s="2" t="s">
        <v>561</v>
      </c>
      <c r="X948" s="2" t="s">
        <v>183</v>
      </c>
      <c r="Y948" s="2" t="s">
        <v>3425</v>
      </c>
      <c r="Z948" s="4">
        <v>400</v>
      </c>
      <c r="AA948" s="4">
        <f>=ROUNDDOWN(66.6666666666667,0)</f>
      </c>
      <c r="AB948" s="5">
        <v>6</v>
      </c>
      <c r="AC948" s="2" t="s">
        <v>100</v>
      </c>
      <c r="AD948" s="4"/>
      <c r="AE948" s="4"/>
      <c r="AF948" s="6">
        <v>63</v>
      </c>
      <c r="AG948" s="6">
        <v>46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/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/>
      <c r="BJ948" s="4">
        <v>199</v>
      </c>
      <c r="BK948" s="8">
        <v>5040.98</v>
      </c>
      <c r="BL948" s="2" t="s">
        <v>3421</v>
      </c>
      <c r="BM948" s="7"/>
      <c r="BN948" s="7"/>
      <c r="BO948" s="4"/>
      <c r="BP948" s="8"/>
      <c r="BQ948" s="4"/>
      <c r="BR948" s="8"/>
      <c r="BS948" s="7"/>
      <c r="BT948" s="7"/>
      <c r="BU948" s="2" t="s">
        <v>207</v>
      </c>
      <c r="BV948" s="2" t="s">
        <v>97</v>
      </c>
      <c r="BW948" s="2" t="s">
        <v>100</v>
      </c>
      <c r="BX948" s="2" t="s">
        <v>100</v>
      </c>
      <c r="BY948" s="2" t="s">
        <v>113</v>
      </c>
      <c r="BZ948" s="2" t="s">
        <v>245</v>
      </c>
    </row>
    <row r="949">
      <c r="A949" s="2" t="s">
        <v>3426</v>
      </c>
      <c r="B949" s="2" t="s">
        <v>87</v>
      </c>
      <c r="C949" s="2" t="s">
        <v>3413</v>
      </c>
      <c r="D949" s="2" t="s">
        <v>803</v>
      </c>
      <c r="E949" s="2" t="s">
        <v>1532</v>
      </c>
      <c r="F949" s="2" t="s">
        <v>3414</v>
      </c>
      <c r="G949" s="2" t="s">
        <v>3415</v>
      </c>
      <c r="H949" s="2" t="s">
        <v>3416</v>
      </c>
      <c r="I949" s="2" t="s">
        <v>3417</v>
      </c>
      <c r="J949" s="2" t="s">
        <v>237</v>
      </c>
      <c r="K949" s="2" t="s">
        <v>3427</v>
      </c>
      <c r="L949" s="3">
        <v>19.04</v>
      </c>
      <c r="M949" s="3">
        <v>19.99</v>
      </c>
      <c r="N949" s="3">
        <v>39.99</v>
      </c>
      <c r="O949" s="2" t="s">
        <v>97</v>
      </c>
      <c r="P949" s="2" t="s">
        <v>307</v>
      </c>
      <c r="Q949" s="2" t="s">
        <v>99</v>
      </c>
      <c r="R949" s="2" t="s">
        <v>100</v>
      </c>
      <c r="S949" s="2" t="s">
        <v>3428</v>
      </c>
      <c r="T949" s="2" t="s">
        <v>218</v>
      </c>
      <c r="U949" s="2" t="s">
        <v>514</v>
      </c>
      <c r="V949" s="2" t="s">
        <v>350</v>
      </c>
      <c r="W949" s="2" t="s">
        <v>561</v>
      </c>
      <c r="X949" s="2" t="s">
        <v>183</v>
      </c>
      <c r="Y949" s="2" t="s">
        <v>3420</v>
      </c>
      <c r="Z949" s="4">
        <v>524</v>
      </c>
      <c r="AA949" s="4">
        <f>=ROUNDDOWN(23.8181818181818,0)</f>
      </c>
      <c r="AB949" s="5">
        <v>22</v>
      </c>
      <c r="AC949" s="2" t="s">
        <v>241</v>
      </c>
      <c r="AD949" s="4">
        <v>240</v>
      </c>
      <c r="AE949" s="4">
        <v>540</v>
      </c>
      <c r="AF949" s="6">
        <v>63</v>
      </c>
      <c r="AG949" s="6">
        <v>46</v>
      </c>
      <c r="AH949" s="7">
        <v>0.9947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529</v>
      </c>
      <c r="BK949" s="8">
        <v>9838.26</v>
      </c>
      <c r="BL949" s="2" t="s">
        <v>3423</v>
      </c>
      <c r="BM949" s="7"/>
      <c r="BN949" s="7"/>
      <c r="BO949" s="4"/>
      <c r="BP949" s="8"/>
      <c r="BQ949" s="4"/>
      <c r="BR949" s="8"/>
      <c r="BS949" s="7"/>
      <c r="BT949" s="7"/>
      <c r="BU949" s="2" t="s">
        <v>2480</v>
      </c>
      <c r="BV949" s="2" t="s">
        <v>97</v>
      </c>
      <c r="BW949" s="2" t="s">
        <v>100</v>
      </c>
      <c r="BX949" s="2" t="s">
        <v>100</v>
      </c>
      <c r="BY949" s="2" t="s">
        <v>113</v>
      </c>
      <c r="BZ949" s="2" t="s">
        <v>245</v>
      </c>
    </row>
    <row r="950">
      <c r="A950" s="2" t="s">
        <v>3429</v>
      </c>
      <c r="B950" s="2" t="s">
        <v>87</v>
      </c>
      <c r="C950" s="2" t="s">
        <v>3413</v>
      </c>
      <c r="D950" s="2" t="s">
        <v>803</v>
      </c>
      <c r="E950" s="2" t="s">
        <v>1532</v>
      </c>
      <c r="F950" s="2" t="s">
        <v>3414</v>
      </c>
      <c r="G950" s="2" t="s">
        <v>3415</v>
      </c>
      <c r="H950" s="2" t="s">
        <v>3416</v>
      </c>
      <c r="I950" s="2" t="s">
        <v>3417</v>
      </c>
      <c r="J950" s="2" t="s">
        <v>247</v>
      </c>
      <c r="K950" s="2" t="s">
        <v>3427</v>
      </c>
      <c r="L950" s="3">
        <v>23.8</v>
      </c>
      <c r="M950" s="3">
        <v>24.99</v>
      </c>
      <c r="N950" s="3">
        <v>49.99</v>
      </c>
      <c r="O950" s="2" t="s">
        <v>97</v>
      </c>
      <c r="P950" s="2" t="s">
        <v>307</v>
      </c>
      <c r="Q950" s="2" t="s">
        <v>99</v>
      </c>
      <c r="R950" s="2" t="s">
        <v>100</v>
      </c>
      <c r="S950" s="2" t="s">
        <v>3428</v>
      </c>
      <c r="T950" s="2" t="s">
        <v>218</v>
      </c>
      <c r="U950" s="2" t="s">
        <v>480</v>
      </c>
      <c r="V950" s="2" t="s">
        <v>350</v>
      </c>
      <c r="W950" s="2" t="s">
        <v>561</v>
      </c>
      <c r="X950" s="2" t="s">
        <v>183</v>
      </c>
      <c r="Y950" s="2" t="s">
        <v>3420</v>
      </c>
      <c r="Z950" s="4">
        <v>955</v>
      </c>
      <c r="AA950" s="4">
        <f>=ROUNDDOWN(43.4090909090909,0)</f>
      </c>
      <c r="AB950" s="5">
        <v>22</v>
      </c>
      <c r="AC950" s="2" t="s">
        <v>241</v>
      </c>
      <c r="AD950" s="4">
        <v>300</v>
      </c>
      <c r="AE950" s="4">
        <v>300</v>
      </c>
      <c r="AF950" s="6">
        <v>63</v>
      </c>
      <c r="AG950" s="6">
        <v>46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621</v>
      </c>
      <c r="BK950" s="8">
        <v>14060.02</v>
      </c>
      <c r="BL950" s="2" t="s">
        <v>3423</v>
      </c>
      <c r="BM950" s="7"/>
      <c r="BN950" s="7"/>
      <c r="BO950" s="4"/>
      <c r="BP950" s="8"/>
      <c r="BQ950" s="4"/>
      <c r="BR950" s="8"/>
      <c r="BS950" s="7"/>
      <c r="BT950" s="7"/>
      <c r="BU950" s="2" t="s">
        <v>2480</v>
      </c>
      <c r="BV950" s="2" t="s">
        <v>97</v>
      </c>
      <c r="BW950" s="2" t="s">
        <v>100</v>
      </c>
      <c r="BX950" s="2" t="s">
        <v>100</v>
      </c>
      <c r="BY950" s="2" t="s">
        <v>113</v>
      </c>
      <c r="BZ950" s="2" t="s">
        <v>245</v>
      </c>
    </row>
    <row r="951">
      <c r="A951" s="2" t="s">
        <v>3430</v>
      </c>
      <c r="B951" s="2" t="s">
        <v>87</v>
      </c>
      <c r="C951" s="2" t="s">
        <v>3413</v>
      </c>
      <c r="D951" s="2" t="s">
        <v>803</v>
      </c>
      <c r="E951" s="2" t="s">
        <v>1532</v>
      </c>
      <c r="F951" s="2" t="s">
        <v>3414</v>
      </c>
      <c r="G951" s="2" t="s">
        <v>3415</v>
      </c>
      <c r="H951" s="2" t="s">
        <v>3416</v>
      </c>
      <c r="I951" s="2" t="s">
        <v>3417</v>
      </c>
      <c r="J951" s="2" t="s">
        <v>270</v>
      </c>
      <c r="K951" s="2" t="s">
        <v>3427</v>
      </c>
      <c r="L951" s="3">
        <v>26.19</v>
      </c>
      <c r="M951" s="3">
        <v>27.5</v>
      </c>
      <c r="N951" s="3">
        <v>54.99</v>
      </c>
      <c r="O951" s="2" t="s">
        <v>97</v>
      </c>
      <c r="P951" s="2" t="s">
        <v>307</v>
      </c>
      <c r="Q951" s="2" t="s">
        <v>99</v>
      </c>
      <c r="R951" s="2" t="s">
        <v>100</v>
      </c>
      <c r="S951" s="2" t="s">
        <v>3428</v>
      </c>
      <c r="T951" s="2" t="s">
        <v>218</v>
      </c>
      <c r="U951" s="2" t="s">
        <v>480</v>
      </c>
      <c r="V951" s="2" t="s">
        <v>350</v>
      </c>
      <c r="W951" s="2" t="s">
        <v>561</v>
      </c>
      <c r="X951" s="2" t="s">
        <v>183</v>
      </c>
      <c r="Y951" s="2" t="s">
        <v>3425</v>
      </c>
      <c r="Z951" s="4">
        <v>477</v>
      </c>
      <c r="AA951" s="4">
        <f>=ROUNDDOWN(43.3636363636364,0)</f>
      </c>
      <c r="AB951" s="5">
        <v>11</v>
      </c>
      <c r="AC951" s="2" t="s">
        <v>241</v>
      </c>
      <c r="AD951" s="4">
        <v>150</v>
      </c>
      <c r="AE951" s="4">
        <v>150</v>
      </c>
      <c r="AF951" s="6">
        <v>63</v>
      </c>
      <c r="AG951" s="6">
        <v>46</v>
      </c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217</v>
      </c>
      <c r="BK951" s="8">
        <v>5385.79</v>
      </c>
      <c r="BL951" s="2" t="s">
        <v>3423</v>
      </c>
      <c r="BM951" s="7"/>
      <c r="BN951" s="7"/>
      <c r="BO951" s="4"/>
      <c r="BP951" s="8"/>
      <c r="BQ951" s="4"/>
      <c r="BR951" s="8"/>
      <c r="BS951" s="7"/>
      <c r="BT951" s="7"/>
      <c r="BU951" s="2" t="s">
        <v>2480</v>
      </c>
      <c r="BV951" s="2" t="s">
        <v>97</v>
      </c>
      <c r="BW951" s="2" t="s">
        <v>100</v>
      </c>
      <c r="BX951" s="2" t="s">
        <v>100</v>
      </c>
      <c r="BY951" s="2" t="s">
        <v>113</v>
      </c>
      <c r="BZ951" s="2" t="s">
        <v>245</v>
      </c>
    </row>
    <row r="952">
      <c r="A952" s="2" t="s">
        <v>3431</v>
      </c>
      <c r="B952" s="2" t="s">
        <v>87</v>
      </c>
      <c r="C952" s="2" t="s">
        <v>3413</v>
      </c>
      <c r="D952" s="2" t="s">
        <v>803</v>
      </c>
      <c r="E952" s="2" t="s">
        <v>1532</v>
      </c>
      <c r="F952" s="2" t="s">
        <v>3432</v>
      </c>
      <c r="G952" s="2" t="s">
        <v>3433</v>
      </c>
      <c r="H952" s="2" t="s">
        <v>3434</v>
      </c>
      <c r="I952" s="2" t="s">
        <v>3435</v>
      </c>
      <c r="J952" s="2" t="s">
        <v>237</v>
      </c>
      <c r="K952" s="2" t="s">
        <v>335</v>
      </c>
      <c r="L952" s="3">
        <v>23.8</v>
      </c>
      <c r="M952" s="3">
        <v>24.99</v>
      </c>
      <c r="N952" s="3">
        <v>49.99</v>
      </c>
      <c r="O952" s="2" t="s">
        <v>97</v>
      </c>
      <c r="P952" s="2" t="s">
        <v>98</v>
      </c>
      <c r="Q952" s="2" t="s">
        <v>99</v>
      </c>
      <c r="R952" s="2" t="s">
        <v>100</v>
      </c>
      <c r="S952" s="2" t="s">
        <v>3436</v>
      </c>
      <c r="T952" s="2" t="s">
        <v>218</v>
      </c>
      <c r="U952" s="2" t="s">
        <v>514</v>
      </c>
      <c r="V952" s="2" t="s">
        <v>350</v>
      </c>
      <c r="W952" s="2" t="s">
        <v>561</v>
      </c>
      <c r="X952" s="2" t="s">
        <v>183</v>
      </c>
      <c r="Y952" s="2" t="s">
        <v>3437</v>
      </c>
      <c r="Z952" s="4">
        <v>922</v>
      </c>
      <c r="AA952" s="4">
        <f>=ROUNDDOWN(65.8571428571429,0)</f>
      </c>
      <c r="AB952" s="5">
        <v>14</v>
      </c>
      <c r="AC952" s="2" t="s">
        <v>100</v>
      </c>
      <c r="AD952" s="4"/>
      <c r="AE952" s="4"/>
      <c r="AF952" s="6">
        <v>63</v>
      </c>
      <c r="AG952" s="6">
        <v>46</v>
      </c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491</v>
      </c>
      <c r="BK952" s="8">
        <v>12594.38</v>
      </c>
      <c r="BL952" s="2" t="s">
        <v>446</v>
      </c>
      <c r="BM952" s="7"/>
      <c r="BN952" s="7"/>
      <c r="BO952" s="4"/>
      <c r="BP952" s="8"/>
      <c r="BQ952" s="4"/>
      <c r="BR952" s="8"/>
      <c r="BS952" s="7"/>
      <c r="BT952" s="7"/>
      <c r="BU952" s="2" t="s">
        <v>207</v>
      </c>
      <c r="BV952" s="2" t="s">
        <v>97</v>
      </c>
      <c r="BW952" s="2" t="s">
        <v>100</v>
      </c>
      <c r="BX952" s="2" t="s">
        <v>100</v>
      </c>
      <c r="BY952" s="2" t="s">
        <v>113</v>
      </c>
      <c r="BZ952" s="2" t="s">
        <v>245</v>
      </c>
    </row>
    <row r="953">
      <c r="A953" s="2" t="s">
        <v>3438</v>
      </c>
      <c r="B953" s="2" t="s">
        <v>87</v>
      </c>
      <c r="C953" s="2" t="s">
        <v>3413</v>
      </c>
      <c r="D953" s="2" t="s">
        <v>803</v>
      </c>
      <c r="E953" s="2" t="s">
        <v>1532</v>
      </c>
      <c r="F953" s="2" t="s">
        <v>3432</v>
      </c>
      <c r="G953" s="2" t="s">
        <v>3433</v>
      </c>
      <c r="H953" s="2" t="s">
        <v>3434</v>
      </c>
      <c r="I953" s="2" t="s">
        <v>3435</v>
      </c>
      <c r="J953" s="2" t="s">
        <v>247</v>
      </c>
      <c r="K953" s="2" t="s">
        <v>335</v>
      </c>
      <c r="L953" s="3">
        <v>30.95</v>
      </c>
      <c r="M953" s="3">
        <v>32.5</v>
      </c>
      <c r="N953" s="3">
        <v>64.99</v>
      </c>
      <c r="O953" s="2" t="s">
        <v>97</v>
      </c>
      <c r="P953" s="2" t="s">
        <v>98</v>
      </c>
      <c r="Q953" s="2" t="s">
        <v>99</v>
      </c>
      <c r="R953" s="2" t="s">
        <v>100</v>
      </c>
      <c r="S953" s="2" t="s">
        <v>3436</v>
      </c>
      <c r="T953" s="2" t="s">
        <v>218</v>
      </c>
      <c r="U953" s="2" t="s">
        <v>480</v>
      </c>
      <c r="V953" s="2" t="s">
        <v>350</v>
      </c>
      <c r="W953" s="2" t="s">
        <v>561</v>
      </c>
      <c r="X953" s="2" t="s">
        <v>183</v>
      </c>
      <c r="Y953" s="2" t="s">
        <v>3437</v>
      </c>
      <c r="Z953" s="4">
        <v>3144</v>
      </c>
      <c r="AA953" s="4">
        <f>=ROUNDDOWN(59.3207547169811,0)</f>
      </c>
      <c r="AB953" s="5">
        <v>53</v>
      </c>
      <c r="AC953" s="2" t="s">
        <v>100</v>
      </c>
      <c r="AD953" s="4"/>
      <c r="AE953" s="4"/>
      <c r="AF953" s="6">
        <v>63</v>
      </c>
      <c r="AG953" s="6">
        <v>46</v>
      </c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1430</v>
      </c>
      <c r="BK953" s="8">
        <v>46372.22</v>
      </c>
      <c r="BL953" s="2" t="s">
        <v>446</v>
      </c>
      <c r="BM953" s="7"/>
      <c r="BN953" s="7"/>
      <c r="BO953" s="4"/>
      <c r="BP953" s="8"/>
      <c r="BQ953" s="4"/>
      <c r="BR953" s="8"/>
      <c r="BS953" s="7"/>
      <c r="BT953" s="7"/>
      <c r="BU953" s="2" t="s">
        <v>207</v>
      </c>
      <c r="BV953" s="2" t="s">
        <v>97</v>
      </c>
      <c r="BW953" s="2" t="s">
        <v>100</v>
      </c>
      <c r="BX953" s="2" t="s">
        <v>100</v>
      </c>
      <c r="BY953" s="2" t="s">
        <v>113</v>
      </c>
      <c r="BZ953" s="2" t="s">
        <v>245</v>
      </c>
    </row>
    <row r="954">
      <c r="A954" s="2" t="s">
        <v>3439</v>
      </c>
      <c r="B954" s="2" t="s">
        <v>87</v>
      </c>
      <c r="C954" s="2" t="s">
        <v>3413</v>
      </c>
      <c r="D954" s="2" t="s">
        <v>803</v>
      </c>
      <c r="E954" s="2" t="s">
        <v>1532</v>
      </c>
      <c r="F954" s="2" t="s">
        <v>3432</v>
      </c>
      <c r="G954" s="2" t="s">
        <v>3433</v>
      </c>
      <c r="H954" s="2" t="s">
        <v>3434</v>
      </c>
      <c r="I954" s="2" t="s">
        <v>3435</v>
      </c>
      <c r="J954" s="2" t="s">
        <v>270</v>
      </c>
      <c r="K954" s="2" t="s">
        <v>335</v>
      </c>
      <c r="L954" s="3">
        <v>33.33</v>
      </c>
      <c r="M954" s="3">
        <v>35</v>
      </c>
      <c r="N954" s="3">
        <v>69.99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3436</v>
      </c>
      <c r="T954" s="2" t="s">
        <v>218</v>
      </c>
      <c r="U954" s="2" t="s">
        <v>480</v>
      </c>
      <c r="V954" s="2" t="s">
        <v>350</v>
      </c>
      <c r="W954" s="2" t="s">
        <v>561</v>
      </c>
      <c r="X954" s="2" t="s">
        <v>183</v>
      </c>
      <c r="Y954" s="2" t="s">
        <v>3440</v>
      </c>
      <c r="Z954" s="4">
        <v>1309</v>
      </c>
      <c r="AA954" s="4">
        <f>=ROUNDDOWN(48.4814814814815,0)</f>
      </c>
      <c r="AB954" s="5">
        <v>27</v>
      </c>
      <c r="AC954" s="2" t="s">
        <v>100</v>
      </c>
      <c r="AD954" s="4"/>
      <c r="AE954" s="4"/>
      <c r="AF954" s="6">
        <v>63</v>
      </c>
      <c r="AG954" s="6">
        <v>46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100</v>
      </c>
      <c r="AW954" s="8" t="s">
        <v>100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642</v>
      </c>
      <c r="BK954" s="8">
        <v>23485.59</v>
      </c>
      <c r="BL954" s="2" t="s">
        <v>3441</v>
      </c>
      <c r="BM954" s="7"/>
      <c r="BN954" s="7"/>
      <c r="BO954" s="4"/>
      <c r="BP954" s="8"/>
      <c r="BQ954" s="4"/>
      <c r="BR954" s="8"/>
      <c r="BS954" s="7"/>
      <c r="BT954" s="7"/>
      <c r="BU954" s="2" t="s">
        <v>207</v>
      </c>
      <c r="BV954" s="2" t="s">
        <v>97</v>
      </c>
      <c r="BW954" s="2" t="s">
        <v>100</v>
      </c>
      <c r="BX954" s="2" t="s">
        <v>100</v>
      </c>
      <c r="BY954" s="2" t="s">
        <v>113</v>
      </c>
      <c r="BZ954" s="2" t="s">
        <v>245</v>
      </c>
    </row>
    <row r="955">
      <c r="A955" s="2" t="s">
        <v>3442</v>
      </c>
      <c r="B955" s="2" t="s">
        <v>87</v>
      </c>
      <c r="C955" s="2" t="s">
        <v>3413</v>
      </c>
      <c r="D955" s="2" t="s">
        <v>803</v>
      </c>
      <c r="E955" s="2" t="s">
        <v>1532</v>
      </c>
      <c r="F955" s="2" t="s">
        <v>3432</v>
      </c>
      <c r="G955" s="2" t="s">
        <v>3433</v>
      </c>
      <c r="H955" s="2" t="s">
        <v>3434</v>
      </c>
      <c r="I955" s="2" t="s">
        <v>3435</v>
      </c>
      <c r="J955" s="2" t="s">
        <v>237</v>
      </c>
      <c r="K955" s="2" t="s">
        <v>118</v>
      </c>
      <c r="L955" s="3">
        <v>23.8</v>
      </c>
      <c r="M955" s="3">
        <v>24.99</v>
      </c>
      <c r="N955" s="3">
        <v>49.99</v>
      </c>
      <c r="O955" s="2" t="s">
        <v>97</v>
      </c>
      <c r="P955" s="2" t="s">
        <v>98</v>
      </c>
      <c r="Q955" s="2" t="s">
        <v>99</v>
      </c>
      <c r="R955" s="2" t="s">
        <v>100</v>
      </c>
      <c r="S955" s="2" t="s">
        <v>3443</v>
      </c>
      <c r="T955" s="2" t="s">
        <v>218</v>
      </c>
      <c r="U955" s="2" t="s">
        <v>514</v>
      </c>
      <c r="V955" s="2" t="s">
        <v>350</v>
      </c>
      <c r="W955" s="2" t="s">
        <v>561</v>
      </c>
      <c r="X955" s="2" t="s">
        <v>183</v>
      </c>
      <c r="Y955" s="2" t="s">
        <v>3437</v>
      </c>
      <c r="Z955" s="4">
        <v>830</v>
      </c>
      <c r="AA955" s="4">
        <f>=ROUNDDOWN(41.5,0)</f>
      </c>
      <c r="AB955" s="5">
        <v>20</v>
      </c>
      <c r="AC955" s="2" t="s">
        <v>100</v>
      </c>
      <c r="AD955" s="4"/>
      <c r="AE955" s="4"/>
      <c r="AF955" s="6">
        <v>63</v>
      </c>
      <c r="AG955" s="6">
        <v>46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907</v>
      </c>
      <c r="BK955" s="8">
        <v>22651.09</v>
      </c>
      <c r="BL955" s="2" t="s">
        <v>3444</v>
      </c>
      <c r="BM955" s="7"/>
      <c r="BN955" s="7"/>
      <c r="BO955" s="4"/>
      <c r="BP955" s="8"/>
      <c r="BQ955" s="4"/>
      <c r="BR955" s="8"/>
      <c r="BS955" s="7"/>
      <c r="BT955" s="7"/>
      <c r="BU955" s="2" t="s">
        <v>207</v>
      </c>
      <c r="BV955" s="2" t="s">
        <v>97</v>
      </c>
      <c r="BW955" s="2" t="s">
        <v>100</v>
      </c>
      <c r="BX955" s="2" t="s">
        <v>100</v>
      </c>
      <c r="BY955" s="2" t="s">
        <v>113</v>
      </c>
      <c r="BZ955" s="2" t="s">
        <v>245</v>
      </c>
    </row>
    <row r="956">
      <c r="A956" s="2" t="s">
        <v>3445</v>
      </c>
      <c r="B956" s="2" t="s">
        <v>87</v>
      </c>
      <c r="C956" s="2" t="s">
        <v>3413</v>
      </c>
      <c r="D956" s="2" t="s">
        <v>803</v>
      </c>
      <c r="E956" s="2" t="s">
        <v>1532</v>
      </c>
      <c r="F956" s="2" t="s">
        <v>3432</v>
      </c>
      <c r="G956" s="2" t="s">
        <v>3433</v>
      </c>
      <c r="H956" s="2" t="s">
        <v>3434</v>
      </c>
      <c r="I956" s="2" t="s">
        <v>3435</v>
      </c>
      <c r="J956" s="2" t="s">
        <v>247</v>
      </c>
      <c r="K956" s="2" t="s">
        <v>118</v>
      </c>
      <c r="L956" s="3">
        <v>30.95</v>
      </c>
      <c r="M956" s="3">
        <v>32.5</v>
      </c>
      <c r="N956" s="3">
        <v>64.99</v>
      </c>
      <c r="O956" s="2" t="s">
        <v>97</v>
      </c>
      <c r="P956" s="2" t="s">
        <v>98</v>
      </c>
      <c r="Q956" s="2" t="s">
        <v>99</v>
      </c>
      <c r="R956" s="2" t="s">
        <v>100</v>
      </c>
      <c r="S956" s="2" t="s">
        <v>3443</v>
      </c>
      <c r="T956" s="2" t="s">
        <v>218</v>
      </c>
      <c r="U956" s="2" t="s">
        <v>480</v>
      </c>
      <c r="V956" s="2" t="s">
        <v>350</v>
      </c>
      <c r="W956" s="2" t="s">
        <v>561</v>
      </c>
      <c r="X956" s="2" t="s">
        <v>183</v>
      </c>
      <c r="Y956" s="2" t="s">
        <v>3437</v>
      </c>
      <c r="Z956" s="4">
        <v>2962</v>
      </c>
      <c r="AA956" s="4">
        <f>=ROUNDDOWN(50.2033898305085,0)</f>
      </c>
      <c r="AB956" s="5">
        <v>59</v>
      </c>
      <c r="AC956" s="2" t="s">
        <v>100</v>
      </c>
      <c r="AD956" s="4"/>
      <c r="AE956" s="4"/>
      <c r="AF956" s="6">
        <v>63</v>
      </c>
      <c r="AG956" s="6">
        <v>46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1773</v>
      </c>
      <c r="BK956" s="8">
        <v>58117.43</v>
      </c>
      <c r="BL956" s="2" t="s">
        <v>3444</v>
      </c>
      <c r="BM956" s="7"/>
      <c r="BN956" s="7"/>
      <c r="BO956" s="4"/>
      <c r="BP956" s="8"/>
      <c r="BQ956" s="4"/>
      <c r="BR956" s="8"/>
      <c r="BS956" s="7"/>
      <c r="BT956" s="7"/>
      <c r="BU956" s="2" t="s">
        <v>207</v>
      </c>
      <c r="BV956" s="2" t="s">
        <v>97</v>
      </c>
      <c r="BW956" s="2" t="s">
        <v>100</v>
      </c>
      <c r="BX956" s="2" t="s">
        <v>100</v>
      </c>
      <c r="BY956" s="2" t="s">
        <v>113</v>
      </c>
      <c r="BZ956" s="2" t="s">
        <v>245</v>
      </c>
    </row>
    <row r="957">
      <c r="A957" s="2" t="s">
        <v>3446</v>
      </c>
      <c r="B957" s="2" t="s">
        <v>87</v>
      </c>
      <c r="C957" s="2" t="s">
        <v>3413</v>
      </c>
      <c r="D957" s="2" t="s">
        <v>803</v>
      </c>
      <c r="E957" s="2" t="s">
        <v>1532</v>
      </c>
      <c r="F957" s="2" t="s">
        <v>3432</v>
      </c>
      <c r="G957" s="2" t="s">
        <v>3433</v>
      </c>
      <c r="H957" s="2" t="s">
        <v>3434</v>
      </c>
      <c r="I957" s="2" t="s">
        <v>3435</v>
      </c>
      <c r="J957" s="2" t="s">
        <v>270</v>
      </c>
      <c r="K957" s="2" t="s">
        <v>118</v>
      </c>
      <c r="L957" s="3">
        <v>33.33</v>
      </c>
      <c r="M957" s="3">
        <v>35</v>
      </c>
      <c r="N957" s="3">
        <v>69.99</v>
      </c>
      <c r="O957" s="2" t="s">
        <v>97</v>
      </c>
      <c r="P957" s="2" t="s">
        <v>98</v>
      </c>
      <c r="Q957" s="2" t="s">
        <v>99</v>
      </c>
      <c r="R957" s="2" t="s">
        <v>100</v>
      </c>
      <c r="S957" s="2" t="s">
        <v>3443</v>
      </c>
      <c r="T957" s="2" t="s">
        <v>218</v>
      </c>
      <c r="U957" s="2" t="s">
        <v>480</v>
      </c>
      <c r="V957" s="2" t="s">
        <v>350</v>
      </c>
      <c r="W957" s="2" t="s">
        <v>561</v>
      </c>
      <c r="X957" s="2" t="s">
        <v>183</v>
      </c>
      <c r="Y957" s="2" t="s">
        <v>3440</v>
      </c>
      <c r="Z957" s="4">
        <v>1697</v>
      </c>
      <c r="AA957" s="4">
        <f>=ROUNDDOWN(51.4242424242424,0)</f>
      </c>
      <c r="AB957" s="5">
        <v>33</v>
      </c>
      <c r="AC957" s="2" t="s">
        <v>100</v>
      </c>
      <c r="AD957" s="4"/>
      <c r="AE957" s="4"/>
      <c r="AF957" s="6">
        <v>63</v>
      </c>
      <c r="AG957" s="6">
        <v>46</v>
      </c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822</v>
      </c>
      <c r="BK957" s="8">
        <v>30057.23</v>
      </c>
      <c r="BL957" s="2" t="s">
        <v>3447</v>
      </c>
      <c r="BM957" s="7"/>
      <c r="BN957" s="7"/>
      <c r="BO957" s="4"/>
      <c r="BP957" s="8"/>
      <c r="BQ957" s="4"/>
      <c r="BR957" s="8"/>
      <c r="BS957" s="7"/>
      <c r="BT957" s="7"/>
      <c r="BU957" s="2" t="s">
        <v>207</v>
      </c>
      <c r="BV957" s="2" t="s">
        <v>97</v>
      </c>
      <c r="BW957" s="2" t="s">
        <v>100</v>
      </c>
      <c r="BX957" s="2" t="s">
        <v>100</v>
      </c>
      <c r="BY957" s="2" t="s">
        <v>113</v>
      </c>
      <c r="BZ957" s="2" t="s">
        <v>245</v>
      </c>
    </row>
    <row r="958">
      <c r="A958" s="2" t="s">
        <v>3448</v>
      </c>
      <c r="B958" s="2" t="s">
        <v>87</v>
      </c>
      <c r="C958" s="2" t="s">
        <v>3413</v>
      </c>
      <c r="D958" s="2" t="s">
        <v>803</v>
      </c>
      <c r="E958" s="2" t="s">
        <v>1532</v>
      </c>
      <c r="F958" s="2" t="s">
        <v>3432</v>
      </c>
      <c r="G958" s="2" t="s">
        <v>3433</v>
      </c>
      <c r="H958" s="2" t="s">
        <v>3434</v>
      </c>
      <c r="I958" s="2" t="s">
        <v>3435</v>
      </c>
      <c r="J958" s="2" t="s">
        <v>237</v>
      </c>
      <c r="K958" s="2" t="s">
        <v>3449</v>
      </c>
      <c r="L958" s="3">
        <v>23.8</v>
      </c>
      <c r="M958" s="3">
        <v>24.99</v>
      </c>
      <c r="N958" s="3">
        <v>44.99</v>
      </c>
      <c r="O958" s="2" t="s">
        <v>97</v>
      </c>
      <c r="P958" s="2" t="s">
        <v>119</v>
      </c>
      <c r="Q958" s="2" t="s">
        <v>99</v>
      </c>
      <c r="R958" s="2" t="s">
        <v>100</v>
      </c>
      <c r="S958" s="2" t="s">
        <v>3450</v>
      </c>
      <c r="T958" s="2" t="s">
        <v>218</v>
      </c>
      <c r="U958" s="2" t="s">
        <v>514</v>
      </c>
      <c r="V958" s="2" t="s">
        <v>350</v>
      </c>
      <c r="W958" s="2" t="s">
        <v>561</v>
      </c>
      <c r="X958" s="2" t="s">
        <v>183</v>
      </c>
      <c r="Y958" s="2" t="s">
        <v>528</v>
      </c>
      <c r="Z958" s="4">
        <v>96</v>
      </c>
      <c r="AA958" s="4">
        <f>=ROUNDDOWN(22.8571428571429,0)</f>
      </c>
      <c r="AB958" s="5">
        <v>4.2</v>
      </c>
      <c r="AC958" s="2" t="s">
        <v>562</v>
      </c>
      <c r="AD958" s="4">
        <v>210</v>
      </c>
      <c r="AE958" s="4">
        <v>510</v>
      </c>
      <c r="AF958" s="6">
        <v>63</v>
      </c>
      <c r="AG958" s="6">
        <v>46</v>
      </c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65</v>
      </c>
      <c r="BK958" s="8">
        <v>1574.21</v>
      </c>
      <c r="BL958" s="2" t="s">
        <v>3451</v>
      </c>
      <c r="BM958" s="7"/>
      <c r="BN958" s="7"/>
      <c r="BO958" s="4"/>
      <c r="BP958" s="8"/>
      <c r="BQ958" s="4"/>
      <c r="BR958" s="8"/>
      <c r="BS958" s="7"/>
      <c r="BT958" s="7"/>
      <c r="BU958" s="2" t="s">
        <v>207</v>
      </c>
      <c r="BV958" s="2" t="s">
        <v>97</v>
      </c>
      <c r="BW958" s="2" t="s">
        <v>100</v>
      </c>
      <c r="BX958" s="2" t="s">
        <v>100</v>
      </c>
      <c r="BY958" s="2" t="s">
        <v>113</v>
      </c>
      <c r="BZ958" s="2" t="s">
        <v>245</v>
      </c>
    </row>
    <row r="959">
      <c r="A959" s="2" t="s">
        <v>3452</v>
      </c>
      <c r="B959" s="2" t="s">
        <v>87</v>
      </c>
      <c r="C959" s="2" t="s">
        <v>3413</v>
      </c>
      <c r="D959" s="2" t="s">
        <v>803</v>
      </c>
      <c r="E959" s="2" t="s">
        <v>1532</v>
      </c>
      <c r="F959" s="2" t="s">
        <v>3432</v>
      </c>
      <c r="G959" s="2" t="s">
        <v>3433</v>
      </c>
      <c r="H959" s="2" t="s">
        <v>3434</v>
      </c>
      <c r="I959" s="2" t="s">
        <v>3435</v>
      </c>
      <c r="J959" s="2" t="s">
        <v>247</v>
      </c>
      <c r="K959" s="2" t="s">
        <v>3449</v>
      </c>
      <c r="L959" s="3">
        <v>30.95</v>
      </c>
      <c r="M959" s="3">
        <v>32.5</v>
      </c>
      <c r="N959" s="3">
        <v>54.99</v>
      </c>
      <c r="O959" s="2" t="s">
        <v>97</v>
      </c>
      <c r="P959" s="2" t="s">
        <v>119</v>
      </c>
      <c r="Q959" s="2" t="s">
        <v>99</v>
      </c>
      <c r="R959" s="2" t="s">
        <v>100</v>
      </c>
      <c r="S959" s="2" t="s">
        <v>3450</v>
      </c>
      <c r="T959" s="2" t="s">
        <v>218</v>
      </c>
      <c r="U959" s="2" t="s">
        <v>480</v>
      </c>
      <c r="V959" s="2" t="s">
        <v>350</v>
      </c>
      <c r="W959" s="2" t="s">
        <v>561</v>
      </c>
      <c r="X959" s="2" t="s">
        <v>183</v>
      </c>
      <c r="Y959" s="2" t="s">
        <v>528</v>
      </c>
      <c r="Z959" s="4">
        <v>588</v>
      </c>
      <c r="AA959" s="4">
        <f>=ROUNDDOWN(26.4864864864865,0)</f>
      </c>
      <c r="AB959" s="5">
        <v>22.2</v>
      </c>
      <c r="AC959" s="2" t="s">
        <v>562</v>
      </c>
      <c r="AD959" s="4">
        <v>120</v>
      </c>
      <c r="AE959" s="4">
        <v>420</v>
      </c>
      <c r="AF959" s="6">
        <v>63</v>
      </c>
      <c r="AG959" s="6">
        <v>46</v>
      </c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262</v>
      </c>
      <c r="BK959" s="8">
        <v>8378.24</v>
      </c>
      <c r="BL959" s="2" t="s">
        <v>3453</v>
      </c>
      <c r="BM959" s="7"/>
      <c r="BN959" s="7"/>
      <c r="BO959" s="4"/>
      <c r="BP959" s="8"/>
      <c r="BQ959" s="4"/>
      <c r="BR959" s="8"/>
      <c r="BS959" s="7"/>
      <c r="BT959" s="7"/>
      <c r="BU959" s="2" t="s">
        <v>207</v>
      </c>
      <c r="BV959" s="2" t="s">
        <v>97</v>
      </c>
      <c r="BW959" s="2" t="s">
        <v>100</v>
      </c>
      <c r="BX959" s="2" t="s">
        <v>100</v>
      </c>
      <c r="BY959" s="2" t="s">
        <v>113</v>
      </c>
      <c r="BZ959" s="2" t="s">
        <v>245</v>
      </c>
    </row>
    <row r="960">
      <c r="A960" s="2" t="s">
        <v>3454</v>
      </c>
      <c r="B960" s="2" t="s">
        <v>87</v>
      </c>
      <c r="C960" s="2" t="s">
        <v>3413</v>
      </c>
      <c r="D960" s="2" t="s">
        <v>803</v>
      </c>
      <c r="E960" s="2" t="s">
        <v>1532</v>
      </c>
      <c r="F960" s="2" t="s">
        <v>3432</v>
      </c>
      <c r="G960" s="2" t="s">
        <v>3433</v>
      </c>
      <c r="H960" s="2" t="s">
        <v>3434</v>
      </c>
      <c r="I960" s="2" t="s">
        <v>3435</v>
      </c>
      <c r="J960" s="2" t="s">
        <v>270</v>
      </c>
      <c r="K960" s="2" t="s">
        <v>3449</v>
      </c>
      <c r="L960" s="3">
        <v>33.33</v>
      </c>
      <c r="M960" s="3">
        <v>35</v>
      </c>
      <c r="N960" s="3">
        <v>59.99</v>
      </c>
      <c r="O960" s="2" t="s">
        <v>97</v>
      </c>
      <c r="P960" s="2" t="s">
        <v>119</v>
      </c>
      <c r="Q960" s="2" t="s">
        <v>99</v>
      </c>
      <c r="R960" s="2" t="s">
        <v>100</v>
      </c>
      <c r="S960" s="2" t="s">
        <v>3450</v>
      </c>
      <c r="T960" s="2" t="s">
        <v>218</v>
      </c>
      <c r="U960" s="2" t="s">
        <v>480</v>
      </c>
      <c r="V960" s="2" t="s">
        <v>350</v>
      </c>
      <c r="W960" s="2" t="s">
        <v>561</v>
      </c>
      <c r="X960" s="2" t="s">
        <v>183</v>
      </c>
      <c r="Y960" s="2" t="s">
        <v>528</v>
      </c>
      <c r="Z960" s="4">
        <v>385</v>
      </c>
      <c r="AA960" s="4">
        <f>=ROUNDDOWN(16.6666666666667,0)</f>
      </c>
      <c r="AB960" s="5">
        <v>23.1</v>
      </c>
      <c r="AC960" s="2" t="s">
        <v>562</v>
      </c>
      <c r="AD960" s="4">
        <v>690</v>
      </c>
      <c r="AE960" s="4">
        <v>1090</v>
      </c>
      <c r="AF960" s="6">
        <v>63</v>
      </c>
      <c r="AG960" s="6">
        <v>46</v>
      </c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258</v>
      </c>
      <c r="BK960" s="8">
        <v>9100.06</v>
      </c>
      <c r="BL960" s="2" t="s">
        <v>3453</v>
      </c>
      <c r="BM960" s="7"/>
      <c r="BN960" s="7"/>
      <c r="BO960" s="4"/>
      <c r="BP960" s="8"/>
      <c r="BQ960" s="4"/>
      <c r="BR960" s="8"/>
      <c r="BS960" s="7"/>
      <c r="BT960" s="7"/>
      <c r="BU960" s="2" t="s">
        <v>207</v>
      </c>
      <c r="BV960" s="2" t="s">
        <v>97</v>
      </c>
      <c r="BW960" s="2" t="s">
        <v>100</v>
      </c>
      <c r="BX960" s="2" t="s">
        <v>100</v>
      </c>
      <c r="BY960" s="2" t="s">
        <v>113</v>
      </c>
      <c r="BZ960" s="2" t="s">
        <v>245</v>
      </c>
    </row>
    <row r="961">
      <c r="A961" s="2" t="s">
        <v>3455</v>
      </c>
      <c r="B961" s="2" t="s">
        <v>87</v>
      </c>
      <c r="C961" s="2" t="s">
        <v>3413</v>
      </c>
      <c r="D961" s="2" t="s">
        <v>803</v>
      </c>
      <c r="E961" s="2" t="s">
        <v>1532</v>
      </c>
      <c r="F961" s="2" t="s">
        <v>3432</v>
      </c>
      <c r="G961" s="2" t="s">
        <v>3433</v>
      </c>
      <c r="H961" s="2" t="s">
        <v>3434</v>
      </c>
      <c r="I961" s="2" t="s">
        <v>3435</v>
      </c>
      <c r="J961" s="2" t="s">
        <v>237</v>
      </c>
      <c r="K961" s="2" t="s">
        <v>913</v>
      </c>
      <c r="L961" s="3">
        <v>23.8</v>
      </c>
      <c r="M961" s="3">
        <v>24.99</v>
      </c>
      <c r="N961" s="3">
        <v>49.99</v>
      </c>
      <c r="O961" s="2" t="s">
        <v>97</v>
      </c>
      <c r="P961" s="2" t="s">
        <v>119</v>
      </c>
      <c r="Q961" s="2" t="s">
        <v>99</v>
      </c>
      <c r="R961" s="2" t="s">
        <v>100</v>
      </c>
      <c r="S961" s="2" t="s">
        <v>3456</v>
      </c>
      <c r="T961" s="2" t="s">
        <v>218</v>
      </c>
      <c r="U961" s="2" t="s">
        <v>514</v>
      </c>
      <c r="V961" s="2" t="s">
        <v>350</v>
      </c>
      <c r="W961" s="2" t="s">
        <v>561</v>
      </c>
      <c r="X961" s="2" t="s">
        <v>183</v>
      </c>
      <c r="Y961" s="2" t="s">
        <v>3457</v>
      </c>
      <c r="Z961" s="4">
        <v>333</v>
      </c>
      <c r="AA961" s="4">
        <f>=ROUNDDOWN(66.6,0)</f>
      </c>
      <c r="AB961" s="5">
        <v>5</v>
      </c>
      <c r="AC961" s="2" t="s">
        <v>100</v>
      </c>
      <c r="AD961" s="4"/>
      <c r="AE961" s="4"/>
      <c r="AF961" s="6">
        <v>63</v>
      </c>
      <c r="AG961" s="6">
        <v>46</v>
      </c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157</v>
      </c>
      <c r="BK961" s="8">
        <v>4101.88</v>
      </c>
      <c r="BL961" s="2" t="s">
        <v>3444</v>
      </c>
      <c r="BM961" s="7"/>
      <c r="BN961" s="7"/>
      <c r="BO961" s="4"/>
      <c r="BP961" s="8"/>
      <c r="BQ961" s="4"/>
      <c r="BR961" s="8"/>
      <c r="BS961" s="7"/>
      <c r="BT961" s="7"/>
      <c r="BU961" s="2" t="s">
        <v>207</v>
      </c>
      <c r="BV961" s="2" t="s">
        <v>97</v>
      </c>
      <c r="BW961" s="2" t="s">
        <v>100</v>
      </c>
      <c r="BX961" s="2" t="s">
        <v>100</v>
      </c>
      <c r="BY961" s="2" t="s">
        <v>113</v>
      </c>
      <c r="BZ961" s="2" t="s">
        <v>245</v>
      </c>
    </row>
    <row r="962">
      <c r="A962" s="2" t="s">
        <v>3458</v>
      </c>
      <c r="B962" s="2" t="s">
        <v>87</v>
      </c>
      <c r="C962" s="2" t="s">
        <v>3413</v>
      </c>
      <c r="D962" s="2" t="s">
        <v>803</v>
      </c>
      <c r="E962" s="2" t="s">
        <v>1532</v>
      </c>
      <c r="F962" s="2" t="s">
        <v>3432</v>
      </c>
      <c r="G962" s="2" t="s">
        <v>3433</v>
      </c>
      <c r="H962" s="2" t="s">
        <v>3434</v>
      </c>
      <c r="I962" s="2" t="s">
        <v>3435</v>
      </c>
      <c r="J962" s="2" t="s">
        <v>247</v>
      </c>
      <c r="K962" s="2" t="s">
        <v>913</v>
      </c>
      <c r="L962" s="3">
        <v>30.95</v>
      </c>
      <c r="M962" s="3">
        <v>32.5</v>
      </c>
      <c r="N962" s="3">
        <v>64.99</v>
      </c>
      <c r="O962" s="2" t="s">
        <v>97</v>
      </c>
      <c r="P962" s="2" t="s">
        <v>119</v>
      </c>
      <c r="Q962" s="2" t="s">
        <v>99</v>
      </c>
      <c r="R962" s="2" t="s">
        <v>100</v>
      </c>
      <c r="S962" s="2" t="s">
        <v>3456</v>
      </c>
      <c r="T962" s="2" t="s">
        <v>218</v>
      </c>
      <c r="U962" s="2" t="s">
        <v>480</v>
      </c>
      <c r="V962" s="2" t="s">
        <v>350</v>
      </c>
      <c r="W962" s="2" t="s">
        <v>561</v>
      </c>
      <c r="X962" s="2" t="s">
        <v>183</v>
      </c>
      <c r="Y962" s="2" t="s">
        <v>3457</v>
      </c>
      <c r="Z962" s="4">
        <v>1009</v>
      </c>
      <c r="AA962" s="4">
        <f>=ROUNDDOWN(40.36,0)</f>
      </c>
      <c r="AB962" s="5">
        <v>25</v>
      </c>
      <c r="AC962" s="2" t="s">
        <v>100</v>
      </c>
      <c r="AD962" s="4"/>
      <c r="AE962" s="4"/>
      <c r="AF962" s="6">
        <v>63</v>
      </c>
      <c r="AG962" s="6">
        <v>46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>
        <v>713</v>
      </c>
      <c r="BK962" s="8">
        <v>24501.05</v>
      </c>
      <c r="BL962" s="2" t="s">
        <v>3444</v>
      </c>
      <c r="BM962" s="7"/>
      <c r="BN962" s="7"/>
      <c r="BO962" s="4"/>
      <c r="BP962" s="8"/>
      <c r="BQ962" s="4"/>
      <c r="BR962" s="8"/>
      <c r="BS962" s="7"/>
      <c r="BT962" s="7"/>
      <c r="BU962" s="2" t="s">
        <v>207</v>
      </c>
      <c r="BV962" s="2" t="s">
        <v>97</v>
      </c>
      <c r="BW962" s="2" t="s">
        <v>100</v>
      </c>
      <c r="BX962" s="2" t="s">
        <v>100</v>
      </c>
      <c r="BY962" s="2" t="s">
        <v>113</v>
      </c>
      <c r="BZ962" s="2" t="s">
        <v>245</v>
      </c>
    </row>
    <row r="963">
      <c r="A963" s="2" t="s">
        <v>3459</v>
      </c>
      <c r="B963" s="2" t="s">
        <v>87</v>
      </c>
      <c r="C963" s="2" t="s">
        <v>3413</v>
      </c>
      <c r="D963" s="2" t="s">
        <v>803</v>
      </c>
      <c r="E963" s="2" t="s">
        <v>1532</v>
      </c>
      <c r="F963" s="2" t="s">
        <v>3432</v>
      </c>
      <c r="G963" s="2" t="s">
        <v>3433</v>
      </c>
      <c r="H963" s="2" t="s">
        <v>3434</v>
      </c>
      <c r="I963" s="2" t="s">
        <v>3435</v>
      </c>
      <c r="J963" s="2" t="s">
        <v>270</v>
      </c>
      <c r="K963" s="2" t="s">
        <v>913</v>
      </c>
      <c r="L963" s="3">
        <v>33.33</v>
      </c>
      <c r="M963" s="3">
        <v>35</v>
      </c>
      <c r="N963" s="3">
        <v>69.99</v>
      </c>
      <c r="O963" s="2" t="s">
        <v>97</v>
      </c>
      <c r="P963" s="2" t="s">
        <v>119</v>
      </c>
      <c r="Q963" s="2" t="s">
        <v>99</v>
      </c>
      <c r="R963" s="2" t="s">
        <v>100</v>
      </c>
      <c r="S963" s="2" t="s">
        <v>3456</v>
      </c>
      <c r="T963" s="2" t="s">
        <v>218</v>
      </c>
      <c r="U963" s="2" t="s">
        <v>480</v>
      </c>
      <c r="V963" s="2" t="s">
        <v>350</v>
      </c>
      <c r="W963" s="2" t="s">
        <v>561</v>
      </c>
      <c r="X963" s="2" t="s">
        <v>183</v>
      </c>
      <c r="Y963" s="2" t="s">
        <v>3457</v>
      </c>
      <c r="Z963" s="4">
        <v>1414</v>
      </c>
      <c r="AA963" s="4">
        <f>=ROUNDDOWN(37.2105263157895,0)</f>
      </c>
      <c r="AB963" s="5">
        <v>38</v>
      </c>
      <c r="AC963" s="2" t="s">
        <v>100</v>
      </c>
      <c r="AD963" s="4"/>
      <c r="AE963" s="4"/>
      <c r="AF963" s="6">
        <v>63</v>
      </c>
      <c r="AG963" s="6">
        <v>46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/>
      <c r="BJ963" s="4">
        <v>838</v>
      </c>
      <c r="BK963" s="8">
        <v>30803.82</v>
      </c>
      <c r="BL963" s="2" t="s">
        <v>3441</v>
      </c>
      <c r="BM963" s="7"/>
      <c r="BN963" s="7"/>
      <c r="BO963" s="4"/>
      <c r="BP963" s="8"/>
      <c r="BQ963" s="4"/>
      <c r="BR963" s="8"/>
      <c r="BS963" s="7"/>
      <c r="BT963" s="7"/>
      <c r="BU963" s="2" t="s">
        <v>207</v>
      </c>
      <c r="BV963" s="2" t="s">
        <v>97</v>
      </c>
      <c r="BW963" s="2" t="s">
        <v>100</v>
      </c>
      <c r="BX963" s="2" t="s">
        <v>100</v>
      </c>
      <c r="BY963" s="2" t="s">
        <v>113</v>
      </c>
      <c r="BZ963" s="2" t="s">
        <v>245</v>
      </c>
    </row>
    <row r="964">
      <c r="A964" s="2" t="s">
        <v>3460</v>
      </c>
      <c r="B964" s="2" t="s">
        <v>87</v>
      </c>
      <c r="C964" s="2" t="s">
        <v>3413</v>
      </c>
      <c r="D964" s="2" t="s">
        <v>803</v>
      </c>
      <c r="E964" s="2" t="s">
        <v>1532</v>
      </c>
      <c r="F964" s="2" t="s">
        <v>3432</v>
      </c>
      <c r="G964" s="2" t="s">
        <v>3433</v>
      </c>
      <c r="H964" s="2" t="s">
        <v>3434</v>
      </c>
      <c r="I964" s="2" t="s">
        <v>3435</v>
      </c>
      <c r="J964" s="2" t="s">
        <v>237</v>
      </c>
      <c r="K964" s="2" t="s">
        <v>278</v>
      </c>
      <c r="L964" s="3">
        <v>23.8</v>
      </c>
      <c r="M964" s="3">
        <v>24.99</v>
      </c>
      <c r="N964" s="3">
        <v>44.99</v>
      </c>
      <c r="O964" s="2" t="s">
        <v>97</v>
      </c>
      <c r="P964" s="2" t="s">
        <v>98</v>
      </c>
      <c r="Q964" s="2" t="s">
        <v>99</v>
      </c>
      <c r="R964" s="2" t="s">
        <v>100</v>
      </c>
      <c r="S964" s="2" t="s">
        <v>3461</v>
      </c>
      <c r="T964" s="2" t="s">
        <v>218</v>
      </c>
      <c r="U964" s="2" t="s">
        <v>514</v>
      </c>
      <c r="V964" s="2" t="s">
        <v>350</v>
      </c>
      <c r="W964" s="2" t="s">
        <v>561</v>
      </c>
      <c r="X964" s="2" t="s">
        <v>183</v>
      </c>
      <c r="Y964" s="2" t="s">
        <v>528</v>
      </c>
      <c r="Z964" s="4">
        <v>228</v>
      </c>
      <c r="AA964" s="4">
        <f>=ROUNDDOWN(13.4117647058824,0)</f>
      </c>
      <c r="AB964" s="5">
        <v>17</v>
      </c>
      <c r="AC964" s="2" t="s">
        <v>562</v>
      </c>
      <c r="AD964" s="4">
        <v>390</v>
      </c>
      <c r="AE964" s="4">
        <v>390</v>
      </c>
      <c r="AF964" s="6">
        <v>63</v>
      </c>
      <c r="AG964" s="6">
        <v>46</v>
      </c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103</v>
      </c>
      <c r="BK964" s="8">
        <v>2520.69</v>
      </c>
      <c r="BL964" s="2" t="s">
        <v>736</v>
      </c>
      <c r="BM964" s="7"/>
      <c r="BN964" s="7"/>
      <c r="BO964" s="4"/>
      <c r="BP964" s="8"/>
      <c r="BQ964" s="4"/>
      <c r="BR964" s="8"/>
      <c r="BS964" s="7"/>
      <c r="BT964" s="7"/>
      <c r="BU964" s="2" t="s">
        <v>207</v>
      </c>
      <c r="BV964" s="2" t="s">
        <v>97</v>
      </c>
      <c r="BW964" s="2" t="s">
        <v>100</v>
      </c>
      <c r="BX964" s="2" t="s">
        <v>100</v>
      </c>
      <c r="BY964" s="2" t="s">
        <v>113</v>
      </c>
      <c r="BZ964" s="2" t="s">
        <v>245</v>
      </c>
    </row>
    <row r="965">
      <c r="A965" s="2" t="s">
        <v>3462</v>
      </c>
      <c r="B965" s="2" t="s">
        <v>87</v>
      </c>
      <c r="C965" s="2" t="s">
        <v>3413</v>
      </c>
      <c r="D965" s="2" t="s">
        <v>803</v>
      </c>
      <c r="E965" s="2" t="s">
        <v>1532</v>
      </c>
      <c r="F965" s="2" t="s">
        <v>3432</v>
      </c>
      <c r="G965" s="2" t="s">
        <v>3433</v>
      </c>
      <c r="H965" s="2" t="s">
        <v>3434</v>
      </c>
      <c r="I965" s="2" t="s">
        <v>3435</v>
      </c>
      <c r="J965" s="2" t="s">
        <v>247</v>
      </c>
      <c r="K965" s="2" t="s">
        <v>278</v>
      </c>
      <c r="L965" s="3">
        <v>30.95</v>
      </c>
      <c r="M965" s="3">
        <v>32.5</v>
      </c>
      <c r="N965" s="3">
        <v>54.99</v>
      </c>
      <c r="O965" s="2" t="s">
        <v>97</v>
      </c>
      <c r="P965" s="2" t="s">
        <v>98</v>
      </c>
      <c r="Q965" s="2" t="s">
        <v>99</v>
      </c>
      <c r="R965" s="2" t="s">
        <v>100</v>
      </c>
      <c r="S965" s="2" t="s">
        <v>3461</v>
      </c>
      <c r="T965" s="2" t="s">
        <v>218</v>
      </c>
      <c r="U965" s="2" t="s">
        <v>480</v>
      </c>
      <c r="V965" s="2" t="s">
        <v>350</v>
      </c>
      <c r="W965" s="2" t="s">
        <v>561</v>
      </c>
      <c r="X965" s="2" t="s">
        <v>183</v>
      </c>
      <c r="Y965" s="2" t="s">
        <v>528</v>
      </c>
      <c r="Z965" s="4">
        <v>1047</v>
      </c>
      <c r="AA965" s="4">
        <f>=ROUNDDOWN(22.7608695652174,0)</f>
      </c>
      <c r="AB965" s="5">
        <v>46</v>
      </c>
      <c r="AC965" s="2" t="s">
        <v>562</v>
      </c>
      <c r="AD965" s="4">
        <v>960</v>
      </c>
      <c r="AE965" s="4">
        <v>960</v>
      </c>
      <c r="AF965" s="6">
        <v>63</v>
      </c>
      <c r="AG965" s="6">
        <v>46</v>
      </c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/>
      <c r="BJ965" s="4">
        <v>460</v>
      </c>
      <c r="BK965" s="8">
        <v>14989.85</v>
      </c>
      <c r="BL965" s="2" t="s">
        <v>3463</v>
      </c>
      <c r="BM965" s="7"/>
      <c r="BN965" s="7"/>
      <c r="BO965" s="4"/>
      <c r="BP965" s="8"/>
      <c r="BQ965" s="4"/>
      <c r="BR965" s="8"/>
      <c r="BS965" s="7"/>
      <c r="BT965" s="7"/>
      <c r="BU965" s="2" t="s">
        <v>207</v>
      </c>
      <c r="BV965" s="2" t="s">
        <v>97</v>
      </c>
      <c r="BW965" s="2" t="s">
        <v>100</v>
      </c>
      <c r="BX965" s="2" t="s">
        <v>100</v>
      </c>
      <c r="BY965" s="2" t="s">
        <v>113</v>
      </c>
      <c r="BZ965" s="2" t="s">
        <v>245</v>
      </c>
    </row>
    <row r="966">
      <c r="A966" s="2" t="s">
        <v>3464</v>
      </c>
      <c r="B966" s="2" t="s">
        <v>87</v>
      </c>
      <c r="C966" s="2" t="s">
        <v>3413</v>
      </c>
      <c r="D966" s="2" t="s">
        <v>803</v>
      </c>
      <c r="E966" s="2" t="s">
        <v>1532</v>
      </c>
      <c r="F966" s="2" t="s">
        <v>3432</v>
      </c>
      <c r="G966" s="2" t="s">
        <v>3433</v>
      </c>
      <c r="H966" s="2" t="s">
        <v>3434</v>
      </c>
      <c r="I966" s="2" t="s">
        <v>3435</v>
      </c>
      <c r="J966" s="2" t="s">
        <v>270</v>
      </c>
      <c r="K966" s="2" t="s">
        <v>278</v>
      </c>
      <c r="L966" s="3">
        <v>33.33</v>
      </c>
      <c r="M966" s="3">
        <v>35</v>
      </c>
      <c r="N966" s="3">
        <v>59.99</v>
      </c>
      <c r="O966" s="2" t="s">
        <v>97</v>
      </c>
      <c r="P966" s="2" t="s">
        <v>98</v>
      </c>
      <c r="Q966" s="2" t="s">
        <v>99</v>
      </c>
      <c r="R966" s="2" t="s">
        <v>100</v>
      </c>
      <c r="S966" s="2" t="s">
        <v>3461</v>
      </c>
      <c r="T966" s="2" t="s">
        <v>218</v>
      </c>
      <c r="U966" s="2" t="s">
        <v>480</v>
      </c>
      <c r="V966" s="2" t="s">
        <v>350</v>
      </c>
      <c r="W966" s="2" t="s">
        <v>561</v>
      </c>
      <c r="X966" s="2" t="s">
        <v>183</v>
      </c>
      <c r="Y966" s="2" t="s">
        <v>528</v>
      </c>
      <c r="Z966" s="4">
        <v>819</v>
      </c>
      <c r="AA966" s="4">
        <f>=ROUNDDOWN(32.76,0)</f>
      </c>
      <c r="AB966" s="5">
        <v>25</v>
      </c>
      <c r="AC966" s="2" t="s">
        <v>562</v>
      </c>
      <c r="AD966" s="4">
        <v>630</v>
      </c>
      <c r="AE966" s="4">
        <v>630</v>
      </c>
      <c r="AF966" s="6">
        <v>63</v>
      </c>
      <c r="AG966" s="6">
        <v>46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/>
      <c r="BJ966" s="4">
        <v>348</v>
      </c>
      <c r="BK966" s="8">
        <v>12306.9</v>
      </c>
      <c r="BL966" s="2" t="s">
        <v>3453</v>
      </c>
      <c r="BM966" s="7"/>
      <c r="BN966" s="7"/>
      <c r="BO966" s="4"/>
      <c r="BP966" s="8"/>
      <c r="BQ966" s="4"/>
      <c r="BR966" s="8"/>
      <c r="BS966" s="7"/>
      <c r="BT966" s="7"/>
      <c r="BU966" s="2" t="s">
        <v>207</v>
      </c>
      <c r="BV966" s="2" t="s">
        <v>97</v>
      </c>
      <c r="BW966" s="2" t="s">
        <v>100</v>
      </c>
      <c r="BX966" s="2" t="s">
        <v>100</v>
      </c>
      <c r="BY966" s="2" t="s">
        <v>113</v>
      </c>
      <c r="BZ966" s="2" t="s">
        <v>245</v>
      </c>
    </row>
    <row r="967">
      <c r="A967" s="2" t="s">
        <v>3465</v>
      </c>
      <c r="B967" s="2" t="s">
        <v>87</v>
      </c>
      <c r="C967" s="2" t="s">
        <v>3413</v>
      </c>
      <c r="D967" s="2" t="s">
        <v>803</v>
      </c>
      <c r="E967" s="2" t="s">
        <v>1532</v>
      </c>
      <c r="F967" s="2" t="s">
        <v>3432</v>
      </c>
      <c r="G967" s="2" t="s">
        <v>3433</v>
      </c>
      <c r="H967" s="2" t="s">
        <v>3434</v>
      </c>
      <c r="I967" s="2" t="s">
        <v>3435</v>
      </c>
      <c r="J967" s="2" t="s">
        <v>237</v>
      </c>
      <c r="K967" s="2" t="s">
        <v>878</v>
      </c>
      <c r="L967" s="3">
        <v>23.8</v>
      </c>
      <c r="M967" s="3">
        <v>24.99</v>
      </c>
      <c r="N967" s="3">
        <v>44.99</v>
      </c>
      <c r="O967" s="2" t="s">
        <v>97</v>
      </c>
      <c r="P967" s="2" t="s">
        <v>119</v>
      </c>
      <c r="Q967" s="2" t="s">
        <v>99</v>
      </c>
      <c r="R967" s="2" t="s">
        <v>100</v>
      </c>
      <c r="S967" s="2" t="s">
        <v>3466</v>
      </c>
      <c r="T967" s="2" t="s">
        <v>218</v>
      </c>
      <c r="U967" s="2" t="s">
        <v>514</v>
      </c>
      <c r="V967" s="2" t="s">
        <v>350</v>
      </c>
      <c r="W967" s="2" t="s">
        <v>561</v>
      </c>
      <c r="X967" s="2" t="s">
        <v>183</v>
      </c>
      <c r="Y967" s="2" t="s">
        <v>528</v>
      </c>
      <c r="Z967" s="4">
        <v>130</v>
      </c>
      <c r="AA967" s="4">
        <f>=ROUNDDOWN(23.2142857142857,0)</f>
      </c>
      <c r="AB967" s="5">
        <v>5.6</v>
      </c>
      <c r="AC967" s="2" t="s">
        <v>562</v>
      </c>
      <c r="AD967" s="4">
        <v>330</v>
      </c>
      <c r="AE967" s="4">
        <v>630</v>
      </c>
      <c r="AF967" s="6">
        <v>63</v>
      </c>
      <c r="AG967" s="6">
        <v>46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/>
      <c r="BJ967" s="4">
        <v>68</v>
      </c>
      <c r="BK967" s="8">
        <v>1640.04</v>
      </c>
      <c r="BL967" s="2" t="s">
        <v>3467</v>
      </c>
      <c r="BM967" s="7"/>
      <c r="BN967" s="7"/>
      <c r="BO967" s="4"/>
      <c r="BP967" s="8"/>
      <c r="BQ967" s="4"/>
      <c r="BR967" s="8"/>
      <c r="BS967" s="7"/>
      <c r="BT967" s="7"/>
      <c r="BU967" s="2" t="s">
        <v>207</v>
      </c>
      <c r="BV967" s="2" t="s">
        <v>97</v>
      </c>
      <c r="BW967" s="2" t="s">
        <v>100</v>
      </c>
      <c r="BX967" s="2" t="s">
        <v>100</v>
      </c>
      <c r="BY967" s="2" t="s">
        <v>113</v>
      </c>
      <c r="BZ967" s="2" t="s">
        <v>245</v>
      </c>
    </row>
    <row r="968">
      <c r="A968" s="2" t="s">
        <v>3468</v>
      </c>
      <c r="B968" s="2" t="s">
        <v>87</v>
      </c>
      <c r="C968" s="2" t="s">
        <v>3413</v>
      </c>
      <c r="D968" s="2" t="s">
        <v>803</v>
      </c>
      <c r="E968" s="2" t="s">
        <v>1532</v>
      </c>
      <c r="F968" s="2" t="s">
        <v>3432</v>
      </c>
      <c r="G968" s="2" t="s">
        <v>3433</v>
      </c>
      <c r="H968" s="2" t="s">
        <v>3434</v>
      </c>
      <c r="I968" s="2" t="s">
        <v>3435</v>
      </c>
      <c r="J968" s="2" t="s">
        <v>247</v>
      </c>
      <c r="K968" s="2" t="s">
        <v>878</v>
      </c>
      <c r="L968" s="3">
        <v>30.95</v>
      </c>
      <c r="M968" s="3">
        <v>32.5</v>
      </c>
      <c r="N968" s="3">
        <v>54.99</v>
      </c>
      <c r="O968" s="2" t="s">
        <v>97</v>
      </c>
      <c r="P968" s="2" t="s">
        <v>119</v>
      </c>
      <c r="Q968" s="2" t="s">
        <v>99</v>
      </c>
      <c r="R968" s="2" t="s">
        <v>100</v>
      </c>
      <c r="S968" s="2" t="s">
        <v>3466</v>
      </c>
      <c r="T968" s="2" t="s">
        <v>218</v>
      </c>
      <c r="U968" s="2" t="s">
        <v>480</v>
      </c>
      <c r="V968" s="2" t="s">
        <v>350</v>
      </c>
      <c r="W968" s="2" t="s">
        <v>561</v>
      </c>
      <c r="X968" s="2" t="s">
        <v>183</v>
      </c>
      <c r="Y968" s="2" t="s">
        <v>528</v>
      </c>
      <c r="Z968" s="4">
        <v>656</v>
      </c>
      <c r="AA968" s="4">
        <f>=ROUNDDOWN(34.8936170212766,0)</f>
      </c>
      <c r="AB968" s="5">
        <v>18.8</v>
      </c>
      <c r="AC968" s="2" t="s">
        <v>562</v>
      </c>
      <c r="AD968" s="4">
        <v>360</v>
      </c>
      <c r="AE968" s="4">
        <v>760</v>
      </c>
      <c r="AF968" s="6">
        <v>63</v>
      </c>
      <c r="AG968" s="6">
        <v>46</v>
      </c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/>
      <c r="BJ968" s="4">
        <v>237</v>
      </c>
      <c r="BK968" s="8">
        <v>7683.38</v>
      </c>
      <c r="BL968" s="2" t="s">
        <v>3469</v>
      </c>
      <c r="BM968" s="7"/>
      <c r="BN968" s="7"/>
      <c r="BO968" s="4"/>
      <c r="BP968" s="8"/>
      <c r="BQ968" s="4"/>
      <c r="BR968" s="8"/>
      <c r="BS968" s="7"/>
      <c r="BT968" s="7"/>
      <c r="BU968" s="2" t="s">
        <v>207</v>
      </c>
      <c r="BV968" s="2" t="s">
        <v>97</v>
      </c>
      <c r="BW968" s="2" t="s">
        <v>100</v>
      </c>
      <c r="BX968" s="2" t="s">
        <v>100</v>
      </c>
      <c r="BY968" s="2" t="s">
        <v>113</v>
      </c>
      <c r="BZ968" s="2" t="s">
        <v>245</v>
      </c>
    </row>
    <row r="969">
      <c r="A969" s="2" t="s">
        <v>3470</v>
      </c>
      <c r="B969" s="2" t="s">
        <v>87</v>
      </c>
      <c r="C969" s="2" t="s">
        <v>3413</v>
      </c>
      <c r="D969" s="2" t="s">
        <v>803</v>
      </c>
      <c r="E969" s="2" t="s">
        <v>1532</v>
      </c>
      <c r="F969" s="2" t="s">
        <v>3432</v>
      </c>
      <c r="G969" s="2" t="s">
        <v>3433</v>
      </c>
      <c r="H969" s="2" t="s">
        <v>3434</v>
      </c>
      <c r="I969" s="2" t="s">
        <v>3435</v>
      </c>
      <c r="J969" s="2" t="s">
        <v>270</v>
      </c>
      <c r="K969" s="2" t="s">
        <v>878</v>
      </c>
      <c r="L969" s="3">
        <v>33.33</v>
      </c>
      <c r="M969" s="3">
        <v>35</v>
      </c>
      <c r="N969" s="3">
        <v>59.99</v>
      </c>
      <c r="O969" s="2" t="s">
        <v>97</v>
      </c>
      <c r="P969" s="2" t="s">
        <v>119</v>
      </c>
      <c r="Q969" s="2" t="s">
        <v>99</v>
      </c>
      <c r="R969" s="2" t="s">
        <v>100</v>
      </c>
      <c r="S969" s="2" t="s">
        <v>3466</v>
      </c>
      <c r="T969" s="2" t="s">
        <v>218</v>
      </c>
      <c r="U969" s="2" t="s">
        <v>480</v>
      </c>
      <c r="V969" s="2" t="s">
        <v>350</v>
      </c>
      <c r="W969" s="2" t="s">
        <v>561</v>
      </c>
      <c r="X969" s="2" t="s">
        <v>183</v>
      </c>
      <c r="Y969" s="2" t="s">
        <v>528</v>
      </c>
      <c r="Z969" s="4">
        <v>452</v>
      </c>
      <c r="AA969" s="4">
        <f>=ROUNDDOWN(23.298969072165,0)</f>
      </c>
      <c r="AB969" s="5">
        <v>19.4</v>
      </c>
      <c r="AC969" s="2" t="s">
        <v>562</v>
      </c>
      <c r="AD969" s="4">
        <v>300</v>
      </c>
      <c r="AE969" s="4">
        <v>600</v>
      </c>
      <c r="AF969" s="6">
        <v>63</v>
      </c>
      <c r="AG969" s="6">
        <v>46</v>
      </c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/>
      <c r="BJ969" s="4">
        <v>250</v>
      </c>
      <c r="BK969" s="8">
        <v>8802.09</v>
      </c>
      <c r="BL969" s="2" t="s">
        <v>3471</v>
      </c>
      <c r="BM969" s="7"/>
      <c r="BN969" s="7"/>
      <c r="BO969" s="4"/>
      <c r="BP969" s="8"/>
      <c r="BQ969" s="4"/>
      <c r="BR969" s="8"/>
      <c r="BS969" s="7"/>
      <c r="BT969" s="7"/>
      <c r="BU969" s="2" t="s">
        <v>207</v>
      </c>
      <c r="BV969" s="2" t="s">
        <v>97</v>
      </c>
      <c r="BW969" s="2" t="s">
        <v>100</v>
      </c>
      <c r="BX969" s="2" t="s">
        <v>100</v>
      </c>
      <c r="BY969" s="2" t="s">
        <v>113</v>
      </c>
      <c r="BZ969" s="2" t="s">
        <v>245</v>
      </c>
    </row>
    <row r="970">
      <c r="A970" s="2" t="s">
        <v>3472</v>
      </c>
      <c r="B970" s="2" t="s">
        <v>87</v>
      </c>
      <c r="C970" s="2" t="s">
        <v>3413</v>
      </c>
      <c r="D970" s="2" t="s">
        <v>803</v>
      </c>
      <c r="E970" s="2" t="s">
        <v>1532</v>
      </c>
      <c r="F970" s="2" t="s">
        <v>3473</v>
      </c>
      <c r="G970" s="2" t="s">
        <v>2544</v>
      </c>
      <c r="H970" s="2" t="s">
        <v>3474</v>
      </c>
      <c r="I970" s="2" t="s">
        <v>3475</v>
      </c>
      <c r="J970" s="2" t="s">
        <v>237</v>
      </c>
      <c r="K970" s="2" t="s">
        <v>198</v>
      </c>
      <c r="L970" s="3">
        <v>19.04</v>
      </c>
      <c r="M970" s="3">
        <v>19.99</v>
      </c>
      <c r="N970" s="3">
        <v>39.99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3476</v>
      </c>
      <c r="T970" s="2" t="s">
        <v>218</v>
      </c>
      <c r="U970" s="2" t="s">
        <v>514</v>
      </c>
      <c r="V970" s="2" t="s">
        <v>2661</v>
      </c>
      <c r="W970" s="2" t="s">
        <v>561</v>
      </c>
      <c r="X970" s="2" t="s">
        <v>100</v>
      </c>
      <c r="Y970" s="2" t="s">
        <v>3437</v>
      </c>
      <c r="Z970" s="4">
        <v>351</v>
      </c>
      <c r="AA970" s="4">
        <f>=ROUNDDOWN(23.4,0)</f>
      </c>
      <c r="AB970" s="5">
        <v>15</v>
      </c>
      <c r="AC970" s="2" t="s">
        <v>562</v>
      </c>
      <c r="AD970" s="4">
        <v>960</v>
      </c>
      <c r="AE970" s="4">
        <v>960</v>
      </c>
      <c r="AF970" s="6">
        <v>63</v>
      </c>
      <c r="AG970" s="6">
        <v>46</v>
      </c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/>
      <c r="BJ970" s="4">
        <v>371</v>
      </c>
      <c r="BK970" s="8">
        <v>7508.08</v>
      </c>
      <c r="BL970" s="2" t="s">
        <v>3441</v>
      </c>
      <c r="BM970" s="7"/>
      <c r="BN970" s="7"/>
      <c r="BO970" s="4"/>
      <c r="BP970" s="8"/>
      <c r="BQ970" s="4"/>
      <c r="BR970" s="8"/>
      <c r="BS970" s="7"/>
      <c r="BT970" s="7"/>
      <c r="BU970" s="2" t="s">
        <v>207</v>
      </c>
      <c r="BV970" s="2" t="s">
        <v>97</v>
      </c>
      <c r="BW970" s="2" t="s">
        <v>100</v>
      </c>
      <c r="BX970" s="2" t="s">
        <v>100</v>
      </c>
      <c r="BY970" s="2" t="s">
        <v>113</v>
      </c>
      <c r="BZ970" s="2" t="s">
        <v>245</v>
      </c>
    </row>
    <row r="971">
      <c r="A971" s="2" t="s">
        <v>3477</v>
      </c>
      <c r="B971" s="2" t="s">
        <v>87</v>
      </c>
      <c r="C971" s="2" t="s">
        <v>3413</v>
      </c>
      <c r="D971" s="2" t="s">
        <v>803</v>
      </c>
      <c r="E971" s="2" t="s">
        <v>1532</v>
      </c>
      <c r="F971" s="2" t="s">
        <v>3473</v>
      </c>
      <c r="G971" s="2" t="s">
        <v>2544</v>
      </c>
      <c r="H971" s="2" t="s">
        <v>3474</v>
      </c>
      <c r="I971" s="2" t="s">
        <v>3475</v>
      </c>
      <c r="J971" s="2" t="s">
        <v>247</v>
      </c>
      <c r="K971" s="2" t="s">
        <v>198</v>
      </c>
      <c r="L971" s="3">
        <v>21.42</v>
      </c>
      <c r="M971" s="3">
        <v>22.49</v>
      </c>
      <c r="N971" s="3">
        <v>44.99</v>
      </c>
      <c r="O971" s="2" t="s">
        <v>97</v>
      </c>
      <c r="P971" s="2" t="s">
        <v>98</v>
      </c>
      <c r="Q971" s="2" t="s">
        <v>99</v>
      </c>
      <c r="R971" s="2" t="s">
        <v>100</v>
      </c>
      <c r="S971" s="2" t="s">
        <v>3476</v>
      </c>
      <c r="T971" s="2" t="s">
        <v>218</v>
      </c>
      <c r="U971" s="2" t="s">
        <v>480</v>
      </c>
      <c r="V971" s="2" t="s">
        <v>2661</v>
      </c>
      <c r="W971" s="2" t="s">
        <v>561</v>
      </c>
      <c r="X971" s="2" t="s">
        <v>100</v>
      </c>
      <c r="Y971" s="2" t="s">
        <v>3437</v>
      </c>
      <c r="Z971" s="4">
        <v>1394</v>
      </c>
      <c r="AA971" s="4">
        <f>=ROUNDDOWN(43.5625,0)</f>
      </c>
      <c r="AB971" s="5">
        <v>32</v>
      </c>
      <c r="AC971" s="2" t="s">
        <v>562</v>
      </c>
      <c r="AD971" s="4">
        <v>1350</v>
      </c>
      <c r="AE971" s="4">
        <v>1350</v>
      </c>
      <c r="AF971" s="6">
        <v>63</v>
      </c>
      <c r="AG971" s="6">
        <v>46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/>
      <c r="BJ971" s="4">
        <v>797</v>
      </c>
      <c r="BK971" s="8">
        <v>18721.17</v>
      </c>
      <c r="BL971" s="2" t="s">
        <v>3441</v>
      </c>
      <c r="BM971" s="7"/>
      <c r="BN971" s="7"/>
      <c r="BO971" s="4"/>
      <c r="BP971" s="8"/>
      <c r="BQ971" s="4"/>
      <c r="BR971" s="8"/>
      <c r="BS971" s="7"/>
      <c r="BT971" s="7"/>
      <c r="BU971" s="2" t="s">
        <v>207</v>
      </c>
      <c r="BV971" s="2" t="s">
        <v>97</v>
      </c>
      <c r="BW971" s="2" t="s">
        <v>100</v>
      </c>
      <c r="BX971" s="2" t="s">
        <v>100</v>
      </c>
      <c r="BY971" s="2" t="s">
        <v>113</v>
      </c>
      <c r="BZ971" s="2" t="s">
        <v>245</v>
      </c>
    </row>
    <row r="972">
      <c r="A972" s="2" t="s">
        <v>3478</v>
      </c>
      <c r="B972" s="2" t="s">
        <v>87</v>
      </c>
      <c r="C972" s="2" t="s">
        <v>3413</v>
      </c>
      <c r="D972" s="2" t="s">
        <v>803</v>
      </c>
      <c r="E972" s="2" t="s">
        <v>1532</v>
      </c>
      <c r="F972" s="2" t="s">
        <v>3473</v>
      </c>
      <c r="G972" s="2" t="s">
        <v>2544</v>
      </c>
      <c r="H972" s="2" t="s">
        <v>3474</v>
      </c>
      <c r="I972" s="2" t="s">
        <v>3475</v>
      </c>
      <c r="J972" s="2" t="s">
        <v>270</v>
      </c>
      <c r="K972" s="2" t="s">
        <v>198</v>
      </c>
      <c r="L972" s="3">
        <v>26.19</v>
      </c>
      <c r="M972" s="3">
        <v>27.5</v>
      </c>
      <c r="N972" s="3">
        <v>54.99</v>
      </c>
      <c r="O972" s="2" t="s">
        <v>97</v>
      </c>
      <c r="P972" s="2" t="s">
        <v>98</v>
      </c>
      <c r="Q972" s="2" t="s">
        <v>99</v>
      </c>
      <c r="R972" s="2" t="s">
        <v>100</v>
      </c>
      <c r="S972" s="2" t="s">
        <v>3476</v>
      </c>
      <c r="T972" s="2" t="s">
        <v>218</v>
      </c>
      <c r="U972" s="2" t="s">
        <v>480</v>
      </c>
      <c r="V972" s="2" t="s">
        <v>2661</v>
      </c>
      <c r="W972" s="2" t="s">
        <v>561</v>
      </c>
      <c r="X972" s="2" t="s">
        <v>100</v>
      </c>
      <c r="Y972" s="2" t="s">
        <v>3479</v>
      </c>
      <c r="Z972" s="4">
        <v>1771</v>
      </c>
      <c r="AA972" s="4">
        <f>=ROUNDDOWN(65.5925925925926,0)</f>
      </c>
      <c r="AB972" s="5">
        <v>27</v>
      </c>
      <c r="AC972" s="2" t="s">
        <v>562</v>
      </c>
      <c r="AD972" s="4">
        <v>210</v>
      </c>
      <c r="AE972" s="4">
        <v>210</v>
      </c>
      <c r="AF972" s="6">
        <v>63</v>
      </c>
      <c r="AG972" s="6">
        <v>46</v>
      </c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/>
      <c r="BJ972" s="4">
        <v>563</v>
      </c>
      <c r="BK972" s="8">
        <v>15296.42</v>
      </c>
      <c r="BL972" s="2" t="s">
        <v>3441</v>
      </c>
      <c r="BM972" s="7"/>
      <c r="BN972" s="7"/>
      <c r="BO972" s="4"/>
      <c r="BP972" s="8"/>
      <c r="BQ972" s="4"/>
      <c r="BR972" s="8"/>
      <c r="BS972" s="7"/>
      <c r="BT972" s="7"/>
      <c r="BU972" s="2" t="s">
        <v>207</v>
      </c>
      <c r="BV972" s="2" t="s">
        <v>97</v>
      </c>
      <c r="BW972" s="2" t="s">
        <v>100</v>
      </c>
      <c r="BX972" s="2" t="s">
        <v>100</v>
      </c>
      <c r="BY972" s="2" t="s">
        <v>113</v>
      </c>
      <c r="BZ972" s="2" t="s">
        <v>245</v>
      </c>
    </row>
    <row r="973">
      <c r="A973" s="2" t="s">
        <v>3480</v>
      </c>
      <c r="B973" s="2" t="s">
        <v>87</v>
      </c>
      <c r="C973" s="2" t="s">
        <v>3413</v>
      </c>
      <c r="D973" s="2" t="s">
        <v>803</v>
      </c>
      <c r="E973" s="2" t="s">
        <v>1532</v>
      </c>
      <c r="F973" s="2" t="s">
        <v>3473</v>
      </c>
      <c r="G973" s="2" t="s">
        <v>2544</v>
      </c>
      <c r="H973" s="2" t="s">
        <v>3474</v>
      </c>
      <c r="I973" s="2" t="s">
        <v>3475</v>
      </c>
      <c r="J973" s="2" t="s">
        <v>237</v>
      </c>
      <c r="K973" s="2" t="s">
        <v>360</v>
      </c>
      <c r="L973" s="3">
        <v>19.04</v>
      </c>
      <c r="M973" s="3">
        <v>19.99</v>
      </c>
      <c r="N973" s="3">
        <v>39.99</v>
      </c>
      <c r="O973" s="2" t="s">
        <v>97</v>
      </c>
      <c r="P973" s="2" t="s">
        <v>98</v>
      </c>
      <c r="Q973" s="2" t="s">
        <v>99</v>
      </c>
      <c r="R973" s="2" t="s">
        <v>100</v>
      </c>
      <c r="S973" s="2" t="s">
        <v>3481</v>
      </c>
      <c r="T973" s="2" t="s">
        <v>218</v>
      </c>
      <c r="U973" s="2" t="s">
        <v>514</v>
      </c>
      <c r="V973" s="2" t="s">
        <v>2661</v>
      </c>
      <c r="W973" s="2" t="s">
        <v>561</v>
      </c>
      <c r="X973" s="2" t="s">
        <v>100</v>
      </c>
      <c r="Y973" s="2" t="s">
        <v>3437</v>
      </c>
      <c r="Z973" s="4">
        <v>614</v>
      </c>
      <c r="AA973" s="4">
        <f>=ROUNDDOWN(24.56,0)</f>
      </c>
      <c r="AB973" s="5">
        <v>25</v>
      </c>
      <c r="AC973" s="2" t="s">
        <v>271</v>
      </c>
      <c r="AD973" s="4">
        <v>180</v>
      </c>
      <c r="AE973" s="4">
        <v>750</v>
      </c>
      <c r="AF973" s="6">
        <v>63</v>
      </c>
      <c r="AG973" s="6">
        <v>46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/>
      <c r="BJ973" s="4">
        <v>540</v>
      </c>
      <c r="BK973" s="8">
        <v>10683.61</v>
      </c>
      <c r="BL973" s="2" t="s">
        <v>3444</v>
      </c>
      <c r="BM973" s="7"/>
      <c r="BN973" s="7"/>
      <c r="BO973" s="4"/>
      <c r="BP973" s="8"/>
      <c r="BQ973" s="4"/>
      <c r="BR973" s="8"/>
      <c r="BS973" s="7"/>
      <c r="BT973" s="7"/>
      <c r="BU973" s="2" t="s">
        <v>207</v>
      </c>
      <c r="BV973" s="2" t="s">
        <v>97</v>
      </c>
      <c r="BW973" s="2" t="s">
        <v>100</v>
      </c>
      <c r="BX973" s="2" t="s">
        <v>100</v>
      </c>
      <c r="BY973" s="2" t="s">
        <v>113</v>
      </c>
      <c r="BZ973" s="2" t="s">
        <v>245</v>
      </c>
    </row>
    <row r="974">
      <c r="A974" s="2" t="s">
        <v>3482</v>
      </c>
      <c r="B974" s="2" t="s">
        <v>87</v>
      </c>
      <c r="C974" s="2" t="s">
        <v>3413</v>
      </c>
      <c r="D974" s="2" t="s">
        <v>803</v>
      </c>
      <c r="E974" s="2" t="s">
        <v>1532</v>
      </c>
      <c r="F974" s="2" t="s">
        <v>3473</v>
      </c>
      <c r="G974" s="2" t="s">
        <v>2544</v>
      </c>
      <c r="H974" s="2" t="s">
        <v>3474</v>
      </c>
      <c r="I974" s="2" t="s">
        <v>3475</v>
      </c>
      <c r="J974" s="2" t="s">
        <v>247</v>
      </c>
      <c r="K974" s="2" t="s">
        <v>360</v>
      </c>
      <c r="L974" s="3">
        <v>21.42</v>
      </c>
      <c r="M974" s="3">
        <v>22.49</v>
      </c>
      <c r="N974" s="3">
        <v>44.99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3481</v>
      </c>
      <c r="T974" s="2" t="s">
        <v>218</v>
      </c>
      <c r="U974" s="2" t="s">
        <v>480</v>
      </c>
      <c r="V974" s="2" t="s">
        <v>2661</v>
      </c>
      <c r="W974" s="2" t="s">
        <v>561</v>
      </c>
      <c r="X974" s="2" t="s">
        <v>100</v>
      </c>
      <c r="Y974" s="2" t="s">
        <v>3437</v>
      </c>
      <c r="Z974" s="4">
        <v>2343</v>
      </c>
      <c r="AA974" s="4">
        <f>=ROUNDDOWN(44.2075471698113,0)</f>
      </c>
      <c r="AB974" s="5">
        <v>53</v>
      </c>
      <c r="AC974" s="2" t="s">
        <v>100</v>
      </c>
      <c r="AD974" s="4"/>
      <c r="AE974" s="4"/>
      <c r="AF974" s="6">
        <v>63</v>
      </c>
      <c r="AG974" s="6">
        <v>46</v>
      </c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/>
      <c r="BJ974" s="4">
        <v>823</v>
      </c>
      <c r="BK974" s="8">
        <v>18922.29</v>
      </c>
      <c r="BL974" s="2" t="s">
        <v>3441</v>
      </c>
      <c r="BM974" s="7"/>
      <c r="BN974" s="7"/>
      <c r="BO974" s="4"/>
      <c r="BP974" s="8"/>
      <c r="BQ974" s="4"/>
      <c r="BR974" s="8"/>
      <c r="BS974" s="7"/>
      <c r="BT974" s="7"/>
      <c r="BU974" s="2" t="s">
        <v>207</v>
      </c>
      <c r="BV974" s="2" t="s">
        <v>97</v>
      </c>
      <c r="BW974" s="2" t="s">
        <v>100</v>
      </c>
      <c r="BX974" s="2" t="s">
        <v>100</v>
      </c>
      <c r="BY974" s="2" t="s">
        <v>113</v>
      </c>
      <c r="BZ974" s="2" t="s">
        <v>245</v>
      </c>
    </row>
    <row r="975">
      <c r="A975" s="2" t="s">
        <v>3483</v>
      </c>
      <c r="B975" s="2" t="s">
        <v>87</v>
      </c>
      <c r="C975" s="2" t="s">
        <v>3413</v>
      </c>
      <c r="D975" s="2" t="s">
        <v>803</v>
      </c>
      <c r="E975" s="2" t="s">
        <v>1532</v>
      </c>
      <c r="F975" s="2" t="s">
        <v>3473</v>
      </c>
      <c r="G975" s="2" t="s">
        <v>2544</v>
      </c>
      <c r="H975" s="2" t="s">
        <v>3474</v>
      </c>
      <c r="I975" s="2" t="s">
        <v>3475</v>
      </c>
      <c r="J975" s="2" t="s">
        <v>270</v>
      </c>
      <c r="K975" s="2" t="s">
        <v>360</v>
      </c>
      <c r="L975" s="3">
        <v>26.19</v>
      </c>
      <c r="M975" s="3">
        <v>27.5</v>
      </c>
      <c r="N975" s="3">
        <v>54.99</v>
      </c>
      <c r="O975" s="2" t="s">
        <v>97</v>
      </c>
      <c r="P975" s="2" t="s">
        <v>98</v>
      </c>
      <c r="Q975" s="2" t="s">
        <v>99</v>
      </c>
      <c r="R975" s="2" t="s">
        <v>100</v>
      </c>
      <c r="S975" s="2" t="s">
        <v>3481</v>
      </c>
      <c r="T975" s="2" t="s">
        <v>218</v>
      </c>
      <c r="U975" s="2" t="s">
        <v>480</v>
      </c>
      <c r="V975" s="2" t="s">
        <v>2661</v>
      </c>
      <c r="W975" s="2" t="s">
        <v>561</v>
      </c>
      <c r="X975" s="2" t="s">
        <v>100</v>
      </c>
      <c r="Y975" s="2" t="s">
        <v>3479</v>
      </c>
      <c r="Z975" s="4">
        <v>913</v>
      </c>
      <c r="AA975" s="4">
        <f>=ROUNDDOWN(36.52,0)</f>
      </c>
      <c r="AB975" s="5">
        <v>25</v>
      </c>
      <c r="AC975" s="2" t="s">
        <v>271</v>
      </c>
      <c r="AD975" s="4">
        <v>300</v>
      </c>
      <c r="AE975" s="4">
        <v>750</v>
      </c>
      <c r="AF975" s="6">
        <v>63</v>
      </c>
      <c r="AG975" s="6">
        <v>46</v>
      </c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/>
      <c r="BJ975" s="4">
        <v>541</v>
      </c>
      <c r="BK975" s="8">
        <v>14502.64</v>
      </c>
      <c r="BL975" s="2" t="s">
        <v>3423</v>
      </c>
      <c r="BM975" s="7"/>
      <c r="BN975" s="7"/>
      <c r="BO975" s="4"/>
      <c r="BP975" s="8"/>
      <c r="BQ975" s="4"/>
      <c r="BR975" s="8"/>
      <c r="BS975" s="7"/>
      <c r="BT975" s="7"/>
      <c r="BU975" s="2" t="s">
        <v>207</v>
      </c>
      <c r="BV975" s="2" t="s">
        <v>97</v>
      </c>
      <c r="BW975" s="2" t="s">
        <v>100</v>
      </c>
      <c r="BX975" s="2" t="s">
        <v>100</v>
      </c>
      <c r="BY975" s="2" t="s">
        <v>113</v>
      </c>
      <c r="BZ975" s="2" t="s">
        <v>245</v>
      </c>
    </row>
    <row r="976">
      <c r="A976" s="2" t="s">
        <v>3484</v>
      </c>
      <c r="B976" s="2" t="s">
        <v>87</v>
      </c>
      <c r="C976" s="2" t="s">
        <v>3413</v>
      </c>
      <c r="D976" s="2" t="s">
        <v>803</v>
      </c>
      <c r="E976" s="2" t="s">
        <v>1532</v>
      </c>
      <c r="F976" s="2" t="s">
        <v>3473</v>
      </c>
      <c r="G976" s="2" t="s">
        <v>2544</v>
      </c>
      <c r="H976" s="2" t="s">
        <v>3474</v>
      </c>
      <c r="I976" s="2" t="s">
        <v>3475</v>
      </c>
      <c r="J976" s="2" t="s">
        <v>237</v>
      </c>
      <c r="K976" s="2" t="s">
        <v>209</v>
      </c>
      <c r="L976" s="3">
        <v>19.04</v>
      </c>
      <c r="M976" s="3">
        <v>19.99</v>
      </c>
      <c r="N976" s="3">
        <v>39.99</v>
      </c>
      <c r="O976" s="2" t="s">
        <v>97</v>
      </c>
      <c r="P976" s="2" t="s">
        <v>98</v>
      </c>
      <c r="Q976" s="2" t="s">
        <v>99</v>
      </c>
      <c r="R976" s="2" t="s">
        <v>100</v>
      </c>
      <c r="S976" s="2" t="s">
        <v>3485</v>
      </c>
      <c r="T976" s="2" t="s">
        <v>218</v>
      </c>
      <c r="U976" s="2" t="s">
        <v>514</v>
      </c>
      <c r="V976" s="2" t="s">
        <v>2661</v>
      </c>
      <c r="W976" s="2" t="s">
        <v>561</v>
      </c>
      <c r="X976" s="2" t="s">
        <v>100</v>
      </c>
      <c r="Y976" s="2" t="s">
        <v>3437</v>
      </c>
      <c r="Z976" s="4">
        <v>577</v>
      </c>
      <c r="AA976" s="4">
        <f>=ROUNDDOWN(52.4545454545455,0)</f>
      </c>
      <c r="AB976" s="5">
        <v>11</v>
      </c>
      <c r="AC976" s="2" t="s">
        <v>100</v>
      </c>
      <c r="AD976" s="4"/>
      <c r="AE976" s="4"/>
      <c r="AF976" s="6">
        <v>63</v>
      </c>
      <c r="AG976" s="6">
        <v>46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/>
      <c r="BJ976" s="4">
        <v>279</v>
      </c>
      <c r="BK976" s="8">
        <v>5760.9</v>
      </c>
      <c r="BL976" s="2" t="s">
        <v>3486</v>
      </c>
      <c r="BM976" s="7"/>
      <c r="BN976" s="7"/>
      <c r="BO976" s="4"/>
      <c r="BP976" s="8"/>
      <c r="BQ976" s="4"/>
      <c r="BR976" s="8"/>
      <c r="BS976" s="7"/>
      <c r="BT976" s="7"/>
      <c r="BU976" s="2" t="s">
        <v>207</v>
      </c>
      <c r="BV976" s="2" t="s">
        <v>97</v>
      </c>
      <c r="BW976" s="2" t="s">
        <v>100</v>
      </c>
      <c r="BX976" s="2" t="s">
        <v>100</v>
      </c>
      <c r="BY976" s="2" t="s">
        <v>113</v>
      </c>
      <c r="BZ976" s="2" t="s">
        <v>245</v>
      </c>
    </row>
    <row r="977">
      <c r="A977" s="2" t="s">
        <v>3487</v>
      </c>
      <c r="B977" s="2" t="s">
        <v>87</v>
      </c>
      <c r="C977" s="2" t="s">
        <v>3413</v>
      </c>
      <c r="D977" s="2" t="s">
        <v>803</v>
      </c>
      <c r="E977" s="2" t="s">
        <v>1532</v>
      </c>
      <c r="F977" s="2" t="s">
        <v>3473</v>
      </c>
      <c r="G977" s="2" t="s">
        <v>2544</v>
      </c>
      <c r="H977" s="2" t="s">
        <v>3474</v>
      </c>
      <c r="I977" s="2" t="s">
        <v>3475</v>
      </c>
      <c r="J977" s="2" t="s">
        <v>247</v>
      </c>
      <c r="K977" s="2" t="s">
        <v>209</v>
      </c>
      <c r="L977" s="3">
        <v>21.42</v>
      </c>
      <c r="M977" s="3">
        <v>22.49</v>
      </c>
      <c r="N977" s="3">
        <v>44.99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3485</v>
      </c>
      <c r="T977" s="2" t="s">
        <v>218</v>
      </c>
      <c r="U977" s="2" t="s">
        <v>480</v>
      </c>
      <c r="V977" s="2" t="s">
        <v>2661</v>
      </c>
      <c r="W977" s="2" t="s">
        <v>561</v>
      </c>
      <c r="X977" s="2" t="s">
        <v>100</v>
      </c>
      <c r="Y977" s="2" t="s">
        <v>3437</v>
      </c>
      <c r="Z977" s="4">
        <v>2289</v>
      </c>
      <c r="AA977" s="4">
        <f>=ROUNDDOWN(81.75,0)</f>
      </c>
      <c r="AB977" s="5">
        <v>28</v>
      </c>
      <c r="AC977" s="2" t="s">
        <v>100</v>
      </c>
      <c r="AD977" s="4"/>
      <c r="AE977" s="4"/>
      <c r="AF977" s="6">
        <v>63</v>
      </c>
      <c r="AG977" s="6">
        <v>46</v>
      </c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/>
      <c r="BJ977" s="4">
        <v>677</v>
      </c>
      <c r="BK977" s="8">
        <v>15790</v>
      </c>
      <c r="BL977" s="2" t="s">
        <v>3488</v>
      </c>
      <c r="BM977" s="7"/>
      <c r="BN977" s="7"/>
      <c r="BO977" s="4"/>
      <c r="BP977" s="8"/>
      <c r="BQ977" s="4"/>
      <c r="BR977" s="8"/>
      <c r="BS977" s="7"/>
      <c r="BT977" s="7"/>
      <c r="BU977" s="2" t="s">
        <v>207</v>
      </c>
      <c r="BV977" s="2" t="s">
        <v>97</v>
      </c>
      <c r="BW977" s="2" t="s">
        <v>100</v>
      </c>
      <c r="BX977" s="2" t="s">
        <v>100</v>
      </c>
      <c r="BY977" s="2" t="s">
        <v>113</v>
      </c>
      <c r="BZ977" s="2" t="s">
        <v>245</v>
      </c>
    </row>
    <row r="978">
      <c r="A978" s="2" t="s">
        <v>3489</v>
      </c>
      <c r="B978" s="2" t="s">
        <v>87</v>
      </c>
      <c r="C978" s="2" t="s">
        <v>3413</v>
      </c>
      <c r="D978" s="2" t="s">
        <v>803</v>
      </c>
      <c r="E978" s="2" t="s">
        <v>1532</v>
      </c>
      <c r="F978" s="2" t="s">
        <v>3473</v>
      </c>
      <c r="G978" s="2" t="s">
        <v>2544</v>
      </c>
      <c r="H978" s="2" t="s">
        <v>3474</v>
      </c>
      <c r="I978" s="2" t="s">
        <v>3475</v>
      </c>
      <c r="J978" s="2" t="s">
        <v>270</v>
      </c>
      <c r="K978" s="2" t="s">
        <v>209</v>
      </c>
      <c r="L978" s="3">
        <v>26.19</v>
      </c>
      <c r="M978" s="3">
        <v>27.5</v>
      </c>
      <c r="N978" s="3">
        <v>54.99</v>
      </c>
      <c r="O978" s="2" t="s">
        <v>97</v>
      </c>
      <c r="P978" s="2" t="s">
        <v>98</v>
      </c>
      <c r="Q978" s="2" t="s">
        <v>99</v>
      </c>
      <c r="R978" s="2" t="s">
        <v>100</v>
      </c>
      <c r="S978" s="2" t="s">
        <v>3485</v>
      </c>
      <c r="T978" s="2" t="s">
        <v>218</v>
      </c>
      <c r="U978" s="2" t="s">
        <v>480</v>
      </c>
      <c r="V978" s="2" t="s">
        <v>2661</v>
      </c>
      <c r="W978" s="2" t="s">
        <v>561</v>
      </c>
      <c r="X978" s="2" t="s">
        <v>100</v>
      </c>
      <c r="Y978" s="2" t="s">
        <v>3479</v>
      </c>
      <c r="Z978" s="4">
        <v>1753</v>
      </c>
      <c r="AA978" s="4">
        <f>=ROUNDDOWN(67.4230769230769,0)</f>
      </c>
      <c r="AB978" s="5">
        <v>26</v>
      </c>
      <c r="AC978" s="2" t="s">
        <v>100</v>
      </c>
      <c r="AD978" s="4"/>
      <c r="AE978" s="4"/>
      <c r="AF978" s="6">
        <v>63</v>
      </c>
      <c r="AG978" s="6">
        <v>46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/>
      <c r="BJ978" s="4">
        <v>557</v>
      </c>
      <c r="BK978" s="8">
        <v>15283.09</v>
      </c>
      <c r="BL978" s="2" t="s">
        <v>3490</v>
      </c>
      <c r="BM978" s="7"/>
      <c r="BN978" s="7"/>
      <c r="BO978" s="4"/>
      <c r="BP978" s="8"/>
      <c r="BQ978" s="4"/>
      <c r="BR978" s="8"/>
      <c r="BS978" s="7"/>
      <c r="BT978" s="7"/>
      <c r="BU978" s="2" t="s">
        <v>207</v>
      </c>
      <c r="BV978" s="2" t="s">
        <v>97</v>
      </c>
      <c r="BW978" s="2" t="s">
        <v>100</v>
      </c>
      <c r="BX978" s="2" t="s">
        <v>100</v>
      </c>
      <c r="BY978" s="2" t="s">
        <v>113</v>
      </c>
      <c r="BZ978" s="2" t="s">
        <v>245</v>
      </c>
    </row>
    <row r="979">
      <c r="A979" s="2" t="s">
        <v>3491</v>
      </c>
      <c r="B979" s="2" t="s">
        <v>87</v>
      </c>
      <c r="C979" s="2" t="s">
        <v>3413</v>
      </c>
      <c r="D979" s="2" t="s">
        <v>803</v>
      </c>
      <c r="E979" s="2" t="s">
        <v>1532</v>
      </c>
      <c r="F979" s="2" t="s">
        <v>3473</v>
      </c>
      <c r="G979" s="2" t="s">
        <v>2544</v>
      </c>
      <c r="H979" s="2" t="s">
        <v>3474</v>
      </c>
      <c r="I979" s="2" t="s">
        <v>3475</v>
      </c>
      <c r="J979" s="2" t="s">
        <v>237</v>
      </c>
      <c r="K979" s="2" t="s">
        <v>440</v>
      </c>
      <c r="L979" s="3">
        <v>19.04</v>
      </c>
      <c r="M979" s="3">
        <v>19.99</v>
      </c>
      <c r="N979" s="3">
        <v>39.99</v>
      </c>
      <c r="O979" s="2" t="s">
        <v>97</v>
      </c>
      <c r="P979" s="2" t="s">
        <v>372</v>
      </c>
      <c r="Q979" s="2" t="s">
        <v>99</v>
      </c>
      <c r="R979" s="2" t="s">
        <v>100</v>
      </c>
      <c r="S979" s="2" t="s">
        <v>3492</v>
      </c>
      <c r="T979" s="2" t="s">
        <v>218</v>
      </c>
      <c r="U979" s="2" t="s">
        <v>514</v>
      </c>
      <c r="V979" s="2" t="s">
        <v>2661</v>
      </c>
      <c r="W979" s="2" t="s">
        <v>561</v>
      </c>
      <c r="X979" s="2" t="s">
        <v>100</v>
      </c>
      <c r="Y979" s="2" t="s">
        <v>3437</v>
      </c>
      <c r="Z979" s="4">
        <v>1161</v>
      </c>
      <c r="AA979" s="4">
        <f>=ROUNDDOWN(36.28125,0)</f>
      </c>
      <c r="AB979" s="5">
        <v>32</v>
      </c>
      <c r="AC979" s="2" t="s">
        <v>100</v>
      </c>
      <c r="AD979" s="4"/>
      <c r="AE979" s="4"/>
      <c r="AF979" s="6">
        <v>63</v>
      </c>
      <c r="AG979" s="6">
        <v>46</v>
      </c>
      <c r="AH979" s="7">
        <v>0.984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/>
      <c r="BJ979" s="4">
        <v>939</v>
      </c>
      <c r="BK979" s="8">
        <v>18903.35</v>
      </c>
      <c r="BL979" s="2" t="s">
        <v>3441</v>
      </c>
      <c r="BM979" s="7"/>
      <c r="BN979" s="7"/>
      <c r="BO979" s="4"/>
      <c r="BP979" s="8"/>
      <c r="BQ979" s="4"/>
      <c r="BR979" s="8"/>
      <c r="BS979" s="7"/>
      <c r="BT979" s="7"/>
      <c r="BU979" s="2" t="s">
        <v>207</v>
      </c>
      <c r="BV979" s="2" t="s">
        <v>97</v>
      </c>
      <c r="BW979" s="2" t="s">
        <v>100</v>
      </c>
      <c r="BX979" s="2" t="s">
        <v>100</v>
      </c>
      <c r="BY979" s="2" t="s">
        <v>113</v>
      </c>
      <c r="BZ979" s="2" t="s">
        <v>245</v>
      </c>
    </row>
    <row r="980">
      <c r="A980" s="2" t="s">
        <v>3493</v>
      </c>
      <c r="B980" s="2" t="s">
        <v>87</v>
      </c>
      <c r="C980" s="2" t="s">
        <v>3413</v>
      </c>
      <c r="D980" s="2" t="s">
        <v>803</v>
      </c>
      <c r="E980" s="2" t="s">
        <v>1532</v>
      </c>
      <c r="F980" s="2" t="s">
        <v>3473</v>
      </c>
      <c r="G980" s="2" t="s">
        <v>2544</v>
      </c>
      <c r="H980" s="2" t="s">
        <v>3474</v>
      </c>
      <c r="I980" s="2" t="s">
        <v>3475</v>
      </c>
      <c r="J980" s="2" t="s">
        <v>247</v>
      </c>
      <c r="K980" s="2" t="s">
        <v>440</v>
      </c>
      <c r="L980" s="3">
        <v>21.42</v>
      </c>
      <c r="M980" s="3">
        <v>22.49</v>
      </c>
      <c r="N980" s="3">
        <v>44.99</v>
      </c>
      <c r="O980" s="2" t="s">
        <v>97</v>
      </c>
      <c r="P980" s="2" t="s">
        <v>372</v>
      </c>
      <c r="Q980" s="2" t="s">
        <v>99</v>
      </c>
      <c r="R980" s="2" t="s">
        <v>100</v>
      </c>
      <c r="S980" s="2" t="s">
        <v>3492</v>
      </c>
      <c r="T980" s="2" t="s">
        <v>218</v>
      </c>
      <c r="U980" s="2" t="s">
        <v>480</v>
      </c>
      <c r="V980" s="2" t="s">
        <v>2661</v>
      </c>
      <c r="W980" s="2" t="s">
        <v>561</v>
      </c>
      <c r="X980" s="2" t="s">
        <v>100</v>
      </c>
      <c r="Y980" s="2" t="s">
        <v>3479</v>
      </c>
      <c r="Z980" s="4">
        <v>3829</v>
      </c>
      <c r="AA980" s="4">
        <f>=ROUNDDOWN(37.1747572815534,0)</f>
      </c>
      <c r="AB980" s="5">
        <v>103</v>
      </c>
      <c r="AC980" s="2" t="s">
        <v>100</v>
      </c>
      <c r="AD980" s="4"/>
      <c r="AE980" s="4"/>
      <c r="AF980" s="6">
        <v>63</v>
      </c>
      <c r="AG980" s="6">
        <v>46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/>
      <c r="BJ980" s="4">
        <v>1847</v>
      </c>
      <c r="BK980" s="8">
        <v>43699.93</v>
      </c>
      <c r="BL980" s="2" t="s">
        <v>3441</v>
      </c>
      <c r="BM980" s="7"/>
      <c r="BN980" s="7"/>
      <c r="BO980" s="4"/>
      <c r="BP980" s="8"/>
      <c r="BQ980" s="4"/>
      <c r="BR980" s="8"/>
      <c r="BS980" s="7"/>
      <c r="BT980" s="7"/>
      <c r="BU980" s="2" t="s">
        <v>207</v>
      </c>
      <c r="BV980" s="2" t="s">
        <v>97</v>
      </c>
      <c r="BW980" s="2" t="s">
        <v>100</v>
      </c>
      <c r="BX980" s="2" t="s">
        <v>100</v>
      </c>
      <c r="BY980" s="2" t="s">
        <v>113</v>
      </c>
      <c r="BZ980" s="2" t="s">
        <v>245</v>
      </c>
    </row>
    <row r="981">
      <c r="A981" s="2" t="s">
        <v>3494</v>
      </c>
      <c r="B981" s="2" t="s">
        <v>87</v>
      </c>
      <c r="C981" s="2" t="s">
        <v>3413</v>
      </c>
      <c r="D981" s="2" t="s">
        <v>803</v>
      </c>
      <c r="E981" s="2" t="s">
        <v>1532</v>
      </c>
      <c r="F981" s="2" t="s">
        <v>3473</v>
      </c>
      <c r="G981" s="2" t="s">
        <v>2544</v>
      </c>
      <c r="H981" s="2" t="s">
        <v>3474</v>
      </c>
      <c r="I981" s="2" t="s">
        <v>3475</v>
      </c>
      <c r="J981" s="2" t="s">
        <v>270</v>
      </c>
      <c r="K981" s="2" t="s">
        <v>440</v>
      </c>
      <c r="L981" s="3">
        <v>26.19</v>
      </c>
      <c r="M981" s="3">
        <v>27.5</v>
      </c>
      <c r="N981" s="3">
        <v>54.99</v>
      </c>
      <c r="O981" s="2" t="s">
        <v>97</v>
      </c>
      <c r="P981" s="2" t="s">
        <v>372</v>
      </c>
      <c r="Q981" s="2" t="s">
        <v>99</v>
      </c>
      <c r="R981" s="2" t="s">
        <v>100</v>
      </c>
      <c r="S981" s="2" t="s">
        <v>3492</v>
      </c>
      <c r="T981" s="2" t="s">
        <v>218</v>
      </c>
      <c r="U981" s="2" t="s">
        <v>480</v>
      </c>
      <c r="V981" s="2" t="s">
        <v>2661</v>
      </c>
      <c r="W981" s="2" t="s">
        <v>561</v>
      </c>
      <c r="X981" s="2" t="s">
        <v>100</v>
      </c>
      <c r="Y981" s="2" t="s">
        <v>3479</v>
      </c>
      <c r="Z981" s="4">
        <v>1528</v>
      </c>
      <c r="AA981" s="4">
        <f>=ROUNDDOWN(31.8333333333333,0)</f>
      </c>
      <c r="AB981" s="5">
        <v>48</v>
      </c>
      <c r="AC981" s="2" t="s">
        <v>1191</v>
      </c>
      <c r="AD981" s="4">
        <v>240</v>
      </c>
      <c r="AE981" s="4">
        <v>240</v>
      </c>
      <c r="AF981" s="6">
        <v>63</v>
      </c>
      <c r="AG981" s="6">
        <v>46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/>
      <c r="BJ981" s="4">
        <v>1018</v>
      </c>
      <c r="BK981" s="8">
        <v>27844.54</v>
      </c>
      <c r="BL981" s="2" t="s">
        <v>3488</v>
      </c>
      <c r="BM981" s="7"/>
      <c r="BN981" s="7"/>
      <c r="BO981" s="4"/>
      <c r="BP981" s="8"/>
      <c r="BQ981" s="4"/>
      <c r="BR981" s="8"/>
      <c r="BS981" s="7"/>
      <c r="BT981" s="7"/>
      <c r="BU981" s="2" t="s">
        <v>207</v>
      </c>
      <c r="BV981" s="2" t="s">
        <v>97</v>
      </c>
      <c r="BW981" s="2" t="s">
        <v>100</v>
      </c>
      <c r="BX981" s="2" t="s">
        <v>100</v>
      </c>
      <c r="BY981" s="2" t="s">
        <v>113</v>
      </c>
      <c r="BZ981" s="2" t="s">
        <v>245</v>
      </c>
    </row>
    <row r="982">
      <c r="A982" s="2" t="s">
        <v>3495</v>
      </c>
      <c r="B982" s="2" t="s">
        <v>87</v>
      </c>
      <c r="C982" s="2" t="s">
        <v>3413</v>
      </c>
      <c r="D982" s="2" t="s">
        <v>803</v>
      </c>
      <c r="E982" s="2" t="s">
        <v>1532</v>
      </c>
      <c r="F982" s="2" t="s">
        <v>3496</v>
      </c>
      <c r="G982" s="2" t="s">
        <v>3497</v>
      </c>
      <c r="H982" s="2" t="s">
        <v>3498</v>
      </c>
      <c r="I982" s="2" t="s">
        <v>3499</v>
      </c>
      <c r="J982" s="2" t="s">
        <v>237</v>
      </c>
      <c r="K982" s="2" t="s">
        <v>3427</v>
      </c>
      <c r="L982" s="3">
        <v>19.04</v>
      </c>
      <c r="M982" s="3">
        <v>19.99</v>
      </c>
      <c r="N982" s="3">
        <v>39.99</v>
      </c>
      <c r="O982" s="2" t="s">
        <v>97</v>
      </c>
      <c r="P982" s="2" t="s">
        <v>307</v>
      </c>
      <c r="Q982" s="2" t="s">
        <v>99</v>
      </c>
      <c r="R982" s="2" t="s">
        <v>100</v>
      </c>
      <c r="S982" s="2" t="s">
        <v>3500</v>
      </c>
      <c r="T982" s="2" t="s">
        <v>200</v>
      </c>
      <c r="U982" s="2" t="s">
        <v>514</v>
      </c>
      <c r="V982" s="2" t="s">
        <v>256</v>
      </c>
      <c r="W982" s="2" t="s">
        <v>415</v>
      </c>
      <c r="X982" s="2" t="s">
        <v>183</v>
      </c>
      <c r="Y982" s="2" t="s">
        <v>3420</v>
      </c>
      <c r="Z982" s="4">
        <v>782</v>
      </c>
      <c r="AA982" s="4">
        <f>=ROUNDDOWN(35.5454545454545,0)</f>
      </c>
      <c r="AB982" s="5">
        <v>22</v>
      </c>
      <c r="AC982" s="2" t="s">
        <v>356</v>
      </c>
      <c r="AD982" s="4">
        <v>1800</v>
      </c>
      <c r="AE982" s="4">
        <v>2310</v>
      </c>
      <c r="AF982" s="6">
        <v>63</v>
      </c>
      <c r="AG982" s="6">
        <v>46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/>
      <c r="BJ982" s="4">
        <v>550</v>
      </c>
      <c r="BK982" s="8">
        <v>10390.97</v>
      </c>
      <c r="BL982" s="2" t="s">
        <v>3423</v>
      </c>
      <c r="BM982" s="7"/>
      <c r="BN982" s="7"/>
      <c r="BO982" s="4"/>
      <c r="BP982" s="8"/>
      <c r="BQ982" s="4"/>
      <c r="BR982" s="8"/>
      <c r="BS982" s="7"/>
      <c r="BT982" s="7"/>
      <c r="BU982" s="2" t="s">
        <v>2480</v>
      </c>
      <c r="BV982" s="2" t="s">
        <v>97</v>
      </c>
      <c r="BW982" s="2" t="s">
        <v>100</v>
      </c>
      <c r="BX982" s="2" t="s">
        <v>100</v>
      </c>
      <c r="BY982" s="2" t="s">
        <v>113</v>
      </c>
      <c r="BZ982" s="2" t="s">
        <v>245</v>
      </c>
    </row>
    <row r="983">
      <c r="A983" s="2" t="s">
        <v>3501</v>
      </c>
      <c r="B983" s="2" t="s">
        <v>87</v>
      </c>
      <c r="C983" s="2" t="s">
        <v>3413</v>
      </c>
      <c r="D983" s="2" t="s">
        <v>803</v>
      </c>
      <c r="E983" s="2" t="s">
        <v>1532</v>
      </c>
      <c r="F983" s="2" t="s">
        <v>3496</v>
      </c>
      <c r="G983" s="2" t="s">
        <v>3497</v>
      </c>
      <c r="H983" s="2" t="s">
        <v>3498</v>
      </c>
      <c r="I983" s="2" t="s">
        <v>3499</v>
      </c>
      <c r="J983" s="2" t="s">
        <v>247</v>
      </c>
      <c r="K983" s="2" t="s">
        <v>3427</v>
      </c>
      <c r="L983" s="3">
        <v>23.8</v>
      </c>
      <c r="M983" s="3">
        <v>24.99</v>
      </c>
      <c r="N983" s="3">
        <v>49.99</v>
      </c>
      <c r="O983" s="2" t="s">
        <v>97</v>
      </c>
      <c r="P983" s="2" t="s">
        <v>307</v>
      </c>
      <c r="Q983" s="2" t="s">
        <v>99</v>
      </c>
      <c r="R983" s="2" t="s">
        <v>100</v>
      </c>
      <c r="S983" s="2" t="s">
        <v>3500</v>
      </c>
      <c r="T983" s="2" t="s">
        <v>200</v>
      </c>
      <c r="U983" s="2" t="s">
        <v>480</v>
      </c>
      <c r="V983" s="2" t="s">
        <v>256</v>
      </c>
      <c r="W983" s="2" t="s">
        <v>415</v>
      </c>
      <c r="X983" s="2" t="s">
        <v>183</v>
      </c>
      <c r="Y983" s="2" t="s">
        <v>3420</v>
      </c>
      <c r="Z983" s="4">
        <v>1923</v>
      </c>
      <c r="AA983" s="4">
        <f>=ROUNDDOWN(24.0375,0)</f>
      </c>
      <c r="AB983" s="5">
        <v>80</v>
      </c>
      <c r="AC983" s="2" t="s">
        <v>356</v>
      </c>
      <c r="AD983" s="4">
        <v>4320</v>
      </c>
      <c r="AE983" s="4">
        <v>4830</v>
      </c>
      <c r="AF983" s="6">
        <v>63</v>
      </c>
      <c r="AG983" s="6">
        <v>46</v>
      </c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/>
      <c r="BJ983" s="4">
        <v>1362</v>
      </c>
      <c r="BK983" s="8">
        <v>32417.74</v>
      </c>
      <c r="BL983" s="2" t="s">
        <v>3423</v>
      </c>
      <c r="BM983" s="7"/>
      <c r="BN983" s="7"/>
      <c r="BO983" s="4"/>
      <c r="BP983" s="8"/>
      <c r="BQ983" s="4"/>
      <c r="BR983" s="8"/>
      <c r="BS983" s="7"/>
      <c r="BT983" s="7"/>
      <c r="BU983" s="2" t="s">
        <v>2480</v>
      </c>
      <c r="BV983" s="2" t="s">
        <v>97</v>
      </c>
      <c r="BW983" s="2" t="s">
        <v>100</v>
      </c>
      <c r="BX983" s="2" t="s">
        <v>100</v>
      </c>
      <c r="BY983" s="2" t="s">
        <v>113</v>
      </c>
      <c r="BZ983" s="2" t="s">
        <v>245</v>
      </c>
    </row>
    <row r="984">
      <c r="A984" s="2" t="s">
        <v>3502</v>
      </c>
      <c r="B984" s="2" t="s">
        <v>87</v>
      </c>
      <c r="C984" s="2" t="s">
        <v>3413</v>
      </c>
      <c r="D984" s="2" t="s">
        <v>803</v>
      </c>
      <c r="E984" s="2" t="s">
        <v>1532</v>
      </c>
      <c r="F984" s="2" t="s">
        <v>3496</v>
      </c>
      <c r="G984" s="2" t="s">
        <v>3497</v>
      </c>
      <c r="H984" s="2" t="s">
        <v>3498</v>
      </c>
      <c r="I984" s="2" t="s">
        <v>3499</v>
      </c>
      <c r="J984" s="2" t="s">
        <v>270</v>
      </c>
      <c r="K984" s="2" t="s">
        <v>3427</v>
      </c>
      <c r="L984" s="3">
        <v>26.19</v>
      </c>
      <c r="M984" s="3">
        <v>27.5</v>
      </c>
      <c r="N984" s="3">
        <v>54.99</v>
      </c>
      <c r="O984" s="2" t="s">
        <v>97</v>
      </c>
      <c r="P984" s="2" t="s">
        <v>307</v>
      </c>
      <c r="Q984" s="2" t="s">
        <v>99</v>
      </c>
      <c r="R984" s="2" t="s">
        <v>100</v>
      </c>
      <c r="S984" s="2" t="s">
        <v>3500</v>
      </c>
      <c r="T984" s="2" t="s">
        <v>200</v>
      </c>
      <c r="U984" s="2" t="s">
        <v>480</v>
      </c>
      <c r="V984" s="2" t="s">
        <v>256</v>
      </c>
      <c r="W984" s="2" t="s">
        <v>415</v>
      </c>
      <c r="X984" s="2" t="s">
        <v>183</v>
      </c>
      <c r="Y984" s="2" t="s">
        <v>1616</v>
      </c>
      <c r="Z984" s="4">
        <v>1667</v>
      </c>
      <c r="AA984" s="4">
        <f>=ROUNDDOWN(34.7291666666667,0)</f>
      </c>
      <c r="AB984" s="5">
        <v>48</v>
      </c>
      <c r="AC984" s="2" t="s">
        <v>356</v>
      </c>
      <c r="AD984" s="4">
        <v>3960</v>
      </c>
      <c r="AE984" s="4">
        <v>5700</v>
      </c>
      <c r="AF984" s="6">
        <v>63</v>
      </c>
      <c r="AG984" s="6">
        <v>46</v>
      </c>
      <c r="AH984" s="7">
        <v>0.984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/>
      <c r="BJ984" s="4">
        <v>1228</v>
      </c>
      <c r="BK984" s="8">
        <v>32395.64</v>
      </c>
      <c r="BL984" s="2" t="s">
        <v>3423</v>
      </c>
      <c r="BM984" s="7"/>
      <c r="BN984" s="7"/>
      <c r="BO984" s="4"/>
      <c r="BP984" s="8"/>
      <c r="BQ984" s="4"/>
      <c r="BR984" s="8"/>
      <c r="BS984" s="7"/>
      <c r="BT984" s="7"/>
      <c r="BU984" s="2" t="s">
        <v>2480</v>
      </c>
      <c r="BV984" s="2" t="s">
        <v>97</v>
      </c>
      <c r="BW984" s="2" t="s">
        <v>100</v>
      </c>
      <c r="BX984" s="2" t="s">
        <v>100</v>
      </c>
      <c r="BY984" s="2" t="s">
        <v>113</v>
      </c>
      <c r="BZ984" s="2" t="s">
        <v>245</v>
      </c>
    </row>
    <row r="985">
      <c r="A985" s="2" t="s">
        <v>3503</v>
      </c>
      <c r="B985" s="2" t="s">
        <v>87</v>
      </c>
      <c r="C985" s="2" t="s">
        <v>3413</v>
      </c>
      <c r="D985" s="2" t="s">
        <v>803</v>
      </c>
      <c r="E985" s="2" t="s">
        <v>1532</v>
      </c>
      <c r="F985" s="2" t="s">
        <v>3496</v>
      </c>
      <c r="G985" s="2" t="s">
        <v>3497</v>
      </c>
      <c r="H985" s="2" t="s">
        <v>3498</v>
      </c>
      <c r="I985" s="2" t="s">
        <v>3499</v>
      </c>
      <c r="J985" s="2" t="s">
        <v>237</v>
      </c>
      <c r="K985" s="2" t="s">
        <v>3504</v>
      </c>
      <c r="L985" s="3">
        <v>19.04</v>
      </c>
      <c r="M985" s="3">
        <v>19.99</v>
      </c>
      <c r="N985" s="3">
        <v>39.99</v>
      </c>
      <c r="O985" s="2" t="s">
        <v>97</v>
      </c>
      <c r="P985" s="2" t="s">
        <v>307</v>
      </c>
      <c r="Q985" s="2" t="s">
        <v>99</v>
      </c>
      <c r="R985" s="2" t="s">
        <v>100</v>
      </c>
      <c r="S985" s="2" t="s">
        <v>3505</v>
      </c>
      <c r="T985" s="2" t="s">
        <v>200</v>
      </c>
      <c r="U985" s="2" t="s">
        <v>514</v>
      </c>
      <c r="V985" s="2" t="s">
        <v>256</v>
      </c>
      <c r="W985" s="2" t="s">
        <v>415</v>
      </c>
      <c r="X985" s="2" t="s">
        <v>183</v>
      </c>
      <c r="Y985" s="2" t="s">
        <v>3420</v>
      </c>
      <c r="Z985" s="4">
        <v>399</v>
      </c>
      <c r="AA985" s="4">
        <f>=ROUNDDOWN(33.25,0)</f>
      </c>
      <c r="AB985" s="5">
        <v>12</v>
      </c>
      <c r="AC985" s="2" t="s">
        <v>356</v>
      </c>
      <c r="AD985" s="4">
        <v>540</v>
      </c>
      <c r="AE985" s="4">
        <v>720</v>
      </c>
      <c r="AF985" s="6">
        <v>63</v>
      </c>
      <c r="AG985" s="6">
        <v>46</v>
      </c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/>
      <c r="BJ985" s="4">
        <v>240</v>
      </c>
      <c r="BK985" s="8">
        <v>4592.97</v>
      </c>
      <c r="BL985" s="2" t="s">
        <v>3506</v>
      </c>
      <c r="BM985" s="7"/>
      <c r="BN985" s="7"/>
      <c r="BO985" s="4"/>
      <c r="BP985" s="8"/>
      <c r="BQ985" s="4"/>
      <c r="BR985" s="8"/>
      <c r="BS985" s="7"/>
      <c r="BT985" s="7"/>
      <c r="BU985" s="2" t="s">
        <v>2480</v>
      </c>
      <c r="BV985" s="2" t="s">
        <v>97</v>
      </c>
      <c r="BW985" s="2" t="s">
        <v>100</v>
      </c>
      <c r="BX985" s="2" t="s">
        <v>100</v>
      </c>
      <c r="BY985" s="2" t="s">
        <v>113</v>
      </c>
      <c r="BZ985" s="2" t="s">
        <v>245</v>
      </c>
    </row>
    <row r="986">
      <c r="A986" s="2" t="s">
        <v>3507</v>
      </c>
      <c r="B986" s="2" t="s">
        <v>87</v>
      </c>
      <c r="C986" s="2" t="s">
        <v>3413</v>
      </c>
      <c r="D986" s="2" t="s">
        <v>803</v>
      </c>
      <c r="E986" s="2" t="s">
        <v>1532</v>
      </c>
      <c r="F986" s="2" t="s">
        <v>3496</v>
      </c>
      <c r="G986" s="2" t="s">
        <v>3497</v>
      </c>
      <c r="H986" s="2" t="s">
        <v>3498</v>
      </c>
      <c r="I986" s="2" t="s">
        <v>3499</v>
      </c>
      <c r="J986" s="2" t="s">
        <v>247</v>
      </c>
      <c r="K986" s="2" t="s">
        <v>3504</v>
      </c>
      <c r="L986" s="3">
        <v>23.8</v>
      </c>
      <c r="M986" s="3">
        <v>24.99</v>
      </c>
      <c r="N986" s="3">
        <v>49.99</v>
      </c>
      <c r="O986" s="2" t="s">
        <v>97</v>
      </c>
      <c r="P986" s="2" t="s">
        <v>307</v>
      </c>
      <c r="Q986" s="2" t="s">
        <v>99</v>
      </c>
      <c r="R986" s="2" t="s">
        <v>100</v>
      </c>
      <c r="S986" s="2" t="s">
        <v>3505</v>
      </c>
      <c r="T986" s="2" t="s">
        <v>200</v>
      </c>
      <c r="U986" s="2" t="s">
        <v>480</v>
      </c>
      <c r="V986" s="2" t="s">
        <v>256</v>
      </c>
      <c r="W986" s="2" t="s">
        <v>415</v>
      </c>
      <c r="X986" s="2" t="s">
        <v>183</v>
      </c>
      <c r="Y986" s="2" t="s">
        <v>3420</v>
      </c>
      <c r="Z986" s="4">
        <v>1404</v>
      </c>
      <c r="AA986" s="4">
        <f>=ROUNDDOWN(34.2439024390244,0)</f>
      </c>
      <c r="AB986" s="5">
        <v>41</v>
      </c>
      <c r="AC986" s="2" t="s">
        <v>356</v>
      </c>
      <c r="AD986" s="4">
        <v>3600</v>
      </c>
      <c r="AE986" s="4">
        <v>4380</v>
      </c>
      <c r="AF986" s="6">
        <v>63</v>
      </c>
      <c r="AG986" s="6">
        <v>46</v>
      </c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/>
      <c r="BJ986" s="4">
        <v>775</v>
      </c>
      <c r="BK986" s="8">
        <v>17584.28</v>
      </c>
      <c r="BL986" s="2" t="s">
        <v>3423</v>
      </c>
      <c r="BM986" s="7"/>
      <c r="BN986" s="7"/>
      <c r="BO986" s="4"/>
      <c r="BP986" s="8"/>
      <c r="BQ986" s="4"/>
      <c r="BR986" s="8"/>
      <c r="BS986" s="7"/>
      <c r="BT986" s="7"/>
      <c r="BU986" s="2" t="s">
        <v>2480</v>
      </c>
      <c r="BV986" s="2" t="s">
        <v>97</v>
      </c>
      <c r="BW986" s="2" t="s">
        <v>100</v>
      </c>
      <c r="BX986" s="2" t="s">
        <v>100</v>
      </c>
      <c r="BY986" s="2" t="s">
        <v>113</v>
      </c>
      <c r="BZ986" s="2" t="s">
        <v>245</v>
      </c>
    </row>
    <row r="987">
      <c r="A987" s="2" t="s">
        <v>3508</v>
      </c>
      <c r="B987" s="2" t="s">
        <v>87</v>
      </c>
      <c r="C987" s="2" t="s">
        <v>3413</v>
      </c>
      <c r="D987" s="2" t="s">
        <v>803</v>
      </c>
      <c r="E987" s="2" t="s">
        <v>1532</v>
      </c>
      <c r="F987" s="2" t="s">
        <v>3496</v>
      </c>
      <c r="G987" s="2" t="s">
        <v>3497</v>
      </c>
      <c r="H987" s="2" t="s">
        <v>3498</v>
      </c>
      <c r="I987" s="2" t="s">
        <v>3499</v>
      </c>
      <c r="J987" s="2" t="s">
        <v>270</v>
      </c>
      <c r="K987" s="2" t="s">
        <v>3504</v>
      </c>
      <c r="L987" s="3">
        <v>26.19</v>
      </c>
      <c r="M987" s="3">
        <v>27.5</v>
      </c>
      <c r="N987" s="3">
        <v>54.99</v>
      </c>
      <c r="O987" s="2" t="s">
        <v>97</v>
      </c>
      <c r="P987" s="2" t="s">
        <v>307</v>
      </c>
      <c r="Q987" s="2" t="s">
        <v>99</v>
      </c>
      <c r="R987" s="2" t="s">
        <v>100</v>
      </c>
      <c r="S987" s="2" t="s">
        <v>3505</v>
      </c>
      <c r="T987" s="2" t="s">
        <v>200</v>
      </c>
      <c r="U987" s="2" t="s">
        <v>480</v>
      </c>
      <c r="V987" s="2" t="s">
        <v>256</v>
      </c>
      <c r="W987" s="2" t="s">
        <v>415</v>
      </c>
      <c r="X987" s="2" t="s">
        <v>183</v>
      </c>
      <c r="Y987" s="2" t="s">
        <v>3509</v>
      </c>
      <c r="Z987" s="4">
        <v>1008</v>
      </c>
      <c r="AA987" s="4">
        <f>=ROUNDDOWN(28.8,0)</f>
      </c>
      <c r="AB987" s="5">
        <v>35</v>
      </c>
      <c r="AC987" s="2" t="s">
        <v>356</v>
      </c>
      <c r="AD987" s="4">
        <v>2880</v>
      </c>
      <c r="AE987" s="4">
        <v>3900</v>
      </c>
      <c r="AF987" s="6">
        <v>63</v>
      </c>
      <c r="AG987" s="6">
        <v>46</v>
      </c>
      <c r="AH987" s="7">
        <v>0.8663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/>
      <c r="BJ987" s="4">
        <v>550</v>
      </c>
      <c r="BK987" s="8">
        <v>14459.42</v>
      </c>
      <c r="BL987" s="2" t="s">
        <v>3423</v>
      </c>
      <c r="BM987" s="7"/>
      <c r="BN987" s="7"/>
      <c r="BO987" s="4"/>
      <c r="BP987" s="8"/>
      <c r="BQ987" s="4"/>
      <c r="BR987" s="8"/>
      <c r="BS987" s="7"/>
      <c r="BT987" s="7"/>
      <c r="BU987" s="2" t="s">
        <v>2480</v>
      </c>
      <c r="BV987" s="2" t="s">
        <v>97</v>
      </c>
      <c r="BW987" s="2" t="s">
        <v>100</v>
      </c>
      <c r="BX987" s="2" t="s">
        <v>100</v>
      </c>
      <c r="BY987" s="2" t="s">
        <v>113</v>
      </c>
      <c r="BZ987" s="2" t="s">
        <v>245</v>
      </c>
    </row>
    <row r="988">
      <c r="A988" s="2" t="s">
        <v>3510</v>
      </c>
      <c r="B988" s="2" t="s">
        <v>87</v>
      </c>
      <c r="C988" s="2" t="s">
        <v>3413</v>
      </c>
      <c r="D988" s="2" t="s">
        <v>803</v>
      </c>
      <c r="E988" s="2" t="s">
        <v>1532</v>
      </c>
      <c r="F988" s="2" t="s">
        <v>3511</v>
      </c>
      <c r="G988" s="2" t="s">
        <v>3512</v>
      </c>
      <c r="H988" s="2" t="s">
        <v>3513</v>
      </c>
      <c r="I988" s="2" t="s">
        <v>3514</v>
      </c>
      <c r="J988" s="2" t="s">
        <v>237</v>
      </c>
      <c r="K988" s="2" t="s">
        <v>3515</v>
      </c>
      <c r="L988" s="3">
        <v>21.42</v>
      </c>
      <c r="M988" s="3">
        <v>22.49</v>
      </c>
      <c r="N988" s="3">
        <v>44.99</v>
      </c>
      <c r="O988" s="2" t="s">
        <v>97</v>
      </c>
      <c r="P988" s="2" t="s">
        <v>372</v>
      </c>
      <c r="Q988" s="2" t="s">
        <v>99</v>
      </c>
      <c r="R988" s="2" t="s">
        <v>100</v>
      </c>
      <c r="S988" s="2" t="s">
        <v>3516</v>
      </c>
      <c r="T988" s="2" t="s">
        <v>200</v>
      </c>
      <c r="U988" s="2" t="s">
        <v>514</v>
      </c>
      <c r="V988" s="2" t="s">
        <v>146</v>
      </c>
      <c r="W988" s="2" t="s">
        <v>561</v>
      </c>
      <c r="X988" s="2" t="s">
        <v>100</v>
      </c>
      <c r="Y988" s="2" t="s">
        <v>3437</v>
      </c>
      <c r="Z988" s="4">
        <v>562</v>
      </c>
      <c r="AA988" s="4">
        <f>=ROUNDDOWN(62.4444444444444,0)</f>
      </c>
      <c r="AB988" s="5">
        <v>9</v>
      </c>
      <c r="AC988" s="2" t="s">
        <v>417</v>
      </c>
      <c r="AD988" s="4">
        <v>120</v>
      </c>
      <c r="AE988" s="4">
        <v>600</v>
      </c>
      <c r="AF988" s="6">
        <v>63</v>
      </c>
      <c r="AG988" s="6">
        <v>46</v>
      </c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/>
      <c r="BJ988" s="4">
        <v>393</v>
      </c>
      <c r="BK988" s="8">
        <v>10100.99</v>
      </c>
      <c r="BL988" s="2" t="s">
        <v>3517</v>
      </c>
      <c r="BM988" s="7"/>
      <c r="BN988" s="7"/>
      <c r="BO988" s="4"/>
      <c r="BP988" s="8"/>
      <c r="BQ988" s="4"/>
      <c r="BR988" s="8"/>
      <c r="BS988" s="7"/>
      <c r="BT988" s="7"/>
      <c r="BU988" s="2" t="s">
        <v>207</v>
      </c>
      <c r="BV988" s="2" t="s">
        <v>97</v>
      </c>
      <c r="BW988" s="2" t="s">
        <v>100</v>
      </c>
      <c r="BX988" s="2" t="s">
        <v>100</v>
      </c>
      <c r="BY988" s="2" t="s">
        <v>113</v>
      </c>
      <c r="BZ988" s="2" t="s">
        <v>245</v>
      </c>
    </row>
    <row r="989">
      <c r="A989" s="2" t="s">
        <v>3518</v>
      </c>
      <c r="B989" s="2" t="s">
        <v>87</v>
      </c>
      <c r="C989" s="2" t="s">
        <v>3413</v>
      </c>
      <c r="D989" s="2" t="s">
        <v>803</v>
      </c>
      <c r="E989" s="2" t="s">
        <v>1532</v>
      </c>
      <c r="F989" s="2" t="s">
        <v>3511</v>
      </c>
      <c r="G989" s="2" t="s">
        <v>3512</v>
      </c>
      <c r="H989" s="2" t="s">
        <v>3513</v>
      </c>
      <c r="I989" s="2" t="s">
        <v>3514</v>
      </c>
      <c r="J989" s="2" t="s">
        <v>247</v>
      </c>
      <c r="K989" s="2" t="s">
        <v>3515</v>
      </c>
      <c r="L989" s="3">
        <v>26.19</v>
      </c>
      <c r="M989" s="3">
        <v>27.5</v>
      </c>
      <c r="N989" s="3">
        <v>54.99</v>
      </c>
      <c r="O989" s="2" t="s">
        <v>97</v>
      </c>
      <c r="P989" s="2" t="s">
        <v>372</v>
      </c>
      <c r="Q989" s="2" t="s">
        <v>99</v>
      </c>
      <c r="R989" s="2" t="s">
        <v>100</v>
      </c>
      <c r="S989" s="2" t="s">
        <v>3516</v>
      </c>
      <c r="T989" s="2" t="s">
        <v>200</v>
      </c>
      <c r="U989" s="2" t="s">
        <v>480</v>
      </c>
      <c r="V989" s="2" t="s">
        <v>146</v>
      </c>
      <c r="W989" s="2" t="s">
        <v>561</v>
      </c>
      <c r="X989" s="2" t="s">
        <v>100</v>
      </c>
      <c r="Y989" s="2" t="s">
        <v>3437</v>
      </c>
      <c r="Z989" s="4">
        <v>937</v>
      </c>
      <c r="AA989" s="4">
        <f>=ROUNDDOWN(26.0277777777778,0)</f>
      </c>
      <c r="AB989" s="5">
        <v>36</v>
      </c>
      <c r="AC989" s="2" t="s">
        <v>417</v>
      </c>
      <c r="AD989" s="4">
        <v>900</v>
      </c>
      <c r="AE989" s="4">
        <v>900</v>
      </c>
      <c r="AF989" s="6">
        <v>63</v>
      </c>
      <c r="AG989" s="6">
        <v>46</v>
      </c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/>
      <c r="BJ989" s="4">
        <v>1098</v>
      </c>
      <c r="BK989" s="8">
        <v>31892.05</v>
      </c>
      <c r="BL989" s="2" t="s">
        <v>3517</v>
      </c>
      <c r="BM989" s="7"/>
      <c r="BN989" s="7"/>
      <c r="BO989" s="4"/>
      <c r="BP989" s="8"/>
      <c r="BQ989" s="4"/>
      <c r="BR989" s="8"/>
      <c r="BS989" s="7"/>
      <c r="BT989" s="7"/>
      <c r="BU989" s="2" t="s">
        <v>207</v>
      </c>
      <c r="BV989" s="2" t="s">
        <v>97</v>
      </c>
      <c r="BW989" s="2" t="s">
        <v>100</v>
      </c>
      <c r="BX989" s="2" t="s">
        <v>100</v>
      </c>
      <c r="BY989" s="2" t="s">
        <v>113</v>
      </c>
      <c r="BZ989" s="2" t="s">
        <v>245</v>
      </c>
    </row>
    <row r="990">
      <c r="A990" s="2" t="s">
        <v>3519</v>
      </c>
      <c r="B990" s="2" t="s">
        <v>87</v>
      </c>
      <c r="C990" s="2" t="s">
        <v>3413</v>
      </c>
      <c r="D990" s="2" t="s">
        <v>803</v>
      </c>
      <c r="E990" s="2" t="s">
        <v>1532</v>
      </c>
      <c r="F990" s="2" t="s">
        <v>3511</v>
      </c>
      <c r="G990" s="2" t="s">
        <v>3512</v>
      </c>
      <c r="H990" s="2" t="s">
        <v>3513</v>
      </c>
      <c r="I990" s="2" t="s">
        <v>3514</v>
      </c>
      <c r="J990" s="2" t="s">
        <v>270</v>
      </c>
      <c r="K990" s="2" t="s">
        <v>3515</v>
      </c>
      <c r="L990" s="3">
        <v>28.57</v>
      </c>
      <c r="M990" s="3">
        <v>30</v>
      </c>
      <c r="N990" s="3">
        <v>59.99</v>
      </c>
      <c r="O990" s="2" t="s">
        <v>97</v>
      </c>
      <c r="P990" s="2" t="s">
        <v>372</v>
      </c>
      <c r="Q990" s="2" t="s">
        <v>99</v>
      </c>
      <c r="R990" s="2" t="s">
        <v>100</v>
      </c>
      <c r="S990" s="2" t="s">
        <v>3516</v>
      </c>
      <c r="T990" s="2" t="s">
        <v>200</v>
      </c>
      <c r="U990" s="2" t="s">
        <v>480</v>
      </c>
      <c r="V990" s="2" t="s">
        <v>146</v>
      </c>
      <c r="W990" s="2" t="s">
        <v>561</v>
      </c>
      <c r="X990" s="2" t="s">
        <v>100</v>
      </c>
      <c r="Y990" s="2" t="s">
        <v>3520</v>
      </c>
      <c r="Z990" s="4">
        <v>1136</v>
      </c>
      <c r="AA990" s="4">
        <f>=ROUNDDOWN(32.4571428571429,0)</f>
      </c>
      <c r="AB990" s="5">
        <v>35</v>
      </c>
      <c r="AC990" s="2" t="s">
        <v>417</v>
      </c>
      <c r="AD990" s="4">
        <v>990</v>
      </c>
      <c r="AE990" s="4">
        <v>990</v>
      </c>
      <c r="AF990" s="6">
        <v>63</v>
      </c>
      <c r="AG990" s="6">
        <v>46</v>
      </c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/>
      <c r="BJ990" s="4">
        <v>1051</v>
      </c>
      <c r="BK990" s="8">
        <v>32882.95</v>
      </c>
      <c r="BL990" s="2" t="s">
        <v>3517</v>
      </c>
      <c r="BM990" s="7"/>
      <c r="BN990" s="7"/>
      <c r="BO990" s="4"/>
      <c r="BP990" s="8"/>
      <c r="BQ990" s="4"/>
      <c r="BR990" s="8"/>
      <c r="BS990" s="7"/>
      <c r="BT990" s="7"/>
      <c r="BU990" s="2" t="s">
        <v>207</v>
      </c>
      <c r="BV990" s="2" t="s">
        <v>97</v>
      </c>
      <c r="BW990" s="2" t="s">
        <v>100</v>
      </c>
      <c r="BX990" s="2" t="s">
        <v>100</v>
      </c>
      <c r="BY990" s="2" t="s">
        <v>113</v>
      </c>
      <c r="BZ990" s="2" t="s">
        <v>245</v>
      </c>
    </row>
    <row r="991">
      <c r="A991" s="2" t="s">
        <v>3521</v>
      </c>
      <c r="B991" s="2" t="s">
        <v>87</v>
      </c>
      <c r="C991" s="2" t="s">
        <v>3413</v>
      </c>
      <c r="D991" s="2" t="s">
        <v>803</v>
      </c>
      <c r="E991" s="2" t="s">
        <v>1532</v>
      </c>
      <c r="F991" s="2" t="s">
        <v>3511</v>
      </c>
      <c r="G991" s="2" t="s">
        <v>3512</v>
      </c>
      <c r="H991" s="2" t="s">
        <v>3513</v>
      </c>
      <c r="I991" s="2" t="s">
        <v>3514</v>
      </c>
      <c r="J991" s="2" t="s">
        <v>237</v>
      </c>
      <c r="K991" s="2" t="s">
        <v>209</v>
      </c>
      <c r="L991" s="3">
        <v>21.42</v>
      </c>
      <c r="M991" s="3">
        <v>22.49</v>
      </c>
      <c r="N991" s="3">
        <v>44.99</v>
      </c>
      <c r="O991" s="2" t="s">
        <v>97</v>
      </c>
      <c r="P991" s="2" t="s">
        <v>307</v>
      </c>
      <c r="Q991" s="2" t="s">
        <v>99</v>
      </c>
      <c r="R991" s="2" t="s">
        <v>100</v>
      </c>
      <c r="S991" s="2" t="s">
        <v>3522</v>
      </c>
      <c r="T991" s="2" t="s">
        <v>200</v>
      </c>
      <c r="U991" s="2" t="s">
        <v>514</v>
      </c>
      <c r="V991" s="2" t="s">
        <v>146</v>
      </c>
      <c r="W991" s="2" t="s">
        <v>561</v>
      </c>
      <c r="X991" s="2" t="s">
        <v>100</v>
      </c>
      <c r="Y991" s="2" t="s">
        <v>3523</v>
      </c>
      <c r="Z991" s="4">
        <v>568</v>
      </c>
      <c r="AA991" s="4">
        <f>=ROUNDDOWN(142,0)</f>
      </c>
      <c r="AB991" s="5">
        <v>4</v>
      </c>
      <c r="AC991" s="2" t="s">
        <v>1035</v>
      </c>
      <c r="AD991" s="4">
        <v>360</v>
      </c>
      <c r="AE991" s="4">
        <v>360</v>
      </c>
      <c r="AF991" s="6">
        <v>63</v>
      </c>
      <c r="AG991" s="6">
        <v>46</v>
      </c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/>
      <c r="BJ991" s="4">
        <v>314</v>
      </c>
      <c r="BK991" s="8">
        <v>7324.31</v>
      </c>
      <c r="BL991" s="2" t="s">
        <v>3524</v>
      </c>
      <c r="BM991" s="7"/>
      <c r="BN991" s="7"/>
      <c r="BO991" s="4"/>
      <c r="BP991" s="8"/>
      <c r="BQ991" s="4"/>
      <c r="BR991" s="8"/>
      <c r="BS991" s="7"/>
      <c r="BT991" s="7"/>
      <c r="BU991" s="2" t="s">
        <v>2480</v>
      </c>
      <c r="BV991" s="2" t="s">
        <v>97</v>
      </c>
      <c r="BW991" s="2" t="s">
        <v>100</v>
      </c>
      <c r="BX991" s="2" t="s">
        <v>100</v>
      </c>
      <c r="BY991" s="2" t="s">
        <v>113</v>
      </c>
      <c r="BZ991" s="2" t="s">
        <v>245</v>
      </c>
    </row>
    <row r="992">
      <c r="A992" s="2" t="s">
        <v>3525</v>
      </c>
      <c r="B992" s="2" t="s">
        <v>87</v>
      </c>
      <c r="C992" s="2" t="s">
        <v>3413</v>
      </c>
      <c r="D992" s="2" t="s">
        <v>803</v>
      </c>
      <c r="E992" s="2" t="s">
        <v>1532</v>
      </c>
      <c r="F992" s="2" t="s">
        <v>3511</v>
      </c>
      <c r="G992" s="2" t="s">
        <v>3512</v>
      </c>
      <c r="H992" s="2" t="s">
        <v>3513</v>
      </c>
      <c r="I992" s="2" t="s">
        <v>3514</v>
      </c>
      <c r="J992" s="2" t="s">
        <v>247</v>
      </c>
      <c r="K992" s="2" t="s">
        <v>209</v>
      </c>
      <c r="L992" s="3">
        <v>26.19</v>
      </c>
      <c r="M992" s="3">
        <v>27.5</v>
      </c>
      <c r="N992" s="3">
        <v>54.99</v>
      </c>
      <c r="O992" s="2" t="s">
        <v>97</v>
      </c>
      <c r="P992" s="2" t="s">
        <v>307</v>
      </c>
      <c r="Q992" s="2" t="s">
        <v>99</v>
      </c>
      <c r="R992" s="2" t="s">
        <v>100</v>
      </c>
      <c r="S992" s="2" t="s">
        <v>3522</v>
      </c>
      <c r="T992" s="2" t="s">
        <v>200</v>
      </c>
      <c r="U992" s="2" t="s">
        <v>480</v>
      </c>
      <c r="V992" s="2" t="s">
        <v>146</v>
      </c>
      <c r="W992" s="2" t="s">
        <v>561</v>
      </c>
      <c r="X992" s="2" t="s">
        <v>100</v>
      </c>
      <c r="Y992" s="2" t="s">
        <v>3523</v>
      </c>
      <c r="Z992" s="4">
        <v>1688</v>
      </c>
      <c r="AA992" s="4">
        <f>=ROUNDDOWN(43.2820512820513,0)</f>
      </c>
      <c r="AB992" s="5">
        <v>39</v>
      </c>
      <c r="AC992" s="2" t="s">
        <v>417</v>
      </c>
      <c r="AD992" s="4">
        <v>900</v>
      </c>
      <c r="AE992" s="4">
        <v>900</v>
      </c>
      <c r="AF992" s="6">
        <v>63</v>
      </c>
      <c r="AG992" s="6">
        <v>46</v>
      </c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/>
      <c r="BJ992" s="4">
        <v>1244</v>
      </c>
      <c r="BK992" s="8">
        <v>36503.55</v>
      </c>
      <c r="BL992" s="2" t="s">
        <v>3526</v>
      </c>
      <c r="BM992" s="7"/>
      <c r="BN992" s="7"/>
      <c r="BO992" s="4"/>
      <c r="BP992" s="8"/>
      <c r="BQ992" s="4"/>
      <c r="BR992" s="8"/>
      <c r="BS992" s="7"/>
      <c r="BT992" s="7"/>
      <c r="BU992" s="2" t="s">
        <v>2480</v>
      </c>
      <c r="BV992" s="2" t="s">
        <v>97</v>
      </c>
      <c r="BW992" s="2" t="s">
        <v>100</v>
      </c>
      <c r="BX992" s="2" t="s">
        <v>100</v>
      </c>
      <c r="BY992" s="2" t="s">
        <v>113</v>
      </c>
      <c r="BZ992" s="2" t="s">
        <v>245</v>
      </c>
    </row>
    <row r="993">
      <c r="A993" s="2" t="s">
        <v>3527</v>
      </c>
      <c r="B993" s="2" t="s">
        <v>87</v>
      </c>
      <c r="C993" s="2" t="s">
        <v>3413</v>
      </c>
      <c r="D993" s="2" t="s">
        <v>803</v>
      </c>
      <c r="E993" s="2" t="s">
        <v>1532</v>
      </c>
      <c r="F993" s="2" t="s">
        <v>3511</v>
      </c>
      <c r="G993" s="2" t="s">
        <v>3512</v>
      </c>
      <c r="H993" s="2" t="s">
        <v>3513</v>
      </c>
      <c r="I993" s="2" t="s">
        <v>3514</v>
      </c>
      <c r="J993" s="2" t="s">
        <v>270</v>
      </c>
      <c r="K993" s="2" t="s">
        <v>209</v>
      </c>
      <c r="L993" s="3">
        <v>28.57</v>
      </c>
      <c r="M993" s="3">
        <v>30</v>
      </c>
      <c r="N993" s="3">
        <v>59.99</v>
      </c>
      <c r="O993" s="2" t="s">
        <v>97</v>
      </c>
      <c r="P993" s="2" t="s">
        <v>307</v>
      </c>
      <c r="Q993" s="2" t="s">
        <v>99</v>
      </c>
      <c r="R993" s="2" t="s">
        <v>100</v>
      </c>
      <c r="S993" s="2" t="s">
        <v>3522</v>
      </c>
      <c r="T993" s="2" t="s">
        <v>200</v>
      </c>
      <c r="U993" s="2" t="s">
        <v>480</v>
      </c>
      <c r="V993" s="2" t="s">
        <v>146</v>
      </c>
      <c r="W993" s="2" t="s">
        <v>561</v>
      </c>
      <c r="X993" s="2" t="s">
        <v>100</v>
      </c>
      <c r="Y993" s="2" t="s">
        <v>3523</v>
      </c>
      <c r="Z993" s="4">
        <v>1539</v>
      </c>
      <c r="AA993" s="4">
        <f>=ROUNDDOWN(31.4081632653061,0)</f>
      </c>
      <c r="AB993" s="5">
        <v>49</v>
      </c>
      <c r="AC993" s="2" t="s">
        <v>1069</v>
      </c>
      <c r="AD993" s="4">
        <v>960</v>
      </c>
      <c r="AE993" s="4">
        <v>1200</v>
      </c>
      <c r="AF993" s="6">
        <v>63</v>
      </c>
      <c r="AG993" s="6">
        <v>46</v>
      </c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/>
      <c r="BJ993" s="4">
        <v>1441</v>
      </c>
      <c r="BK993" s="8">
        <v>45385.22</v>
      </c>
      <c r="BL993" s="2" t="s">
        <v>3528</v>
      </c>
      <c r="BM993" s="7"/>
      <c r="BN993" s="7"/>
      <c r="BO993" s="4"/>
      <c r="BP993" s="8"/>
      <c r="BQ993" s="4"/>
      <c r="BR993" s="8"/>
      <c r="BS993" s="7"/>
      <c r="BT993" s="7"/>
      <c r="BU993" s="2" t="s">
        <v>2480</v>
      </c>
      <c r="BV993" s="2" t="s">
        <v>97</v>
      </c>
      <c r="BW993" s="2" t="s">
        <v>100</v>
      </c>
      <c r="BX993" s="2" t="s">
        <v>100</v>
      </c>
      <c r="BY993" s="2" t="s">
        <v>113</v>
      </c>
      <c r="BZ993" s="2" t="s">
        <v>245</v>
      </c>
    </row>
    <row r="994">
      <c r="A994" s="2" t="s">
        <v>3529</v>
      </c>
      <c r="B994" s="2" t="s">
        <v>87</v>
      </c>
      <c r="C994" s="2" t="s">
        <v>3413</v>
      </c>
      <c r="D994" s="2" t="s">
        <v>803</v>
      </c>
      <c r="E994" s="2" t="s">
        <v>1532</v>
      </c>
      <c r="F994" s="2" t="s">
        <v>3511</v>
      </c>
      <c r="G994" s="2" t="s">
        <v>3512</v>
      </c>
      <c r="H994" s="2" t="s">
        <v>3513</v>
      </c>
      <c r="I994" s="2" t="s">
        <v>3514</v>
      </c>
      <c r="J994" s="2" t="s">
        <v>237</v>
      </c>
      <c r="K994" s="2" t="s">
        <v>440</v>
      </c>
      <c r="L994" s="3">
        <v>21.42</v>
      </c>
      <c r="M994" s="3">
        <v>22.49</v>
      </c>
      <c r="N994" s="3">
        <v>44.99</v>
      </c>
      <c r="O994" s="2" t="s">
        <v>97</v>
      </c>
      <c r="P994" s="2" t="s">
        <v>307</v>
      </c>
      <c r="Q994" s="2" t="s">
        <v>99</v>
      </c>
      <c r="R994" s="2" t="s">
        <v>100</v>
      </c>
      <c r="S994" s="2" t="s">
        <v>3530</v>
      </c>
      <c r="T994" s="2" t="s">
        <v>200</v>
      </c>
      <c r="U994" s="2" t="s">
        <v>514</v>
      </c>
      <c r="V994" s="2" t="s">
        <v>146</v>
      </c>
      <c r="W994" s="2" t="s">
        <v>561</v>
      </c>
      <c r="X994" s="2" t="s">
        <v>100</v>
      </c>
      <c r="Y994" s="2" t="s">
        <v>3531</v>
      </c>
      <c r="Z994" s="4">
        <v>826</v>
      </c>
      <c r="AA994" s="4">
        <f>=ROUNDDOWN(103.25,0)</f>
      </c>
      <c r="AB994" s="5">
        <v>8</v>
      </c>
      <c r="AC994" s="2" t="s">
        <v>100</v>
      </c>
      <c r="AD994" s="4"/>
      <c r="AE994" s="4"/>
      <c r="AF994" s="6">
        <v>63</v>
      </c>
      <c r="AG994" s="6">
        <v>46</v>
      </c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/>
      <c r="BJ994" s="4">
        <v>322</v>
      </c>
      <c r="BK994" s="8">
        <v>8122.55</v>
      </c>
      <c r="BL994" s="2" t="s">
        <v>3441</v>
      </c>
      <c r="BM994" s="7"/>
      <c r="BN994" s="7"/>
      <c r="BO994" s="4"/>
      <c r="BP994" s="8"/>
      <c r="BQ994" s="4"/>
      <c r="BR994" s="8"/>
      <c r="BS994" s="7"/>
      <c r="BT994" s="7"/>
      <c r="BU994" s="2" t="s">
        <v>2480</v>
      </c>
      <c r="BV994" s="2" t="s">
        <v>97</v>
      </c>
      <c r="BW994" s="2" t="s">
        <v>100</v>
      </c>
      <c r="BX994" s="2" t="s">
        <v>100</v>
      </c>
      <c r="BY994" s="2" t="s">
        <v>113</v>
      </c>
      <c r="BZ994" s="2" t="s">
        <v>245</v>
      </c>
    </row>
    <row r="995">
      <c r="A995" s="2" t="s">
        <v>3532</v>
      </c>
      <c r="B995" s="2" t="s">
        <v>87</v>
      </c>
      <c r="C995" s="2" t="s">
        <v>3413</v>
      </c>
      <c r="D995" s="2" t="s">
        <v>803</v>
      </c>
      <c r="E995" s="2" t="s">
        <v>1532</v>
      </c>
      <c r="F995" s="2" t="s">
        <v>3511</v>
      </c>
      <c r="G995" s="2" t="s">
        <v>3512</v>
      </c>
      <c r="H995" s="2" t="s">
        <v>3513</v>
      </c>
      <c r="I995" s="2" t="s">
        <v>3514</v>
      </c>
      <c r="J995" s="2" t="s">
        <v>247</v>
      </c>
      <c r="K995" s="2" t="s">
        <v>440</v>
      </c>
      <c r="L995" s="3">
        <v>26.19</v>
      </c>
      <c r="M995" s="3">
        <v>27.5</v>
      </c>
      <c r="N995" s="3">
        <v>54.99</v>
      </c>
      <c r="O995" s="2" t="s">
        <v>97</v>
      </c>
      <c r="P995" s="2" t="s">
        <v>307</v>
      </c>
      <c r="Q995" s="2" t="s">
        <v>99</v>
      </c>
      <c r="R995" s="2" t="s">
        <v>100</v>
      </c>
      <c r="S995" s="2" t="s">
        <v>3530</v>
      </c>
      <c r="T995" s="2" t="s">
        <v>200</v>
      </c>
      <c r="U995" s="2" t="s">
        <v>480</v>
      </c>
      <c r="V995" s="2" t="s">
        <v>146</v>
      </c>
      <c r="W995" s="2" t="s">
        <v>561</v>
      </c>
      <c r="X995" s="2" t="s">
        <v>100</v>
      </c>
      <c r="Y995" s="2" t="s">
        <v>3533</v>
      </c>
      <c r="Z995" s="4">
        <v>2550</v>
      </c>
      <c r="AA995" s="4">
        <f>=ROUNDDOWN(75,0)</f>
      </c>
      <c r="AB995" s="5">
        <v>34</v>
      </c>
      <c r="AC995" s="2" t="s">
        <v>417</v>
      </c>
      <c r="AD995" s="4">
        <v>1080</v>
      </c>
      <c r="AE995" s="4">
        <v>1080</v>
      </c>
      <c r="AF995" s="6">
        <v>63</v>
      </c>
      <c r="AG995" s="6">
        <v>46</v>
      </c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/>
      <c r="BJ995" s="4">
        <v>1116</v>
      </c>
      <c r="BK995" s="8">
        <v>32763.03</v>
      </c>
      <c r="BL995" s="2" t="s">
        <v>3517</v>
      </c>
      <c r="BM995" s="7"/>
      <c r="BN995" s="7"/>
      <c r="BO995" s="4"/>
      <c r="BP995" s="8"/>
      <c r="BQ995" s="4"/>
      <c r="BR995" s="8"/>
      <c r="BS995" s="7"/>
      <c r="BT995" s="7"/>
      <c r="BU995" s="2" t="s">
        <v>2480</v>
      </c>
      <c r="BV995" s="2" t="s">
        <v>97</v>
      </c>
      <c r="BW995" s="2" t="s">
        <v>100</v>
      </c>
      <c r="BX995" s="2" t="s">
        <v>100</v>
      </c>
      <c r="BY995" s="2" t="s">
        <v>113</v>
      </c>
      <c r="BZ995" s="2" t="s">
        <v>245</v>
      </c>
    </row>
    <row r="996">
      <c r="A996" s="2" t="s">
        <v>3534</v>
      </c>
      <c r="B996" s="2" t="s">
        <v>87</v>
      </c>
      <c r="C996" s="2" t="s">
        <v>3413</v>
      </c>
      <c r="D996" s="2" t="s">
        <v>803</v>
      </c>
      <c r="E996" s="2" t="s">
        <v>1532</v>
      </c>
      <c r="F996" s="2" t="s">
        <v>3511</v>
      </c>
      <c r="G996" s="2" t="s">
        <v>3512</v>
      </c>
      <c r="H996" s="2" t="s">
        <v>3513</v>
      </c>
      <c r="I996" s="2" t="s">
        <v>3514</v>
      </c>
      <c r="J996" s="2" t="s">
        <v>270</v>
      </c>
      <c r="K996" s="2" t="s">
        <v>440</v>
      </c>
      <c r="L996" s="3">
        <v>28.57</v>
      </c>
      <c r="M996" s="3">
        <v>30</v>
      </c>
      <c r="N996" s="3">
        <v>59.99</v>
      </c>
      <c r="O996" s="2" t="s">
        <v>97</v>
      </c>
      <c r="P996" s="2" t="s">
        <v>307</v>
      </c>
      <c r="Q996" s="2" t="s">
        <v>99</v>
      </c>
      <c r="R996" s="2" t="s">
        <v>100</v>
      </c>
      <c r="S996" s="2" t="s">
        <v>3530</v>
      </c>
      <c r="T996" s="2" t="s">
        <v>200</v>
      </c>
      <c r="U996" s="2" t="s">
        <v>480</v>
      </c>
      <c r="V996" s="2" t="s">
        <v>146</v>
      </c>
      <c r="W996" s="2" t="s">
        <v>561</v>
      </c>
      <c r="X996" s="2" t="s">
        <v>100</v>
      </c>
      <c r="Y996" s="2" t="s">
        <v>3533</v>
      </c>
      <c r="Z996" s="4">
        <v>2096</v>
      </c>
      <c r="AA996" s="4">
        <f>=ROUNDDOWN(52.4,0)</f>
      </c>
      <c r="AB996" s="5">
        <v>40</v>
      </c>
      <c r="AC996" s="2" t="s">
        <v>417</v>
      </c>
      <c r="AD996" s="4">
        <v>900</v>
      </c>
      <c r="AE996" s="4">
        <v>900</v>
      </c>
      <c r="AF996" s="6">
        <v>63</v>
      </c>
      <c r="AG996" s="6">
        <v>46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/>
      <c r="BJ996" s="4">
        <v>1358</v>
      </c>
      <c r="BK996" s="8">
        <v>42945.97</v>
      </c>
      <c r="BL996" s="2" t="s">
        <v>3517</v>
      </c>
      <c r="BM996" s="7"/>
      <c r="BN996" s="7"/>
      <c r="BO996" s="4"/>
      <c r="BP996" s="8"/>
      <c r="BQ996" s="4"/>
      <c r="BR996" s="8"/>
      <c r="BS996" s="7"/>
      <c r="BT996" s="7"/>
      <c r="BU996" s="2" t="s">
        <v>2480</v>
      </c>
      <c r="BV996" s="2" t="s">
        <v>97</v>
      </c>
      <c r="BW996" s="2" t="s">
        <v>100</v>
      </c>
      <c r="BX996" s="2" t="s">
        <v>100</v>
      </c>
      <c r="BY996" s="2" t="s">
        <v>113</v>
      </c>
      <c r="BZ996" s="2" t="s">
        <v>245</v>
      </c>
    </row>
    <row r="997">
      <c r="A997" s="2" t="s">
        <v>3535</v>
      </c>
      <c r="B997" s="2" t="s">
        <v>87</v>
      </c>
      <c r="C997" s="2" t="s">
        <v>3413</v>
      </c>
      <c r="D997" s="2" t="s">
        <v>803</v>
      </c>
      <c r="E997" s="2" t="s">
        <v>1532</v>
      </c>
      <c r="F997" s="2" t="s">
        <v>3511</v>
      </c>
      <c r="G997" s="2" t="s">
        <v>3512</v>
      </c>
      <c r="H997" s="2" t="s">
        <v>3513</v>
      </c>
      <c r="I997" s="2" t="s">
        <v>3514</v>
      </c>
      <c r="J997" s="2" t="s">
        <v>237</v>
      </c>
      <c r="K997" s="2" t="s">
        <v>189</v>
      </c>
      <c r="L997" s="3">
        <v>21.42</v>
      </c>
      <c r="M997" s="3">
        <v>22.49</v>
      </c>
      <c r="N997" s="3">
        <v>44.99</v>
      </c>
      <c r="O997" s="2" t="s">
        <v>97</v>
      </c>
      <c r="P997" s="2" t="s">
        <v>307</v>
      </c>
      <c r="Q997" s="2" t="s">
        <v>99</v>
      </c>
      <c r="R997" s="2" t="s">
        <v>100</v>
      </c>
      <c r="S997" s="2" t="s">
        <v>3536</v>
      </c>
      <c r="T997" s="2" t="s">
        <v>200</v>
      </c>
      <c r="U997" s="2" t="s">
        <v>514</v>
      </c>
      <c r="V997" s="2" t="s">
        <v>146</v>
      </c>
      <c r="W997" s="2" t="s">
        <v>561</v>
      </c>
      <c r="X997" s="2" t="s">
        <v>100</v>
      </c>
      <c r="Y997" s="2" t="s">
        <v>3437</v>
      </c>
      <c r="Z997" s="4">
        <v>941</v>
      </c>
      <c r="AA997" s="4">
        <f>=ROUNDDOWN(33.6071428571429,0)</f>
      </c>
      <c r="AB997" s="5">
        <v>28</v>
      </c>
      <c r="AC997" s="2" t="s">
        <v>123</v>
      </c>
      <c r="AD997" s="4">
        <v>240</v>
      </c>
      <c r="AE997" s="4">
        <v>480</v>
      </c>
      <c r="AF997" s="6">
        <v>63</v>
      </c>
      <c r="AG997" s="6">
        <v>46</v>
      </c>
      <c r="AH997" s="7">
        <v>0.6952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/>
      <c r="BJ997" s="4">
        <v>1193</v>
      </c>
      <c r="BK997" s="8">
        <v>28318.98</v>
      </c>
      <c r="BL997" s="2" t="s">
        <v>3517</v>
      </c>
      <c r="BM997" s="7"/>
      <c r="BN997" s="7"/>
      <c r="BO997" s="4"/>
      <c r="BP997" s="8"/>
      <c r="BQ997" s="4"/>
      <c r="BR997" s="8"/>
      <c r="BS997" s="7"/>
      <c r="BT997" s="7"/>
      <c r="BU997" s="2" t="s">
        <v>2480</v>
      </c>
      <c r="BV997" s="2" t="s">
        <v>97</v>
      </c>
      <c r="BW997" s="2" t="s">
        <v>100</v>
      </c>
      <c r="BX997" s="2" t="s">
        <v>100</v>
      </c>
      <c r="BY997" s="2" t="s">
        <v>113</v>
      </c>
      <c r="BZ997" s="2" t="s">
        <v>245</v>
      </c>
    </row>
    <row r="998">
      <c r="A998" s="2" t="s">
        <v>3537</v>
      </c>
      <c r="B998" s="2" t="s">
        <v>87</v>
      </c>
      <c r="C998" s="2" t="s">
        <v>3413</v>
      </c>
      <c r="D998" s="2" t="s">
        <v>803</v>
      </c>
      <c r="E998" s="2" t="s">
        <v>1532</v>
      </c>
      <c r="F998" s="2" t="s">
        <v>3511</v>
      </c>
      <c r="G998" s="2" t="s">
        <v>3512</v>
      </c>
      <c r="H998" s="2" t="s">
        <v>3513</v>
      </c>
      <c r="I998" s="2" t="s">
        <v>3514</v>
      </c>
      <c r="J998" s="2" t="s">
        <v>247</v>
      </c>
      <c r="K998" s="2" t="s">
        <v>189</v>
      </c>
      <c r="L998" s="3">
        <v>26.19</v>
      </c>
      <c r="M998" s="3">
        <v>27.5</v>
      </c>
      <c r="N998" s="3">
        <v>54.99</v>
      </c>
      <c r="O998" s="2" t="s">
        <v>97</v>
      </c>
      <c r="P998" s="2" t="s">
        <v>307</v>
      </c>
      <c r="Q998" s="2" t="s">
        <v>99</v>
      </c>
      <c r="R998" s="2" t="s">
        <v>100</v>
      </c>
      <c r="S998" s="2" t="s">
        <v>3536</v>
      </c>
      <c r="T998" s="2" t="s">
        <v>200</v>
      </c>
      <c r="U998" s="2" t="s">
        <v>480</v>
      </c>
      <c r="V998" s="2" t="s">
        <v>146</v>
      </c>
      <c r="W998" s="2" t="s">
        <v>561</v>
      </c>
      <c r="X998" s="2" t="s">
        <v>100</v>
      </c>
      <c r="Y998" s="2" t="s">
        <v>3437</v>
      </c>
      <c r="Z998" s="4">
        <v>1316</v>
      </c>
      <c r="AA998" s="4">
        <f>=ROUNDDOWN(18.5352112676056,0)</f>
      </c>
      <c r="AB998" s="5">
        <v>71</v>
      </c>
      <c r="AC998" s="2" t="s">
        <v>1069</v>
      </c>
      <c r="AD998" s="4">
        <v>810</v>
      </c>
      <c r="AE998" s="4">
        <v>2550</v>
      </c>
      <c r="AF998" s="6">
        <v>63</v>
      </c>
      <c r="AG998" s="6">
        <v>46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/>
      <c r="BJ998" s="4">
        <v>2268</v>
      </c>
      <c r="BK998" s="8">
        <v>68430.01</v>
      </c>
      <c r="BL998" s="2" t="s">
        <v>3517</v>
      </c>
      <c r="BM998" s="7"/>
      <c r="BN998" s="7"/>
      <c r="BO998" s="4"/>
      <c r="BP998" s="8"/>
      <c r="BQ998" s="4"/>
      <c r="BR998" s="8"/>
      <c r="BS998" s="7"/>
      <c r="BT998" s="7"/>
      <c r="BU998" s="2" t="s">
        <v>2480</v>
      </c>
      <c r="BV998" s="2" t="s">
        <v>97</v>
      </c>
      <c r="BW998" s="2" t="s">
        <v>100</v>
      </c>
      <c r="BX998" s="2" t="s">
        <v>100</v>
      </c>
      <c r="BY998" s="2" t="s">
        <v>113</v>
      </c>
      <c r="BZ998" s="2" t="s">
        <v>245</v>
      </c>
    </row>
    <row r="999">
      <c r="A999" s="2" t="s">
        <v>3538</v>
      </c>
      <c r="B999" s="2" t="s">
        <v>87</v>
      </c>
      <c r="C999" s="2" t="s">
        <v>3413</v>
      </c>
      <c r="D999" s="2" t="s">
        <v>803</v>
      </c>
      <c r="E999" s="2" t="s">
        <v>1532</v>
      </c>
      <c r="F999" s="2" t="s">
        <v>3511</v>
      </c>
      <c r="G999" s="2" t="s">
        <v>3512</v>
      </c>
      <c r="H999" s="2" t="s">
        <v>3513</v>
      </c>
      <c r="I999" s="2" t="s">
        <v>3514</v>
      </c>
      <c r="J999" s="2" t="s">
        <v>270</v>
      </c>
      <c r="K999" s="2" t="s">
        <v>189</v>
      </c>
      <c r="L999" s="3">
        <v>28.57</v>
      </c>
      <c r="M999" s="3">
        <v>30</v>
      </c>
      <c r="N999" s="3">
        <v>59.99</v>
      </c>
      <c r="O999" s="2" t="s">
        <v>97</v>
      </c>
      <c r="P999" s="2" t="s">
        <v>307</v>
      </c>
      <c r="Q999" s="2" t="s">
        <v>99</v>
      </c>
      <c r="R999" s="2" t="s">
        <v>100</v>
      </c>
      <c r="S999" s="2" t="s">
        <v>3536</v>
      </c>
      <c r="T999" s="2" t="s">
        <v>200</v>
      </c>
      <c r="U999" s="2" t="s">
        <v>480</v>
      </c>
      <c r="V999" s="2" t="s">
        <v>146</v>
      </c>
      <c r="W999" s="2" t="s">
        <v>561</v>
      </c>
      <c r="X999" s="2" t="s">
        <v>100</v>
      </c>
      <c r="Y999" s="2" t="s">
        <v>3539</v>
      </c>
      <c r="Z999" s="4">
        <v>1524</v>
      </c>
      <c r="AA999" s="4">
        <f>=ROUNDDOWN(33.1304347826087,0)</f>
      </c>
      <c r="AB999" s="5">
        <v>46</v>
      </c>
      <c r="AC999" s="2" t="s">
        <v>1069</v>
      </c>
      <c r="AD999" s="4">
        <v>720</v>
      </c>
      <c r="AE999" s="4">
        <v>1830</v>
      </c>
      <c r="AF999" s="6">
        <v>63</v>
      </c>
      <c r="AG999" s="6">
        <v>46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/>
      <c r="BJ999" s="4">
        <v>1586</v>
      </c>
      <c r="BK999" s="8">
        <v>51395.23</v>
      </c>
      <c r="BL999" s="2" t="s">
        <v>3517</v>
      </c>
      <c r="BM999" s="7"/>
      <c r="BN999" s="7"/>
      <c r="BO999" s="4"/>
      <c r="BP999" s="8"/>
      <c r="BQ999" s="4"/>
      <c r="BR999" s="8"/>
      <c r="BS999" s="7"/>
      <c r="BT999" s="7"/>
      <c r="BU999" s="2" t="s">
        <v>2480</v>
      </c>
      <c r="BV999" s="2" t="s">
        <v>97</v>
      </c>
      <c r="BW999" s="2" t="s">
        <v>100</v>
      </c>
      <c r="BX999" s="2" t="s">
        <v>100</v>
      </c>
      <c r="BY999" s="2" t="s">
        <v>113</v>
      </c>
      <c r="BZ999" s="2" t="s">
        <v>245</v>
      </c>
    </row>
    <row r="1000">
      <c r="A1000" s="2" t="s">
        <v>3540</v>
      </c>
      <c r="B1000" s="2" t="s">
        <v>87</v>
      </c>
      <c r="C1000" s="2" t="s">
        <v>3413</v>
      </c>
      <c r="D1000" s="2" t="s">
        <v>803</v>
      </c>
      <c r="E1000" s="2" t="s">
        <v>1532</v>
      </c>
      <c r="F1000" s="2" t="s">
        <v>3541</v>
      </c>
      <c r="G1000" s="2" t="s">
        <v>3542</v>
      </c>
      <c r="H1000" s="2" t="s">
        <v>3543</v>
      </c>
      <c r="I1000" s="2" t="s">
        <v>3544</v>
      </c>
      <c r="J1000" s="2" t="s">
        <v>237</v>
      </c>
      <c r="K1000" s="2" t="s">
        <v>118</v>
      </c>
      <c r="L1000" s="3">
        <v>19.04</v>
      </c>
      <c r="M1000" s="3">
        <v>19.99</v>
      </c>
      <c r="N1000" s="3">
        <v>39.99</v>
      </c>
      <c r="O1000" s="2" t="s">
        <v>97</v>
      </c>
      <c r="P1000" s="2" t="s">
        <v>225</v>
      </c>
      <c r="Q1000" s="2" t="s">
        <v>99</v>
      </c>
      <c r="R1000" s="2" t="s">
        <v>100</v>
      </c>
      <c r="S1000" s="2" t="s">
        <v>3545</v>
      </c>
      <c r="T1000" s="2" t="s">
        <v>218</v>
      </c>
      <c r="U1000" s="2" t="s">
        <v>514</v>
      </c>
      <c r="V1000" s="2" t="s">
        <v>3546</v>
      </c>
      <c r="W1000" s="2" t="s">
        <v>561</v>
      </c>
      <c r="X1000" s="2" t="s">
        <v>183</v>
      </c>
      <c r="Y1000" s="2" t="s">
        <v>3547</v>
      </c>
      <c r="Z1000" s="4">
        <v>460</v>
      </c>
      <c r="AA1000" s="4">
        <f>=ROUNDDOWN(115,0)</f>
      </c>
      <c r="AB1000" s="5">
        <v>4</v>
      </c>
      <c r="AC1000" s="2" t="s">
        <v>100</v>
      </c>
      <c r="AD1000" s="4"/>
      <c r="AE1000" s="4"/>
      <c r="AF1000" s="6">
        <v>63</v>
      </c>
      <c r="AG1000" s="6">
        <v>46</v>
      </c>
      <c r="AH1000" s="7">
        <v>0.8182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/>
      <c r="BJ1000" s="4">
        <v>77</v>
      </c>
      <c r="BK1000" s="8">
        <v>1494.63</v>
      </c>
      <c r="BL1000" s="2" t="s">
        <v>3548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2480</v>
      </c>
      <c r="BV1000" s="2" t="s">
        <v>97</v>
      </c>
      <c r="BW1000" s="2" t="s">
        <v>100</v>
      </c>
      <c r="BX1000" s="2" t="s">
        <v>100</v>
      </c>
      <c r="BY1000" s="2" t="s">
        <v>113</v>
      </c>
      <c r="BZ1000" s="2" t="s">
        <v>245</v>
      </c>
    </row>
    <row r="1001">
      <c r="A1001" s="2" t="s">
        <v>3549</v>
      </c>
      <c r="B1001" s="2" t="s">
        <v>87</v>
      </c>
      <c r="C1001" s="2" t="s">
        <v>3413</v>
      </c>
      <c r="D1001" s="2" t="s">
        <v>803</v>
      </c>
      <c r="E1001" s="2" t="s">
        <v>1532</v>
      </c>
      <c r="F1001" s="2" t="s">
        <v>3541</v>
      </c>
      <c r="G1001" s="2" t="s">
        <v>3542</v>
      </c>
      <c r="H1001" s="2" t="s">
        <v>3543</v>
      </c>
      <c r="I1001" s="2" t="s">
        <v>3544</v>
      </c>
      <c r="J1001" s="2" t="s">
        <v>247</v>
      </c>
      <c r="K1001" s="2" t="s">
        <v>118</v>
      </c>
      <c r="L1001" s="3">
        <v>23.8</v>
      </c>
      <c r="M1001" s="3">
        <v>24.99</v>
      </c>
      <c r="N1001" s="3">
        <v>49.99</v>
      </c>
      <c r="O1001" s="2" t="s">
        <v>97</v>
      </c>
      <c r="P1001" s="2" t="s">
        <v>225</v>
      </c>
      <c r="Q1001" s="2" t="s">
        <v>99</v>
      </c>
      <c r="R1001" s="2" t="s">
        <v>100</v>
      </c>
      <c r="S1001" s="2" t="s">
        <v>3545</v>
      </c>
      <c r="T1001" s="2" t="s">
        <v>218</v>
      </c>
      <c r="U1001" s="2" t="s">
        <v>480</v>
      </c>
      <c r="V1001" s="2" t="s">
        <v>3546</v>
      </c>
      <c r="W1001" s="2" t="s">
        <v>561</v>
      </c>
      <c r="X1001" s="2" t="s">
        <v>183</v>
      </c>
      <c r="Y1001" s="2" t="s">
        <v>3547</v>
      </c>
      <c r="Z1001" s="4">
        <v>1487</v>
      </c>
      <c r="AA1001" s="4">
        <f>=ROUNDDOWN(247.833333333333,0)</f>
      </c>
      <c r="AB1001" s="5">
        <v>6</v>
      </c>
      <c r="AC1001" s="2" t="s">
        <v>100</v>
      </c>
      <c r="AD1001" s="4"/>
      <c r="AE1001" s="4"/>
      <c r="AF1001" s="6">
        <v>63</v>
      </c>
      <c r="AG1001" s="6">
        <v>46</v>
      </c>
      <c r="AH1001" s="7">
        <v>0.8182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/>
      <c r="BJ1001" s="4">
        <v>125</v>
      </c>
      <c r="BK1001" s="8">
        <v>2907.91</v>
      </c>
      <c r="BL1001" s="2" t="s">
        <v>3550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2480</v>
      </c>
      <c r="BV1001" s="2" t="s">
        <v>97</v>
      </c>
      <c r="BW1001" s="2" t="s">
        <v>100</v>
      </c>
      <c r="BX1001" s="2" t="s">
        <v>100</v>
      </c>
      <c r="BY1001" s="2" t="s">
        <v>113</v>
      </c>
      <c r="BZ1001" s="2" t="s">
        <v>245</v>
      </c>
    </row>
    <row r="1002">
      <c r="A1002" s="2" t="s">
        <v>3551</v>
      </c>
      <c r="B1002" s="2" t="s">
        <v>87</v>
      </c>
      <c r="C1002" s="2" t="s">
        <v>3413</v>
      </c>
      <c r="D1002" s="2" t="s">
        <v>803</v>
      </c>
      <c r="E1002" s="2" t="s">
        <v>1532</v>
      </c>
      <c r="F1002" s="2" t="s">
        <v>3541</v>
      </c>
      <c r="G1002" s="2" t="s">
        <v>3542</v>
      </c>
      <c r="H1002" s="2" t="s">
        <v>3543</v>
      </c>
      <c r="I1002" s="2" t="s">
        <v>3544</v>
      </c>
      <c r="J1002" s="2" t="s">
        <v>270</v>
      </c>
      <c r="K1002" s="2" t="s">
        <v>118</v>
      </c>
      <c r="L1002" s="3">
        <v>26.19</v>
      </c>
      <c r="M1002" s="3">
        <v>27.5</v>
      </c>
      <c r="N1002" s="3">
        <v>54.99</v>
      </c>
      <c r="O1002" s="2" t="s">
        <v>97</v>
      </c>
      <c r="P1002" s="2" t="s">
        <v>225</v>
      </c>
      <c r="Q1002" s="2" t="s">
        <v>99</v>
      </c>
      <c r="R1002" s="2" t="s">
        <v>100</v>
      </c>
      <c r="S1002" s="2" t="s">
        <v>3545</v>
      </c>
      <c r="T1002" s="2" t="s">
        <v>218</v>
      </c>
      <c r="U1002" s="2" t="s">
        <v>480</v>
      </c>
      <c r="V1002" s="2" t="s">
        <v>3546</v>
      </c>
      <c r="W1002" s="2" t="s">
        <v>561</v>
      </c>
      <c r="X1002" s="2" t="s">
        <v>183</v>
      </c>
      <c r="Y1002" s="2" t="s">
        <v>2162</v>
      </c>
      <c r="Z1002" s="4">
        <v>1198</v>
      </c>
      <c r="AA1002" s="4">
        <f>=ROUNDDOWN(323.783783783784,0)</f>
      </c>
      <c r="AB1002" s="5">
        <v>3.7</v>
      </c>
      <c r="AC1002" s="2" t="s">
        <v>100</v>
      </c>
      <c r="AD1002" s="4"/>
      <c r="AE1002" s="4"/>
      <c r="AF1002" s="6">
        <v>63</v>
      </c>
      <c r="AG1002" s="6">
        <v>46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/>
      <c r="BJ1002" s="4">
        <v>68</v>
      </c>
      <c r="BK1002" s="8">
        <v>1683.73</v>
      </c>
      <c r="BL1002" s="2" t="s">
        <v>3552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2480</v>
      </c>
      <c r="BV1002" s="2" t="s">
        <v>97</v>
      </c>
      <c r="BW1002" s="2" t="s">
        <v>100</v>
      </c>
      <c r="BX1002" s="2" t="s">
        <v>100</v>
      </c>
      <c r="BY1002" s="2" t="s">
        <v>113</v>
      </c>
      <c r="BZ1002" s="2" t="s">
        <v>245</v>
      </c>
    </row>
    <row r="1003">
      <c r="A1003" s="2" t="s">
        <v>3553</v>
      </c>
      <c r="B1003" s="2" t="s">
        <v>87</v>
      </c>
      <c r="C1003" s="2" t="s">
        <v>3413</v>
      </c>
      <c r="D1003" s="2" t="s">
        <v>803</v>
      </c>
      <c r="E1003" s="2" t="s">
        <v>1532</v>
      </c>
      <c r="F1003" s="2" t="s">
        <v>3541</v>
      </c>
      <c r="G1003" s="2" t="s">
        <v>3542</v>
      </c>
      <c r="H1003" s="2" t="s">
        <v>3543</v>
      </c>
      <c r="I1003" s="2" t="s">
        <v>3544</v>
      </c>
      <c r="J1003" s="2" t="s">
        <v>237</v>
      </c>
      <c r="K1003" s="2" t="s">
        <v>198</v>
      </c>
      <c r="L1003" s="3">
        <v>19.04</v>
      </c>
      <c r="M1003" s="3">
        <v>19.99</v>
      </c>
      <c r="N1003" s="3">
        <v>39.99</v>
      </c>
      <c r="O1003" s="2" t="s">
        <v>97</v>
      </c>
      <c r="P1003" s="2" t="s">
        <v>225</v>
      </c>
      <c r="Q1003" s="2" t="s">
        <v>99</v>
      </c>
      <c r="R1003" s="2" t="s">
        <v>100</v>
      </c>
      <c r="S1003" s="2" t="s">
        <v>3554</v>
      </c>
      <c r="T1003" s="2" t="s">
        <v>218</v>
      </c>
      <c r="U1003" s="2" t="s">
        <v>514</v>
      </c>
      <c r="V1003" s="2" t="s">
        <v>3546</v>
      </c>
      <c r="W1003" s="2" t="s">
        <v>561</v>
      </c>
      <c r="X1003" s="2" t="s">
        <v>183</v>
      </c>
      <c r="Y1003" s="2" t="s">
        <v>3547</v>
      </c>
      <c r="Z1003" s="4">
        <v>534</v>
      </c>
      <c r="AA1003" s="4">
        <f>=ROUNDDOWN(133.5,0)</f>
      </c>
      <c r="AB1003" s="5">
        <v>4</v>
      </c>
      <c r="AC1003" s="2" t="s">
        <v>100</v>
      </c>
      <c r="AD1003" s="4"/>
      <c r="AE1003" s="4"/>
      <c r="AF1003" s="6">
        <v>63</v>
      </c>
      <c r="AG1003" s="6">
        <v>46</v>
      </c>
      <c r="AH1003" s="7">
        <v>0.8342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/>
      <c r="BJ1003" s="4">
        <v>77</v>
      </c>
      <c r="BK1003" s="8">
        <v>1373.61</v>
      </c>
      <c r="BL1003" s="2" t="s">
        <v>3555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2480</v>
      </c>
      <c r="BV1003" s="2" t="s">
        <v>97</v>
      </c>
      <c r="BW1003" s="2" t="s">
        <v>100</v>
      </c>
      <c r="BX1003" s="2" t="s">
        <v>100</v>
      </c>
      <c r="BY1003" s="2" t="s">
        <v>113</v>
      </c>
      <c r="BZ1003" s="2" t="s">
        <v>245</v>
      </c>
    </row>
    <row r="1004">
      <c r="A1004" s="2" t="s">
        <v>3556</v>
      </c>
      <c r="B1004" s="2" t="s">
        <v>87</v>
      </c>
      <c r="C1004" s="2" t="s">
        <v>3413</v>
      </c>
      <c r="D1004" s="2" t="s">
        <v>803</v>
      </c>
      <c r="E1004" s="2" t="s">
        <v>1532</v>
      </c>
      <c r="F1004" s="2" t="s">
        <v>3541</v>
      </c>
      <c r="G1004" s="2" t="s">
        <v>3542</v>
      </c>
      <c r="H1004" s="2" t="s">
        <v>3543</v>
      </c>
      <c r="I1004" s="2" t="s">
        <v>3544</v>
      </c>
      <c r="J1004" s="2" t="s">
        <v>247</v>
      </c>
      <c r="K1004" s="2" t="s">
        <v>198</v>
      </c>
      <c r="L1004" s="3">
        <v>23.8</v>
      </c>
      <c r="M1004" s="3">
        <v>24.99</v>
      </c>
      <c r="N1004" s="3">
        <v>49.99</v>
      </c>
      <c r="O1004" s="2" t="s">
        <v>97</v>
      </c>
      <c r="P1004" s="2" t="s">
        <v>225</v>
      </c>
      <c r="Q1004" s="2" t="s">
        <v>99</v>
      </c>
      <c r="R1004" s="2" t="s">
        <v>100</v>
      </c>
      <c r="S1004" s="2" t="s">
        <v>3554</v>
      </c>
      <c r="T1004" s="2" t="s">
        <v>218</v>
      </c>
      <c r="U1004" s="2" t="s">
        <v>480</v>
      </c>
      <c r="V1004" s="2" t="s">
        <v>3546</v>
      </c>
      <c r="W1004" s="2" t="s">
        <v>561</v>
      </c>
      <c r="X1004" s="2" t="s">
        <v>183</v>
      </c>
      <c r="Y1004" s="2" t="s">
        <v>3547</v>
      </c>
      <c r="Z1004" s="4">
        <v>2026</v>
      </c>
      <c r="AA1004" s="4">
        <f>=ROUNDDOWN(225.111111111111,0)</f>
      </c>
      <c r="AB1004" s="5">
        <v>9</v>
      </c>
      <c r="AC1004" s="2" t="s">
        <v>100</v>
      </c>
      <c r="AD1004" s="4"/>
      <c r="AE1004" s="4"/>
      <c r="AF1004" s="6">
        <v>63</v>
      </c>
      <c r="AG1004" s="6">
        <v>46</v>
      </c>
      <c r="AH1004" s="7">
        <v>0.8342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/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/>
      <c r="BJ1004" s="4">
        <v>161</v>
      </c>
      <c r="BK1004" s="8">
        <v>3605.42</v>
      </c>
      <c r="BL1004" s="2" t="s">
        <v>3421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2480</v>
      </c>
      <c r="BV1004" s="2" t="s">
        <v>97</v>
      </c>
      <c r="BW1004" s="2" t="s">
        <v>100</v>
      </c>
      <c r="BX1004" s="2" t="s">
        <v>100</v>
      </c>
      <c r="BY1004" s="2" t="s">
        <v>113</v>
      </c>
      <c r="BZ1004" s="2" t="s">
        <v>245</v>
      </c>
    </row>
    <row r="1005">
      <c r="A1005" s="2" t="s">
        <v>3557</v>
      </c>
      <c r="B1005" s="2" t="s">
        <v>87</v>
      </c>
      <c r="C1005" s="2" t="s">
        <v>3413</v>
      </c>
      <c r="D1005" s="2" t="s">
        <v>803</v>
      </c>
      <c r="E1005" s="2" t="s">
        <v>1532</v>
      </c>
      <c r="F1005" s="2" t="s">
        <v>3541</v>
      </c>
      <c r="G1005" s="2" t="s">
        <v>3542</v>
      </c>
      <c r="H1005" s="2" t="s">
        <v>3543</v>
      </c>
      <c r="I1005" s="2" t="s">
        <v>3544</v>
      </c>
      <c r="J1005" s="2" t="s">
        <v>270</v>
      </c>
      <c r="K1005" s="2" t="s">
        <v>198</v>
      </c>
      <c r="L1005" s="3">
        <v>26.19</v>
      </c>
      <c r="M1005" s="3">
        <v>27.5</v>
      </c>
      <c r="N1005" s="3">
        <v>54.99</v>
      </c>
      <c r="O1005" s="2" t="s">
        <v>97</v>
      </c>
      <c r="P1005" s="2" t="s">
        <v>225</v>
      </c>
      <c r="Q1005" s="2" t="s">
        <v>99</v>
      </c>
      <c r="R1005" s="2" t="s">
        <v>100</v>
      </c>
      <c r="S1005" s="2" t="s">
        <v>3554</v>
      </c>
      <c r="T1005" s="2" t="s">
        <v>218</v>
      </c>
      <c r="U1005" s="2" t="s">
        <v>480</v>
      </c>
      <c r="V1005" s="2" t="s">
        <v>3546</v>
      </c>
      <c r="W1005" s="2" t="s">
        <v>561</v>
      </c>
      <c r="X1005" s="2" t="s">
        <v>183</v>
      </c>
      <c r="Y1005" s="2" t="s">
        <v>1163</v>
      </c>
      <c r="Z1005" s="4">
        <v>1749</v>
      </c>
      <c r="AA1005" s="4">
        <f>=ROUNDDOWN(406.744186046512,0)</f>
      </c>
      <c r="AB1005" s="5">
        <v>4.3</v>
      </c>
      <c r="AC1005" s="2" t="s">
        <v>100</v>
      </c>
      <c r="AD1005" s="4"/>
      <c r="AE1005" s="4"/>
      <c r="AF1005" s="6">
        <v>63</v>
      </c>
      <c r="AG1005" s="6">
        <v>46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/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/>
      <c r="BJ1005" s="4">
        <v>83</v>
      </c>
      <c r="BK1005" s="8">
        <v>2099.29</v>
      </c>
      <c r="BL1005" s="2" t="s">
        <v>3558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2480</v>
      </c>
      <c r="BV1005" s="2" t="s">
        <v>97</v>
      </c>
      <c r="BW1005" s="2" t="s">
        <v>100</v>
      </c>
      <c r="BX1005" s="2" t="s">
        <v>100</v>
      </c>
      <c r="BY1005" s="2" t="s">
        <v>113</v>
      </c>
      <c r="BZ1005" s="2" t="s">
        <v>245</v>
      </c>
    </row>
    <row r="1006">
      <c r="A1006" s="2" t="s">
        <v>3559</v>
      </c>
      <c r="B1006" s="2" t="s">
        <v>87</v>
      </c>
      <c r="C1006" s="2" t="s">
        <v>3413</v>
      </c>
      <c r="D1006" s="2" t="s">
        <v>803</v>
      </c>
      <c r="E1006" s="2" t="s">
        <v>1532</v>
      </c>
      <c r="F1006" s="2" t="s">
        <v>3541</v>
      </c>
      <c r="G1006" s="2" t="s">
        <v>3542</v>
      </c>
      <c r="H1006" s="2" t="s">
        <v>3543</v>
      </c>
      <c r="I1006" s="2" t="s">
        <v>3544</v>
      </c>
      <c r="J1006" s="2" t="s">
        <v>237</v>
      </c>
      <c r="K1006" s="2" t="s">
        <v>3560</v>
      </c>
      <c r="L1006" s="3">
        <v>19.04</v>
      </c>
      <c r="M1006" s="3">
        <v>19.99</v>
      </c>
      <c r="N1006" s="3">
        <v>39.99</v>
      </c>
      <c r="O1006" s="2" t="s">
        <v>97</v>
      </c>
      <c r="P1006" s="2" t="s">
        <v>225</v>
      </c>
      <c r="Q1006" s="2" t="s">
        <v>99</v>
      </c>
      <c r="R1006" s="2" t="s">
        <v>100</v>
      </c>
      <c r="S1006" s="2" t="s">
        <v>3561</v>
      </c>
      <c r="T1006" s="2" t="s">
        <v>218</v>
      </c>
      <c r="U1006" s="2" t="s">
        <v>514</v>
      </c>
      <c r="V1006" s="2" t="s">
        <v>3546</v>
      </c>
      <c r="W1006" s="2" t="s">
        <v>561</v>
      </c>
      <c r="X1006" s="2" t="s">
        <v>183</v>
      </c>
      <c r="Y1006" s="2" t="s">
        <v>1163</v>
      </c>
      <c r="Z1006" s="4">
        <v>507</v>
      </c>
      <c r="AA1006" s="4">
        <f>=ROUNDDOWN(253.5,0)</f>
      </c>
      <c r="AB1006" s="5">
        <v>2</v>
      </c>
      <c r="AC1006" s="2" t="s">
        <v>100</v>
      </c>
      <c r="AD1006" s="4"/>
      <c r="AE1006" s="4"/>
      <c r="AF1006" s="6">
        <v>63</v>
      </c>
      <c r="AG1006" s="6">
        <v>46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/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/>
      <c r="BJ1006" s="4">
        <v>21</v>
      </c>
      <c r="BK1006" s="8">
        <v>393.51</v>
      </c>
      <c r="BL1006" s="2" t="s">
        <v>3555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2480</v>
      </c>
      <c r="BV1006" s="2" t="s">
        <v>97</v>
      </c>
      <c r="BW1006" s="2" t="s">
        <v>100</v>
      </c>
      <c r="BX1006" s="2" t="s">
        <v>100</v>
      </c>
      <c r="BY1006" s="2" t="s">
        <v>113</v>
      </c>
      <c r="BZ1006" s="2" t="s">
        <v>245</v>
      </c>
    </row>
    <row r="1007">
      <c r="A1007" s="2" t="s">
        <v>3562</v>
      </c>
      <c r="B1007" s="2" t="s">
        <v>87</v>
      </c>
      <c r="C1007" s="2" t="s">
        <v>3413</v>
      </c>
      <c r="D1007" s="2" t="s">
        <v>803</v>
      </c>
      <c r="E1007" s="2" t="s">
        <v>1532</v>
      </c>
      <c r="F1007" s="2" t="s">
        <v>3541</v>
      </c>
      <c r="G1007" s="2" t="s">
        <v>3542</v>
      </c>
      <c r="H1007" s="2" t="s">
        <v>3543</v>
      </c>
      <c r="I1007" s="2" t="s">
        <v>3544</v>
      </c>
      <c r="J1007" s="2" t="s">
        <v>247</v>
      </c>
      <c r="K1007" s="2" t="s">
        <v>3560</v>
      </c>
      <c r="L1007" s="3">
        <v>23.8</v>
      </c>
      <c r="M1007" s="3">
        <v>24.99</v>
      </c>
      <c r="N1007" s="3">
        <v>49.99</v>
      </c>
      <c r="O1007" s="2" t="s">
        <v>97</v>
      </c>
      <c r="P1007" s="2" t="s">
        <v>225</v>
      </c>
      <c r="Q1007" s="2" t="s">
        <v>99</v>
      </c>
      <c r="R1007" s="2" t="s">
        <v>100</v>
      </c>
      <c r="S1007" s="2" t="s">
        <v>3561</v>
      </c>
      <c r="T1007" s="2" t="s">
        <v>218</v>
      </c>
      <c r="U1007" s="2" t="s">
        <v>480</v>
      </c>
      <c r="V1007" s="2" t="s">
        <v>3546</v>
      </c>
      <c r="W1007" s="2" t="s">
        <v>561</v>
      </c>
      <c r="X1007" s="2" t="s">
        <v>183</v>
      </c>
      <c r="Y1007" s="2" t="s">
        <v>2162</v>
      </c>
      <c r="Z1007" s="4">
        <v>1486</v>
      </c>
      <c r="AA1007" s="4">
        <f>=ROUNDDOWN(495.333333333333,0)</f>
      </c>
      <c r="AB1007" s="5">
        <v>3</v>
      </c>
      <c r="AC1007" s="2" t="s">
        <v>100</v>
      </c>
      <c r="AD1007" s="4"/>
      <c r="AE1007" s="4"/>
      <c r="AF1007" s="6">
        <v>63</v>
      </c>
      <c r="AG1007" s="6">
        <v>46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/>
      <c r="BJ1007" s="4">
        <v>50</v>
      </c>
      <c r="BK1007" s="8">
        <v>1184.75</v>
      </c>
      <c r="BL1007" s="2" t="s">
        <v>3563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2480</v>
      </c>
      <c r="BV1007" s="2" t="s">
        <v>97</v>
      </c>
      <c r="BW1007" s="2" t="s">
        <v>100</v>
      </c>
      <c r="BX1007" s="2" t="s">
        <v>100</v>
      </c>
      <c r="BY1007" s="2" t="s">
        <v>113</v>
      </c>
      <c r="BZ1007" s="2" t="s">
        <v>245</v>
      </c>
    </row>
    <row r="1008">
      <c r="A1008" s="2" t="s">
        <v>3564</v>
      </c>
      <c r="B1008" s="2" t="s">
        <v>87</v>
      </c>
      <c r="C1008" s="2" t="s">
        <v>3413</v>
      </c>
      <c r="D1008" s="2" t="s">
        <v>803</v>
      </c>
      <c r="E1008" s="2" t="s">
        <v>1532</v>
      </c>
      <c r="F1008" s="2" t="s">
        <v>3541</v>
      </c>
      <c r="G1008" s="2" t="s">
        <v>3542</v>
      </c>
      <c r="H1008" s="2" t="s">
        <v>3543</v>
      </c>
      <c r="I1008" s="2" t="s">
        <v>3544</v>
      </c>
      <c r="J1008" s="2" t="s">
        <v>270</v>
      </c>
      <c r="K1008" s="2" t="s">
        <v>3560</v>
      </c>
      <c r="L1008" s="3">
        <v>26.19</v>
      </c>
      <c r="M1008" s="3">
        <v>27.5</v>
      </c>
      <c r="N1008" s="3">
        <v>54.99</v>
      </c>
      <c r="O1008" s="2" t="s">
        <v>97</v>
      </c>
      <c r="P1008" s="2" t="s">
        <v>225</v>
      </c>
      <c r="Q1008" s="2" t="s">
        <v>99</v>
      </c>
      <c r="R1008" s="2" t="s">
        <v>100</v>
      </c>
      <c r="S1008" s="2" t="s">
        <v>3561</v>
      </c>
      <c r="T1008" s="2" t="s">
        <v>218</v>
      </c>
      <c r="U1008" s="2" t="s">
        <v>480</v>
      </c>
      <c r="V1008" s="2" t="s">
        <v>3546</v>
      </c>
      <c r="W1008" s="2" t="s">
        <v>561</v>
      </c>
      <c r="X1008" s="2" t="s">
        <v>183</v>
      </c>
      <c r="Y1008" s="2" t="s">
        <v>2162</v>
      </c>
      <c r="Z1008" s="4">
        <v>1228</v>
      </c>
      <c r="AA1008" s="4">
        <f>=ROUNDDOWN(722.35294117647,0)</f>
      </c>
      <c r="AB1008" s="5">
        <v>1.7</v>
      </c>
      <c r="AC1008" s="2" t="s">
        <v>100</v>
      </c>
      <c r="AD1008" s="4"/>
      <c r="AE1008" s="4"/>
      <c r="AF1008" s="6">
        <v>63</v>
      </c>
      <c r="AG1008" s="6">
        <v>46</v>
      </c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/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/>
      <c r="BJ1008" s="4">
        <v>21</v>
      </c>
      <c r="BK1008" s="8">
        <v>657.65</v>
      </c>
      <c r="BL1008" s="2" t="s">
        <v>3550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2480</v>
      </c>
      <c r="BV1008" s="2" t="s">
        <v>97</v>
      </c>
      <c r="BW1008" s="2" t="s">
        <v>100</v>
      </c>
      <c r="BX1008" s="2" t="s">
        <v>100</v>
      </c>
      <c r="BY1008" s="2" t="s">
        <v>113</v>
      </c>
      <c r="BZ1008" s="2" t="s">
        <v>245</v>
      </c>
    </row>
    <row r="1009">
      <c r="A1009" s="2" t="s">
        <v>3565</v>
      </c>
      <c r="B1009" s="2" t="s">
        <v>87</v>
      </c>
      <c r="C1009" s="2" t="s">
        <v>3413</v>
      </c>
      <c r="D1009" s="2" t="s">
        <v>803</v>
      </c>
      <c r="E1009" s="2" t="s">
        <v>1532</v>
      </c>
      <c r="F1009" s="2" t="s">
        <v>3566</v>
      </c>
      <c r="G1009" s="2" t="s">
        <v>3567</v>
      </c>
      <c r="H1009" s="2" t="s">
        <v>3568</v>
      </c>
      <c r="I1009" s="2" t="s">
        <v>3569</v>
      </c>
      <c r="J1009" s="2" t="s">
        <v>237</v>
      </c>
      <c r="K1009" s="2" t="s">
        <v>432</v>
      </c>
      <c r="L1009" s="3">
        <v>22.85</v>
      </c>
      <c r="M1009" s="3">
        <v>23.99</v>
      </c>
      <c r="N1009" s="3">
        <v>43.99</v>
      </c>
      <c r="O1009" s="2" t="s">
        <v>97</v>
      </c>
      <c r="P1009" s="2" t="s">
        <v>307</v>
      </c>
      <c r="Q1009" s="2" t="s">
        <v>99</v>
      </c>
      <c r="R1009" s="2" t="s">
        <v>100</v>
      </c>
      <c r="S1009" s="2" t="s">
        <v>3570</v>
      </c>
      <c r="T1009" s="2" t="s">
        <v>218</v>
      </c>
      <c r="U1009" s="2" t="s">
        <v>514</v>
      </c>
      <c r="V1009" s="2" t="s">
        <v>403</v>
      </c>
      <c r="W1009" s="2" t="s">
        <v>158</v>
      </c>
      <c r="X1009" s="2" t="s">
        <v>183</v>
      </c>
      <c r="Y1009" s="2" t="s">
        <v>3571</v>
      </c>
      <c r="Z1009" s="4">
        <v>572</v>
      </c>
      <c r="AA1009" s="4">
        <f>=ROUNDDOWN(16.8235294117647,0)</f>
      </c>
      <c r="AB1009" s="5">
        <v>34</v>
      </c>
      <c r="AC1009" s="2" t="s">
        <v>241</v>
      </c>
      <c r="AD1009" s="4">
        <v>150</v>
      </c>
      <c r="AE1009" s="4">
        <v>1260</v>
      </c>
      <c r="AF1009" s="6">
        <v>63</v>
      </c>
      <c r="AG1009" s="6">
        <v>46</v>
      </c>
      <c r="AH1009" s="7">
        <v>0.6685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/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/>
      <c r="BJ1009" s="4">
        <v>704</v>
      </c>
      <c r="BK1009" s="8">
        <v>16570.88</v>
      </c>
      <c r="BL1009" s="2" t="s">
        <v>3572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2480</v>
      </c>
      <c r="BV1009" s="2" t="s">
        <v>97</v>
      </c>
      <c r="BW1009" s="2" t="s">
        <v>100</v>
      </c>
      <c r="BX1009" s="2" t="s">
        <v>100</v>
      </c>
      <c r="BY1009" s="2" t="s">
        <v>113</v>
      </c>
      <c r="BZ1009" s="2" t="s">
        <v>245</v>
      </c>
    </row>
    <row r="1010">
      <c r="A1010" s="2" t="s">
        <v>3573</v>
      </c>
      <c r="B1010" s="2" t="s">
        <v>87</v>
      </c>
      <c r="C1010" s="2" t="s">
        <v>3413</v>
      </c>
      <c r="D1010" s="2" t="s">
        <v>803</v>
      </c>
      <c r="E1010" s="2" t="s">
        <v>1532</v>
      </c>
      <c r="F1010" s="2" t="s">
        <v>3566</v>
      </c>
      <c r="G1010" s="2" t="s">
        <v>3567</v>
      </c>
      <c r="H1010" s="2" t="s">
        <v>3568</v>
      </c>
      <c r="I1010" s="2" t="s">
        <v>3569</v>
      </c>
      <c r="J1010" s="2" t="s">
        <v>247</v>
      </c>
      <c r="K1010" s="2" t="s">
        <v>432</v>
      </c>
      <c r="L1010" s="3">
        <v>27.61</v>
      </c>
      <c r="M1010" s="3">
        <v>28.99</v>
      </c>
      <c r="N1010" s="3">
        <v>49.99</v>
      </c>
      <c r="O1010" s="2" t="s">
        <v>97</v>
      </c>
      <c r="P1010" s="2" t="s">
        <v>307</v>
      </c>
      <c r="Q1010" s="2" t="s">
        <v>99</v>
      </c>
      <c r="R1010" s="2" t="s">
        <v>100</v>
      </c>
      <c r="S1010" s="2" t="s">
        <v>3570</v>
      </c>
      <c r="T1010" s="2" t="s">
        <v>218</v>
      </c>
      <c r="U1010" s="2" t="s">
        <v>480</v>
      </c>
      <c r="V1010" s="2" t="s">
        <v>403</v>
      </c>
      <c r="W1010" s="2" t="s">
        <v>158</v>
      </c>
      <c r="X1010" s="2" t="s">
        <v>183</v>
      </c>
      <c r="Y1010" s="2" t="s">
        <v>3571</v>
      </c>
      <c r="Z1010" s="4">
        <v>826</v>
      </c>
      <c r="AA1010" s="4">
        <f>=ROUNDDOWN(12.90625,0)</f>
      </c>
      <c r="AB1010" s="5">
        <v>64</v>
      </c>
      <c r="AC1010" s="2" t="s">
        <v>241</v>
      </c>
      <c r="AD1010" s="4">
        <v>150</v>
      </c>
      <c r="AE1010" s="4">
        <v>1470</v>
      </c>
      <c r="AF1010" s="6">
        <v>63</v>
      </c>
      <c r="AG1010" s="6">
        <v>46</v>
      </c>
      <c r="AH1010" s="7">
        <v>0.8453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/>
      <c r="BJ1010" s="4">
        <v>1100</v>
      </c>
      <c r="BK1010" s="8">
        <v>32024.15</v>
      </c>
      <c r="BL1010" s="2" t="s">
        <v>3574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2480</v>
      </c>
      <c r="BV1010" s="2" t="s">
        <v>97</v>
      </c>
      <c r="BW1010" s="2" t="s">
        <v>100</v>
      </c>
      <c r="BX1010" s="2" t="s">
        <v>100</v>
      </c>
      <c r="BY1010" s="2" t="s">
        <v>113</v>
      </c>
      <c r="BZ1010" s="2" t="s">
        <v>245</v>
      </c>
    </row>
    <row r="1011">
      <c r="A1011" s="2" t="s">
        <v>3575</v>
      </c>
      <c r="B1011" s="2" t="s">
        <v>87</v>
      </c>
      <c r="C1011" s="2" t="s">
        <v>3413</v>
      </c>
      <c r="D1011" s="2" t="s">
        <v>803</v>
      </c>
      <c r="E1011" s="2" t="s">
        <v>1532</v>
      </c>
      <c r="F1011" s="2" t="s">
        <v>3566</v>
      </c>
      <c r="G1011" s="2" t="s">
        <v>3567</v>
      </c>
      <c r="H1011" s="2" t="s">
        <v>3568</v>
      </c>
      <c r="I1011" s="2" t="s">
        <v>3569</v>
      </c>
      <c r="J1011" s="2" t="s">
        <v>270</v>
      </c>
      <c r="K1011" s="2" t="s">
        <v>432</v>
      </c>
      <c r="L1011" s="3">
        <v>30.95</v>
      </c>
      <c r="M1011" s="3">
        <v>32.5</v>
      </c>
      <c r="N1011" s="3">
        <v>54.99</v>
      </c>
      <c r="O1011" s="2" t="s">
        <v>97</v>
      </c>
      <c r="P1011" s="2" t="s">
        <v>307</v>
      </c>
      <c r="Q1011" s="2" t="s">
        <v>99</v>
      </c>
      <c r="R1011" s="2" t="s">
        <v>100</v>
      </c>
      <c r="S1011" s="2" t="s">
        <v>3570</v>
      </c>
      <c r="T1011" s="2" t="s">
        <v>218</v>
      </c>
      <c r="U1011" s="2" t="s">
        <v>480</v>
      </c>
      <c r="V1011" s="2" t="s">
        <v>403</v>
      </c>
      <c r="W1011" s="2" t="s">
        <v>158</v>
      </c>
      <c r="X1011" s="2" t="s">
        <v>183</v>
      </c>
      <c r="Y1011" s="2" t="s">
        <v>1163</v>
      </c>
      <c r="Z1011" s="4">
        <v>1192</v>
      </c>
      <c r="AA1011" s="4">
        <f>=ROUNDDOWN(91.6923076923077,0)</f>
      </c>
      <c r="AB1011" s="5">
        <v>13</v>
      </c>
      <c r="AC1011" s="2" t="s">
        <v>100</v>
      </c>
      <c r="AD1011" s="4"/>
      <c r="AE1011" s="4"/>
      <c r="AF1011" s="6">
        <v>63</v>
      </c>
      <c r="AG1011" s="6">
        <v>46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/>
      <c r="BJ1011" s="4">
        <v>301</v>
      </c>
      <c r="BK1011" s="8">
        <v>9496.28</v>
      </c>
      <c r="BL1011" s="2" t="s">
        <v>3572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2480</v>
      </c>
      <c r="BV1011" s="2" t="s">
        <v>97</v>
      </c>
      <c r="BW1011" s="2" t="s">
        <v>100</v>
      </c>
      <c r="BX1011" s="2" t="s">
        <v>100</v>
      </c>
      <c r="BY1011" s="2" t="s">
        <v>113</v>
      </c>
      <c r="BZ1011" s="2" t="s">
        <v>245</v>
      </c>
    </row>
    <row r="1012">
      <c r="A1012" s="2" t="s">
        <v>3576</v>
      </c>
      <c r="B1012" s="2" t="s">
        <v>87</v>
      </c>
      <c r="C1012" s="2" t="s">
        <v>3413</v>
      </c>
      <c r="D1012" s="2" t="s">
        <v>803</v>
      </c>
      <c r="E1012" s="2" t="s">
        <v>1532</v>
      </c>
      <c r="F1012" s="2" t="s">
        <v>3566</v>
      </c>
      <c r="G1012" s="2" t="s">
        <v>3567</v>
      </c>
      <c r="H1012" s="2" t="s">
        <v>3568</v>
      </c>
      <c r="I1012" s="2" t="s">
        <v>3569</v>
      </c>
      <c r="J1012" s="2" t="s">
        <v>237</v>
      </c>
      <c r="K1012" s="2" t="s">
        <v>1148</v>
      </c>
      <c r="L1012" s="3">
        <v>22.85</v>
      </c>
      <c r="M1012" s="3">
        <v>23.99</v>
      </c>
      <c r="N1012" s="3">
        <v>43.99</v>
      </c>
      <c r="O1012" s="2" t="s">
        <v>97</v>
      </c>
      <c r="P1012" s="2" t="s">
        <v>98</v>
      </c>
      <c r="Q1012" s="2" t="s">
        <v>99</v>
      </c>
      <c r="R1012" s="2" t="s">
        <v>100</v>
      </c>
      <c r="S1012" s="2" t="s">
        <v>3577</v>
      </c>
      <c r="T1012" s="2" t="s">
        <v>218</v>
      </c>
      <c r="U1012" s="2" t="s">
        <v>514</v>
      </c>
      <c r="V1012" s="2" t="s">
        <v>403</v>
      </c>
      <c r="W1012" s="2" t="s">
        <v>158</v>
      </c>
      <c r="X1012" s="2" t="s">
        <v>183</v>
      </c>
      <c r="Y1012" s="2" t="s">
        <v>3571</v>
      </c>
      <c r="Z1012" s="4">
        <v>344</v>
      </c>
      <c r="AA1012" s="4">
        <f>=ROUNDDOWN(19.1111111111111,0)</f>
      </c>
      <c r="AB1012" s="5">
        <v>18</v>
      </c>
      <c r="AC1012" s="2" t="s">
        <v>205</v>
      </c>
      <c r="AD1012" s="4">
        <v>120</v>
      </c>
      <c r="AE1012" s="4">
        <v>360</v>
      </c>
      <c r="AF1012" s="6">
        <v>63</v>
      </c>
      <c r="AG1012" s="6">
        <v>46</v>
      </c>
      <c r="AH1012" s="7">
        <v>0.8453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/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/>
      <c r="BJ1012" s="4">
        <v>306</v>
      </c>
      <c r="BK1012" s="8">
        <v>7356.05</v>
      </c>
      <c r="BL1012" s="2" t="s">
        <v>3572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207</v>
      </c>
      <c r="BV1012" s="2" t="s">
        <v>97</v>
      </c>
      <c r="BW1012" s="2" t="s">
        <v>100</v>
      </c>
      <c r="BX1012" s="2" t="s">
        <v>100</v>
      </c>
      <c r="BY1012" s="2" t="s">
        <v>113</v>
      </c>
      <c r="BZ1012" s="2" t="s">
        <v>245</v>
      </c>
    </row>
    <row r="1013">
      <c r="A1013" s="2" t="s">
        <v>3578</v>
      </c>
      <c r="B1013" s="2" t="s">
        <v>87</v>
      </c>
      <c r="C1013" s="2" t="s">
        <v>3413</v>
      </c>
      <c r="D1013" s="2" t="s">
        <v>803</v>
      </c>
      <c r="E1013" s="2" t="s">
        <v>1532</v>
      </c>
      <c r="F1013" s="2" t="s">
        <v>3566</v>
      </c>
      <c r="G1013" s="2" t="s">
        <v>3567</v>
      </c>
      <c r="H1013" s="2" t="s">
        <v>3568</v>
      </c>
      <c r="I1013" s="2" t="s">
        <v>3569</v>
      </c>
      <c r="J1013" s="2" t="s">
        <v>247</v>
      </c>
      <c r="K1013" s="2" t="s">
        <v>1148</v>
      </c>
      <c r="L1013" s="3">
        <v>27.61</v>
      </c>
      <c r="M1013" s="3">
        <v>28.99</v>
      </c>
      <c r="N1013" s="3">
        <v>49.99</v>
      </c>
      <c r="O1013" s="2" t="s">
        <v>97</v>
      </c>
      <c r="P1013" s="2" t="s">
        <v>98</v>
      </c>
      <c r="Q1013" s="2" t="s">
        <v>99</v>
      </c>
      <c r="R1013" s="2" t="s">
        <v>100</v>
      </c>
      <c r="S1013" s="2" t="s">
        <v>3577</v>
      </c>
      <c r="T1013" s="2" t="s">
        <v>218</v>
      </c>
      <c r="U1013" s="2" t="s">
        <v>480</v>
      </c>
      <c r="V1013" s="2" t="s">
        <v>403</v>
      </c>
      <c r="W1013" s="2" t="s">
        <v>158</v>
      </c>
      <c r="X1013" s="2" t="s">
        <v>183</v>
      </c>
      <c r="Y1013" s="2" t="s">
        <v>3571</v>
      </c>
      <c r="Z1013" s="4">
        <v>1358</v>
      </c>
      <c r="AA1013" s="4">
        <f>=ROUNDDOWN(45.2666666666667,0)</f>
      </c>
      <c r="AB1013" s="5">
        <v>30</v>
      </c>
      <c r="AC1013" s="2" t="s">
        <v>3579</v>
      </c>
      <c r="AD1013" s="4">
        <v>300</v>
      </c>
      <c r="AE1013" s="4">
        <v>690</v>
      </c>
      <c r="AF1013" s="6">
        <v>63</v>
      </c>
      <c r="AG1013" s="6">
        <v>46</v>
      </c>
      <c r="AH1013" s="7">
        <v>0.8453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/>
      <c r="BJ1013" s="4">
        <v>518</v>
      </c>
      <c r="BK1013" s="8">
        <v>14807.57</v>
      </c>
      <c r="BL1013" s="2" t="s">
        <v>3572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207</v>
      </c>
      <c r="BV1013" s="2" t="s">
        <v>97</v>
      </c>
      <c r="BW1013" s="2" t="s">
        <v>100</v>
      </c>
      <c r="BX1013" s="2" t="s">
        <v>100</v>
      </c>
      <c r="BY1013" s="2" t="s">
        <v>113</v>
      </c>
      <c r="BZ1013" s="2" t="s">
        <v>245</v>
      </c>
    </row>
    <row r="1014">
      <c r="A1014" s="2" t="s">
        <v>3580</v>
      </c>
      <c r="B1014" s="2" t="s">
        <v>87</v>
      </c>
      <c r="C1014" s="2" t="s">
        <v>3413</v>
      </c>
      <c r="D1014" s="2" t="s">
        <v>803</v>
      </c>
      <c r="E1014" s="2" t="s">
        <v>1532</v>
      </c>
      <c r="F1014" s="2" t="s">
        <v>3566</v>
      </c>
      <c r="G1014" s="2" t="s">
        <v>3567</v>
      </c>
      <c r="H1014" s="2" t="s">
        <v>3568</v>
      </c>
      <c r="I1014" s="2" t="s">
        <v>3569</v>
      </c>
      <c r="J1014" s="2" t="s">
        <v>270</v>
      </c>
      <c r="K1014" s="2" t="s">
        <v>1148</v>
      </c>
      <c r="L1014" s="3">
        <v>30.95</v>
      </c>
      <c r="M1014" s="3">
        <v>32.5</v>
      </c>
      <c r="N1014" s="3">
        <v>54.99</v>
      </c>
      <c r="O1014" s="2" t="s">
        <v>97</v>
      </c>
      <c r="P1014" s="2" t="s">
        <v>98</v>
      </c>
      <c r="Q1014" s="2" t="s">
        <v>99</v>
      </c>
      <c r="R1014" s="2" t="s">
        <v>100</v>
      </c>
      <c r="S1014" s="2" t="s">
        <v>3577</v>
      </c>
      <c r="T1014" s="2" t="s">
        <v>218</v>
      </c>
      <c r="U1014" s="2" t="s">
        <v>480</v>
      </c>
      <c r="V1014" s="2" t="s">
        <v>403</v>
      </c>
      <c r="W1014" s="2" t="s">
        <v>158</v>
      </c>
      <c r="X1014" s="2" t="s">
        <v>183</v>
      </c>
      <c r="Y1014" s="2" t="s">
        <v>2162</v>
      </c>
      <c r="Z1014" s="4">
        <v>1103</v>
      </c>
      <c r="AA1014" s="4">
        <f>=ROUNDDOWN(50.1363636363636,0)</f>
      </c>
      <c r="AB1014" s="5">
        <v>22</v>
      </c>
      <c r="AC1014" s="2" t="s">
        <v>3579</v>
      </c>
      <c r="AD1014" s="4">
        <v>120</v>
      </c>
      <c r="AE1014" s="4">
        <v>450</v>
      </c>
      <c r="AF1014" s="6">
        <v>63</v>
      </c>
      <c r="AG1014" s="6">
        <v>46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/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/>
      <c r="BJ1014" s="4">
        <v>375</v>
      </c>
      <c r="BK1014" s="8">
        <v>11615.82</v>
      </c>
      <c r="BL1014" s="2" t="s">
        <v>3581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207</v>
      </c>
      <c r="BV1014" s="2" t="s">
        <v>97</v>
      </c>
      <c r="BW1014" s="2" t="s">
        <v>100</v>
      </c>
      <c r="BX1014" s="2" t="s">
        <v>100</v>
      </c>
      <c r="BY1014" s="2" t="s">
        <v>113</v>
      </c>
      <c r="BZ1014" s="2" t="s">
        <v>245</v>
      </c>
    </row>
    <row r="1015">
      <c r="A1015" s="2" t="s">
        <v>3582</v>
      </c>
      <c r="B1015" s="2" t="s">
        <v>87</v>
      </c>
      <c r="C1015" s="2" t="s">
        <v>3413</v>
      </c>
      <c r="D1015" s="2" t="s">
        <v>803</v>
      </c>
      <c r="E1015" s="2" t="s">
        <v>1532</v>
      </c>
      <c r="F1015" s="2" t="s">
        <v>3566</v>
      </c>
      <c r="G1015" s="2" t="s">
        <v>3567</v>
      </c>
      <c r="H1015" s="2" t="s">
        <v>3568</v>
      </c>
      <c r="I1015" s="2" t="s">
        <v>3569</v>
      </c>
      <c r="J1015" s="2" t="s">
        <v>237</v>
      </c>
      <c r="K1015" s="2" t="s">
        <v>1614</v>
      </c>
      <c r="L1015" s="3">
        <v>22.85</v>
      </c>
      <c r="M1015" s="3">
        <v>23.99</v>
      </c>
      <c r="N1015" s="3">
        <v>43.99</v>
      </c>
      <c r="O1015" s="2" t="s">
        <v>97</v>
      </c>
      <c r="P1015" s="2" t="s">
        <v>307</v>
      </c>
      <c r="Q1015" s="2" t="s">
        <v>99</v>
      </c>
      <c r="R1015" s="2" t="s">
        <v>100</v>
      </c>
      <c r="S1015" s="2" t="s">
        <v>3583</v>
      </c>
      <c r="T1015" s="2" t="s">
        <v>218</v>
      </c>
      <c r="U1015" s="2" t="s">
        <v>514</v>
      </c>
      <c r="V1015" s="2" t="s">
        <v>403</v>
      </c>
      <c r="W1015" s="2" t="s">
        <v>158</v>
      </c>
      <c r="X1015" s="2" t="s">
        <v>183</v>
      </c>
      <c r="Y1015" s="2" t="s">
        <v>3584</v>
      </c>
      <c r="Z1015" s="4">
        <v>682</v>
      </c>
      <c r="AA1015" s="4">
        <f>=ROUNDDOWN(8.31707317073171,0)</f>
      </c>
      <c r="AB1015" s="5">
        <v>82</v>
      </c>
      <c r="AC1015" s="2" t="s">
        <v>356</v>
      </c>
      <c r="AD1015" s="4">
        <v>450</v>
      </c>
      <c r="AE1015" s="4">
        <v>1590</v>
      </c>
      <c r="AF1015" s="6">
        <v>63</v>
      </c>
      <c r="AG1015" s="6">
        <v>46</v>
      </c>
      <c r="AH1015" s="7">
        <v>0.519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/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/>
      <c r="BJ1015" s="4">
        <v>847</v>
      </c>
      <c r="BK1015" s="8">
        <v>20009.96</v>
      </c>
      <c r="BL1015" s="2" t="s">
        <v>3574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2480</v>
      </c>
      <c r="BV1015" s="2" t="s">
        <v>97</v>
      </c>
      <c r="BW1015" s="2" t="s">
        <v>100</v>
      </c>
      <c r="BX1015" s="2" t="s">
        <v>100</v>
      </c>
      <c r="BY1015" s="2" t="s">
        <v>113</v>
      </c>
      <c r="BZ1015" s="2" t="s">
        <v>245</v>
      </c>
    </row>
    <row r="1016">
      <c r="A1016" s="2" t="s">
        <v>3585</v>
      </c>
      <c r="B1016" s="2" t="s">
        <v>87</v>
      </c>
      <c r="C1016" s="2" t="s">
        <v>3413</v>
      </c>
      <c r="D1016" s="2" t="s">
        <v>803</v>
      </c>
      <c r="E1016" s="2" t="s">
        <v>1532</v>
      </c>
      <c r="F1016" s="2" t="s">
        <v>3566</v>
      </c>
      <c r="G1016" s="2" t="s">
        <v>3567</v>
      </c>
      <c r="H1016" s="2" t="s">
        <v>3568</v>
      </c>
      <c r="I1016" s="2" t="s">
        <v>3569</v>
      </c>
      <c r="J1016" s="2" t="s">
        <v>247</v>
      </c>
      <c r="K1016" s="2" t="s">
        <v>1614</v>
      </c>
      <c r="L1016" s="3">
        <v>27.61</v>
      </c>
      <c r="M1016" s="3">
        <v>28.99</v>
      </c>
      <c r="N1016" s="3">
        <v>49.99</v>
      </c>
      <c r="O1016" s="2" t="s">
        <v>97</v>
      </c>
      <c r="P1016" s="2" t="s">
        <v>307</v>
      </c>
      <c r="Q1016" s="2" t="s">
        <v>99</v>
      </c>
      <c r="R1016" s="2" t="s">
        <v>100</v>
      </c>
      <c r="S1016" s="2" t="s">
        <v>3583</v>
      </c>
      <c r="T1016" s="2" t="s">
        <v>218</v>
      </c>
      <c r="U1016" s="2" t="s">
        <v>480</v>
      </c>
      <c r="V1016" s="2" t="s">
        <v>403</v>
      </c>
      <c r="W1016" s="2" t="s">
        <v>158</v>
      </c>
      <c r="X1016" s="2" t="s">
        <v>183</v>
      </c>
      <c r="Y1016" s="2" t="s">
        <v>3584</v>
      </c>
      <c r="Z1016" s="4">
        <v>1219</v>
      </c>
      <c r="AA1016" s="4">
        <f>=ROUNDDOWN(19.046875,0)</f>
      </c>
      <c r="AB1016" s="5">
        <v>64</v>
      </c>
      <c r="AC1016" s="2" t="s">
        <v>356</v>
      </c>
      <c r="AD1016" s="4">
        <v>90</v>
      </c>
      <c r="AE1016" s="4">
        <v>1890</v>
      </c>
      <c r="AF1016" s="6">
        <v>63</v>
      </c>
      <c r="AG1016" s="6">
        <v>46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/>
      <c r="BJ1016" s="4">
        <v>1412</v>
      </c>
      <c r="BK1016" s="8">
        <v>40123.97</v>
      </c>
      <c r="BL1016" s="2" t="s">
        <v>3586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2480</v>
      </c>
      <c r="BV1016" s="2" t="s">
        <v>97</v>
      </c>
      <c r="BW1016" s="2" t="s">
        <v>100</v>
      </c>
      <c r="BX1016" s="2" t="s">
        <v>100</v>
      </c>
      <c r="BY1016" s="2" t="s">
        <v>113</v>
      </c>
      <c r="BZ1016" s="2" t="s">
        <v>245</v>
      </c>
    </row>
    <row r="1017">
      <c r="A1017" s="2" t="s">
        <v>3587</v>
      </c>
      <c r="B1017" s="2" t="s">
        <v>87</v>
      </c>
      <c r="C1017" s="2" t="s">
        <v>3413</v>
      </c>
      <c r="D1017" s="2" t="s">
        <v>803</v>
      </c>
      <c r="E1017" s="2" t="s">
        <v>1532</v>
      </c>
      <c r="F1017" s="2" t="s">
        <v>3566</v>
      </c>
      <c r="G1017" s="2" t="s">
        <v>3567</v>
      </c>
      <c r="H1017" s="2" t="s">
        <v>3568</v>
      </c>
      <c r="I1017" s="2" t="s">
        <v>3569</v>
      </c>
      <c r="J1017" s="2" t="s">
        <v>270</v>
      </c>
      <c r="K1017" s="2" t="s">
        <v>1614</v>
      </c>
      <c r="L1017" s="3">
        <v>30.95</v>
      </c>
      <c r="M1017" s="3">
        <v>32.5</v>
      </c>
      <c r="N1017" s="3">
        <v>54.99</v>
      </c>
      <c r="O1017" s="2" t="s">
        <v>97</v>
      </c>
      <c r="P1017" s="2" t="s">
        <v>307</v>
      </c>
      <c r="Q1017" s="2" t="s">
        <v>99</v>
      </c>
      <c r="R1017" s="2" t="s">
        <v>100</v>
      </c>
      <c r="S1017" s="2" t="s">
        <v>3583</v>
      </c>
      <c r="T1017" s="2" t="s">
        <v>218</v>
      </c>
      <c r="U1017" s="2" t="s">
        <v>480</v>
      </c>
      <c r="V1017" s="2" t="s">
        <v>403</v>
      </c>
      <c r="W1017" s="2" t="s">
        <v>158</v>
      </c>
      <c r="X1017" s="2" t="s">
        <v>183</v>
      </c>
      <c r="Y1017" s="2" t="s">
        <v>1163</v>
      </c>
      <c r="Z1017" s="4">
        <v>1341</v>
      </c>
      <c r="AA1017" s="4">
        <f>=ROUNDDOWN(46.2413793103448,0)</f>
      </c>
      <c r="AB1017" s="5">
        <v>29</v>
      </c>
      <c r="AC1017" s="2" t="s">
        <v>100</v>
      </c>
      <c r="AD1017" s="4"/>
      <c r="AE1017" s="4"/>
      <c r="AF1017" s="6">
        <v>63</v>
      </c>
      <c r="AG1017" s="6">
        <v>46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/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/>
      <c r="BJ1017" s="4">
        <v>543</v>
      </c>
      <c r="BK1017" s="8">
        <v>17354.38</v>
      </c>
      <c r="BL1017" s="2" t="s">
        <v>3581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2480</v>
      </c>
      <c r="BV1017" s="2" t="s">
        <v>97</v>
      </c>
      <c r="BW1017" s="2" t="s">
        <v>100</v>
      </c>
      <c r="BX1017" s="2" t="s">
        <v>100</v>
      </c>
      <c r="BY1017" s="2" t="s">
        <v>113</v>
      </c>
      <c r="BZ1017" s="2" t="s">
        <v>245</v>
      </c>
    </row>
    <row r="1018">
      <c r="A1018" s="2" t="s">
        <v>3588</v>
      </c>
      <c r="B1018" s="2" t="s">
        <v>87</v>
      </c>
      <c r="C1018" s="2" t="s">
        <v>3413</v>
      </c>
      <c r="D1018" s="2" t="s">
        <v>803</v>
      </c>
      <c r="E1018" s="2" t="s">
        <v>1532</v>
      </c>
      <c r="F1018" s="2" t="s">
        <v>3566</v>
      </c>
      <c r="G1018" s="2" t="s">
        <v>3567</v>
      </c>
      <c r="H1018" s="2" t="s">
        <v>3568</v>
      </c>
      <c r="I1018" s="2" t="s">
        <v>3569</v>
      </c>
      <c r="J1018" s="2" t="s">
        <v>237</v>
      </c>
      <c r="K1018" s="2" t="s">
        <v>209</v>
      </c>
      <c r="L1018" s="3">
        <v>22.85</v>
      </c>
      <c r="M1018" s="3">
        <v>23.99</v>
      </c>
      <c r="N1018" s="3">
        <v>47.99</v>
      </c>
      <c r="O1018" s="2" t="s">
        <v>97</v>
      </c>
      <c r="P1018" s="2" t="s">
        <v>307</v>
      </c>
      <c r="Q1018" s="2" t="s">
        <v>99</v>
      </c>
      <c r="R1018" s="2" t="s">
        <v>100</v>
      </c>
      <c r="S1018" s="2" t="s">
        <v>3589</v>
      </c>
      <c r="T1018" s="2" t="s">
        <v>218</v>
      </c>
      <c r="U1018" s="2" t="s">
        <v>514</v>
      </c>
      <c r="V1018" s="2" t="s">
        <v>403</v>
      </c>
      <c r="W1018" s="2" t="s">
        <v>158</v>
      </c>
      <c r="X1018" s="2" t="s">
        <v>183</v>
      </c>
      <c r="Y1018" s="2" t="s">
        <v>3571</v>
      </c>
      <c r="Z1018" s="4">
        <v>122</v>
      </c>
      <c r="AA1018" s="4">
        <f>=ROUNDDOWN(6.77777777777778,0)</f>
      </c>
      <c r="AB1018" s="5">
        <v>18</v>
      </c>
      <c r="AC1018" s="2" t="s">
        <v>241</v>
      </c>
      <c r="AD1018" s="4">
        <v>180</v>
      </c>
      <c r="AE1018" s="4">
        <v>510</v>
      </c>
      <c r="AF1018" s="6">
        <v>63</v>
      </c>
      <c r="AG1018" s="6">
        <v>46</v>
      </c>
      <c r="AH1018" s="7">
        <v>0.5525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/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/>
      <c r="BJ1018" s="4">
        <v>189</v>
      </c>
      <c r="BK1018" s="8">
        <v>4366.19</v>
      </c>
      <c r="BL1018" s="2" t="s">
        <v>3590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2480</v>
      </c>
      <c r="BV1018" s="2" t="s">
        <v>97</v>
      </c>
      <c r="BW1018" s="2" t="s">
        <v>100</v>
      </c>
      <c r="BX1018" s="2" t="s">
        <v>100</v>
      </c>
      <c r="BY1018" s="2" t="s">
        <v>113</v>
      </c>
      <c r="BZ1018" s="2" t="s">
        <v>245</v>
      </c>
    </row>
    <row r="1019">
      <c r="A1019" s="2" t="s">
        <v>3591</v>
      </c>
      <c r="B1019" s="2" t="s">
        <v>87</v>
      </c>
      <c r="C1019" s="2" t="s">
        <v>3413</v>
      </c>
      <c r="D1019" s="2" t="s">
        <v>803</v>
      </c>
      <c r="E1019" s="2" t="s">
        <v>1532</v>
      </c>
      <c r="F1019" s="2" t="s">
        <v>3566</v>
      </c>
      <c r="G1019" s="2" t="s">
        <v>3567</v>
      </c>
      <c r="H1019" s="2" t="s">
        <v>3568</v>
      </c>
      <c r="I1019" s="2" t="s">
        <v>3569</v>
      </c>
      <c r="J1019" s="2" t="s">
        <v>247</v>
      </c>
      <c r="K1019" s="2" t="s">
        <v>209</v>
      </c>
      <c r="L1019" s="3">
        <v>27.61</v>
      </c>
      <c r="M1019" s="3">
        <v>28.99</v>
      </c>
      <c r="N1019" s="3">
        <v>57.99</v>
      </c>
      <c r="O1019" s="2" t="s">
        <v>97</v>
      </c>
      <c r="P1019" s="2" t="s">
        <v>307</v>
      </c>
      <c r="Q1019" s="2" t="s">
        <v>99</v>
      </c>
      <c r="R1019" s="2" t="s">
        <v>100</v>
      </c>
      <c r="S1019" s="2" t="s">
        <v>3589</v>
      </c>
      <c r="T1019" s="2" t="s">
        <v>218</v>
      </c>
      <c r="U1019" s="2" t="s">
        <v>480</v>
      </c>
      <c r="V1019" s="2" t="s">
        <v>403</v>
      </c>
      <c r="W1019" s="2" t="s">
        <v>158</v>
      </c>
      <c r="X1019" s="2" t="s">
        <v>183</v>
      </c>
      <c r="Y1019" s="2" t="s">
        <v>3571</v>
      </c>
      <c r="Z1019" s="4">
        <v>178</v>
      </c>
      <c r="AA1019" s="4">
        <f>=ROUNDDOWN(5.93333333333333,0)</f>
      </c>
      <c r="AB1019" s="5">
        <v>30</v>
      </c>
      <c r="AC1019" s="2" t="s">
        <v>417</v>
      </c>
      <c r="AD1019" s="4">
        <v>210</v>
      </c>
      <c r="AE1019" s="4">
        <v>1140</v>
      </c>
      <c r="AF1019" s="6">
        <v>63</v>
      </c>
      <c r="AG1019" s="6">
        <v>46</v>
      </c>
      <c r="AH1019" s="7">
        <v>0.7238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/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/>
      <c r="BJ1019" s="4">
        <v>462</v>
      </c>
      <c r="BK1019" s="8">
        <v>13084.96</v>
      </c>
      <c r="BL1019" s="2" t="s">
        <v>3590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2480</v>
      </c>
      <c r="BV1019" s="2" t="s">
        <v>97</v>
      </c>
      <c r="BW1019" s="2" t="s">
        <v>100</v>
      </c>
      <c r="BX1019" s="2" t="s">
        <v>100</v>
      </c>
      <c r="BY1019" s="2" t="s">
        <v>113</v>
      </c>
      <c r="BZ1019" s="2" t="s">
        <v>245</v>
      </c>
    </row>
    <row r="1020">
      <c r="A1020" s="2" t="s">
        <v>3592</v>
      </c>
      <c r="B1020" s="2" t="s">
        <v>87</v>
      </c>
      <c r="C1020" s="2" t="s">
        <v>3413</v>
      </c>
      <c r="D1020" s="2" t="s">
        <v>803</v>
      </c>
      <c r="E1020" s="2" t="s">
        <v>1532</v>
      </c>
      <c r="F1020" s="2" t="s">
        <v>3566</v>
      </c>
      <c r="G1020" s="2" t="s">
        <v>3567</v>
      </c>
      <c r="H1020" s="2" t="s">
        <v>3568</v>
      </c>
      <c r="I1020" s="2" t="s">
        <v>3569</v>
      </c>
      <c r="J1020" s="2" t="s">
        <v>270</v>
      </c>
      <c r="K1020" s="2" t="s">
        <v>209</v>
      </c>
      <c r="L1020" s="3">
        <v>30.95</v>
      </c>
      <c r="M1020" s="3">
        <v>32.5</v>
      </c>
      <c r="N1020" s="3">
        <v>64.99</v>
      </c>
      <c r="O1020" s="2" t="s">
        <v>97</v>
      </c>
      <c r="P1020" s="2" t="s">
        <v>307</v>
      </c>
      <c r="Q1020" s="2" t="s">
        <v>99</v>
      </c>
      <c r="R1020" s="2" t="s">
        <v>100</v>
      </c>
      <c r="S1020" s="2" t="s">
        <v>3589</v>
      </c>
      <c r="T1020" s="2" t="s">
        <v>218</v>
      </c>
      <c r="U1020" s="2" t="s">
        <v>480</v>
      </c>
      <c r="V1020" s="2" t="s">
        <v>403</v>
      </c>
      <c r="W1020" s="2" t="s">
        <v>158</v>
      </c>
      <c r="X1020" s="2" t="s">
        <v>183</v>
      </c>
      <c r="Y1020" s="2" t="s">
        <v>1163</v>
      </c>
      <c r="Z1020" s="4">
        <v>149</v>
      </c>
      <c r="AA1020" s="4">
        <f>=ROUNDDOWN(6.20833333333333,0)</f>
      </c>
      <c r="AB1020" s="5">
        <v>24</v>
      </c>
      <c r="AC1020" s="2" t="s">
        <v>417</v>
      </c>
      <c r="AD1020" s="4">
        <v>150</v>
      </c>
      <c r="AE1020" s="4">
        <v>870</v>
      </c>
      <c r="AF1020" s="6">
        <v>63</v>
      </c>
      <c r="AG1020" s="6">
        <v>46</v>
      </c>
      <c r="AH1020" s="7">
        <v>0.7692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/>
      <c r="BJ1020" s="4">
        <v>366</v>
      </c>
      <c r="BK1020" s="8">
        <v>11222.76</v>
      </c>
      <c r="BL1020" s="2" t="s">
        <v>3593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2480</v>
      </c>
      <c r="BV1020" s="2" t="s">
        <v>97</v>
      </c>
      <c r="BW1020" s="2" t="s">
        <v>100</v>
      </c>
      <c r="BX1020" s="2" t="s">
        <v>100</v>
      </c>
      <c r="BY1020" s="2" t="s">
        <v>113</v>
      </c>
      <c r="BZ1020" s="2" t="s">
        <v>245</v>
      </c>
    </row>
    <row r="1021">
      <c r="A1021" s="2" t="s">
        <v>3594</v>
      </c>
      <c r="B1021" s="2" t="s">
        <v>87</v>
      </c>
      <c r="C1021" s="2" t="s">
        <v>3413</v>
      </c>
      <c r="D1021" s="2" t="s">
        <v>803</v>
      </c>
      <c r="E1021" s="2" t="s">
        <v>1532</v>
      </c>
      <c r="F1021" s="2" t="s">
        <v>3566</v>
      </c>
      <c r="G1021" s="2" t="s">
        <v>3567</v>
      </c>
      <c r="H1021" s="2" t="s">
        <v>3568</v>
      </c>
      <c r="I1021" s="2" t="s">
        <v>3569</v>
      </c>
      <c r="J1021" s="2" t="s">
        <v>237</v>
      </c>
      <c r="K1021" s="2" t="s">
        <v>3038</v>
      </c>
      <c r="L1021" s="3">
        <v>22.85</v>
      </c>
      <c r="M1021" s="3">
        <v>23.99</v>
      </c>
      <c r="N1021" s="3">
        <v>47.99</v>
      </c>
      <c r="O1021" s="2" t="s">
        <v>97</v>
      </c>
      <c r="P1021" s="2" t="s">
        <v>307</v>
      </c>
      <c r="Q1021" s="2" t="s">
        <v>99</v>
      </c>
      <c r="R1021" s="2" t="s">
        <v>100</v>
      </c>
      <c r="S1021" s="2" t="s">
        <v>3595</v>
      </c>
      <c r="T1021" s="2" t="s">
        <v>218</v>
      </c>
      <c r="U1021" s="2" t="s">
        <v>514</v>
      </c>
      <c r="V1021" s="2" t="s">
        <v>403</v>
      </c>
      <c r="W1021" s="2" t="s">
        <v>158</v>
      </c>
      <c r="X1021" s="2" t="s">
        <v>183</v>
      </c>
      <c r="Y1021" s="2" t="s">
        <v>3571</v>
      </c>
      <c r="Z1021" s="4">
        <v>385</v>
      </c>
      <c r="AA1021" s="4">
        <f>=ROUNDDOWN(19.25,0)</f>
      </c>
      <c r="AB1021" s="5">
        <v>20</v>
      </c>
      <c r="AC1021" s="2" t="s">
        <v>417</v>
      </c>
      <c r="AD1021" s="4">
        <v>150</v>
      </c>
      <c r="AE1021" s="4">
        <v>750</v>
      </c>
      <c r="AF1021" s="6">
        <v>63</v>
      </c>
      <c r="AG1021" s="6">
        <v>46</v>
      </c>
      <c r="AH1021" s="7">
        <v>0.453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/>
      <c r="BJ1021" s="4">
        <v>345</v>
      </c>
      <c r="BK1021" s="8">
        <v>7617.19</v>
      </c>
      <c r="BL1021" s="2" t="s">
        <v>3596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2480</v>
      </c>
      <c r="BV1021" s="2" t="s">
        <v>97</v>
      </c>
      <c r="BW1021" s="2" t="s">
        <v>100</v>
      </c>
      <c r="BX1021" s="2" t="s">
        <v>100</v>
      </c>
      <c r="BY1021" s="2" t="s">
        <v>113</v>
      </c>
      <c r="BZ1021" s="2" t="s">
        <v>245</v>
      </c>
    </row>
    <row r="1022">
      <c r="A1022" s="2" t="s">
        <v>3597</v>
      </c>
      <c r="B1022" s="2" t="s">
        <v>87</v>
      </c>
      <c r="C1022" s="2" t="s">
        <v>3413</v>
      </c>
      <c r="D1022" s="2" t="s">
        <v>803</v>
      </c>
      <c r="E1022" s="2" t="s">
        <v>1532</v>
      </c>
      <c r="F1022" s="2" t="s">
        <v>3566</v>
      </c>
      <c r="G1022" s="2" t="s">
        <v>3567</v>
      </c>
      <c r="H1022" s="2" t="s">
        <v>3568</v>
      </c>
      <c r="I1022" s="2" t="s">
        <v>3569</v>
      </c>
      <c r="J1022" s="2" t="s">
        <v>247</v>
      </c>
      <c r="K1022" s="2" t="s">
        <v>3038</v>
      </c>
      <c r="L1022" s="3">
        <v>27.61</v>
      </c>
      <c r="M1022" s="3">
        <v>28.99</v>
      </c>
      <c r="N1022" s="3">
        <v>57.99</v>
      </c>
      <c r="O1022" s="2" t="s">
        <v>97</v>
      </c>
      <c r="P1022" s="2" t="s">
        <v>307</v>
      </c>
      <c r="Q1022" s="2" t="s">
        <v>99</v>
      </c>
      <c r="R1022" s="2" t="s">
        <v>100</v>
      </c>
      <c r="S1022" s="2" t="s">
        <v>3595</v>
      </c>
      <c r="T1022" s="2" t="s">
        <v>218</v>
      </c>
      <c r="U1022" s="2" t="s">
        <v>480</v>
      </c>
      <c r="V1022" s="2" t="s">
        <v>403</v>
      </c>
      <c r="W1022" s="2" t="s">
        <v>158</v>
      </c>
      <c r="X1022" s="2" t="s">
        <v>183</v>
      </c>
      <c r="Y1022" s="2" t="s">
        <v>3571</v>
      </c>
      <c r="Z1022" s="4">
        <v>341</v>
      </c>
      <c r="AA1022" s="4">
        <f>=ROUNDDOWN(12.6296296296296,0)</f>
      </c>
      <c r="AB1022" s="5">
        <v>27</v>
      </c>
      <c r="AC1022" s="2" t="s">
        <v>417</v>
      </c>
      <c r="AD1022" s="4">
        <v>150</v>
      </c>
      <c r="AE1022" s="4">
        <v>960</v>
      </c>
      <c r="AF1022" s="6">
        <v>63</v>
      </c>
      <c r="AG1022" s="6">
        <v>46</v>
      </c>
      <c r="AH1022" s="7">
        <v>0.8619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/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/>
      <c r="BJ1022" s="4">
        <v>683</v>
      </c>
      <c r="BK1022" s="8">
        <v>19019.36</v>
      </c>
      <c r="BL1022" s="2" t="s">
        <v>3598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2480</v>
      </c>
      <c r="BV1022" s="2" t="s">
        <v>97</v>
      </c>
      <c r="BW1022" s="2" t="s">
        <v>100</v>
      </c>
      <c r="BX1022" s="2" t="s">
        <v>100</v>
      </c>
      <c r="BY1022" s="2" t="s">
        <v>113</v>
      </c>
      <c r="BZ1022" s="2" t="s">
        <v>245</v>
      </c>
    </row>
    <row r="1023">
      <c r="A1023" s="2" t="s">
        <v>3599</v>
      </c>
      <c r="B1023" s="2" t="s">
        <v>87</v>
      </c>
      <c r="C1023" s="2" t="s">
        <v>3413</v>
      </c>
      <c r="D1023" s="2" t="s">
        <v>803</v>
      </c>
      <c r="E1023" s="2" t="s">
        <v>1532</v>
      </c>
      <c r="F1023" s="2" t="s">
        <v>3566</v>
      </c>
      <c r="G1023" s="2" t="s">
        <v>3567</v>
      </c>
      <c r="H1023" s="2" t="s">
        <v>3568</v>
      </c>
      <c r="I1023" s="2" t="s">
        <v>3569</v>
      </c>
      <c r="J1023" s="2" t="s">
        <v>270</v>
      </c>
      <c r="K1023" s="2" t="s">
        <v>3038</v>
      </c>
      <c r="L1023" s="3">
        <v>30.95</v>
      </c>
      <c r="M1023" s="3">
        <v>32.5</v>
      </c>
      <c r="N1023" s="3">
        <v>64.99</v>
      </c>
      <c r="O1023" s="2" t="s">
        <v>97</v>
      </c>
      <c r="P1023" s="2" t="s">
        <v>307</v>
      </c>
      <c r="Q1023" s="2" t="s">
        <v>99</v>
      </c>
      <c r="R1023" s="2" t="s">
        <v>100</v>
      </c>
      <c r="S1023" s="2" t="s">
        <v>3595</v>
      </c>
      <c r="T1023" s="2" t="s">
        <v>218</v>
      </c>
      <c r="U1023" s="2" t="s">
        <v>480</v>
      </c>
      <c r="V1023" s="2" t="s">
        <v>403</v>
      </c>
      <c r="W1023" s="2" t="s">
        <v>158</v>
      </c>
      <c r="X1023" s="2" t="s">
        <v>183</v>
      </c>
      <c r="Y1023" s="2" t="s">
        <v>1163</v>
      </c>
      <c r="Z1023" s="4">
        <v>359</v>
      </c>
      <c r="AA1023" s="4">
        <f>=ROUNDDOWN(21.1176470588235,0)</f>
      </c>
      <c r="AB1023" s="5">
        <v>17</v>
      </c>
      <c r="AC1023" s="2" t="s">
        <v>821</v>
      </c>
      <c r="AD1023" s="4">
        <v>180</v>
      </c>
      <c r="AE1023" s="4">
        <v>360</v>
      </c>
      <c r="AF1023" s="6">
        <v>63</v>
      </c>
      <c r="AG1023" s="6">
        <v>46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372</v>
      </c>
      <c r="BK1023" s="8">
        <v>11564.36</v>
      </c>
      <c r="BL1023" s="2" t="s">
        <v>3600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2480</v>
      </c>
      <c r="BV1023" s="2" t="s">
        <v>97</v>
      </c>
      <c r="BW1023" s="2" t="s">
        <v>100</v>
      </c>
      <c r="BX1023" s="2" t="s">
        <v>100</v>
      </c>
      <c r="BY1023" s="2" t="s">
        <v>113</v>
      </c>
      <c r="BZ1023" s="2" t="s">
        <v>245</v>
      </c>
    </row>
    <row r="1024">
      <c r="A1024" s="2" t="s">
        <v>3601</v>
      </c>
      <c r="B1024" s="2" t="s">
        <v>87</v>
      </c>
      <c r="C1024" s="2" t="s">
        <v>3413</v>
      </c>
      <c r="D1024" s="2" t="s">
        <v>803</v>
      </c>
      <c r="E1024" s="2" t="s">
        <v>1532</v>
      </c>
      <c r="F1024" s="2" t="s">
        <v>3602</v>
      </c>
      <c r="G1024" s="2" t="s">
        <v>3603</v>
      </c>
      <c r="H1024" s="2" t="s">
        <v>3604</v>
      </c>
      <c r="I1024" s="2" t="s">
        <v>3605</v>
      </c>
      <c r="J1024" s="2" t="s">
        <v>237</v>
      </c>
      <c r="K1024" s="2" t="s">
        <v>335</v>
      </c>
      <c r="L1024" s="3">
        <v>21.42</v>
      </c>
      <c r="M1024" s="3">
        <v>22.49</v>
      </c>
      <c r="N1024" s="3">
        <v>44.99</v>
      </c>
      <c r="O1024" s="2" t="s">
        <v>97</v>
      </c>
      <c r="P1024" s="2" t="s">
        <v>307</v>
      </c>
      <c r="Q1024" s="2" t="s">
        <v>99</v>
      </c>
      <c r="R1024" s="2" t="s">
        <v>100</v>
      </c>
      <c r="S1024" s="2" t="s">
        <v>3606</v>
      </c>
      <c r="T1024" s="2" t="s">
        <v>218</v>
      </c>
      <c r="U1024" s="2" t="s">
        <v>514</v>
      </c>
      <c r="V1024" s="2" t="s">
        <v>146</v>
      </c>
      <c r="W1024" s="2" t="s">
        <v>561</v>
      </c>
      <c r="X1024" s="2" t="s">
        <v>100</v>
      </c>
      <c r="Y1024" s="2" t="s">
        <v>3607</v>
      </c>
      <c r="Z1024" s="4">
        <v>662</v>
      </c>
      <c r="AA1024" s="4">
        <f>=ROUNDDOWN(66.2,0)</f>
      </c>
      <c r="AB1024" s="5">
        <v>10</v>
      </c>
      <c r="AC1024" s="2" t="s">
        <v>100</v>
      </c>
      <c r="AD1024" s="4"/>
      <c r="AE1024" s="4"/>
      <c r="AF1024" s="6">
        <v>63</v>
      </c>
      <c r="AG1024" s="6">
        <v>46</v>
      </c>
      <c r="AH1024" s="7">
        <v>0.9091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>
        <v>662</v>
      </c>
      <c r="BK1024" s="8">
        <v>14743.66</v>
      </c>
      <c r="BL1024" s="2" t="s">
        <v>446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2480</v>
      </c>
      <c r="BV1024" s="2" t="s">
        <v>97</v>
      </c>
      <c r="BW1024" s="2" t="s">
        <v>100</v>
      </c>
      <c r="BX1024" s="2" t="s">
        <v>100</v>
      </c>
      <c r="BY1024" s="2" t="s">
        <v>113</v>
      </c>
      <c r="BZ1024" s="2" t="s">
        <v>245</v>
      </c>
    </row>
    <row r="1025">
      <c r="A1025" s="2" t="s">
        <v>3608</v>
      </c>
      <c r="B1025" s="2" t="s">
        <v>87</v>
      </c>
      <c r="C1025" s="2" t="s">
        <v>3413</v>
      </c>
      <c r="D1025" s="2" t="s">
        <v>803</v>
      </c>
      <c r="E1025" s="2" t="s">
        <v>1532</v>
      </c>
      <c r="F1025" s="2" t="s">
        <v>3602</v>
      </c>
      <c r="G1025" s="2" t="s">
        <v>3603</v>
      </c>
      <c r="H1025" s="2" t="s">
        <v>3604</v>
      </c>
      <c r="I1025" s="2" t="s">
        <v>3605</v>
      </c>
      <c r="J1025" s="2" t="s">
        <v>717</v>
      </c>
      <c r="K1025" s="2" t="s">
        <v>335</v>
      </c>
      <c r="L1025" s="3">
        <v>25.23</v>
      </c>
      <c r="M1025" s="3">
        <v>26.49</v>
      </c>
      <c r="N1025" s="3">
        <v>49.99</v>
      </c>
      <c r="O1025" s="2" t="s">
        <v>97</v>
      </c>
      <c r="P1025" s="2" t="s">
        <v>225</v>
      </c>
      <c r="Q1025" s="2" t="s">
        <v>99</v>
      </c>
      <c r="R1025" s="2" t="s">
        <v>100</v>
      </c>
      <c r="S1025" s="2" t="s">
        <v>3606</v>
      </c>
      <c r="T1025" s="2" t="s">
        <v>218</v>
      </c>
      <c r="U1025" s="2" t="s">
        <v>480</v>
      </c>
      <c r="V1025" s="2" t="s">
        <v>146</v>
      </c>
      <c r="W1025" s="2" t="s">
        <v>561</v>
      </c>
      <c r="X1025" s="2" t="s">
        <v>100</v>
      </c>
      <c r="Y1025" s="2" t="s">
        <v>3609</v>
      </c>
      <c r="Z1025" s="4">
        <v>516</v>
      </c>
      <c r="AA1025" s="4">
        <f>=ROUNDDOWN(33.5064935064935,0)</f>
      </c>
      <c r="AB1025" s="5">
        <v>15.4</v>
      </c>
      <c r="AC1025" s="2" t="s">
        <v>356</v>
      </c>
      <c r="AD1025" s="4">
        <v>18</v>
      </c>
      <c r="AE1025" s="4">
        <v>18</v>
      </c>
      <c r="AF1025" s="6">
        <v>63</v>
      </c>
      <c r="AG1025" s="6">
        <v>46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102</v>
      </c>
      <c r="BK1025" s="8">
        <v>2548.57</v>
      </c>
      <c r="BL1025" s="2" t="s">
        <v>3610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2480</v>
      </c>
      <c r="BV1025" s="2" t="s">
        <v>97</v>
      </c>
      <c r="BW1025" s="2" t="s">
        <v>100</v>
      </c>
      <c r="BX1025" s="2" t="s">
        <v>100</v>
      </c>
      <c r="BY1025" s="2" t="s">
        <v>113</v>
      </c>
      <c r="BZ1025" s="2" t="s">
        <v>245</v>
      </c>
    </row>
    <row r="1026">
      <c r="A1026" s="2" t="s">
        <v>3611</v>
      </c>
      <c r="B1026" s="2" t="s">
        <v>87</v>
      </c>
      <c r="C1026" s="2" t="s">
        <v>3413</v>
      </c>
      <c r="D1026" s="2" t="s">
        <v>803</v>
      </c>
      <c r="E1026" s="2" t="s">
        <v>1532</v>
      </c>
      <c r="F1026" s="2" t="s">
        <v>3602</v>
      </c>
      <c r="G1026" s="2" t="s">
        <v>3603</v>
      </c>
      <c r="H1026" s="2" t="s">
        <v>3604</v>
      </c>
      <c r="I1026" s="2" t="s">
        <v>3605</v>
      </c>
      <c r="J1026" s="2" t="s">
        <v>706</v>
      </c>
      <c r="K1026" s="2" t="s">
        <v>335</v>
      </c>
      <c r="L1026" s="3">
        <v>26.19</v>
      </c>
      <c r="M1026" s="3">
        <v>27.5</v>
      </c>
      <c r="N1026" s="3">
        <v>54.99</v>
      </c>
      <c r="O1026" s="2" t="s">
        <v>97</v>
      </c>
      <c r="P1026" s="2" t="s">
        <v>307</v>
      </c>
      <c r="Q1026" s="2" t="s">
        <v>99</v>
      </c>
      <c r="R1026" s="2" t="s">
        <v>100</v>
      </c>
      <c r="S1026" s="2" t="s">
        <v>3606</v>
      </c>
      <c r="T1026" s="2" t="s">
        <v>218</v>
      </c>
      <c r="U1026" s="2" t="s">
        <v>480</v>
      </c>
      <c r="V1026" s="2" t="s">
        <v>146</v>
      </c>
      <c r="W1026" s="2" t="s">
        <v>561</v>
      </c>
      <c r="X1026" s="2" t="s">
        <v>100</v>
      </c>
      <c r="Y1026" s="2" t="s">
        <v>3607</v>
      </c>
      <c r="Z1026" s="4">
        <v>2743</v>
      </c>
      <c r="AA1026" s="4">
        <f>=ROUNDDOWN(49.8727272727273,0)</f>
      </c>
      <c r="AB1026" s="5">
        <v>55</v>
      </c>
      <c r="AC1026" s="2" t="s">
        <v>241</v>
      </c>
      <c r="AD1026" s="4">
        <v>600</v>
      </c>
      <c r="AE1026" s="4">
        <v>600</v>
      </c>
      <c r="AF1026" s="6">
        <v>63</v>
      </c>
      <c r="AG1026" s="6">
        <v>46</v>
      </c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1833</v>
      </c>
      <c r="BK1026" s="8">
        <v>52376.54</v>
      </c>
      <c r="BL1026" s="2" t="s">
        <v>3612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2480</v>
      </c>
      <c r="BV1026" s="2" t="s">
        <v>97</v>
      </c>
      <c r="BW1026" s="2" t="s">
        <v>100</v>
      </c>
      <c r="BX1026" s="2" t="s">
        <v>100</v>
      </c>
      <c r="BY1026" s="2" t="s">
        <v>113</v>
      </c>
      <c r="BZ1026" s="2" t="s">
        <v>245</v>
      </c>
    </row>
    <row r="1027">
      <c r="A1027" s="2" t="s">
        <v>3613</v>
      </c>
      <c r="B1027" s="2" t="s">
        <v>87</v>
      </c>
      <c r="C1027" s="2" t="s">
        <v>3413</v>
      </c>
      <c r="D1027" s="2" t="s">
        <v>803</v>
      </c>
      <c r="E1027" s="2" t="s">
        <v>1532</v>
      </c>
      <c r="F1027" s="2" t="s">
        <v>3602</v>
      </c>
      <c r="G1027" s="2" t="s">
        <v>3603</v>
      </c>
      <c r="H1027" s="2" t="s">
        <v>3604</v>
      </c>
      <c r="I1027" s="2" t="s">
        <v>3605</v>
      </c>
      <c r="J1027" s="2" t="s">
        <v>714</v>
      </c>
      <c r="K1027" s="2" t="s">
        <v>335</v>
      </c>
      <c r="L1027" s="3">
        <v>28.57</v>
      </c>
      <c r="M1027" s="3">
        <v>30</v>
      </c>
      <c r="N1027" s="3">
        <v>59.99</v>
      </c>
      <c r="O1027" s="2" t="s">
        <v>97</v>
      </c>
      <c r="P1027" s="2" t="s">
        <v>307</v>
      </c>
      <c r="Q1027" s="2" t="s">
        <v>99</v>
      </c>
      <c r="R1027" s="2" t="s">
        <v>100</v>
      </c>
      <c r="S1027" s="2" t="s">
        <v>3606</v>
      </c>
      <c r="T1027" s="2" t="s">
        <v>218</v>
      </c>
      <c r="U1027" s="2" t="s">
        <v>480</v>
      </c>
      <c r="V1027" s="2" t="s">
        <v>146</v>
      </c>
      <c r="W1027" s="2" t="s">
        <v>561</v>
      </c>
      <c r="X1027" s="2" t="s">
        <v>100</v>
      </c>
      <c r="Y1027" s="2" t="s">
        <v>3614</v>
      </c>
      <c r="Z1027" s="4">
        <v>4212</v>
      </c>
      <c r="AA1027" s="4">
        <f>=ROUNDDOWN(168.48,0)</f>
      </c>
      <c r="AB1027" s="5">
        <v>25</v>
      </c>
      <c r="AC1027" s="2" t="s">
        <v>241</v>
      </c>
      <c r="AD1027" s="4">
        <v>600</v>
      </c>
      <c r="AE1027" s="4">
        <v>600</v>
      </c>
      <c r="AF1027" s="6">
        <v>63</v>
      </c>
      <c r="AG1027" s="6">
        <v>46</v>
      </c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1652</v>
      </c>
      <c r="BK1027" s="8">
        <v>53923.49</v>
      </c>
      <c r="BL1027" s="2" t="s">
        <v>3615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2480</v>
      </c>
      <c r="BV1027" s="2" t="s">
        <v>97</v>
      </c>
      <c r="BW1027" s="2" t="s">
        <v>100</v>
      </c>
      <c r="BX1027" s="2" t="s">
        <v>100</v>
      </c>
      <c r="BY1027" s="2" t="s">
        <v>113</v>
      </c>
      <c r="BZ1027" s="2" t="s">
        <v>245</v>
      </c>
    </row>
    <row r="1028">
      <c r="A1028" s="2" t="s">
        <v>3616</v>
      </c>
      <c r="B1028" s="2" t="s">
        <v>87</v>
      </c>
      <c r="C1028" s="2" t="s">
        <v>3413</v>
      </c>
      <c r="D1028" s="2" t="s">
        <v>803</v>
      </c>
      <c r="E1028" s="2" t="s">
        <v>1532</v>
      </c>
      <c r="F1028" s="2" t="s">
        <v>3602</v>
      </c>
      <c r="G1028" s="2" t="s">
        <v>3603</v>
      </c>
      <c r="H1028" s="2" t="s">
        <v>3604</v>
      </c>
      <c r="I1028" s="2" t="s">
        <v>3605</v>
      </c>
      <c r="J1028" s="2" t="s">
        <v>817</v>
      </c>
      <c r="K1028" s="2" t="s">
        <v>335</v>
      </c>
      <c r="L1028" s="3">
        <v>30.95</v>
      </c>
      <c r="M1028" s="3">
        <v>32.5</v>
      </c>
      <c r="N1028" s="3">
        <v>54.99</v>
      </c>
      <c r="O1028" s="2" t="s">
        <v>97</v>
      </c>
      <c r="P1028" s="2" t="s">
        <v>225</v>
      </c>
      <c r="Q1028" s="2" t="s">
        <v>99</v>
      </c>
      <c r="R1028" s="2" t="s">
        <v>100</v>
      </c>
      <c r="S1028" s="2" t="s">
        <v>3606</v>
      </c>
      <c r="T1028" s="2" t="s">
        <v>218</v>
      </c>
      <c r="U1028" s="2" t="s">
        <v>480</v>
      </c>
      <c r="V1028" s="2" t="s">
        <v>146</v>
      </c>
      <c r="W1028" s="2" t="s">
        <v>561</v>
      </c>
      <c r="X1028" s="2" t="s">
        <v>100</v>
      </c>
      <c r="Y1028" s="2" t="s">
        <v>3609</v>
      </c>
      <c r="Z1028" s="4">
        <v>825</v>
      </c>
      <c r="AA1028" s="4">
        <f>=ROUNDDOWN(30.4428044280443,0)</f>
      </c>
      <c r="AB1028" s="5">
        <v>27.1</v>
      </c>
      <c r="AC1028" s="2" t="s">
        <v>100</v>
      </c>
      <c r="AD1028" s="4"/>
      <c r="AE1028" s="4"/>
      <c r="AF1028" s="6">
        <v>63</v>
      </c>
      <c r="AG1028" s="6">
        <v>46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145</v>
      </c>
      <c r="BK1028" s="8">
        <v>5374.48</v>
      </c>
      <c r="BL1028" s="2" t="s">
        <v>3617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2480</v>
      </c>
      <c r="BV1028" s="2" t="s">
        <v>97</v>
      </c>
      <c r="BW1028" s="2" t="s">
        <v>100</v>
      </c>
      <c r="BX1028" s="2" t="s">
        <v>100</v>
      </c>
      <c r="BY1028" s="2" t="s">
        <v>113</v>
      </c>
      <c r="BZ1028" s="2" t="s">
        <v>245</v>
      </c>
    </row>
    <row r="1029">
      <c r="A1029" s="2" t="s">
        <v>3618</v>
      </c>
      <c r="B1029" s="2" t="s">
        <v>87</v>
      </c>
      <c r="C1029" s="2" t="s">
        <v>3413</v>
      </c>
      <c r="D1029" s="2" t="s">
        <v>803</v>
      </c>
      <c r="E1029" s="2" t="s">
        <v>1532</v>
      </c>
      <c r="F1029" s="2" t="s">
        <v>3602</v>
      </c>
      <c r="G1029" s="2" t="s">
        <v>3603</v>
      </c>
      <c r="H1029" s="2" t="s">
        <v>3604</v>
      </c>
      <c r="I1029" s="2" t="s">
        <v>3605</v>
      </c>
      <c r="J1029" s="2" t="s">
        <v>237</v>
      </c>
      <c r="K1029" s="2" t="s">
        <v>2115</v>
      </c>
      <c r="L1029" s="3">
        <v>21.42</v>
      </c>
      <c r="M1029" s="3">
        <v>22.49</v>
      </c>
      <c r="N1029" s="3">
        <v>44.99</v>
      </c>
      <c r="O1029" s="2" t="s">
        <v>97</v>
      </c>
      <c r="P1029" s="2" t="s">
        <v>307</v>
      </c>
      <c r="Q1029" s="2" t="s">
        <v>99</v>
      </c>
      <c r="R1029" s="2" t="s">
        <v>100</v>
      </c>
      <c r="S1029" s="2" t="s">
        <v>3619</v>
      </c>
      <c r="T1029" s="2" t="s">
        <v>218</v>
      </c>
      <c r="U1029" s="2" t="s">
        <v>514</v>
      </c>
      <c r="V1029" s="2" t="s">
        <v>146</v>
      </c>
      <c r="W1029" s="2" t="s">
        <v>561</v>
      </c>
      <c r="X1029" s="2" t="s">
        <v>100</v>
      </c>
      <c r="Y1029" s="2" t="s">
        <v>3614</v>
      </c>
      <c r="Z1029" s="4">
        <v>521</v>
      </c>
      <c r="AA1029" s="4">
        <f>=ROUNDDOWN(17.9655172413793,0)</f>
      </c>
      <c r="AB1029" s="5">
        <v>29</v>
      </c>
      <c r="AC1029" s="2" t="s">
        <v>542</v>
      </c>
      <c r="AD1029" s="4">
        <v>150</v>
      </c>
      <c r="AE1029" s="4">
        <v>270</v>
      </c>
      <c r="AF1029" s="6">
        <v>63</v>
      </c>
      <c r="AG1029" s="6">
        <v>46</v>
      </c>
      <c r="AH1029" s="7">
        <v>0.9037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>
        <v>966</v>
      </c>
      <c r="BK1029" s="8">
        <v>22215.59</v>
      </c>
      <c r="BL1029" s="2" t="s">
        <v>3517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2480</v>
      </c>
      <c r="BV1029" s="2" t="s">
        <v>97</v>
      </c>
      <c r="BW1029" s="2" t="s">
        <v>100</v>
      </c>
      <c r="BX1029" s="2" t="s">
        <v>100</v>
      </c>
      <c r="BY1029" s="2" t="s">
        <v>113</v>
      </c>
      <c r="BZ1029" s="2" t="s">
        <v>245</v>
      </c>
    </row>
    <row r="1030">
      <c r="A1030" s="2" t="s">
        <v>3620</v>
      </c>
      <c r="B1030" s="2" t="s">
        <v>87</v>
      </c>
      <c r="C1030" s="2" t="s">
        <v>3413</v>
      </c>
      <c r="D1030" s="2" t="s">
        <v>803</v>
      </c>
      <c r="E1030" s="2" t="s">
        <v>1532</v>
      </c>
      <c r="F1030" s="2" t="s">
        <v>3602</v>
      </c>
      <c r="G1030" s="2" t="s">
        <v>3603</v>
      </c>
      <c r="H1030" s="2" t="s">
        <v>3604</v>
      </c>
      <c r="I1030" s="2" t="s">
        <v>3605</v>
      </c>
      <c r="J1030" s="2" t="s">
        <v>717</v>
      </c>
      <c r="K1030" s="2" t="s">
        <v>2115</v>
      </c>
      <c r="L1030" s="3">
        <v>25.23</v>
      </c>
      <c r="M1030" s="3">
        <v>26.49</v>
      </c>
      <c r="N1030" s="3">
        <v>49.99</v>
      </c>
      <c r="O1030" s="2" t="s">
        <v>97</v>
      </c>
      <c r="P1030" s="2" t="s">
        <v>225</v>
      </c>
      <c r="Q1030" s="2" t="s">
        <v>99</v>
      </c>
      <c r="R1030" s="2" t="s">
        <v>100</v>
      </c>
      <c r="S1030" s="2" t="s">
        <v>3619</v>
      </c>
      <c r="T1030" s="2" t="s">
        <v>218</v>
      </c>
      <c r="U1030" s="2" t="s">
        <v>480</v>
      </c>
      <c r="V1030" s="2" t="s">
        <v>146</v>
      </c>
      <c r="W1030" s="2" t="s">
        <v>561</v>
      </c>
      <c r="X1030" s="2" t="s">
        <v>100</v>
      </c>
      <c r="Y1030" s="2" t="s">
        <v>3609</v>
      </c>
      <c r="Z1030" s="4">
        <v>1002</v>
      </c>
      <c r="AA1030" s="4">
        <f>=ROUNDDOWN(36.5693430656934,0)</f>
      </c>
      <c r="AB1030" s="5">
        <v>27.4</v>
      </c>
      <c r="AC1030" s="2" t="s">
        <v>100</v>
      </c>
      <c r="AD1030" s="4"/>
      <c r="AE1030" s="4"/>
      <c r="AF1030" s="6">
        <v>63</v>
      </c>
      <c r="AG1030" s="6">
        <v>46</v>
      </c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/>
      <c r="BJ1030" s="4">
        <v>195</v>
      </c>
      <c r="BK1030" s="8">
        <v>4892.73</v>
      </c>
      <c r="BL1030" s="2" t="s">
        <v>3621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2480</v>
      </c>
      <c r="BV1030" s="2" t="s">
        <v>97</v>
      </c>
      <c r="BW1030" s="2" t="s">
        <v>100</v>
      </c>
      <c r="BX1030" s="2" t="s">
        <v>100</v>
      </c>
      <c r="BY1030" s="2" t="s">
        <v>113</v>
      </c>
      <c r="BZ1030" s="2" t="s">
        <v>245</v>
      </c>
    </row>
    <row r="1031">
      <c r="A1031" s="2" t="s">
        <v>3622</v>
      </c>
      <c r="B1031" s="2" t="s">
        <v>87</v>
      </c>
      <c r="C1031" s="2" t="s">
        <v>3413</v>
      </c>
      <c r="D1031" s="2" t="s">
        <v>803</v>
      </c>
      <c r="E1031" s="2" t="s">
        <v>1532</v>
      </c>
      <c r="F1031" s="2" t="s">
        <v>3602</v>
      </c>
      <c r="G1031" s="2" t="s">
        <v>3603</v>
      </c>
      <c r="H1031" s="2" t="s">
        <v>3604</v>
      </c>
      <c r="I1031" s="2" t="s">
        <v>3605</v>
      </c>
      <c r="J1031" s="2" t="s">
        <v>706</v>
      </c>
      <c r="K1031" s="2" t="s">
        <v>2115</v>
      </c>
      <c r="L1031" s="3">
        <v>26.19</v>
      </c>
      <c r="M1031" s="3">
        <v>27.5</v>
      </c>
      <c r="N1031" s="3">
        <v>54.99</v>
      </c>
      <c r="O1031" s="2" t="s">
        <v>97</v>
      </c>
      <c r="P1031" s="2" t="s">
        <v>307</v>
      </c>
      <c r="Q1031" s="2" t="s">
        <v>99</v>
      </c>
      <c r="R1031" s="2" t="s">
        <v>100</v>
      </c>
      <c r="S1031" s="2" t="s">
        <v>3619</v>
      </c>
      <c r="T1031" s="2" t="s">
        <v>218</v>
      </c>
      <c r="U1031" s="2" t="s">
        <v>480</v>
      </c>
      <c r="V1031" s="2" t="s">
        <v>146</v>
      </c>
      <c r="W1031" s="2" t="s">
        <v>561</v>
      </c>
      <c r="X1031" s="2" t="s">
        <v>100</v>
      </c>
      <c r="Y1031" s="2" t="s">
        <v>3607</v>
      </c>
      <c r="Z1031" s="4">
        <v>3733</v>
      </c>
      <c r="AA1031" s="4">
        <f>=ROUNDDOWN(38.0918367346939,0)</f>
      </c>
      <c r="AB1031" s="5">
        <v>98</v>
      </c>
      <c r="AC1031" s="2" t="s">
        <v>542</v>
      </c>
      <c r="AD1031" s="4">
        <v>900</v>
      </c>
      <c r="AE1031" s="4">
        <v>1950</v>
      </c>
      <c r="AF1031" s="6">
        <v>63</v>
      </c>
      <c r="AG1031" s="6">
        <v>46</v>
      </c>
      <c r="AH1031" s="7">
        <v>0.8075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3423</v>
      </c>
      <c r="BK1031" s="8">
        <v>100902.06</v>
      </c>
      <c r="BL1031" s="2" t="s">
        <v>3623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2480</v>
      </c>
      <c r="BV1031" s="2" t="s">
        <v>97</v>
      </c>
      <c r="BW1031" s="2" t="s">
        <v>100</v>
      </c>
      <c r="BX1031" s="2" t="s">
        <v>100</v>
      </c>
      <c r="BY1031" s="2" t="s">
        <v>113</v>
      </c>
      <c r="BZ1031" s="2" t="s">
        <v>245</v>
      </c>
    </row>
    <row r="1032">
      <c r="A1032" s="2" t="s">
        <v>3624</v>
      </c>
      <c r="B1032" s="2" t="s">
        <v>87</v>
      </c>
      <c r="C1032" s="2" t="s">
        <v>3413</v>
      </c>
      <c r="D1032" s="2" t="s">
        <v>803</v>
      </c>
      <c r="E1032" s="2" t="s">
        <v>1532</v>
      </c>
      <c r="F1032" s="2" t="s">
        <v>3602</v>
      </c>
      <c r="G1032" s="2" t="s">
        <v>3603</v>
      </c>
      <c r="H1032" s="2" t="s">
        <v>3604</v>
      </c>
      <c r="I1032" s="2" t="s">
        <v>3605</v>
      </c>
      <c r="J1032" s="2" t="s">
        <v>714</v>
      </c>
      <c r="K1032" s="2" t="s">
        <v>2115</v>
      </c>
      <c r="L1032" s="3">
        <v>28.57</v>
      </c>
      <c r="M1032" s="3">
        <v>30</v>
      </c>
      <c r="N1032" s="3">
        <v>59.99</v>
      </c>
      <c r="O1032" s="2" t="s">
        <v>97</v>
      </c>
      <c r="P1032" s="2" t="s">
        <v>307</v>
      </c>
      <c r="Q1032" s="2" t="s">
        <v>99</v>
      </c>
      <c r="R1032" s="2" t="s">
        <v>100</v>
      </c>
      <c r="S1032" s="2" t="s">
        <v>3619</v>
      </c>
      <c r="T1032" s="2" t="s">
        <v>218</v>
      </c>
      <c r="U1032" s="2" t="s">
        <v>480</v>
      </c>
      <c r="V1032" s="2" t="s">
        <v>146</v>
      </c>
      <c r="W1032" s="2" t="s">
        <v>561</v>
      </c>
      <c r="X1032" s="2" t="s">
        <v>100</v>
      </c>
      <c r="Y1032" s="2" t="s">
        <v>3614</v>
      </c>
      <c r="Z1032" s="4">
        <v>4912</v>
      </c>
      <c r="AA1032" s="4">
        <f>=ROUNDDOWN(74.4242424242424,0)</f>
      </c>
      <c r="AB1032" s="5">
        <v>66</v>
      </c>
      <c r="AC1032" s="2" t="s">
        <v>542</v>
      </c>
      <c r="AD1032" s="4">
        <v>1500</v>
      </c>
      <c r="AE1032" s="4">
        <v>2700</v>
      </c>
      <c r="AF1032" s="6">
        <v>63</v>
      </c>
      <c r="AG1032" s="6">
        <v>46</v>
      </c>
      <c r="AH1032" s="7">
        <v>0.7861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3936</v>
      </c>
      <c r="BK1032" s="8">
        <v>135644.49</v>
      </c>
      <c r="BL1032" s="2" t="s">
        <v>3623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2480</v>
      </c>
      <c r="BV1032" s="2" t="s">
        <v>97</v>
      </c>
      <c r="BW1032" s="2" t="s">
        <v>100</v>
      </c>
      <c r="BX1032" s="2" t="s">
        <v>100</v>
      </c>
      <c r="BY1032" s="2" t="s">
        <v>113</v>
      </c>
      <c r="BZ1032" s="2" t="s">
        <v>245</v>
      </c>
    </row>
    <row r="1033">
      <c r="A1033" s="2" t="s">
        <v>3625</v>
      </c>
      <c r="B1033" s="2" t="s">
        <v>87</v>
      </c>
      <c r="C1033" s="2" t="s">
        <v>3413</v>
      </c>
      <c r="D1033" s="2" t="s">
        <v>803</v>
      </c>
      <c r="E1033" s="2" t="s">
        <v>1532</v>
      </c>
      <c r="F1033" s="2" t="s">
        <v>3602</v>
      </c>
      <c r="G1033" s="2" t="s">
        <v>3603</v>
      </c>
      <c r="H1033" s="2" t="s">
        <v>3604</v>
      </c>
      <c r="I1033" s="2" t="s">
        <v>3605</v>
      </c>
      <c r="J1033" s="2" t="s">
        <v>817</v>
      </c>
      <c r="K1033" s="2" t="s">
        <v>2115</v>
      </c>
      <c r="L1033" s="3">
        <v>30.95</v>
      </c>
      <c r="M1033" s="3">
        <v>32.5</v>
      </c>
      <c r="N1033" s="3">
        <v>54.99</v>
      </c>
      <c r="O1033" s="2" t="s">
        <v>97</v>
      </c>
      <c r="P1033" s="2" t="s">
        <v>225</v>
      </c>
      <c r="Q1033" s="2" t="s">
        <v>99</v>
      </c>
      <c r="R1033" s="2" t="s">
        <v>100</v>
      </c>
      <c r="S1033" s="2" t="s">
        <v>3619</v>
      </c>
      <c r="T1033" s="2" t="s">
        <v>218</v>
      </c>
      <c r="U1033" s="2" t="s">
        <v>480</v>
      </c>
      <c r="V1033" s="2" t="s">
        <v>146</v>
      </c>
      <c r="W1033" s="2" t="s">
        <v>561</v>
      </c>
      <c r="X1033" s="2" t="s">
        <v>100</v>
      </c>
      <c r="Y1033" s="2" t="s">
        <v>3609</v>
      </c>
      <c r="Z1033" s="4">
        <v>1949</v>
      </c>
      <c r="AA1033" s="4">
        <f>=ROUNDDOWN(28.5358711566618,0)</f>
      </c>
      <c r="AB1033" s="5">
        <v>68.3</v>
      </c>
      <c r="AC1033" s="2" t="s">
        <v>356</v>
      </c>
      <c r="AD1033" s="4">
        <v>2808</v>
      </c>
      <c r="AE1033" s="4">
        <v>2808</v>
      </c>
      <c r="AF1033" s="6">
        <v>63</v>
      </c>
      <c r="AG1033" s="6">
        <v>46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405</v>
      </c>
      <c r="BK1033" s="8">
        <v>14752.75</v>
      </c>
      <c r="BL1033" s="2" t="s">
        <v>3626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2480</v>
      </c>
      <c r="BV1033" s="2" t="s">
        <v>97</v>
      </c>
      <c r="BW1033" s="2" t="s">
        <v>100</v>
      </c>
      <c r="BX1033" s="2" t="s">
        <v>100</v>
      </c>
      <c r="BY1033" s="2" t="s">
        <v>113</v>
      </c>
      <c r="BZ1033" s="2" t="s">
        <v>245</v>
      </c>
    </row>
    <row r="1034">
      <c r="A1034" s="2" t="s">
        <v>3627</v>
      </c>
      <c r="B1034" s="2" t="s">
        <v>87</v>
      </c>
      <c r="C1034" s="2" t="s">
        <v>3413</v>
      </c>
      <c r="D1034" s="2" t="s">
        <v>803</v>
      </c>
      <c r="E1034" s="2" t="s">
        <v>1532</v>
      </c>
      <c r="F1034" s="2" t="s">
        <v>3602</v>
      </c>
      <c r="G1034" s="2" t="s">
        <v>3603</v>
      </c>
      <c r="H1034" s="2" t="s">
        <v>3604</v>
      </c>
      <c r="I1034" s="2" t="s">
        <v>3605</v>
      </c>
      <c r="J1034" s="2" t="s">
        <v>237</v>
      </c>
      <c r="K1034" s="2" t="s">
        <v>432</v>
      </c>
      <c r="L1034" s="3">
        <v>21.42</v>
      </c>
      <c r="M1034" s="3">
        <v>22.49</v>
      </c>
      <c r="N1034" s="3">
        <v>44.99</v>
      </c>
      <c r="O1034" s="2" t="s">
        <v>97</v>
      </c>
      <c r="P1034" s="2" t="s">
        <v>307</v>
      </c>
      <c r="Q1034" s="2" t="s">
        <v>99</v>
      </c>
      <c r="R1034" s="2" t="s">
        <v>100</v>
      </c>
      <c r="S1034" s="2" t="s">
        <v>3628</v>
      </c>
      <c r="T1034" s="2" t="s">
        <v>218</v>
      </c>
      <c r="U1034" s="2" t="s">
        <v>514</v>
      </c>
      <c r="V1034" s="2" t="s">
        <v>146</v>
      </c>
      <c r="W1034" s="2" t="s">
        <v>561</v>
      </c>
      <c r="X1034" s="2" t="s">
        <v>100</v>
      </c>
      <c r="Y1034" s="2" t="s">
        <v>3614</v>
      </c>
      <c r="Z1034" s="4">
        <v>357</v>
      </c>
      <c r="AA1034" s="4">
        <f>=ROUNDDOWN(29.75,0)</f>
      </c>
      <c r="AB1034" s="5">
        <v>12</v>
      </c>
      <c r="AC1034" s="2" t="s">
        <v>241</v>
      </c>
      <c r="AD1034" s="4">
        <v>90</v>
      </c>
      <c r="AE1034" s="4">
        <v>90</v>
      </c>
      <c r="AF1034" s="6">
        <v>63</v>
      </c>
      <c r="AG1034" s="6">
        <v>46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437</v>
      </c>
      <c r="BK1034" s="8">
        <v>10255.79</v>
      </c>
      <c r="BL1034" s="2" t="s">
        <v>3629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2480</v>
      </c>
      <c r="BV1034" s="2" t="s">
        <v>97</v>
      </c>
      <c r="BW1034" s="2" t="s">
        <v>100</v>
      </c>
      <c r="BX1034" s="2" t="s">
        <v>100</v>
      </c>
      <c r="BY1034" s="2" t="s">
        <v>113</v>
      </c>
      <c r="BZ1034" s="2" t="s">
        <v>245</v>
      </c>
    </row>
    <row r="1035">
      <c r="A1035" s="2" t="s">
        <v>3630</v>
      </c>
      <c r="B1035" s="2" t="s">
        <v>87</v>
      </c>
      <c r="C1035" s="2" t="s">
        <v>3413</v>
      </c>
      <c r="D1035" s="2" t="s">
        <v>803</v>
      </c>
      <c r="E1035" s="2" t="s">
        <v>1532</v>
      </c>
      <c r="F1035" s="2" t="s">
        <v>3602</v>
      </c>
      <c r="G1035" s="2" t="s">
        <v>3603</v>
      </c>
      <c r="H1035" s="2" t="s">
        <v>3604</v>
      </c>
      <c r="I1035" s="2" t="s">
        <v>3605</v>
      </c>
      <c r="J1035" s="2" t="s">
        <v>717</v>
      </c>
      <c r="K1035" s="2" t="s">
        <v>432</v>
      </c>
      <c r="L1035" s="3">
        <v>25.23</v>
      </c>
      <c r="M1035" s="3">
        <v>26.49</v>
      </c>
      <c r="N1035" s="3">
        <v>49.99</v>
      </c>
      <c r="O1035" s="2" t="s">
        <v>97</v>
      </c>
      <c r="P1035" s="2" t="s">
        <v>225</v>
      </c>
      <c r="Q1035" s="2" t="s">
        <v>99</v>
      </c>
      <c r="R1035" s="2" t="s">
        <v>100</v>
      </c>
      <c r="S1035" s="2" t="s">
        <v>3628</v>
      </c>
      <c r="T1035" s="2" t="s">
        <v>218</v>
      </c>
      <c r="U1035" s="2" t="s">
        <v>480</v>
      </c>
      <c r="V1035" s="2" t="s">
        <v>146</v>
      </c>
      <c r="W1035" s="2" t="s">
        <v>561</v>
      </c>
      <c r="X1035" s="2" t="s">
        <v>100</v>
      </c>
      <c r="Y1035" s="2" t="s">
        <v>3631</v>
      </c>
      <c r="Z1035" s="4">
        <v>439</v>
      </c>
      <c r="AA1035" s="4">
        <f>=ROUNDDOWN(39.5495495495495,0)</f>
      </c>
      <c r="AB1035" s="5">
        <v>11.1</v>
      </c>
      <c r="AC1035" s="2" t="s">
        <v>356</v>
      </c>
      <c r="AD1035" s="4">
        <v>18</v>
      </c>
      <c r="AE1035" s="4">
        <v>18</v>
      </c>
      <c r="AF1035" s="6">
        <v>63</v>
      </c>
      <c r="AG1035" s="6">
        <v>46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84</v>
      </c>
      <c r="BK1035" s="8">
        <v>2151.58</v>
      </c>
      <c r="BL1035" s="2" t="s">
        <v>3621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2480</v>
      </c>
      <c r="BV1035" s="2" t="s">
        <v>97</v>
      </c>
      <c r="BW1035" s="2" t="s">
        <v>100</v>
      </c>
      <c r="BX1035" s="2" t="s">
        <v>100</v>
      </c>
      <c r="BY1035" s="2" t="s">
        <v>113</v>
      </c>
      <c r="BZ1035" s="2" t="s">
        <v>245</v>
      </c>
    </row>
    <row r="1036">
      <c r="A1036" s="2" t="s">
        <v>3632</v>
      </c>
      <c r="B1036" s="2" t="s">
        <v>87</v>
      </c>
      <c r="C1036" s="2" t="s">
        <v>3413</v>
      </c>
      <c r="D1036" s="2" t="s">
        <v>803</v>
      </c>
      <c r="E1036" s="2" t="s">
        <v>1532</v>
      </c>
      <c r="F1036" s="2" t="s">
        <v>3602</v>
      </c>
      <c r="G1036" s="2" t="s">
        <v>3603</v>
      </c>
      <c r="H1036" s="2" t="s">
        <v>3604</v>
      </c>
      <c r="I1036" s="2" t="s">
        <v>3605</v>
      </c>
      <c r="J1036" s="2" t="s">
        <v>706</v>
      </c>
      <c r="K1036" s="2" t="s">
        <v>432</v>
      </c>
      <c r="L1036" s="3">
        <v>26.19</v>
      </c>
      <c r="M1036" s="3">
        <v>27.5</v>
      </c>
      <c r="N1036" s="3">
        <v>54.99</v>
      </c>
      <c r="O1036" s="2" t="s">
        <v>97</v>
      </c>
      <c r="P1036" s="2" t="s">
        <v>307</v>
      </c>
      <c r="Q1036" s="2" t="s">
        <v>99</v>
      </c>
      <c r="R1036" s="2" t="s">
        <v>100</v>
      </c>
      <c r="S1036" s="2" t="s">
        <v>3628</v>
      </c>
      <c r="T1036" s="2" t="s">
        <v>218</v>
      </c>
      <c r="U1036" s="2" t="s">
        <v>480</v>
      </c>
      <c r="V1036" s="2" t="s">
        <v>146</v>
      </c>
      <c r="W1036" s="2" t="s">
        <v>561</v>
      </c>
      <c r="X1036" s="2" t="s">
        <v>100</v>
      </c>
      <c r="Y1036" s="2" t="s">
        <v>3607</v>
      </c>
      <c r="Z1036" s="4">
        <v>2380</v>
      </c>
      <c r="AA1036" s="4">
        <f>=ROUNDDOWN(56.6666666666667,0)</f>
      </c>
      <c r="AB1036" s="5">
        <v>42</v>
      </c>
      <c r="AC1036" s="2" t="s">
        <v>241</v>
      </c>
      <c r="AD1036" s="4">
        <v>600</v>
      </c>
      <c r="AE1036" s="4">
        <v>600</v>
      </c>
      <c r="AF1036" s="6">
        <v>63</v>
      </c>
      <c r="AG1036" s="6">
        <v>46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/>
      <c r="BJ1036" s="4">
        <v>1612</v>
      </c>
      <c r="BK1036" s="8">
        <v>47158.05</v>
      </c>
      <c r="BL1036" s="2" t="s">
        <v>3633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2480</v>
      </c>
      <c r="BV1036" s="2" t="s">
        <v>97</v>
      </c>
      <c r="BW1036" s="2" t="s">
        <v>100</v>
      </c>
      <c r="BX1036" s="2" t="s">
        <v>100</v>
      </c>
      <c r="BY1036" s="2" t="s">
        <v>113</v>
      </c>
      <c r="BZ1036" s="2" t="s">
        <v>245</v>
      </c>
    </row>
    <row r="1037">
      <c r="A1037" s="2" t="s">
        <v>3634</v>
      </c>
      <c r="B1037" s="2" t="s">
        <v>87</v>
      </c>
      <c r="C1037" s="2" t="s">
        <v>3413</v>
      </c>
      <c r="D1037" s="2" t="s">
        <v>803</v>
      </c>
      <c r="E1037" s="2" t="s">
        <v>1532</v>
      </c>
      <c r="F1037" s="2" t="s">
        <v>3602</v>
      </c>
      <c r="G1037" s="2" t="s">
        <v>3603</v>
      </c>
      <c r="H1037" s="2" t="s">
        <v>3604</v>
      </c>
      <c r="I1037" s="2" t="s">
        <v>3605</v>
      </c>
      <c r="J1037" s="2" t="s">
        <v>714</v>
      </c>
      <c r="K1037" s="2" t="s">
        <v>432</v>
      </c>
      <c r="L1037" s="3">
        <v>28.57</v>
      </c>
      <c r="M1037" s="3">
        <v>30</v>
      </c>
      <c r="N1037" s="3">
        <v>59.99</v>
      </c>
      <c r="O1037" s="2" t="s">
        <v>97</v>
      </c>
      <c r="P1037" s="2" t="s">
        <v>307</v>
      </c>
      <c r="Q1037" s="2" t="s">
        <v>99</v>
      </c>
      <c r="R1037" s="2" t="s">
        <v>100</v>
      </c>
      <c r="S1037" s="2" t="s">
        <v>3628</v>
      </c>
      <c r="T1037" s="2" t="s">
        <v>218</v>
      </c>
      <c r="U1037" s="2" t="s">
        <v>480</v>
      </c>
      <c r="V1037" s="2" t="s">
        <v>146</v>
      </c>
      <c r="W1037" s="2" t="s">
        <v>561</v>
      </c>
      <c r="X1037" s="2" t="s">
        <v>100</v>
      </c>
      <c r="Y1037" s="2" t="s">
        <v>3614</v>
      </c>
      <c r="Z1037" s="4">
        <v>3645</v>
      </c>
      <c r="AA1037" s="4">
        <f>=ROUNDDOWN(140.192307692308,0)</f>
      </c>
      <c r="AB1037" s="5">
        <v>26</v>
      </c>
      <c r="AC1037" s="2" t="s">
        <v>241</v>
      </c>
      <c r="AD1037" s="4">
        <v>600</v>
      </c>
      <c r="AE1037" s="4">
        <v>600</v>
      </c>
      <c r="AF1037" s="6">
        <v>63</v>
      </c>
      <c r="AG1037" s="6">
        <v>46</v>
      </c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1229</v>
      </c>
      <c r="BK1037" s="8">
        <v>42768.26</v>
      </c>
      <c r="BL1037" s="2" t="s">
        <v>3612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2480</v>
      </c>
      <c r="BV1037" s="2" t="s">
        <v>97</v>
      </c>
      <c r="BW1037" s="2" t="s">
        <v>100</v>
      </c>
      <c r="BX1037" s="2" t="s">
        <v>100</v>
      </c>
      <c r="BY1037" s="2" t="s">
        <v>113</v>
      </c>
      <c r="BZ1037" s="2" t="s">
        <v>245</v>
      </c>
    </row>
    <row r="1038">
      <c r="A1038" s="2" t="s">
        <v>3635</v>
      </c>
      <c r="B1038" s="2" t="s">
        <v>87</v>
      </c>
      <c r="C1038" s="2" t="s">
        <v>3413</v>
      </c>
      <c r="D1038" s="2" t="s">
        <v>803</v>
      </c>
      <c r="E1038" s="2" t="s">
        <v>1532</v>
      </c>
      <c r="F1038" s="2" t="s">
        <v>3602</v>
      </c>
      <c r="G1038" s="2" t="s">
        <v>3603</v>
      </c>
      <c r="H1038" s="2" t="s">
        <v>3604</v>
      </c>
      <c r="I1038" s="2" t="s">
        <v>3605</v>
      </c>
      <c r="J1038" s="2" t="s">
        <v>817</v>
      </c>
      <c r="K1038" s="2" t="s">
        <v>432</v>
      </c>
      <c r="L1038" s="3">
        <v>30.95</v>
      </c>
      <c r="M1038" s="3">
        <v>32.5</v>
      </c>
      <c r="N1038" s="3">
        <v>54.99</v>
      </c>
      <c r="O1038" s="2" t="s">
        <v>97</v>
      </c>
      <c r="P1038" s="2" t="s">
        <v>225</v>
      </c>
      <c r="Q1038" s="2" t="s">
        <v>99</v>
      </c>
      <c r="R1038" s="2" t="s">
        <v>100</v>
      </c>
      <c r="S1038" s="2" t="s">
        <v>3628</v>
      </c>
      <c r="T1038" s="2" t="s">
        <v>218</v>
      </c>
      <c r="U1038" s="2" t="s">
        <v>480</v>
      </c>
      <c r="V1038" s="2" t="s">
        <v>146</v>
      </c>
      <c r="W1038" s="2" t="s">
        <v>561</v>
      </c>
      <c r="X1038" s="2" t="s">
        <v>100</v>
      </c>
      <c r="Y1038" s="2" t="s">
        <v>3631</v>
      </c>
      <c r="Z1038" s="4">
        <v>969</v>
      </c>
      <c r="AA1038" s="4">
        <f>=ROUNDDOWN(70.2173913043478,0)</f>
      </c>
      <c r="AB1038" s="5">
        <v>13.8</v>
      </c>
      <c r="AC1038" s="2" t="s">
        <v>356</v>
      </c>
      <c r="AD1038" s="4">
        <v>33</v>
      </c>
      <c r="AE1038" s="4">
        <v>33</v>
      </c>
      <c r="AF1038" s="6">
        <v>63</v>
      </c>
      <c r="AG1038" s="6">
        <v>46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81</v>
      </c>
      <c r="BK1038" s="8">
        <v>2941.88</v>
      </c>
      <c r="BL1038" s="2" t="s">
        <v>3636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2480</v>
      </c>
      <c r="BV1038" s="2" t="s">
        <v>97</v>
      </c>
      <c r="BW1038" s="2" t="s">
        <v>100</v>
      </c>
      <c r="BX1038" s="2" t="s">
        <v>100</v>
      </c>
      <c r="BY1038" s="2" t="s">
        <v>113</v>
      </c>
      <c r="BZ1038" s="2" t="s">
        <v>245</v>
      </c>
    </row>
    <row r="1039">
      <c r="A1039" s="2" t="s">
        <v>3637</v>
      </c>
      <c r="B1039" s="2" t="s">
        <v>87</v>
      </c>
      <c r="C1039" s="2" t="s">
        <v>3413</v>
      </c>
      <c r="D1039" s="2" t="s">
        <v>803</v>
      </c>
      <c r="E1039" s="2" t="s">
        <v>1532</v>
      </c>
      <c r="F1039" s="2" t="s">
        <v>3602</v>
      </c>
      <c r="G1039" s="2" t="s">
        <v>3603</v>
      </c>
      <c r="H1039" s="2" t="s">
        <v>3604</v>
      </c>
      <c r="I1039" s="2" t="s">
        <v>3605</v>
      </c>
      <c r="J1039" s="2" t="s">
        <v>237</v>
      </c>
      <c r="K1039" s="2" t="s">
        <v>3638</v>
      </c>
      <c r="L1039" s="3">
        <v>21.42</v>
      </c>
      <c r="M1039" s="3">
        <v>22.49</v>
      </c>
      <c r="N1039" s="3">
        <v>39.99</v>
      </c>
      <c r="O1039" s="2" t="s">
        <v>97</v>
      </c>
      <c r="P1039" s="2" t="s">
        <v>225</v>
      </c>
      <c r="Q1039" s="2" t="s">
        <v>99</v>
      </c>
      <c r="R1039" s="2" t="s">
        <v>100</v>
      </c>
      <c r="S1039" s="2" t="s">
        <v>3639</v>
      </c>
      <c r="T1039" s="2" t="s">
        <v>218</v>
      </c>
      <c r="U1039" s="2" t="s">
        <v>514</v>
      </c>
      <c r="V1039" s="2" t="s">
        <v>146</v>
      </c>
      <c r="W1039" s="2" t="s">
        <v>561</v>
      </c>
      <c r="X1039" s="2" t="s">
        <v>100</v>
      </c>
      <c r="Y1039" s="2" t="s">
        <v>3640</v>
      </c>
      <c r="Z1039" s="4">
        <v>131</v>
      </c>
      <c r="AA1039" s="4">
        <f>=ROUNDDOWN(6.6497461928934,0)</f>
      </c>
      <c r="AB1039" s="5">
        <v>19.7</v>
      </c>
      <c r="AC1039" s="2" t="s">
        <v>542</v>
      </c>
      <c r="AD1039" s="4">
        <v>42</v>
      </c>
      <c r="AE1039" s="4">
        <v>312</v>
      </c>
      <c r="AF1039" s="6">
        <v>63</v>
      </c>
      <c r="AG1039" s="6">
        <v>46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192</v>
      </c>
      <c r="BK1039" s="8">
        <v>4049.4</v>
      </c>
      <c r="BL1039" s="2" t="s">
        <v>3641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2480</v>
      </c>
      <c r="BV1039" s="2" t="s">
        <v>97</v>
      </c>
      <c r="BW1039" s="2" t="s">
        <v>100</v>
      </c>
      <c r="BX1039" s="2" t="s">
        <v>100</v>
      </c>
      <c r="BY1039" s="2" t="s">
        <v>113</v>
      </c>
      <c r="BZ1039" s="2" t="s">
        <v>245</v>
      </c>
    </row>
    <row r="1040">
      <c r="A1040" s="2" t="s">
        <v>3642</v>
      </c>
      <c r="B1040" s="2" t="s">
        <v>87</v>
      </c>
      <c r="C1040" s="2" t="s">
        <v>3413</v>
      </c>
      <c r="D1040" s="2" t="s">
        <v>803</v>
      </c>
      <c r="E1040" s="2" t="s">
        <v>1532</v>
      </c>
      <c r="F1040" s="2" t="s">
        <v>3602</v>
      </c>
      <c r="G1040" s="2" t="s">
        <v>3603</v>
      </c>
      <c r="H1040" s="2" t="s">
        <v>3604</v>
      </c>
      <c r="I1040" s="2" t="s">
        <v>3605</v>
      </c>
      <c r="J1040" s="2" t="s">
        <v>717</v>
      </c>
      <c r="K1040" s="2" t="s">
        <v>3638</v>
      </c>
      <c r="L1040" s="3">
        <v>25.23</v>
      </c>
      <c r="M1040" s="3">
        <v>26.49</v>
      </c>
      <c r="N1040" s="3">
        <v>49.99</v>
      </c>
      <c r="O1040" s="2" t="s">
        <v>97</v>
      </c>
      <c r="P1040" s="2" t="s">
        <v>225</v>
      </c>
      <c r="Q1040" s="2" t="s">
        <v>99</v>
      </c>
      <c r="R1040" s="2" t="s">
        <v>100</v>
      </c>
      <c r="S1040" s="2" t="s">
        <v>3639</v>
      </c>
      <c r="T1040" s="2" t="s">
        <v>218</v>
      </c>
      <c r="U1040" s="2" t="s">
        <v>480</v>
      </c>
      <c r="V1040" s="2" t="s">
        <v>146</v>
      </c>
      <c r="W1040" s="2" t="s">
        <v>561</v>
      </c>
      <c r="X1040" s="2" t="s">
        <v>100</v>
      </c>
      <c r="Y1040" s="2" t="s">
        <v>3643</v>
      </c>
      <c r="Z1040" s="4">
        <v>614</v>
      </c>
      <c r="AA1040" s="4">
        <f>=ROUNDDOWN(29.5192307692308,0)</f>
      </c>
      <c r="AB1040" s="5">
        <v>20.8</v>
      </c>
      <c r="AC1040" s="2" t="s">
        <v>1318</v>
      </c>
      <c r="AD1040" s="4">
        <v>141</v>
      </c>
      <c r="AE1040" s="4">
        <v>141</v>
      </c>
      <c r="AF1040" s="6">
        <v>63</v>
      </c>
      <c r="AG1040" s="6">
        <v>46</v>
      </c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134</v>
      </c>
      <c r="BK1040" s="8">
        <v>3377.52</v>
      </c>
      <c r="BL1040" s="2" t="s">
        <v>3644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2480</v>
      </c>
      <c r="BV1040" s="2" t="s">
        <v>97</v>
      </c>
      <c r="BW1040" s="2" t="s">
        <v>100</v>
      </c>
      <c r="BX1040" s="2" t="s">
        <v>100</v>
      </c>
      <c r="BY1040" s="2" t="s">
        <v>113</v>
      </c>
      <c r="BZ1040" s="2" t="s">
        <v>245</v>
      </c>
    </row>
    <row r="1041">
      <c r="A1041" s="2" t="s">
        <v>3645</v>
      </c>
      <c r="B1041" s="2" t="s">
        <v>87</v>
      </c>
      <c r="C1041" s="2" t="s">
        <v>3413</v>
      </c>
      <c r="D1041" s="2" t="s">
        <v>803</v>
      </c>
      <c r="E1041" s="2" t="s">
        <v>1532</v>
      </c>
      <c r="F1041" s="2" t="s">
        <v>3602</v>
      </c>
      <c r="G1041" s="2" t="s">
        <v>3603</v>
      </c>
      <c r="H1041" s="2" t="s">
        <v>3604</v>
      </c>
      <c r="I1041" s="2" t="s">
        <v>3605</v>
      </c>
      <c r="J1041" s="2" t="s">
        <v>706</v>
      </c>
      <c r="K1041" s="2" t="s">
        <v>3638</v>
      </c>
      <c r="L1041" s="3">
        <v>26.19</v>
      </c>
      <c r="M1041" s="3">
        <v>27.5</v>
      </c>
      <c r="N1041" s="3">
        <v>49.99</v>
      </c>
      <c r="O1041" s="2" t="s">
        <v>97</v>
      </c>
      <c r="P1041" s="2" t="s">
        <v>225</v>
      </c>
      <c r="Q1041" s="2" t="s">
        <v>99</v>
      </c>
      <c r="R1041" s="2" t="s">
        <v>100</v>
      </c>
      <c r="S1041" s="2" t="s">
        <v>3639</v>
      </c>
      <c r="T1041" s="2" t="s">
        <v>218</v>
      </c>
      <c r="U1041" s="2" t="s">
        <v>480</v>
      </c>
      <c r="V1041" s="2" t="s">
        <v>146</v>
      </c>
      <c r="W1041" s="2" t="s">
        <v>561</v>
      </c>
      <c r="X1041" s="2" t="s">
        <v>100</v>
      </c>
      <c r="Y1041" s="2" t="s">
        <v>3640</v>
      </c>
      <c r="Z1041" s="4"/>
      <c r="AA1041" s="4">
        <f>=ROUNDDOWN({0},0)</f>
      </c>
      <c r="AB1041" s="5">
        <v>140.3</v>
      </c>
      <c r="AC1041" s="2" t="s">
        <v>542</v>
      </c>
      <c r="AD1041" s="4">
        <v>264</v>
      </c>
      <c r="AE1041" s="4">
        <v>2214</v>
      </c>
      <c r="AF1041" s="6">
        <v>63</v>
      </c>
      <c r="AG1041" s="6">
        <v>46</v>
      </c>
      <c r="AH1041" s="7">
        <v>0.9125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>
        <v>1096</v>
      </c>
      <c r="BK1041" s="8">
        <v>28870.66</v>
      </c>
      <c r="BL1041" s="2" t="s">
        <v>3646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2480</v>
      </c>
      <c r="BV1041" s="2" t="s">
        <v>97</v>
      </c>
      <c r="BW1041" s="2" t="s">
        <v>100</v>
      </c>
      <c r="BX1041" s="2" t="s">
        <v>100</v>
      </c>
      <c r="BY1041" s="2" t="s">
        <v>113</v>
      </c>
      <c r="BZ1041" s="2" t="s">
        <v>245</v>
      </c>
    </row>
    <row r="1042">
      <c r="A1042" s="2" t="s">
        <v>3647</v>
      </c>
      <c r="B1042" s="2" t="s">
        <v>87</v>
      </c>
      <c r="C1042" s="2" t="s">
        <v>3413</v>
      </c>
      <c r="D1042" s="2" t="s">
        <v>803</v>
      </c>
      <c r="E1042" s="2" t="s">
        <v>1532</v>
      </c>
      <c r="F1042" s="2" t="s">
        <v>3602</v>
      </c>
      <c r="G1042" s="2" t="s">
        <v>3603</v>
      </c>
      <c r="H1042" s="2" t="s">
        <v>3604</v>
      </c>
      <c r="I1042" s="2" t="s">
        <v>3605</v>
      </c>
      <c r="J1042" s="2" t="s">
        <v>714</v>
      </c>
      <c r="K1042" s="2" t="s">
        <v>3638</v>
      </c>
      <c r="L1042" s="3">
        <v>28.57</v>
      </c>
      <c r="M1042" s="3">
        <v>30</v>
      </c>
      <c r="N1042" s="3">
        <v>54.99</v>
      </c>
      <c r="O1042" s="2" t="s">
        <v>97</v>
      </c>
      <c r="P1042" s="2" t="s">
        <v>225</v>
      </c>
      <c r="Q1042" s="2" t="s">
        <v>99</v>
      </c>
      <c r="R1042" s="2" t="s">
        <v>100</v>
      </c>
      <c r="S1042" s="2" t="s">
        <v>3639</v>
      </c>
      <c r="T1042" s="2" t="s">
        <v>218</v>
      </c>
      <c r="U1042" s="2" t="s">
        <v>480</v>
      </c>
      <c r="V1042" s="2" t="s">
        <v>146</v>
      </c>
      <c r="W1042" s="2" t="s">
        <v>561</v>
      </c>
      <c r="X1042" s="2" t="s">
        <v>100</v>
      </c>
      <c r="Y1042" s="2" t="s">
        <v>228</v>
      </c>
      <c r="Z1042" s="4">
        <v>19</v>
      </c>
      <c r="AA1042" s="4">
        <f>=ROUNDDOWN(0.106263982102908,0)</f>
      </c>
      <c r="AB1042" s="5">
        <v>178.8</v>
      </c>
      <c r="AC1042" s="2" t="s">
        <v>542</v>
      </c>
      <c r="AD1042" s="4">
        <v>366</v>
      </c>
      <c r="AE1042" s="4">
        <v>3018</v>
      </c>
      <c r="AF1042" s="6">
        <v>63</v>
      </c>
      <c r="AG1042" s="6">
        <v>46</v>
      </c>
      <c r="AH1042" s="7">
        <v>0.8108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/>
      <c r="BJ1042" s="4">
        <v>1566</v>
      </c>
      <c r="BK1042" s="8">
        <v>45640.21</v>
      </c>
      <c r="BL1042" s="2" t="s">
        <v>3648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2480</v>
      </c>
      <c r="BV1042" s="2" t="s">
        <v>97</v>
      </c>
      <c r="BW1042" s="2" t="s">
        <v>100</v>
      </c>
      <c r="BX1042" s="2" t="s">
        <v>100</v>
      </c>
      <c r="BY1042" s="2" t="s">
        <v>113</v>
      </c>
      <c r="BZ1042" s="2" t="s">
        <v>245</v>
      </c>
    </row>
    <row r="1043">
      <c r="A1043" s="2" t="s">
        <v>3649</v>
      </c>
      <c r="B1043" s="2" t="s">
        <v>87</v>
      </c>
      <c r="C1043" s="2" t="s">
        <v>3413</v>
      </c>
      <c r="D1043" s="2" t="s">
        <v>803</v>
      </c>
      <c r="E1043" s="2" t="s">
        <v>1532</v>
      </c>
      <c r="F1043" s="2" t="s">
        <v>3602</v>
      </c>
      <c r="G1043" s="2" t="s">
        <v>3603</v>
      </c>
      <c r="H1043" s="2" t="s">
        <v>3604</v>
      </c>
      <c r="I1043" s="2" t="s">
        <v>3605</v>
      </c>
      <c r="J1043" s="2" t="s">
        <v>817</v>
      </c>
      <c r="K1043" s="2" t="s">
        <v>3638</v>
      </c>
      <c r="L1043" s="3">
        <v>30.95</v>
      </c>
      <c r="M1043" s="3">
        <v>32.5</v>
      </c>
      <c r="N1043" s="3">
        <v>54.99</v>
      </c>
      <c r="O1043" s="2" t="s">
        <v>97</v>
      </c>
      <c r="P1043" s="2" t="s">
        <v>225</v>
      </c>
      <c r="Q1043" s="2" t="s">
        <v>99</v>
      </c>
      <c r="R1043" s="2" t="s">
        <v>100</v>
      </c>
      <c r="S1043" s="2" t="s">
        <v>3639</v>
      </c>
      <c r="T1043" s="2" t="s">
        <v>218</v>
      </c>
      <c r="U1043" s="2" t="s">
        <v>480</v>
      </c>
      <c r="V1043" s="2" t="s">
        <v>146</v>
      </c>
      <c r="W1043" s="2" t="s">
        <v>561</v>
      </c>
      <c r="X1043" s="2" t="s">
        <v>100</v>
      </c>
      <c r="Y1043" s="2" t="s">
        <v>3631</v>
      </c>
      <c r="Z1043" s="4">
        <v>346</v>
      </c>
      <c r="AA1043" s="4">
        <f>=ROUNDDOWN(3.51626016260163,0)</f>
      </c>
      <c r="AB1043" s="5">
        <v>98.4</v>
      </c>
      <c r="AC1043" s="2" t="s">
        <v>1318</v>
      </c>
      <c r="AD1043" s="4">
        <v>600</v>
      </c>
      <c r="AE1043" s="4">
        <v>600</v>
      </c>
      <c r="AF1043" s="6">
        <v>63</v>
      </c>
      <c r="AG1043" s="6">
        <v>46</v>
      </c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598</v>
      </c>
      <c r="BK1043" s="8">
        <v>21621.26</v>
      </c>
      <c r="BL1043" s="2" t="s">
        <v>3650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2480</v>
      </c>
      <c r="BV1043" s="2" t="s">
        <v>97</v>
      </c>
      <c r="BW1043" s="2" t="s">
        <v>100</v>
      </c>
      <c r="BX1043" s="2" t="s">
        <v>100</v>
      </c>
      <c r="BY1043" s="2" t="s">
        <v>113</v>
      </c>
      <c r="BZ1043" s="2" t="s">
        <v>245</v>
      </c>
    </row>
    <row r="1044">
      <c r="A1044" s="2" t="s">
        <v>3651</v>
      </c>
      <c r="B1044" s="2" t="s">
        <v>87</v>
      </c>
      <c r="C1044" s="2" t="s">
        <v>3413</v>
      </c>
      <c r="D1044" s="2" t="s">
        <v>803</v>
      </c>
      <c r="E1044" s="2" t="s">
        <v>1532</v>
      </c>
      <c r="F1044" s="2" t="s">
        <v>3602</v>
      </c>
      <c r="G1044" s="2" t="s">
        <v>3603</v>
      </c>
      <c r="H1044" s="2" t="s">
        <v>3604</v>
      </c>
      <c r="I1044" s="2" t="s">
        <v>3605</v>
      </c>
      <c r="J1044" s="2" t="s">
        <v>237</v>
      </c>
      <c r="K1044" s="2" t="s">
        <v>198</v>
      </c>
      <c r="L1044" s="3">
        <v>21.42</v>
      </c>
      <c r="M1044" s="3">
        <v>22.49</v>
      </c>
      <c r="N1044" s="3">
        <v>44.99</v>
      </c>
      <c r="O1044" s="2" t="s">
        <v>97</v>
      </c>
      <c r="P1044" s="2" t="s">
        <v>307</v>
      </c>
      <c r="Q1044" s="2" t="s">
        <v>99</v>
      </c>
      <c r="R1044" s="2" t="s">
        <v>100</v>
      </c>
      <c r="S1044" s="2" t="s">
        <v>3652</v>
      </c>
      <c r="T1044" s="2" t="s">
        <v>218</v>
      </c>
      <c r="U1044" s="2" t="s">
        <v>514</v>
      </c>
      <c r="V1044" s="2" t="s">
        <v>146</v>
      </c>
      <c r="W1044" s="2" t="s">
        <v>561</v>
      </c>
      <c r="X1044" s="2" t="s">
        <v>100</v>
      </c>
      <c r="Y1044" s="2" t="s">
        <v>3437</v>
      </c>
      <c r="Z1044" s="4">
        <v>584</v>
      </c>
      <c r="AA1044" s="4">
        <f>=ROUNDDOWN(24.3333333333333,0)</f>
      </c>
      <c r="AB1044" s="5">
        <v>24</v>
      </c>
      <c r="AC1044" s="2" t="s">
        <v>542</v>
      </c>
      <c r="AD1044" s="4">
        <v>240</v>
      </c>
      <c r="AE1044" s="4">
        <v>240</v>
      </c>
      <c r="AF1044" s="6">
        <v>63</v>
      </c>
      <c r="AG1044" s="6">
        <v>46</v>
      </c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914</v>
      </c>
      <c r="BK1044" s="8">
        <v>20644.29</v>
      </c>
      <c r="BL1044" s="2" t="s">
        <v>446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2480</v>
      </c>
      <c r="BV1044" s="2" t="s">
        <v>97</v>
      </c>
      <c r="BW1044" s="2" t="s">
        <v>100</v>
      </c>
      <c r="BX1044" s="2" t="s">
        <v>100</v>
      </c>
      <c r="BY1044" s="2" t="s">
        <v>113</v>
      </c>
      <c r="BZ1044" s="2" t="s">
        <v>245</v>
      </c>
    </row>
    <row r="1045">
      <c r="A1045" s="2" t="s">
        <v>3653</v>
      </c>
      <c r="B1045" s="2" t="s">
        <v>87</v>
      </c>
      <c r="C1045" s="2" t="s">
        <v>3413</v>
      </c>
      <c r="D1045" s="2" t="s">
        <v>803</v>
      </c>
      <c r="E1045" s="2" t="s">
        <v>1532</v>
      </c>
      <c r="F1045" s="2" t="s">
        <v>3602</v>
      </c>
      <c r="G1045" s="2" t="s">
        <v>3603</v>
      </c>
      <c r="H1045" s="2" t="s">
        <v>3604</v>
      </c>
      <c r="I1045" s="2" t="s">
        <v>3605</v>
      </c>
      <c r="J1045" s="2" t="s">
        <v>717</v>
      </c>
      <c r="K1045" s="2" t="s">
        <v>198</v>
      </c>
      <c r="L1045" s="3">
        <v>25.23</v>
      </c>
      <c r="M1045" s="3">
        <v>26.49</v>
      </c>
      <c r="N1045" s="3">
        <v>49.99</v>
      </c>
      <c r="O1045" s="2" t="s">
        <v>97</v>
      </c>
      <c r="P1045" s="2" t="s">
        <v>225</v>
      </c>
      <c r="Q1045" s="2" t="s">
        <v>99</v>
      </c>
      <c r="R1045" s="2" t="s">
        <v>100</v>
      </c>
      <c r="S1045" s="2" t="s">
        <v>3652</v>
      </c>
      <c r="T1045" s="2" t="s">
        <v>218</v>
      </c>
      <c r="U1045" s="2" t="s">
        <v>480</v>
      </c>
      <c r="V1045" s="2" t="s">
        <v>146</v>
      </c>
      <c r="W1045" s="2" t="s">
        <v>561</v>
      </c>
      <c r="X1045" s="2" t="s">
        <v>100</v>
      </c>
      <c r="Y1045" s="2" t="s">
        <v>552</v>
      </c>
      <c r="Z1045" s="4">
        <v>693</v>
      </c>
      <c r="AA1045" s="4">
        <f>=ROUNDDOWN(67.9411764705882,0)</f>
      </c>
      <c r="AB1045" s="5">
        <v>10.2</v>
      </c>
      <c r="AC1045" s="2" t="s">
        <v>1318</v>
      </c>
      <c r="AD1045" s="4">
        <v>300</v>
      </c>
      <c r="AE1045" s="4">
        <v>600</v>
      </c>
      <c r="AF1045" s="6">
        <v>63</v>
      </c>
      <c r="AG1045" s="6">
        <v>46</v>
      </c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>
        <v>167</v>
      </c>
      <c r="BK1045" s="8">
        <v>4159.07</v>
      </c>
      <c r="BL1045" s="2" t="s">
        <v>1593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2480</v>
      </c>
      <c r="BV1045" s="2" t="s">
        <v>97</v>
      </c>
      <c r="BW1045" s="2" t="s">
        <v>100</v>
      </c>
      <c r="BX1045" s="2" t="s">
        <v>100</v>
      </c>
      <c r="BY1045" s="2" t="s">
        <v>113</v>
      </c>
      <c r="BZ1045" s="2" t="s">
        <v>245</v>
      </c>
    </row>
    <row r="1046">
      <c r="A1046" s="2" t="s">
        <v>3654</v>
      </c>
      <c r="B1046" s="2" t="s">
        <v>87</v>
      </c>
      <c r="C1046" s="2" t="s">
        <v>3413</v>
      </c>
      <c r="D1046" s="2" t="s">
        <v>803</v>
      </c>
      <c r="E1046" s="2" t="s">
        <v>1532</v>
      </c>
      <c r="F1046" s="2" t="s">
        <v>3602</v>
      </c>
      <c r="G1046" s="2" t="s">
        <v>3603</v>
      </c>
      <c r="H1046" s="2" t="s">
        <v>3604</v>
      </c>
      <c r="I1046" s="2" t="s">
        <v>3605</v>
      </c>
      <c r="J1046" s="2" t="s">
        <v>706</v>
      </c>
      <c r="K1046" s="2" t="s">
        <v>198</v>
      </c>
      <c r="L1046" s="3">
        <v>26.19</v>
      </c>
      <c r="M1046" s="3">
        <v>27.5</v>
      </c>
      <c r="N1046" s="3">
        <v>54.99</v>
      </c>
      <c r="O1046" s="2" t="s">
        <v>97</v>
      </c>
      <c r="P1046" s="2" t="s">
        <v>307</v>
      </c>
      <c r="Q1046" s="2" t="s">
        <v>99</v>
      </c>
      <c r="R1046" s="2" t="s">
        <v>100</v>
      </c>
      <c r="S1046" s="2" t="s">
        <v>3652</v>
      </c>
      <c r="T1046" s="2" t="s">
        <v>218</v>
      </c>
      <c r="U1046" s="2" t="s">
        <v>480</v>
      </c>
      <c r="V1046" s="2" t="s">
        <v>146</v>
      </c>
      <c r="W1046" s="2" t="s">
        <v>561</v>
      </c>
      <c r="X1046" s="2" t="s">
        <v>100</v>
      </c>
      <c r="Y1046" s="2" t="s">
        <v>3437</v>
      </c>
      <c r="Z1046" s="4">
        <v>4650</v>
      </c>
      <c r="AA1046" s="4">
        <f>=ROUNDDOWN(54.7058823529412,0)</f>
      </c>
      <c r="AB1046" s="5">
        <v>85</v>
      </c>
      <c r="AC1046" s="2" t="s">
        <v>184</v>
      </c>
      <c r="AD1046" s="4">
        <v>360</v>
      </c>
      <c r="AE1046" s="4">
        <v>360</v>
      </c>
      <c r="AF1046" s="6">
        <v>63</v>
      </c>
      <c r="AG1046" s="6">
        <v>46</v>
      </c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2934</v>
      </c>
      <c r="BK1046" s="8">
        <v>84203.4</v>
      </c>
      <c r="BL1046" s="2" t="s">
        <v>3517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2480</v>
      </c>
      <c r="BV1046" s="2" t="s">
        <v>97</v>
      </c>
      <c r="BW1046" s="2" t="s">
        <v>100</v>
      </c>
      <c r="BX1046" s="2" t="s">
        <v>100</v>
      </c>
      <c r="BY1046" s="2" t="s">
        <v>113</v>
      </c>
      <c r="BZ1046" s="2" t="s">
        <v>245</v>
      </c>
    </row>
    <row r="1047">
      <c r="A1047" s="2" t="s">
        <v>3655</v>
      </c>
      <c r="B1047" s="2" t="s">
        <v>87</v>
      </c>
      <c r="C1047" s="2" t="s">
        <v>3413</v>
      </c>
      <c r="D1047" s="2" t="s">
        <v>803</v>
      </c>
      <c r="E1047" s="2" t="s">
        <v>1532</v>
      </c>
      <c r="F1047" s="2" t="s">
        <v>3602</v>
      </c>
      <c r="G1047" s="2" t="s">
        <v>3603</v>
      </c>
      <c r="H1047" s="2" t="s">
        <v>3604</v>
      </c>
      <c r="I1047" s="2" t="s">
        <v>3605</v>
      </c>
      <c r="J1047" s="2" t="s">
        <v>714</v>
      </c>
      <c r="K1047" s="2" t="s">
        <v>198</v>
      </c>
      <c r="L1047" s="3">
        <v>28.57</v>
      </c>
      <c r="M1047" s="3">
        <v>30</v>
      </c>
      <c r="N1047" s="3">
        <v>59.99</v>
      </c>
      <c r="O1047" s="2" t="s">
        <v>97</v>
      </c>
      <c r="P1047" s="2" t="s">
        <v>307</v>
      </c>
      <c r="Q1047" s="2" t="s">
        <v>99</v>
      </c>
      <c r="R1047" s="2" t="s">
        <v>100</v>
      </c>
      <c r="S1047" s="2" t="s">
        <v>3652</v>
      </c>
      <c r="T1047" s="2" t="s">
        <v>218</v>
      </c>
      <c r="U1047" s="2" t="s">
        <v>480</v>
      </c>
      <c r="V1047" s="2" t="s">
        <v>146</v>
      </c>
      <c r="W1047" s="2" t="s">
        <v>561</v>
      </c>
      <c r="X1047" s="2" t="s">
        <v>100</v>
      </c>
      <c r="Y1047" s="2" t="s">
        <v>3531</v>
      </c>
      <c r="Z1047" s="4">
        <v>5658</v>
      </c>
      <c r="AA1047" s="4">
        <f>=ROUNDDOWN(73.4805194805195,0)</f>
      </c>
      <c r="AB1047" s="5">
        <v>77</v>
      </c>
      <c r="AC1047" s="2" t="s">
        <v>184</v>
      </c>
      <c r="AD1047" s="4">
        <v>150</v>
      </c>
      <c r="AE1047" s="4">
        <v>150</v>
      </c>
      <c r="AF1047" s="6">
        <v>63</v>
      </c>
      <c r="AG1047" s="6">
        <v>46</v>
      </c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4053</v>
      </c>
      <c r="BK1047" s="8">
        <v>136639.25</v>
      </c>
      <c r="BL1047" s="2" t="s">
        <v>3517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2480</v>
      </c>
      <c r="BV1047" s="2" t="s">
        <v>97</v>
      </c>
      <c r="BW1047" s="2" t="s">
        <v>100</v>
      </c>
      <c r="BX1047" s="2" t="s">
        <v>100</v>
      </c>
      <c r="BY1047" s="2" t="s">
        <v>113</v>
      </c>
      <c r="BZ1047" s="2" t="s">
        <v>245</v>
      </c>
    </row>
    <row r="1048">
      <c r="A1048" s="2" t="s">
        <v>3656</v>
      </c>
      <c r="B1048" s="2" t="s">
        <v>87</v>
      </c>
      <c r="C1048" s="2" t="s">
        <v>3413</v>
      </c>
      <c r="D1048" s="2" t="s">
        <v>803</v>
      </c>
      <c r="E1048" s="2" t="s">
        <v>1532</v>
      </c>
      <c r="F1048" s="2" t="s">
        <v>3602</v>
      </c>
      <c r="G1048" s="2" t="s">
        <v>3603</v>
      </c>
      <c r="H1048" s="2" t="s">
        <v>3604</v>
      </c>
      <c r="I1048" s="2" t="s">
        <v>3605</v>
      </c>
      <c r="J1048" s="2" t="s">
        <v>817</v>
      </c>
      <c r="K1048" s="2" t="s">
        <v>198</v>
      </c>
      <c r="L1048" s="3">
        <v>30.95</v>
      </c>
      <c r="M1048" s="3">
        <v>32.5</v>
      </c>
      <c r="N1048" s="3">
        <v>54.99</v>
      </c>
      <c r="O1048" s="2" t="s">
        <v>97</v>
      </c>
      <c r="P1048" s="2" t="s">
        <v>225</v>
      </c>
      <c r="Q1048" s="2" t="s">
        <v>99</v>
      </c>
      <c r="R1048" s="2" t="s">
        <v>100</v>
      </c>
      <c r="S1048" s="2" t="s">
        <v>3652</v>
      </c>
      <c r="T1048" s="2" t="s">
        <v>218</v>
      </c>
      <c r="U1048" s="2" t="s">
        <v>480</v>
      </c>
      <c r="V1048" s="2" t="s">
        <v>146</v>
      </c>
      <c r="W1048" s="2" t="s">
        <v>561</v>
      </c>
      <c r="X1048" s="2" t="s">
        <v>100</v>
      </c>
      <c r="Y1048" s="2" t="s">
        <v>552</v>
      </c>
      <c r="Z1048" s="4">
        <v>961</v>
      </c>
      <c r="AA1048" s="4">
        <f>=ROUNDDOWN(18.6240310077519,0)</f>
      </c>
      <c r="AB1048" s="5">
        <v>51.6</v>
      </c>
      <c r="AC1048" s="2" t="s">
        <v>356</v>
      </c>
      <c r="AD1048" s="4">
        <v>1044</v>
      </c>
      <c r="AE1048" s="4">
        <v>1644</v>
      </c>
      <c r="AF1048" s="6">
        <v>63</v>
      </c>
      <c r="AG1048" s="6">
        <v>46</v>
      </c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366</v>
      </c>
      <c r="BK1048" s="8">
        <v>13283.87</v>
      </c>
      <c r="BL1048" s="2" t="s">
        <v>3657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2480</v>
      </c>
      <c r="BV1048" s="2" t="s">
        <v>97</v>
      </c>
      <c r="BW1048" s="2" t="s">
        <v>100</v>
      </c>
      <c r="BX1048" s="2" t="s">
        <v>100</v>
      </c>
      <c r="BY1048" s="2" t="s">
        <v>113</v>
      </c>
      <c r="BZ1048" s="2" t="s">
        <v>245</v>
      </c>
    </row>
    <row r="1049">
      <c r="A1049" s="2" t="s">
        <v>3658</v>
      </c>
      <c r="B1049" s="2" t="s">
        <v>87</v>
      </c>
      <c r="C1049" s="2" t="s">
        <v>3413</v>
      </c>
      <c r="D1049" s="2" t="s">
        <v>803</v>
      </c>
      <c r="E1049" s="2" t="s">
        <v>1532</v>
      </c>
      <c r="F1049" s="2" t="s">
        <v>3602</v>
      </c>
      <c r="G1049" s="2" t="s">
        <v>3603</v>
      </c>
      <c r="H1049" s="2" t="s">
        <v>3604</v>
      </c>
      <c r="I1049" s="2" t="s">
        <v>3605</v>
      </c>
      <c r="J1049" s="2" t="s">
        <v>237</v>
      </c>
      <c r="K1049" s="2" t="s">
        <v>144</v>
      </c>
      <c r="L1049" s="3">
        <v>21.42</v>
      </c>
      <c r="M1049" s="3">
        <v>22.49</v>
      </c>
      <c r="N1049" s="3">
        <v>39.99</v>
      </c>
      <c r="O1049" s="2" t="s">
        <v>97</v>
      </c>
      <c r="P1049" s="2" t="s">
        <v>225</v>
      </c>
      <c r="Q1049" s="2" t="s">
        <v>99</v>
      </c>
      <c r="R1049" s="2" t="s">
        <v>100</v>
      </c>
      <c r="S1049" s="2" t="s">
        <v>3659</v>
      </c>
      <c r="T1049" s="2" t="s">
        <v>218</v>
      </c>
      <c r="U1049" s="2" t="s">
        <v>514</v>
      </c>
      <c r="V1049" s="2" t="s">
        <v>146</v>
      </c>
      <c r="W1049" s="2" t="s">
        <v>561</v>
      </c>
      <c r="X1049" s="2" t="s">
        <v>100</v>
      </c>
      <c r="Y1049" s="2" t="s">
        <v>3660</v>
      </c>
      <c r="Z1049" s="4">
        <v>243</v>
      </c>
      <c r="AA1049" s="4">
        <f>=ROUNDDOWN(14.3786982248521,0)</f>
      </c>
      <c r="AB1049" s="5">
        <v>16.9</v>
      </c>
      <c r="AC1049" s="2" t="s">
        <v>542</v>
      </c>
      <c r="AD1049" s="4">
        <v>48</v>
      </c>
      <c r="AE1049" s="4">
        <v>138</v>
      </c>
      <c r="AF1049" s="6">
        <v>63</v>
      </c>
      <c r="AG1049" s="6">
        <v>46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118</v>
      </c>
      <c r="BK1049" s="8">
        <v>2548.37</v>
      </c>
      <c r="BL1049" s="2" t="s">
        <v>3661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2480</v>
      </c>
      <c r="BV1049" s="2" t="s">
        <v>97</v>
      </c>
      <c r="BW1049" s="2" t="s">
        <v>100</v>
      </c>
      <c r="BX1049" s="2" t="s">
        <v>100</v>
      </c>
      <c r="BY1049" s="2" t="s">
        <v>113</v>
      </c>
      <c r="BZ1049" s="2" t="s">
        <v>245</v>
      </c>
    </row>
    <row r="1050">
      <c r="A1050" s="2" t="s">
        <v>3662</v>
      </c>
      <c r="B1050" s="2" t="s">
        <v>87</v>
      </c>
      <c r="C1050" s="2" t="s">
        <v>3413</v>
      </c>
      <c r="D1050" s="2" t="s">
        <v>803</v>
      </c>
      <c r="E1050" s="2" t="s">
        <v>1532</v>
      </c>
      <c r="F1050" s="2" t="s">
        <v>3602</v>
      </c>
      <c r="G1050" s="2" t="s">
        <v>3603</v>
      </c>
      <c r="H1050" s="2" t="s">
        <v>3604</v>
      </c>
      <c r="I1050" s="2" t="s">
        <v>3605</v>
      </c>
      <c r="J1050" s="2" t="s">
        <v>717</v>
      </c>
      <c r="K1050" s="2" t="s">
        <v>144</v>
      </c>
      <c r="L1050" s="3">
        <v>25.23</v>
      </c>
      <c r="M1050" s="3">
        <v>26.49</v>
      </c>
      <c r="N1050" s="3">
        <v>49.99</v>
      </c>
      <c r="O1050" s="2" t="s">
        <v>97</v>
      </c>
      <c r="P1050" s="2" t="s">
        <v>225</v>
      </c>
      <c r="Q1050" s="2" t="s">
        <v>99</v>
      </c>
      <c r="R1050" s="2" t="s">
        <v>100</v>
      </c>
      <c r="S1050" s="2" t="s">
        <v>3659</v>
      </c>
      <c r="T1050" s="2" t="s">
        <v>218</v>
      </c>
      <c r="U1050" s="2" t="s">
        <v>480</v>
      </c>
      <c r="V1050" s="2" t="s">
        <v>146</v>
      </c>
      <c r="W1050" s="2" t="s">
        <v>561</v>
      </c>
      <c r="X1050" s="2" t="s">
        <v>100</v>
      </c>
      <c r="Y1050" s="2" t="s">
        <v>3631</v>
      </c>
      <c r="Z1050" s="4">
        <v>665</v>
      </c>
      <c r="AA1050" s="4">
        <f>=ROUNDDOWN(40.7975460122699,0)</f>
      </c>
      <c r="AB1050" s="5">
        <v>16.3</v>
      </c>
      <c r="AC1050" s="2" t="s">
        <v>100</v>
      </c>
      <c r="AD1050" s="4"/>
      <c r="AE1050" s="4"/>
      <c r="AF1050" s="6">
        <v>63</v>
      </c>
      <c r="AG1050" s="6">
        <v>46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134</v>
      </c>
      <c r="BK1050" s="8">
        <v>3457.48</v>
      </c>
      <c r="BL1050" s="2" t="s">
        <v>3663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2480</v>
      </c>
      <c r="BV1050" s="2" t="s">
        <v>97</v>
      </c>
      <c r="BW1050" s="2" t="s">
        <v>100</v>
      </c>
      <c r="BX1050" s="2" t="s">
        <v>100</v>
      </c>
      <c r="BY1050" s="2" t="s">
        <v>113</v>
      </c>
      <c r="BZ1050" s="2" t="s">
        <v>245</v>
      </c>
    </row>
    <row r="1051">
      <c r="A1051" s="2" t="s">
        <v>3664</v>
      </c>
      <c r="B1051" s="2" t="s">
        <v>87</v>
      </c>
      <c r="C1051" s="2" t="s">
        <v>3413</v>
      </c>
      <c r="D1051" s="2" t="s">
        <v>803</v>
      </c>
      <c r="E1051" s="2" t="s">
        <v>1532</v>
      </c>
      <c r="F1051" s="2" t="s">
        <v>3602</v>
      </c>
      <c r="G1051" s="2" t="s">
        <v>3603</v>
      </c>
      <c r="H1051" s="2" t="s">
        <v>3604</v>
      </c>
      <c r="I1051" s="2" t="s">
        <v>3605</v>
      </c>
      <c r="J1051" s="2" t="s">
        <v>706</v>
      </c>
      <c r="K1051" s="2" t="s">
        <v>144</v>
      </c>
      <c r="L1051" s="3">
        <v>26.19</v>
      </c>
      <c r="M1051" s="3">
        <v>27.5</v>
      </c>
      <c r="N1051" s="3">
        <v>49.99</v>
      </c>
      <c r="O1051" s="2" t="s">
        <v>97</v>
      </c>
      <c r="P1051" s="2" t="s">
        <v>225</v>
      </c>
      <c r="Q1051" s="2" t="s">
        <v>99</v>
      </c>
      <c r="R1051" s="2" t="s">
        <v>100</v>
      </c>
      <c r="S1051" s="2" t="s">
        <v>3659</v>
      </c>
      <c r="T1051" s="2" t="s">
        <v>218</v>
      </c>
      <c r="U1051" s="2" t="s">
        <v>480</v>
      </c>
      <c r="V1051" s="2" t="s">
        <v>146</v>
      </c>
      <c r="W1051" s="2" t="s">
        <v>561</v>
      </c>
      <c r="X1051" s="2" t="s">
        <v>100</v>
      </c>
      <c r="Y1051" s="2" t="s">
        <v>3660</v>
      </c>
      <c r="Z1051" s="4">
        <v>307</v>
      </c>
      <c r="AA1051" s="4">
        <f>=ROUNDDOWN(2.78584392014519,0)</f>
      </c>
      <c r="AB1051" s="5">
        <v>110.2</v>
      </c>
      <c r="AC1051" s="2" t="s">
        <v>542</v>
      </c>
      <c r="AD1051" s="4">
        <v>273</v>
      </c>
      <c r="AE1051" s="4">
        <v>1173</v>
      </c>
      <c r="AF1051" s="6">
        <v>63</v>
      </c>
      <c r="AG1051" s="6">
        <v>46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830</v>
      </c>
      <c r="BK1051" s="8">
        <v>22694.33</v>
      </c>
      <c r="BL1051" s="2" t="s">
        <v>3665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2480</v>
      </c>
      <c r="BV1051" s="2" t="s">
        <v>97</v>
      </c>
      <c r="BW1051" s="2" t="s">
        <v>100</v>
      </c>
      <c r="BX1051" s="2" t="s">
        <v>100</v>
      </c>
      <c r="BY1051" s="2" t="s">
        <v>113</v>
      </c>
      <c r="BZ1051" s="2" t="s">
        <v>245</v>
      </c>
    </row>
    <row r="1052">
      <c r="A1052" s="2" t="s">
        <v>3666</v>
      </c>
      <c r="B1052" s="2" t="s">
        <v>87</v>
      </c>
      <c r="C1052" s="2" t="s">
        <v>3413</v>
      </c>
      <c r="D1052" s="2" t="s">
        <v>803</v>
      </c>
      <c r="E1052" s="2" t="s">
        <v>1532</v>
      </c>
      <c r="F1052" s="2" t="s">
        <v>3602</v>
      </c>
      <c r="G1052" s="2" t="s">
        <v>3603</v>
      </c>
      <c r="H1052" s="2" t="s">
        <v>3604</v>
      </c>
      <c r="I1052" s="2" t="s">
        <v>3605</v>
      </c>
      <c r="J1052" s="2" t="s">
        <v>714</v>
      </c>
      <c r="K1052" s="2" t="s">
        <v>144</v>
      </c>
      <c r="L1052" s="3">
        <v>28.57</v>
      </c>
      <c r="M1052" s="3">
        <v>30</v>
      </c>
      <c r="N1052" s="3">
        <v>54.99</v>
      </c>
      <c r="O1052" s="2" t="s">
        <v>97</v>
      </c>
      <c r="P1052" s="2" t="s">
        <v>225</v>
      </c>
      <c r="Q1052" s="2" t="s">
        <v>99</v>
      </c>
      <c r="R1052" s="2" t="s">
        <v>100</v>
      </c>
      <c r="S1052" s="2" t="s">
        <v>3659</v>
      </c>
      <c r="T1052" s="2" t="s">
        <v>218</v>
      </c>
      <c r="U1052" s="2" t="s">
        <v>480</v>
      </c>
      <c r="V1052" s="2" t="s">
        <v>146</v>
      </c>
      <c r="W1052" s="2" t="s">
        <v>561</v>
      </c>
      <c r="X1052" s="2" t="s">
        <v>100</v>
      </c>
      <c r="Y1052" s="2" t="s">
        <v>3667</v>
      </c>
      <c r="Z1052" s="4">
        <v>717</v>
      </c>
      <c r="AA1052" s="4">
        <f>=ROUNDDOWN(5.56245151280062,0)</f>
      </c>
      <c r="AB1052" s="5">
        <v>128.9</v>
      </c>
      <c r="AC1052" s="2" t="s">
        <v>542</v>
      </c>
      <c r="AD1052" s="4">
        <v>219</v>
      </c>
      <c r="AE1052" s="4">
        <v>1029</v>
      </c>
      <c r="AF1052" s="6">
        <v>63</v>
      </c>
      <c r="AG1052" s="6">
        <v>46</v>
      </c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893</v>
      </c>
      <c r="BK1052" s="8">
        <v>28154.02</v>
      </c>
      <c r="BL1052" s="2" t="s">
        <v>3668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2480</v>
      </c>
      <c r="BV1052" s="2" t="s">
        <v>97</v>
      </c>
      <c r="BW1052" s="2" t="s">
        <v>100</v>
      </c>
      <c r="BX1052" s="2" t="s">
        <v>100</v>
      </c>
      <c r="BY1052" s="2" t="s">
        <v>113</v>
      </c>
      <c r="BZ1052" s="2" t="s">
        <v>245</v>
      </c>
    </row>
    <row r="1053">
      <c r="A1053" s="2" t="s">
        <v>3669</v>
      </c>
      <c r="B1053" s="2" t="s">
        <v>87</v>
      </c>
      <c r="C1053" s="2" t="s">
        <v>3413</v>
      </c>
      <c r="D1053" s="2" t="s">
        <v>803</v>
      </c>
      <c r="E1053" s="2" t="s">
        <v>1532</v>
      </c>
      <c r="F1053" s="2" t="s">
        <v>3602</v>
      </c>
      <c r="G1053" s="2" t="s">
        <v>3603</v>
      </c>
      <c r="H1053" s="2" t="s">
        <v>3604</v>
      </c>
      <c r="I1053" s="2" t="s">
        <v>3605</v>
      </c>
      <c r="J1053" s="2" t="s">
        <v>817</v>
      </c>
      <c r="K1053" s="2" t="s">
        <v>144</v>
      </c>
      <c r="L1053" s="3">
        <v>30.95</v>
      </c>
      <c r="M1053" s="3">
        <v>32.5</v>
      </c>
      <c r="N1053" s="3">
        <v>54.99</v>
      </c>
      <c r="O1053" s="2" t="s">
        <v>97</v>
      </c>
      <c r="P1053" s="2" t="s">
        <v>225</v>
      </c>
      <c r="Q1053" s="2" t="s">
        <v>99</v>
      </c>
      <c r="R1053" s="2" t="s">
        <v>100</v>
      </c>
      <c r="S1053" s="2" t="s">
        <v>3659</v>
      </c>
      <c r="T1053" s="2" t="s">
        <v>218</v>
      </c>
      <c r="U1053" s="2" t="s">
        <v>480</v>
      </c>
      <c r="V1053" s="2" t="s">
        <v>146</v>
      </c>
      <c r="W1053" s="2" t="s">
        <v>561</v>
      </c>
      <c r="X1053" s="2" t="s">
        <v>100</v>
      </c>
      <c r="Y1053" s="2" t="s">
        <v>3631</v>
      </c>
      <c r="Z1053" s="4">
        <v>585</v>
      </c>
      <c r="AA1053" s="4">
        <f>=ROUNDDOWN(9.96592844974446,0)</f>
      </c>
      <c r="AB1053" s="5">
        <v>58.7</v>
      </c>
      <c r="AC1053" s="2" t="s">
        <v>1318</v>
      </c>
      <c r="AD1053" s="4">
        <v>300</v>
      </c>
      <c r="AE1053" s="4">
        <v>600</v>
      </c>
      <c r="AF1053" s="6">
        <v>63</v>
      </c>
      <c r="AG1053" s="6">
        <v>46</v>
      </c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300</v>
      </c>
      <c r="BK1053" s="8">
        <v>11157.43</v>
      </c>
      <c r="BL1053" s="2" t="s">
        <v>3670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2480</v>
      </c>
      <c r="BV1053" s="2" t="s">
        <v>97</v>
      </c>
      <c r="BW1053" s="2" t="s">
        <v>100</v>
      </c>
      <c r="BX1053" s="2" t="s">
        <v>100</v>
      </c>
      <c r="BY1053" s="2" t="s">
        <v>113</v>
      </c>
      <c r="BZ1053" s="2" t="s">
        <v>245</v>
      </c>
    </row>
    <row r="1054">
      <c r="A1054" s="2" t="s">
        <v>3671</v>
      </c>
      <c r="B1054" s="2" t="s">
        <v>87</v>
      </c>
      <c r="C1054" s="2" t="s">
        <v>3413</v>
      </c>
      <c r="D1054" s="2" t="s">
        <v>803</v>
      </c>
      <c r="E1054" s="2" t="s">
        <v>1532</v>
      </c>
      <c r="F1054" s="2" t="s">
        <v>3602</v>
      </c>
      <c r="G1054" s="2" t="s">
        <v>3603</v>
      </c>
      <c r="H1054" s="2" t="s">
        <v>3604</v>
      </c>
      <c r="I1054" s="2" t="s">
        <v>3605</v>
      </c>
      <c r="J1054" s="2" t="s">
        <v>237</v>
      </c>
      <c r="K1054" s="2" t="s">
        <v>360</v>
      </c>
      <c r="L1054" s="3">
        <v>21.42</v>
      </c>
      <c r="M1054" s="3">
        <v>22.49</v>
      </c>
      <c r="N1054" s="3">
        <v>39.99</v>
      </c>
      <c r="O1054" s="2" t="s">
        <v>97</v>
      </c>
      <c r="P1054" s="2" t="s">
        <v>225</v>
      </c>
      <c r="Q1054" s="2" t="s">
        <v>99</v>
      </c>
      <c r="R1054" s="2" t="s">
        <v>100</v>
      </c>
      <c r="S1054" s="2" t="s">
        <v>3672</v>
      </c>
      <c r="T1054" s="2" t="s">
        <v>218</v>
      </c>
      <c r="U1054" s="2" t="s">
        <v>514</v>
      </c>
      <c r="V1054" s="2" t="s">
        <v>146</v>
      </c>
      <c r="W1054" s="2" t="s">
        <v>561</v>
      </c>
      <c r="X1054" s="2" t="s">
        <v>100</v>
      </c>
      <c r="Y1054" s="2" t="s">
        <v>3660</v>
      </c>
      <c r="Z1054" s="4">
        <v>397</v>
      </c>
      <c r="AA1054" s="4">
        <f>=ROUNDDOWN(11.2146892655367,0)</f>
      </c>
      <c r="AB1054" s="5">
        <v>35.4</v>
      </c>
      <c r="AC1054" s="2" t="s">
        <v>542</v>
      </c>
      <c r="AD1054" s="4">
        <v>186</v>
      </c>
      <c r="AE1054" s="4">
        <v>456</v>
      </c>
      <c r="AF1054" s="6">
        <v>63</v>
      </c>
      <c r="AG1054" s="6">
        <v>46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275</v>
      </c>
      <c r="BK1054" s="8">
        <v>5831.62</v>
      </c>
      <c r="BL1054" s="2" t="s">
        <v>2808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2480</v>
      </c>
      <c r="BV1054" s="2" t="s">
        <v>97</v>
      </c>
      <c r="BW1054" s="2" t="s">
        <v>100</v>
      </c>
      <c r="BX1054" s="2" t="s">
        <v>100</v>
      </c>
      <c r="BY1054" s="2" t="s">
        <v>113</v>
      </c>
      <c r="BZ1054" s="2" t="s">
        <v>245</v>
      </c>
    </row>
    <row r="1055">
      <c r="A1055" s="2" t="s">
        <v>3673</v>
      </c>
      <c r="B1055" s="2" t="s">
        <v>87</v>
      </c>
      <c r="C1055" s="2" t="s">
        <v>3413</v>
      </c>
      <c r="D1055" s="2" t="s">
        <v>803</v>
      </c>
      <c r="E1055" s="2" t="s">
        <v>1532</v>
      </c>
      <c r="F1055" s="2" t="s">
        <v>3602</v>
      </c>
      <c r="G1055" s="2" t="s">
        <v>3603</v>
      </c>
      <c r="H1055" s="2" t="s">
        <v>3604</v>
      </c>
      <c r="I1055" s="2" t="s">
        <v>3605</v>
      </c>
      <c r="J1055" s="2" t="s">
        <v>717</v>
      </c>
      <c r="K1055" s="2" t="s">
        <v>360</v>
      </c>
      <c r="L1055" s="3">
        <v>25.23</v>
      </c>
      <c r="M1055" s="3">
        <v>26.49</v>
      </c>
      <c r="N1055" s="3">
        <v>49.99</v>
      </c>
      <c r="O1055" s="2" t="s">
        <v>97</v>
      </c>
      <c r="P1055" s="2" t="s">
        <v>225</v>
      </c>
      <c r="Q1055" s="2" t="s">
        <v>99</v>
      </c>
      <c r="R1055" s="2" t="s">
        <v>100</v>
      </c>
      <c r="S1055" s="2" t="s">
        <v>3672</v>
      </c>
      <c r="T1055" s="2" t="s">
        <v>218</v>
      </c>
      <c r="U1055" s="2" t="s">
        <v>480</v>
      </c>
      <c r="V1055" s="2" t="s">
        <v>146</v>
      </c>
      <c r="W1055" s="2" t="s">
        <v>561</v>
      </c>
      <c r="X1055" s="2" t="s">
        <v>100</v>
      </c>
      <c r="Y1055" s="2" t="s">
        <v>3631</v>
      </c>
      <c r="Z1055" s="4">
        <v>1373</v>
      </c>
      <c r="AA1055" s="4">
        <f>=ROUNDDOWN(49.3884892086331,0)</f>
      </c>
      <c r="AB1055" s="5">
        <v>27.8</v>
      </c>
      <c r="AC1055" s="2" t="s">
        <v>356</v>
      </c>
      <c r="AD1055" s="4">
        <v>1848</v>
      </c>
      <c r="AE1055" s="4">
        <v>1848</v>
      </c>
      <c r="AF1055" s="6">
        <v>63</v>
      </c>
      <c r="AG1055" s="6">
        <v>46</v>
      </c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223</v>
      </c>
      <c r="BK1055" s="8">
        <v>5586.33</v>
      </c>
      <c r="BL1055" s="2" t="s">
        <v>3644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2480</v>
      </c>
      <c r="BV1055" s="2" t="s">
        <v>97</v>
      </c>
      <c r="BW1055" s="2" t="s">
        <v>100</v>
      </c>
      <c r="BX1055" s="2" t="s">
        <v>100</v>
      </c>
      <c r="BY1055" s="2" t="s">
        <v>113</v>
      </c>
      <c r="BZ1055" s="2" t="s">
        <v>245</v>
      </c>
    </row>
    <row r="1056">
      <c r="A1056" s="2" t="s">
        <v>3674</v>
      </c>
      <c r="B1056" s="2" t="s">
        <v>87</v>
      </c>
      <c r="C1056" s="2" t="s">
        <v>3413</v>
      </c>
      <c r="D1056" s="2" t="s">
        <v>803</v>
      </c>
      <c r="E1056" s="2" t="s">
        <v>1532</v>
      </c>
      <c r="F1056" s="2" t="s">
        <v>3602</v>
      </c>
      <c r="G1056" s="2" t="s">
        <v>3603</v>
      </c>
      <c r="H1056" s="2" t="s">
        <v>3604</v>
      </c>
      <c r="I1056" s="2" t="s">
        <v>3605</v>
      </c>
      <c r="J1056" s="2" t="s">
        <v>706</v>
      </c>
      <c r="K1056" s="2" t="s">
        <v>360</v>
      </c>
      <c r="L1056" s="3">
        <v>26.19</v>
      </c>
      <c r="M1056" s="3">
        <v>27.5</v>
      </c>
      <c r="N1056" s="3">
        <v>49.99</v>
      </c>
      <c r="O1056" s="2" t="s">
        <v>97</v>
      </c>
      <c r="P1056" s="2" t="s">
        <v>225</v>
      </c>
      <c r="Q1056" s="2" t="s">
        <v>99</v>
      </c>
      <c r="R1056" s="2" t="s">
        <v>100</v>
      </c>
      <c r="S1056" s="2" t="s">
        <v>3672</v>
      </c>
      <c r="T1056" s="2" t="s">
        <v>218</v>
      </c>
      <c r="U1056" s="2" t="s">
        <v>480</v>
      </c>
      <c r="V1056" s="2" t="s">
        <v>146</v>
      </c>
      <c r="W1056" s="2" t="s">
        <v>561</v>
      </c>
      <c r="X1056" s="2" t="s">
        <v>100</v>
      </c>
      <c r="Y1056" s="2" t="s">
        <v>3675</v>
      </c>
      <c r="Z1056" s="4">
        <v>880</v>
      </c>
      <c r="AA1056" s="4">
        <f>=ROUNDDOWN(6.34920634920635,0)</f>
      </c>
      <c r="AB1056" s="5">
        <v>138.6</v>
      </c>
      <c r="AC1056" s="2" t="s">
        <v>542</v>
      </c>
      <c r="AD1056" s="4">
        <v>1059</v>
      </c>
      <c r="AE1056" s="4">
        <v>1659</v>
      </c>
      <c r="AF1056" s="6">
        <v>63</v>
      </c>
      <c r="AG1056" s="6">
        <v>46</v>
      </c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1068</v>
      </c>
      <c r="BK1056" s="8">
        <v>28823.64</v>
      </c>
      <c r="BL1056" s="2" t="s">
        <v>3665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2480</v>
      </c>
      <c r="BV1056" s="2" t="s">
        <v>97</v>
      </c>
      <c r="BW1056" s="2" t="s">
        <v>100</v>
      </c>
      <c r="BX1056" s="2" t="s">
        <v>100</v>
      </c>
      <c r="BY1056" s="2" t="s">
        <v>113</v>
      </c>
      <c r="BZ1056" s="2" t="s">
        <v>245</v>
      </c>
    </row>
    <row r="1057">
      <c r="A1057" s="2" t="s">
        <v>3676</v>
      </c>
      <c r="B1057" s="2" t="s">
        <v>87</v>
      </c>
      <c r="C1057" s="2" t="s">
        <v>3413</v>
      </c>
      <c r="D1057" s="2" t="s">
        <v>803</v>
      </c>
      <c r="E1057" s="2" t="s">
        <v>1532</v>
      </c>
      <c r="F1057" s="2" t="s">
        <v>3602</v>
      </c>
      <c r="G1057" s="2" t="s">
        <v>3603</v>
      </c>
      <c r="H1057" s="2" t="s">
        <v>3604</v>
      </c>
      <c r="I1057" s="2" t="s">
        <v>3605</v>
      </c>
      <c r="J1057" s="2" t="s">
        <v>714</v>
      </c>
      <c r="K1057" s="2" t="s">
        <v>360</v>
      </c>
      <c r="L1057" s="3">
        <v>28.57</v>
      </c>
      <c r="M1057" s="3">
        <v>30</v>
      </c>
      <c r="N1057" s="3">
        <v>54.99</v>
      </c>
      <c r="O1057" s="2" t="s">
        <v>97</v>
      </c>
      <c r="P1057" s="2" t="s">
        <v>225</v>
      </c>
      <c r="Q1057" s="2" t="s">
        <v>99</v>
      </c>
      <c r="R1057" s="2" t="s">
        <v>100</v>
      </c>
      <c r="S1057" s="2" t="s">
        <v>3672</v>
      </c>
      <c r="T1057" s="2" t="s">
        <v>218</v>
      </c>
      <c r="U1057" s="2" t="s">
        <v>480</v>
      </c>
      <c r="V1057" s="2" t="s">
        <v>146</v>
      </c>
      <c r="W1057" s="2" t="s">
        <v>561</v>
      </c>
      <c r="X1057" s="2" t="s">
        <v>100</v>
      </c>
      <c r="Y1057" s="2" t="s">
        <v>3660</v>
      </c>
      <c r="Z1057" s="4">
        <v>1467</v>
      </c>
      <c r="AA1057" s="4">
        <f>=ROUNDDOWN(10.9559372666169,0)</f>
      </c>
      <c r="AB1057" s="5">
        <v>133.9</v>
      </c>
      <c r="AC1057" s="2" t="s">
        <v>356</v>
      </c>
      <c r="AD1057" s="4">
        <v>798</v>
      </c>
      <c r="AE1057" s="4">
        <v>1488</v>
      </c>
      <c r="AF1057" s="6">
        <v>63</v>
      </c>
      <c r="AG1057" s="6">
        <v>46</v>
      </c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935</v>
      </c>
      <c r="BK1057" s="8">
        <v>29003.01</v>
      </c>
      <c r="BL1057" s="2" t="s">
        <v>3665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2480</v>
      </c>
      <c r="BV1057" s="2" t="s">
        <v>97</v>
      </c>
      <c r="BW1057" s="2" t="s">
        <v>100</v>
      </c>
      <c r="BX1057" s="2" t="s">
        <v>100</v>
      </c>
      <c r="BY1057" s="2" t="s">
        <v>113</v>
      </c>
      <c r="BZ1057" s="2" t="s">
        <v>245</v>
      </c>
    </row>
    <row r="1058">
      <c r="A1058" s="2" t="s">
        <v>3677</v>
      </c>
      <c r="B1058" s="2" t="s">
        <v>87</v>
      </c>
      <c r="C1058" s="2" t="s">
        <v>3413</v>
      </c>
      <c r="D1058" s="2" t="s">
        <v>803</v>
      </c>
      <c r="E1058" s="2" t="s">
        <v>1532</v>
      </c>
      <c r="F1058" s="2" t="s">
        <v>3602</v>
      </c>
      <c r="G1058" s="2" t="s">
        <v>3603</v>
      </c>
      <c r="H1058" s="2" t="s">
        <v>3604</v>
      </c>
      <c r="I1058" s="2" t="s">
        <v>3605</v>
      </c>
      <c r="J1058" s="2" t="s">
        <v>817</v>
      </c>
      <c r="K1058" s="2" t="s">
        <v>360</v>
      </c>
      <c r="L1058" s="3">
        <v>30.95</v>
      </c>
      <c r="M1058" s="3">
        <v>32.5</v>
      </c>
      <c r="N1058" s="3">
        <v>54.99</v>
      </c>
      <c r="O1058" s="2" t="s">
        <v>97</v>
      </c>
      <c r="P1058" s="2" t="s">
        <v>225</v>
      </c>
      <c r="Q1058" s="2" t="s">
        <v>99</v>
      </c>
      <c r="R1058" s="2" t="s">
        <v>100</v>
      </c>
      <c r="S1058" s="2" t="s">
        <v>3672</v>
      </c>
      <c r="T1058" s="2" t="s">
        <v>218</v>
      </c>
      <c r="U1058" s="2" t="s">
        <v>480</v>
      </c>
      <c r="V1058" s="2" t="s">
        <v>146</v>
      </c>
      <c r="W1058" s="2" t="s">
        <v>561</v>
      </c>
      <c r="X1058" s="2" t="s">
        <v>100</v>
      </c>
      <c r="Y1058" s="2" t="s">
        <v>3631</v>
      </c>
      <c r="Z1058" s="4">
        <v>1228</v>
      </c>
      <c r="AA1058" s="4">
        <f>=ROUNDDOWN(21.3937282229965,0)</f>
      </c>
      <c r="AB1058" s="5">
        <v>57.4</v>
      </c>
      <c r="AC1058" s="2" t="s">
        <v>356</v>
      </c>
      <c r="AD1058" s="4">
        <v>7938</v>
      </c>
      <c r="AE1058" s="4">
        <v>7938</v>
      </c>
      <c r="AF1058" s="6">
        <v>63</v>
      </c>
      <c r="AG1058" s="6">
        <v>46</v>
      </c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320</v>
      </c>
      <c r="BK1058" s="8">
        <v>11846.37</v>
      </c>
      <c r="BL1058" s="2" t="s">
        <v>3678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2480</v>
      </c>
      <c r="BV1058" s="2" t="s">
        <v>97</v>
      </c>
      <c r="BW1058" s="2" t="s">
        <v>100</v>
      </c>
      <c r="BX1058" s="2" t="s">
        <v>100</v>
      </c>
      <c r="BY1058" s="2" t="s">
        <v>113</v>
      </c>
      <c r="BZ1058" s="2" t="s">
        <v>245</v>
      </c>
    </row>
    <row r="1059">
      <c r="A1059" s="2" t="s">
        <v>3679</v>
      </c>
      <c r="B1059" s="2" t="s">
        <v>87</v>
      </c>
      <c r="C1059" s="2" t="s">
        <v>3413</v>
      </c>
      <c r="D1059" s="2" t="s">
        <v>803</v>
      </c>
      <c r="E1059" s="2" t="s">
        <v>1532</v>
      </c>
      <c r="F1059" s="2" t="s">
        <v>3602</v>
      </c>
      <c r="G1059" s="2" t="s">
        <v>3603</v>
      </c>
      <c r="H1059" s="2" t="s">
        <v>3604</v>
      </c>
      <c r="I1059" s="2" t="s">
        <v>3605</v>
      </c>
      <c r="J1059" s="2" t="s">
        <v>237</v>
      </c>
      <c r="K1059" s="2" t="s">
        <v>209</v>
      </c>
      <c r="L1059" s="3">
        <v>21.42</v>
      </c>
      <c r="M1059" s="3">
        <v>22.49</v>
      </c>
      <c r="N1059" s="3">
        <v>44.99</v>
      </c>
      <c r="O1059" s="2" t="s">
        <v>97</v>
      </c>
      <c r="P1059" s="2" t="s">
        <v>307</v>
      </c>
      <c r="Q1059" s="2" t="s">
        <v>99</v>
      </c>
      <c r="R1059" s="2" t="s">
        <v>100</v>
      </c>
      <c r="S1059" s="2" t="s">
        <v>3680</v>
      </c>
      <c r="T1059" s="2" t="s">
        <v>218</v>
      </c>
      <c r="U1059" s="2" t="s">
        <v>514</v>
      </c>
      <c r="V1059" s="2" t="s">
        <v>146</v>
      </c>
      <c r="W1059" s="2" t="s">
        <v>561</v>
      </c>
      <c r="X1059" s="2" t="s">
        <v>100</v>
      </c>
      <c r="Y1059" s="2" t="s">
        <v>3437</v>
      </c>
      <c r="Z1059" s="4">
        <v>1382</v>
      </c>
      <c r="AA1059" s="4">
        <f>=ROUNDDOWN(28.2040816326531,0)</f>
      </c>
      <c r="AB1059" s="5">
        <v>49</v>
      </c>
      <c r="AC1059" s="2" t="s">
        <v>997</v>
      </c>
      <c r="AD1059" s="4">
        <v>240</v>
      </c>
      <c r="AE1059" s="4">
        <v>240</v>
      </c>
      <c r="AF1059" s="6">
        <v>63</v>
      </c>
      <c r="AG1059" s="6">
        <v>46</v>
      </c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1936</v>
      </c>
      <c r="BK1059" s="8">
        <v>43896.84</v>
      </c>
      <c r="BL1059" s="2" t="s">
        <v>3517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2480</v>
      </c>
      <c r="BV1059" s="2" t="s">
        <v>97</v>
      </c>
      <c r="BW1059" s="2" t="s">
        <v>100</v>
      </c>
      <c r="BX1059" s="2" t="s">
        <v>100</v>
      </c>
      <c r="BY1059" s="2" t="s">
        <v>113</v>
      </c>
      <c r="BZ1059" s="2" t="s">
        <v>245</v>
      </c>
    </row>
    <row r="1060">
      <c r="A1060" s="2" t="s">
        <v>3681</v>
      </c>
      <c r="B1060" s="2" t="s">
        <v>87</v>
      </c>
      <c r="C1060" s="2" t="s">
        <v>3413</v>
      </c>
      <c r="D1060" s="2" t="s">
        <v>803</v>
      </c>
      <c r="E1060" s="2" t="s">
        <v>1532</v>
      </c>
      <c r="F1060" s="2" t="s">
        <v>3602</v>
      </c>
      <c r="G1060" s="2" t="s">
        <v>3603</v>
      </c>
      <c r="H1060" s="2" t="s">
        <v>3604</v>
      </c>
      <c r="I1060" s="2" t="s">
        <v>3605</v>
      </c>
      <c r="J1060" s="2" t="s">
        <v>717</v>
      </c>
      <c r="K1060" s="2" t="s">
        <v>209</v>
      </c>
      <c r="L1060" s="3">
        <v>25.23</v>
      </c>
      <c r="M1060" s="3">
        <v>26.49</v>
      </c>
      <c r="N1060" s="3">
        <v>49.99</v>
      </c>
      <c r="O1060" s="2" t="s">
        <v>97</v>
      </c>
      <c r="P1060" s="2" t="s">
        <v>225</v>
      </c>
      <c r="Q1060" s="2" t="s">
        <v>99</v>
      </c>
      <c r="R1060" s="2" t="s">
        <v>100</v>
      </c>
      <c r="S1060" s="2" t="s">
        <v>3680</v>
      </c>
      <c r="T1060" s="2" t="s">
        <v>218</v>
      </c>
      <c r="U1060" s="2" t="s">
        <v>480</v>
      </c>
      <c r="V1060" s="2" t="s">
        <v>146</v>
      </c>
      <c r="W1060" s="2" t="s">
        <v>561</v>
      </c>
      <c r="X1060" s="2" t="s">
        <v>100</v>
      </c>
      <c r="Y1060" s="2" t="s">
        <v>552</v>
      </c>
      <c r="Z1060" s="4">
        <v>1529</v>
      </c>
      <c r="AA1060" s="4">
        <f>=ROUNDDOWN(98.6451612903226,0)</f>
      </c>
      <c r="AB1060" s="5">
        <v>15.5</v>
      </c>
      <c r="AC1060" s="2" t="s">
        <v>100</v>
      </c>
      <c r="AD1060" s="4"/>
      <c r="AE1060" s="4"/>
      <c r="AF1060" s="6">
        <v>63</v>
      </c>
      <c r="AG1060" s="6">
        <v>46</v>
      </c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292</v>
      </c>
      <c r="BK1060" s="8">
        <v>7631.92</v>
      </c>
      <c r="BL1060" s="2" t="s">
        <v>3621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2480</v>
      </c>
      <c r="BV1060" s="2" t="s">
        <v>97</v>
      </c>
      <c r="BW1060" s="2" t="s">
        <v>100</v>
      </c>
      <c r="BX1060" s="2" t="s">
        <v>100</v>
      </c>
      <c r="BY1060" s="2" t="s">
        <v>113</v>
      </c>
      <c r="BZ1060" s="2" t="s">
        <v>245</v>
      </c>
    </row>
    <row r="1061">
      <c r="A1061" s="2" t="s">
        <v>3682</v>
      </c>
      <c r="B1061" s="2" t="s">
        <v>87</v>
      </c>
      <c r="C1061" s="2" t="s">
        <v>3413</v>
      </c>
      <c r="D1061" s="2" t="s">
        <v>803</v>
      </c>
      <c r="E1061" s="2" t="s">
        <v>1532</v>
      </c>
      <c r="F1061" s="2" t="s">
        <v>3602</v>
      </c>
      <c r="G1061" s="2" t="s">
        <v>3603</v>
      </c>
      <c r="H1061" s="2" t="s">
        <v>3604</v>
      </c>
      <c r="I1061" s="2" t="s">
        <v>3605</v>
      </c>
      <c r="J1061" s="2" t="s">
        <v>706</v>
      </c>
      <c r="K1061" s="2" t="s">
        <v>209</v>
      </c>
      <c r="L1061" s="3">
        <v>26.19</v>
      </c>
      <c r="M1061" s="3">
        <v>27.5</v>
      </c>
      <c r="N1061" s="3">
        <v>54.99</v>
      </c>
      <c r="O1061" s="2" t="s">
        <v>97</v>
      </c>
      <c r="P1061" s="2" t="s">
        <v>307</v>
      </c>
      <c r="Q1061" s="2" t="s">
        <v>99</v>
      </c>
      <c r="R1061" s="2" t="s">
        <v>100</v>
      </c>
      <c r="S1061" s="2" t="s">
        <v>3680</v>
      </c>
      <c r="T1061" s="2" t="s">
        <v>218</v>
      </c>
      <c r="U1061" s="2" t="s">
        <v>480</v>
      </c>
      <c r="V1061" s="2" t="s">
        <v>146</v>
      </c>
      <c r="W1061" s="2" t="s">
        <v>561</v>
      </c>
      <c r="X1061" s="2" t="s">
        <v>100</v>
      </c>
      <c r="Y1061" s="2" t="s">
        <v>3437</v>
      </c>
      <c r="Z1061" s="4">
        <v>7933</v>
      </c>
      <c r="AA1061" s="4">
        <f>=ROUNDDOWN(39.2722772277228,0)</f>
      </c>
      <c r="AB1061" s="5">
        <v>202</v>
      </c>
      <c r="AC1061" s="2" t="s">
        <v>184</v>
      </c>
      <c r="AD1061" s="4">
        <v>1500</v>
      </c>
      <c r="AE1061" s="4">
        <v>1500</v>
      </c>
      <c r="AF1061" s="6">
        <v>63</v>
      </c>
      <c r="AG1061" s="6">
        <v>46</v>
      </c>
      <c r="AH1061" s="7">
        <v>0.9358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9248</v>
      </c>
      <c r="BK1061" s="8">
        <v>273214.79</v>
      </c>
      <c r="BL1061" s="2" t="s">
        <v>3517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2480</v>
      </c>
      <c r="BV1061" s="2" t="s">
        <v>97</v>
      </c>
      <c r="BW1061" s="2" t="s">
        <v>100</v>
      </c>
      <c r="BX1061" s="2" t="s">
        <v>100</v>
      </c>
      <c r="BY1061" s="2" t="s">
        <v>113</v>
      </c>
      <c r="BZ1061" s="2" t="s">
        <v>245</v>
      </c>
    </row>
    <row r="1062">
      <c r="A1062" s="2" t="s">
        <v>3683</v>
      </c>
      <c r="B1062" s="2" t="s">
        <v>87</v>
      </c>
      <c r="C1062" s="2" t="s">
        <v>3413</v>
      </c>
      <c r="D1062" s="2" t="s">
        <v>803</v>
      </c>
      <c r="E1062" s="2" t="s">
        <v>1532</v>
      </c>
      <c r="F1062" s="2" t="s">
        <v>3602</v>
      </c>
      <c r="G1062" s="2" t="s">
        <v>3603</v>
      </c>
      <c r="H1062" s="2" t="s">
        <v>3604</v>
      </c>
      <c r="I1062" s="2" t="s">
        <v>3605</v>
      </c>
      <c r="J1062" s="2" t="s">
        <v>714</v>
      </c>
      <c r="K1062" s="2" t="s">
        <v>209</v>
      </c>
      <c r="L1062" s="3">
        <v>28.57</v>
      </c>
      <c r="M1062" s="3">
        <v>30</v>
      </c>
      <c r="N1062" s="3">
        <v>59.99</v>
      </c>
      <c r="O1062" s="2" t="s">
        <v>97</v>
      </c>
      <c r="P1062" s="2" t="s">
        <v>307</v>
      </c>
      <c r="Q1062" s="2" t="s">
        <v>99</v>
      </c>
      <c r="R1062" s="2" t="s">
        <v>100</v>
      </c>
      <c r="S1062" s="2" t="s">
        <v>3680</v>
      </c>
      <c r="T1062" s="2" t="s">
        <v>218</v>
      </c>
      <c r="U1062" s="2" t="s">
        <v>480</v>
      </c>
      <c r="V1062" s="2" t="s">
        <v>146</v>
      </c>
      <c r="W1062" s="2" t="s">
        <v>561</v>
      </c>
      <c r="X1062" s="2" t="s">
        <v>100</v>
      </c>
      <c r="Y1062" s="2" t="s">
        <v>3531</v>
      </c>
      <c r="Z1062" s="4">
        <v>8620</v>
      </c>
      <c r="AA1062" s="4">
        <f>=ROUNDDOWN(46.5945945945946,0)</f>
      </c>
      <c r="AB1062" s="5">
        <v>185</v>
      </c>
      <c r="AC1062" s="2" t="s">
        <v>184</v>
      </c>
      <c r="AD1062" s="4">
        <v>1500</v>
      </c>
      <c r="AE1062" s="4">
        <v>1500</v>
      </c>
      <c r="AF1062" s="6">
        <v>63</v>
      </c>
      <c r="AG1062" s="6">
        <v>46</v>
      </c>
      <c r="AH1062" s="7">
        <v>0.877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11081</v>
      </c>
      <c r="BK1062" s="8">
        <v>394399.07</v>
      </c>
      <c r="BL1062" s="2" t="s">
        <v>3623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2480</v>
      </c>
      <c r="BV1062" s="2" t="s">
        <v>97</v>
      </c>
      <c r="BW1062" s="2" t="s">
        <v>100</v>
      </c>
      <c r="BX1062" s="2" t="s">
        <v>100</v>
      </c>
      <c r="BY1062" s="2" t="s">
        <v>113</v>
      </c>
      <c r="BZ1062" s="2" t="s">
        <v>245</v>
      </c>
    </row>
    <row r="1063">
      <c r="A1063" s="2" t="s">
        <v>3684</v>
      </c>
      <c r="B1063" s="2" t="s">
        <v>87</v>
      </c>
      <c r="C1063" s="2" t="s">
        <v>3413</v>
      </c>
      <c r="D1063" s="2" t="s">
        <v>803</v>
      </c>
      <c r="E1063" s="2" t="s">
        <v>1532</v>
      </c>
      <c r="F1063" s="2" t="s">
        <v>3602</v>
      </c>
      <c r="G1063" s="2" t="s">
        <v>3603</v>
      </c>
      <c r="H1063" s="2" t="s">
        <v>3604</v>
      </c>
      <c r="I1063" s="2" t="s">
        <v>3605</v>
      </c>
      <c r="J1063" s="2" t="s">
        <v>817</v>
      </c>
      <c r="K1063" s="2" t="s">
        <v>209</v>
      </c>
      <c r="L1063" s="3">
        <v>30.95</v>
      </c>
      <c r="M1063" s="3">
        <v>32.5</v>
      </c>
      <c r="N1063" s="3">
        <v>54.99</v>
      </c>
      <c r="O1063" s="2" t="s">
        <v>97</v>
      </c>
      <c r="P1063" s="2" t="s">
        <v>225</v>
      </c>
      <c r="Q1063" s="2" t="s">
        <v>99</v>
      </c>
      <c r="R1063" s="2" t="s">
        <v>100</v>
      </c>
      <c r="S1063" s="2" t="s">
        <v>3680</v>
      </c>
      <c r="T1063" s="2" t="s">
        <v>218</v>
      </c>
      <c r="U1063" s="2" t="s">
        <v>480</v>
      </c>
      <c r="V1063" s="2" t="s">
        <v>146</v>
      </c>
      <c r="W1063" s="2" t="s">
        <v>561</v>
      </c>
      <c r="X1063" s="2" t="s">
        <v>100</v>
      </c>
      <c r="Y1063" s="2" t="s">
        <v>3685</v>
      </c>
      <c r="Z1063" s="4">
        <v>3390</v>
      </c>
      <c r="AA1063" s="4">
        <f>=ROUNDDOWN(24.4412400865177,0)</f>
      </c>
      <c r="AB1063" s="5">
        <v>138.7</v>
      </c>
      <c r="AC1063" s="2" t="s">
        <v>356</v>
      </c>
      <c r="AD1063" s="4">
        <v>6966</v>
      </c>
      <c r="AE1063" s="4">
        <v>6966</v>
      </c>
      <c r="AF1063" s="6">
        <v>63</v>
      </c>
      <c r="AG1063" s="6">
        <v>46</v>
      </c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871</v>
      </c>
      <c r="BK1063" s="8">
        <v>34666.91</v>
      </c>
      <c r="BL1063" s="2" t="s">
        <v>3686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2480</v>
      </c>
      <c r="BV1063" s="2" t="s">
        <v>97</v>
      </c>
      <c r="BW1063" s="2" t="s">
        <v>100</v>
      </c>
      <c r="BX1063" s="2" t="s">
        <v>100</v>
      </c>
      <c r="BY1063" s="2" t="s">
        <v>113</v>
      </c>
      <c r="BZ1063" s="2" t="s">
        <v>245</v>
      </c>
    </row>
    <row r="1064">
      <c r="A1064" s="2" t="s">
        <v>3687</v>
      </c>
      <c r="B1064" s="2" t="s">
        <v>87</v>
      </c>
      <c r="C1064" s="2" t="s">
        <v>3413</v>
      </c>
      <c r="D1064" s="2" t="s">
        <v>803</v>
      </c>
      <c r="E1064" s="2" t="s">
        <v>1532</v>
      </c>
      <c r="F1064" s="2" t="s">
        <v>3602</v>
      </c>
      <c r="G1064" s="2" t="s">
        <v>3603</v>
      </c>
      <c r="H1064" s="2" t="s">
        <v>3604</v>
      </c>
      <c r="I1064" s="2" t="s">
        <v>3605</v>
      </c>
      <c r="J1064" s="2" t="s">
        <v>237</v>
      </c>
      <c r="K1064" s="2" t="s">
        <v>3688</v>
      </c>
      <c r="L1064" s="3">
        <v>21.42</v>
      </c>
      <c r="M1064" s="3">
        <v>22.49</v>
      </c>
      <c r="N1064" s="3">
        <v>39.99</v>
      </c>
      <c r="O1064" s="2" t="s">
        <v>97</v>
      </c>
      <c r="P1064" s="2" t="s">
        <v>225</v>
      </c>
      <c r="Q1064" s="2" t="s">
        <v>99</v>
      </c>
      <c r="R1064" s="2" t="s">
        <v>100</v>
      </c>
      <c r="S1064" s="2" t="s">
        <v>3689</v>
      </c>
      <c r="T1064" s="2" t="s">
        <v>218</v>
      </c>
      <c r="U1064" s="2" t="s">
        <v>514</v>
      </c>
      <c r="V1064" s="2" t="s">
        <v>146</v>
      </c>
      <c r="W1064" s="2" t="s">
        <v>561</v>
      </c>
      <c r="X1064" s="2" t="s">
        <v>100</v>
      </c>
      <c r="Y1064" s="2" t="s">
        <v>3640</v>
      </c>
      <c r="Z1064" s="4">
        <v>103</v>
      </c>
      <c r="AA1064" s="4">
        <f>=ROUNDDOWN(5.12437810945274,0)</f>
      </c>
      <c r="AB1064" s="5">
        <v>20.1</v>
      </c>
      <c r="AC1064" s="2" t="s">
        <v>542</v>
      </c>
      <c r="AD1064" s="4">
        <v>60</v>
      </c>
      <c r="AE1064" s="4">
        <v>330</v>
      </c>
      <c r="AF1064" s="6">
        <v>63</v>
      </c>
      <c r="AG1064" s="6">
        <v>46</v>
      </c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150</v>
      </c>
      <c r="BK1064" s="8">
        <v>3200.53</v>
      </c>
      <c r="BL1064" s="2" t="s">
        <v>3670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2480</v>
      </c>
      <c r="BV1064" s="2" t="s">
        <v>97</v>
      </c>
      <c r="BW1064" s="2" t="s">
        <v>100</v>
      </c>
      <c r="BX1064" s="2" t="s">
        <v>100</v>
      </c>
      <c r="BY1064" s="2" t="s">
        <v>113</v>
      </c>
      <c r="BZ1064" s="2" t="s">
        <v>245</v>
      </c>
    </row>
    <row r="1065">
      <c r="A1065" s="2" t="s">
        <v>3690</v>
      </c>
      <c r="B1065" s="2" t="s">
        <v>87</v>
      </c>
      <c r="C1065" s="2" t="s">
        <v>3413</v>
      </c>
      <c r="D1065" s="2" t="s">
        <v>803</v>
      </c>
      <c r="E1065" s="2" t="s">
        <v>1532</v>
      </c>
      <c r="F1065" s="2" t="s">
        <v>3602</v>
      </c>
      <c r="G1065" s="2" t="s">
        <v>3603</v>
      </c>
      <c r="H1065" s="2" t="s">
        <v>3604</v>
      </c>
      <c r="I1065" s="2" t="s">
        <v>3605</v>
      </c>
      <c r="J1065" s="2" t="s">
        <v>717</v>
      </c>
      <c r="K1065" s="2" t="s">
        <v>3688</v>
      </c>
      <c r="L1065" s="3">
        <v>25.23</v>
      </c>
      <c r="M1065" s="3">
        <v>26.49</v>
      </c>
      <c r="N1065" s="3">
        <v>49.99</v>
      </c>
      <c r="O1065" s="2" t="s">
        <v>97</v>
      </c>
      <c r="P1065" s="2" t="s">
        <v>225</v>
      </c>
      <c r="Q1065" s="2" t="s">
        <v>99</v>
      </c>
      <c r="R1065" s="2" t="s">
        <v>100</v>
      </c>
      <c r="S1065" s="2" t="s">
        <v>3689</v>
      </c>
      <c r="T1065" s="2" t="s">
        <v>218</v>
      </c>
      <c r="U1065" s="2" t="s">
        <v>480</v>
      </c>
      <c r="V1065" s="2" t="s">
        <v>146</v>
      </c>
      <c r="W1065" s="2" t="s">
        <v>561</v>
      </c>
      <c r="X1065" s="2" t="s">
        <v>100</v>
      </c>
      <c r="Y1065" s="2" t="s">
        <v>3643</v>
      </c>
      <c r="Z1065" s="4">
        <v>618</v>
      </c>
      <c r="AA1065" s="4">
        <f>=ROUNDDOWN(32.020725388601,0)</f>
      </c>
      <c r="AB1065" s="5">
        <v>19.3</v>
      </c>
      <c r="AC1065" s="2" t="s">
        <v>1318</v>
      </c>
      <c r="AD1065" s="4">
        <v>180</v>
      </c>
      <c r="AE1065" s="4">
        <v>180</v>
      </c>
      <c r="AF1065" s="6">
        <v>63</v>
      </c>
      <c r="AG1065" s="6">
        <v>46</v>
      </c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143</v>
      </c>
      <c r="BK1065" s="8">
        <v>3537.89</v>
      </c>
      <c r="BL1065" s="2" t="s">
        <v>3691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2480</v>
      </c>
      <c r="BV1065" s="2" t="s">
        <v>97</v>
      </c>
      <c r="BW1065" s="2" t="s">
        <v>100</v>
      </c>
      <c r="BX1065" s="2" t="s">
        <v>100</v>
      </c>
      <c r="BY1065" s="2" t="s">
        <v>113</v>
      </c>
      <c r="BZ1065" s="2" t="s">
        <v>245</v>
      </c>
    </row>
    <row r="1066">
      <c r="A1066" s="2" t="s">
        <v>3692</v>
      </c>
      <c r="B1066" s="2" t="s">
        <v>87</v>
      </c>
      <c r="C1066" s="2" t="s">
        <v>3413</v>
      </c>
      <c r="D1066" s="2" t="s">
        <v>803</v>
      </c>
      <c r="E1066" s="2" t="s">
        <v>1532</v>
      </c>
      <c r="F1066" s="2" t="s">
        <v>3602</v>
      </c>
      <c r="G1066" s="2" t="s">
        <v>3603</v>
      </c>
      <c r="H1066" s="2" t="s">
        <v>3604</v>
      </c>
      <c r="I1066" s="2" t="s">
        <v>3605</v>
      </c>
      <c r="J1066" s="2" t="s">
        <v>706</v>
      </c>
      <c r="K1066" s="2" t="s">
        <v>3688</v>
      </c>
      <c r="L1066" s="3">
        <v>26.19</v>
      </c>
      <c r="M1066" s="3">
        <v>27.5</v>
      </c>
      <c r="N1066" s="3">
        <v>49.99</v>
      </c>
      <c r="O1066" s="2" t="s">
        <v>97</v>
      </c>
      <c r="P1066" s="2" t="s">
        <v>225</v>
      </c>
      <c r="Q1066" s="2" t="s">
        <v>99</v>
      </c>
      <c r="R1066" s="2" t="s">
        <v>100</v>
      </c>
      <c r="S1066" s="2" t="s">
        <v>3689</v>
      </c>
      <c r="T1066" s="2" t="s">
        <v>218</v>
      </c>
      <c r="U1066" s="2" t="s">
        <v>480</v>
      </c>
      <c r="V1066" s="2" t="s">
        <v>146</v>
      </c>
      <c r="W1066" s="2" t="s">
        <v>561</v>
      </c>
      <c r="X1066" s="2" t="s">
        <v>100</v>
      </c>
      <c r="Y1066" s="2" t="s">
        <v>3640</v>
      </c>
      <c r="Z1066" s="4">
        <v>8</v>
      </c>
      <c r="AA1066" s="4">
        <f>=ROUNDDOWN(0.0623052959501558,0)</f>
      </c>
      <c r="AB1066" s="5">
        <v>128.4</v>
      </c>
      <c r="AC1066" s="2" t="s">
        <v>542</v>
      </c>
      <c r="AD1066" s="4">
        <v>243</v>
      </c>
      <c r="AE1066" s="4">
        <v>1713</v>
      </c>
      <c r="AF1066" s="6">
        <v>63</v>
      </c>
      <c r="AG1066" s="6">
        <v>46</v>
      </c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961</v>
      </c>
      <c r="BK1066" s="8">
        <v>25967.11</v>
      </c>
      <c r="BL1066" s="2" t="s">
        <v>3665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2480</v>
      </c>
      <c r="BV1066" s="2" t="s">
        <v>97</v>
      </c>
      <c r="BW1066" s="2" t="s">
        <v>100</v>
      </c>
      <c r="BX1066" s="2" t="s">
        <v>100</v>
      </c>
      <c r="BY1066" s="2" t="s">
        <v>113</v>
      </c>
      <c r="BZ1066" s="2" t="s">
        <v>245</v>
      </c>
    </row>
    <row r="1067">
      <c r="A1067" s="2" t="s">
        <v>3693</v>
      </c>
      <c r="B1067" s="2" t="s">
        <v>87</v>
      </c>
      <c r="C1067" s="2" t="s">
        <v>3413</v>
      </c>
      <c r="D1067" s="2" t="s">
        <v>803</v>
      </c>
      <c r="E1067" s="2" t="s">
        <v>1532</v>
      </c>
      <c r="F1067" s="2" t="s">
        <v>3602</v>
      </c>
      <c r="G1067" s="2" t="s">
        <v>3603</v>
      </c>
      <c r="H1067" s="2" t="s">
        <v>3604</v>
      </c>
      <c r="I1067" s="2" t="s">
        <v>3605</v>
      </c>
      <c r="J1067" s="2" t="s">
        <v>714</v>
      </c>
      <c r="K1067" s="2" t="s">
        <v>3688</v>
      </c>
      <c r="L1067" s="3">
        <v>28.57</v>
      </c>
      <c r="M1067" s="3">
        <v>30</v>
      </c>
      <c r="N1067" s="3">
        <v>54.99</v>
      </c>
      <c r="O1067" s="2" t="s">
        <v>97</v>
      </c>
      <c r="P1067" s="2" t="s">
        <v>225</v>
      </c>
      <c r="Q1067" s="2" t="s">
        <v>99</v>
      </c>
      <c r="R1067" s="2" t="s">
        <v>100</v>
      </c>
      <c r="S1067" s="2" t="s">
        <v>3689</v>
      </c>
      <c r="T1067" s="2" t="s">
        <v>218</v>
      </c>
      <c r="U1067" s="2" t="s">
        <v>480</v>
      </c>
      <c r="V1067" s="2" t="s">
        <v>146</v>
      </c>
      <c r="W1067" s="2" t="s">
        <v>561</v>
      </c>
      <c r="X1067" s="2" t="s">
        <v>100</v>
      </c>
      <c r="Y1067" s="2" t="s">
        <v>3640</v>
      </c>
      <c r="Z1067" s="4">
        <v>563</v>
      </c>
      <c r="AA1067" s="4">
        <f>=ROUNDDOWN(4.69557964970809,0)</f>
      </c>
      <c r="AB1067" s="5">
        <v>119.9</v>
      </c>
      <c r="AC1067" s="2" t="s">
        <v>542</v>
      </c>
      <c r="AD1067" s="4">
        <v>168</v>
      </c>
      <c r="AE1067" s="4">
        <v>1068</v>
      </c>
      <c r="AF1067" s="6">
        <v>63</v>
      </c>
      <c r="AG1067" s="6">
        <v>46</v>
      </c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885</v>
      </c>
      <c r="BK1067" s="8">
        <v>28018.4</v>
      </c>
      <c r="BL1067" s="2" t="s">
        <v>3665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2480</v>
      </c>
      <c r="BV1067" s="2" t="s">
        <v>97</v>
      </c>
      <c r="BW1067" s="2" t="s">
        <v>100</v>
      </c>
      <c r="BX1067" s="2" t="s">
        <v>100</v>
      </c>
      <c r="BY1067" s="2" t="s">
        <v>113</v>
      </c>
      <c r="BZ1067" s="2" t="s">
        <v>245</v>
      </c>
    </row>
    <row r="1068">
      <c r="A1068" s="2" t="s">
        <v>3694</v>
      </c>
      <c r="B1068" s="2" t="s">
        <v>87</v>
      </c>
      <c r="C1068" s="2" t="s">
        <v>3413</v>
      </c>
      <c r="D1068" s="2" t="s">
        <v>803</v>
      </c>
      <c r="E1068" s="2" t="s">
        <v>1532</v>
      </c>
      <c r="F1068" s="2" t="s">
        <v>3602</v>
      </c>
      <c r="G1068" s="2" t="s">
        <v>3603</v>
      </c>
      <c r="H1068" s="2" t="s">
        <v>3604</v>
      </c>
      <c r="I1068" s="2" t="s">
        <v>3605</v>
      </c>
      <c r="J1068" s="2" t="s">
        <v>817</v>
      </c>
      <c r="K1068" s="2" t="s">
        <v>3688</v>
      </c>
      <c r="L1068" s="3">
        <v>30.95</v>
      </c>
      <c r="M1068" s="3">
        <v>32.5</v>
      </c>
      <c r="N1068" s="3">
        <v>54.99</v>
      </c>
      <c r="O1068" s="2" t="s">
        <v>97</v>
      </c>
      <c r="P1068" s="2" t="s">
        <v>225</v>
      </c>
      <c r="Q1068" s="2" t="s">
        <v>99</v>
      </c>
      <c r="R1068" s="2" t="s">
        <v>100</v>
      </c>
      <c r="S1068" s="2" t="s">
        <v>3689</v>
      </c>
      <c r="T1068" s="2" t="s">
        <v>218</v>
      </c>
      <c r="U1068" s="2" t="s">
        <v>480</v>
      </c>
      <c r="V1068" s="2" t="s">
        <v>146</v>
      </c>
      <c r="W1068" s="2" t="s">
        <v>561</v>
      </c>
      <c r="X1068" s="2" t="s">
        <v>100</v>
      </c>
      <c r="Y1068" s="2" t="s">
        <v>3631</v>
      </c>
      <c r="Z1068" s="4">
        <v>729</v>
      </c>
      <c r="AA1068" s="4">
        <f>=ROUNDDOWN(13.0178571428571,0)</f>
      </c>
      <c r="AB1068" s="5">
        <v>56</v>
      </c>
      <c r="AC1068" s="2" t="s">
        <v>1318</v>
      </c>
      <c r="AD1068" s="4">
        <v>600</v>
      </c>
      <c r="AE1068" s="4">
        <v>600</v>
      </c>
      <c r="AF1068" s="6">
        <v>63</v>
      </c>
      <c r="AG1068" s="6">
        <v>46</v>
      </c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272</v>
      </c>
      <c r="BK1068" s="8">
        <v>10235.7</v>
      </c>
      <c r="BL1068" s="2" t="s">
        <v>3695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2480</v>
      </c>
      <c r="BV1068" s="2" t="s">
        <v>97</v>
      </c>
      <c r="BW1068" s="2" t="s">
        <v>100</v>
      </c>
      <c r="BX1068" s="2" t="s">
        <v>100</v>
      </c>
      <c r="BY1068" s="2" t="s">
        <v>113</v>
      </c>
      <c r="BZ1068" s="2" t="s">
        <v>245</v>
      </c>
    </row>
    <row r="1069">
      <c r="A1069" s="2" t="s">
        <v>3696</v>
      </c>
      <c r="B1069" s="2" t="s">
        <v>87</v>
      </c>
      <c r="C1069" s="2" t="s">
        <v>3413</v>
      </c>
      <c r="D1069" s="2" t="s">
        <v>803</v>
      </c>
      <c r="E1069" s="2" t="s">
        <v>1532</v>
      </c>
      <c r="F1069" s="2" t="s">
        <v>3602</v>
      </c>
      <c r="G1069" s="2" t="s">
        <v>3603</v>
      </c>
      <c r="H1069" s="2" t="s">
        <v>3604</v>
      </c>
      <c r="I1069" s="2" t="s">
        <v>3605</v>
      </c>
      <c r="J1069" s="2" t="s">
        <v>237</v>
      </c>
      <c r="K1069" s="2" t="s">
        <v>878</v>
      </c>
      <c r="L1069" s="3">
        <v>21.42</v>
      </c>
      <c r="M1069" s="3">
        <v>22.49</v>
      </c>
      <c r="N1069" s="3">
        <v>39.99</v>
      </c>
      <c r="O1069" s="2" t="s">
        <v>97</v>
      </c>
      <c r="P1069" s="2" t="s">
        <v>225</v>
      </c>
      <c r="Q1069" s="2" t="s">
        <v>99</v>
      </c>
      <c r="R1069" s="2" t="s">
        <v>100</v>
      </c>
      <c r="S1069" s="2" t="s">
        <v>3697</v>
      </c>
      <c r="T1069" s="2" t="s">
        <v>218</v>
      </c>
      <c r="U1069" s="2" t="s">
        <v>514</v>
      </c>
      <c r="V1069" s="2" t="s">
        <v>146</v>
      </c>
      <c r="W1069" s="2" t="s">
        <v>561</v>
      </c>
      <c r="X1069" s="2" t="s">
        <v>100</v>
      </c>
      <c r="Y1069" s="2" t="s">
        <v>228</v>
      </c>
      <c r="Z1069" s="4">
        <v>139</v>
      </c>
      <c r="AA1069" s="4">
        <f>=ROUNDDOWN(6.34703196347032,0)</f>
      </c>
      <c r="AB1069" s="5">
        <v>21.9</v>
      </c>
      <c r="AC1069" s="2" t="s">
        <v>542</v>
      </c>
      <c r="AD1069" s="4">
        <v>54</v>
      </c>
      <c r="AE1069" s="4">
        <v>294</v>
      </c>
      <c r="AF1069" s="6">
        <v>63</v>
      </c>
      <c r="AG1069" s="6">
        <v>46</v>
      </c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157</v>
      </c>
      <c r="BK1069" s="8">
        <v>3312.7</v>
      </c>
      <c r="BL1069" s="2" t="s">
        <v>3668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2480</v>
      </c>
      <c r="BV1069" s="2" t="s">
        <v>97</v>
      </c>
      <c r="BW1069" s="2" t="s">
        <v>100</v>
      </c>
      <c r="BX1069" s="2" t="s">
        <v>100</v>
      </c>
      <c r="BY1069" s="2" t="s">
        <v>113</v>
      </c>
      <c r="BZ1069" s="2" t="s">
        <v>245</v>
      </c>
    </row>
    <row r="1070">
      <c r="A1070" s="2" t="s">
        <v>3698</v>
      </c>
      <c r="B1070" s="2" t="s">
        <v>87</v>
      </c>
      <c r="C1070" s="2" t="s">
        <v>3413</v>
      </c>
      <c r="D1070" s="2" t="s">
        <v>803</v>
      </c>
      <c r="E1070" s="2" t="s">
        <v>1532</v>
      </c>
      <c r="F1070" s="2" t="s">
        <v>3602</v>
      </c>
      <c r="G1070" s="2" t="s">
        <v>3603</v>
      </c>
      <c r="H1070" s="2" t="s">
        <v>3604</v>
      </c>
      <c r="I1070" s="2" t="s">
        <v>3605</v>
      </c>
      <c r="J1070" s="2" t="s">
        <v>717</v>
      </c>
      <c r="K1070" s="2" t="s">
        <v>878</v>
      </c>
      <c r="L1070" s="3">
        <v>25.23</v>
      </c>
      <c r="M1070" s="3">
        <v>26.49</v>
      </c>
      <c r="N1070" s="3">
        <v>49.99</v>
      </c>
      <c r="O1070" s="2" t="s">
        <v>97</v>
      </c>
      <c r="P1070" s="2" t="s">
        <v>225</v>
      </c>
      <c r="Q1070" s="2" t="s">
        <v>99</v>
      </c>
      <c r="R1070" s="2" t="s">
        <v>100</v>
      </c>
      <c r="S1070" s="2" t="s">
        <v>3697</v>
      </c>
      <c r="T1070" s="2" t="s">
        <v>218</v>
      </c>
      <c r="U1070" s="2" t="s">
        <v>480</v>
      </c>
      <c r="V1070" s="2" t="s">
        <v>146</v>
      </c>
      <c r="W1070" s="2" t="s">
        <v>561</v>
      </c>
      <c r="X1070" s="2" t="s">
        <v>100</v>
      </c>
      <c r="Y1070" s="2" t="s">
        <v>3643</v>
      </c>
      <c r="Z1070" s="4">
        <v>646</v>
      </c>
      <c r="AA1070" s="4">
        <f>=ROUNDDOWN(41.1464968152866,0)</f>
      </c>
      <c r="AB1070" s="5">
        <v>15.7</v>
      </c>
      <c r="AC1070" s="2" t="s">
        <v>100</v>
      </c>
      <c r="AD1070" s="4"/>
      <c r="AE1070" s="4"/>
      <c r="AF1070" s="6">
        <v>63</v>
      </c>
      <c r="AG1070" s="6">
        <v>46</v>
      </c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106</v>
      </c>
      <c r="BK1070" s="8">
        <v>2679.96</v>
      </c>
      <c r="BL1070" s="2" t="s">
        <v>3663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2480</v>
      </c>
      <c r="BV1070" s="2" t="s">
        <v>97</v>
      </c>
      <c r="BW1070" s="2" t="s">
        <v>100</v>
      </c>
      <c r="BX1070" s="2" t="s">
        <v>100</v>
      </c>
      <c r="BY1070" s="2" t="s">
        <v>113</v>
      </c>
      <c r="BZ1070" s="2" t="s">
        <v>245</v>
      </c>
    </row>
    <row r="1071">
      <c r="A1071" s="2" t="s">
        <v>3699</v>
      </c>
      <c r="B1071" s="2" t="s">
        <v>87</v>
      </c>
      <c r="C1071" s="2" t="s">
        <v>3413</v>
      </c>
      <c r="D1071" s="2" t="s">
        <v>803</v>
      </c>
      <c r="E1071" s="2" t="s">
        <v>1532</v>
      </c>
      <c r="F1071" s="2" t="s">
        <v>3602</v>
      </c>
      <c r="G1071" s="2" t="s">
        <v>3603</v>
      </c>
      <c r="H1071" s="2" t="s">
        <v>3604</v>
      </c>
      <c r="I1071" s="2" t="s">
        <v>3605</v>
      </c>
      <c r="J1071" s="2" t="s">
        <v>706</v>
      </c>
      <c r="K1071" s="2" t="s">
        <v>878</v>
      </c>
      <c r="L1071" s="3">
        <v>26.19</v>
      </c>
      <c r="M1071" s="3">
        <v>27.5</v>
      </c>
      <c r="N1071" s="3">
        <v>49.99</v>
      </c>
      <c r="O1071" s="2" t="s">
        <v>97</v>
      </c>
      <c r="P1071" s="2" t="s">
        <v>225</v>
      </c>
      <c r="Q1071" s="2" t="s">
        <v>99</v>
      </c>
      <c r="R1071" s="2" t="s">
        <v>100</v>
      </c>
      <c r="S1071" s="2" t="s">
        <v>3697</v>
      </c>
      <c r="T1071" s="2" t="s">
        <v>218</v>
      </c>
      <c r="U1071" s="2" t="s">
        <v>480</v>
      </c>
      <c r="V1071" s="2" t="s">
        <v>146</v>
      </c>
      <c r="W1071" s="2" t="s">
        <v>561</v>
      </c>
      <c r="X1071" s="2" t="s">
        <v>100</v>
      </c>
      <c r="Y1071" s="2" t="s">
        <v>228</v>
      </c>
      <c r="Z1071" s="4">
        <v>429</v>
      </c>
      <c r="AA1071" s="4">
        <f>=ROUNDDOWN(5.9500693481276,0)</f>
      </c>
      <c r="AB1071" s="5">
        <v>72.1</v>
      </c>
      <c r="AC1071" s="2" t="s">
        <v>542</v>
      </c>
      <c r="AD1071" s="4">
        <v>135</v>
      </c>
      <c r="AE1071" s="4">
        <v>915</v>
      </c>
      <c r="AF1071" s="6">
        <v>63</v>
      </c>
      <c r="AG1071" s="6">
        <v>46</v>
      </c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583</v>
      </c>
      <c r="BK1071" s="8">
        <v>15581.31</v>
      </c>
      <c r="BL1071" s="2" t="s">
        <v>3700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2480</v>
      </c>
      <c r="BV1071" s="2" t="s">
        <v>97</v>
      </c>
      <c r="BW1071" s="2" t="s">
        <v>100</v>
      </c>
      <c r="BX1071" s="2" t="s">
        <v>100</v>
      </c>
      <c r="BY1071" s="2" t="s">
        <v>113</v>
      </c>
      <c r="BZ1071" s="2" t="s">
        <v>245</v>
      </c>
    </row>
    <row r="1072">
      <c r="A1072" s="2" t="s">
        <v>3701</v>
      </c>
      <c r="B1072" s="2" t="s">
        <v>87</v>
      </c>
      <c r="C1072" s="2" t="s">
        <v>3413</v>
      </c>
      <c r="D1072" s="2" t="s">
        <v>803</v>
      </c>
      <c r="E1072" s="2" t="s">
        <v>1532</v>
      </c>
      <c r="F1072" s="2" t="s">
        <v>3602</v>
      </c>
      <c r="G1072" s="2" t="s">
        <v>3603</v>
      </c>
      <c r="H1072" s="2" t="s">
        <v>3604</v>
      </c>
      <c r="I1072" s="2" t="s">
        <v>3605</v>
      </c>
      <c r="J1072" s="2" t="s">
        <v>714</v>
      </c>
      <c r="K1072" s="2" t="s">
        <v>878</v>
      </c>
      <c r="L1072" s="3">
        <v>28.57</v>
      </c>
      <c r="M1072" s="3">
        <v>30</v>
      </c>
      <c r="N1072" s="3">
        <v>54.99</v>
      </c>
      <c r="O1072" s="2" t="s">
        <v>97</v>
      </c>
      <c r="P1072" s="2" t="s">
        <v>225</v>
      </c>
      <c r="Q1072" s="2" t="s">
        <v>99</v>
      </c>
      <c r="R1072" s="2" t="s">
        <v>100</v>
      </c>
      <c r="S1072" s="2" t="s">
        <v>3697</v>
      </c>
      <c r="T1072" s="2" t="s">
        <v>218</v>
      </c>
      <c r="U1072" s="2" t="s">
        <v>480</v>
      </c>
      <c r="V1072" s="2" t="s">
        <v>146</v>
      </c>
      <c r="W1072" s="2" t="s">
        <v>561</v>
      </c>
      <c r="X1072" s="2" t="s">
        <v>100</v>
      </c>
      <c r="Y1072" s="2" t="s">
        <v>228</v>
      </c>
      <c r="Z1072" s="4">
        <v>1062</v>
      </c>
      <c r="AA1072" s="4">
        <f>=ROUNDDOWN(16.8304278922345,0)</f>
      </c>
      <c r="AB1072" s="5">
        <v>63.1</v>
      </c>
      <c r="AC1072" s="2" t="s">
        <v>205</v>
      </c>
      <c r="AD1072" s="4">
        <v>324</v>
      </c>
      <c r="AE1072" s="4">
        <v>384</v>
      </c>
      <c r="AF1072" s="6">
        <v>63</v>
      </c>
      <c r="AG1072" s="6">
        <v>46</v>
      </c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475</v>
      </c>
      <c r="BK1072" s="8">
        <v>14376.85</v>
      </c>
      <c r="BL1072" s="2" t="s">
        <v>3702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2480</v>
      </c>
      <c r="BV1072" s="2" t="s">
        <v>97</v>
      </c>
      <c r="BW1072" s="2" t="s">
        <v>100</v>
      </c>
      <c r="BX1072" s="2" t="s">
        <v>100</v>
      </c>
      <c r="BY1072" s="2" t="s">
        <v>113</v>
      </c>
      <c r="BZ1072" s="2" t="s">
        <v>245</v>
      </c>
    </row>
    <row r="1073">
      <c r="A1073" s="2" t="s">
        <v>3703</v>
      </c>
      <c r="B1073" s="2" t="s">
        <v>87</v>
      </c>
      <c r="C1073" s="2" t="s">
        <v>3413</v>
      </c>
      <c r="D1073" s="2" t="s">
        <v>803</v>
      </c>
      <c r="E1073" s="2" t="s">
        <v>1532</v>
      </c>
      <c r="F1073" s="2" t="s">
        <v>3602</v>
      </c>
      <c r="G1073" s="2" t="s">
        <v>3603</v>
      </c>
      <c r="H1073" s="2" t="s">
        <v>3604</v>
      </c>
      <c r="I1073" s="2" t="s">
        <v>3605</v>
      </c>
      <c r="J1073" s="2" t="s">
        <v>817</v>
      </c>
      <c r="K1073" s="2" t="s">
        <v>878</v>
      </c>
      <c r="L1073" s="3">
        <v>30.95</v>
      </c>
      <c r="M1073" s="3">
        <v>32.5</v>
      </c>
      <c r="N1073" s="3">
        <v>54.99</v>
      </c>
      <c r="O1073" s="2" t="s">
        <v>97</v>
      </c>
      <c r="P1073" s="2" t="s">
        <v>225</v>
      </c>
      <c r="Q1073" s="2" t="s">
        <v>99</v>
      </c>
      <c r="R1073" s="2" t="s">
        <v>100</v>
      </c>
      <c r="S1073" s="2" t="s">
        <v>3697</v>
      </c>
      <c r="T1073" s="2" t="s">
        <v>218</v>
      </c>
      <c r="U1073" s="2" t="s">
        <v>480</v>
      </c>
      <c r="V1073" s="2" t="s">
        <v>146</v>
      </c>
      <c r="W1073" s="2" t="s">
        <v>561</v>
      </c>
      <c r="X1073" s="2" t="s">
        <v>100</v>
      </c>
      <c r="Y1073" s="2" t="s">
        <v>3631</v>
      </c>
      <c r="Z1073" s="4">
        <v>906</v>
      </c>
      <c r="AA1073" s="4">
        <f>=ROUNDDOWN(36.8292682926829,0)</f>
      </c>
      <c r="AB1073" s="5">
        <v>24.6</v>
      </c>
      <c r="AC1073" s="2" t="s">
        <v>100</v>
      </c>
      <c r="AD1073" s="4"/>
      <c r="AE1073" s="4"/>
      <c r="AF1073" s="6">
        <v>63</v>
      </c>
      <c r="AG1073" s="6">
        <v>46</v>
      </c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>
        <v>148</v>
      </c>
      <c r="BK1073" s="8">
        <v>5239.8</v>
      </c>
      <c r="BL1073" s="2" t="s">
        <v>3678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2480</v>
      </c>
      <c r="BV1073" s="2" t="s">
        <v>97</v>
      </c>
      <c r="BW1073" s="2" t="s">
        <v>100</v>
      </c>
      <c r="BX1073" s="2" t="s">
        <v>100</v>
      </c>
      <c r="BY1073" s="2" t="s">
        <v>113</v>
      </c>
      <c r="BZ1073" s="2" t="s">
        <v>245</v>
      </c>
    </row>
    <row r="1074">
      <c r="A1074" s="2" t="s">
        <v>3704</v>
      </c>
      <c r="B1074" s="2" t="s">
        <v>87</v>
      </c>
      <c r="C1074" s="2" t="s">
        <v>3413</v>
      </c>
      <c r="D1074" s="2" t="s">
        <v>803</v>
      </c>
      <c r="E1074" s="2" t="s">
        <v>1532</v>
      </c>
      <c r="F1074" s="2" t="s">
        <v>3602</v>
      </c>
      <c r="G1074" s="2" t="s">
        <v>3603</v>
      </c>
      <c r="H1074" s="2" t="s">
        <v>3604</v>
      </c>
      <c r="I1074" s="2" t="s">
        <v>3605</v>
      </c>
      <c r="J1074" s="2" t="s">
        <v>237</v>
      </c>
      <c r="K1074" s="2" t="s">
        <v>3038</v>
      </c>
      <c r="L1074" s="3">
        <v>21.42</v>
      </c>
      <c r="M1074" s="3">
        <v>22.49</v>
      </c>
      <c r="N1074" s="3">
        <v>44.99</v>
      </c>
      <c r="O1074" s="2" t="s">
        <v>97</v>
      </c>
      <c r="P1074" s="2" t="s">
        <v>307</v>
      </c>
      <c r="Q1074" s="2" t="s">
        <v>99</v>
      </c>
      <c r="R1074" s="2" t="s">
        <v>100</v>
      </c>
      <c r="S1074" s="2" t="s">
        <v>3705</v>
      </c>
      <c r="T1074" s="2" t="s">
        <v>218</v>
      </c>
      <c r="U1074" s="2" t="s">
        <v>514</v>
      </c>
      <c r="V1074" s="2" t="s">
        <v>146</v>
      </c>
      <c r="W1074" s="2" t="s">
        <v>561</v>
      </c>
      <c r="X1074" s="2" t="s">
        <v>100</v>
      </c>
      <c r="Y1074" s="2" t="s">
        <v>3607</v>
      </c>
      <c r="Z1074" s="4">
        <v>668</v>
      </c>
      <c r="AA1074" s="4">
        <f>=ROUNDDOWN(44.5333333333333,0)</f>
      </c>
      <c r="AB1074" s="5">
        <v>15</v>
      </c>
      <c r="AC1074" s="2" t="s">
        <v>100</v>
      </c>
      <c r="AD1074" s="4"/>
      <c r="AE1074" s="4"/>
      <c r="AF1074" s="6">
        <v>63</v>
      </c>
      <c r="AG1074" s="6">
        <v>46</v>
      </c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441</v>
      </c>
      <c r="BK1074" s="8">
        <v>10126.26</v>
      </c>
      <c r="BL1074" s="2" t="s">
        <v>3633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2480</v>
      </c>
      <c r="BV1074" s="2" t="s">
        <v>97</v>
      </c>
      <c r="BW1074" s="2" t="s">
        <v>100</v>
      </c>
      <c r="BX1074" s="2" t="s">
        <v>100</v>
      </c>
      <c r="BY1074" s="2" t="s">
        <v>113</v>
      </c>
      <c r="BZ1074" s="2" t="s">
        <v>245</v>
      </c>
    </row>
    <row r="1075">
      <c r="A1075" s="2" t="s">
        <v>3706</v>
      </c>
      <c r="B1075" s="2" t="s">
        <v>87</v>
      </c>
      <c r="C1075" s="2" t="s">
        <v>3413</v>
      </c>
      <c r="D1075" s="2" t="s">
        <v>803</v>
      </c>
      <c r="E1075" s="2" t="s">
        <v>1532</v>
      </c>
      <c r="F1075" s="2" t="s">
        <v>3602</v>
      </c>
      <c r="G1075" s="2" t="s">
        <v>3603</v>
      </c>
      <c r="H1075" s="2" t="s">
        <v>3604</v>
      </c>
      <c r="I1075" s="2" t="s">
        <v>3605</v>
      </c>
      <c r="J1075" s="2" t="s">
        <v>717</v>
      </c>
      <c r="K1075" s="2" t="s">
        <v>3038</v>
      </c>
      <c r="L1075" s="3">
        <v>25.23</v>
      </c>
      <c r="M1075" s="3">
        <v>26.49</v>
      </c>
      <c r="N1075" s="3">
        <v>49.99</v>
      </c>
      <c r="O1075" s="2" t="s">
        <v>97</v>
      </c>
      <c r="P1075" s="2" t="s">
        <v>225</v>
      </c>
      <c r="Q1075" s="2" t="s">
        <v>99</v>
      </c>
      <c r="R1075" s="2" t="s">
        <v>100</v>
      </c>
      <c r="S1075" s="2" t="s">
        <v>3705</v>
      </c>
      <c r="T1075" s="2" t="s">
        <v>218</v>
      </c>
      <c r="U1075" s="2" t="s">
        <v>480</v>
      </c>
      <c r="V1075" s="2" t="s">
        <v>146</v>
      </c>
      <c r="W1075" s="2" t="s">
        <v>561</v>
      </c>
      <c r="X1075" s="2" t="s">
        <v>100</v>
      </c>
      <c r="Y1075" s="2" t="s">
        <v>3631</v>
      </c>
      <c r="Z1075" s="4">
        <v>573</v>
      </c>
      <c r="AA1075" s="4">
        <f>=ROUNDDOWN(62.2826086956522,0)</f>
      </c>
      <c r="AB1075" s="5">
        <v>9.2</v>
      </c>
      <c r="AC1075" s="2" t="s">
        <v>356</v>
      </c>
      <c r="AD1075" s="4">
        <v>15</v>
      </c>
      <c r="AE1075" s="4">
        <v>15</v>
      </c>
      <c r="AF1075" s="6">
        <v>63</v>
      </c>
      <c r="AG1075" s="6">
        <v>46</v>
      </c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79</v>
      </c>
      <c r="BK1075" s="8">
        <v>2013.76</v>
      </c>
      <c r="BL1075" s="2" t="s">
        <v>3707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2480</v>
      </c>
      <c r="BV1075" s="2" t="s">
        <v>97</v>
      </c>
      <c r="BW1075" s="2" t="s">
        <v>100</v>
      </c>
      <c r="BX1075" s="2" t="s">
        <v>100</v>
      </c>
      <c r="BY1075" s="2" t="s">
        <v>113</v>
      </c>
      <c r="BZ1075" s="2" t="s">
        <v>245</v>
      </c>
    </row>
    <row r="1076">
      <c r="A1076" s="2" t="s">
        <v>3708</v>
      </c>
      <c r="B1076" s="2" t="s">
        <v>87</v>
      </c>
      <c r="C1076" s="2" t="s">
        <v>3413</v>
      </c>
      <c r="D1076" s="2" t="s">
        <v>803</v>
      </c>
      <c r="E1076" s="2" t="s">
        <v>1532</v>
      </c>
      <c r="F1076" s="2" t="s">
        <v>3602</v>
      </c>
      <c r="G1076" s="2" t="s">
        <v>3603</v>
      </c>
      <c r="H1076" s="2" t="s">
        <v>3604</v>
      </c>
      <c r="I1076" s="2" t="s">
        <v>3605</v>
      </c>
      <c r="J1076" s="2" t="s">
        <v>706</v>
      </c>
      <c r="K1076" s="2" t="s">
        <v>3038</v>
      </c>
      <c r="L1076" s="3">
        <v>26.19</v>
      </c>
      <c r="M1076" s="3">
        <v>27.5</v>
      </c>
      <c r="N1076" s="3">
        <v>54.99</v>
      </c>
      <c r="O1076" s="2" t="s">
        <v>97</v>
      </c>
      <c r="P1076" s="2" t="s">
        <v>307</v>
      </c>
      <c r="Q1076" s="2" t="s">
        <v>99</v>
      </c>
      <c r="R1076" s="2" t="s">
        <v>100</v>
      </c>
      <c r="S1076" s="2" t="s">
        <v>3705</v>
      </c>
      <c r="T1076" s="2" t="s">
        <v>218</v>
      </c>
      <c r="U1076" s="2" t="s">
        <v>480</v>
      </c>
      <c r="V1076" s="2" t="s">
        <v>146</v>
      </c>
      <c r="W1076" s="2" t="s">
        <v>561</v>
      </c>
      <c r="X1076" s="2" t="s">
        <v>100</v>
      </c>
      <c r="Y1076" s="2" t="s">
        <v>3614</v>
      </c>
      <c r="Z1076" s="4">
        <v>4177</v>
      </c>
      <c r="AA1076" s="4">
        <f>=ROUNDDOWN(92.8222222222222,0)</f>
      </c>
      <c r="AB1076" s="5">
        <v>45</v>
      </c>
      <c r="AC1076" s="2" t="s">
        <v>241</v>
      </c>
      <c r="AD1076" s="4">
        <v>600</v>
      </c>
      <c r="AE1076" s="4">
        <v>600</v>
      </c>
      <c r="AF1076" s="6">
        <v>63</v>
      </c>
      <c r="AG1076" s="6">
        <v>46</v>
      </c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>
        <v>1563</v>
      </c>
      <c r="BK1076" s="8">
        <v>45093.01</v>
      </c>
      <c r="BL1076" s="2" t="s">
        <v>3615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2480</v>
      </c>
      <c r="BV1076" s="2" t="s">
        <v>97</v>
      </c>
      <c r="BW1076" s="2" t="s">
        <v>100</v>
      </c>
      <c r="BX1076" s="2" t="s">
        <v>100</v>
      </c>
      <c r="BY1076" s="2" t="s">
        <v>113</v>
      </c>
      <c r="BZ1076" s="2" t="s">
        <v>245</v>
      </c>
    </row>
    <row r="1077">
      <c r="A1077" s="2" t="s">
        <v>3709</v>
      </c>
      <c r="B1077" s="2" t="s">
        <v>87</v>
      </c>
      <c r="C1077" s="2" t="s">
        <v>3413</v>
      </c>
      <c r="D1077" s="2" t="s">
        <v>803</v>
      </c>
      <c r="E1077" s="2" t="s">
        <v>1532</v>
      </c>
      <c r="F1077" s="2" t="s">
        <v>3602</v>
      </c>
      <c r="G1077" s="2" t="s">
        <v>3603</v>
      </c>
      <c r="H1077" s="2" t="s">
        <v>3604</v>
      </c>
      <c r="I1077" s="2" t="s">
        <v>3605</v>
      </c>
      <c r="J1077" s="2" t="s">
        <v>714</v>
      </c>
      <c r="K1077" s="2" t="s">
        <v>3038</v>
      </c>
      <c r="L1077" s="3">
        <v>28.57</v>
      </c>
      <c r="M1077" s="3">
        <v>30</v>
      </c>
      <c r="N1077" s="3">
        <v>59.99</v>
      </c>
      <c r="O1077" s="2" t="s">
        <v>97</v>
      </c>
      <c r="P1077" s="2" t="s">
        <v>307</v>
      </c>
      <c r="Q1077" s="2" t="s">
        <v>99</v>
      </c>
      <c r="R1077" s="2" t="s">
        <v>100</v>
      </c>
      <c r="S1077" s="2" t="s">
        <v>3705</v>
      </c>
      <c r="T1077" s="2" t="s">
        <v>218</v>
      </c>
      <c r="U1077" s="2" t="s">
        <v>480</v>
      </c>
      <c r="V1077" s="2" t="s">
        <v>146</v>
      </c>
      <c r="W1077" s="2" t="s">
        <v>561</v>
      </c>
      <c r="X1077" s="2" t="s">
        <v>100</v>
      </c>
      <c r="Y1077" s="2" t="s">
        <v>3607</v>
      </c>
      <c r="Z1077" s="4">
        <v>4486</v>
      </c>
      <c r="AA1077" s="4">
        <f>=ROUNDDOWN(154.689655172414,0)</f>
      </c>
      <c r="AB1077" s="5">
        <v>29</v>
      </c>
      <c r="AC1077" s="2" t="s">
        <v>241</v>
      </c>
      <c r="AD1077" s="4">
        <v>600</v>
      </c>
      <c r="AE1077" s="4">
        <v>600</v>
      </c>
      <c r="AF1077" s="6">
        <v>63</v>
      </c>
      <c r="AG1077" s="6">
        <v>46</v>
      </c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1403</v>
      </c>
      <c r="BK1077" s="8">
        <v>47813.77</v>
      </c>
      <c r="BL1077" s="2" t="s">
        <v>3615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2480</v>
      </c>
      <c r="BV1077" s="2" t="s">
        <v>97</v>
      </c>
      <c r="BW1077" s="2" t="s">
        <v>100</v>
      </c>
      <c r="BX1077" s="2" t="s">
        <v>100</v>
      </c>
      <c r="BY1077" s="2" t="s">
        <v>113</v>
      </c>
      <c r="BZ1077" s="2" t="s">
        <v>245</v>
      </c>
    </row>
    <row r="1078">
      <c r="A1078" s="2" t="s">
        <v>3710</v>
      </c>
      <c r="B1078" s="2" t="s">
        <v>87</v>
      </c>
      <c r="C1078" s="2" t="s">
        <v>3413</v>
      </c>
      <c r="D1078" s="2" t="s">
        <v>803</v>
      </c>
      <c r="E1078" s="2" t="s">
        <v>1532</v>
      </c>
      <c r="F1078" s="2" t="s">
        <v>3602</v>
      </c>
      <c r="G1078" s="2" t="s">
        <v>3603</v>
      </c>
      <c r="H1078" s="2" t="s">
        <v>3604</v>
      </c>
      <c r="I1078" s="2" t="s">
        <v>3605</v>
      </c>
      <c r="J1078" s="2" t="s">
        <v>817</v>
      </c>
      <c r="K1078" s="2" t="s">
        <v>3038</v>
      </c>
      <c r="L1078" s="3">
        <v>30.95</v>
      </c>
      <c r="M1078" s="3">
        <v>32.5</v>
      </c>
      <c r="N1078" s="3">
        <v>54.99</v>
      </c>
      <c r="O1078" s="2" t="s">
        <v>97</v>
      </c>
      <c r="P1078" s="2" t="s">
        <v>225</v>
      </c>
      <c r="Q1078" s="2" t="s">
        <v>99</v>
      </c>
      <c r="R1078" s="2" t="s">
        <v>100</v>
      </c>
      <c r="S1078" s="2" t="s">
        <v>3705</v>
      </c>
      <c r="T1078" s="2" t="s">
        <v>218</v>
      </c>
      <c r="U1078" s="2" t="s">
        <v>480</v>
      </c>
      <c r="V1078" s="2" t="s">
        <v>146</v>
      </c>
      <c r="W1078" s="2" t="s">
        <v>561</v>
      </c>
      <c r="X1078" s="2" t="s">
        <v>100</v>
      </c>
      <c r="Y1078" s="2" t="s">
        <v>3609</v>
      </c>
      <c r="Z1078" s="4">
        <v>954</v>
      </c>
      <c r="AA1078" s="4">
        <f>=ROUNDDOWN(58.1707317073171,0)</f>
      </c>
      <c r="AB1078" s="5">
        <v>16.4</v>
      </c>
      <c r="AC1078" s="2" t="s">
        <v>356</v>
      </c>
      <c r="AD1078" s="4">
        <v>81</v>
      </c>
      <c r="AE1078" s="4">
        <v>81</v>
      </c>
      <c r="AF1078" s="6">
        <v>63</v>
      </c>
      <c r="AG1078" s="6">
        <v>46</v>
      </c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79</v>
      </c>
      <c r="BK1078" s="8">
        <v>2861.13</v>
      </c>
      <c r="BL1078" s="2" t="s">
        <v>1591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2480</v>
      </c>
      <c r="BV1078" s="2" t="s">
        <v>97</v>
      </c>
      <c r="BW1078" s="2" t="s">
        <v>100</v>
      </c>
      <c r="BX1078" s="2" t="s">
        <v>100</v>
      </c>
      <c r="BY1078" s="2" t="s">
        <v>113</v>
      </c>
      <c r="BZ1078" s="2" t="s">
        <v>245</v>
      </c>
    </row>
    <row r="1079">
      <c r="A1079" s="2" t="s">
        <v>3711</v>
      </c>
      <c r="B1079" s="2" t="s">
        <v>87</v>
      </c>
      <c r="C1079" s="2" t="s">
        <v>3413</v>
      </c>
      <c r="D1079" s="2" t="s">
        <v>803</v>
      </c>
      <c r="E1079" s="2" t="s">
        <v>1532</v>
      </c>
      <c r="F1079" s="2" t="s">
        <v>3602</v>
      </c>
      <c r="G1079" s="2" t="s">
        <v>3603</v>
      </c>
      <c r="H1079" s="2" t="s">
        <v>3604</v>
      </c>
      <c r="I1079" s="2" t="s">
        <v>3605</v>
      </c>
      <c r="J1079" s="2" t="s">
        <v>237</v>
      </c>
      <c r="K1079" s="2" t="s">
        <v>1340</v>
      </c>
      <c r="L1079" s="3">
        <v>21.42</v>
      </c>
      <c r="M1079" s="3">
        <v>22.49</v>
      </c>
      <c r="N1079" s="3">
        <v>39.99</v>
      </c>
      <c r="O1079" s="2" t="s">
        <v>97</v>
      </c>
      <c r="P1079" s="2" t="s">
        <v>225</v>
      </c>
      <c r="Q1079" s="2" t="s">
        <v>99</v>
      </c>
      <c r="R1079" s="2" t="s">
        <v>100</v>
      </c>
      <c r="S1079" s="2" t="s">
        <v>3712</v>
      </c>
      <c r="T1079" s="2" t="s">
        <v>218</v>
      </c>
      <c r="U1079" s="2" t="s">
        <v>514</v>
      </c>
      <c r="V1079" s="2" t="s">
        <v>146</v>
      </c>
      <c r="W1079" s="2" t="s">
        <v>561</v>
      </c>
      <c r="X1079" s="2" t="s">
        <v>100</v>
      </c>
      <c r="Y1079" s="2" t="s">
        <v>3660</v>
      </c>
      <c r="Z1079" s="4">
        <v>343</v>
      </c>
      <c r="AA1079" s="4">
        <f>=ROUNDDOWN(46.3513513513514,0)</f>
      </c>
      <c r="AB1079" s="5">
        <v>7.4</v>
      </c>
      <c r="AC1079" s="2" t="s">
        <v>205</v>
      </c>
      <c r="AD1079" s="4">
        <v>66</v>
      </c>
      <c r="AE1079" s="4">
        <v>66</v>
      </c>
      <c r="AF1079" s="6">
        <v>63</v>
      </c>
      <c r="AG1079" s="6">
        <v>46</v>
      </c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39</v>
      </c>
      <c r="BK1079" s="8">
        <v>841.96</v>
      </c>
      <c r="BL1079" s="2" t="s">
        <v>3713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2480</v>
      </c>
      <c r="BV1079" s="2" t="s">
        <v>97</v>
      </c>
      <c r="BW1079" s="2" t="s">
        <v>100</v>
      </c>
      <c r="BX1079" s="2" t="s">
        <v>100</v>
      </c>
      <c r="BY1079" s="2" t="s">
        <v>113</v>
      </c>
      <c r="BZ1079" s="2" t="s">
        <v>245</v>
      </c>
    </row>
    <row r="1080">
      <c r="A1080" s="2" t="s">
        <v>3714</v>
      </c>
      <c r="B1080" s="2" t="s">
        <v>87</v>
      </c>
      <c r="C1080" s="2" t="s">
        <v>3413</v>
      </c>
      <c r="D1080" s="2" t="s">
        <v>803</v>
      </c>
      <c r="E1080" s="2" t="s">
        <v>1532</v>
      </c>
      <c r="F1080" s="2" t="s">
        <v>3602</v>
      </c>
      <c r="G1080" s="2" t="s">
        <v>3603</v>
      </c>
      <c r="H1080" s="2" t="s">
        <v>3604</v>
      </c>
      <c r="I1080" s="2" t="s">
        <v>3605</v>
      </c>
      <c r="J1080" s="2" t="s">
        <v>717</v>
      </c>
      <c r="K1080" s="2" t="s">
        <v>1340</v>
      </c>
      <c r="L1080" s="3">
        <v>25.23</v>
      </c>
      <c r="M1080" s="3">
        <v>26.49</v>
      </c>
      <c r="N1080" s="3">
        <v>49.99</v>
      </c>
      <c r="O1080" s="2" t="s">
        <v>97</v>
      </c>
      <c r="P1080" s="2" t="s">
        <v>225</v>
      </c>
      <c r="Q1080" s="2" t="s">
        <v>99</v>
      </c>
      <c r="R1080" s="2" t="s">
        <v>100</v>
      </c>
      <c r="S1080" s="2" t="s">
        <v>3712</v>
      </c>
      <c r="T1080" s="2" t="s">
        <v>218</v>
      </c>
      <c r="U1080" s="2" t="s">
        <v>480</v>
      </c>
      <c r="V1080" s="2" t="s">
        <v>146</v>
      </c>
      <c r="W1080" s="2" t="s">
        <v>561</v>
      </c>
      <c r="X1080" s="2" t="s">
        <v>100</v>
      </c>
      <c r="Y1080" s="2" t="s">
        <v>3631</v>
      </c>
      <c r="Z1080" s="4">
        <v>740</v>
      </c>
      <c r="AA1080" s="4">
        <f>=ROUNDDOWN(100,0)</f>
      </c>
      <c r="AB1080" s="5">
        <v>7.4</v>
      </c>
      <c r="AC1080" s="2" t="s">
        <v>100</v>
      </c>
      <c r="AD1080" s="4"/>
      <c r="AE1080" s="4"/>
      <c r="AF1080" s="6">
        <v>63</v>
      </c>
      <c r="AG1080" s="6">
        <v>46</v>
      </c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48</v>
      </c>
      <c r="BK1080" s="8">
        <v>1214.85</v>
      </c>
      <c r="BL1080" s="2" t="s">
        <v>3715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2480</v>
      </c>
      <c r="BV1080" s="2" t="s">
        <v>97</v>
      </c>
      <c r="BW1080" s="2" t="s">
        <v>100</v>
      </c>
      <c r="BX1080" s="2" t="s">
        <v>100</v>
      </c>
      <c r="BY1080" s="2" t="s">
        <v>113</v>
      </c>
      <c r="BZ1080" s="2" t="s">
        <v>245</v>
      </c>
    </row>
    <row r="1081">
      <c r="A1081" s="2" t="s">
        <v>3716</v>
      </c>
      <c r="B1081" s="2" t="s">
        <v>87</v>
      </c>
      <c r="C1081" s="2" t="s">
        <v>3413</v>
      </c>
      <c r="D1081" s="2" t="s">
        <v>803</v>
      </c>
      <c r="E1081" s="2" t="s">
        <v>1532</v>
      </c>
      <c r="F1081" s="2" t="s">
        <v>3602</v>
      </c>
      <c r="G1081" s="2" t="s">
        <v>3603</v>
      </c>
      <c r="H1081" s="2" t="s">
        <v>3604</v>
      </c>
      <c r="I1081" s="2" t="s">
        <v>3605</v>
      </c>
      <c r="J1081" s="2" t="s">
        <v>706</v>
      </c>
      <c r="K1081" s="2" t="s">
        <v>1340</v>
      </c>
      <c r="L1081" s="3">
        <v>26.19</v>
      </c>
      <c r="M1081" s="3">
        <v>27.5</v>
      </c>
      <c r="N1081" s="3">
        <v>49.99</v>
      </c>
      <c r="O1081" s="2" t="s">
        <v>97</v>
      </c>
      <c r="P1081" s="2" t="s">
        <v>225</v>
      </c>
      <c r="Q1081" s="2" t="s">
        <v>99</v>
      </c>
      <c r="R1081" s="2" t="s">
        <v>100</v>
      </c>
      <c r="S1081" s="2" t="s">
        <v>3712</v>
      </c>
      <c r="T1081" s="2" t="s">
        <v>218</v>
      </c>
      <c r="U1081" s="2" t="s">
        <v>480</v>
      </c>
      <c r="V1081" s="2" t="s">
        <v>146</v>
      </c>
      <c r="W1081" s="2" t="s">
        <v>561</v>
      </c>
      <c r="X1081" s="2" t="s">
        <v>100</v>
      </c>
      <c r="Y1081" s="2" t="s">
        <v>3660</v>
      </c>
      <c r="Z1081" s="4">
        <v>1110</v>
      </c>
      <c r="AA1081" s="4">
        <f>=ROUNDDOWN(26.491646778043,0)</f>
      </c>
      <c r="AB1081" s="5">
        <v>41.9</v>
      </c>
      <c r="AC1081" s="2" t="s">
        <v>205</v>
      </c>
      <c r="AD1081" s="4">
        <v>279</v>
      </c>
      <c r="AE1081" s="4">
        <v>279</v>
      </c>
      <c r="AF1081" s="6">
        <v>63</v>
      </c>
      <c r="AG1081" s="6">
        <v>46</v>
      </c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286</v>
      </c>
      <c r="BK1081" s="8">
        <v>8231.14</v>
      </c>
      <c r="BL1081" s="2" t="s">
        <v>3717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2480</v>
      </c>
      <c r="BV1081" s="2" t="s">
        <v>97</v>
      </c>
      <c r="BW1081" s="2" t="s">
        <v>100</v>
      </c>
      <c r="BX1081" s="2" t="s">
        <v>100</v>
      </c>
      <c r="BY1081" s="2" t="s">
        <v>113</v>
      </c>
      <c r="BZ1081" s="2" t="s">
        <v>245</v>
      </c>
    </row>
    <row r="1082">
      <c r="A1082" s="2" t="s">
        <v>3718</v>
      </c>
      <c r="B1082" s="2" t="s">
        <v>87</v>
      </c>
      <c r="C1082" s="2" t="s">
        <v>3413</v>
      </c>
      <c r="D1082" s="2" t="s">
        <v>803</v>
      </c>
      <c r="E1082" s="2" t="s">
        <v>1532</v>
      </c>
      <c r="F1082" s="2" t="s">
        <v>3602</v>
      </c>
      <c r="G1082" s="2" t="s">
        <v>3603</v>
      </c>
      <c r="H1082" s="2" t="s">
        <v>3604</v>
      </c>
      <c r="I1082" s="2" t="s">
        <v>3605</v>
      </c>
      <c r="J1082" s="2" t="s">
        <v>714</v>
      </c>
      <c r="K1082" s="2" t="s">
        <v>1340</v>
      </c>
      <c r="L1082" s="3">
        <v>28.57</v>
      </c>
      <c r="M1082" s="3">
        <v>30</v>
      </c>
      <c r="N1082" s="3">
        <v>54.99</v>
      </c>
      <c r="O1082" s="2" t="s">
        <v>97</v>
      </c>
      <c r="P1082" s="2" t="s">
        <v>225</v>
      </c>
      <c r="Q1082" s="2" t="s">
        <v>99</v>
      </c>
      <c r="R1082" s="2" t="s">
        <v>100</v>
      </c>
      <c r="S1082" s="2" t="s">
        <v>3712</v>
      </c>
      <c r="T1082" s="2" t="s">
        <v>218</v>
      </c>
      <c r="U1082" s="2" t="s">
        <v>480</v>
      </c>
      <c r="V1082" s="2" t="s">
        <v>146</v>
      </c>
      <c r="W1082" s="2" t="s">
        <v>561</v>
      </c>
      <c r="X1082" s="2" t="s">
        <v>100</v>
      </c>
      <c r="Y1082" s="2" t="s">
        <v>3640</v>
      </c>
      <c r="Z1082" s="4">
        <v>1531</v>
      </c>
      <c r="AA1082" s="4">
        <f>=ROUNDDOWN(27.8363636363636,0)</f>
      </c>
      <c r="AB1082" s="5">
        <v>55</v>
      </c>
      <c r="AC1082" s="2" t="s">
        <v>205</v>
      </c>
      <c r="AD1082" s="4">
        <v>390</v>
      </c>
      <c r="AE1082" s="4">
        <v>390</v>
      </c>
      <c r="AF1082" s="6">
        <v>63</v>
      </c>
      <c r="AG1082" s="6">
        <v>46</v>
      </c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317</v>
      </c>
      <c r="BK1082" s="8">
        <v>10465.37</v>
      </c>
      <c r="BL1082" s="2" t="s">
        <v>2810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2480</v>
      </c>
      <c r="BV1082" s="2" t="s">
        <v>97</v>
      </c>
      <c r="BW1082" s="2" t="s">
        <v>100</v>
      </c>
      <c r="BX1082" s="2" t="s">
        <v>100</v>
      </c>
      <c r="BY1082" s="2" t="s">
        <v>113</v>
      </c>
      <c r="BZ1082" s="2" t="s">
        <v>245</v>
      </c>
    </row>
    <row r="1083">
      <c r="A1083" s="2" t="s">
        <v>3719</v>
      </c>
      <c r="B1083" s="2" t="s">
        <v>87</v>
      </c>
      <c r="C1083" s="2" t="s">
        <v>3413</v>
      </c>
      <c r="D1083" s="2" t="s">
        <v>803</v>
      </c>
      <c r="E1083" s="2" t="s">
        <v>1532</v>
      </c>
      <c r="F1083" s="2" t="s">
        <v>3602</v>
      </c>
      <c r="G1083" s="2" t="s">
        <v>3603</v>
      </c>
      <c r="H1083" s="2" t="s">
        <v>3604</v>
      </c>
      <c r="I1083" s="2" t="s">
        <v>3605</v>
      </c>
      <c r="J1083" s="2" t="s">
        <v>817</v>
      </c>
      <c r="K1083" s="2" t="s">
        <v>1340</v>
      </c>
      <c r="L1083" s="3">
        <v>30.95</v>
      </c>
      <c r="M1083" s="3">
        <v>32.5</v>
      </c>
      <c r="N1083" s="3">
        <v>54.99</v>
      </c>
      <c r="O1083" s="2" t="s">
        <v>97</v>
      </c>
      <c r="P1083" s="2" t="s">
        <v>225</v>
      </c>
      <c r="Q1083" s="2" t="s">
        <v>99</v>
      </c>
      <c r="R1083" s="2" t="s">
        <v>100</v>
      </c>
      <c r="S1083" s="2" t="s">
        <v>3712</v>
      </c>
      <c r="T1083" s="2" t="s">
        <v>218</v>
      </c>
      <c r="U1083" s="2" t="s">
        <v>480</v>
      </c>
      <c r="V1083" s="2" t="s">
        <v>146</v>
      </c>
      <c r="W1083" s="2" t="s">
        <v>561</v>
      </c>
      <c r="X1083" s="2" t="s">
        <v>100</v>
      </c>
      <c r="Y1083" s="2" t="s">
        <v>3631</v>
      </c>
      <c r="Z1083" s="4">
        <v>783</v>
      </c>
      <c r="AA1083" s="4">
        <f>=ROUNDDOWN(38.5714285714286,0)</f>
      </c>
      <c r="AB1083" s="5">
        <v>20.3</v>
      </c>
      <c r="AC1083" s="2" t="s">
        <v>100</v>
      </c>
      <c r="AD1083" s="4"/>
      <c r="AE1083" s="4"/>
      <c r="AF1083" s="6">
        <v>63</v>
      </c>
      <c r="AG1083" s="6">
        <v>46</v>
      </c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156</v>
      </c>
      <c r="BK1083" s="8">
        <v>5643.24</v>
      </c>
      <c r="BL1083" s="2" t="s">
        <v>3720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2480</v>
      </c>
      <c r="BV1083" s="2" t="s">
        <v>97</v>
      </c>
      <c r="BW1083" s="2" t="s">
        <v>100</v>
      </c>
      <c r="BX1083" s="2" t="s">
        <v>100</v>
      </c>
      <c r="BY1083" s="2" t="s">
        <v>113</v>
      </c>
      <c r="BZ1083" s="2" t="s">
        <v>245</v>
      </c>
    </row>
    <row r="1084">
      <c r="A1084" s="2" t="s">
        <v>3721</v>
      </c>
      <c r="B1084" s="2" t="s">
        <v>87</v>
      </c>
      <c r="C1084" s="2" t="s">
        <v>3413</v>
      </c>
      <c r="D1084" s="2" t="s">
        <v>803</v>
      </c>
      <c r="E1084" s="2" t="s">
        <v>1532</v>
      </c>
      <c r="F1084" s="2" t="s">
        <v>3602</v>
      </c>
      <c r="G1084" s="2" t="s">
        <v>3603</v>
      </c>
      <c r="H1084" s="2" t="s">
        <v>3604</v>
      </c>
      <c r="I1084" s="2" t="s">
        <v>3605</v>
      </c>
      <c r="J1084" s="2" t="s">
        <v>237</v>
      </c>
      <c r="K1084" s="2" t="s">
        <v>189</v>
      </c>
      <c r="L1084" s="3">
        <v>21.42</v>
      </c>
      <c r="M1084" s="3">
        <v>22.49</v>
      </c>
      <c r="N1084" s="3">
        <v>44.99</v>
      </c>
      <c r="O1084" s="2" t="s">
        <v>97</v>
      </c>
      <c r="P1084" s="2" t="s">
        <v>307</v>
      </c>
      <c r="Q1084" s="2" t="s">
        <v>99</v>
      </c>
      <c r="R1084" s="2" t="s">
        <v>100</v>
      </c>
      <c r="S1084" s="2" t="s">
        <v>3722</v>
      </c>
      <c r="T1084" s="2" t="s">
        <v>218</v>
      </c>
      <c r="U1084" s="2" t="s">
        <v>514</v>
      </c>
      <c r="V1084" s="2" t="s">
        <v>146</v>
      </c>
      <c r="W1084" s="2" t="s">
        <v>561</v>
      </c>
      <c r="X1084" s="2" t="s">
        <v>100</v>
      </c>
      <c r="Y1084" s="2" t="s">
        <v>3531</v>
      </c>
      <c r="Z1084" s="4">
        <v>640</v>
      </c>
      <c r="AA1084" s="4">
        <f>=ROUNDDOWN(30.4761904761905,0)</f>
      </c>
      <c r="AB1084" s="5">
        <v>21</v>
      </c>
      <c r="AC1084" s="2" t="s">
        <v>542</v>
      </c>
      <c r="AD1084" s="4">
        <v>360</v>
      </c>
      <c r="AE1084" s="4">
        <v>360</v>
      </c>
      <c r="AF1084" s="6">
        <v>63</v>
      </c>
      <c r="AG1084" s="6">
        <v>46</v>
      </c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/>
      <c r="BJ1084" s="4">
        <v>947</v>
      </c>
      <c r="BK1084" s="8">
        <v>22319.98</v>
      </c>
      <c r="BL1084" s="2" t="s">
        <v>3612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2480</v>
      </c>
      <c r="BV1084" s="2" t="s">
        <v>97</v>
      </c>
      <c r="BW1084" s="2" t="s">
        <v>100</v>
      </c>
      <c r="BX1084" s="2" t="s">
        <v>100</v>
      </c>
      <c r="BY1084" s="2" t="s">
        <v>113</v>
      </c>
      <c r="BZ1084" s="2" t="s">
        <v>245</v>
      </c>
    </row>
    <row r="1085">
      <c r="A1085" s="2" t="s">
        <v>3723</v>
      </c>
      <c r="B1085" s="2" t="s">
        <v>87</v>
      </c>
      <c r="C1085" s="2" t="s">
        <v>3413</v>
      </c>
      <c r="D1085" s="2" t="s">
        <v>803</v>
      </c>
      <c r="E1085" s="2" t="s">
        <v>1532</v>
      </c>
      <c r="F1085" s="2" t="s">
        <v>3602</v>
      </c>
      <c r="G1085" s="2" t="s">
        <v>3603</v>
      </c>
      <c r="H1085" s="2" t="s">
        <v>3604</v>
      </c>
      <c r="I1085" s="2" t="s">
        <v>3605</v>
      </c>
      <c r="J1085" s="2" t="s">
        <v>717</v>
      </c>
      <c r="K1085" s="2" t="s">
        <v>189</v>
      </c>
      <c r="L1085" s="3">
        <v>25.23</v>
      </c>
      <c r="M1085" s="3">
        <v>26.49</v>
      </c>
      <c r="N1085" s="3">
        <v>49.99</v>
      </c>
      <c r="O1085" s="2" t="s">
        <v>97</v>
      </c>
      <c r="P1085" s="2" t="s">
        <v>225</v>
      </c>
      <c r="Q1085" s="2" t="s">
        <v>99</v>
      </c>
      <c r="R1085" s="2" t="s">
        <v>100</v>
      </c>
      <c r="S1085" s="2" t="s">
        <v>3722</v>
      </c>
      <c r="T1085" s="2" t="s">
        <v>218</v>
      </c>
      <c r="U1085" s="2" t="s">
        <v>480</v>
      </c>
      <c r="V1085" s="2" t="s">
        <v>146</v>
      </c>
      <c r="W1085" s="2" t="s">
        <v>561</v>
      </c>
      <c r="X1085" s="2" t="s">
        <v>100</v>
      </c>
      <c r="Y1085" s="2" t="s">
        <v>552</v>
      </c>
      <c r="Z1085" s="4">
        <v>648</v>
      </c>
      <c r="AA1085" s="4">
        <f>=ROUNDDOWN(81,0)</f>
      </c>
      <c r="AB1085" s="5">
        <v>8</v>
      </c>
      <c r="AC1085" s="2" t="s">
        <v>100</v>
      </c>
      <c r="AD1085" s="4"/>
      <c r="AE1085" s="4"/>
      <c r="AF1085" s="6">
        <v>63</v>
      </c>
      <c r="AG1085" s="6">
        <v>46</v>
      </c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142</v>
      </c>
      <c r="BK1085" s="8">
        <v>3735.27</v>
      </c>
      <c r="BL1085" s="2" t="s">
        <v>3724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2480</v>
      </c>
      <c r="BV1085" s="2" t="s">
        <v>97</v>
      </c>
      <c r="BW1085" s="2" t="s">
        <v>100</v>
      </c>
      <c r="BX1085" s="2" t="s">
        <v>100</v>
      </c>
      <c r="BY1085" s="2" t="s">
        <v>113</v>
      </c>
      <c r="BZ1085" s="2" t="s">
        <v>245</v>
      </c>
    </row>
    <row r="1086">
      <c r="A1086" s="2" t="s">
        <v>3725</v>
      </c>
      <c r="B1086" s="2" t="s">
        <v>87</v>
      </c>
      <c r="C1086" s="2" t="s">
        <v>3413</v>
      </c>
      <c r="D1086" s="2" t="s">
        <v>803</v>
      </c>
      <c r="E1086" s="2" t="s">
        <v>1532</v>
      </c>
      <c r="F1086" s="2" t="s">
        <v>3602</v>
      </c>
      <c r="G1086" s="2" t="s">
        <v>3603</v>
      </c>
      <c r="H1086" s="2" t="s">
        <v>3604</v>
      </c>
      <c r="I1086" s="2" t="s">
        <v>3605</v>
      </c>
      <c r="J1086" s="2" t="s">
        <v>706</v>
      </c>
      <c r="K1086" s="2" t="s">
        <v>189</v>
      </c>
      <c r="L1086" s="3">
        <v>26.19</v>
      </c>
      <c r="M1086" s="3">
        <v>27.5</v>
      </c>
      <c r="N1086" s="3">
        <v>54.99</v>
      </c>
      <c r="O1086" s="2" t="s">
        <v>97</v>
      </c>
      <c r="P1086" s="2" t="s">
        <v>307</v>
      </c>
      <c r="Q1086" s="2" t="s">
        <v>99</v>
      </c>
      <c r="R1086" s="2" t="s">
        <v>100</v>
      </c>
      <c r="S1086" s="2" t="s">
        <v>3722</v>
      </c>
      <c r="T1086" s="2" t="s">
        <v>218</v>
      </c>
      <c r="U1086" s="2" t="s">
        <v>480</v>
      </c>
      <c r="V1086" s="2" t="s">
        <v>146</v>
      </c>
      <c r="W1086" s="2" t="s">
        <v>561</v>
      </c>
      <c r="X1086" s="2" t="s">
        <v>100</v>
      </c>
      <c r="Y1086" s="2" t="s">
        <v>3531</v>
      </c>
      <c r="Z1086" s="4">
        <v>4053</v>
      </c>
      <c r="AA1086" s="4">
        <f>=ROUNDDOWN(61.4090909090909,0)</f>
      </c>
      <c r="AB1086" s="5">
        <v>66</v>
      </c>
      <c r="AC1086" s="2" t="s">
        <v>100</v>
      </c>
      <c r="AD1086" s="4"/>
      <c r="AE1086" s="4"/>
      <c r="AF1086" s="6">
        <v>63</v>
      </c>
      <c r="AG1086" s="6">
        <v>46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2691</v>
      </c>
      <c r="BK1086" s="8">
        <v>80676.69</v>
      </c>
      <c r="BL1086" s="2" t="s">
        <v>3726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2480</v>
      </c>
      <c r="BV1086" s="2" t="s">
        <v>97</v>
      </c>
      <c r="BW1086" s="2" t="s">
        <v>100</v>
      </c>
      <c r="BX1086" s="2" t="s">
        <v>100</v>
      </c>
      <c r="BY1086" s="2" t="s">
        <v>113</v>
      </c>
      <c r="BZ1086" s="2" t="s">
        <v>245</v>
      </c>
    </row>
    <row r="1087">
      <c r="A1087" s="2" t="s">
        <v>3727</v>
      </c>
      <c r="B1087" s="2" t="s">
        <v>87</v>
      </c>
      <c r="C1087" s="2" t="s">
        <v>3413</v>
      </c>
      <c r="D1087" s="2" t="s">
        <v>803</v>
      </c>
      <c r="E1087" s="2" t="s">
        <v>1532</v>
      </c>
      <c r="F1087" s="2" t="s">
        <v>3602</v>
      </c>
      <c r="G1087" s="2" t="s">
        <v>3603</v>
      </c>
      <c r="H1087" s="2" t="s">
        <v>3604</v>
      </c>
      <c r="I1087" s="2" t="s">
        <v>3605</v>
      </c>
      <c r="J1087" s="2" t="s">
        <v>714</v>
      </c>
      <c r="K1087" s="2" t="s">
        <v>189</v>
      </c>
      <c r="L1087" s="3">
        <v>28.57</v>
      </c>
      <c r="M1087" s="3">
        <v>30</v>
      </c>
      <c r="N1087" s="3">
        <v>59.99</v>
      </c>
      <c r="O1087" s="2" t="s">
        <v>97</v>
      </c>
      <c r="P1087" s="2" t="s">
        <v>307</v>
      </c>
      <c r="Q1087" s="2" t="s">
        <v>99</v>
      </c>
      <c r="R1087" s="2" t="s">
        <v>100</v>
      </c>
      <c r="S1087" s="2" t="s">
        <v>3722</v>
      </c>
      <c r="T1087" s="2" t="s">
        <v>218</v>
      </c>
      <c r="U1087" s="2" t="s">
        <v>480</v>
      </c>
      <c r="V1087" s="2" t="s">
        <v>146</v>
      </c>
      <c r="W1087" s="2" t="s">
        <v>561</v>
      </c>
      <c r="X1087" s="2" t="s">
        <v>100</v>
      </c>
      <c r="Y1087" s="2" t="s">
        <v>3531</v>
      </c>
      <c r="Z1087" s="4">
        <v>4598</v>
      </c>
      <c r="AA1087" s="4">
        <f>=ROUNDDOWN(104.5,0)</f>
      </c>
      <c r="AB1087" s="5">
        <v>44</v>
      </c>
      <c r="AC1087" s="2" t="s">
        <v>184</v>
      </c>
      <c r="AD1087" s="4">
        <v>600</v>
      </c>
      <c r="AE1087" s="4">
        <v>600</v>
      </c>
      <c r="AF1087" s="6">
        <v>63</v>
      </c>
      <c r="AG1087" s="6">
        <v>46</v>
      </c>
      <c r="AH1087" s="7">
        <v>0.9091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3073</v>
      </c>
      <c r="BK1087" s="8">
        <v>108758.91</v>
      </c>
      <c r="BL1087" s="2" t="s">
        <v>3623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2480</v>
      </c>
      <c r="BV1087" s="2" t="s">
        <v>97</v>
      </c>
      <c r="BW1087" s="2" t="s">
        <v>100</v>
      </c>
      <c r="BX1087" s="2" t="s">
        <v>100</v>
      </c>
      <c r="BY1087" s="2" t="s">
        <v>113</v>
      </c>
      <c r="BZ1087" s="2" t="s">
        <v>245</v>
      </c>
    </row>
    <row r="1088">
      <c r="A1088" s="2" t="s">
        <v>3728</v>
      </c>
      <c r="B1088" s="2" t="s">
        <v>87</v>
      </c>
      <c r="C1088" s="2" t="s">
        <v>3413</v>
      </c>
      <c r="D1088" s="2" t="s">
        <v>803</v>
      </c>
      <c r="E1088" s="2" t="s">
        <v>1532</v>
      </c>
      <c r="F1088" s="2" t="s">
        <v>3602</v>
      </c>
      <c r="G1088" s="2" t="s">
        <v>3603</v>
      </c>
      <c r="H1088" s="2" t="s">
        <v>3604</v>
      </c>
      <c r="I1088" s="2" t="s">
        <v>3605</v>
      </c>
      <c r="J1088" s="2" t="s">
        <v>817</v>
      </c>
      <c r="K1088" s="2" t="s">
        <v>189</v>
      </c>
      <c r="L1088" s="3">
        <v>30.95</v>
      </c>
      <c r="M1088" s="3">
        <v>32.5</v>
      </c>
      <c r="N1088" s="3">
        <v>54.99</v>
      </c>
      <c r="O1088" s="2" t="s">
        <v>97</v>
      </c>
      <c r="P1088" s="2" t="s">
        <v>225</v>
      </c>
      <c r="Q1088" s="2" t="s">
        <v>99</v>
      </c>
      <c r="R1088" s="2" t="s">
        <v>100</v>
      </c>
      <c r="S1088" s="2" t="s">
        <v>3722</v>
      </c>
      <c r="T1088" s="2" t="s">
        <v>218</v>
      </c>
      <c r="U1088" s="2" t="s">
        <v>480</v>
      </c>
      <c r="V1088" s="2" t="s">
        <v>146</v>
      </c>
      <c r="W1088" s="2" t="s">
        <v>561</v>
      </c>
      <c r="X1088" s="2" t="s">
        <v>100</v>
      </c>
      <c r="Y1088" s="2" t="s">
        <v>552</v>
      </c>
      <c r="Z1088" s="4">
        <v>887</v>
      </c>
      <c r="AA1088" s="4">
        <f>=ROUNDDOWN(28.2484076433121,0)</f>
      </c>
      <c r="AB1088" s="5">
        <v>31.4</v>
      </c>
      <c r="AC1088" s="2" t="s">
        <v>356</v>
      </c>
      <c r="AD1088" s="4">
        <v>828</v>
      </c>
      <c r="AE1088" s="4">
        <v>828</v>
      </c>
      <c r="AF1088" s="6">
        <v>63</v>
      </c>
      <c r="AG1088" s="6">
        <v>46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201</v>
      </c>
      <c r="BK1088" s="8">
        <v>7777.88</v>
      </c>
      <c r="BL1088" s="2" t="s">
        <v>3621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2480</v>
      </c>
      <c r="BV1088" s="2" t="s">
        <v>97</v>
      </c>
      <c r="BW1088" s="2" t="s">
        <v>100</v>
      </c>
      <c r="BX1088" s="2" t="s">
        <v>100</v>
      </c>
      <c r="BY1088" s="2" t="s">
        <v>113</v>
      </c>
      <c r="BZ1088" s="2" t="s">
        <v>245</v>
      </c>
    </row>
    <row r="1089">
      <c r="A1089" s="2" t="s">
        <v>3729</v>
      </c>
      <c r="B1089" s="2" t="s">
        <v>87</v>
      </c>
      <c r="C1089" s="2" t="s">
        <v>3413</v>
      </c>
      <c r="D1089" s="2" t="s">
        <v>1638</v>
      </c>
      <c r="E1089" s="2" t="s">
        <v>1639</v>
      </c>
      <c r="F1089" s="2" t="s">
        <v>3511</v>
      </c>
      <c r="G1089" s="2" t="s">
        <v>3512</v>
      </c>
      <c r="H1089" s="2" t="s">
        <v>3513</v>
      </c>
      <c r="I1089" s="2" t="s">
        <v>3730</v>
      </c>
      <c r="J1089" s="2" t="s">
        <v>237</v>
      </c>
      <c r="K1089" s="2" t="s">
        <v>3515</v>
      </c>
      <c r="L1089" s="3">
        <v>16.9</v>
      </c>
      <c r="M1089" s="3">
        <v>17.75</v>
      </c>
      <c r="N1089" s="3">
        <v>35.49</v>
      </c>
      <c r="O1089" s="2" t="s">
        <v>97</v>
      </c>
      <c r="P1089" s="2" t="s">
        <v>372</v>
      </c>
      <c r="Q1089" s="2" t="s">
        <v>99</v>
      </c>
      <c r="R1089" s="2" t="s">
        <v>100</v>
      </c>
      <c r="S1089" s="2" t="s">
        <v>3516</v>
      </c>
      <c r="T1089" s="2" t="s">
        <v>200</v>
      </c>
      <c r="U1089" s="2" t="s">
        <v>514</v>
      </c>
      <c r="V1089" s="2" t="s">
        <v>146</v>
      </c>
      <c r="W1089" s="2" t="s">
        <v>561</v>
      </c>
      <c r="X1089" s="2" t="s">
        <v>100</v>
      </c>
      <c r="Y1089" s="2" t="s">
        <v>3437</v>
      </c>
      <c r="Z1089" s="4">
        <v>201</v>
      </c>
      <c r="AA1089" s="4">
        <f>=ROUNDDOWN(28.7142857142857,0)</f>
      </c>
      <c r="AB1089" s="5">
        <v>7</v>
      </c>
      <c r="AC1089" s="2" t="s">
        <v>340</v>
      </c>
      <c r="AD1089" s="4">
        <v>100</v>
      </c>
      <c r="AE1089" s="4">
        <v>100</v>
      </c>
      <c r="AF1089" s="6">
        <v>63</v>
      </c>
      <c r="AG1089" s="6">
        <v>46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190</v>
      </c>
      <c r="BK1089" s="8">
        <v>3569.32</v>
      </c>
      <c r="BL1089" s="2" t="s">
        <v>3731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207</v>
      </c>
      <c r="BV1089" s="2" t="s">
        <v>97</v>
      </c>
      <c r="BW1089" s="2" t="s">
        <v>100</v>
      </c>
      <c r="BX1089" s="2" t="s">
        <v>100</v>
      </c>
      <c r="BY1089" s="2" t="s">
        <v>113</v>
      </c>
      <c r="BZ1089" s="2" t="s">
        <v>245</v>
      </c>
    </row>
    <row r="1090">
      <c r="A1090" s="2" t="s">
        <v>3732</v>
      </c>
      <c r="B1090" s="2" t="s">
        <v>87</v>
      </c>
      <c r="C1090" s="2" t="s">
        <v>3413</v>
      </c>
      <c r="D1090" s="2" t="s">
        <v>1638</v>
      </c>
      <c r="E1090" s="2" t="s">
        <v>1639</v>
      </c>
      <c r="F1090" s="2" t="s">
        <v>3511</v>
      </c>
      <c r="G1090" s="2" t="s">
        <v>3512</v>
      </c>
      <c r="H1090" s="2" t="s">
        <v>3513</v>
      </c>
      <c r="I1090" s="2" t="s">
        <v>3730</v>
      </c>
      <c r="J1090" s="2" t="s">
        <v>247</v>
      </c>
      <c r="K1090" s="2" t="s">
        <v>3515</v>
      </c>
      <c r="L1090" s="3">
        <v>20.23</v>
      </c>
      <c r="M1090" s="3">
        <v>21.24</v>
      </c>
      <c r="N1090" s="3">
        <v>42.49</v>
      </c>
      <c r="O1090" s="2" t="s">
        <v>97</v>
      </c>
      <c r="P1090" s="2" t="s">
        <v>372</v>
      </c>
      <c r="Q1090" s="2" t="s">
        <v>99</v>
      </c>
      <c r="R1090" s="2" t="s">
        <v>100</v>
      </c>
      <c r="S1090" s="2" t="s">
        <v>3516</v>
      </c>
      <c r="T1090" s="2" t="s">
        <v>200</v>
      </c>
      <c r="U1090" s="2" t="s">
        <v>480</v>
      </c>
      <c r="V1090" s="2" t="s">
        <v>146</v>
      </c>
      <c r="W1090" s="2" t="s">
        <v>561</v>
      </c>
      <c r="X1090" s="2" t="s">
        <v>100</v>
      </c>
      <c r="Y1090" s="2" t="s">
        <v>3437</v>
      </c>
      <c r="Z1090" s="4">
        <v>958</v>
      </c>
      <c r="AA1090" s="4">
        <f>=ROUNDDOWN(43.5454545454545,0)</f>
      </c>
      <c r="AB1090" s="5">
        <v>22</v>
      </c>
      <c r="AC1090" s="2" t="s">
        <v>417</v>
      </c>
      <c r="AD1090" s="4">
        <v>552</v>
      </c>
      <c r="AE1090" s="4">
        <v>552</v>
      </c>
      <c r="AF1090" s="6">
        <v>63</v>
      </c>
      <c r="AG1090" s="6">
        <v>46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657</v>
      </c>
      <c r="BK1090" s="8">
        <v>14573.02</v>
      </c>
      <c r="BL1090" s="2" t="s">
        <v>446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207</v>
      </c>
      <c r="BV1090" s="2" t="s">
        <v>97</v>
      </c>
      <c r="BW1090" s="2" t="s">
        <v>100</v>
      </c>
      <c r="BX1090" s="2" t="s">
        <v>100</v>
      </c>
      <c r="BY1090" s="2" t="s">
        <v>113</v>
      </c>
      <c r="BZ1090" s="2" t="s">
        <v>245</v>
      </c>
    </row>
    <row r="1091">
      <c r="A1091" s="2" t="s">
        <v>3733</v>
      </c>
      <c r="B1091" s="2" t="s">
        <v>87</v>
      </c>
      <c r="C1091" s="2" t="s">
        <v>3413</v>
      </c>
      <c r="D1091" s="2" t="s">
        <v>1638</v>
      </c>
      <c r="E1091" s="2" t="s">
        <v>1639</v>
      </c>
      <c r="F1091" s="2" t="s">
        <v>3511</v>
      </c>
      <c r="G1091" s="2" t="s">
        <v>3512</v>
      </c>
      <c r="H1091" s="2" t="s">
        <v>3513</v>
      </c>
      <c r="I1091" s="2" t="s">
        <v>3730</v>
      </c>
      <c r="J1091" s="2" t="s">
        <v>270</v>
      </c>
      <c r="K1091" s="2" t="s">
        <v>3515</v>
      </c>
      <c r="L1091" s="3">
        <v>23.57</v>
      </c>
      <c r="M1091" s="3">
        <v>24.75</v>
      </c>
      <c r="N1091" s="3">
        <v>49.49</v>
      </c>
      <c r="O1091" s="2" t="s">
        <v>97</v>
      </c>
      <c r="P1091" s="2" t="s">
        <v>372</v>
      </c>
      <c r="Q1091" s="2" t="s">
        <v>99</v>
      </c>
      <c r="R1091" s="2" t="s">
        <v>100</v>
      </c>
      <c r="S1091" s="2" t="s">
        <v>3516</v>
      </c>
      <c r="T1091" s="2" t="s">
        <v>200</v>
      </c>
      <c r="U1091" s="2" t="s">
        <v>480</v>
      </c>
      <c r="V1091" s="2" t="s">
        <v>146</v>
      </c>
      <c r="W1091" s="2" t="s">
        <v>561</v>
      </c>
      <c r="X1091" s="2" t="s">
        <v>100</v>
      </c>
      <c r="Y1091" s="2" t="s">
        <v>3734</v>
      </c>
      <c r="Z1091" s="4">
        <v>831</v>
      </c>
      <c r="AA1091" s="4">
        <f>=ROUNDDOWN(41.55,0)</f>
      </c>
      <c r="AB1091" s="5">
        <v>20</v>
      </c>
      <c r="AC1091" s="2" t="s">
        <v>417</v>
      </c>
      <c r="AD1091" s="4">
        <v>40</v>
      </c>
      <c r="AE1091" s="4">
        <v>260</v>
      </c>
      <c r="AF1091" s="6">
        <v>63</v>
      </c>
      <c r="AG1091" s="6">
        <v>46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558</v>
      </c>
      <c r="BK1091" s="8">
        <v>14435.36</v>
      </c>
      <c r="BL1091" s="2" t="s">
        <v>3444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207</v>
      </c>
      <c r="BV1091" s="2" t="s">
        <v>97</v>
      </c>
      <c r="BW1091" s="2" t="s">
        <v>100</v>
      </c>
      <c r="BX1091" s="2" t="s">
        <v>100</v>
      </c>
      <c r="BY1091" s="2" t="s">
        <v>113</v>
      </c>
      <c r="BZ1091" s="2" t="s">
        <v>245</v>
      </c>
    </row>
    <row r="1092">
      <c r="A1092" s="2" t="s">
        <v>3735</v>
      </c>
      <c r="B1092" s="2" t="s">
        <v>87</v>
      </c>
      <c r="C1092" s="2" t="s">
        <v>3413</v>
      </c>
      <c r="D1092" s="2" t="s">
        <v>1638</v>
      </c>
      <c r="E1092" s="2" t="s">
        <v>1639</v>
      </c>
      <c r="F1092" s="2" t="s">
        <v>3511</v>
      </c>
      <c r="G1092" s="2" t="s">
        <v>3512</v>
      </c>
      <c r="H1092" s="2" t="s">
        <v>3513</v>
      </c>
      <c r="I1092" s="2" t="s">
        <v>3730</v>
      </c>
      <c r="J1092" s="2" t="s">
        <v>237</v>
      </c>
      <c r="K1092" s="2" t="s">
        <v>209</v>
      </c>
      <c r="L1092" s="3">
        <v>16.9</v>
      </c>
      <c r="M1092" s="3">
        <v>17.75</v>
      </c>
      <c r="N1092" s="3">
        <v>35.49</v>
      </c>
      <c r="O1092" s="2" t="s">
        <v>97</v>
      </c>
      <c r="P1092" s="2" t="s">
        <v>307</v>
      </c>
      <c r="Q1092" s="2" t="s">
        <v>99</v>
      </c>
      <c r="R1092" s="2" t="s">
        <v>100</v>
      </c>
      <c r="S1092" s="2" t="s">
        <v>3522</v>
      </c>
      <c r="T1092" s="2" t="s">
        <v>200</v>
      </c>
      <c r="U1092" s="2" t="s">
        <v>514</v>
      </c>
      <c r="V1092" s="2" t="s">
        <v>146</v>
      </c>
      <c r="W1092" s="2" t="s">
        <v>561</v>
      </c>
      <c r="X1092" s="2" t="s">
        <v>100</v>
      </c>
      <c r="Y1092" s="2" t="s">
        <v>3523</v>
      </c>
      <c r="Z1092" s="4">
        <v>171</v>
      </c>
      <c r="AA1092" s="4">
        <f>=ROUNDDOWN(21.375,0)</f>
      </c>
      <c r="AB1092" s="5">
        <v>8</v>
      </c>
      <c r="AC1092" s="2" t="s">
        <v>417</v>
      </c>
      <c r="AD1092" s="4">
        <v>100</v>
      </c>
      <c r="AE1092" s="4">
        <v>168</v>
      </c>
      <c r="AF1092" s="6">
        <v>63</v>
      </c>
      <c r="AG1092" s="6">
        <v>46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192</v>
      </c>
      <c r="BK1092" s="8">
        <v>3629.11</v>
      </c>
      <c r="BL1092" s="2" t="s">
        <v>3629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2480</v>
      </c>
      <c r="BV1092" s="2" t="s">
        <v>97</v>
      </c>
      <c r="BW1092" s="2" t="s">
        <v>100</v>
      </c>
      <c r="BX1092" s="2" t="s">
        <v>100</v>
      </c>
      <c r="BY1092" s="2" t="s">
        <v>113</v>
      </c>
      <c r="BZ1092" s="2" t="s">
        <v>245</v>
      </c>
    </row>
    <row r="1093">
      <c r="A1093" s="2" t="s">
        <v>3736</v>
      </c>
      <c r="B1093" s="2" t="s">
        <v>87</v>
      </c>
      <c r="C1093" s="2" t="s">
        <v>3413</v>
      </c>
      <c r="D1093" s="2" t="s">
        <v>1638</v>
      </c>
      <c r="E1093" s="2" t="s">
        <v>1639</v>
      </c>
      <c r="F1093" s="2" t="s">
        <v>3511</v>
      </c>
      <c r="G1093" s="2" t="s">
        <v>3512</v>
      </c>
      <c r="H1093" s="2" t="s">
        <v>3513</v>
      </c>
      <c r="I1093" s="2" t="s">
        <v>3730</v>
      </c>
      <c r="J1093" s="2" t="s">
        <v>247</v>
      </c>
      <c r="K1093" s="2" t="s">
        <v>209</v>
      </c>
      <c r="L1093" s="3">
        <v>20.23</v>
      </c>
      <c r="M1093" s="3">
        <v>21.24</v>
      </c>
      <c r="N1093" s="3">
        <v>42.49</v>
      </c>
      <c r="O1093" s="2" t="s">
        <v>97</v>
      </c>
      <c r="P1093" s="2" t="s">
        <v>307</v>
      </c>
      <c r="Q1093" s="2" t="s">
        <v>99</v>
      </c>
      <c r="R1093" s="2" t="s">
        <v>100</v>
      </c>
      <c r="S1093" s="2" t="s">
        <v>3522</v>
      </c>
      <c r="T1093" s="2" t="s">
        <v>200</v>
      </c>
      <c r="U1093" s="2" t="s">
        <v>480</v>
      </c>
      <c r="V1093" s="2" t="s">
        <v>146</v>
      </c>
      <c r="W1093" s="2" t="s">
        <v>561</v>
      </c>
      <c r="X1093" s="2" t="s">
        <v>100</v>
      </c>
      <c r="Y1093" s="2" t="s">
        <v>3523</v>
      </c>
      <c r="Z1093" s="4">
        <v>1549</v>
      </c>
      <c r="AA1093" s="4">
        <f>=ROUNDDOWN(46.9393939393939,0)</f>
      </c>
      <c r="AB1093" s="5">
        <v>33</v>
      </c>
      <c r="AC1093" s="2" t="s">
        <v>417</v>
      </c>
      <c r="AD1093" s="4">
        <v>700</v>
      </c>
      <c r="AE1093" s="4">
        <v>700</v>
      </c>
      <c r="AF1093" s="6">
        <v>63</v>
      </c>
      <c r="AG1093" s="6">
        <v>46</v>
      </c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897</v>
      </c>
      <c r="BK1093" s="8">
        <v>19958.01</v>
      </c>
      <c r="BL1093" s="2" t="s">
        <v>3444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2480</v>
      </c>
      <c r="BV1093" s="2" t="s">
        <v>97</v>
      </c>
      <c r="BW1093" s="2" t="s">
        <v>100</v>
      </c>
      <c r="BX1093" s="2" t="s">
        <v>100</v>
      </c>
      <c r="BY1093" s="2" t="s">
        <v>113</v>
      </c>
      <c r="BZ1093" s="2" t="s">
        <v>245</v>
      </c>
    </row>
    <row r="1094">
      <c r="A1094" s="2" t="s">
        <v>3737</v>
      </c>
      <c r="B1094" s="2" t="s">
        <v>87</v>
      </c>
      <c r="C1094" s="2" t="s">
        <v>3413</v>
      </c>
      <c r="D1094" s="2" t="s">
        <v>1638</v>
      </c>
      <c r="E1094" s="2" t="s">
        <v>1639</v>
      </c>
      <c r="F1094" s="2" t="s">
        <v>3511</v>
      </c>
      <c r="G1094" s="2" t="s">
        <v>3512</v>
      </c>
      <c r="H1094" s="2" t="s">
        <v>3513</v>
      </c>
      <c r="I1094" s="2" t="s">
        <v>3730</v>
      </c>
      <c r="J1094" s="2" t="s">
        <v>270</v>
      </c>
      <c r="K1094" s="2" t="s">
        <v>209</v>
      </c>
      <c r="L1094" s="3">
        <v>23.57</v>
      </c>
      <c r="M1094" s="3">
        <v>24.75</v>
      </c>
      <c r="N1094" s="3">
        <v>49.49</v>
      </c>
      <c r="O1094" s="2" t="s">
        <v>97</v>
      </c>
      <c r="P1094" s="2" t="s">
        <v>307</v>
      </c>
      <c r="Q1094" s="2" t="s">
        <v>99</v>
      </c>
      <c r="R1094" s="2" t="s">
        <v>100</v>
      </c>
      <c r="S1094" s="2" t="s">
        <v>3522</v>
      </c>
      <c r="T1094" s="2" t="s">
        <v>200</v>
      </c>
      <c r="U1094" s="2" t="s">
        <v>480</v>
      </c>
      <c r="V1094" s="2" t="s">
        <v>146</v>
      </c>
      <c r="W1094" s="2" t="s">
        <v>561</v>
      </c>
      <c r="X1094" s="2" t="s">
        <v>100</v>
      </c>
      <c r="Y1094" s="2" t="s">
        <v>3523</v>
      </c>
      <c r="Z1094" s="4">
        <v>1150</v>
      </c>
      <c r="AA1094" s="4">
        <f>=ROUNDDOWN(34.8484848484849,0)</f>
      </c>
      <c r="AB1094" s="5">
        <v>33</v>
      </c>
      <c r="AC1094" s="2" t="s">
        <v>417</v>
      </c>
      <c r="AD1094" s="4">
        <v>500</v>
      </c>
      <c r="AE1094" s="4">
        <v>500</v>
      </c>
      <c r="AF1094" s="6">
        <v>63</v>
      </c>
      <c r="AG1094" s="6">
        <v>46</v>
      </c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1008</v>
      </c>
      <c r="BK1094" s="8">
        <v>26161.74</v>
      </c>
      <c r="BL1094" s="2" t="s">
        <v>3447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2480</v>
      </c>
      <c r="BV1094" s="2" t="s">
        <v>97</v>
      </c>
      <c r="BW1094" s="2" t="s">
        <v>100</v>
      </c>
      <c r="BX1094" s="2" t="s">
        <v>100</v>
      </c>
      <c r="BY1094" s="2" t="s">
        <v>113</v>
      </c>
      <c r="BZ1094" s="2" t="s">
        <v>245</v>
      </c>
    </row>
    <row r="1095">
      <c r="A1095" s="2" t="s">
        <v>3738</v>
      </c>
      <c r="B1095" s="2" t="s">
        <v>87</v>
      </c>
      <c r="C1095" s="2" t="s">
        <v>3413</v>
      </c>
      <c r="D1095" s="2" t="s">
        <v>1638</v>
      </c>
      <c r="E1095" s="2" t="s">
        <v>1639</v>
      </c>
      <c r="F1095" s="2" t="s">
        <v>3511</v>
      </c>
      <c r="G1095" s="2" t="s">
        <v>3512</v>
      </c>
      <c r="H1095" s="2" t="s">
        <v>3513</v>
      </c>
      <c r="I1095" s="2" t="s">
        <v>3730</v>
      </c>
      <c r="J1095" s="2" t="s">
        <v>237</v>
      </c>
      <c r="K1095" s="2" t="s">
        <v>440</v>
      </c>
      <c r="L1095" s="3">
        <v>16.9</v>
      </c>
      <c r="M1095" s="3">
        <v>17.75</v>
      </c>
      <c r="N1095" s="3">
        <v>35.49</v>
      </c>
      <c r="O1095" s="2" t="s">
        <v>97</v>
      </c>
      <c r="P1095" s="2" t="s">
        <v>307</v>
      </c>
      <c r="Q1095" s="2" t="s">
        <v>99</v>
      </c>
      <c r="R1095" s="2" t="s">
        <v>100</v>
      </c>
      <c r="S1095" s="2" t="s">
        <v>3530</v>
      </c>
      <c r="T1095" s="2" t="s">
        <v>200</v>
      </c>
      <c r="U1095" s="2" t="s">
        <v>514</v>
      </c>
      <c r="V1095" s="2" t="s">
        <v>146</v>
      </c>
      <c r="W1095" s="2" t="s">
        <v>561</v>
      </c>
      <c r="X1095" s="2" t="s">
        <v>100</v>
      </c>
      <c r="Y1095" s="2" t="s">
        <v>3531</v>
      </c>
      <c r="Z1095" s="4">
        <v>234</v>
      </c>
      <c r="AA1095" s="4">
        <f>=ROUNDDOWN(23.4,0)</f>
      </c>
      <c r="AB1095" s="5">
        <v>10</v>
      </c>
      <c r="AC1095" s="2" t="s">
        <v>340</v>
      </c>
      <c r="AD1095" s="4">
        <v>100</v>
      </c>
      <c r="AE1095" s="4">
        <v>100</v>
      </c>
      <c r="AF1095" s="6">
        <v>63</v>
      </c>
      <c r="AG1095" s="6">
        <v>46</v>
      </c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228</v>
      </c>
      <c r="BK1095" s="8">
        <v>4305.05</v>
      </c>
      <c r="BL1095" s="2" t="s">
        <v>3441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2480</v>
      </c>
      <c r="BV1095" s="2" t="s">
        <v>97</v>
      </c>
      <c r="BW1095" s="2" t="s">
        <v>100</v>
      </c>
      <c r="BX1095" s="2" t="s">
        <v>100</v>
      </c>
      <c r="BY1095" s="2" t="s">
        <v>113</v>
      </c>
      <c r="BZ1095" s="2" t="s">
        <v>245</v>
      </c>
    </row>
    <row r="1096">
      <c r="A1096" s="2" t="s">
        <v>3739</v>
      </c>
      <c r="B1096" s="2" t="s">
        <v>87</v>
      </c>
      <c r="C1096" s="2" t="s">
        <v>3413</v>
      </c>
      <c r="D1096" s="2" t="s">
        <v>1638</v>
      </c>
      <c r="E1096" s="2" t="s">
        <v>1639</v>
      </c>
      <c r="F1096" s="2" t="s">
        <v>3511</v>
      </c>
      <c r="G1096" s="2" t="s">
        <v>3512</v>
      </c>
      <c r="H1096" s="2" t="s">
        <v>3513</v>
      </c>
      <c r="I1096" s="2" t="s">
        <v>3730</v>
      </c>
      <c r="J1096" s="2" t="s">
        <v>247</v>
      </c>
      <c r="K1096" s="2" t="s">
        <v>440</v>
      </c>
      <c r="L1096" s="3">
        <v>20.23</v>
      </c>
      <c r="M1096" s="3">
        <v>21.24</v>
      </c>
      <c r="N1096" s="3">
        <v>42.49</v>
      </c>
      <c r="O1096" s="2" t="s">
        <v>97</v>
      </c>
      <c r="P1096" s="2" t="s">
        <v>307</v>
      </c>
      <c r="Q1096" s="2" t="s">
        <v>99</v>
      </c>
      <c r="R1096" s="2" t="s">
        <v>100</v>
      </c>
      <c r="S1096" s="2" t="s">
        <v>3530</v>
      </c>
      <c r="T1096" s="2" t="s">
        <v>200</v>
      </c>
      <c r="U1096" s="2" t="s">
        <v>480</v>
      </c>
      <c r="V1096" s="2" t="s">
        <v>146</v>
      </c>
      <c r="W1096" s="2" t="s">
        <v>561</v>
      </c>
      <c r="X1096" s="2" t="s">
        <v>100</v>
      </c>
      <c r="Y1096" s="2" t="s">
        <v>3531</v>
      </c>
      <c r="Z1096" s="4">
        <v>1063</v>
      </c>
      <c r="AA1096" s="4">
        <f>=ROUNDDOWN(42.52,0)</f>
      </c>
      <c r="AB1096" s="5">
        <v>25</v>
      </c>
      <c r="AC1096" s="2" t="s">
        <v>417</v>
      </c>
      <c r="AD1096" s="4">
        <v>600</v>
      </c>
      <c r="AE1096" s="4">
        <v>688</v>
      </c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853</v>
      </c>
      <c r="BK1096" s="8">
        <v>18631</v>
      </c>
      <c r="BL1096" s="2" t="s">
        <v>3441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2480</v>
      </c>
      <c r="BV1096" s="2" t="s">
        <v>97</v>
      </c>
      <c r="BW1096" s="2" t="s">
        <v>100</v>
      </c>
      <c r="BX1096" s="2" t="s">
        <v>100</v>
      </c>
      <c r="BY1096" s="2" t="s">
        <v>113</v>
      </c>
      <c r="BZ1096" s="2" t="s">
        <v>245</v>
      </c>
    </row>
    <row r="1097">
      <c r="A1097" s="2" t="s">
        <v>3740</v>
      </c>
      <c r="B1097" s="2" t="s">
        <v>87</v>
      </c>
      <c r="C1097" s="2" t="s">
        <v>3413</v>
      </c>
      <c r="D1097" s="2" t="s">
        <v>1638</v>
      </c>
      <c r="E1097" s="2" t="s">
        <v>1639</v>
      </c>
      <c r="F1097" s="2" t="s">
        <v>3511</v>
      </c>
      <c r="G1097" s="2" t="s">
        <v>3512</v>
      </c>
      <c r="H1097" s="2" t="s">
        <v>3513</v>
      </c>
      <c r="I1097" s="2" t="s">
        <v>3730</v>
      </c>
      <c r="J1097" s="2" t="s">
        <v>270</v>
      </c>
      <c r="K1097" s="2" t="s">
        <v>440</v>
      </c>
      <c r="L1097" s="3">
        <v>23.57</v>
      </c>
      <c r="M1097" s="3">
        <v>24.75</v>
      </c>
      <c r="N1097" s="3">
        <v>49.49</v>
      </c>
      <c r="O1097" s="2" t="s">
        <v>97</v>
      </c>
      <c r="P1097" s="2" t="s">
        <v>307</v>
      </c>
      <c r="Q1097" s="2" t="s">
        <v>99</v>
      </c>
      <c r="R1097" s="2" t="s">
        <v>100</v>
      </c>
      <c r="S1097" s="2" t="s">
        <v>3530</v>
      </c>
      <c r="T1097" s="2" t="s">
        <v>200</v>
      </c>
      <c r="U1097" s="2" t="s">
        <v>480</v>
      </c>
      <c r="V1097" s="2" t="s">
        <v>146</v>
      </c>
      <c r="W1097" s="2" t="s">
        <v>561</v>
      </c>
      <c r="X1097" s="2" t="s">
        <v>100</v>
      </c>
      <c r="Y1097" s="2" t="s">
        <v>3531</v>
      </c>
      <c r="Z1097" s="4">
        <v>1023</v>
      </c>
      <c r="AA1097" s="4">
        <f>=ROUNDDOWN(37.8888888888889,0)</f>
      </c>
      <c r="AB1097" s="5">
        <v>27</v>
      </c>
      <c r="AC1097" s="2" t="s">
        <v>417</v>
      </c>
      <c r="AD1097" s="4">
        <v>600</v>
      </c>
      <c r="AE1097" s="4">
        <v>600</v>
      </c>
      <c r="AF1097" s="6">
        <v>63</v>
      </c>
      <c r="AG1097" s="6">
        <v>46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876</v>
      </c>
      <c r="BK1097" s="8">
        <v>22389.36</v>
      </c>
      <c r="BL1097" s="2" t="s">
        <v>3441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2480</v>
      </c>
      <c r="BV1097" s="2" t="s">
        <v>97</v>
      </c>
      <c r="BW1097" s="2" t="s">
        <v>100</v>
      </c>
      <c r="BX1097" s="2" t="s">
        <v>100</v>
      </c>
      <c r="BY1097" s="2" t="s">
        <v>113</v>
      </c>
      <c r="BZ1097" s="2" t="s">
        <v>245</v>
      </c>
    </row>
    <row r="1098">
      <c r="A1098" s="2" t="s">
        <v>3741</v>
      </c>
      <c r="B1098" s="2" t="s">
        <v>87</v>
      </c>
      <c r="C1098" s="2" t="s">
        <v>3413</v>
      </c>
      <c r="D1098" s="2" t="s">
        <v>1638</v>
      </c>
      <c r="E1098" s="2" t="s">
        <v>1639</v>
      </c>
      <c r="F1098" s="2" t="s">
        <v>3511</v>
      </c>
      <c r="G1098" s="2" t="s">
        <v>3512</v>
      </c>
      <c r="H1098" s="2" t="s">
        <v>3513</v>
      </c>
      <c r="I1098" s="2" t="s">
        <v>3730</v>
      </c>
      <c r="J1098" s="2" t="s">
        <v>237</v>
      </c>
      <c r="K1098" s="2" t="s">
        <v>189</v>
      </c>
      <c r="L1098" s="3">
        <v>16.9</v>
      </c>
      <c r="M1098" s="3">
        <v>17.75</v>
      </c>
      <c r="N1098" s="3">
        <v>35.49</v>
      </c>
      <c r="O1098" s="2" t="s">
        <v>97</v>
      </c>
      <c r="P1098" s="2" t="s">
        <v>307</v>
      </c>
      <c r="Q1098" s="2" t="s">
        <v>99</v>
      </c>
      <c r="R1098" s="2" t="s">
        <v>100</v>
      </c>
      <c r="S1098" s="2" t="s">
        <v>3536</v>
      </c>
      <c r="T1098" s="2" t="s">
        <v>200</v>
      </c>
      <c r="U1098" s="2" t="s">
        <v>514</v>
      </c>
      <c r="V1098" s="2" t="s">
        <v>146</v>
      </c>
      <c r="W1098" s="2" t="s">
        <v>561</v>
      </c>
      <c r="X1098" s="2" t="s">
        <v>100</v>
      </c>
      <c r="Y1098" s="2" t="s">
        <v>3437</v>
      </c>
      <c r="Z1098" s="4">
        <v>675</v>
      </c>
      <c r="AA1098" s="4">
        <f>=ROUNDDOWN(39.7058823529412,0)</f>
      </c>
      <c r="AB1098" s="5">
        <v>17</v>
      </c>
      <c r="AC1098" s="2" t="s">
        <v>123</v>
      </c>
      <c r="AD1098" s="4">
        <v>600</v>
      </c>
      <c r="AE1098" s="4">
        <v>760</v>
      </c>
      <c r="AF1098" s="6">
        <v>63</v>
      </c>
      <c r="AG1098" s="6">
        <v>46</v>
      </c>
      <c r="AH1098" s="7">
        <v>0.6524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1027</v>
      </c>
      <c r="BK1098" s="8">
        <v>18680.41</v>
      </c>
      <c r="BL1098" s="2" t="s">
        <v>446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2480</v>
      </c>
      <c r="BV1098" s="2" t="s">
        <v>97</v>
      </c>
      <c r="BW1098" s="2" t="s">
        <v>100</v>
      </c>
      <c r="BX1098" s="2" t="s">
        <v>100</v>
      </c>
      <c r="BY1098" s="2" t="s">
        <v>113</v>
      </c>
      <c r="BZ1098" s="2" t="s">
        <v>245</v>
      </c>
    </row>
    <row r="1099">
      <c r="A1099" s="2" t="s">
        <v>3742</v>
      </c>
      <c r="B1099" s="2" t="s">
        <v>87</v>
      </c>
      <c r="C1099" s="2" t="s">
        <v>3413</v>
      </c>
      <c r="D1099" s="2" t="s">
        <v>1638</v>
      </c>
      <c r="E1099" s="2" t="s">
        <v>1639</v>
      </c>
      <c r="F1099" s="2" t="s">
        <v>3511</v>
      </c>
      <c r="G1099" s="2" t="s">
        <v>3512</v>
      </c>
      <c r="H1099" s="2" t="s">
        <v>3513</v>
      </c>
      <c r="I1099" s="2" t="s">
        <v>3730</v>
      </c>
      <c r="J1099" s="2" t="s">
        <v>247</v>
      </c>
      <c r="K1099" s="2" t="s">
        <v>189</v>
      </c>
      <c r="L1099" s="3">
        <v>20.23</v>
      </c>
      <c r="M1099" s="3">
        <v>21.24</v>
      </c>
      <c r="N1099" s="3">
        <v>42.49</v>
      </c>
      <c r="O1099" s="2" t="s">
        <v>97</v>
      </c>
      <c r="P1099" s="2" t="s">
        <v>307</v>
      </c>
      <c r="Q1099" s="2" t="s">
        <v>99</v>
      </c>
      <c r="R1099" s="2" t="s">
        <v>100</v>
      </c>
      <c r="S1099" s="2" t="s">
        <v>3536</v>
      </c>
      <c r="T1099" s="2" t="s">
        <v>200</v>
      </c>
      <c r="U1099" s="2" t="s">
        <v>480</v>
      </c>
      <c r="V1099" s="2" t="s">
        <v>146</v>
      </c>
      <c r="W1099" s="2" t="s">
        <v>561</v>
      </c>
      <c r="X1099" s="2" t="s">
        <v>100</v>
      </c>
      <c r="Y1099" s="2" t="s">
        <v>3437</v>
      </c>
      <c r="Z1099" s="4">
        <v>476</v>
      </c>
      <c r="AA1099" s="4">
        <f>=ROUNDDOWN(5.80487804878049,0)</f>
      </c>
      <c r="AB1099" s="5">
        <v>82</v>
      </c>
      <c r="AC1099" s="2" t="s">
        <v>417</v>
      </c>
      <c r="AD1099" s="4">
        <v>1000</v>
      </c>
      <c r="AE1099" s="4">
        <v>1892</v>
      </c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>
        <v>2976</v>
      </c>
      <c r="BK1099" s="8">
        <v>66632.7</v>
      </c>
      <c r="BL1099" s="2" t="s">
        <v>3743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2480</v>
      </c>
      <c r="BV1099" s="2" t="s">
        <v>97</v>
      </c>
      <c r="BW1099" s="2" t="s">
        <v>100</v>
      </c>
      <c r="BX1099" s="2" t="s">
        <v>100</v>
      </c>
      <c r="BY1099" s="2" t="s">
        <v>113</v>
      </c>
      <c r="BZ1099" s="2" t="s">
        <v>245</v>
      </c>
    </row>
    <row r="1100">
      <c r="A1100" s="2" t="s">
        <v>3744</v>
      </c>
      <c r="B1100" s="2" t="s">
        <v>87</v>
      </c>
      <c r="C1100" s="2" t="s">
        <v>3413</v>
      </c>
      <c r="D1100" s="2" t="s">
        <v>1638</v>
      </c>
      <c r="E1100" s="2" t="s">
        <v>1639</v>
      </c>
      <c r="F1100" s="2" t="s">
        <v>3511</v>
      </c>
      <c r="G1100" s="2" t="s">
        <v>3512</v>
      </c>
      <c r="H1100" s="2" t="s">
        <v>3513</v>
      </c>
      <c r="I1100" s="2" t="s">
        <v>3730</v>
      </c>
      <c r="J1100" s="2" t="s">
        <v>270</v>
      </c>
      <c r="K1100" s="2" t="s">
        <v>189</v>
      </c>
      <c r="L1100" s="3">
        <v>23.57</v>
      </c>
      <c r="M1100" s="3">
        <v>24.75</v>
      </c>
      <c r="N1100" s="3">
        <v>49.49</v>
      </c>
      <c r="O1100" s="2" t="s">
        <v>97</v>
      </c>
      <c r="P1100" s="2" t="s">
        <v>307</v>
      </c>
      <c r="Q1100" s="2" t="s">
        <v>99</v>
      </c>
      <c r="R1100" s="2" t="s">
        <v>100</v>
      </c>
      <c r="S1100" s="2" t="s">
        <v>3536</v>
      </c>
      <c r="T1100" s="2" t="s">
        <v>200</v>
      </c>
      <c r="U1100" s="2" t="s">
        <v>480</v>
      </c>
      <c r="V1100" s="2" t="s">
        <v>146</v>
      </c>
      <c r="W1100" s="2" t="s">
        <v>561</v>
      </c>
      <c r="X1100" s="2" t="s">
        <v>100</v>
      </c>
      <c r="Y1100" s="2" t="s">
        <v>3734</v>
      </c>
      <c r="Z1100" s="4">
        <v>1100</v>
      </c>
      <c r="AA1100" s="4">
        <f>=ROUNDDOWN(18.0327868852459,0)</f>
      </c>
      <c r="AB1100" s="5">
        <v>61</v>
      </c>
      <c r="AC1100" s="2" t="s">
        <v>417</v>
      </c>
      <c r="AD1100" s="4">
        <v>760</v>
      </c>
      <c r="AE1100" s="4">
        <v>1200</v>
      </c>
      <c r="AF1100" s="6">
        <v>63</v>
      </c>
      <c r="AG1100" s="6">
        <v>46</v>
      </c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1901</v>
      </c>
      <c r="BK1100" s="8">
        <v>50193.38</v>
      </c>
      <c r="BL1100" s="2" t="s">
        <v>3444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2480</v>
      </c>
      <c r="BV1100" s="2" t="s">
        <v>97</v>
      </c>
      <c r="BW1100" s="2" t="s">
        <v>100</v>
      </c>
      <c r="BX1100" s="2" t="s">
        <v>100</v>
      </c>
      <c r="BY1100" s="2" t="s">
        <v>113</v>
      </c>
      <c r="BZ1100" s="2" t="s">
        <v>245</v>
      </c>
    </row>
    <row r="1101">
      <c r="A1101" s="2" t="s">
        <v>3745</v>
      </c>
      <c r="B1101" s="2" t="s">
        <v>87</v>
      </c>
      <c r="C1101" s="2" t="s">
        <v>3413</v>
      </c>
      <c r="D1101" s="2" t="s">
        <v>1638</v>
      </c>
      <c r="E1101" s="2" t="s">
        <v>1639</v>
      </c>
      <c r="F1101" s="2" t="s">
        <v>3602</v>
      </c>
      <c r="G1101" s="2" t="s">
        <v>3603</v>
      </c>
      <c r="H1101" s="2" t="s">
        <v>3604</v>
      </c>
      <c r="I1101" s="2" t="s">
        <v>3746</v>
      </c>
      <c r="J1101" s="2" t="s">
        <v>237</v>
      </c>
      <c r="K1101" s="2" t="s">
        <v>335</v>
      </c>
      <c r="L1101" s="3">
        <v>15.47</v>
      </c>
      <c r="M1101" s="3">
        <v>16.24</v>
      </c>
      <c r="N1101" s="3">
        <v>32.49</v>
      </c>
      <c r="O1101" s="2" t="s">
        <v>97</v>
      </c>
      <c r="P1101" s="2" t="s">
        <v>307</v>
      </c>
      <c r="Q1101" s="2" t="s">
        <v>99</v>
      </c>
      <c r="R1101" s="2" t="s">
        <v>100</v>
      </c>
      <c r="S1101" s="2" t="s">
        <v>3606</v>
      </c>
      <c r="T1101" s="2" t="s">
        <v>218</v>
      </c>
      <c r="U1101" s="2" t="s">
        <v>514</v>
      </c>
      <c r="V1101" s="2" t="s">
        <v>146</v>
      </c>
      <c r="W1101" s="2" t="s">
        <v>561</v>
      </c>
      <c r="X1101" s="2" t="s">
        <v>100</v>
      </c>
      <c r="Y1101" s="2" t="s">
        <v>3747</v>
      </c>
      <c r="Z1101" s="4">
        <v>368</v>
      </c>
      <c r="AA1101" s="4">
        <f>=ROUNDDOWN(92,0)</f>
      </c>
      <c r="AB1101" s="5">
        <v>4</v>
      </c>
      <c r="AC1101" s="2" t="s">
        <v>100</v>
      </c>
      <c r="AD1101" s="4"/>
      <c r="AE1101" s="4"/>
      <c r="AF1101" s="6">
        <v>63</v>
      </c>
      <c r="AG1101" s="6">
        <v>46</v>
      </c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140</v>
      </c>
      <c r="BK1101" s="8">
        <v>2418.42</v>
      </c>
      <c r="BL1101" s="2" t="s">
        <v>446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2480</v>
      </c>
      <c r="BV1101" s="2" t="s">
        <v>97</v>
      </c>
      <c r="BW1101" s="2" t="s">
        <v>100</v>
      </c>
      <c r="BX1101" s="2" t="s">
        <v>100</v>
      </c>
      <c r="BY1101" s="2" t="s">
        <v>113</v>
      </c>
      <c r="BZ1101" s="2" t="s">
        <v>245</v>
      </c>
    </row>
    <row r="1102">
      <c r="A1102" s="2" t="s">
        <v>3748</v>
      </c>
      <c r="B1102" s="2" t="s">
        <v>87</v>
      </c>
      <c r="C1102" s="2" t="s">
        <v>3413</v>
      </c>
      <c r="D1102" s="2" t="s">
        <v>1638</v>
      </c>
      <c r="E1102" s="2" t="s">
        <v>1639</v>
      </c>
      <c r="F1102" s="2" t="s">
        <v>3602</v>
      </c>
      <c r="G1102" s="2" t="s">
        <v>3603</v>
      </c>
      <c r="H1102" s="2" t="s">
        <v>3604</v>
      </c>
      <c r="I1102" s="2" t="s">
        <v>3746</v>
      </c>
      <c r="J1102" s="2" t="s">
        <v>717</v>
      </c>
      <c r="K1102" s="2" t="s">
        <v>335</v>
      </c>
      <c r="L1102" s="3">
        <v>19.76</v>
      </c>
      <c r="M1102" s="3">
        <v>20.75</v>
      </c>
      <c r="N1102" s="3">
        <v>39.99</v>
      </c>
      <c r="O1102" s="2" t="s">
        <v>97</v>
      </c>
      <c r="P1102" s="2" t="s">
        <v>225</v>
      </c>
      <c r="Q1102" s="2" t="s">
        <v>99</v>
      </c>
      <c r="R1102" s="2" t="s">
        <v>100</v>
      </c>
      <c r="S1102" s="2" t="s">
        <v>3606</v>
      </c>
      <c r="T1102" s="2" t="s">
        <v>218</v>
      </c>
      <c r="U1102" s="2" t="s">
        <v>480</v>
      </c>
      <c r="V1102" s="2" t="s">
        <v>146</v>
      </c>
      <c r="W1102" s="2" t="s">
        <v>561</v>
      </c>
      <c r="X1102" s="2" t="s">
        <v>100</v>
      </c>
      <c r="Y1102" s="2" t="s">
        <v>3749</v>
      </c>
      <c r="Z1102" s="4">
        <v>155</v>
      </c>
      <c r="AA1102" s="4">
        <f>=ROUNDDOWN(70.4545454545455,0)</f>
      </c>
      <c r="AB1102" s="5">
        <v>2.2</v>
      </c>
      <c r="AC1102" s="2" t="s">
        <v>356</v>
      </c>
      <c r="AD1102" s="4">
        <v>12</v>
      </c>
      <c r="AE1102" s="4">
        <v>12</v>
      </c>
      <c r="AF1102" s="6">
        <v>63</v>
      </c>
      <c r="AG1102" s="6">
        <v>46</v>
      </c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13</v>
      </c>
      <c r="BK1102" s="8">
        <v>261.37</v>
      </c>
      <c r="BL1102" s="2" t="s">
        <v>1212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2480</v>
      </c>
      <c r="BV1102" s="2" t="s">
        <v>97</v>
      </c>
      <c r="BW1102" s="2" t="s">
        <v>100</v>
      </c>
      <c r="BX1102" s="2" t="s">
        <v>100</v>
      </c>
      <c r="BY1102" s="2" t="s">
        <v>113</v>
      </c>
      <c r="BZ1102" s="2" t="s">
        <v>245</v>
      </c>
    </row>
    <row r="1103">
      <c r="A1103" s="2" t="s">
        <v>3750</v>
      </c>
      <c r="B1103" s="2" t="s">
        <v>87</v>
      </c>
      <c r="C1103" s="2" t="s">
        <v>3413</v>
      </c>
      <c r="D1103" s="2" t="s">
        <v>1638</v>
      </c>
      <c r="E1103" s="2" t="s">
        <v>1639</v>
      </c>
      <c r="F1103" s="2" t="s">
        <v>3602</v>
      </c>
      <c r="G1103" s="2" t="s">
        <v>3603</v>
      </c>
      <c r="H1103" s="2" t="s">
        <v>3604</v>
      </c>
      <c r="I1103" s="2" t="s">
        <v>3746</v>
      </c>
      <c r="J1103" s="2" t="s">
        <v>706</v>
      </c>
      <c r="K1103" s="2" t="s">
        <v>335</v>
      </c>
      <c r="L1103" s="3">
        <v>20.23</v>
      </c>
      <c r="M1103" s="3">
        <v>21.24</v>
      </c>
      <c r="N1103" s="3">
        <v>42.49</v>
      </c>
      <c r="O1103" s="2" t="s">
        <v>97</v>
      </c>
      <c r="P1103" s="2" t="s">
        <v>307</v>
      </c>
      <c r="Q1103" s="2" t="s">
        <v>99</v>
      </c>
      <c r="R1103" s="2" t="s">
        <v>100</v>
      </c>
      <c r="S1103" s="2" t="s">
        <v>3606</v>
      </c>
      <c r="T1103" s="2" t="s">
        <v>218</v>
      </c>
      <c r="U1103" s="2" t="s">
        <v>480</v>
      </c>
      <c r="V1103" s="2" t="s">
        <v>146</v>
      </c>
      <c r="W1103" s="2" t="s">
        <v>561</v>
      </c>
      <c r="X1103" s="2" t="s">
        <v>100</v>
      </c>
      <c r="Y1103" s="2" t="s">
        <v>3747</v>
      </c>
      <c r="Z1103" s="4">
        <v>932</v>
      </c>
      <c r="AA1103" s="4">
        <f>=ROUNDDOWN(49.0526315789474,0)</f>
      </c>
      <c r="AB1103" s="5">
        <v>19</v>
      </c>
      <c r="AC1103" s="2" t="s">
        <v>100</v>
      </c>
      <c r="AD1103" s="4"/>
      <c r="AE1103" s="4"/>
      <c r="AF1103" s="6">
        <v>63</v>
      </c>
      <c r="AG1103" s="6">
        <v>46</v>
      </c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519</v>
      </c>
      <c r="BK1103" s="8">
        <v>11259.45</v>
      </c>
      <c r="BL1103" s="2" t="s">
        <v>3488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2480</v>
      </c>
      <c r="BV1103" s="2" t="s">
        <v>97</v>
      </c>
      <c r="BW1103" s="2" t="s">
        <v>100</v>
      </c>
      <c r="BX1103" s="2" t="s">
        <v>100</v>
      </c>
      <c r="BY1103" s="2" t="s">
        <v>113</v>
      </c>
      <c r="BZ1103" s="2" t="s">
        <v>245</v>
      </c>
    </row>
    <row r="1104">
      <c r="A1104" s="2" t="s">
        <v>3751</v>
      </c>
      <c r="B1104" s="2" t="s">
        <v>87</v>
      </c>
      <c r="C1104" s="2" t="s">
        <v>3413</v>
      </c>
      <c r="D1104" s="2" t="s">
        <v>1638</v>
      </c>
      <c r="E1104" s="2" t="s">
        <v>1639</v>
      </c>
      <c r="F1104" s="2" t="s">
        <v>3602</v>
      </c>
      <c r="G1104" s="2" t="s">
        <v>3603</v>
      </c>
      <c r="H1104" s="2" t="s">
        <v>3604</v>
      </c>
      <c r="I1104" s="2" t="s">
        <v>3746</v>
      </c>
      <c r="J1104" s="2" t="s">
        <v>714</v>
      </c>
      <c r="K1104" s="2" t="s">
        <v>335</v>
      </c>
      <c r="L1104" s="3">
        <v>22.61</v>
      </c>
      <c r="M1104" s="3">
        <v>23.74</v>
      </c>
      <c r="N1104" s="3">
        <v>47.49</v>
      </c>
      <c r="O1104" s="2" t="s">
        <v>97</v>
      </c>
      <c r="P1104" s="2" t="s">
        <v>307</v>
      </c>
      <c r="Q1104" s="2" t="s">
        <v>99</v>
      </c>
      <c r="R1104" s="2" t="s">
        <v>100</v>
      </c>
      <c r="S1104" s="2" t="s">
        <v>3606</v>
      </c>
      <c r="T1104" s="2" t="s">
        <v>218</v>
      </c>
      <c r="U1104" s="2" t="s">
        <v>480</v>
      </c>
      <c r="V1104" s="2" t="s">
        <v>146</v>
      </c>
      <c r="W1104" s="2" t="s">
        <v>561</v>
      </c>
      <c r="X1104" s="2" t="s">
        <v>100</v>
      </c>
      <c r="Y1104" s="2" t="s">
        <v>3747</v>
      </c>
      <c r="Z1104" s="4">
        <v>1126</v>
      </c>
      <c r="AA1104" s="4">
        <f>=ROUNDDOWN(48.9565217391304,0)</f>
      </c>
      <c r="AB1104" s="5">
        <v>23</v>
      </c>
      <c r="AC1104" s="2" t="s">
        <v>100</v>
      </c>
      <c r="AD1104" s="4"/>
      <c r="AE1104" s="4"/>
      <c r="AF1104" s="6">
        <v>63</v>
      </c>
      <c r="AG1104" s="6">
        <v>46</v>
      </c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678</v>
      </c>
      <c r="BK1104" s="8">
        <v>16605.66</v>
      </c>
      <c r="BL1104" s="2" t="s">
        <v>446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2480</v>
      </c>
      <c r="BV1104" s="2" t="s">
        <v>97</v>
      </c>
      <c r="BW1104" s="2" t="s">
        <v>100</v>
      </c>
      <c r="BX1104" s="2" t="s">
        <v>100</v>
      </c>
      <c r="BY1104" s="2" t="s">
        <v>113</v>
      </c>
      <c r="BZ1104" s="2" t="s">
        <v>245</v>
      </c>
    </row>
    <row r="1105">
      <c r="A1105" s="2" t="s">
        <v>3752</v>
      </c>
      <c r="B1105" s="2" t="s">
        <v>87</v>
      </c>
      <c r="C1105" s="2" t="s">
        <v>3413</v>
      </c>
      <c r="D1105" s="2" t="s">
        <v>1638</v>
      </c>
      <c r="E1105" s="2" t="s">
        <v>1639</v>
      </c>
      <c r="F1105" s="2" t="s">
        <v>3602</v>
      </c>
      <c r="G1105" s="2" t="s">
        <v>3603</v>
      </c>
      <c r="H1105" s="2" t="s">
        <v>3604</v>
      </c>
      <c r="I1105" s="2" t="s">
        <v>3746</v>
      </c>
      <c r="J1105" s="2" t="s">
        <v>817</v>
      </c>
      <c r="K1105" s="2" t="s">
        <v>335</v>
      </c>
      <c r="L1105" s="3">
        <v>23.57</v>
      </c>
      <c r="M1105" s="3">
        <v>24.75</v>
      </c>
      <c r="N1105" s="3">
        <v>44.99</v>
      </c>
      <c r="O1105" s="2" t="s">
        <v>97</v>
      </c>
      <c r="P1105" s="2" t="s">
        <v>225</v>
      </c>
      <c r="Q1105" s="2" t="s">
        <v>99</v>
      </c>
      <c r="R1105" s="2" t="s">
        <v>100</v>
      </c>
      <c r="S1105" s="2" t="s">
        <v>3606</v>
      </c>
      <c r="T1105" s="2" t="s">
        <v>218</v>
      </c>
      <c r="U1105" s="2" t="s">
        <v>480</v>
      </c>
      <c r="V1105" s="2" t="s">
        <v>146</v>
      </c>
      <c r="W1105" s="2" t="s">
        <v>561</v>
      </c>
      <c r="X1105" s="2" t="s">
        <v>100</v>
      </c>
      <c r="Y1105" s="2" t="s">
        <v>3749</v>
      </c>
      <c r="Z1105" s="4">
        <v>182</v>
      </c>
      <c r="AA1105" s="4">
        <f>=ROUNDDOWN(56.875,0)</f>
      </c>
      <c r="AB1105" s="5">
        <v>3.2</v>
      </c>
      <c r="AC1105" s="2" t="s">
        <v>100</v>
      </c>
      <c r="AD1105" s="4"/>
      <c r="AE1105" s="4"/>
      <c r="AF1105" s="6">
        <v>63</v>
      </c>
      <c r="AG1105" s="6">
        <v>46</v>
      </c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13</v>
      </c>
      <c r="BK1105" s="8">
        <v>370.35</v>
      </c>
      <c r="BL1105" s="2" t="s">
        <v>3753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2480</v>
      </c>
      <c r="BV1105" s="2" t="s">
        <v>97</v>
      </c>
      <c r="BW1105" s="2" t="s">
        <v>100</v>
      </c>
      <c r="BX1105" s="2" t="s">
        <v>100</v>
      </c>
      <c r="BY1105" s="2" t="s">
        <v>113</v>
      </c>
      <c r="BZ1105" s="2" t="s">
        <v>245</v>
      </c>
    </row>
    <row r="1106">
      <c r="A1106" s="2" t="s">
        <v>3754</v>
      </c>
      <c r="B1106" s="2" t="s">
        <v>87</v>
      </c>
      <c r="C1106" s="2" t="s">
        <v>3413</v>
      </c>
      <c r="D1106" s="2" t="s">
        <v>1638</v>
      </c>
      <c r="E1106" s="2" t="s">
        <v>1639</v>
      </c>
      <c r="F1106" s="2" t="s">
        <v>3602</v>
      </c>
      <c r="G1106" s="2" t="s">
        <v>3603</v>
      </c>
      <c r="H1106" s="2" t="s">
        <v>3604</v>
      </c>
      <c r="I1106" s="2" t="s">
        <v>3746</v>
      </c>
      <c r="J1106" s="2" t="s">
        <v>237</v>
      </c>
      <c r="K1106" s="2" t="s">
        <v>2115</v>
      </c>
      <c r="L1106" s="3">
        <v>15.47</v>
      </c>
      <c r="M1106" s="3">
        <v>16.24</v>
      </c>
      <c r="N1106" s="3">
        <v>32.49</v>
      </c>
      <c r="O1106" s="2" t="s">
        <v>97</v>
      </c>
      <c r="P1106" s="2" t="s">
        <v>307</v>
      </c>
      <c r="Q1106" s="2" t="s">
        <v>99</v>
      </c>
      <c r="R1106" s="2" t="s">
        <v>100</v>
      </c>
      <c r="S1106" s="2" t="s">
        <v>3619</v>
      </c>
      <c r="T1106" s="2" t="s">
        <v>218</v>
      </c>
      <c r="U1106" s="2" t="s">
        <v>514</v>
      </c>
      <c r="V1106" s="2" t="s">
        <v>146</v>
      </c>
      <c r="W1106" s="2" t="s">
        <v>561</v>
      </c>
      <c r="X1106" s="2" t="s">
        <v>100</v>
      </c>
      <c r="Y1106" s="2" t="s">
        <v>3747</v>
      </c>
      <c r="Z1106" s="4">
        <v>96</v>
      </c>
      <c r="AA1106" s="4">
        <f>=ROUNDDOWN(8,0)</f>
      </c>
      <c r="AB1106" s="5">
        <v>12</v>
      </c>
      <c r="AC1106" s="2" t="s">
        <v>997</v>
      </c>
      <c r="AD1106" s="4">
        <v>60</v>
      </c>
      <c r="AE1106" s="4">
        <v>260</v>
      </c>
      <c r="AF1106" s="6">
        <v>63</v>
      </c>
      <c r="AG1106" s="6">
        <v>46</v>
      </c>
      <c r="AH1106" s="7">
        <v>0.6684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/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/>
      <c r="BJ1106" s="4">
        <v>476</v>
      </c>
      <c r="BK1106" s="8">
        <v>8299.42</v>
      </c>
      <c r="BL1106" s="2" t="s">
        <v>446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2480</v>
      </c>
      <c r="BV1106" s="2" t="s">
        <v>97</v>
      </c>
      <c r="BW1106" s="2" t="s">
        <v>100</v>
      </c>
      <c r="BX1106" s="2" t="s">
        <v>100</v>
      </c>
      <c r="BY1106" s="2" t="s">
        <v>113</v>
      </c>
      <c r="BZ1106" s="2" t="s">
        <v>245</v>
      </c>
    </row>
    <row r="1107">
      <c r="A1107" s="2" t="s">
        <v>3755</v>
      </c>
      <c r="B1107" s="2" t="s">
        <v>87</v>
      </c>
      <c r="C1107" s="2" t="s">
        <v>3413</v>
      </c>
      <c r="D1107" s="2" t="s">
        <v>1638</v>
      </c>
      <c r="E1107" s="2" t="s">
        <v>1639</v>
      </c>
      <c r="F1107" s="2" t="s">
        <v>3602</v>
      </c>
      <c r="G1107" s="2" t="s">
        <v>3603</v>
      </c>
      <c r="H1107" s="2" t="s">
        <v>3604</v>
      </c>
      <c r="I1107" s="2" t="s">
        <v>3746</v>
      </c>
      <c r="J1107" s="2" t="s">
        <v>717</v>
      </c>
      <c r="K1107" s="2" t="s">
        <v>2115</v>
      </c>
      <c r="L1107" s="3">
        <v>19.76</v>
      </c>
      <c r="M1107" s="3">
        <v>20.75</v>
      </c>
      <c r="N1107" s="3">
        <v>39.99</v>
      </c>
      <c r="O1107" s="2" t="s">
        <v>97</v>
      </c>
      <c r="P1107" s="2" t="s">
        <v>225</v>
      </c>
      <c r="Q1107" s="2" t="s">
        <v>99</v>
      </c>
      <c r="R1107" s="2" t="s">
        <v>100</v>
      </c>
      <c r="S1107" s="2" t="s">
        <v>3619</v>
      </c>
      <c r="T1107" s="2" t="s">
        <v>218</v>
      </c>
      <c r="U1107" s="2" t="s">
        <v>480</v>
      </c>
      <c r="V1107" s="2" t="s">
        <v>146</v>
      </c>
      <c r="W1107" s="2" t="s">
        <v>561</v>
      </c>
      <c r="X1107" s="2" t="s">
        <v>100</v>
      </c>
      <c r="Y1107" s="2" t="s">
        <v>3749</v>
      </c>
      <c r="Z1107" s="4">
        <v>277</v>
      </c>
      <c r="AA1107" s="4">
        <f>=ROUNDDOWN(43.28125,0)</f>
      </c>
      <c r="AB1107" s="5">
        <v>6.4</v>
      </c>
      <c r="AC1107" s="2" t="s">
        <v>1318</v>
      </c>
      <c r="AD1107" s="4">
        <v>200</v>
      </c>
      <c r="AE1107" s="4">
        <v>200</v>
      </c>
      <c r="AF1107" s="6">
        <v>63</v>
      </c>
      <c r="AG1107" s="6">
        <v>46</v>
      </c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/>
      <c r="BJ1107" s="4">
        <v>31</v>
      </c>
      <c r="BK1107" s="8">
        <v>628.6</v>
      </c>
      <c r="BL1107" s="2" t="s">
        <v>3756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2480</v>
      </c>
      <c r="BV1107" s="2" t="s">
        <v>97</v>
      </c>
      <c r="BW1107" s="2" t="s">
        <v>100</v>
      </c>
      <c r="BX1107" s="2" t="s">
        <v>100</v>
      </c>
      <c r="BY1107" s="2" t="s">
        <v>113</v>
      </c>
      <c r="BZ1107" s="2" t="s">
        <v>245</v>
      </c>
    </row>
    <row r="1108">
      <c r="A1108" s="2" t="s">
        <v>3757</v>
      </c>
      <c r="B1108" s="2" t="s">
        <v>87</v>
      </c>
      <c r="C1108" s="2" t="s">
        <v>3413</v>
      </c>
      <c r="D1108" s="2" t="s">
        <v>1638</v>
      </c>
      <c r="E1108" s="2" t="s">
        <v>1639</v>
      </c>
      <c r="F1108" s="2" t="s">
        <v>3602</v>
      </c>
      <c r="G1108" s="2" t="s">
        <v>3603</v>
      </c>
      <c r="H1108" s="2" t="s">
        <v>3604</v>
      </c>
      <c r="I1108" s="2" t="s">
        <v>3746</v>
      </c>
      <c r="J1108" s="2" t="s">
        <v>706</v>
      </c>
      <c r="K1108" s="2" t="s">
        <v>2115</v>
      </c>
      <c r="L1108" s="3">
        <v>20.23</v>
      </c>
      <c r="M1108" s="3">
        <v>21.24</v>
      </c>
      <c r="N1108" s="3">
        <v>42.49</v>
      </c>
      <c r="O1108" s="2" t="s">
        <v>97</v>
      </c>
      <c r="P1108" s="2" t="s">
        <v>307</v>
      </c>
      <c r="Q1108" s="2" t="s">
        <v>99</v>
      </c>
      <c r="R1108" s="2" t="s">
        <v>100</v>
      </c>
      <c r="S1108" s="2" t="s">
        <v>3619</v>
      </c>
      <c r="T1108" s="2" t="s">
        <v>218</v>
      </c>
      <c r="U1108" s="2" t="s">
        <v>480</v>
      </c>
      <c r="V1108" s="2" t="s">
        <v>146</v>
      </c>
      <c r="W1108" s="2" t="s">
        <v>561</v>
      </c>
      <c r="X1108" s="2" t="s">
        <v>100</v>
      </c>
      <c r="Y1108" s="2" t="s">
        <v>3747</v>
      </c>
      <c r="Z1108" s="4">
        <v>567</v>
      </c>
      <c r="AA1108" s="4">
        <f>=ROUNDDOWN(17.1818181818182,0)</f>
      </c>
      <c r="AB1108" s="5">
        <v>33</v>
      </c>
      <c r="AC1108" s="2" t="s">
        <v>241</v>
      </c>
      <c r="AD1108" s="4">
        <v>200</v>
      </c>
      <c r="AE1108" s="4">
        <v>1720</v>
      </c>
      <c r="AF1108" s="6">
        <v>63</v>
      </c>
      <c r="AG1108" s="6">
        <v>46</v>
      </c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1064</v>
      </c>
      <c r="BK1108" s="8">
        <v>23238.49</v>
      </c>
      <c r="BL1108" s="2" t="s">
        <v>446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2480</v>
      </c>
      <c r="BV1108" s="2" t="s">
        <v>97</v>
      </c>
      <c r="BW1108" s="2" t="s">
        <v>100</v>
      </c>
      <c r="BX1108" s="2" t="s">
        <v>100</v>
      </c>
      <c r="BY1108" s="2" t="s">
        <v>113</v>
      </c>
      <c r="BZ1108" s="2" t="s">
        <v>245</v>
      </c>
    </row>
    <row r="1109">
      <c r="A1109" s="2" t="s">
        <v>3758</v>
      </c>
      <c r="B1109" s="2" t="s">
        <v>87</v>
      </c>
      <c r="C1109" s="2" t="s">
        <v>3413</v>
      </c>
      <c r="D1109" s="2" t="s">
        <v>1638</v>
      </c>
      <c r="E1109" s="2" t="s">
        <v>1639</v>
      </c>
      <c r="F1109" s="2" t="s">
        <v>3602</v>
      </c>
      <c r="G1109" s="2" t="s">
        <v>3603</v>
      </c>
      <c r="H1109" s="2" t="s">
        <v>3604</v>
      </c>
      <c r="I1109" s="2" t="s">
        <v>3746</v>
      </c>
      <c r="J1109" s="2" t="s">
        <v>714</v>
      </c>
      <c r="K1109" s="2" t="s">
        <v>2115</v>
      </c>
      <c r="L1109" s="3">
        <v>22.61</v>
      </c>
      <c r="M1109" s="3">
        <v>23.74</v>
      </c>
      <c r="N1109" s="3">
        <v>47.49</v>
      </c>
      <c r="O1109" s="2" t="s">
        <v>97</v>
      </c>
      <c r="P1109" s="2" t="s">
        <v>307</v>
      </c>
      <c r="Q1109" s="2" t="s">
        <v>99</v>
      </c>
      <c r="R1109" s="2" t="s">
        <v>100</v>
      </c>
      <c r="S1109" s="2" t="s">
        <v>3619</v>
      </c>
      <c r="T1109" s="2" t="s">
        <v>218</v>
      </c>
      <c r="U1109" s="2" t="s">
        <v>480</v>
      </c>
      <c r="V1109" s="2" t="s">
        <v>146</v>
      </c>
      <c r="W1109" s="2" t="s">
        <v>561</v>
      </c>
      <c r="X1109" s="2" t="s">
        <v>100</v>
      </c>
      <c r="Y1109" s="2" t="s">
        <v>3747</v>
      </c>
      <c r="Z1109" s="4">
        <v>790</v>
      </c>
      <c r="AA1109" s="4">
        <f>=ROUNDDOWN(13.1666666666667,0)</f>
      </c>
      <c r="AB1109" s="5">
        <v>60</v>
      </c>
      <c r="AC1109" s="2" t="s">
        <v>241</v>
      </c>
      <c r="AD1109" s="4">
        <v>440</v>
      </c>
      <c r="AE1109" s="4">
        <v>2120</v>
      </c>
      <c r="AF1109" s="6">
        <v>63</v>
      </c>
      <c r="AG1109" s="6">
        <v>46</v>
      </c>
      <c r="AH1109" s="7">
        <v>0.8182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>
        <v>1466</v>
      </c>
      <c r="BK1109" s="8">
        <v>36178.35</v>
      </c>
      <c r="BL1109" s="2" t="s">
        <v>446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2480</v>
      </c>
      <c r="BV1109" s="2" t="s">
        <v>97</v>
      </c>
      <c r="BW1109" s="2" t="s">
        <v>100</v>
      </c>
      <c r="BX1109" s="2" t="s">
        <v>100</v>
      </c>
      <c r="BY1109" s="2" t="s">
        <v>113</v>
      </c>
      <c r="BZ1109" s="2" t="s">
        <v>245</v>
      </c>
    </row>
    <row r="1110">
      <c r="A1110" s="2" t="s">
        <v>3759</v>
      </c>
      <c r="B1110" s="2" t="s">
        <v>87</v>
      </c>
      <c r="C1110" s="2" t="s">
        <v>3413</v>
      </c>
      <c r="D1110" s="2" t="s">
        <v>1638</v>
      </c>
      <c r="E1110" s="2" t="s">
        <v>1639</v>
      </c>
      <c r="F1110" s="2" t="s">
        <v>3602</v>
      </c>
      <c r="G1110" s="2" t="s">
        <v>3603</v>
      </c>
      <c r="H1110" s="2" t="s">
        <v>3604</v>
      </c>
      <c r="I1110" s="2" t="s">
        <v>3746</v>
      </c>
      <c r="J1110" s="2" t="s">
        <v>817</v>
      </c>
      <c r="K1110" s="2" t="s">
        <v>2115</v>
      </c>
      <c r="L1110" s="3">
        <v>23.57</v>
      </c>
      <c r="M1110" s="3">
        <v>24.75</v>
      </c>
      <c r="N1110" s="3">
        <v>44.99</v>
      </c>
      <c r="O1110" s="2" t="s">
        <v>97</v>
      </c>
      <c r="P1110" s="2" t="s">
        <v>225</v>
      </c>
      <c r="Q1110" s="2" t="s">
        <v>99</v>
      </c>
      <c r="R1110" s="2" t="s">
        <v>100</v>
      </c>
      <c r="S1110" s="2" t="s">
        <v>3619</v>
      </c>
      <c r="T1110" s="2" t="s">
        <v>218</v>
      </c>
      <c r="U1110" s="2" t="s">
        <v>480</v>
      </c>
      <c r="V1110" s="2" t="s">
        <v>146</v>
      </c>
      <c r="W1110" s="2" t="s">
        <v>561</v>
      </c>
      <c r="X1110" s="2" t="s">
        <v>100</v>
      </c>
      <c r="Y1110" s="2" t="s">
        <v>3749</v>
      </c>
      <c r="Z1110" s="4">
        <v>278</v>
      </c>
      <c r="AA1110" s="4">
        <f>=ROUNDDOWN(40.2898550724638,0)</f>
      </c>
      <c r="AB1110" s="5">
        <v>6.9</v>
      </c>
      <c r="AC1110" s="2" t="s">
        <v>1318</v>
      </c>
      <c r="AD1110" s="4">
        <v>280</v>
      </c>
      <c r="AE1110" s="4">
        <v>600</v>
      </c>
      <c r="AF1110" s="6">
        <v>63</v>
      </c>
      <c r="AG1110" s="6">
        <v>46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34</v>
      </c>
      <c r="BK1110" s="8">
        <v>971.68</v>
      </c>
      <c r="BL1110" s="2" t="s">
        <v>3753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2480</v>
      </c>
      <c r="BV1110" s="2" t="s">
        <v>97</v>
      </c>
      <c r="BW1110" s="2" t="s">
        <v>100</v>
      </c>
      <c r="BX1110" s="2" t="s">
        <v>100</v>
      </c>
      <c r="BY1110" s="2" t="s">
        <v>113</v>
      </c>
      <c r="BZ1110" s="2" t="s">
        <v>245</v>
      </c>
    </row>
    <row r="1111">
      <c r="A1111" s="2" t="s">
        <v>3760</v>
      </c>
      <c r="B1111" s="2" t="s">
        <v>87</v>
      </c>
      <c r="C1111" s="2" t="s">
        <v>3413</v>
      </c>
      <c r="D1111" s="2" t="s">
        <v>1638</v>
      </c>
      <c r="E1111" s="2" t="s">
        <v>1639</v>
      </c>
      <c r="F1111" s="2" t="s">
        <v>3602</v>
      </c>
      <c r="G1111" s="2" t="s">
        <v>3603</v>
      </c>
      <c r="H1111" s="2" t="s">
        <v>3604</v>
      </c>
      <c r="I1111" s="2" t="s">
        <v>3746</v>
      </c>
      <c r="J1111" s="2" t="s">
        <v>237</v>
      </c>
      <c r="K1111" s="2" t="s">
        <v>432</v>
      </c>
      <c r="L1111" s="3">
        <v>15.47</v>
      </c>
      <c r="M1111" s="3">
        <v>16.24</v>
      </c>
      <c r="N1111" s="3">
        <v>32.49</v>
      </c>
      <c r="O1111" s="2" t="s">
        <v>97</v>
      </c>
      <c r="P1111" s="2" t="s">
        <v>307</v>
      </c>
      <c r="Q1111" s="2" t="s">
        <v>99</v>
      </c>
      <c r="R1111" s="2" t="s">
        <v>100</v>
      </c>
      <c r="S1111" s="2" t="s">
        <v>3628</v>
      </c>
      <c r="T1111" s="2" t="s">
        <v>218</v>
      </c>
      <c r="U1111" s="2" t="s">
        <v>514</v>
      </c>
      <c r="V1111" s="2" t="s">
        <v>146</v>
      </c>
      <c r="W1111" s="2" t="s">
        <v>561</v>
      </c>
      <c r="X1111" s="2" t="s">
        <v>100</v>
      </c>
      <c r="Y1111" s="2" t="s">
        <v>3747</v>
      </c>
      <c r="Z1111" s="4">
        <v>194</v>
      </c>
      <c r="AA1111" s="4">
        <f>=ROUNDDOWN(24.25,0)</f>
      </c>
      <c r="AB1111" s="5">
        <v>8</v>
      </c>
      <c r="AC1111" s="2" t="s">
        <v>100</v>
      </c>
      <c r="AD1111" s="4"/>
      <c r="AE1111" s="4"/>
      <c r="AF1111" s="6">
        <v>63</v>
      </c>
      <c r="AG1111" s="6">
        <v>46</v>
      </c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212</v>
      </c>
      <c r="BK1111" s="8">
        <v>3697.87</v>
      </c>
      <c r="BL1111" s="2" t="s">
        <v>529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2480</v>
      </c>
      <c r="BV1111" s="2" t="s">
        <v>97</v>
      </c>
      <c r="BW1111" s="2" t="s">
        <v>100</v>
      </c>
      <c r="BX1111" s="2" t="s">
        <v>100</v>
      </c>
      <c r="BY1111" s="2" t="s">
        <v>113</v>
      </c>
      <c r="BZ1111" s="2" t="s">
        <v>245</v>
      </c>
    </row>
    <row r="1112">
      <c r="A1112" s="2" t="s">
        <v>3761</v>
      </c>
      <c r="B1112" s="2" t="s">
        <v>87</v>
      </c>
      <c r="C1112" s="2" t="s">
        <v>3413</v>
      </c>
      <c r="D1112" s="2" t="s">
        <v>1638</v>
      </c>
      <c r="E1112" s="2" t="s">
        <v>1639</v>
      </c>
      <c r="F1112" s="2" t="s">
        <v>3602</v>
      </c>
      <c r="G1112" s="2" t="s">
        <v>3603</v>
      </c>
      <c r="H1112" s="2" t="s">
        <v>3604</v>
      </c>
      <c r="I1112" s="2" t="s">
        <v>3746</v>
      </c>
      <c r="J1112" s="2" t="s">
        <v>717</v>
      </c>
      <c r="K1112" s="2" t="s">
        <v>432</v>
      </c>
      <c r="L1112" s="3">
        <v>19.76</v>
      </c>
      <c r="M1112" s="3">
        <v>20.75</v>
      </c>
      <c r="N1112" s="3">
        <v>39.99</v>
      </c>
      <c r="O1112" s="2" t="s">
        <v>97</v>
      </c>
      <c r="P1112" s="2" t="s">
        <v>225</v>
      </c>
      <c r="Q1112" s="2" t="s">
        <v>99</v>
      </c>
      <c r="R1112" s="2" t="s">
        <v>100</v>
      </c>
      <c r="S1112" s="2" t="s">
        <v>3628</v>
      </c>
      <c r="T1112" s="2" t="s">
        <v>218</v>
      </c>
      <c r="U1112" s="2" t="s">
        <v>480</v>
      </c>
      <c r="V1112" s="2" t="s">
        <v>146</v>
      </c>
      <c r="W1112" s="2" t="s">
        <v>561</v>
      </c>
      <c r="X1112" s="2" t="s">
        <v>100</v>
      </c>
      <c r="Y1112" s="2" t="s">
        <v>3749</v>
      </c>
      <c r="Z1112" s="4">
        <v>146</v>
      </c>
      <c r="AA1112" s="4">
        <f>=ROUNDDOWN(104.285714285714,0)</f>
      </c>
      <c r="AB1112" s="5">
        <v>1.4</v>
      </c>
      <c r="AC1112" s="2" t="s">
        <v>356</v>
      </c>
      <c r="AD1112" s="4">
        <v>16</v>
      </c>
      <c r="AE1112" s="4">
        <v>16</v>
      </c>
      <c r="AF1112" s="6">
        <v>63</v>
      </c>
      <c r="AG1112" s="6">
        <v>46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8</v>
      </c>
      <c r="BK1112" s="8">
        <v>163.88</v>
      </c>
      <c r="BL1112" s="2" t="s">
        <v>1230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2480</v>
      </c>
      <c r="BV1112" s="2" t="s">
        <v>97</v>
      </c>
      <c r="BW1112" s="2" t="s">
        <v>100</v>
      </c>
      <c r="BX1112" s="2" t="s">
        <v>100</v>
      </c>
      <c r="BY1112" s="2" t="s">
        <v>113</v>
      </c>
      <c r="BZ1112" s="2" t="s">
        <v>245</v>
      </c>
    </row>
    <row r="1113">
      <c r="A1113" s="2" t="s">
        <v>3762</v>
      </c>
      <c r="B1113" s="2" t="s">
        <v>87</v>
      </c>
      <c r="C1113" s="2" t="s">
        <v>3413</v>
      </c>
      <c r="D1113" s="2" t="s">
        <v>1638</v>
      </c>
      <c r="E1113" s="2" t="s">
        <v>1639</v>
      </c>
      <c r="F1113" s="2" t="s">
        <v>3602</v>
      </c>
      <c r="G1113" s="2" t="s">
        <v>3603</v>
      </c>
      <c r="H1113" s="2" t="s">
        <v>3604</v>
      </c>
      <c r="I1113" s="2" t="s">
        <v>3746</v>
      </c>
      <c r="J1113" s="2" t="s">
        <v>706</v>
      </c>
      <c r="K1113" s="2" t="s">
        <v>432</v>
      </c>
      <c r="L1113" s="3">
        <v>20.23</v>
      </c>
      <c r="M1113" s="3">
        <v>21.24</v>
      </c>
      <c r="N1113" s="3">
        <v>42.49</v>
      </c>
      <c r="O1113" s="2" t="s">
        <v>97</v>
      </c>
      <c r="P1113" s="2" t="s">
        <v>307</v>
      </c>
      <c r="Q1113" s="2" t="s">
        <v>99</v>
      </c>
      <c r="R1113" s="2" t="s">
        <v>100</v>
      </c>
      <c r="S1113" s="2" t="s">
        <v>3628</v>
      </c>
      <c r="T1113" s="2" t="s">
        <v>218</v>
      </c>
      <c r="U1113" s="2" t="s">
        <v>480</v>
      </c>
      <c r="V1113" s="2" t="s">
        <v>146</v>
      </c>
      <c r="W1113" s="2" t="s">
        <v>561</v>
      </c>
      <c r="X1113" s="2" t="s">
        <v>100</v>
      </c>
      <c r="Y1113" s="2" t="s">
        <v>3747</v>
      </c>
      <c r="Z1113" s="4">
        <v>510</v>
      </c>
      <c r="AA1113" s="4">
        <f>=ROUNDDOWN(28.3333333333333,0)</f>
      </c>
      <c r="AB1113" s="5">
        <v>18</v>
      </c>
      <c r="AC1113" s="2" t="s">
        <v>100</v>
      </c>
      <c r="AD1113" s="4"/>
      <c r="AE1113" s="4"/>
      <c r="AF1113" s="6">
        <v>63</v>
      </c>
      <c r="AG1113" s="6">
        <v>46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456</v>
      </c>
      <c r="BK1113" s="8">
        <v>9919.32</v>
      </c>
      <c r="BL1113" s="2" t="s">
        <v>446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2480</v>
      </c>
      <c r="BV1113" s="2" t="s">
        <v>97</v>
      </c>
      <c r="BW1113" s="2" t="s">
        <v>100</v>
      </c>
      <c r="BX1113" s="2" t="s">
        <v>100</v>
      </c>
      <c r="BY1113" s="2" t="s">
        <v>113</v>
      </c>
      <c r="BZ1113" s="2" t="s">
        <v>245</v>
      </c>
    </row>
    <row r="1114">
      <c r="A1114" s="2" t="s">
        <v>3763</v>
      </c>
      <c r="B1114" s="2" t="s">
        <v>87</v>
      </c>
      <c r="C1114" s="2" t="s">
        <v>3413</v>
      </c>
      <c r="D1114" s="2" t="s">
        <v>1638</v>
      </c>
      <c r="E1114" s="2" t="s">
        <v>1639</v>
      </c>
      <c r="F1114" s="2" t="s">
        <v>3602</v>
      </c>
      <c r="G1114" s="2" t="s">
        <v>3603</v>
      </c>
      <c r="H1114" s="2" t="s">
        <v>3604</v>
      </c>
      <c r="I1114" s="2" t="s">
        <v>3746</v>
      </c>
      <c r="J1114" s="2" t="s">
        <v>714</v>
      </c>
      <c r="K1114" s="2" t="s">
        <v>432</v>
      </c>
      <c r="L1114" s="3">
        <v>22.61</v>
      </c>
      <c r="M1114" s="3">
        <v>23.74</v>
      </c>
      <c r="N1114" s="3">
        <v>47.49</v>
      </c>
      <c r="O1114" s="2" t="s">
        <v>97</v>
      </c>
      <c r="P1114" s="2" t="s">
        <v>307</v>
      </c>
      <c r="Q1114" s="2" t="s">
        <v>99</v>
      </c>
      <c r="R1114" s="2" t="s">
        <v>100</v>
      </c>
      <c r="S1114" s="2" t="s">
        <v>3628</v>
      </c>
      <c r="T1114" s="2" t="s">
        <v>218</v>
      </c>
      <c r="U1114" s="2" t="s">
        <v>480</v>
      </c>
      <c r="V1114" s="2" t="s">
        <v>146</v>
      </c>
      <c r="W1114" s="2" t="s">
        <v>561</v>
      </c>
      <c r="X1114" s="2" t="s">
        <v>100</v>
      </c>
      <c r="Y1114" s="2" t="s">
        <v>3747</v>
      </c>
      <c r="Z1114" s="4">
        <v>730</v>
      </c>
      <c r="AA1114" s="4">
        <f>=ROUNDDOWN(81.1111111111111,0)</f>
      </c>
      <c r="AB1114" s="5">
        <v>9</v>
      </c>
      <c r="AC1114" s="2" t="s">
        <v>100</v>
      </c>
      <c r="AD1114" s="4"/>
      <c r="AE1114" s="4"/>
      <c r="AF1114" s="6">
        <v>63</v>
      </c>
      <c r="AG1114" s="6">
        <v>46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347</v>
      </c>
      <c r="BK1114" s="8">
        <v>8469.14</v>
      </c>
      <c r="BL1114" s="2" t="s">
        <v>446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2480</v>
      </c>
      <c r="BV1114" s="2" t="s">
        <v>97</v>
      </c>
      <c r="BW1114" s="2" t="s">
        <v>100</v>
      </c>
      <c r="BX1114" s="2" t="s">
        <v>100</v>
      </c>
      <c r="BY1114" s="2" t="s">
        <v>113</v>
      </c>
      <c r="BZ1114" s="2" t="s">
        <v>245</v>
      </c>
    </row>
    <row r="1115">
      <c r="A1115" s="2" t="s">
        <v>3764</v>
      </c>
      <c r="B1115" s="2" t="s">
        <v>87</v>
      </c>
      <c r="C1115" s="2" t="s">
        <v>3413</v>
      </c>
      <c r="D1115" s="2" t="s">
        <v>1638</v>
      </c>
      <c r="E1115" s="2" t="s">
        <v>1639</v>
      </c>
      <c r="F1115" s="2" t="s">
        <v>3602</v>
      </c>
      <c r="G1115" s="2" t="s">
        <v>3603</v>
      </c>
      <c r="H1115" s="2" t="s">
        <v>3604</v>
      </c>
      <c r="I1115" s="2" t="s">
        <v>3746</v>
      </c>
      <c r="J1115" s="2" t="s">
        <v>817</v>
      </c>
      <c r="K1115" s="2" t="s">
        <v>432</v>
      </c>
      <c r="L1115" s="3">
        <v>23.57</v>
      </c>
      <c r="M1115" s="3">
        <v>24.75</v>
      </c>
      <c r="N1115" s="3">
        <v>44.99</v>
      </c>
      <c r="O1115" s="2" t="s">
        <v>97</v>
      </c>
      <c r="P1115" s="2" t="s">
        <v>225</v>
      </c>
      <c r="Q1115" s="2" t="s">
        <v>99</v>
      </c>
      <c r="R1115" s="2" t="s">
        <v>100</v>
      </c>
      <c r="S1115" s="2" t="s">
        <v>3628</v>
      </c>
      <c r="T1115" s="2" t="s">
        <v>218</v>
      </c>
      <c r="U1115" s="2" t="s">
        <v>480</v>
      </c>
      <c r="V1115" s="2" t="s">
        <v>146</v>
      </c>
      <c r="W1115" s="2" t="s">
        <v>561</v>
      </c>
      <c r="X1115" s="2" t="s">
        <v>100</v>
      </c>
      <c r="Y1115" s="2" t="s">
        <v>3749</v>
      </c>
      <c r="Z1115" s="4">
        <v>132</v>
      </c>
      <c r="AA1115" s="4">
        <f>=ROUNDDOWN(146.666666666667,0)</f>
      </c>
      <c r="AB1115" s="5">
        <v>0.9</v>
      </c>
      <c r="AC1115" s="2" t="s">
        <v>100</v>
      </c>
      <c r="AD1115" s="4"/>
      <c r="AE1115" s="4"/>
      <c r="AF1115" s="6">
        <v>63</v>
      </c>
      <c r="AG1115" s="6">
        <v>46</v>
      </c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5</v>
      </c>
      <c r="BK1115" s="8">
        <v>143.65</v>
      </c>
      <c r="BL1115" s="2" t="s">
        <v>3765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2480</v>
      </c>
      <c r="BV1115" s="2" t="s">
        <v>97</v>
      </c>
      <c r="BW1115" s="2" t="s">
        <v>100</v>
      </c>
      <c r="BX1115" s="2" t="s">
        <v>100</v>
      </c>
      <c r="BY1115" s="2" t="s">
        <v>113</v>
      </c>
      <c r="BZ1115" s="2" t="s">
        <v>245</v>
      </c>
    </row>
    <row r="1116">
      <c r="A1116" s="2" t="s">
        <v>3766</v>
      </c>
      <c r="B1116" s="2" t="s">
        <v>87</v>
      </c>
      <c r="C1116" s="2" t="s">
        <v>3413</v>
      </c>
      <c r="D1116" s="2" t="s">
        <v>1638</v>
      </c>
      <c r="E1116" s="2" t="s">
        <v>1639</v>
      </c>
      <c r="F1116" s="2" t="s">
        <v>3602</v>
      </c>
      <c r="G1116" s="2" t="s">
        <v>3603</v>
      </c>
      <c r="H1116" s="2" t="s">
        <v>3604</v>
      </c>
      <c r="I1116" s="2" t="s">
        <v>3746</v>
      </c>
      <c r="J1116" s="2" t="s">
        <v>237</v>
      </c>
      <c r="K1116" s="2" t="s">
        <v>3638</v>
      </c>
      <c r="L1116" s="3">
        <v>15.47</v>
      </c>
      <c r="M1116" s="3">
        <v>16.24</v>
      </c>
      <c r="N1116" s="3">
        <v>29.99</v>
      </c>
      <c r="O1116" s="2" t="s">
        <v>97</v>
      </c>
      <c r="P1116" s="2" t="s">
        <v>225</v>
      </c>
      <c r="Q1116" s="2" t="s">
        <v>99</v>
      </c>
      <c r="R1116" s="2" t="s">
        <v>100</v>
      </c>
      <c r="S1116" s="2" t="s">
        <v>3639</v>
      </c>
      <c r="T1116" s="2" t="s">
        <v>218</v>
      </c>
      <c r="U1116" s="2" t="s">
        <v>514</v>
      </c>
      <c r="V1116" s="2" t="s">
        <v>146</v>
      </c>
      <c r="W1116" s="2" t="s">
        <v>561</v>
      </c>
      <c r="X1116" s="2" t="s">
        <v>100</v>
      </c>
      <c r="Y1116" s="2" t="s">
        <v>3667</v>
      </c>
      <c r="Z1116" s="4">
        <v>52</v>
      </c>
      <c r="AA1116" s="4">
        <f>=ROUNDDOWN(13,0)</f>
      </c>
      <c r="AB1116" s="5">
        <v>4</v>
      </c>
      <c r="AC1116" s="2" t="s">
        <v>205</v>
      </c>
      <c r="AD1116" s="4">
        <v>20</v>
      </c>
      <c r="AE1116" s="4">
        <v>20</v>
      </c>
      <c r="AF1116" s="6">
        <v>63</v>
      </c>
      <c r="AG1116" s="6">
        <v>46</v>
      </c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88</v>
      </c>
      <c r="BK1116" s="8">
        <v>1522.04</v>
      </c>
      <c r="BL1116" s="2" t="s">
        <v>1593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2480</v>
      </c>
      <c r="BV1116" s="2" t="s">
        <v>97</v>
      </c>
      <c r="BW1116" s="2" t="s">
        <v>100</v>
      </c>
      <c r="BX1116" s="2" t="s">
        <v>100</v>
      </c>
      <c r="BY1116" s="2" t="s">
        <v>113</v>
      </c>
      <c r="BZ1116" s="2" t="s">
        <v>245</v>
      </c>
    </row>
    <row r="1117">
      <c r="A1117" s="2" t="s">
        <v>3767</v>
      </c>
      <c r="B1117" s="2" t="s">
        <v>87</v>
      </c>
      <c r="C1117" s="2" t="s">
        <v>3413</v>
      </c>
      <c r="D1117" s="2" t="s">
        <v>1638</v>
      </c>
      <c r="E1117" s="2" t="s">
        <v>1639</v>
      </c>
      <c r="F1117" s="2" t="s">
        <v>3602</v>
      </c>
      <c r="G1117" s="2" t="s">
        <v>3603</v>
      </c>
      <c r="H1117" s="2" t="s">
        <v>3604</v>
      </c>
      <c r="I1117" s="2" t="s">
        <v>3746</v>
      </c>
      <c r="J1117" s="2" t="s">
        <v>717</v>
      </c>
      <c r="K1117" s="2" t="s">
        <v>3638</v>
      </c>
      <c r="L1117" s="3">
        <v>19.76</v>
      </c>
      <c r="M1117" s="3">
        <v>20.75</v>
      </c>
      <c r="N1117" s="3">
        <v>39.99</v>
      </c>
      <c r="O1117" s="2" t="s">
        <v>97</v>
      </c>
      <c r="P1117" s="2" t="s">
        <v>225</v>
      </c>
      <c r="Q1117" s="2" t="s">
        <v>99</v>
      </c>
      <c r="R1117" s="2" t="s">
        <v>100</v>
      </c>
      <c r="S1117" s="2" t="s">
        <v>3639</v>
      </c>
      <c r="T1117" s="2" t="s">
        <v>218</v>
      </c>
      <c r="U1117" s="2" t="s">
        <v>480</v>
      </c>
      <c r="V1117" s="2" t="s">
        <v>146</v>
      </c>
      <c r="W1117" s="2" t="s">
        <v>561</v>
      </c>
      <c r="X1117" s="2" t="s">
        <v>100</v>
      </c>
      <c r="Y1117" s="2" t="s">
        <v>3631</v>
      </c>
      <c r="Z1117" s="4">
        <v>135</v>
      </c>
      <c r="AA1117" s="4">
        <f>=ROUNDDOWN(36.4864864864865,0)</f>
      </c>
      <c r="AB1117" s="5">
        <v>3.7</v>
      </c>
      <c r="AC1117" s="2" t="s">
        <v>100</v>
      </c>
      <c r="AD1117" s="4"/>
      <c r="AE1117" s="4"/>
      <c r="AF1117" s="6">
        <v>63</v>
      </c>
      <c r="AG1117" s="6">
        <v>46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48</v>
      </c>
      <c r="BK1117" s="8">
        <v>1037.35</v>
      </c>
      <c r="BL1117" s="2" t="s">
        <v>3768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2480</v>
      </c>
      <c r="BV1117" s="2" t="s">
        <v>97</v>
      </c>
      <c r="BW1117" s="2" t="s">
        <v>100</v>
      </c>
      <c r="BX1117" s="2" t="s">
        <v>100</v>
      </c>
      <c r="BY1117" s="2" t="s">
        <v>113</v>
      </c>
      <c r="BZ1117" s="2" t="s">
        <v>245</v>
      </c>
    </row>
    <row r="1118">
      <c r="A1118" s="2" t="s">
        <v>3769</v>
      </c>
      <c r="B1118" s="2" t="s">
        <v>87</v>
      </c>
      <c r="C1118" s="2" t="s">
        <v>3413</v>
      </c>
      <c r="D1118" s="2" t="s">
        <v>1638</v>
      </c>
      <c r="E1118" s="2" t="s">
        <v>1639</v>
      </c>
      <c r="F1118" s="2" t="s">
        <v>3602</v>
      </c>
      <c r="G1118" s="2" t="s">
        <v>3603</v>
      </c>
      <c r="H1118" s="2" t="s">
        <v>3604</v>
      </c>
      <c r="I1118" s="2" t="s">
        <v>3746</v>
      </c>
      <c r="J1118" s="2" t="s">
        <v>706</v>
      </c>
      <c r="K1118" s="2" t="s">
        <v>3638</v>
      </c>
      <c r="L1118" s="3">
        <v>20.23</v>
      </c>
      <c r="M1118" s="3">
        <v>21.24</v>
      </c>
      <c r="N1118" s="3">
        <v>39.99</v>
      </c>
      <c r="O1118" s="2" t="s">
        <v>97</v>
      </c>
      <c r="P1118" s="2" t="s">
        <v>225</v>
      </c>
      <c r="Q1118" s="2" t="s">
        <v>99</v>
      </c>
      <c r="R1118" s="2" t="s">
        <v>100</v>
      </c>
      <c r="S1118" s="2" t="s">
        <v>3639</v>
      </c>
      <c r="T1118" s="2" t="s">
        <v>218</v>
      </c>
      <c r="U1118" s="2" t="s">
        <v>480</v>
      </c>
      <c r="V1118" s="2" t="s">
        <v>146</v>
      </c>
      <c r="W1118" s="2" t="s">
        <v>561</v>
      </c>
      <c r="X1118" s="2" t="s">
        <v>100</v>
      </c>
      <c r="Y1118" s="2" t="s">
        <v>3667</v>
      </c>
      <c r="Z1118" s="4">
        <v>188</v>
      </c>
      <c r="AA1118" s="4">
        <f>=ROUNDDOWN(6.04501607717042,0)</f>
      </c>
      <c r="AB1118" s="5">
        <v>31.1</v>
      </c>
      <c r="AC1118" s="2" t="s">
        <v>205</v>
      </c>
      <c r="AD1118" s="4">
        <v>92</v>
      </c>
      <c r="AE1118" s="4">
        <v>456</v>
      </c>
      <c r="AF1118" s="6">
        <v>63</v>
      </c>
      <c r="AG1118" s="6">
        <v>46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310</v>
      </c>
      <c r="BK1118" s="8">
        <v>6856.02</v>
      </c>
      <c r="BL1118" s="2" t="s">
        <v>3665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2480</v>
      </c>
      <c r="BV1118" s="2" t="s">
        <v>97</v>
      </c>
      <c r="BW1118" s="2" t="s">
        <v>100</v>
      </c>
      <c r="BX1118" s="2" t="s">
        <v>100</v>
      </c>
      <c r="BY1118" s="2" t="s">
        <v>113</v>
      </c>
      <c r="BZ1118" s="2" t="s">
        <v>245</v>
      </c>
    </row>
    <row r="1119">
      <c r="A1119" s="2" t="s">
        <v>3770</v>
      </c>
      <c r="B1119" s="2" t="s">
        <v>87</v>
      </c>
      <c r="C1119" s="2" t="s">
        <v>3413</v>
      </c>
      <c r="D1119" s="2" t="s">
        <v>1638</v>
      </c>
      <c r="E1119" s="2" t="s">
        <v>1639</v>
      </c>
      <c r="F1119" s="2" t="s">
        <v>3602</v>
      </c>
      <c r="G1119" s="2" t="s">
        <v>3603</v>
      </c>
      <c r="H1119" s="2" t="s">
        <v>3604</v>
      </c>
      <c r="I1119" s="2" t="s">
        <v>3746</v>
      </c>
      <c r="J1119" s="2" t="s">
        <v>714</v>
      </c>
      <c r="K1119" s="2" t="s">
        <v>3638</v>
      </c>
      <c r="L1119" s="3">
        <v>22.61</v>
      </c>
      <c r="M1119" s="3">
        <v>23.74</v>
      </c>
      <c r="N1119" s="3">
        <v>44.99</v>
      </c>
      <c r="O1119" s="2" t="s">
        <v>97</v>
      </c>
      <c r="P1119" s="2" t="s">
        <v>225</v>
      </c>
      <c r="Q1119" s="2" t="s">
        <v>99</v>
      </c>
      <c r="R1119" s="2" t="s">
        <v>100</v>
      </c>
      <c r="S1119" s="2" t="s">
        <v>3639</v>
      </c>
      <c r="T1119" s="2" t="s">
        <v>218</v>
      </c>
      <c r="U1119" s="2" t="s">
        <v>480</v>
      </c>
      <c r="V1119" s="2" t="s">
        <v>146</v>
      </c>
      <c r="W1119" s="2" t="s">
        <v>561</v>
      </c>
      <c r="X1119" s="2" t="s">
        <v>100</v>
      </c>
      <c r="Y1119" s="2" t="s">
        <v>3667</v>
      </c>
      <c r="Z1119" s="4">
        <v>115</v>
      </c>
      <c r="AA1119" s="4">
        <f>=ROUNDDOWN(3.74592833876222,0)</f>
      </c>
      <c r="AB1119" s="5">
        <v>30.7</v>
      </c>
      <c r="AC1119" s="2" t="s">
        <v>205</v>
      </c>
      <c r="AD1119" s="4">
        <v>128</v>
      </c>
      <c r="AE1119" s="4">
        <v>372</v>
      </c>
      <c r="AF1119" s="6">
        <v>63</v>
      </c>
      <c r="AG1119" s="6">
        <v>46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298</v>
      </c>
      <c r="BK1119" s="8">
        <v>7211.68</v>
      </c>
      <c r="BL1119" s="2" t="s">
        <v>3648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2480</v>
      </c>
      <c r="BV1119" s="2" t="s">
        <v>97</v>
      </c>
      <c r="BW1119" s="2" t="s">
        <v>100</v>
      </c>
      <c r="BX1119" s="2" t="s">
        <v>100</v>
      </c>
      <c r="BY1119" s="2" t="s">
        <v>113</v>
      </c>
      <c r="BZ1119" s="2" t="s">
        <v>245</v>
      </c>
    </row>
    <row r="1120">
      <c r="A1120" s="2" t="s">
        <v>3771</v>
      </c>
      <c r="B1120" s="2" t="s">
        <v>87</v>
      </c>
      <c r="C1120" s="2" t="s">
        <v>3413</v>
      </c>
      <c r="D1120" s="2" t="s">
        <v>1638</v>
      </c>
      <c r="E1120" s="2" t="s">
        <v>1639</v>
      </c>
      <c r="F1120" s="2" t="s">
        <v>3602</v>
      </c>
      <c r="G1120" s="2" t="s">
        <v>3603</v>
      </c>
      <c r="H1120" s="2" t="s">
        <v>3604</v>
      </c>
      <c r="I1120" s="2" t="s">
        <v>3746</v>
      </c>
      <c r="J1120" s="2" t="s">
        <v>817</v>
      </c>
      <c r="K1120" s="2" t="s">
        <v>3638</v>
      </c>
      <c r="L1120" s="3">
        <v>23.57</v>
      </c>
      <c r="M1120" s="3">
        <v>24.75</v>
      </c>
      <c r="N1120" s="3">
        <v>44.99</v>
      </c>
      <c r="O1120" s="2" t="s">
        <v>97</v>
      </c>
      <c r="P1120" s="2" t="s">
        <v>225</v>
      </c>
      <c r="Q1120" s="2" t="s">
        <v>99</v>
      </c>
      <c r="R1120" s="2" t="s">
        <v>100</v>
      </c>
      <c r="S1120" s="2" t="s">
        <v>3639</v>
      </c>
      <c r="T1120" s="2" t="s">
        <v>218</v>
      </c>
      <c r="U1120" s="2" t="s">
        <v>480</v>
      </c>
      <c r="V1120" s="2" t="s">
        <v>146</v>
      </c>
      <c r="W1120" s="2" t="s">
        <v>561</v>
      </c>
      <c r="X1120" s="2" t="s">
        <v>100</v>
      </c>
      <c r="Y1120" s="2" t="s">
        <v>3631</v>
      </c>
      <c r="Z1120" s="4">
        <v>2</v>
      </c>
      <c r="AA1120" s="4">
        <f>=ROUNDDOWN(0.192307692307692,0)</f>
      </c>
      <c r="AB1120" s="5">
        <v>10.4</v>
      </c>
      <c r="AC1120" s="2" t="s">
        <v>356</v>
      </c>
      <c r="AD1120" s="4">
        <v>152</v>
      </c>
      <c r="AE1120" s="4">
        <v>152</v>
      </c>
      <c r="AF1120" s="6">
        <v>63</v>
      </c>
      <c r="AG1120" s="6">
        <v>46</v>
      </c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92</v>
      </c>
      <c r="BK1120" s="8">
        <v>2397.5</v>
      </c>
      <c r="BL1120" s="2" t="s">
        <v>3772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2480</v>
      </c>
      <c r="BV1120" s="2" t="s">
        <v>97</v>
      </c>
      <c r="BW1120" s="2" t="s">
        <v>100</v>
      </c>
      <c r="BX1120" s="2" t="s">
        <v>100</v>
      </c>
      <c r="BY1120" s="2" t="s">
        <v>113</v>
      </c>
      <c r="BZ1120" s="2" t="s">
        <v>245</v>
      </c>
    </row>
    <row r="1121">
      <c r="A1121" s="2" t="s">
        <v>3773</v>
      </c>
      <c r="B1121" s="2" t="s">
        <v>87</v>
      </c>
      <c r="C1121" s="2" t="s">
        <v>3413</v>
      </c>
      <c r="D1121" s="2" t="s">
        <v>1638</v>
      </c>
      <c r="E1121" s="2" t="s">
        <v>1639</v>
      </c>
      <c r="F1121" s="2" t="s">
        <v>3602</v>
      </c>
      <c r="G1121" s="2" t="s">
        <v>3603</v>
      </c>
      <c r="H1121" s="2" t="s">
        <v>3604</v>
      </c>
      <c r="I1121" s="2" t="s">
        <v>3746</v>
      </c>
      <c r="J1121" s="2" t="s">
        <v>237</v>
      </c>
      <c r="K1121" s="2" t="s">
        <v>198</v>
      </c>
      <c r="L1121" s="3">
        <v>15.47</v>
      </c>
      <c r="M1121" s="3">
        <v>16.24</v>
      </c>
      <c r="N1121" s="3">
        <v>32.49</v>
      </c>
      <c r="O1121" s="2" t="s">
        <v>97</v>
      </c>
      <c r="P1121" s="2" t="s">
        <v>307</v>
      </c>
      <c r="Q1121" s="2" t="s">
        <v>99</v>
      </c>
      <c r="R1121" s="2" t="s">
        <v>100</v>
      </c>
      <c r="S1121" s="2" t="s">
        <v>3652</v>
      </c>
      <c r="T1121" s="2" t="s">
        <v>218</v>
      </c>
      <c r="U1121" s="2" t="s">
        <v>514</v>
      </c>
      <c r="V1121" s="2" t="s">
        <v>146</v>
      </c>
      <c r="W1121" s="2" t="s">
        <v>561</v>
      </c>
      <c r="X1121" s="2" t="s">
        <v>100</v>
      </c>
      <c r="Y1121" s="2" t="s">
        <v>3437</v>
      </c>
      <c r="Z1121" s="4">
        <v>206</v>
      </c>
      <c r="AA1121" s="4">
        <f>=ROUNDDOWN(29.4285714285714,0)</f>
      </c>
      <c r="AB1121" s="5">
        <v>7</v>
      </c>
      <c r="AC1121" s="2" t="s">
        <v>3015</v>
      </c>
      <c r="AD1121" s="4">
        <v>200</v>
      </c>
      <c r="AE1121" s="4">
        <v>200</v>
      </c>
      <c r="AF1121" s="6">
        <v>63</v>
      </c>
      <c r="AG1121" s="6">
        <v>46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368</v>
      </c>
      <c r="BK1121" s="8">
        <v>6288.21</v>
      </c>
      <c r="BL1121" s="2" t="s">
        <v>3774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2480</v>
      </c>
      <c r="BV1121" s="2" t="s">
        <v>97</v>
      </c>
      <c r="BW1121" s="2" t="s">
        <v>100</v>
      </c>
      <c r="BX1121" s="2" t="s">
        <v>100</v>
      </c>
      <c r="BY1121" s="2" t="s">
        <v>113</v>
      </c>
      <c r="BZ1121" s="2" t="s">
        <v>245</v>
      </c>
    </row>
    <row r="1122">
      <c r="A1122" s="2" t="s">
        <v>3775</v>
      </c>
      <c r="B1122" s="2" t="s">
        <v>87</v>
      </c>
      <c r="C1122" s="2" t="s">
        <v>3413</v>
      </c>
      <c r="D1122" s="2" t="s">
        <v>1638</v>
      </c>
      <c r="E1122" s="2" t="s">
        <v>1639</v>
      </c>
      <c r="F1122" s="2" t="s">
        <v>3602</v>
      </c>
      <c r="G1122" s="2" t="s">
        <v>3603</v>
      </c>
      <c r="H1122" s="2" t="s">
        <v>3604</v>
      </c>
      <c r="I1122" s="2" t="s">
        <v>3746</v>
      </c>
      <c r="J1122" s="2" t="s">
        <v>717</v>
      </c>
      <c r="K1122" s="2" t="s">
        <v>198</v>
      </c>
      <c r="L1122" s="3">
        <v>19.76</v>
      </c>
      <c r="M1122" s="3">
        <v>20.75</v>
      </c>
      <c r="N1122" s="3">
        <v>39.99</v>
      </c>
      <c r="O1122" s="2" t="s">
        <v>97</v>
      </c>
      <c r="P1122" s="2" t="s">
        <v>225</v>
      </c>
      <c r="Q1122" s="2" t="s">
        <v>99</v>
      </c>
      <c r="R1122" s="2" t="s">
        <v>100</v>
      </c>
      <c r="S1122" s="2" t="s">
        <v>3652</v>
      </c>
      <c r="T1122" s="2" t="s">
        <v>218</v>
      </c>
      <c r="U1122" s="2" t="s">
        <v>480</v>
      </c>
      <c r="V1122" s="2" t="s">
        <v>146</v>
      </c>
      <c r="W1122" s="2" t="s">
        <v>561</v>
      </c>
      <c r="X1122" s="2" t="s">
        <v>100</v>
      </c>
      <c r="Y1122" s="2" t="s">
        <v>3685</v>
      </c>
      <c r="Z1122" s="4">
        <v>238</v>
      </c>
      <c r="AA1122" s="4">
        <f>=ROUNDDOWN(79.3333333333333,0)</f>
      </c>
      <c r="AB1122" s="5">
        <v>3</v>
      </c>
      <c r="AC1122" s="2" t="s">
        <v>2681</v>
      </c>
      <c r="AD1122" s="4">
        <v>200</v>
      </c>
      <c r="AE1122" s="4">
        <v>200</v>
      </c>
      <c r="AF1122" s="6">
        <v>63</v>
      </c>
      <c r="AG1122" s="6">
        <v>46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90</v>
      </c>
      <c r="BK1122" s="8">
        <v>1962.41</v>
      </c>
      <c r="BL1122" s="2" t="s">
        <v>3621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2480</v>
      </c>
      <c r="BV1122" s="2" t="s">
        <v>97</v>
      </c>
      <c r="BW1122" s="2" t="s">
        <v>100</v>
      </c>
      <c r="BX1122" s="2" t="s">
        <v>100</v>
      </c>
      <c r="BY1122" s="2" t="s">
        <v>113</v>
      </c>
      <c r="BZ1122" s="2" t="s">
        <v>245</v>
      </c>
    </row>
    <row r="1123">
      <c r="A1123" s="2" t="s">
        <v>3776</v>
      </c>
      <c r="B1123" s="2" t="s">
        <v>87</v>
      </c>
      <c r="C1123" s="2" t="s">
        <v>3413</v>
      </c>
      <c r="D1123" s="2" t="s">
        <v>1638</v>
      </c>
      <c r="E1123" s="2" t="s">
        <v>1639</v>
      </c>
      <c r="F1123" s="2" t="s">
        <v>3602</v>
      </c>
      <c r="G1123" s="2" t="s">
        <v>3603</v>
      </c>
      <c r="H1123" s="2" t="s">
        <v>3604</v>
      </c>
      <c r="I1123" s="2" t="s">
        <v>3746</v>
      </c>
      <c r="J1123" s="2" t="s">
        <v>706</v>
      </c>
      <c r="K1123" s="2" t="s">
        <v>198</v>
      </c>
      <c r="L1123" s="3">
        <v>20.23</v>
      </c>
      <c r="M1123" s="3">
        <v>21.24</v>
      </c>
      <c r="N1123" s="3">
        <v>42.49</v>
      </c>
      <c r="O1123" s="2" t="s">
        <v>97</v>
      </c>
      <c r="P1123" s="2" t="s">
        <v>307</v>
      </c>
      <c r="Q1123" s="2" t="s">
        <v>99</v>
      </c>
      <c r="R1123" s="2" t="s">
        <v>100</v>
      </c>
      <c r="S1123" s="2" t="s">
        <v>3652</v>
      </c>
      <c r="T1123" s="2" t="s">
        <v>218</v>
      </c>
      <c r="U1123" s="2" t="s">
        <v>480</v>
      </c>
      <c r="V1123" s="2" t="s">
        <v>146</v>
      </c>
      <c r="W1123" s="2" t="s">
        <v>561</v>
      </c>
      <c r="X1123" s="2" t="s">
        <v>100</v>
      </c>
      <c r="Y1123" s="2" t="s">
        <v>3437</v>
      </c>
      <c r="Z1123" s="4">
        <v>1391</v>
      </c>
      <c r="AA1123" s="4">
        <f>=ROUNDDOWN(73.2105263157895,0)</f>
      </c>
      <c r="AB1123" s="5">
        <v>19</v>
      </c>
      <c r="AC1123" s="2" t="s">
        <v>100</v>
      </c>
      <c r="AD1123" s="4"/>
      <c r="AE1123" s="4"/>
      <c r="AF1123" s="6">
        <v>63</v>
      </c>
      <c r="AG1123" s="6">
        <v>46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>
        <v>861</v>
      </c>
      <c r="BK1123" s="8">
        <v>18379.84</v>
      </c>
      <c r="BL1123" s="2" t="s">
        <v>3441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2480</v>
      </c>
      <c r="BV1123" s="2" t="s">
        <v>97</v>
      </c>
      <c r="BW1123" s="2" t="s">
        <v>100</v>
      </c>
      <c r="BX1123" s="2" t="s">
        <v>100</v>
      </c>
      <c r="BY1123" s="2" t="s">
        <v>113</v>
      </c>
      <c r="BZ1123" s="2" t="s">
        <v>245</v>
      </c>
    </row>
    <row r="1124">
      <c r="A1124" s="2" t="s">
        <v>3777</v>
      </c>
      <c r="B1124" s="2" t="s">
        <v>87</v>
      </c>
      <c r="C1124" s="2" t="s">
        <v>3413</v>
      </c>
      <c r="D1124" s="2" t="s">
        <v>1638</v>
      </c>
      <c r="E1124" s="2" t="s">
        <v>1639</v>
      </c>
      <c r="F1124" s="2" t="s">
        <v>3602</v>
      </c>
      <c r="G1124" s="2" t="s">
        <v>3603</v>
      </c>
      <c r="H1124" s="2" t="s">
        <v>3604</v>
      </c>
      <c r="I1124" s="2" t="s">
        <v>3746</v>
      </c>
      <c r="J1124" s="2" t="s">
        <v>714</v>
      </c>
      <c r="K1124" s="2" t="s">
        <v>198</v>
      </c>
      <c r="L1124" s="3">
        <v>22.61</v>
      </c>
      <c r="M1124" s="3">
        <v>23.74</v>
      </c>
      <c r="N1124" s="3">
        <v>47.49</v>
      </c>
      <c r="O1124" s="2" t="s">
        <v>97</v>
      </c>
      <c r="P1124" s="2" t="s">
        <v>307</v>
      </c>
      <c r="Q1124" s="2" t="s">
        <v>99</v>
      </c>
      <c r="R1124" s="2" t="s">
        <v>100</v>
      </c>
      <c r="S1124" s="2" t="s">
        <v>3652</v>
      </c>
      <c r="T1124" s="2" t="s">
        <v>218</v>
      </c>
      <c r="U1124" s="2" t="s">
        <v>480</v>
      </c>
      <c r="V1124" s="2" t="s">
        <v>146</v>
      </c>
      <c r="W1124" s="2" t="s">
        <v>561</v>
      </c>
      <c r="X1124" s="2" t="s">
        <v>100</v>
      </c>
      <c r="Y1124" s="2" t="s">
        <v>3531</v>
      </c>
      <c r="Z1124" s="4">
        <v>1741</v>
      </c>
      <c r="AA1124" s="4">
        <f>=ROUNDDOWN(64.4814814814815,0)</f>
      </c>
      <c r="AB1124" s="5">
        <v>27</v>
      </c>
      <c r="AC1124" s="2" t="s">
        <v>2681</v>
      </c>
      <c r="AD1124" s="4">
        <v>200</v>
      </c>
      <c r="AE1124" s="4">
        <v>200</v>
      </c>
      <c r="AF1124" s="6">
        <v>63</v>
      </c>
      <c r="AG1124" s="6">
        <v>46</v>
      </c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>
        <v>1082</v>
      </c>
      <c r="BK1124" s="8">
        <v>26437.61</v>
      </c>
      <c r="BL1124" s="2" t="s">
        <v>446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2480</v>
      </c>
      <c r="BV1124" s="2" t="s">
        <v>97</v>
      </c>
      <c r="BW1124" s="2" t="s">
        <v>100</v>
      </c>
      <c r="BX1124" s="2" t="s">
        <v>100</v>
      </c>
      <c r="BY1124" s="2" t="s">
        <v>113</v>
      </c>
      <c r="BZ1124" s="2" t="s">
        <v>245</v>
      </c>
    </row>
    <row r="1125">
      <c r="A1125" s="2" t="s">
        <v>3778</v>
      </c>
      <c r="B1125" s="2" t="s">
        <v>87</v>
      </c>
      <c r="C1125" s="2" t="s">
        <v>3413</v>
      </c>
      <c r="D1125" s="2" t="s">
        <v>1638</v>
      </c>
      <c r="E1125" s="2" t="s">
        <v>1639</v>
      </c>
      <c r="F1125" s="2" t="s">
        <v>3602</v>
      </c>
      <c r="G1125" s="2" t="s">
        <v>3603</v>
      </c>
      <c r="H1125" s="2" t="s">
        <v>3604</v>
      </c>
      <c r="I1125" s="2" t="s">
        <v>3746</v>
      </c>
      <c r="J1125" s="2" t="s">
        <v>817</v>
      </c>
      <c r="K1125" s="2" t="s">
        <v>198</v>
      </c>
      <c r="L1125" s="3">
        <v>23.57</v>
      </c>
      <c r="M1125" s="3">
        <v>24.75</v>
      </c>
      <c r="N1125" s="3">
        <v>44.99</v>
      </c>
      <c r="O1125" s="2" t="s">
        <v>97</v>
      </c>
      <c r="P1125" s="2" t="s">
        <v>225</v>
      </c>
      <c r="Q1125" s="2" t="s">
        <v>99</v>
      </c>
      <c r="R1125" s="2" t="s">
        <v>100</v>
      </c>
      <c r="S1125" s="2" t="s">
        <v>3652</v>
      </c>
      <c r="T1125" s="2" t="s">
        <v>218</v>
      </c>
      <c r="U1125" s="2" t="s">
        <v>480</v>
      </c>
      <c r="V1125" s="2" t="s">
        <v>146</v>
      </c>
      <c r="W1125" s="2" t="s">
        <v>561</v>
      </c>
      <c r="X1125" s="2" t="s">
        <v>100</v>
      </c>
      <c r="Y1125" s="2" t="s">
        <v>552</v>
      </c>
      <c r="Z1125" s="4">
        <v>692</v>
      </c>
      <c r="AA1125" s="4">
        <f>=ROUNDDOWN(92.2666666666667,0)</f>
      </c>
      <c r="AB1125" s="5">
        <v>7.5</v>
      </c>
      <c r="AC1125" s="2" t="s">
        <v>356</v>
      </c>
      <c r="AD1125" s="4">
        <v>1104</v>
      </c>
      <c r="AE1125" s="4">
        <v>1440</v>
      </c>
      <c r="AF1125" s="6">
        <v>63</v>
      </c>
      <c r="AG1125" s="6">
        <v>46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163</v>
      </c>
      <c r="BK1125" s="8">
        <v>4153.76</v>
      </c>
      <c r="BL1125" s="2" t="s">
        <v>3724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2480</v>
      </c>
      <c r="BV1125" s="2" t="s">
        <v>97</v>
      </c>
      <c r="BW1125" s="2" t="s">
        <v>100</v>
      </c>
      <c r="BX1125" s="2" t="s">
        <v>100</v>
      </c>
      <c r="BY1125" s="2" t="s">
        <v>113</v>
      </c>
      <c r="BZ1125" s="2" t="s">
        <v>245</v>
      </c>
    </row>
    <row r="1126">
      <c r="A1126" s="2" t="s">
        <v>3779</v>
      </c>
      <c r="B1126" s="2" t="s">
        <v>87</v>
      </c>
      <c r="C1126" s="2" t="s">
        <v>3413</v>
      </c>
      <c r="D1126" s="2" t="s">
        <v>1638</v>
      </c>
      <c r="E1126" s="2" t="s">
        <v>1639</v>
      </c>
      <c r="F1126" s="2" t="s">
        <v>3602</v>
      </c>
      <c r="G1126" s="2" t="s">
        <v>3603</v>
      </c>
      <c r="H1126" s="2" t="s">
        <v>3604</v>
      </c>
      <c r="I1126" s="2" t="s">
        <v>3746</v>
      </c>
      <c r="J1126" s="2" t="s">
        <v>237</v>
      </c>
      <c r="K1126" s="2" t="s">
        <v>144</v>
      </c>
      <c r="L1126" s="3">
        <v>15.47</v>
      </c>
      <c r="M1126" s="3">
        <v>16.24</v>
      </c>
      <c r="N1126" s="3">
        <v>29.99</v>
      </c>
      <c r="O1126" s="2" t="s">
        <v>97</v>
      </c>
      <c r="P1126" s="2" t="s">
        <v>225</v>
      </c>
      <c r="Q1126" s="2" t="s">
        <v>99</v>
      </c>
      <c r="R1126" s="2" t="s">
        <v>100</v>
      </c>
      <c r="S1126" s="2" t="s">
        <v>3659</v>
      </c>
      <c r="T1126" s="2" t="s">
        <v>218</v>
      </c>
      <c r="U1126" s="2" t="s">
        <v>514</v>
      </c>
      <c r="V1126" s="2" t="s">
        <v>146</v>
      </c>
      <c r="W1126" s="2" t="s">
        <v>561</v>
      </c>
      <c r="X1126" s="2" t="s">
        <v>100</v>
      </c>
      <c r="Y1126" s="2" t="s">
        <v>3667</v>
      </c>
      <c r="Z1126" s="4">
        <v>102</v>
      </c>
      <c r="AA1126" s="4">
        <f>=ROUNDDOWN(21.25,0)</f>
      </c>
      <c r="AB1126" s="5">
        <v>4.8</v>
      </c>
      <c r="AC1126" s="2" t="s">
        <v>205</v>
      </c>
      <c r="AD1126" s="4">
        <v>40</v>
      </c>
      <c r="AE1126" s="4">
        <v>40</v>
      </c>
      <c r="AF1126" s="6">
        <v>63</v>
      </c>
      <c r="AG1126" s="6">
        <v>46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>
        <v>49</v>
      </c>
      <c r="BK1126" s="8">
        <v>846.37</v>
      </c>
      <c r="BL1126" s="2" t="s">
        <v>3780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2480</v>
      </c>
      <c r="BV1126" s="2" t="s">
        <v>97</v>
      </c>
      <c r="BW1126" s="2" t="s">
        <v>100</v>
      </c>
      <c r="BX1126" s="2" t="s">
        <v>100</v>
      </c>
      <c r="BY1126" s="2" t="s">
        <v>113</v>
      </c>
      <c r="BZ1126" s="2" t="s">
        <v>245</v>
      </c>
    </row>
    <row r="1127">
      <c r="A1127" s="2" t="s">
        <v>3781</v>
      </c>
      <c r="B1127" s="2" t="s">
        <v>87</v>
      </c>
      <c r="C1127" s="2" t="s">
        <v>3413</v>
      </c>
      <c r="D1127" s="2" t="s">
        <v>1638</v>
      </c>
      <c r="E1127" s="2" t="s">
        <v>1639</v>
      </c>
      <c r="F1127" s="2" t="s">
        <v>3602</v>
      </c>
      <c r="G1127" s="2" t="s">
        <v>3603</v>
      </c>
      <c r="H1127" s="2" t="s">
        <v>3604</v>
      </c>
      <c r="I1127" s="2" t="s">
        <v>3746</v>
      </c>
      <c r="J1127" s="2" t="s">
        <v>717</v>
      </c>
      <c r="K1127" s="2" t="s">
        <v>144</v>
      </c>
      <c r="L1127" s="3">
        <v>19.76</v>
      </c>
      <c r="M1127" s="3">
        <v>20.75</v>
      </c>
      <c r="N1127" s="3">
        <v>39.99</v>
      </c>
      <c r="O1127" s="2" t="s">
        <v>97</v>
      </c>
      <c r="P1127" s="2" t="s">
        <v>225</v>
      </c>
      <c r="Q1127" s="2" t="s">
        <v>99</v>
      </c>
      <c r="R1127" s="2" t="s">
        <v>100</v>
      </c>
      <c r="S1127" s="2" t="s">
        <v>3659</v>
      </c>
      <c r="T1127" s="2" t="s">
        <v>218</v>
      </c>
      <c r="U1127" s="2" t="s">
        <v>480</v>
      </c>
      <c r="V1127" s="2" t="s">
        <v>146</v>
      </c>
      <c r="W1127" s="2" t="s">
        <v>561</v>
      </c>
      <c r="X1127" s="2" t="s">
        <v>100</v>
      </c>
      <c r="Y1127" s="2" t="s">
        <v>3631</v>
      </c>
      <c r="Z1127" s="4">
        <v>274</v>
      </c>
      <c r="AA1127" s="4">
        <f>=ROUNDDOWN(59.5652173913043,0)</f>
      </c>
      <c r="AB1127" s="5">
        <v>4.6</v>
      </c>
      <c r="AC1127" s="2" t="s">
        <v>100</v>
      </c>
      <c r="AD1127" s="4"/>
      <c r="AE1127" s="4"/>
      <c r="AF1127" s="6">
        <v>63</v>
      </c>
      <c r="AG1127" s="6">
        <v>46</v>
      </c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>
        <v>42</v>
      </c>
      <c r="BK1127" s="8">
        <v>889.02</v>
      </c>
      <c r="BL1127" s="2" t="s">
        <v>1593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2480</v>
      </c>
      <c r="BV1127" s="2" t="s">
        <v>97</v>
      </c>
      <c r="BW1127" s="2" t="s">
        <v>100</v>
      </c>
      <c r="BX1127" s="2" t="s">
        <v>100</v>
      </c>
      <c r="BY1127" s="2" t="s">
        <v>113</v>
      </c>
      <c r="BZ1127" s="2" t="s">
        <v>245</v>
      </c>
    </row>
    <row r="1128">
      <c r="A1128" s="2" t="s">
        <v>3782</v>
      </c>
      <c r="B1128" s="2" t="s">
        <v>87</v>
      </c>
      <c r="C1128" s="2" t="s">
        <v>3413</v>
      </c>
      <c r="D1128" s="2" t="s">
        <v>1638</v>
      </c>
      <c r="E1128" s="2" t="s">
        <v>1639</v>
      </c>
      <c r="F1128" s="2" t="s">
        <v>3602</v>
      </c>
      <c r="G1128" s="2" t="s">
        <v>3603</v>
      </c>
      <c r="H1128" s="2" t="s">
        <v>3604</v>
      </c>
      <c r="I1128" s="2" t="s">
        <v>3746</v>
      </c>
      <c r="J1128" s="2" t="s">
        <v>706</v>
      </c>
      <c r="K1128" s="2" t="s">
        <v>144</v>
      </c>
      <c r="L1128" s="3">
        <v>20.23</v>
      </c>
      <c r="M1128" s="3">
        <v>21.24</v>
      </c>
      <c r="N1128" s="3">
        <v>39.99</v>
      </c>
      <c r="O1128" s="2" t="s">
        <v>97</v>
      </c>
      <c r="P1128" s="2" t="s">
        <v>225</v>
      </c>
      <c r="Q1128" s="2" t="s">
        <v>99</v>
      </c>
      <c r="R1128" s="2" t="s">
        <v>100</v>
      </c>
      <c r="S1128" s="2" t="s">
        <v>3659</v>
      </c>
      <c r="T1128" s="2" t="s">
        <v>218</v>
      </c>
      <c r="U1128" s="2" t="s">
        <v>480</v>
      </c>
      <c r="V1128" s="2" t="s">
        <v>146</v>
      </c>
      <c r="W1128" s="2" t="s">
        <v>561</v>
      </c>
      <c r="X1128" s="2" t="s">
        <v>100</v>
      </c>
      <c r="Y1128" s="2" t="s">
        <v>3667</v>
      </c>
      <c r="Z1128" s="4">
        <v>235</v>
      </c>
      <c r="AA1128" s="4">
        <f>=ROUNDDOWN(9.10852713178295,0)</f>
      </c>
      <c r="AB1128" s="5">
        <v>25.8</v>
      </c>
      <c r="AC1128" s="2" t="s">
        <v>205</v>
      </c>
      <c r="AD1128" s="4">
        <v>104</v>
      </c>
      <c r="AE1128" s="4">
        <v>504</v>
      </c>
      <c r="AF1128" s="6">
        <v>63</v>
      </c>
      <c r="AG1128" s="6">
        <v>46</v>
      </c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>
        <v>236</v>
      </c>
      <c r="BK1128" s="8">
        <v>5174.63</v>
      </c>
      <c r="BL1128" s="2" t="s">
        <v>3648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2480</v>
      </c>
      <c r="BV1128" s="2" t="s">
        <v>97</v>
      </c>
      <c r="BW1128" s="2" t="s">
        <v>100</v>
      </c>
      <c r="BX1128" s="2" t="s">
        <v>100</v>
      </c>
      <c r="BY1128" s="2" t="s">
        <v>113</v>
      </c>
      <c r="BZ1128" s="2" t="s">
        <v>245</v>
      </c>
    </row>
    <row r="1129">
      <c r="A1129" s="2" t="s">
        <v>3783</v>
      </c>
      <c r="B1129" s="2" t="s">
        <v>87</v>
      </c>
      <c r="C1129" s="2" t="s">
        <v>3413</v>
      </c>
      <c r="D1129" s="2" t="s">
        <v>1638</v>
      </c>
      <c r="E1129" s="2" t="s">
        <v>1639</v>
      </c>
      <c r="F1129" s="2" t="s">
        <v>3602</v>
      </c>
      <c r="G1129" s="2" t="s">
        <v>3603</v>
      </c>
      <c r="H1129" s="2" t="s">
        <v>3604</v>
      </c>
      <c r="I1129" s="2" t="s">
        <v>3746</v>
      </c>
      <c r="J1129" s="2" t="s">
        <v>714</v>
      </c>
      <c r="K1129" s="2" t="s">
        <v>144</v>
      </c>
      <c r="L1129" s="3">
        <v>22.61</v>
      </c>
      <c r="M1129" s="3">
        <v>23.74</v>
      </c>
      <c r="N1129" s="3">
        <v>44.99</v>
      </c>
      <c r="O1129" s="2" t="s">
        <v>97</v>
      </c>
      <c r="P1129" s="2" t="s">
        <v>225</v>
      </c>
      <c r="Q1129" s="2" t="s">
        <v>99</v>
      </c>
      <c r="R1129" s="2" t="s">
        <v>100</v>
      </c>
      <c r="S1129" s="2" t="s">
        <v>3659</v>
      </c>
      <c r="T1129" s="2" t="s">
        <v>218</v>
      </c>
      <c r="U1129" s="2" t="s">
        <v>480</v>
      </c>
      <c r="V1129" s="2" t="s">
        <v>146</v>
      </c>
      <c r="W1129" s="2" t="s">
        <v>561</v>
      </c>
      <c r="X1129" s="2" t="s">
        <v>100</v>
      </c>
      <c r="Y1129" s="2" t="s">
        <v>3667</v>
      </c>
      <c r="Z1129" s="4">
        <v>147</v>
      </c>
      <c r="AA1129" s="4">
        <f>=ROUNDDOWN(5.05154639175258,0)</f>
      </c>
      <c r="AB1129" s="5">
        <v>29.1</v>
      </c>
      <c r="AC1129" s="2" t="s">
        <v>356</v>
      </c>
      <c r="AD1129" s="4">
        <v>76</v>
      </c>
      <c r="AE1129" s="4">
        <v>336</v>
      </c>
      <c r="AF1129" s="6">
        <v>63</v>
      </c>
      <c r="AG1129" s="6">
        <v>46</v>
      </c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257</v>
      </c>
      <c r="BK1129" s="8">
        <v>6201.53</v>
      </c>
      <c r="BL1129" s="2" t="s">
        <v>3648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2480</v>
      </c>
      <c r="BV1129" s="2" t="s">
        <v>97</v>
      </c>
      <c r="BW1129" s="2" t="s">
        <v>100</v>
      </c>
      <c r="BX1129" s="2" t="s">
        <v>100</v>
      </c>
      <c r="BY1129" s="2" t="s">
        <v>113</v>
      </c>
      <c r="BZ1129" s="2" t="s">
        <v>245</v>
      </c>
    </row>
    <row r="1130">
      <c r="A1130" s="2" t="s">
        <v>3784</v>
      </c>
      <c r="B1130" s="2" t="s">
        <v>87</v>
      </c>
      <c r="C1130" s="2" t="s">
        <v>3413</v>
      </c>
      <c r="D1130" s="2" t="s">
        <v>1638</v>
      </c>
      <c r="E1130" s="2" t="s">
        <v>1639</v>
      </c>
      <c r="F1130" s="2" t="s">
        <v>3602</v>
      </c>
      <c r="G1130" s="2" t="s">
        <v>3603</v>
      </c>
      <c r="H1130" s="2" t="s">
        <v>3604</v>
      </c>
      <c r="I1130" s="2" t="s">
        <v>3746</v>
      </c>
      <c r="J1130" s="2" t="s">
        <v>817</v>
      </c>
      <c r="K1130" s="2" t="s">
        <v>144</v>
      </c>
      <c r="L1130" s="3">
        <v>23.57</v>
      </c>
      <c r="M1130" s="3">
        <v>24.75</v>
      </c>
      <c r="N1130" s="3">
        <v>44.99</v>
      </c>
      <c r="O1130" s="2" t="s">
        <v>97</v>
      </c>
      <c r="P1130" s="2" t="s">
        <v>225</v>
      </c>
      <c r="Q1130" s="2" t="s">
        <v>99</v>
      </c>
      <c r="R1130" s="2" t="s">
        <v>100</v>
      </c>
      <c r="S1130" s="2" t="s">
        <v>3659</v>
      </c>
      <c r="T1130" s="2" t="s">
        <v>218</v>
      </c>
      <c r="U1130" s="2" t="s">
        <v>480</v>
      </c>
      <c r="V1130" s="2" t="s">
        <v>146</v>
      </c>
      <c r="W1130" s="2" t="s">
        <v>561</v>
      </c>
      <c r="X1130" s="2" t="s">
        <v>100</v>
      </c>
      <c r="Y1130" s="2" t="s">
        <v>3631</v>
      </c>
      <c r="Z1130" s="4">
        <v>105</v>
      </c>
      <c r="AA1130" s="4">
        <f>=ROUNDDOWN(8.89830508474576,0)</f>
      </c>
      <c r="AB1130" s="5">
        <v>11.8</v>
      </c>
      <c r="AC1130" s="2" t="s">
        <v>356</v>
      </c>
      <c r="AD1130" s="4">
        <v>72</v>
      </c>
      <c r="AE1130" s="4">
        <v>672</v>
      </c>
      <c r="AF1130" s="6">
        <v>63</v>
      </c>
      <c r="AG1130" s="6">
        <v>46</v>
      </c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98</v>
      </c>
      <c r="BK1130" s="8">
        <v>2626.25</v>
      </c>
      <c r="BL1130" s="2" t="s">
        <v>3785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2480</v>
      </c>
      <c r="BV1130" s="2" t="s">
        <v>97</v>
      </c>
      <c r="BW1130" s="2" t="s">
        <v>100</v>
      </c>
      <c r="BX1130" s="2" t="s">
        <v>100</v>
      </c>
      <c r="BY1130" s="2" t="s">
        <v>113</v>
      </c>
      <c r="BZ1130" s="2" t="s">
        <v>245</v>
      </c>
    </row>
    <row r="1131">
      <c r="A1131" s="2" t="s">
        <v>3786</v>
      </c>
      <c r="B1131" s="2" t="s">
        <v>87</v>
      </c>
      <c r="C1131" s="2" t="s">
        <v>3413</v>
      </c>
      <c r="D1131" s="2" t="s">
        <v>1638</v>
      </c>
      <c r="E1131" s="2" t="s">
        <v>1639</v>
      </c>
      <c r="F1131" s="2" t="s">
        <v>3602</v>
      </c>
      <c r="G1131" s="2" t="s">
        <v>3603</v>
      </c>
      <c r="H1131" s="2" t="s">
        <v>3604</v>
      </c>
      <c r="I1131" s="2" t="s">
        <v>3746</v>
      </c>
      <c r="J1131" s="2" t="s">
        <v>237</v>
      </c>
      <c r="K1131" s="2" t="s">
        <v>360</v>
      </c>
      <c r="L1131" s="3">
        <v>15.47</v>
      </c>
      <c r="M1131" s="3">
        <v>16.24</v>
      </c>
      <c r="N1131" s="3">
        <v>29.99</v>
      </c>
      <c r="O1131" s="2" t="s">
        <v>97</v>
      </c>
      <c r="P1131" s="2" t="s">
        <v>225</v>
      </c>
      <c r="Q1131" s="2" t="s">
        <v>99</v>
      </c>
      <c r="R1131" s="2" t="s">
        <v>100</v>
      </c>
      <c r="S1131" s="2" t="s">
        <v>3672</v>
      </c>
      <c r="T1131" s="2" t="s">
        <v>218</v>
      </c>
      <c r="U1131" s="2" t="s">
        <v>514</v>
      </c>
      <c r="V1131" s="2" t="s">
        <v>146</v>
      </c>
      <c r="W1131" s="2" t="s">
        <v>561</v>
      </c>
      <c r="X1131" s="2" t="s">
        <v>100</v>
      </c>
      <c r="Y1131" s="2" t="s">
        <v>3667</v>
      </c>
      <c r="Z1131" s="4">
        <v>74</v>
      </c>
      <c r="AA1131" s="4">
        <f>=ROUNDDOWN(8.6046511627907,0)</f>
      </c>
      <c r="AB1131" s="5">
        <v>8.6</v>
      </c>
      <c r="AC1131" s="2" t="s">
        <v>205</v>
      </c>
      <c r="AD1131" s="4">
        <v>160</v>
      </c>
      <c r="AE1131" s="4">
        <v>160</v>
      </c>
      <c r="AF1131" s="6">
        <v>63</v>
      </c>
      <c r="AG1131" s="6">
        <v>46</v>
      </c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>
        <v>192</v>
      </c>
      <c r="BK1131" s="8">
        <v>3334.41</v>
      </c>
      <c r="BL1131" s="2" t="s">
        <v>2302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2480</v>
      </c>
      <c r="BV1131" s="2" t="s">
        <v>97</v>
      </c>
      <c r="BW1131" s="2" t="s">
        <v>100</v>
      </c>
      <c r="BX1131" s="2" t="s">
        <v>100</v>
      </c>
      <c r="BY1131" s="2" t="s">
        <v>113</v>
      </c>
      <c r="BZ1131" s="2" t="s">
        <v>245</v>
      </c>
    </row>
    <row r="1132">
      <c r="A1132" s="2" t="s">
        <v>3787</v>
      </c>
      <c r="B1132" s="2" t="s">
        <v>87</v>
      </c>
      <c r="C1132" s="2" t="s">
        <v>3413</v>
      </c>
      <c r="D1132" s="2" t="s">
        <v>1638</v>
      </c>
      <c r="E1132" s="2" t="s">
        <v>1639</v>
      </c>
      <c r="F1132" s="2" t="s">
        <v>3602</v>
      </c>
      <c r="G1132" s="2" t="s">
        <v>3603</v>
      </c>
      <c r="H1132" s="2" t="s">
        <v>3604</v>
      </c>
      <c r="I1132" s="2" t="s">
        <v>3746</v>
      </c>
      <c r="J1132" s="2" t="s">
        <v>717</v>
      </c>
      <c r="K1132" s="2" t="s">
        <v>360</v>
      </c>
      <c r="L1132" s="3">
        <v>19.76</v>
      </c>
      <c r="M1132" s="3">
        <v>20.75</v>
      </c>
      <c r="N1132" s="3">
        <v>39.99</v>
      </c>
      <c r="O1132" s="2" t="s">
        <v>97</v>
      </c>
      <c r="P1132" s="2" t="s">
        <v>225</v>
      </c>
      <c r="Q1132" s="2" t="s">
        <v>99</v>
      </c>
      <c r="R1132" s="2" t="s">
        <v>100</v>
      </c>
      <c r="S1132" s="2" t="s">
        <v>3672</v>
      </c>
      <c r="T1132" s="2" t="s">
        <v>218</v>
      </c>
      <c r="U1132" s="2" t="s">
        <v>480</v>
      </c>
      <c r="V1132" s="2" t="s">
        <v>146</v>
      </c>
      <c r="W1132" s="2" t="s">
        <v>561</v>
      </c>
      <c r="X1132" s="2" t="s">
        <v>100</v>
      </c>
      <c r="Y1132" s="2" t="s">
        <v>3631</v>
      </c>
      <c r="Z1132" s="4">
        <v>509</v>
      </c>
      <c r="AA1132" s="4">
        <f>=ROUNDDOWN(169.666666666667,0)</f>
      </c>
      <c r="AB1132" s="5">
        <v>3</v>
      </c>
      <c r="AC1132" s="2" t="s">
        <v>100</v>
      </c>
      <c r="AD1132" s="4"/>
      <c r="AE1132" s="4"/>
      <c r="AF1132" s="6">
        <v>63</v>
      </c>
      <c r="AG1132" s="6">
        <v>46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/>
      <c r="BJ1132" s="4">
        <v>17</v>
      </c>
      <c r="BK1132" s="8">
        <v>343.46</v>
      </c>
      <c r="BL1132" s="2" t="s">
        <v>3788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2480</v>
      </c>
      <c r="BV1132" s="2" t="s">
        <v>97</v>
      </c>
      <c r="BW1132" s="2" t="s">
        <v>100</v>
      </c>
      <c r="BX1132" s="2" t="s">
        <v>100</v>
      </c>
      <c r="BY1132" s="2" t="s">
        <v>113</v>
      </c>
      <c r="BZ1132" s="2" t="s">
        <v>245</v>
      </c>
    </row>
    <row r="1133">
      <c r="A1133" s="2" t="s">
        <v>3789</v>
      </c>
      <c r="B1133" s="2" t="s">
        <v>87</v>
      </c>
      <c r="C1133" s="2" t="s">
        <v>3413</v>
      </c>
      <c r="D1133" s="2" t="s">
        <v>1638</v>
      </c>
      <c r="E1133" s="2" t="s">
        <v>1639</v>
      </c>
      <c r="F1133" s="2" t="s">
        <v>3602</v>
      </c>
      <c r="G1133" s="2" t="s">
        <v>3603</v>
      </c>
      <c r="H1133" s="2" t="s">
        <v>3604</v>
      </c>
      <c r="I1133" s="2" t="s">
        <v>3746</v>
      </c>
      <c r="J1133" s="2" t="s">
        <v>706</v>
      </c>
      <c r="K1133" s="2" t="s">
        <v>360</v>
      </c>
      <c r="L1133" s="3">
        <v>20.23</v>
      </c>
      <c r="M1133" s="3">
        <v>21.24</v>
      </c>
      <c r="N1133" s="3">
        <v>39.99</v>
      </c>
      <c r="O1133" s="2" t="s">
        <v>97</v>
      </c>
      <c r="P1133" s="2" t="s">
        <v>225</v>
      </c>
      <c r="Q1133" s="2" t="s">
        <v>99</v>
      </c>
      <c r="R1133" s="2" t="s">
        <v>100</v>
      </c>
      <c r="S1133" s="2" t="s">
        <v>3672</v>
      </c>
      <c r="T1133" s="2" t="s">
        <v>218</v>
      </c>
      <c r="U1133" s="2" t="s">
        <v>480</v>
      </c>
      <c r="V1133" s="2" t="s">
        <v>146</v>
      </c>
      <c r="W1133" s="2" t="s">
        <v>561</v>
      </c>
      <c r="X1133" s="2" t="s">
        <v>100</v>
      </c>
      <c r="Y1133" s="2" t="s">
        <v>3667</v>
      </c>
      <c r="Z1133" s="4">
        <v>534</v>
      </c>
      <c r="AA1133" s="4">
        <f>=ROUNDDOWN(19.4181818181818,0)</f>
      </c>
      <c r="AB1133" s="5">
        <v>27.5</v>
      </c>
      <c r="AC1133" s="2" t="s">
        <v>356</v>
      </c>
      <c r="AD1133" s="4">
        <v>368</v>
      </c>
      <c r="AE1133" s="4">
        <v>668</v>
      </c>
      <c r="AF1133" s="6">
        <v>63</v>
      </c>
      <c r="AG1133" s="6">
        <v>46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258</v>
      </c>
      <c r="BK1133" s="8">
        <v>5700.91</v>
      </c>
      <c r="BL1133" s="2" t="s">
        <v>3668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2480</v>
      </c>
      <c r="BV1133" s="2" t="s">
        <v>97</v>
      </c>
      <c r="BW1133" s="2" t="s">
        <v>100</v>
      </c>
      <c r="BX1133" s="2" t="s">
        <v>100</v>
      </c>
      <c r="BY1133" s="2" t="s">
        <v>113</v>
      </c>
      <c r="BZ1133" s="2" t="s">
        <v>245</v>
      </c>
    </row>
    <row r="1134">
      <c r="A1134" s="2" t="s">
        <v>3790</v>
      </c>
      <c r="B1134" s="2" t="s">
        <v>87</v>
      </c>
      <c r="C1134" s="2" t="s">
        <v>3413</v>
      </c>
      <c r="D1134" s="2" t="s">
        <v>1638</v>
      </c>
      <c r="E1134" s="2" t="s">
        <v>1639</v>
      </c>
      <c r="F1134" s="2" t="s">
        <v>3602</v>
      </c>
      <c r="G1134" s="2" t="s">
        <v>3603</v>
      </c>
      <c r="H1134" s="2" t="s">
        <v>3604</v>
      </c>
      <c r="I1134" s="2" t="s">
        <v>3746</v>
      </c>
      <c r="J1134" s="2" t="s">
        <v>714</v>
      </c>
      <c r="K1134" s="2" t="s">
        <v>360</v>
      </c>
      <c r="L1134" s="3">
        <v>22.61</v>
      </c>
      <c r="M1134" s="3">
        <v>23.74</v>
      </c>
      <c r="N1134" s="3">
        <v>44.99</v>
      </c>
      <c r="O1134" s="2" t="s">
        <v>97</v>
      </c>
      <c r="P1134" s="2" t="s">
        <v>225</v>
      </c>
      <c r="Q1134" s="2" t="s">
        <v>99</v>
      </c>
      <c r="R1134" s="2" t="s">
        <v>100</v>
      </c>
      <c r="S1134" s="2" t="s">
        <v>3672</v>
      </c>
      <c r="T1134" s="2" t="s">
        <v>218</v>
      </c>
      <c r="U1134" s="2" t="s">
        <v>480</v>
      </c>
      <c r="V1134" s="2" t="s">
        <v>146</v>
      </c>
      <c r="W1134" s="2" t="s">
        <v>561</v>
      </c>
      <c r="X1134" s="2" t="s">
        <v>100</v>
      </c>
      <c r="Y1134" s="2" t="s">
        <v>3667</v>
      </c>
      <c r="Z1134" s="4">
        <v>556</v>
      </c>
      <c r="AA1134" s="4">
        <f>=ROUNDDOWN(19.2387543252595,0)</f>
      </c>
      <c r="AB1134" s="5">
        <v>28.9</v>
      </c>
      <c r="AC1134" s="2" t="s">
        <v>356</v>
      </c>
      <c r="AD1134" s="4">
        <v>528</v>
      </c>
      <c r="AE1134" s="4">
        <v>828</v>
      </c>
      <c r="AF1134" s="6">
        <v>63</v>
      </c>
      <c r="AG1134" s="6">
        <v>46</v>
      </c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232</v>
      </c>
      <c r="BK1134" s="8">
        <v>5552.94</v>
      </c>
      <c r="BL1134" s="2" t="s">
        <v>3648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2480</v>
      </c>
      <c r="BV1134" s="2" t="s">
        <v>97</v>
      </c>
      <c r="BW1134" s="2" t="s">
        <v>100</v>
      </c>
      <c r="BX1134" s="2" t="s">
        <v>100</v>
      </c>
      <c r="BY1134" s="2" t="s">
        <v>113</v>
      </c>
      <c r="BZ1134" s="2" t="s">
        <v>245</v>
      </c>
    </row>
    <row r="1135">
      <c r="A1135" s="2" t="s">
        <v>3791</v>
      </c>
      <c r="B1135" s="2" t="s">
        <v>87</v>
      </c>
      <c r="C1135" s="2" t="s">
        <v>3413</v>
      </c>
      <c r="D1135" s="2" t="s">
        <v>1638</v>
      </c>
      <c r="E1135" s="2" t="s">
        <v>1639</v>
      </c>
      <c r="F1135" s="2" t="s">
        <v>3602</v>
      </c>
      <c r="G1135" s="2" t="s">
        <v>3603</v>
      </c>
      <c r="H1135" s="2" t="s">
        <v>3604</v>
      </c>
      <c r="I1135" s="2" t="s">
        <v>3746</v>
      </c>
      <c r="J1135" s="2" t="s">
        <v>817</v>
      </c>
      <c r="K1135" s="2" t="s">
        <v>360</v>
      </c>
      <c r="L1135" s="3">
        <v>23.57</v>
      </c>
      <c r="M1135" s="3">
        <v>24.75</v>
      </c>
      <c r="N1135" s="3">
        <v>44.99</v>
      </c>
      <c r="O1135" s="2" t="s">
        <v>97</v>
      </c>
      <c r="P1135" s="2" t="s">
        <v>225</v>
      </c>
      <c r="Q1135" s="2" t="s">
        <v>99</v>
      </c>
      <c r="R1135" s="2" t="s">
        <v>100</v>
      </c>
      <c r="S1135" s="2" t="s">
        <v>3672</v>
      </c>
      <c r="T1135" s="2" t="s">
        <v>218</v>
      </c>
      <c r="U1135" s="2" t="s">
        <v>480</v>
      </c>
      <c r="V1135" s="2" t="s">
        <v>146</v>
      </c>
      <c r="W1135" s="2" t="s">
        <v>561</v>
      </c>
      <c r="X1135" s="2" t="s">
        <v>100</v>
      </c>
      <c r="Y1135" s="2" t="s">
        <v>3631</v>
      </c>
      <c r="Z1135" s="4">
        <v>705</v>
      </c>
      <c r="AA1135" s="4">
        <f>=ROUNDDOWN(201.428571428571,0)</f>
      </c>
      <c r="AB1135" s="5">
        <v>3.5</v>
      </c>
      <c r="AC1135" s="2" t="s">
        <v>100</v>
      </c>
      <c r="AD1135" s="4"/>
      <c r="AE1135" s="4"/>
      <c r="AF1135" s="6">
        <v>63</v>
      </c>
      <c r="AG1135" s="6">
        <v>46</v>
      </c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21</v>
      </c>
      <c r="BK1135" s="8">
        <v>596.95</v>
      </c>
      <c r="BL1135" s="2" t="s">
        <v>1743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2480</v>
      </c>
      <c r="BV1135" s="2" t="s">
        <v>97</v>
      </c>
      <c r="BW1135" s="2" t="s">
        <v>100</v>
      </c>
      <c r="BX1135" s="2" t="s">
        <v>100</v>
      </c>
      <c r="BY1135" s="2" t="s">
        <v>113</v>
      </c>
      <c r="BZ1135" s="2" t="s">
        <v>245</v>
      </c>
    </row>
    <row r="1136">
      <c r="A1136" s="2" t="s">
        <v>3792</v>
      </c>
      <c r="B1136" s="2" t="s">
        <v>87</v>
      </c>
      <c r="C1136" s="2" t="s">
        <v>3413</v>
      </c>
      <c r="D1136" s="2" t="s">
        <v>1638</v>
      </c>
      <c r="E1136" s="2" t="s">
        <v>1639</v>
      </c>
      <c r="F1136" s="2" t="s">
        <v>3602</v>
      </c>
      <c r="G1136" s="2" t="s">
        <v>3603</v>
      </c>
      <c r="H1136" s="2" t="s">
        <v>3604</v>
      </c>
      <c r="I1136" s="2" t="s">
        <v>3746</v>
      </c>
      <c r="J1136" s="2" t="s">
        <v>237</v>
      </c>
      <c r="K1136" s="2" t="s">
        <v>209</v>
      </c>
      <c r="L1136" s="3">
        <v>15.47</v>
      </c>
      <c r="M1136" s="3">
        <v>16.24</v>
      </c>
      <c r="N1136" s="3">
        <v>32.49</v>
      </c>
      <c r="O1136" s="2" t="s">
        <v>97</v>
      </c>
      <c r="P1136" s="2" t="s">
        <v>307</v>
      </c>
      <c r="Q1136" s="2" t="s">
        <v>99</v>
      </c>
      <c r="R1136" s="2" t="s">
        <v>100</v>
      </c>
      <c r="S1136" s="2" t="s">
        <v>3680</v>
      </c>
      <c r="T1136" s="2" t="s">
        <v>218</v>
      </c>
      <c r="U1136" s="2" t="s">
        <v>514</v>
      </c>
      <c r="V1136" s="2" t="s">
        <v>146</v>
      </c>
      <c r="W1136" s="2" t="s">
        <v>561</v>
      </c>
      <c r="X1136" s="2" t="s">
        <v>100</v>
      </c>
      <c r="Y1136" s="2" t="s">
        <v>3437</v>
      </c>
      <c r="Z1136" s="4">
        <v>484</v>
      </c>
      <c r="AA1136" s="4">
        <f>=ROUNDDOWN(12.7368421052632,0)</f>
      </c>
      <c r="AB1136" s="5">
        <v>38</v>
      </c>
      <c r="AC1136" s="2" t="s">
        <v>3015</v>
      </c>
      <c r="AD1136" s="4">
        <v>300</v>
      </c>
      <c r="AE1136" s="4">
        <v>300</v>
      </c>
      <c r="AF1136" s="6">
        <v>63</v>
      </c>
      <c r="AG1136" s="6">
        <v>46</v>
      </c>
      <c r="AH1136" s="7">
        <v>0.9947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1666</v>
      </c>
      <c r="BK1136" s="8">
        <v>27175.46</v>
      </c>
      <c r="BL1136" s="2" t="s">
        <v>3629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2480</v>
      </c>
      <c r="BV1136" s="2" t="s">
        <v>97</v>
      </c>
      <c r="BW1136" s="2" t="s">
        <v>100</v>
      </c>
      <c r="BX1136" s="2" t="s">
        <v>100</v>
      </c>
      <c r="BY1136" s="2" t="s">
        <v>113</v>
      </c>
      <c r="BZ1136" s="2" t="s">
        <v>245</v>
      </c>
    </row>
    <row r="1137">
      <c r="A1137" s="2" t="s">
        <v>3793</v>
      </c>
      <c r="B1137" s="2" t="s">
        <v>87</v>
      </c>
      <c r="C1137" s="2" t="s">
        <v>3413</v>
      </c>
      <c r="D1137" s="2" t="s">
        <v>1638</v>
      </c>
      <c r="E1137" s="2" t="s">
        <v>1639</v>
      </c>
      <c r="F1137" s="2" t="s">
        <v>3602</v>
      </c>
      <c r="G1137" s="2" t="s">
        <v>3603</v>
      </c>
      <c r="H1137" s="2" t="s">
        <v>3604</v>
      </c>
      <c r="I1137" s="2" t="s">
        <v>3746</v>
      </c>
      <c r="J1137" s="2" t="s">
        <v>717</v>
      </c>
      <c r="K1137" s="2" t="s">
        <v>209</v>
      </c>
      <c r="L1137" s="3">
        <v>19.76</v>
      </c>
      <c r="M1137" s="3">
        <v>20.75</v>
      </c>
      <c r="N1137" s="3">
        <v>39.99</v>
      </c>
      <c r="O1137" s="2" t="s">
        <v>97</v>
      </c>
      <c r="P1137" s="2" t="s">
        <v>225</v>
      </c>
      <c r="Q1137" s="2" t="s">
        <v>99</v>
      </c>
      <c r="R1137" s="2" t="s">
        <v>100</v>
      </c>
      <c r="S1137" s="2" t="s">
        <v>3680</v>
      </c>
      <c r="T1137" s="2" t="s">
        <v>218</v>
      </c>
      <c r="U1137" s="2" t="s">
        <v>480</v>
      </c>
      <c r="V1137" s="2" t="s">
        <v>146</v>
      </c>
      <c r="W1137" s="2" t="s">
        <v>561</v>
      </c>
      <c r="X1137" s="2" t="s">
        <v>100</v>
      </c>
      <c r="Y1137" s="2" t="s">
        <v>3685</v>
      </c>
      <c r="Z1137" s="4">
        <v>500</v>
      </c>
      <c r="AA1137" s="4">
        <f>=ROUNDDOWN(51.5463917525773,0)</f>
      </c>
      <c r="AB1137" s="5">
        <v>9.7</v>
      </c>
      <c r="AC1137" s="2" t="s">
        <v>3015</v>
      </c>
      <c r="AD1137" s="4">
        <v>300</v>
      </c>
      <c r="AE1137" s="4">
        <v>300</v>
      </c>
      <c r="AF1137" s="6">
        <v>63</v>
      </c>
      <c r="AG1137" s="6">
        <v>46</v>
      </c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238</v>
      </c>
      <c r="BK1137" s="8">
        <v>5229.05</v>
      </c>
      <c r="BL1137" s="2" t="s">
        <v>3621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2480</v>
      </c>
      <c r="BV1137" s="2" t="s">
        <v>97</v>
      </c>
      <c r="BW1137" s="2" t="s">
        <v>100</v>
      </c>
      <c r="BX1137" s="2" t="s">
        <v>100</v>
      </c>
      <c r="BY1137" s="2" t="s">
        <v>113</v>
      </c>
      <c r="BZ1137" s="2" t="s">
        <v>245</v>
      </c>
    </row>
    <row r="1138">
      <c r="A1138" s="2" t="s">
        <v>3794</v>
      </c>
      <c r="B1138" s="2" t="s">
        <v>87</v>
      </c>
      <c r="C1138" s="2" t="s">
        <v>3413</v>
      </c>
      <c r="D1138" s="2" t="s">
        <v>1638</v>
      </c>
      <c r="E1138" s="2" t="s">
        <v>1639</v>
      </c>
      <c r="F1138" s="2" t="s">
        <v>3602</v>
      </c>
      <c r="G1138" s="2" t="s">
        <v>3603</v>
      </c>
      <c r="H1138" s="2" t="s">
        <v>3604</v>
      </c>
      <c r="I1138" s="2" t="s">
        <v>3746</v>
      </c>
      <c r="J1138" s="2" t="s">
        <v>706</v>
      </c>
      <c r="K1138" s="2" t="s">
        <v>209</v>
      </c>
      <c r="L1138" s="3">
        <v>20.23</v>
      </c>
      <c r="M1138" s="3">
        <v>21.24</v>
      </c>
      <c r="N1138" s="3">
        <v>42.49</v>
      </c>
      <c r="O1138" s="2" t="s">
        <v>97</v>
      </c>
      <c r="P1138" s="2" t="s">
        <v>307</v>
      </c>
      <c r="Q1138" s="2" t="s">
        <v>99</v>
      </c>
      <c r="R1138" s="2" t="s">
        <v>100</v>
      </c>
      <c r="S1138" s="2" t="s">
        <v>3680</v>
      </c>
      <c r="T1138" s="2" t="s">
        <v>218</v>
      </c>
      <c r="U1138" s="2" t="s">
        <v>480</v>
      </c>
      <c r="V1138" s="2" t="s">
        <v>146</v>
      </c>
      <c r="W1138" s="2" t="s">
        <v>561</v>
      </c>
      <c r="X1138" s="2" t="s">
        <v>100</v>
      </c>
      <c r="Y1138" s="2" t="s">
        <v>3437</v>
      </c>
      <c r="Z1138" s="4">
        <v>3434</v>
      </c>
      <c r="AA1138" s="4">
        <f>=ROUNDDOWN(32.0934579439252,0)</f>
      </c>
      <c r="AB1138" s="5">
        <v>107</v>
      </c>
      <c r="AC1138" s="2" t="s">
        <v>184</v>
      </c>
      <c r="AD1138" s="4">
        <v>800</v>
      </c>
      <c r="AE1138" s="4">
        <v>1200</v>
      </c>
      <c r="AF1138" s="6">
        <v>63</v>
      </c>
      <c r="AG1138" s="6">
        <v>46</v>
      </c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4494</v>
      </c>
      <c r="BK1138" s="8">
        <v>94521.36</v>
      </c>
      <c r="BL1138" s="2" t="s">
        <v>3444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2480</v>
      </c>
      <c r="BV1138" s="2" t="s">
        <v>97</v>
      </c>
      <c r="BW1138" s="2" t="s">
        <v>100</v>
      </c>
      <c r="BX1138" s="2" t="s">
        <v>100</v>
      </c>
      <c r="BY1138" s="2" t="s">
        <v>113</v>
      </c>
      <c r="BZ1138" s="2" t="s">
        <v>245</v>
      </c>
    </row>
    <row r="1139">
      <c r="A1139" s="2" t="s">
        <v>3795</v>
      </c>
      <c r="B1139" s="2" t="s">
        <v>87</v>
      </c>
      <c r="C1139" s="2" t="s">
        <v>3413</v>
      </c>
      <c r="D1139" s="2" t="s">
        <v>1638</v>
      </c>
      <c r="E1139" s="2" t="s">
        <v>1639</v>
      </c>
      <c r="F1139" s="2" t="s">
        <v>3602</v>
      </c>
      <c r="G1139" s="2" t="s">
        <v>3603</v>
      </c>
      <c r="H1139" s="2" t="s">
        <v>3604</v>
      </c>
      <c r="I1139" s="2" t="s">
        <v>3746</v>
      </c>
      <c r="J1139" s="2" t="s">
        <v>714</v>
      </c>
      <c r="K1139" s="2" t="s">
        <v>209</v>
      </c>
      <c r="L1139" s="3">
        <v>22.61</v>
      </c>
      <c r="M1139" s="3">
        <v>23.74</v>
      </c>
      <c r="N1139" s="3">
        <v>47.49</v>
      </c>
      <c r="O1139" s="2" t="s">
        <v>97</v>
      </c>
      <c r="P1139" s="2" t="s">
        <v>307</v>
      </c>
      <c r="Q1139" s="2" t="s">
        <v>99</v>
      </c>
      <c r="R1139" s="2" t="s">
        <v>100</v>
      </c>
      <c r="S1139" s="2" t="s">
        <v>3680</v>
      </c>
      <c r="T1139" s="2" t="s">
        <v>218</v>
      </c>
      <c r="U1139" s="2" t="s">
        <v>480</v>
      </c>
      <c r="V1139" s="2" t="s">
        <v>146</v>
      </c>
      <c r="W1139" s="2" t="s">
        <v>561</v>
      </c>
      <c r="X1139" s="2" t="s">
        <v>100</v>
      </c>
      <c r="Y1139" s="2" t="s">
        <v>3531</v>
      </c>
      <c r="Z1139" s="4">
        <v>3688</v>
      </c>
      <c r="AA1139" s="4">
        <f>=ROUNDDOWN(26.5323741007194,0)</f>
      </c>
      <c r="AB1139" s="5">
        <v>139</v>
      </c>
      <c r="AC1139" s="2" t="s">
        <v>184</v>
      </c>
      <c r="AD1139" s="4">
        <v>1360</v>
      </c>
      <c r="AE1139" s="4">
        <v>1360</v>
      </c>
      <c r="AF1139" s="6">
        <v>63</v>
      </c>
      <c r="AG1139" s="6">
        <v>46</v>
      </c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4893</v>
      </c>
      <c r="BK1139" s="8">
        <v>116171.94</v>
      </c>
      <c r="BL1139" s="2" t="s">
        <v>3444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2480</v>
      </c>
      <c r="BV1139" s="2" t="s">
        <v>97</v>
      </c>
      <c r="BW1139" s="2" t="s">
        <v>100</v>
      </c>
      <c r="BX1139" s="2" t="s">
        <v>100</v>
      </c>
      <c r="BY1139" s="2" t="s">
        <v>113</v>
      </c>
      <c r="BZ1139" s="2" t="s">
        <v>245</v>
      </c>
    </row>
    <row r="1140">
      <c r="A1140" s="2" t="s">
        <v>3796</v>
      </c>
      <c r="B1140" s="2" t="s">
        <v>87</v>
      </c>
      <c r="C1140" s="2" t="s">
        <v>3413</v>
      </c>
      <c r="D1140" s="2" t="s">
        <v>1638</v>
      </c>
      <c r="E1140" s="2" t="s">
        <v>1639</v>
      </c>
      <c r="F1140" s="2" t="s">
        <v>3602</v>
      </c>
      <c r="G1140" s="2" t="s">
        <v>3603</v>
      </c>
      <c r="H1140" s="2" t="s">
        <v>3604</v>
      </c>
      <c r="I1140" s="2" t="s">
        <v>3746</v>
      </c>
      <c r="J1140" s="2" t="s">
        <v>817</v>
      </c>
      <c r="K1140" s="2" t="s">
        <v>209</v>
      </c>
      <c r="L1140" s="3">
        <v>23.57</v>
      </c>
      <c r="M1140" s="3">
        <v>24.75</v>
      </c>
      <c r="N1140" s="3">
        <v>44.99</v>
      </c>
      <c r="O1140" s="2" t="s">
        <v>97</v>
      </c>
      <c r="P1140" s="2" t="s">
        <v>225</v>
      </c>
      <c r="Q1140" s="2" t="s">
        <v>99</v>
      </c>
      <c r="R1140" s="2" t="s">
        <v>100</v>
      </c>
      <c r="S1140" s="2" t="s">
        <v>3680</v>
      </c>
      <c r="T1140" s="2" t="s">
        <v>218</v>
      </c>
      <c r="U1140" s="2" t="s">
        <v>480</v>
      </c>
      <c r="V1140" s="2" t="s">
        <v>146</v>
      </c>
      <c r="W1140" s="2" t="s">
        <v>561</v>
      </c>
      <c r="X1140" s="2" t="s">
        <v>100</v>
      </c>
      <c r="Y1140" s="2" t="s">
        <v>3685</v>
      </c>
      <c r="Z1140" s="4">
        <v>2036</v>
      </c>
      <c r="AA1140" s="4">
        <f>=ROUNDDOWN(112.486187845304,0)</f>
      </c>
      <c r="AB1140" s="5">
        <v>18.1</v>
      </c>
      <c r="AC1140" s="2" t="s">
        <v>356</v>
      </c>
      <c r="AD1140" s="4">
        <v>4416</v>
      </c>
      <c r="AE1140" s="4">
        <v>4416</v>
      </c>
      <c r="AF1140" s="6">
        <v>63</v>
      </c>
      <c r="AG1140" s="6">
        <v>46</v>
      </c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267</v>
      </c>
      <c r="BK1140" s="8">
        <v>6833.36</v>
      </c>
      <c r="BL1140" s="2" t="s">
        <v>3686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2480</v>
      </c>
      <c r="BV1140" s="2" t="s">
        <v>97</v>
      </c>
      <c r="BW1140" s="2" t="s">
        <v>100</v>
      </c>
      <c r="BX1140" s="2" t="s">
        <v>100</v>
      </c>
      <c r="BY1140" s="2" t="s">
        <v>113</v>
      </c>
      <c r="BZ1140" s="2" t="s">
        <v>245</v>
      </c>
    </row>
    <row r="1141">
      <c r="A1141" s="2" t="s">
        <v>3797</v>
      </c>
      <c r="B1141" s="2" t="s">
        <v>87</v>
      </c>
      <c r="C1141" s="2" t="s">
        <v>3413</v>
      </c>
      <c r="D1141" s="2" t="s">
        <v>1638</v>
      </c>
      <c r="E1141" s="2" t="s">
        <v>1639</v>
      </c>
      <c r="F1141" s="2" t="s">
        <v>3602</v>
      </c>
      <c r="G1141" s="2" t="s">
        <v>3603</v>
      </c>
      <c r="H1141" s="2" t="s">
        <v>3604</v>
      </c>
      <c r="I1141" s="2" t="s">
        <v>3746</v>
      </c>
      <c r="J1141" s="2" t="s">
        <v>237</v>
      </c>
      <c r="K1141" s="2" t="s">
        <v>3688</v>
      </c>
      <c r="L1141" s="3">
        <v>15.47</v>
      </c>
      <c r="M1141" s="3">
        <v>16.24</v>
      </c>
      <c r="N1141" s="3">
        <v>29.99</v>
      </c>
      <c r="O1141" s="2" t="s">
        <v>97</v>
      </c>
      <c r="P1141" s="2" t="s">
        <v>225</v>
      </c>
      <c r="Q1141" s="2" t="s">
        <v>99</v>
      </c>
      <c r="R1141" s="2" t="s">
        <v>100</v>
      </c>
      <c r="S1141" s="2" t="s">
        <v>3689</v>
      </c>
      <c r="T1141" s="2" t="s">
        <v>218</v>
      </c>
      <c r="U1141" s="2" t="s">
        <v>514</v>
      </c>
      <c r="V1141" s="2" t="s">
        <v>146</v>
      </c>
      <c r="W1141" s="2" t="s">
        <v>561</v>
      </c>
      <c r="X1141" s="2" t="s">
        <v>100</v>
      </c>
      <c r="Y1141" s="2" t="s">
        <v>3667</v>
      </c>
      <c r="Z1141" s="4">
        <v>99</v>
      </c>
      <c r="AA1141" s="4">
        <f>=ROUNDDOWN(18.3333333333333,0)</f>
      </c>
      <c r="AB1141" s="5">
        <v>5.4</v>
      </c>
      <c r="AC1141" s="2" t="s">
        <v>205</v>
      </c>
      <c r="AD1141" s="4">
        <v>36</v>
      </c>
      <c r="AE1141" s="4">
        <v>36</v>
      </c>
      <c r="AF1141" s="6">
        <v>63</v>
      </c>
      <c r="AG1141" s="6">
        <v>46</v>
      </c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52</v>
      </c>
      <c r="BK1141" s="8">
        <v>929.49</v>
      </c>
      <c r="BL1141" s="2" t="s">
        <v>3798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2480</v>
      </c>
      <c r="BV1141" s="2" t="s">
        <v>97</v>
      </c>
      <c r="BW1141" s="2" t="s">
        <v>100</v>
      </c>
      <c r="BX1141" s="2" t="s">
        <v>100</v>
      </c>
      <c r="BY1141" s="2" t="s">
        <v>113</v>
      </c>
      <c r="BZ1141" s="2" t="s">
        <v>245</v>
      </c>
    </row>
    <row r="1142">
      <c r="A1142" s="2" t="s">
        <v>3799</v>
      </c>
      <c r="B1142" s="2" t="s">
        <v>87</v>
      </c>
      <c r="C1142" s="2" t="s">
        <v>3413</v>
      </c>
      <c r="D1142" s="2" t="s">
        <v>1638</v>
      </c>
      <c r="E1142" s="2" t="s">
        <v>1639</v>
      </c>
      <c r="F1142" s="2" t="s">
        <v>3602</v>
      </c>
      <c r="G1142" s="2" t="s">
        <v>3603</v>
      </c>
      <c r="H1142" s="2" t="s">
        <v>3604</v>
      </c>
      <c r="I1142" s="2" t="s">
        <v>3746</v>
      </c>
      <c r="J1142" s="2" t="s">
        <v>717</v>
      </c>
      <c r="K1142" s="2" t="s">
        <v>3688</v>
      </c>
      <c r="L1142" s="3">
        <v>19.76</v>
      </c>
      <c r="M1142" s="3">
        <v>20.75</v>
      </c>
      <c r="N1142" s="3">
        <v>39.99</v>
      </c>
      <c r="O1142" s="2" t="s">
        <v>97</v>
      </c>
      <c r="P1142" s="2" t="s">
        <v>225</v>
      </c>
      <c r="Q1142" s="2" t="s">
        <v>99</v>
      </c>
      <c r="R1142" s="2" t="s">
        <v>100</v>
      </c>
      <c r="S1142" s="2" t="s">
        <v>3689</v>
      </c>
      <c r="T1142" s="2" t="s">
        <v>218</v>
      </c>
      <c r="U1142" s="2" t="s">
        <v>480</v>
      </c>
      <c r="V1142" s="2" t="s">
        <v>146</v>
      </c>
      <c r="W1142" s="2" t="s">
        <v>561</v>
      </c>
      <c r="X1142" s="2" t="s">
        <v>100</v>
      </c>
      <c r="Y1142" s="2" t="s">
        <v>3631</v>
      </c>
      <c r="Z1142" s="4">
        <v>180</v>
      </c>
      <c r="AA1142" s="4">
        <f>=ROUNDDOWN(32.7272727272727,0)</f>
      </c>
      <c r="AB1142" s="5">
        <v>5.5</v>
      </c>
      <c r="AC1142" s="2" t="s">
        <v>100</v>
      </c>
      <c r="AD1142" s="4"/>
      <c r="AE1142" s="4"/>
      <c r="AF1142" s="6">
        <v>63</v>
      </c>
      <c r="AG1142" s="6">
        <v>46</v>
      </c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28</v>
      </c>
      <c r="BK1142" s="8">
        <v>586.12</v>
      </c>
      <c r="BL1142" s="2" t="s">
        <v>3800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2480</v>
      </c>
      <c r="BV1142" s="2" t="s">
        <v>97</v>
      </c>
      <c r="BW1142" s="2" t="s">
        <v>100</v>
      </c>
      <c r="BX1142" s="2" t="s">
        <v>100</v>
      </c>
      <c r="BY1142" s="2" t="s">
        <v>113</v>
      </c>
      <c r="BZ1142" s="2" t="s">
        <v>245</v>
      </c>
    </row>
    <row r="1143">
      <c r="A1143" s="2" t="s">
        <v>3801</v>
      </c>
      <c r="B1143" s="2" t="s">
        <v>87</v>
      </c>
      <c r="C1143" s="2" t="s">
        <v>3413</v>
      </c>
      <c r="D1143" s="2" t="s">
        <v>1638</v>
      </c>
      <c r="E1143" s="2" t="s">
        <v>1639</v>
      </c>
      <c r="F1143" s="2" t="s">
        <v>3602</v>
      </c>
      <c r="G1143" s="2" t="s">
        <v>3603</v>
      </c>
      <c r="H1143" s="2" t="s">
        <v>3604</v>
      </c>
      <c r="I1143" s="2" t="s">
        <v>3746</v>
      </c>
      <c r="J1143" s="2" t="s">
        <v>706</v>
      </c>
      <c r="K1143" s="2" t="s">
        <v>3688</v>
      </c>
      <c r="L1143" s="3">
        <v>20.23</v>
      </c>
      <c r="M1143" s="3">
        <v>21.24</v>
      </c>
      <c r="N1143" s="3">
        <v>39.99</v>
      </c>
      <c r="O1143" s="2" t="s">
        <v>97</v>
      </c>
      <c r="P1143" s="2" t="s">
        <v>225</v>
      </c>
      <c r="Q1143" s="2" t="s">
        <v>99</v>
      </c>
      <c r="R1143" s="2" t="s">
        <v>100</v>
      </c>
      <c r="S1143" s="2" t="s">
        <v>3689</v>
      </c>
      <c r="T1143" s="2" t="s">
        <v>218</v>
      </c>
      <c r="U1143" s="2" t="s">
        <v>480</v>
      </c>
      <c r="V1143" s="2" t="s">
        <v>146</v>
      </c>
      <c r="W1143" s="2" t="s">
        <v>561</v>
      </c>
      <c r="X1143" s="2" t="s">
        <v>100</v>
      </c>
      <c r="Y1143" s="2" t="s">
        <v>3667</v>
      </c>
      <c r="Z1143" s="4">
        <v>276</v>
      </c>
      <c r="AA1143" s="4">
        <f>=ROUNDDOWN(13.8,0)</f>
      </c>
      <c r="AB1143" s="5">
        <v>20</v>
      </c>
      <c r="AC1143" s="2" t="s">
        <v>205</v>
      </c>
      <c r="AD1143" s="4">
        <v>80</v>
      </c>
      <c r="AE1143" s="4">
        <v>80</v>
      </c>
      <c r="AF1143" s="6">
        <v>63</v>
      </c>
      <c r="AG1143" s="6">
        <v>46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190</v>
      </c>
      <c r="BK1143" s="8">
        <v>4155.85</v>
      </c>
      <c r="BL1143" s="2" t="s">
        <v>3648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2480</v>
      </c>
      <c r="BV1143" s="2" t="s">
        <v>97</v>
      </c>
      <c r="BW1143" s="2" t="s">
        <v>100</v>
      </c>
      <c r="BX1143" s="2" t="s">
        <v>100</v>
      </c>
      <c r="BY1143" s="2" t="s">
        <v>113</v>
      </c>
      <c r="BZ1143" s="2" t="s">
        <v>245</v>
      </c>
    </row>
    <row r="1144">
      <c r="A1144" s="2" t="s">
        <v>3802</v>
      </c>
      <c r="B1144" s="2" t="s">
        <v>87</v>
      </c>
      <c r="C1144" s="2" t="s">
        <v>3413</v>
      </c>
      <c r="D1144" s="2" t="s">
        <v>1638</v>
      </c>
      <c r="E1144" s="2" t="s">
        <v>1639</v>
      </c>
      <c r="F1144" s="2" t="s">
        <v>3602</v>
      </c>
      <c r="G1144" s="2" t="s">
        <v>3603</v>
      </c>
      <c r="H1144" s="2" t="s">
        <v>3604</v>
      </c>
      <c r="I1144" s="2" t="s">
        <v>3746</v>
      </c>
      <c r="J1144" s="2" t="s">
        <v>714</v>
      </c>
      <c r="K1144" s="2" t="s">
        <v>3688</v>
      </c>
      <c r="L1144" s="3">
        <v>22.61</v>
      </c>
      <c r="M1144" s="3">
        <v>23.74</v>
      </c>
      <c r="N1144" s="3">
        <v>44.99</v>
      </c>
      <c r="O1144" s="2" t="s">
        <v>97</v>
      </c>
      <c r="P1144" s="2" t="s">
        <v>225</v>
      </c>
      <c r="Q1144" s="2" t="s">
        <v>99</v>
      </c>
      <c r="R1144" s="2" t="s">
        <v>100</v>
      </c>
      <c r="S1144" s="2" t="s">
        <v>3689</v>
      </c>
      <c r="T1144" s="2" t="s">
        <v>218</v>
      </c>
      <c r="U1144" s="2" t="s">
        <v>480</v>
      </c>
      <c r="V1144" s="2" t="s">
        <v>146</v>
      </c>
      <c r="W1144" s="2" t="s">
        <v>561</v>
      </c>
      <c r="X1144" s="2" t="s">
        <v>100</v>
      </c>
      <c r="Y1144" s="2" t="s">
        <v>3667</v>
      </c>
      <c r="Z1144" s="4">
        <v>121</v>
      </c>
      <c r="AA1144" s="4">
        <f>=ROUNDDOWN(5.62790697674419,0)</f>
      </c>
      <c r="AB1144" s="5">
        <v>21.5</v>
      </c>
      <c r="AC1144" s="2" t="s">
        <v>205</v>
      </c>
      <c r="AD1144" s="4">
        <v>124</v>
      </c>
      <c r="AE1144" s="4">
        <v>124</v>
      </c>
      <c r="AF1144" s="6">
        <v>63</v>
      </c>
      <c r="AG1144" s="6">
        <v>46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201</v>
      </c>
      <c r="BK1144" s="8">
        <v>4859.83</v>
      </c>
      <c r="BL1144" s="2" t="s">
        <v>3648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2480</v>
      </c>
      <c r="BV1144" s="2" t="s">
        <v>97</v>
      </c>
      <c r="BW1144" s="2" t="s">
        <v>100</v>
      </c>
      <c r="BX1144" s="2" t="s">
        <v>100</v>
      </c>
      <c r="BY1144" s="2" t="s">
        <v>113</v>
      </c>
      <c r="BZ1144" s="2" t="s">
        <v>245</v>
      </c>
    </row>
    <row r="1145">
      <c r="A1145" s="2" t="s">
        <v>3803</v>
      </c>
      <c r="B1145" s="2" t="s">
        <v>87</v>
      </c>
      <c r="C1145" s="2" t="s">
        <v>3413</v>
      </c>
      <c r="D1145" s="2" t="s">
        <v>1638</v>
      </c>
      <c r="E1145" s="2" t="s">
        <v>1639</v>
      </c>
      <c r="F1145" s="2" t="s">
        <v>3602</v>
      </c>
      <c r="G1145" s="2" t="s">
        <v>3603</v>
      </c>
      <c r="H1145" s="2" t="s">
        <v>3604</v>
      </c>
      <c r="I1145" s="2" t="s">
        <v>3746</v>
      </c>
      <c r="J1145" s="2" t="s">
        <v>817</v>
      </c>
      <c r="K1145" s="2" t="s">
        <v>3688</v>
      </c>
      <c r="L1145" s="3">
        <v>23.57</v>
      </c>
      <c r="M1145" s="3">
        <v>24.75</v>
      </c>
      <c r="N1145" s="3">
        <v>44.99</v>
      </c>
      <c r="O1145" s="2" t="s">
        <v>97</v>
      </c>
      <c r="P1145" s="2" t="s">
        <v>225</v>
      </c>
      <c r="Q1145" s="2" t="s">
        <v>99</v>
      </c>
      <c r="R1145" s="2" t="s">
        <v>100</v>
      </c>
      <c r="S1145" s="2" t="s">
        <v>3689</v>
      </c>
      <c r="T1145" s="2" t="s">
        <v>218</v>
      </c>
      <c r="U1145" s="2" t="s">
        <v>480</v>
      </c>
      <c r="V1145" s="2" t="s">
        <v>146</v>
      </c>
      <c r="W1145" s="2" t="s">
        <v>561</v>
      </c>
      <c r="X1145" s="2" t="s">
        <v>100</v>
      </c>
      <c r="Y1145" s="2" t="s">
        <v>3631</v>
      </c>
      <c r="Z1145" s="4">
        <v>78</v>
      </c>
      <c r="AA1145" s="4">
        <f>=ROUNDDOWN(11.8181818181818,0)</f>
      </c>
      <c r="AB1145" s="5">
        <v>6.6</v>
      </c>
      <c r="AC1145" s="2" t="s">
        <v>356</v>
      </c>
      <c r="AD1145" s="4">
        <v>332</v>
      </c>
      <c r="AE1145" s="4">
        <v>332</v>
      </c>
      <c r="AF1145" s="6">
        <v>63</v>
      </c>
      <c r="AG1145" s="6">
        <v>46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27</v>
      </c>
      <c r="BK1145" s="8">
        <v>791.71</v>
      </c>
      <c r="BL1145" s="2" t="s">
        <v>3804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2480</v>
      </c>
      <c r="BV1145" s="2" t="s">
        <v>97</v>
      </c>
      <c r="BW1145" s="2" t="s">
        <v>100</v>
      </c>
      <c r="BX1145" s="2" t="s">
        <v>100</v>
      </c>
      <c r="BY1145" s="2" t="s">
        <v>113</v>
      </c>
      <c r="BZ1145" s="2" t="s">
        <v>245</v>
      </c>
    </row>
    <row r="1146">
      <c r="A1146" s="2" t="s">
        <v>3805</v>
      </c>
      <c r="B1146" s="2" t="s">
        <v>87</v>
      </c>
      <c r="C1146" s="2" t="s">
        <v>3413</v>
      </c>
      <c r="D1146" s="2" t="s">
        <v>1638</v>
      </c>
      <c r="E1146" s="2" t="s">
        <v>1639</v>
      </c>
      <c r="F1146" s="2" t="s">
        <v>3602</v>
      </c>
      <c r="G1146" s="2" t="s">
        <v>3603</v>
      </c>
      <c r="H1146" s="2" t="s">
        <v>3604</v>
      </c>
      <c r="I1146" s="2" t="s">
        <v>3746</v>
      </c>
      <c r="J1146" s="2" t="s">
        <v>237</v>
      </c>
      <c r="K1146" s="2" t="s">
        <v>878</v>
      </c>
      <c r="L1146" s="3">
        <v>15.47</v>
      </c>
      <c r="M1146" s="3">
        <v>16.24</v>
      </c>
      <c r="N1146" s="3">
        <v>29.99</v>
      </c>
      <c r="O1146" s="2" t="s">
        <v>97</v>
      </c>
      <c r="P1146" s="2" t="s">
        <v>225</v>
      </c>
      <c r="Q1146" s="2" t="s">
        <v>99</v>
      </c>
      <c r="R1146" s="2" t="s">
        <v>100</v>
      </c>
      <c r="S1146" s="2" t="s">
        <v>3697</v>
      </c>
      <c r="T1146" s="2" t="s">
        <v>218</v>
      </c>
      <c r="U1146" s="2" t="s">
        <v>514</v>
      </c>
      <c r="V1146" s="2" t="s">
        <v>146</v>
      </c>
      <c r="W1146" s="2" t="s">
        <v>561</v>
      </c>
      <c r="X1146" s="2" t="s">
        <v>100</v>
      </c>
      <c r="Y1146" s="2" t="s">
        <v>3667</v>
      </c>
      <c r="Z1146" s="4">
        <v>82</v>
      </c>
      <c r="AA1146" s="4">
        <f>=ROUNDDOWN(16.078431372549,0)</f>
      </c>
      <c r="AB1146" s="5">
        <v>5.1</v>
      </c>
      <c r="AC1146" s="2" t="s">
        <v>205</v>
      </c>
      <c r="AD1146" s="4">
        <v>28</v>
      </c>
      <c r="AE1146" s="4">
        <v>28</v>
      </c>
      <c r="AF1146" s="6">
        <v>63</v>
      </c>
      <c r="AG1146" s="6">
        <v>46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58</v>
      </c>
      <c r="BK1146" s="8">
        <v>998.92</v>
      </c>
      <c r="BL1146" s="2" t="s">
        <v>3806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2480</v>
      </c>
      <c r="BV1146" s="2" t="s">
        <v>97</v>
      </c>
      <c r="BW1146" s="2" t="s">
        <v>100</v>
      </c>
      <c r="BX1146" s="2" t="s">
        <v>100</v>
      </c>
      <c r="BY1146" s="2" t="s">
        <v>113</v>
      </c>
      <c r="BZ1146" s="2" t="s">
        <v>245</v>
      </c>
    </row>
    <row r="1147">
      <c r="A1147" s="2" t="s">
        <v>3807</v>
      </c>
      <c r="B1147" s="2" t="s">
        <v>87</v>
      </c>
      <c r="C1147" s="2" t="s">
        <v>3413</v>
      </c>
      <c r="D1147" s="2" t="s">
        <v>1638</v>
      </c>
      <c r="E1147" s="2" t="s">
        <v>1639</v>
      </c>
      <c r="F1147" s="2" t="s">
        <v>3602</v>
      </c>
      <c r="G1147" s="2" t="s">
        <v>3603</v>
      </c>
      <c r="H1147" s="2" t="s">
        <v>3604</v>
      </c>
      <c r="I1147" s="2" t="s">
        <v>3746</v>
      </c>
      <c r="J1147" s="2" t="s">
        <v>717</v>
      </c>
      <c r="K1147" s="2" t="s">
        <v>878</v>
      </c>
      <c r="L1147" s="3">
        <v>19.76</v>
      </c>
      <c r="M1147" s="3">
        <v>20.75</v>
      </c>
      <c r="N1147" s="3">
        <v>39.99</v>
      </c>
      <c r="O1147" s="2" t="s">
        <v>97</v>
      </c>
      <c r="P1147" s="2" t="s">
        <v>225</v>
      </c>
      <c r="Q1147" s="2" t="s">
        <v>99</v>
      </c>
      <c r="R1147" s="2" t="s">
        <v>100</v>
      </c>
      <c r="S1147" s="2" t="s">
        <v>3697</v>
      </c>
      <c r="T1147" s="2" t="s">
        <v>218</v>
      </c>
      <c r="U1147" s="2" t="s">
        <v>480</v>
      </c>
      <c r="V1147" s="2" t="s">
        <v>146</v>
      </c>
      <c r="W1147" s="2" t="s">
        <v>561</v>
      </c>
      <c r="X1147" s="2" t="s">
        <v>100</v>
      </c>
      <c r="Y1147" s="2" t="s">
        <v>3631</v>
      </c>
      <c r="Z1147" s="4">
        <v>186</v>
      </c>
      <c r="AA1147" s="4">
        <f>=ROUNDDOWN(74.4,0)</f>
      </c>
      <c r="AB1147" s="5">
        <v>2.5</v>
      </c>
      <c r="AC1147" s="2" t="s">
        <v>100</v>
      </c>
      <c r="AD1147" s="4"/>
      <c r="AE1147" s="4"/>
      <c r="AF1147" s="6">
        <v>63</v>
      </c>
      <c r="AG1147" s="6">
        <v>46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12</v>
      </c>
      <c r="BK1147" s="8">
        <v>243.36</v>
      </c>
      <c r="BL1147" s="2" t="s">
        <v>3753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2480</v>
      </c>
      <c r="BV1147" s="2" t="s">
        <v>97</v>
      </c>
      <c r="BW1147" s="2" t="s">
        <v>100</v>
      </c>
      <c r="BX1147" s="2" t="s">
        <v>100</v>
      </c>
      <c r="BY1147" s="2" t="s">
        <v>113</v>
      </c>
      <c r="BZ1147" s="2" t="s">
        <v>245</v>
      </c>
    </row>
    <row r="1148">
      <c r="A1148" s="2" t="s">
        <v>3808</v>
      </c>
      <c r="B1148" s="2" t="s">
        <v>87</v>
      </c>
      <c r="C1148" s="2" t="s">
        <v>3413</v>
      </c>
      <c r="D1148" s="2" t="s">
        <v>1638</v>
      </c>
      <c r="E1148" s="2" t="s">
        <v>1639</v>
      </c>
      <c r="F1148" s="2" t="s">
        <v>3602</v>
      </c>
      <c r="G1148" s="2" t="s">
        <v>3603</v>
      </c>
      <c r="H1148" s="2" t="s">
        <v>3604</v>
      </c>
      <c r="I1148" s="2" t="s">
        <v>3746</v>
      </c>
      <c r="J1148" s="2" t="s">
        <v>706</v>
      </c>
      <c r="K1148" s="2" t="s">
        <v>878</v>
      </c>
      <c r="L1148" s="3">
        <v>20.23</v>
      </c>
      <c r="M1148" s="3">
        <v>21.24</v>
      </c>
      <c r="N1148" s="3">
        <v>39.99</v>
      </c>
      <c r="O1148" s="2" t="s">
        <v>97</v>
      </c>
      <c r="P1148" s="2" t="s">
        <v>225</v>
      </c>
      <c r="Q1148" s="2" t="s">
        <v>99</v>
      </c>
      <c r="R1148" s="2" t="s">
        <v>100</v>
      </c>
      <c r="S1148" s="2" t="s">
        <v>3697</v>
      </c>
      <c r="T1148" s="2" t="s">
        <v>218</v>
      </c>
      <c r="U1148" s="2" t="s">
        <v>480</v>
      </c>
      <c r="V1148" s="2" t="s">
        <v>146</v>
      </c>
      <c r="W1148" s="2" t="s">
        <v>561</v>
      </c>
      <c r="X1148" s="2" t="s">
        <v>100</v>
      </c>
      <c r="Y1148" s="2" t="s">
        <v>3667</v>
      </c>
      <c r="Z1148" s="4">
        <v>290</v>
      </c>
      <c r="AA1148" s="4">
        <f>=ROUNDDOWN(13.4259259259259,0)</f>
      </c>
      <c r="AB1148" s="5">
        <v>21.6</v>
      </c>
      <c r="AC1148" s="2" t="s">
        <v>205</v>
      </c>
      <c r="AD1148" s="4">
        <v>100</v>
      </c>
      <c r="AE1148" s="4">
        <v>100</v>
      </c>
      <c r="AF1148" s="6">
        <v>63</v>
      </c>
      <c r="AG1148" s="6">
        <v>46</v>
      </c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193</v>
      </c>
      <c r="BK1148" s="8">
        <v>4200.18</v>
      </c>
      <c r="BL1148" s="2" t="s">
        <v>3648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2480</v>
      </c>
      <c r="BV1148" s="2" t="s">
        <v>97</v>
      </c>
      <c r="BW1148" s="2" t="s">
        <v>100</v>
      </c>
      <c r="BX1148" s="2" t="s">
        <v>100</v>
      </c>
      <c r="BY1148" s="2" t="s">
        <v>113</v>
      </c>
      <c r="BZ1148" s="2" t="s">
        <v>245</v>
      </c>
    </row>
    <row r="1149">
      <c r="A1149" s="2" t="s">
        <v>3809</v>
      </c>
      <c r="B1149" s="2" t="s">
        <v>87</v>
      </c>
      <c r="C1149" s="2" t="s">
        <v>3413</v>
      </c>
      <c r="D1149" s="2" t="s">
        <v>1638</v>
      </c>
      <c r="E1149" s="2" t="s">
        <v>1639</v>
      </c>
      <c r="F1149" s="2" t="s">
        <v>3602</v>
      </c>
      <c r="G1149" s="2" t="s">
        <v>3603</v>
      </c>
      <c r="H1149" s="2" t="s">
        <v>3604</v>
      </c>
      <c r="I1149" s="2" t="s">
        <v>3746</v>
      </c>
      <c r="J1149" s="2" t="s">
        <v>714</v>
      </c>
      <c r="K1149" s="2" t="s">
        <v>878</v>
      </c>
      <c r="L1149" s="3">
        <v>22.61</v>
      </c>
      <c r="M1149" s="3">
        <v>23.74</v>
      </c>
      <c r="N1149" s="3">
        <v>44.99</v>
      </c>
      <c r="O1149" s="2" t="s">
        <v>97</v>
      </c>
      <c r="P1149" s="2" t="s">
        <v>225</v>
      </c>
      <c r="Q1149" s="2" t="s">
        <v>99</v>
      </c>
      <c r="R1149" s="2" t="s">
        <v>100</v>
      </c>
      <c r="S1149" s="2" t="s">
        <v>3697</v>
      </c>
      <c r="T1149" s="2" t="s">
        <v>218</v>
      </c>
      <c r="U1149" s="2" t="s">
        <v>480</v>
      </c>
      <c r="V1149" s="2" t="s">
        <v>146</v>
      </c>
      <c r="W1149" s="2" t="s">
        <v>561</v>
      </c>
      <c r="X1149" s="2" t="s">
        <v>100</v>
      </c>
      <c r="Y1149" s="2" t="s">
        <v>3667</v>
      </c>
      <c r="Z1149" s="4">
        <v>277</v>
      </c>
      <c r="AA1149" s="4">
        <f>=ROUNDDOWN(21.640625,0)</f>
      </c>
      <c r="AB1149" s="5">
        <v>12.8</v>
      </c>
      <c r="AC1149" s="2" t="s">
        <v>205</v>
      </c>
      <c r="AD1149" s="4">
        <v>116</v>
      </c>
      <c r="AE1149" s="4">
        <v>116</v>
      </c>
      <c r="AF1149" s="6">
        <v>63</v>
      </c>
      <c r="AG1149" s="6">
        <v>46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111</v>
      </c>
      <c r="BK1149" s="8">
        <v>2676.82</v>
      </c>
      <c r="BL1149" s="2" t="s">
        <v>3810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2480</v>
      </c>
      <c r="BV1149" s="2" t="s">
        <v>97</v>
      </c>
      <c r="BW1149" s="2" t="s">
        <v>100</v>
      </c>
      <c r="BX1149" s="2" t="s">
        <v>100</v>
      </c>
      <c r="BY1149" s="2" t="s">
        <v>113</v>
      </c>
      <c r="BZ1149" s="2" t="s">
        <v>245</v>
      </c>
    </row>
    <row r="1150">
      <c r="A1150" s="2" t="s">
        <v>3811</v>
      </c>
      <c r="B1150" s="2" t="s">
        <v>87</v>
      </c>
      <c r="C1150" s="2" t="s">
        <v>3413</v>
      </c>
      <c r="D1150" s="2" t="s">
        <v>1638</v>
      </c>
      <c r="E1150" s="2" t="s">
        <v>1639</v>
      </c>
      <c r="F1150" s="2" t="s">
        <v>3602</v>
      </c>
      <c r="G1150" s="2" t="s">
        <v>3603</v>
      </c>
      <c r="H1150" s="2" t="s">
        <v>3604</v>
      </c>
      <c r="I1150" s="2" t="s">
        <v>3746</v>
      </c>
      <c r="J1150" s="2" t="s">
        <v>817</v>
      </c>
      <c r="K1150" s="2" t="s">
        <v>878</v>
      </c>
      <c r="L1150" s="3">
        <v>23.57</v>
      </c>
      <c r="M1150" s="3">
        <v>24.75</v>
      </c>
      <c r="N1150" s="3">
        <v>44.99</v>
      </c>
      <c r="O1150" s="2" t="s">
        <v>97</v>
      </c>
      <c r="P1150" s="2" t="s">
        <v>225</v>
      </c>
      <c r="Q1150" s="2" t="s">
        <v>99</v>
      </c>
      <c r="R1150" s="2" t="s">
        <v>100</v>
      </c>
      <c r="S1150" s="2" t="s">
        <v>3697</v>
      </c>
      <c r="T1150" s="2" t="s">
        <v>218</v>
      </c>
      <c r="U1150" s="2" t="s">
        <v>480</v>
      </c>
      <c r="V1150" s="2" t="s">
        <v>146</v>
      </c>
      <c r="W1150" s="2" t="s">
        <v>561</v>
      </c>
      <c r="X1150" s="2" t="s">
        <v>100</v>
      </c>
      <c r="Y1150" s="2" t="s">
        <v>3631</v>
      </c>
      <c r="Z1150" s="4">
        <v>93</v>
      </c>
      <c r="AA1150" s="4">
        <f>=ROUNDDOWN(25.1351351351351,0)</f>
      </c>
      <c r="AB1150" s="5">
        <v>3.7</v>
      </c>
      <c r="AC1150" s="2" t="s">
        <v>356</v>
      </c>
      <c r="AD1150" s="4">
        <v>240</v>
      </c>
      <c r="AE1150" s="4">
        <v>240</v>
      </c>
      <c r="AF1150" s="6">
        <v>63</v>
      </c>
      <c r="AG1150" s="6">
        <v>46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14</v>
      </c>
      <c r="BK1150" s="8">
        <v>395.6</v>
      </c>
      <c r="BL1150" s="2" t="s">
        <v>3812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2480</v>
      </c>
      <c r="BV1150" s="2" t="s">
        <v>97</v>
      </c>
      <c r="BW1150" s="2" t="s">
        <v>100</v>
      </c>
      <c r="BX1150" s="2" t="s">
        <v>100</v>
      </c>
      <c r="BY1150" s="2" t="s">
        <v>113</v>
      </c>
      <c r="BZ1150" s="2" t="s">
        <v>245</v>
      </c>
    </row>
    <row r="1151">
      <c r="A1151" s="2" t="s">
        <v>3813</v>
      </c>
      <c r="B1151" s="2" t="s">
        <v>87</v>
      </c>
      <c r="C1151" s="2" t="s">
        <v>3413</v>
      </c>
      <c r="D1151" s="2" t="s">
        <v>1638</v>
      </c>
      <c r="E1151" s="2" t="s">
        <v>1639</v>
      </c>
      <c r="F1151" s="2" t="s">
        <v>3602</v>
      </c>
      <c r="G1151" s="2" t="s">
        <v>3603</v>
      </c>
      <c r="H1151" s="2" t="s">
        <v>3604</v>
      </c>
      <c r="I1151" s="2" t="s">
        <v>3746</v>
      </c>
      <c r="J1151" s="2" t="s">
        <v>237</v>
      </c>
      <c r="K1151" s="2" t="s">
        <v>3038</v>
      </c>
      <c r="L1151" s="3">
        <v>15.47</v>
      </c>
      <c r="M1151" s="3">
        <v>16.24</v>
      </c>
      <c r="N1151" s="3">
        <v>32.49</v>
      </c>
      <c r="O1151" s="2" t="s">
        <v>97</v>
      </c>
      <c r="P1151" s="2" t="s">
        <v>307</v>
      </c>
      <c r="Q1151" s="2" t="s">
        <v>99</v>
      </c>
      <c r="R1151" s="2" t="s">
        <v>100</v>
      </c>
      <c r="S1151" s="2" t="s">
        <v>3705</v>
      </c>
      <c r="T1151" s="2" t="s">
        <v>218</v>
      </c>
      <c r="U1151" s="2" t="s">
        <v>514</v>
      </c>
      <c r="V1151" s="2" t="s">
        <v>146</v>
      </c>
      <c r="W1151" s="2" t="s">
        <v>561</v>
      </c>
      <c r="X1151" s="2" t="s">
        <v>100</v>
      </c>
      <c r="Y1151" s="2" t="s">
        <v>3747</v>
      </c>
      <c r="Z1151" s="4">
        <v>153</v>
      </c>
      <c r="AA1151" s="4">
        <f>=ROUNDDOWN(17,0)</f>
      </c>
      <c r="AB1151" s="5">
        <v>9</v>
      </c>
      <c r="AC1151" s="2" t="s">
        <v>931</v>
      </c>
      <c r="AD1151" s="4">
        <v>100</v>
      </c>
      <c r="AE1151" s="4">
        <v>100</v>
      </c>
      <c r="AF1151" s="6">
        <v>63</v>
      </c>
      <c r="AG1151" s="6">
        <v>46</v>
      </c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217</v>
      </c>
      <c r="BK1151" s="8">
        <v>3767.1</v>
      </c>
      <c r="BL1151" s="2" t="s">
        <v>3814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2480</v>
      </c>
      <c r="BV1151" s="2" t="s">
        <v>97</v>
      </c>
      <c r="BW1151" s="2" t="s">
        <v>100</v>
      </c>
      <c r="BX1151" s="2" t="s">
        <v>100</v>
      </c>
      <c r="BY1151" s="2" t="s">
        <v>113</v>
      </c>
      <c r="BZ1151" s="2" t="s">
        <v>245</v>
      </c>
    </row>
    <row r="1152">
      <c r="A1152" s="2" t="s">
        <v>3815</v>
      </c>
      <c r="B1152" s="2" t="s">
        <v>87</v>
      </c>
      <c r="C1152" s="2" t="s">
        <v>3413</v>
      </c>
      <c r="D1152" s="2" t="s">
        <v>1638</v>
      </c>
      <c r="E1152" s="2" t="s">
        <v>1639</v>
      </c>
      <c r="F1152" s="2" t="s">
        <v>3602</v>
      </c>
      <c r="G1152" s="2" t="s">
        <v>3603</v>
      </c>
      <c r="H1152" s="2" t="s">
        <v>3604</v>
      </c>
      <c r="I1152" s="2" t="s">
        <v>3746</v>
      </c>
      <c r="J1152" s="2" t="s">
        <v>717</v>
      </c>
      <c r="K1152" s="2" t="s">
        <v>3038</v>
      </c>
      <c r="L1152" s="3">
        <v>19.76</v>
      </c>
      <c r="M1152" s="3">
        <v>20.75</v>
      </c>
      <c r="N1152" s="3">
        <v>39.99</v>
      </c>
      <c r="O1152" s="2" t="s">
        <v>97</v>
      </c>
      <c r="P1152" s="2" t="s">
        <v>225</v>
      </c>
      <c r="Q1152" s="2" t="s">
        <v>99</v>
      </c>
      <c r="R1152" s="2" t="s">
        <v>100</v>
      </c>
      <c r="S1152" s="2" t="s">
        <v>3705</v>
      </c>
      <c r="T1152" s="2" t="s">
        <v>218</v>
      </c>
      <c r="U1152" s="2" t="s">
        <v>480</v>
      </c>
      <c r="V1152" s="2" t="s">
        <v>146</v>
      </c>
      <c r="W1152" s="2" t="s">
        <v>561</v>
      </c>
      <c r="X1152" s="2" t="s">
        <v>100</v>
      </c>
      <c r="Y1152" s="2" t="s">
        <v>3749</v>
      </c>
      <c r="Z1152" s="4">
        <v>138</v>
      </c>
      <c r="AA1152" s="4">
        <f>=ROUNDDOWN(41.8181818181818,0)</f>
      </c>
      <c r="AB1152" s="5">
        <v>3.3</v>
      </c>
      <c r="AC1152" s="2" t="s">
        <v>356</v>
      </c>
      <c r="AD1152" s="4">
        <v>12</v>
      </c>
      <c r="AE1152" s="4">
        <v>612</v>
      </c>
      <c r="AF1152" s="6">
        <v>63</v>
      </c>
      <c r="AG1152" s="6">
        <v>46</v>
      </c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/>
      <c r="BJ1152" s="4">
        <v>17</v>
      </c>
      <c r="BK1152" s="8">
        <v>348.38</v>
      </c>
      <c r="BL1152" s="2" t="s">
        <v>3816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2480</v>
      </c>
      <c r="BV1152" s="2" t="s">
        <v>97</v>
      </c>
      <c r="BW1152" s="2" t="s">
        <v>100</v>
      </c>
      <c r="BX1152" s="2" t="s">
        <v>100</v>
      </c>
      <c r="BY1152" s="2" t="s">
        <v>113</v>
      </c>
      <c r="BZ1152" s="2" t="s">
        <v>245</v>
      </c>
    </row>
    <row r="1153">
      <c r="A1153" s="2" t="s">
        <v>3817</v>
      </c>
      <c r="B1153" s="2" t="s">
        <v>87</v>
      </c>
      <c r="C1153" s="2" t="s">
        <v>3413</v>
      </c>
      <c r="D1153" s="2" t="s">
        <v>1638</v>
      </c>
      <c r="E1153" s="2" t="s">
        <v>1639</v>
      </c>
      <c r="F1153" s="2" t="s">
        <v>3602</v>
      </c>
      <c r="G1153" s="2" t="s">
        <v>3603</v>
      </c>
      <c r="H1153" s="2" t="s">
        <v>3604</v>
      </c>
      <c r="I1153" s="2" t="s">
        <v>3746</v>
      </c>
      <c r="J1153" s="2" t="s">
        <v>706</v>
      </c>
      <c r="K1153" s="2" t="s">
        <v>3038</v>
      </c>
      <c r="L1153" s="3">
        <v>20.23</v>
      </c>
      <c r="M1153" s="3">
        <v>21.24</v>
      </c>
      <c r="N1153" s="3">
        <v>42.49</v>
      </c>
      <c r="O1153" s="2" t="s">
        <v>97</v>
      </c>
      <c r="P1153" s="2" t="s">
        <v>307</v>
      </c>
      <c r="Q1153" s="2" t="s">
        <v>99</v>
      </c>
      <c r="R1153" s="2" t="s">
        <v>100</v>
      </c>
      <c r="S1153" s="2" t="s">
        <v>3705</v>
      </c>
      <c r="T1153" s="2" t="s">
        <v>218</v>
      </c>
      <c r="U1153" s="2" t="s">
        <v>480</v>
      </c>
      <c r="V1153" s="2" t="s">
        <v>146</v>
      </c>
      <c r="W1153" s="2" t="s">
        <v>561</v>
      </c>
      <c r="X1153" s="2" t="s">
        <v>100</v>
      </c>
      <c r="Y1153" s="2" t="s">
        <v>3747</v>
      </c>
      <c r="Z1153" s="4">
        <v>519</v>
      </c>
      <c r="AA1153" s="4">
        <f>=ROUNDDOWN(25.95,0)</f>
      </c>
      <c r="AB1153" s="5">
        <v>20</v>
      </c>
      <c r="AC1153" s="2" t="s">
        <v>931</v>
      </c>
      <c r="AD1153" s="4">
        <v>500</v>
      </c>
      <c r="AE1153" s="4">
        <v>500</v>
      </c>
      <c r="AF1153" s="6">
        <v>63</v>
      </c>
      <c r="AG1153" s="6">
        <v>46</v>
      </c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552</v>
      </c>
      <c r="BK1153" s="8">
        <v>11882.1</v>
      </c>
      <c r="BL1153" s="2" t="s">
        <v>3488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2480</v>
      </c>
      <c r="BV1153" s="2" t="s">
        <v>97</v>
      </c>
      <c r="BW1153" s="2" t="s">
        <v>100</v>
      </c>
      <c r="BX1153" s="2" t="s">
        <v>100</v>
      </c>
      <c r="BY1153" s="2" t="s">
        <v>113</v>
      </c>
      <c r="BZ1153" s="2" t="s">
        <v>245</v>
      </c>
    </row>
    <row r="1154">
      <c r="A1154" s="2" t="s">
        <v>3818</v>
      </c>
      <c r="B1154" s="2" t="s">
        <v>87</v>
      </c>
      <c r="C1154" s="2" t="s">
        <v>3413</v>
      </c>
      <c r="D1154" s="2" t="s">
        <v>1638</v>
      </c>
      <c r="E1154" s="2" t="s">
        <v>1639</v>
      </c>
      <c r="F1154" s="2" t="s">
        <v>3602</v>
      </c>
      <c r="G1154" s="2" t="s">
        <v>3603</v>
      </c>
      <c r="H1154" s="2" t="s">
        <v>3604</v>
      </c>
      <c r="I1154" s="2" t="s">
        <v>3746</v>
      </c>
      <c r="J1154" s="2" t="s">
        <v>714</v>
      </c>
      <c r="K1154" s="2" t="s">
        <v>3038</v>
      </c>
      <c r="L1154" s="3">
        <v>22.61</v>
      </c>
      <c r="M1154" s="3">
        <v>23.74</v>
      </c>
      <c r="N1154" s="3">
        <v>47.49</v>
      </c>
      <c r="O1154" s="2" t="s">
        <v>97</v>
      </c>
      <c r="P1154" s="2" t="s">
        <v>307</v>
      </c>
      <c r="Q1154" s="2" t="s">
        <v>99</v>
      </c>
      <c r="R1154" s="2" t="s">
        <v>100</v>
      </c>
      <c r="S1154" s="2" t="s">
        <v>3705</v>
      </c>
      <c r="T1154" s="2" t="s">
        <v>218</v>
      </c>
      <c r="U1154" s="2" t="s">
        <v>480</v>
      </c>
      <c r="V1154" s="2" t="s">
        <v>146</v>
      </c>
      <c r="W1154" s="2" t="s">
        <v>561</v>
      </c>
      <c r="X1154" s="2" t="s">
        <v>100</v>
      </c>
      <c r="Y1154" s="2" t="s">
        <v>3747</v>
      </c>
      <c r="Z1154" s="4">
        <v>651</v>
      </c>
      <c r="AA1154" s="4">
        <f>=ROUNDDOWN(46.5,0)</f>
      </c>
      <c r="AB1154" s="5">
        <v>14</v>
      </c>
      <c r="AC1154" s="2" t="s">
        <v>100</v>
      </c>
      <c r="AD1154" s="4"/>
      <c r="AE1154" s="4"/>
      <c r="AF1154" s="6">
        <v>63</v>
      </c>
      <c r="AG1154" s="6">
        <v>46</v>
      </c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373</v>
      </c>
      <c r="BK1154" s="8">
        <v>9069.56</v>
      </c>
      <c r="BL1154" s="2" t="s">
        <v>446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2480</v>
      </c>
      <c r="BV1154" s="2" t="s">
        <v>97</v>
      </c>
      <c r="BW1154" s="2" t="s">
        <v>100</v>
      </c>
      <c r="BX1154" s="2" t="s">
        <v>100</v>
      </c>
      <c r="BY1154" s="2" t="s">
        <v>113</v>
      </c>
      <c r="BZ1154" s="2" t="s">
        <v>245</v>
      </c>
    </row>
    <row r="1155">
      <c r="A1155" s="2" t="s">
        <v>3819</v>
      </c>
      <c r="B1155" s="2" t="s">
        <v>87</v>
      </c>
      <c r="C1155" s="2" t="s">
        <v>3413</v>
      </c>
      <c r="D1155" s="2" t="s">
        <v>1638</v>
      </c>
      <c r="E1155" s="2" t="s">
        <v>1639</v>
      </c>
      <c r="F1155" s="2" t="s">
        <v>3602</v>
      </c>
      <c r="G1155" s="2" t="s">
        <v>3603</v>
      </c>
      <c r="H1155" s="2" t="s">
        <v>3604</v>
      </c>
      <c r="I1155" s="2" t="s">
        <v>3746</v>
      </c>
      <c r="J1155" s="2" t="s">
        <v>817</v>
      </c>
      <c r="K1155" s="2" t="s">
        <v>3038</v>
      </c>
      <c r="L1155" s="3">
        <v>23.57</v>
      </c>
      <c r="M1155" s="3">
        <v>24.75</v>
      </c>
      <c r="N1155" s="3">
        <v>44.99</v>
      </c>
      <c r="O1155" s="2" t="s">
        <v>97</v>
      </c>
      <c r="P1155" s="2" t="s">
        <v>225</v>
      </c>
      <c r="Q1155" s="2" t="s">
        <v>99</v>
      </c>
      <c r="R1155" s="2" t="s">
        <v>100</v>
      </c>
      <c r="S1155" s="2" t="s">
        <v>3705</v>
      </c>
      <c r="T1155" s="2" t="s">
        <v>218</v>
      </c>
      <c r="U1155" s="2" t="s">
        <v>480</v>
      </c>
      <c r="V1155" s="2" t="s">
        <v>146</v>
      </c>
      <c r="W1155" s="2" t="s">
        <v>561</v>
      </c>
      <c r="X1155" s="2" t="s">
        <v>100</v>
      </c>
      <c r="Y1155" s="2" t="s">
        <v>3749</v>
      </c>
      <c r="Z1155" s="4">
        <v>143</v>
      </c>
      <c r="AA1155" s="4">
        <f>=ROUNDDOWN(110,0)</f>
      </c>
      <c r="AB1155" s="5">
        <v>1.3</v>
      </c>
      <c r="AC1155" s="2" t="s">
        <v>356</v>
      </c>
      <c r="AD1155" s="4">
        <v>100</v>
      </c>
      <c r="AE1155" s="4">
        <v>100</v>
      </c>
      <c r="AF1155" s="6">
        <v>63</v>
      </c>
      <c r="AG1155" s="6">
        <v>46</v>
      </c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>
        <v>5</v>
      </c>
      <c r="BK1155" s="8">
        <v>139.77</v>
      </c>
      <c r="BL1155" s="2" t="s">
        <v>3820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2480</v>
      </c>
      <c r="BV1155" s="2" t="s">
        <v>97</v>
      </c>
      <c r="BW1155" s="2" t="s">
        <v>100</v>
      </c>
      <c r="BX1155" s="2" t="s">
        <v>100</v>
      </c>
      <c r="BY1155" s="2" t="s">
        <v>113</v>
      </c>
      <c r="BZ1155" s="2" t="s">
        <v>245</v>
      </c>
    </row>
    <row r="1156">
      <c r="A1156" s="2" t="s">
        <v>3821</v>
      </c>
      <c r="B1156" s="2" t="s">
        <v>87</v>
      </c>
      <c r="C1156" s="2" t="s">
        <v>3413</v>
      </c>
      <c r="D1156" s="2" t="s">
        <v>1638</v>
      </c>
      <c r="E1156" s="2" t="s">
        <v>1639</v>
      </c>
      <c r="F1156" s="2" t="s">
        <v>3602</v>
      </c>
      <c r="G1156" s="2" t="s">
        <v>3603</v>
      </c>
      <c r="H1156" s="2" t="s">
        <v>3604</v>
      </c>
      <c r="I1156" s="2" t="s">
        <v>3746</v>
      </c>
      <c r="J1156" s="2" t="s">
        <v>237</v>
      </c>
      <c r="K1156" s="2" t="s">
        <v>1340</v>
      </c>
      <c r="L1156" s="3">
        <v>15.47</v>
      </c>
      <c r="M1156" s="3">
        <v>16.24</v>
      </c>
      <c r="N1156" s="3">
        <v>29.99</v>
      </c>
      <c r="O1156" s="2" t="s">
        <v>97</v>
      </c>
      <c r="P1156" s="2" t="s">
        <v>225</v>
      </c>
      <c r="Q1156" s="2" t="s">
        <v>99</v>
      </c>
      <c r="R1156" s="2" t="s">
        <v>100</v>
      </c>
      <c r="S1156" s="2" t="s">
        <v>3712</v>
      </c>
      <c r="T1156" s="2" t="s">
        <v>218</v>
      </c>
      <c r="U1156" s="2" t="s">
        <v>514</v>
      </c>
      <c r="V1156" s="2" t="s">
        <v>146</v>
      </c>
      <c r="W1156" s="2" t="s">
        <v>561</v>
      </c>
      <c r="X1156" s="2" t="s">
        <v>100</v>
      </c>
      <c r="Y1156" s="2" t="s">
        <v>3667</v>
      </c>
      <c r="Z1156" s="4">
        <v>116</v>
      </c>
      <c r="AA1156" s="4">
        <f>=ROUNDDOWN(38.6666666666667,0)</f>
      </c>
      <c r="AB1156" s="5">
        <v>3</v>
      </c>
      <c r="AC1156" s="2" t="s">
        <v>205</v>
      </c>
      <c r="AD1156" s="4">
        <v>28</v>
      </c>
      <c r="AE1156" s="4">
        <v>28</v>
      </c>
      <c r="AF1156" s="6">
        <v>63</v>
      </c>
      <c r="AG1156" s="6">
        <v>46</v>
      </c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44</v>
      </c>
      <c r="BK1156" s="8">
        <v>780.25</v>
      </c>
      <c r="BL1156" s="2" t="s">
        <v>3636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2480</v>
      </c>
      <c r="BV1156" s="2" t="s">
        <v>97</v>
      </c>
      <c r="BW1156" s="2" t="s">
        <v>100</v>
      </c>
      <c r="BX1156" s="2" t="s">
        <v>100</v>
      </c>
      <c r="BY1156" s="2" t="s">
        <v>113</v>
      </c>
      <c r="BZ1156" s="2" t="s">
        <v>245</v>
      </c>
    </row>
    <row r="1157">
      <c r="A1157" s="2" t="s">
        <v>3822</v>
      </c>
      <c r="B1157" s="2" t="s">
        <v>87</v>
      </c>
      <c r="C1157" s="2" t="s">
        <v>3413</v>
      </c>
      <c r="D1157" s="2" t="s">
        <v>1638</v>
      </c>
      <c r="E1157" s="2" t="s">
        <v>1639</v>
      </c>
      <c r="F1157" s="2" t="s">
        <v>3602</v>
      </c>
      <c r="G1157" s="2" t="s">
        <v>3603</v>
      </c>
      <c r="H1157" s="2" t="s">
        <v>3604</v>
      </c>
      <c r="I1157" s="2" t="s">
        <v>3746</v>
      </c>
      <c r="J1157" s="2" t="s">
        <v>717</v>
      </c>
      <c r="K1157" s="2" t="s">
        <v>1340</v>
      </c>
      <c r="L1157" s="3">
        <v>19.76</v>
      </c>
      <c r="M1157" s="3">
        <v>20.75</v>
      </c>
      <c r="N1157" s="3">
        <v>39.99</v>
      </c>
      <c r="O1157" s="2" t="s">
        <v>97</v>
      </c>
      <c r="P1157" s="2" t="s">
        <v>225</v>
      </c>
      <c r="Q1157" s="2" t="s">
        <v>99</v>
      </c>
      <c r="R1157" s="2" t="s">
        <v>100</v>
      </c>
      <c r="S1157" s="2" t="s">
        <v>3712</v>
      </c>
      <c r="T1157" s="2" t="s">
        <v>218</v>
      </c>
      <c r="U1157" s="2" t="s">
        <v>480</v>
      </c>
      <c r="V1157" s="2" t="s">
        <v>146</v>
      </c>
      <c r="W1157" s="2" t="s">
        <v>561</v>
      </c>
      <c r="X1157" s="2" t="s">
        <v>100</v>
      </c>
      <c r="Y1157" s="2" t="s">
        <v>3631</v>
      </c>
      <c r="Z1157" s="4">
        <v>205</v>
      </c>
      <c r="AA1157" s="4">
        <f>=ROUNDDOWN(102.5,0)</f>
      </c>
      <c r="AB1157" s="5">
        <v>2</v>
      </c>
      <c r="AC1157" s="2" t="s">
        <v>100</v>
      </c>
      <c r="AD1157" s="4"/>
      <c r="AE1157" s="4"/>
      <c r="AF1157" s="6">
        <v>63</v>
      </c>
      <c r="AG1157" s="6">
        <v>46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>
        <v>33</v>
      </c>
      <c r="BK1157" s="8">
        <v>719.25</v>
      </c>
      <c r="BL1157" s="2" t="s">
        <v>1593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2480</v>
      </c>
      <c r="BV1157" s="2" t="s">
        <v>97</v>
      </c>
      <c r="BW1157" s="2" t="s">
        <v>100</v>
      </c>
      <c r="BX1157" s="2" t="s">
        <v>100</v>
      </c>
      <c r="BY1157" s="2" t="s">
        <v>113</v>
      </c>
      <c r="BZ1157" s="2" t="s">
        <v>245</v>
      </c>
    </row>
    <row r="1158">
      <c r="A1158" s="2" t="s">
        <v>3823</v>
      </c>
      <c r="B1158" s="2" t="s">
        <v>87</v>
      </c>
      <c r="C1158" s="2" t="s">
        <v>3413</v>
      </c>
      <c r="D1158" s="2" t="s">
        <v>1638</v>
      </c>
      <c r="E1158" s="2" t="s">
        <v>1639</v>
      </c>
      <c r="F1158" s="2" t="s">
        <v>3602</v>
      </c>
      <c r="G1158" s="2" t="s">
        <v>3603</v>
      </c>
      <c r="H1158" s="2" t="s">
        <v>3604</v>
      </c>
      <c r="I1158" s="2" t="s">
        <v>3746</v>
      </c>
      <c r="J1158" s="2" t="s">
        <v>706</v>
      </c>
      <c r="K1158" s="2" t="s">
        <v>1340</v>
      </c>
      <c r="L1158" s="3">
        <v>20.23</v>
      </c>
      <c r="M1158" s="3">
        <v>21.24</v>
      </c>
      <c r="N1158" s="3">
        <v>39.99</v>
      </c>
      <c r="O1158" s="2" t="s">
        <v>97</v>
      </c>
      <c r="P1158" s="2" t="s">
        <v>225</v>
      </c>
      <c r="Q1158" s="2" t="s">
        <v>99</v>
      </c>
      <c r="R1158" s="2" t="s">
        <v>100</v>
      </c>
      <c r="S1158" s="2" t="s">
        <v>3712</v>
      </c>
      <c r="T1158" s="2" t="s">
        <v>218</v>
      </c>
      <c r="U1158" s="2" t="s">
        <v>480</v>
      </c>
      <c r="V1158" s="2" t="s">
        <v>146</v>
      </c>
      <c r="W1158" s="2" t="s">
        <v>561</v>
      </c>
      <c r="X1158" s="2" t="s">
        <v>100</v>
      </c>
      <c r="Y1158" s="2" t="s">
        <v>3667</v>
      </c>
      <c r="Z1158" s="4">
        <v>441</v>
      </c>
      <c r="AA1158" s="4">
        <f>=ROUNDDOWN(44.5454545454545,0)</f>
      </c>
      <c r="AB1158" s="5">
        <v>9.9</v>
      </c>
      <c r="AC1158" s="2" t="s">
        <v>205</v>
      </c>
      <c r="AD1158" s="4">
        <v>104</v>
      </c>
      <c r="AE1158" s="4">
        <v>104</v>
      </c>
      <c r="AF1158" s="6">
        <v>63</v>
      </c>
      <c r="AG1158" s="6">
        <v>46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>
        <v>114</v>
      </c>
      <c r="BK1158" s="8">
        <v>2456.5</v>
      </c>
      <c r="BL1158" s="2" t="s">
        <v>3824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2480</v>
      </c>
      <c r="BV1158" s="2" t="s">
        <v>97</v>
      </c>
      <c r="BW1158" s="2" t="s">
        <v>100</v>
      </c>
      <c r="BX1158" s="2" t="s">
        <v>100</v>
      </c>
      <c r="BY1158" s="2" t="s">
        <v>113</v>
      </c>
      <c r="BZ1158" s="2" t="s">
        <v>245</v>
      </c>
    </row>
    <row r="1159">
      <c r="A1159" s="2" t="s">
        <v>3825</v>
      </c>
      <c r="B1159" s="2" t="s">
        <v>87</v>
      </c>
      <c r="C1159" s="2" t="s">
        <v>3413</v>
      </c>
      <c r="D1159" s="2" t="s">
        <v>1638</v>
      </c>
      <c r="E1159" s="2" t="s">
        <v>1639</v>
      </c>
      <c r="F1159" s="2" t="s">
        <v>3602</v>
      </c>
      <c r="G1159" s="2" t="s">
        <v>3603</v>
      </c>
      <c r="H1159" s="2" t="s">
        <v>3604</v>
      </c>
      <c r="I1159" s="2" t="s">
        <v>3746</v>
      </c>
      <c r="J1159" s="2" t="s">
        <v>714</v>
      </c>
      <c r="K1159" s="2" t="s">
        <v>1340</v>
      </c>
      <c r="L1159" s="3">
        <v>22.61</v>
      </c>
      <c r="M1159" s="3">
        <v>23.74</v>
      </c>
      <c r="N1159" s="3">
        <v>44.99</v>
      </c>
      <c r="O1159" s="2" t="s">
        <v>97</v>
      </c>
      <c r="P1159" s="2" t="s">
        <v>225</v>
      </c>
      <c r="Q1159" s="2" t="s">
        <v>99</v>
      </c>
      <c r="R1159" s="2" t="s">
        <v>100</v>
      </c>
      <c r="S1159" s="2" t="s">
        <v>3712</v>
      </c>
      <c r="T1159" s="2" t="s">
        <v>218</v>
      </c>
      <c r="U1159" s="2" t="s">
        <v>480</v>
      </c>
      <c r="V1159" s="2" t="s">
        <v>146</v>
      </c>
      <c r="W1159" s="2" t="s">
        <v>561</v>
      </c>
      <c r="X1159" s="2" t="s">
        <v>100</v>
      </c>
      <c r="Y1159" s="2" t="s">
        <v>3667</v>
      </c>
      <c r="Z1159" s="4">
        <v>402</v>
      </c>
      <c r="AA1159" s="4">
        <f>=ROUNDDOWN(34.3589743589744,0)</f>
      </c>
      <c r="AB1159" s="5">
        <v>11.7</v>
      </c>
      <c r="AC1159" s="2" t="s">
        <v>205</v>
      </c>
      <c r="AD1159" s="4">
        <v>140</v>
      </c>
      <c r="AE1159" s="4">
        <v>140</v>
      </c>
      <c r="AF1159" s="6">
        <v>63</v>
      </c>
      <c r="AG1159" s="6">
        <v>46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101</v>
      </c>
      <c r="BK1159" s="8">
        <v>2432.91</v>
      </c>
      <c r="BL1159" s="2" t="s">
        <v>3826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2480</v>
      </c>
      <c r="BV1159" s="2" t="s">
        <v>97</v>
      </c>
      <c r="BW1159" s="2" t="s">
        <v>100</v>
      </c>
      <c r="BX1159" s="2" t="s">
        <v>100</v>
      </c>
      <c r="BY1159" s="2" t="s">
        <v>113</v>
      </c>
      <c r="BZ1159" s="2" t="s">
        <v>245</v>
      </c>
    </row>
    <row r="1160">
      <c r="A1160" s="2" t="s">
        <v>3827</v>
      </c>
      <c r="B1160" s="2" t="s">
        <v>87</v>
      </c>
      <c r="C1160" s="2" t="s">
        <v>3413</v>
      </c>
      <c r="D1160" s="2" t="s">
        <v>1638</v>
      </c>
      <c r="E1160" s="2" t="s">
        <v>1639</v>
      </c>
      <c r="F1160" s="2" t="s">
        <v>3602</v>
      </c>
      <c r="G1160" s="2" t="s">
        <v>3603</v>
      </c>
      <c r="H1160" s="2" t="s">
        <v>3604</v>
      </c>
      <c r="I1160" s="2" t="s">
        <v>3746</v>
      </c>
      <c r="J1160" s="2" t="s">
        <v>817</v>
      </c>
      <c r="K1160" s="2" t="s">
        <v>1340</v>
      </c>
      <c r="L1160" s="3">
        <v>23.57</v>
      </c>
      <c r="M1160" s="3">
        <v>24.75</v>
      </c>
      <c r="N1160" s="3">
        <v>44.99</v>
      </c>
      <c r="O1160" s="2" t="s">
        <v>97</v>
      </c>
      <c r="P1160" s="2" t="s">
        <v>225</v>
      </c>
      <c r="Q1160" s="2" t="s">
        <v>99</v>
      </c>
      <c r="R1160" s="2" t="s">
        <v>100</v>
      </c>
      <c r="S1160" s="2" t="s">
        <v>3712</v>
      </c>
      <c r="T1160" s="2" t="s">
        <v>218</v>
      </c>
      <c r="U1160" s="2" t="s">
        <v>480</v>
      </c>
      <c r="V1160" s="2" t="s">
        <v>146</v>
      </c>
      <c r="W1160" s="2" t="s">
        <v>561</v>
      </c>
      <c r="X1160" s="2" t="s">
        <v>100</v>
      </c>
      <c r="Y1160" s="2" t="s">
        <v>3631</v>
      </c>
      <c r="Z1160" s="4">
        <v>131</v>
      </c>
      <c r="AA1160" s="4">
        <f>=ROUNDDOWN(32.75,0)</f>
      </c>
      <c r="AB1160" s="5">
        <v>4</v>
      </c>
      <c r="AC1160" s="2" t="s">
        <v>356</v>
      </c>
      <c r="AD1160" s="4">
        <v>164</v>
      </c>
      <c r="AE1160" s="4">
        <v>164</v>
      </c>
      <c r="AF1160" s="6">
        <v>63</v>
      </c>
      <c r="AG1160" s="6">
        <v>46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/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/>
      <c r="BJ1160" s="4">
        <v>38</v>
      </c>
      <c r="BK1160" s="8">
        <v>942.38</v>
      </c>
      <c r="BL1160" s="2" t="s">
        <v>3828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2480</v>
      </c>
      <c r="BV1160" s="2" t="s">
        <v>97</v>
      </c>
      <c r="BW1160" s="2" t="s">
        <v>100</v>
      </c>
      <c r="BX1160" s="2" t="s">
        <v>100</v>
      </c>
      <c r="BY1160" s="2" t="s">
        <v>113</v>
      </c>
      <c r="BZ1160" s="2" t="s">
        <v>245</v>
      </c>
    </row>
    <row r="1161">
      <c r="A1161" s="2" t="s">
        <v>3829</v>
      </c>
      <c r="B1161" s="2" t="s">
        <v>87</v>
      </c>
      <c r="C1161" s="2" t="s">
        <v>3413</v>
      </c>
      <c r="D1161" s="2" t="s">
        <v>1638</v>
      </c>
      <c r="E1161" s="2" t="s">
        <v>1639</v>
      </c>
      <c r="F1161" s="2" t="s">
        <v>3602</v>
      </c>
      <c r="G1161" s="2" t="s">
        <v>3603</v>
      </c>
      <c r="H1161" s="2" t="s">
        <v>3604</v>
      </c>
      <c r="I1161" s="2" t="s">
        <v>3746</v>
      </c>
      <c r="J1161" s="2" t="s">
        <v>237</v>
      </c>
      <c r="K1161" s="2" t="s">
        <v>189</v>
      </c>
      <c r="L1161" s="3">
        <v>15.47</v>
      </c>
      <c r="M1161" s="3">
        <v>16.24</v>
      </c>
      <c r="N1161" s="3">
        <v>32.49</v>
      </c>
      <c r="O1161" s="2" t="s">
        <v>97</v>
      </c>
      <c r="P1161" s="2" t="s">
        <v>307</v>
      </c>
      <c r="Q1161" s="2" t="s">
        <v>99</v>
      </c>
      <c r="R1161" s="2" t="s">
        <v>100</v>
      </c>
      <c r="S1161" s="2" t="s">
        <v>3722</v>
      </c>
      <c r="T1161" s="2" t="s">
        <v>218</v>
      </c>
      <c r="U1161" s="2" t="s">
        <v>514</v>
      </c>
      <c r="V1161" s="2" t="s">
        <v>146</v>
      </c>
      <c r="W1161" s="2" t="s">
        <v>561</v>
      </c>
      <c r="X1161" s="2" t="s">
        <v>100</v>
      </c>
      <c r="Y1161" s="2" t="s">
        <v>3531</v>
      </c>
      <c r="Z1161" s="4">
        <v>37</v>
      </c>
      <c r="AA1161" s="4">
        <f>=ROUNDDOWN(3.08333333333333,0)</f>
      </c>
      <c r="AB1161" s="5">
        <v>12</v>
      </c>
      <c r="AC1161" s="2" t="s">
        <v>542</v>
      </c>
      <c r="AD1161" s="4">
        <v>240</v>
      </c>
      <c r="AE1161" s="4">
        <v>440</v>
      </c>
      <c r="AF1161" s="6">
        <v>63</v>
      </c>
      <c r="AG1161" s="6">
        <v>46</v>
      </c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>
        <v>510</v>
      </c>
      <c r="BK1161" s="8">
        <v>8918.64</v>
      </c>
      <c r="BL1161" s="2" t="s">
        <v>3774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2480</v>
      </c>
      <c r="BV1161" s="2" t="s">
        <v>97</v>
      </c>
      <c r="BW1161" s="2" t="s">
        <v>100</v>
      </c>
      <c r="BX1161" s="2" t="s">
        <v>100</v>
      </c>
      <c r="BY1161" s="2" t="s">
        <v>113</v>
      </c>
      <c r="BZ1161" s="2" t="s">
        <v>245</v>
      </c>
    </row>
    <row r="1162">
      <c r="A1162" s="2" t="s">
        <v>3830</v>
      </c>
      <c r="B1162" s="2" t="s">
        <v>87</v>
      </c>
      <c r="C1162" s="2" t="s">
        <v>3413</v>
      </c>
      <c r="D1162" s="2" t="s">
        <v>1638</v>
      </c>
      <c r="E1162" s="2" t="s">
        <v>1639</v>
      </c>
      <c r="F1162" s="2" t="s">
        <v>3602</v>
      </c>
      <c r="G1162" s="2" t="s">
        <v>3603</v>
      </c>
      <c r="H1162" s="2" t="s">
        <v>3604</v>
      </c>
      <c r="I1162" s="2" t="s">
        <v>3746</v>
      </c>
      <c r="J1162" s="2" t="s">
        <v>717</v>
      </c>
      <c r="K1162" s="2" t="s">
        <v>189</v>
      </c>
      <c r="L1162" s="3">
        <v>19.76</v>
      </c>
      <c r="M1162" s="3">
        <v>20.75</v>
      </c>
      <c r="N1162" s="3">
        <v>39.99</v>
      </c>
      <c r="O1162" s="2" t="s">
        <v>97</v>
      </c>
      <c r="P1162" s="2" t="s">
        <v>225</v>
      </c>
      <c r="Q1162" s="2" t="s">
        <v>99</v>
      </c>
      <c r="R1162" s="2" t="s">
        <v>100</v>
      </c>
      <c r="S1162" s="2" t="s">
        <v>3722</v>
      </c>
      <c r="T1162" s="2" t="s">
        <v>218</v>
      </c>
      <c r="U1162" s="2" t="s">
        <v>480</v>
      </c>
      <c r="V1162" s="2" t="s">
        <v>146</v>
      </c>
      <c r="W1162" s="2" t="s">
        <v>561</v>
      </c>
      <c r="X1162" s="2" t="s">
        <v>100</v>
      </c>
      <c r="Y1162" s="2" t="s">
        <v>3685</v>
      </c>
      <c r="Z1162" s="4">
        <v>279</v>
      </c>
      <c r="AA1162" s="4">
        <f>=ROUNDDOWN(45.7377049180328,0)</f>
      </c>
      <c r="AB1162" s="5">
        <v>6.1</v>
      </c>
      <c r="AC1162" s="2" t="s">
        <v>148</v>
      </c>
      <c r="AD1162" s="4">
        <v>200</v>
      </c>
      <c r="AE1162" s="4">
        <v>200</v>
      </c>
      <c r="AF1162" s="6">
        <v>63</v>
      </c>
      <c r="AG1162" s="6">
        <v>46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53</v>
      </c>
      <c r="BK1162" s="8">
        <v>1147.64</v>
      </c>
      <c r="BL1162" s="2" t="s">
        <v>3621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2480</v>
      </c>
      <c r="BV1162" s="2" t="s">
        <v>97</v>
      </c>
      <c r="BW1162" s="2" t="s">
        <v>100</v>
      </c>
      <c r="BX1162" s="2" t="s">
        <v>100</v>
      </c>
      <c r="BY1162" s="2" t="s">
        <v>113</v>
      </c>
      <c r="BZ1162" s="2" t="s">
        <v>245</v>
      </c>
    </row>
    <row r="1163">
      <c r="A1163" s="2" t="s">
        <v>3831</v>
      </c>
      <c r="B1163" s="2" t="s">
        <v>87</v>
      </c>
      <c r="C1163" s="2" t="s">
        <v>3413</v>
      </c>
      <c r="D1163" s="2" t="s">
        <v>1638</v>
      </c>
      <c r="E1163" s="2" t="s">
        <v>1639</v>
      </c>
      <c r="F1163" s="2" t="s">
        <v>3602</v>
      </c>
      <c r="G1163" s="2" t="s">
        <v>3603</v>
      </c>
      <c r="H1163" s="2" t="s">
        <v>3604</v>
      </c>
      <c r="I1163" s="2" t="s">
        <v>3746</v>
      </c>
      <c r="J1163" s="2" t="s">
        <v>706</v>
      </c>
      <c r="K1163" s="2" t="s">
        <v>189</v>
      </c>
      <c r="L1163" s="3">
        <v>20.23</v>
      </c>
      <c r="M1163" s="3">
        <v>21.24</v>
      </c>
      <c r="N1163" s="3">
        <v>42.49</v>
      </c>
      <c r="O1163" s="2" t="s">
        <v>97</v>
      </c>
      <c r="P1163" s="2" t="s">
        <v>307</v>
      </c>
      <c r="Q1163" s="2" t="s">
        <v>99</v>
      </c>
      <c r="R1163" s="2" t="s">
        <v>100</v>
      </c>
      <c r="S1163" s="2" t="s">
        <v>3722</v>
      </c>
      <c r="T1163" s="2" t="s">
        <v>218</v>
      </c>
      <c r="U1163" s="2" t="s">
        <v>480</v>
      </c>
      <c r="V1163" s="2" t="s">
        <v>146</v>
      </c>
      <c r="W1163" s="2" t="s">
        <v>561</v>
      </c>
      <c r="X1163" s="2" t="s">
        <v>100</v>
      </c>
      <c r="Y1163" s="2" t="s">
        <v>3531</v>
      </c>
      <c r="Z1163" s="4">
        <v>630</v>
      </c>
      <c r="AA1163" s="4">
        <f>=ROUNDDOWN(19.6875,0)</f>
      </c>
      <c r="AB1163" s="5">
        <v>32</v>
      </c>
      <c r="AC1163" s="2" t="s">
        <v>542</v>
      </c>
      <c r="AD1163" s="4">
        <v>400</v>
      </c>
      <c r="AE1163" s="4">
        <v>820</v>
      </c>
      <c r="AF1163" s="6">
        <v>63</v>
      </c>
      <c r="AG1163" s="6">
        <v>46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>
        <v>1134</v>
      </c>
      <c r="BK1163" s="8">
        <v>25160.92</v>
      </c>
      <c r="BL1163" s="2" t="s">
        <v>446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2480</v>
      </c>
      <c r="BV1163" s="2" t="s">
        <v>97</v>
      </c>
      <c r="BW1163" s="2" t="s">
        <v>100</v>
      </c>
      <c r="BX1163" s="2" t="s">
        <v>100</v>
      </c>
      <c r="BY1163" s="2" t="s">
        <v>113</v>
      </c>
      <c r="BZ1163" s="2" t="s">
        <v>245</v>
      </c>
    </row>
    <row r="1164">
      <c r="A1164" s="2" t="s">
        <v>3832</v>
      </c>
      <c r="B1164" s="2" t="s">
        <v>87</v>
      </c>
      <c r="C1164" s="2" t="s">
        <v>3413</v>
      </c>
      <c r="D1164" s="2" t="s">
        <v>1638</v>
      </c>
      <c r="E1164" s="2" t="s">
        <v>1639</v>
      </c>
      <c r="F1164" s="2" t="s">
        <v>3602</v>
      </c>
      <c r="G1164" s="2" t="s">
        <v>3603</v>
      </c>
      <c r="H1164" s="2" t="s">
        <v>3604</v>
      </c>
      <c r="I1164" s="2" t="s">
        <v>3746</v>
      </c>
      <c r="J1164" s="2" t="s">
        <v>714</v>
      </c>
      <c r="K1164" s="2" t="s">
        <v>189</v>
      </c>
      <c r="L1164" s="3">
        <v>22.61</v>
      </c>
      <c r="M1164" s="3">
        <v>23.74</v>
      </c>
      <c r="N1164" s="3">
        <v>47.49</v>
      </c>
      <c r="O1164" s="2" t="s">
        <v>97</v>
      </c>
      <c r="P1164" s="2" t="s">
        <v>307</v>
      </c>
      <c r="Q1164" s="2" t="s">
        <v>99</v>
      </c>
      <c r="R1164" s="2" t="s">
        <v>100</v>
      </c>
      <c r="S1164" s="2" t="s">
        <v>3722</v>
      </c>
      <c r="T1164" s="2" t="s">
        <v>218</v>
      </c>
      <c r="U1164" s="2" t="s">
        <v>480</v>
      </c>
      <c r="V1164" s="2" t="s">
        <v>146</v>
      </c>
      <c r="W1164" s="2" t="s">
        <v>561</v>
      </c>
      <c r="X1164" s="2" t="s">
        <v>100</v>
      </c>
      <c r="Y1164" s="2" t="s">
        <v>3531</v>
      </c>
      <c r="Z1164" s="4">
        <v>1152</v>
      </c>
      <c r="AA1164" s="4">
        <f>=ROUNDDOWN(26.1818181818182,0)</f>
      </c>
      <c r="AB1164" s="5">
        <v>44</v>
      </c>
      <c r="AC1164" s="2" t="s">
        <v>542</v>
      </c>
      <c r="AD1164" s="4">
        <v>480</v>
      </c>
      <c r="AE1164" s="4">
        <v>900</v>
      </c>
      <c r="AF1164" s="6">
        <v>63</v>
      </c>
      <c r="AG1164" s="6">
        <v>46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1624</v>
      </c>
      <c r="BK1164" s="8">
        <v>40390.3</v>
      </c>
      <c r="BL1164" s="2" t="s">
        <v>446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2480</v>
      </c>
      <c r="BV1164" s="2" t="s">
        <v>97</v>
      </c>
      <c r="BW1164" s="2" t="s">
        <v>100</v>
      </c>
      <c r="BX1164" s="2" t="s">
        <v>100</v>
      </c>
      <c r="BY1164" s="2" t="s">
        <v>113</v>
      </c>
      <c r="BZ1164" s="2" t="s">
        <v>245</v>
      </c>
    </row>
    <row r="1165">
      <c r="A1165" s="2" t="s">
        <v>3833</v>
      </c>
      <c r="B1165" s="2" t="s">
        <v>87</v>
      </c>
      <c r="C1165" s="2" t="s">
        <v>3413</v>
      </c>
      <c r="D1165" s="2" t="s">
        <v>1638</v>
      </c>
      <c r="E1165" s="2" t="s">
        <v>1639</v>
      </c>
      <c r="F1165" s="2" t="s">
        <v>3602</v>
      </c>
      <c r="G1165" s="2" t="s">
        <v>3603</v>
      </c>
      <c r="H1165" s="2" t="s">
        <v>3604</v>
      </c>
      <c r="I1165" s="2" t="s">
        <v>3746</v>
      </c>
      <c r="J1165" s="2" t="s">
        <v>817</v>
      </c>
      <c r="K1165" s="2" t="s">
        <v>189</v>
      </c>
      <c r="L1165" s="3">
        <v>23.57</v>
      </c>
      <c r="M1165" s="3">
        <v>24.75</v>
      </c>
      <c r="N1165" s="3">
        <v>44.99</v>
      </c>
      <c r="O1165" s="2" t="s">
        <v>97</v>
      </c>
      <c r="P1165" s="2" t="s">
        <v>225</v>
      </c>
      <c r="Q1165" s="2" t="s">
        <v>99</v>
      </c>
      <c r="R1165" s="2" t="s">
        <v>100</v>
      </c>
      <c r="S1165" s="2" t="s">
        <v>3722</v>
      </c>
      <c r="T1165" s="2" t="s">
        <v>218</v>
      </c>
      <c r="U1165" s="2" t="s">
        <v>480</v>
      </c>
      <c r="V1165" s="2" t="s">
        <v>146</v>
      </c>
      <c r="W1165" s="2" t="s">
        <v>561</v>
      </c>
      <c r="X1165" s="2" t="s">
        <v>100</v>
      </c>
      <c r="Y1165" s="2" t="s">
        <v>552</v>
      </c>
      <c r="Z1165" s="4">
        <v>372</v>
      </c>
      <c r="AA1165" s="4">
        <f>=ROUNDDOWN(45.3658536585366,0)</f>
      </c>
      <c r="AB1165" s="5">
        <v>8.2</v>
      </c>
      <c r="AC1165" s="2" t="s">
        <v>3579</v>
      </c>
      <c r="AD1165" s="4">
        <v>80</v>
      </c>
      <c r="AE1165" s="4">
        <v>80</v>
      </c>
      <c r="AF1165" s="6">
        <v>63</v>
      </c>
      <c r="AG1165" s="6">
        <v>46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131</v>
      </c>
      <c r="BK1165" s="8">
        <v>3484.29</v>
      </c>
      <c r="BL1165" s="2" t="s">
        <v>3834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2480</v>
      </c>
      <c r="BV1165" s="2" t="s">
        <v>97</v>
      </c>
      <c r="BW1165" s="2" t="s">
        <v>100</v>
      </c>
      <c r="BX1165" s="2" t="s">
        <v>100</v>
      </c>
      <c r="BY1165" s="2" t="s">
        <v>113</v>
      </c>
      <c r="BZ1165" s="2" t="s">
        <v>245</v>
      </c>
    </row>
    <row r="1166">
      <c r="A1166" s="2" t="s">
        <v>3835</v>
      </c>
      <c r="B1166" s="2" t="s">
        <v>87</v>
      </c>
      <c r="C1166" s="2" t="s">
        <v>3413</v>
      </c>
      <c r="D1166" s="2" t="s">
        <v>3836</v>
      </c>
      <c r="E1166" s="2" t="s">
        <v>506</v>
      </c>
      <c r="F1166" s="2" t="s">
        <v>3511</v>
      </c>
      <c r="G1166" s="2" t="s">
        <v>3512</v>
      </c>
      <c r="H1166" s="2" t="s">
        <v>3513</v>
      </c>
      <c r="I1166" s="2" t="s">
        <v>3837</v>
      </c>
      <c r="J1166" s="2" t="s">
        <v>237</v>
      </c>
      <c r="K1166" s="2" t="s">
        <v>1148</v>
      </c>
      <c r="L1166" s="3">
        <v>21.42</v>
      </c>
      <c r="M1166" s="3">
        <v>22.49</v>
      </c>
      <c r="N1166" s="3">
        <v>44.99</v>
      </c>
      <c r="O1166" s="2" t="s">
        <v>97</v>
      </c>
      <c r="P1166" s="2" t="s">
        <v>225</v>
      </c>
      <c r="Q1166" s="2" t="s">
        <v>99</v>
      </c>
      <c r="R1166" s="2" t="s">
        <v>100</v>
      </c>
      <c r="S1166" s="2" t="s">
        <v>3838</v>
      </c>
      <c r="T1166" s="2" t="s">
        <v>200</v>
      </c>
      <c r="U1166" s="2" t="s">
        <v>514</v>
      </c>
      <c r="V1166" s="2" t="s">
        <v>146</v>
      </c>
      <c r="W1166" s="2" t="s">
        <v>561</v>
      </c>
      <c r="X1166" s="2" t="s">
        <v>100</v>
      </c>
      <c r="Y1166" s="2" t="s">
        <v>2168</v>
      </c>
      <c r="Z1166" s="4">
        <v>193</v>
      </c>
      <c r="AA1166" s="4">
        <f>=ROUNDDOWN(120.625,0)</f>
      </c>
      <c r="AB1166" s="5">
        <v>1.6</v>
      </c>
      <c r="AC1166" s="2" t="s">
        <v>100</v>
      </c>
      <c r="AD1166" s="4"/>
      <c r="AE1166" s="4"/>
      <c r="AF1166" s="6">
        <v>64</v>
      </c>
      <c r="AG1166" s="6">
        <v>47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8</v>
      </c>
      <c r="BK1166" s="8">
        <v>173.6</v>
      </c>
      <c r="BL1166" s="2" t="s">
        <v>3765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2480</v>
      </c>
      <c r="BV1166" s="2" t="s">
        <v>97</v>
      </c>
      <c r="BW1166" s="2" t="s">
        <v>100</v>
      </c>
      <c r="BX1166" s="2" t="s">
        <v>100</v>
      </c>
      <c r="BY1166" s="2" t="s">
        <v>113</v>
      </c>
      <c r="BZ1166" s="2" t="s">
        <v>245</v>
      </c>
    </row>
    <row r="1167">
      <c r="A1167" s="2" t="s">
        <v>3839</v>
      </c>
      <c r="B1167" s="2" t="s">
        <v>87</v>
      </c>
      <c r="C1167" s="2" t="s">
        <v>3413</v>
      </c>
      <c r="D1167" s="2" t="s">
        <v>3836</v>
      </c>
      <c r="E1167" s="2" t="s">
        <v>506</v>
      </c>
      <c r="F1167" s="2" t="s">
        <v>3511</v>
      </c>
      <c r="G1167" s="2" t="s">
        <v>3512</v>
      </c>
      <c r="H1167" s="2" t="s">
        <v>3513</v>
      </c>
      <c r="I1167" s="2" t="s">
        <v>3837</v>
      </c>
      <c r="J1167" s="2" t="s">
        <v>247</v>
      </c>
      <c r="K1167" s="2" t="s">
        <v>1148</v>
      </c>
      <c r="L1167" s="3">
        <v>26.19</v>
      </c>
      <c r="M1167" s="3">
        <v>27.5</v>
      </c>
      <c r="N1167" s="3">
        <v>54.99</v>
      </c>
      <c r="O1167" s="2" t="s">
        <v>97</v>
      </c>
      <c r="P1167" s="2" t="s">
        <v>225</v>
      </c>
      <c r="Q1167" s="2" t="s">
        <v>99</v>
      </c>
      <c r="R1167" s="2" t="s">
        <v>100</v>
      </c>
      <c r="S1167" s="2" t="s">
        <v>3838</v>
      </c>
      <c r="T1167" s="2" t="s">
        <v>200</v>
      </c>
      <c r="U1167" s="2" t="s">
        <v>480</v>
      </c>
      <c r="V1167" s="2" t="s">
        <v>146</v>
      </c>
      <c r="W1167" s="2" t="s">
        <v>561</v>
      </c>
      <c r="X1167" s="2" t="s">
        <v>100</v>
      </c>
      <c r="Y1167" s="2" t="s">
        <v>3840</v>
      </c>
      <c r="Z1167" s="4">
        <v>630</v>
      </c>
      <c r="AA1167" s="4">
        <f>=ROUNDDOWN(136.95652173913,0)</f>
      </c>
      <c r="AB1167" s="5">
        <v>4.6</v>
      </c>
      <c r="AC1167" s="2" t="s">
        <v>100</v>
      </c>
      <c r="AD1167" s="4"/>
      <c r="AE1167" s="4"/>
      <c r="AF1167" s="6">
        <v>64</v>
      </c>
      <c r="AG1167" s="6">
        <v>47</v>
      </c>
      <c r="AH1167" s="7">
        <v>0.7194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34</v>
      </c>
      <c r="BK1167" s="8">
        <v>934.46</v>
      </c>
      <c r="BL1167" s="2" t="s">
        <v>3841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2480</v>
      </c>
      <c r="BV1167" s="2" t="s">
        <v>97</v>
      </c>
      <c r="BW1167" s="2" t="s">
        <v>100</v>
      </c>
      <c r="BX1167" s="2" t="s">
        <v>100</v>
      </c>
      <c r="BY1167" s="2" t="s">
        <v>113</v>
      </c>
      <c r="BZ1167" s="2" t="s">
        <v>245</v>
      </c>
    </row>
    <row r="1168">
      <c r="A1168" s="2" t="s">
        <v>3842</v>
      </c>
      <c r="B1168" s="2" t="s">
        <v>87</v>
      </c>
      <c r="C1168" s="2" t="s">
        <v>3413</v>
      </c>
      <c r="D1168" s="2" t="s">
        <v>3836</v>
      </c>
      <c r="E1168" s="2" t="s">
        <v>506</v>
      </c>
      <c r="F1168" s="2" t="s">
        <v>3511</v>
      </c>
      <c r="G1168" s="2" t="s">
        <v>3512</v>
      </c>
      <c r="H1168" s="2" t="s">
        <v>3513</v>
      </c>
      <c r="I1168" s="2" t="s">
        <v>3837</v>
      </c>
      <c r="J1168" s="2" t="s">
        <v>270</v>
      </c>
      <c r="K1168" s="2" t="s">
        <v>1148</v>
      </c>
      <c r="L1168" s="3">
        <v>28.57</v>
      </c>
      <c r="M1168" s="3">
        <v>30</v>
      </c>
      <c r="N1168" s="3">
        <v>64.99</v>
      </c>
      <c r="O1168" s="2" t="s">
        <v>97</v>
      </c>
      <c r="P1168" s="2" t="s">
        <v>225</v>
      </c>
      <c r="Q1168" s="2" t="s">
        <v>99</v>
      </c>
      <c r="R1168" s="2" t="s">
        <v>100</v>
      </c>
      <c r="S1168" s="2" t="s">
        <v>3838</v>
      </c>
      <c r="T1168" s="2" t="s">
        <v>200</v>
      </c>
      <c r="U1168" s="2" t="s">
        <v>480</v>
      </c>
      <c r="V1168" s="2" t="s">
        <v>146</v>
      </c>
      <c r="W1168" s="2" t="s">
        <v>561</v>
      </c>
      <c r="X1168" s="2" t="s">
        <v>100</v>
      </c>
      <c r="Y1168" s="2" t="s">
        <v>2168</v>
      </c>
      <c r="Z1168" s="4">
        <v>530</v>
      </c>
      <c r="AA1168" s="4">
        <f>=ROUNDDOWN(72.6027397260274,0)</f>
      </c>
      <c r="AB1168" s="5">
        <v>7.3</v>
      </c>
      <c r="AC1168" s="2" t="s">
        <v>100</v>
      </c>
      <c r="AD1168" s="4"/>
      <c r="AE1168" s="4"/>
      <c r="AF1168" s="6">
        <v>64</v>
      </c>
      <c r="AG1168" s="6">
        <v>47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37</v>
      </c>
      <c r="BK1168" s="8">
        <v>1180.87</v>
      </c>
      <c r="BL1168" s="2" t="s">
        <v>3843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2480</v>
      </c>
      <c r="BV1168" s="2" t="s">
        <v>97</v>
      </c>
      <c r="BW1168" s="2" t="s">
        <v>100</v>
      </c>
      <c r="BX1168" s="2" t="s">
        <v>100</v>
      </c>
      <c r="BY1168" s="2" t="s">
        <v>113</v>
      </c>
      <c r="BZ1168" s="2" t="s">
        <v>245</v>
      </c>
    </row>
    <row r="1169">
      <c r="A1169" s="2" t="s">
        <v>3844</v>
      </c>
      <c r="B1169" s="2" t="s">
        <v>87</v>
      </c>
      <c r="C1169" s="2" t="s">
        <v>3413</v>
      </c>
      <c r="D1169" s="2" t="s">
        <v>3836</v>
      </c>
      <c r="E1169" s="2" t="s">
        <v>506</v>
      </c>
      <c r="F1169" s="2" t="s">
        <v>3511</v>
      </c>
      <c r="G1169" s="2" t="s">
        <v>3512</v>
      </c>
      <c r="H1169" s="2" t="s">
        <v>3513</v>
      </c>
      <c r="I1169" s="2" t="s">
        <v>3837</v>
      </c>
      <c r="J1169" s="2" t="s">
        <v>237</v>
      </c>
      <c r="K1169" s="2" t="s">
        <v>278</v>
      </c>
      <c r="L1169" s="3">
        <v>21.42</v>
      </c>
      <c r="M1169" s="3">
        <v>22.49</v>
      </c>
      <c r="N1169" s="3">
        <v>44.99</v>
      </c>
      <c r="O1169" s="2" t="s">
        <v>97</v>
      </c>
      <c r="P1169" s="2" t="s">
        <v>225</v>
      </c>
      <c r="Q1169" s="2" t="s">
        <v>99</v>
      </c>
      <c r="R1169" s="2" t="s">
        <v>100</v>
      </c>
      <c r="S1169" s="2" t="s">
        <v>3845</v>
      </c>
      <c r="T1169" s="2" t="s">
        <v>200</v>
      </c>
      <c r="U1169" s="2" t="s">
        <v>514</v>
      </c>
      <c r="V1169" s="2" t="s">
        <v>146</v>
      </c>
      <c r="W1169" s="2" t="s">
        <v>561</v>
      </c>
      <c r="X1169" s="2" t="s">
        <v>100</v>
      </c>
      <c r="Y1169" s="2" t="s">
        <v>3840</v>
      </c>
      <c r="Z1169" s="4">
        <v>316</v>
      </c>
      <c r="AA1169" s="4">
        <f>=ROUNDDOWN(158,0)</f>
      </c>
      <c r="AB1169" s="5">
        <v>2</v>
      </c>
      <c r="AC1169" s="2" t="s">
        <v>100</v>
      </c>
      <c r="AD1169" s="4"/>
      <c r="AE1169" s="4"/>
      <c r="AF1169" s="6">
        <v>64</v>
      </c>
      <c r="AG1169" s="6">
        <v>47</v>
      </c>
      <c r="AH1169" s="7">
        <v>0.7194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13</v>
      </c>
      <c r="BK1169" s="8">
        <v>284.79</v>
      </c>
      <c r="BL1169" s="2" t="s">
        <v>3846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2480</v>
      </c>
      <c r="BV1169" s="2" t="s">
        <v>97</v>
      </c>
      <c r="BW1169" s="2" t="s">
        <v>100</v>
      </c>
      <c r="BX1169" s="2" t="s">
        <v>100</v>
      </c>
      <c r="BY1169" s="2" t="s">
        <v>113</v>
      </c>
      <c r="BZ1169" s="2" t="s">
        <v>245</v>
      </c>
    </row>
    <row r="1170">
      <c r="A1170" s="2" t="s">
        <v>3847</v>
      </c>
      <c r="B1170" s="2" t="s">
        <v>87</v>
      </c>
      <c r="C1170" s="2" t="s">
        <v>3413</v>
      </c>
      <c r="D1170" s="2" t="s">
        <v>3836</v>
      </c>
      <c r="E1170" s="2" t="s">
        <v>506</v>
      </c>
      <c r="F1170" s="2" t="s">
        <v>3511</v>
      </c>
      <c r="G1170" s="2" t="s">
        <v>3512</v>
      </c>
      <c r="H1170" s="2" t="s">
        <v>3513</v>
      </c>
      <c r="I1170" s="2" t="s">
        <v>3837</v>
      </c>
      <c r="J1170" s="2" t="s">
        <v>247</v>
      </c>
      <c r="K1170" s="2" t="s">
        <v>278</v>
      </c>
      <c r="L1170" s="3">
        <v>26.19</v>
      </c>
      <c r="M1170" s="3">
        <v>27.5</v>
      </c>
      <c r="N1170" s="3">
        <v>54.99</v>
      </c>
      <c r="O1170" s="2" t="s">
        <v>97</v>
      </c>
      <c r="P1170" s="2" t="s">
        <v>225</v>
      </c>
      <c r="Q1170" s="2" t="s">
        <v>99</v>
      </c>
      <c r="R1170" s="2" t="s">
        <v>100</v>
      </c>
      <c r="S1170" s="2" t="s">
        <v>3845</v>
      </c>
      <c r="T1170" s="2" t="s">
        <v>200</v>
      </c>
      <c r="U1170" s="2" t="s">
        <v>480</v>
      </c>
      <c r="V1170" s="2" t="s">
        <v>146</v>
      </c>
      <c r="W1170" s="2" t="s">
        <v>561</v>
      </c>
      <c r="X1170" s="2" t="s">
        <v>100</v>
      </c>
      <c r="Y1170" s="2" t="s">
        <v>3840</v>
      </c>
      <c r="Z1170" s="4">
        <v>910</v>
      </c>
      <c r="AA1170" s="4">
        <f>=ROUNDDOWN(185.714285714286,0)</f>
      </c>
      <c r="AB1170" s="5">
        <v>4.9</v>
      </c>
      <c r="AC1170" s="2" t="s">
        <v>100</v>
      </c>
      <c r="AD1170" s="4"/>
      <c r="AE1170" s="4"/>
      <c r="AF1170" s="6">
        <v>64</v>
      </c>
      <c r="AG1170" s="6">
        <v>47</v>
      </c>
      <c r="AH1170" s="7">
        <v>0.7194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25</v>
      </c>
      <c r="BK1170" s="8">
        <v>674.58</v>
      </c>
      <c r="BL1170" s="2" t="s">
        <v>3848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2480</v>
      </c>
      <c r="BV1170" s="2" t="s">
        <v>97</v>
      </c>
      <c r="BW1170" s="2" t="s">
        <v>100</v>
      </c>
      <c r="BX1170" s="2" t="s">
        <v>100</v>
      </c>
      <c r="BY1170" s="2" t="s">
        <v>113</v>
      </c>
      <c r="BZ1170" s="2" t="s">
        <v>245</v>
      </c>
    </row>
    <row r="1171">
      <c r="A1171" s="2" t="s">
        <v>3849</v>
      </c>
      <c r="B1171" s="2" t="s">
        <v>87</v>
      </c>
      <c r="C1171" s="2" t="s">
        <v>3413</v>
      </c>
      <c r="D1171" s="2" t="s">
        <v>3836</v>
      </c>
      <c r="E1171" s="2" t="s">
        <v>506</v>
      </c>
      <c r="F1171" s="2" t="s">
        <v>3511</v>
      </c>
      <c r="G1171" s="2" t="s">
        <v>3512</v>
      </c>
      <c r="H1171" s="2" t="s">
        <v>3513</v>
      </c>
      <c r="I1171" s="2" t="s">
        <v>3837</v>
      </c>
      <c r="J1171" s="2" t="s">
        <v>270</v>
      </c>
      <c r="K1171" s="2" t="s">
        <v>278</v>
      </c>
      <c r="L1171" s="3">
        <v>28.57</v>
      </c>
      <c r="M1171" s="3">
        <v>30</v>
      </c>
      <c r="N1171" s="3">
        <v>64.99</v>
      </c>
      <c r="O1171" s="2" t="s">
        <v>97</v>
      </c>
      <c r="P1171" s="2" t="s">
        <v>225</v>
      </c>
      <c r="Q1171" s="2" t="s">
        <v>99</v>
      </c>
      <c r="R1171" s="2" t="s">
        <v>100</v>
      </c>
      <c r="S1171" s="2" t="s">
        <v>3845</v>
      </c>
      <c r="T1171" s="2" t="s">
        <v>200</v>
      </c>
      <c r="U1171" s="2" t="s">
        <v>480</v>
      </c>
      <c r="V1171" s="2" t="s">
        <v>146</v>
      </c>
      <c r="W1171" s="2" t="s">
        <v>561</v>
      </c>
      <c r="X1171" s="2" t="s">
        <v>100</v>
      </c>
      <c r="Y1171" s="2" t="s">
        <v>2168</v>
      </c>
      <c r="Z1171" s="4">
        <v>861</v>
      </c>
      <c r="AA1171" s="4">
        <f>=ROUNDDOWN(187.173913043478,0)</f>
      </c>
      <c r="AB1171" s="5">
        <v>4.6</v>
      </c>
      <c r="AC1171" s="2" t="s">
        <v>100</v>
      </c>
      <c r="AD1171" s="4"/>
      <c r="AE1171" s="4"/>
      <c r="AF1171" s="6">
        <v>64</v>
      </c>
      <c r="AG1171" s="6">
        <v>47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21</v>
      </c>
      <c r="BK1171" s="8">
        <v>653.79</v>
      </c>
      <c r="BL1171" s="2" t="s">
        <v>3850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2480</v>
      </c>
      <c r="BV1171" s="2" t="s">
        <v>97</v>
      </c>
      <c r="BW1171" s="2" t="s">
        <v>100</v>
      </c>
      <c r="BX1171" s="2" t="s">
        <v>100</v>
      </c>
      <c r="BY1171" s="2" t="s">
        <v>113</v>
      </c>
      <c r="BZ1171" s="2" t="s">
        <v>245</v>
      </c>
    </row>
    <row r="1172">
      <c r="A1172" s="2" t="s">
        <v>3851</v>
      </c>
      <c r="B1172" s="2" t="s">
        <v>87</v>
      </c>
      <c r="C1172" s="2" t="s">
        <v>3413</v>
      </c>
      <c r="D1172" s="2" t="s">
        <v>3836</v>
      </c>
      <c r="E1172" s="2" t="s">
        <v>506</v>
      </c>
      <c r="F1172" s="2" t="s">
        <v>3511</v>
      </c>
      <c r="G1172" s="2" t="s">
        <v>3512</v>
      </c>
      <c r="H1172" s="2" t="s">
        <v>3513</v>
      </c>
      <c r="I1172" s="2" t="s">
        <v>3837</v>
      </c>
      <c r="J1172" s="2" t="s">
        <v>237</v>
      </c>
      <c r="K1172" s="2" t="s">
        <v>209</v>
      </c>
      <c r="L1172" s="3">
        <v>21.42</v>
      </c>
      <c r="M1172" s="3">
        <v>22.49</v>
      </c>
      <c r="N1172" s="3">
        <v>44.99</v>
      </c>
      <c r="O1172" s="2" t="s">
        <v>97</v>
      </c>
      <c r="P1172" s="2" t="s">
        <v>225</v>
      </c>
      <c r="Q1172" s="2" t="s">
        <v>99</v>
      </c>
      <c r="R1172" s="2" t="s">
        <v>100</v>
      </c>
      <c r="S1172" s="2" t="s">
        <v>3852</v>
      </c>
      <c r="T1172" s="2" t="s">
        <v>200</v>
      </c>
      <c r="U1172" s="2" t="s">
        <v>514</v>
      </c>
      <c r="V1172" s="2" t="s">
        <v>146</v>
      </c>
      <c r="W1172" s="2" t="s">
        <v>561</v>
      </c>
      <c r="X1172" s="2" t="s">
        <v>100</v>
      </c>
      <c r="Y1172" s="2" t="s">
        <v>3840</v>
      </c>
      <c r="Z1172" s="4">
        <v>232</v>
      </c>
      <c r="AA1172" s="4">
        <f>=ROUNDDOWN(82.8571428571428,0)</f>
      </c>
      <c r="AB1172" s="5">
        <v>2.8</v>
      </c>
      <c r="AC1172" s="2" t="s">
        <v>100</v>
      </c>
      <c r="AD1172" s="4"/>
      <c r="AE1172" s="4"/>
      <c r="AF1172" s="6">
        <v>64</v>
      </c>
      <c r="AG1172" s="6">
        <v>47</v>
      </c>
      <c r="AH1172" s="7">
        <v>0.7194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23</v>
      </c>
      <c r="BK1172" s="8">
        <v>498.3</v>
      </c>
      <c r="BL1172" s="2" t="s">
        <v>3853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2480</v>
      </c>
      <c r="BV1172" s="2" t="s">
        <v>97</v>
      </c>
      <c r="BW1172" s="2" t="s">
        <v>100</v>
      </c>
      <c r="BX1172" s="2" t="s">
        <v>100</v>
      </c>
      <c r="BY1172" s="2" t="s">
        <v>113</v>
      </c>
      <c r="BZ1172" s="2" t="s">
        <v>245</v>
      </c>
    </row>
    <row r="1173">
      <c r="A1173" s="2" t="s">
        <v>3854</v>
      </c>
      <c r="B1173" s="2" t="s">
        <v>87</v>
      </c>
      <c r="C1173" s="2" t="s">
        <v>3413</v>
      </c>
      <c r="D1173" s="2" t="s">
        <v>3836</v>
      </c>
      <c r="E1173" s="2" t="s">
        <v>506</v>
      </c>
      <c r="F1173" s="2" t="s">
        <v>3511</v>
      </c>
      <c r="G1173" s="2" t="s">
        <v>3512</v>
      </c>
      <c r="H1173" s="2" t="s">
        <v>3513</v>
      </c>
      <c r="I1173" s="2" t="s">
        <v>3837</v>
      </c>
      <c r="J1173" s="2" t="s">
        <v>247</v>
      </c>
      <c r="K1173" s="2" t="s">
        <v>209</v>
      </c>
      <c r="L1173" s="3">
        <v>26.19</v>
      </c>
      <c r="M1173" s="3">
        <v>27.5</v>
      </c>
      <c r="N1173" s="3">
        <v>54.99</v>
      </c>
      <c r="O1173" s="2" t="s">
        <v>97</v>
      </c>
      <c r="P1173" s="2" t="s">
        <v>225</v>
      </c>
      <c r="Q1173" s="2" t="s">
        <v>99</v>
      </c>
      <c r="R1173" s="2" t="s">
        <v>100</v>
      </c>
      <c r="S1173" s="2" t="s">
        <v>3852</v>
      </c>
      <c r="T1173" s="2" t="s">
        <v>200</v>
      </c>
      <c r="U1173" s="2" t="s">
        <v>480</v>
      </c>
      <c r="V1173" s="2" t="s">
        <v>146</v>
      </c>
      <c r="W1173" s="2" t="s">
        <v>561</v>
      </c>
      <c r="X1173" s="2" t="s">
        <v>100</v>
      </c>
      <c r="Y1173" s="2" t="s">
        <v>2168</v>
      </c>
      <c r="Z1173" s="4">
        <v>750</v>
      </c>
      <c r="AA1173" s="4">
        <f>=ROUNDDOWN(136.363636363636,0)</f>
      </c>
      <c r="AB1173" s="5">
        <v>5.5</v>
      </c>
      <c r="AC1173" s="2" t="s">
        <v>100</v>
      </c>
      <c r="AD1173" s="4"/>
      <c r="AE1173" s="4"/>
      <c r="AF1173" s="6">
        <v>64</v>
      </c>
      <c r="AG1173" s="6">
        <v>47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>
        <v>40</v>
      </c>
      <c r="BK1173" s="8">
        <v>1087.37</v>
      </c>
      <c r="BL1173" s="2" t="s">
        <v>3855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2480</v>
      </c>
      <c r="BV1173" s="2" t="s">
        <v>97</v>
      </c>
      <c r="BW1173" s="2" t="s">
        <v>100</v>
      </c>
      <c r="BX1173" s="2" t="s">
        <v>100</v>
      </c>
      <c r="BY1173" s="2" t="s">
        <v>113</v>
      </c>
      <c r="BZ1173" s="2" t="s">
        <v>245</v>
      </c>
    </row>
    <row r="1174">
      <c r="A1174" s="2" t="s">
        <v>3856</v>
      </c>
      <c r="B1174" s="2" t="s">
        <v>87</v>
      </c>
      <c r="C1174" s="2" t="s">
        <v>3413</v>
      </c>
      <c r="D1174" s="2" t="s">
        <v>3836</v>
      </c>
      <c r="E1174" s="2" t="s">
        <v>506</v>
      </c>
      <c r="F1174" s="2" t="s">
        <v>3511</v>
      </c>
      <c r="G1174" s="2" t="s">
        <v>3512</v>
      </c>
      <c r="H1174" s="2" t="s">
        <v>3513</v>
      </c>
      <c r="I1174" s="2" t="s">
        <v>3837</v>
      </c>
      <c r="J1174" s="2" t="s">
        <v>270</v>
      </c>
      <c r="K1174" s="2" t="s">
        <v>209</v>
      </c>
      <c r="L1174" s="3">
        <v>28.57</v>
      </c>
      <c r="M1174" s="3">
        <v>30</v>
      </c>
      <c r="N1174" s="3">
        <v>64.99</v>
      </c>
      <c r="O1174" s="2" t="s">
        <v>97</v>
      </c>
      <c r="P1174" s="2" t="s">
        <v>225</v>
      </c>
      <c r="Q1174" s="2" t="s">
        <v>99</v>
      </c>
      <c r="R1174" s="2" t="s">
        <v>100</v>
      </c>
      <c r="S1174" s="2" t="s">
        <v>3852</v>
      </c>
      <c r="T1174" s="2" t="s">
        <v>200</v>
      </c>
      <c r="U1174" s="2" t="s">
        <v>480</v>
      </c>
      <c r="V1174" s="2" t="s">
        <v>146</v>
      </c>
      <c r="W1174" s="2" t="s">
        <v>561</v>
      </c>
      <c r="X1174" s="2" t="s">
        <v>100</v>
      </c>
      <c r="Y1174" s="2" t="s">
        <v>2168</v>
      </c>
      <c r="Z1174" s="4">
        <v>715</v>
      </c>
      <c r="AA1174" s="4">
        <f>=ROUNDDOWN(84.1176470588235,0)</f>
      </c>
      <c r="AB1174" s="5">
        <v>8.5</v>
      </c>
      <c r="AC1174" s="2" t="s">
        <v>100</v>
      </c>
      <c r="AD1174" s="4"/>
      <c r="AE1174" s="4"/>
      <c r="AF1174" s="6">
        <v>64</v>
      </c>
      <c r="AG1174" s="6">
        <v>47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46</v>
      </c>
      <c r="BK1174" s="8">
        <v>1457.65</v>
      </c>
      <c r="BL1174" s="2" t="s">
        <v>3857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2480</v>
      </c>
      <c r="BV1174" s="2" t="s">
        <v>97</v>
      </c>
      <c r="BW1174" s="2" t="s">
        <v>100</v>
      </c>
      <c r="BX1174" s="2" t="s">
        <v>100</v>
      </c>
      <c r="BY1174" s="2" t="s">
        <v>113</v>
      </c>
      <c r="BZ1174" s="2" t="s">
        <v>245</v>
      </c>
    </row>
    <row r="1175">
      <c r="A1175" s="2" t="s">
        <v>3858</v>
      </c>
      <c r="B1175" s="2" t="s">
        <v>87</v>
      </c>
      <c r="C1175" s="2" t="s">
        <v>3413</v>
      </c>
      <c r="D1175" s="2" t="s">
        <v>3836</v>
      </c>
      <c r="E1175" s="2" t="s">
        <v>506</v>
      </c>
      <c r="F1175" s="2" t="s">
        <v>3511</v>
      </c>
      <c r="G1175" s="2" t="s">
        <v>3512</v>
      </c>
      <c r="H1175" s="2" t="s">
        <v>3513</v>
      </c>
      <c r="I1175" s="2" t="s">
        <v>3837</v>
      </c>
      <c r="J1175" s="2" t="s">
        <v>237</v>
      </c>
      <c r="K1175" s="2" t="s">
        <v>189</v>
      </c>
      <c r="L1175" s="3">
        <v>21.42</v>
      </c>
      <c r="M1175" s="3">
        <v>22.49</v>
      </c>
      <c r="N1175" s="3">
        <v>44.99</v>
      </c>
      <c r="O1175" s="2" t="s">
        <v>97</v>
      </c>
      <c r="P1175" s="2" t="s">
        <v>225</v>
      </c>
      <c r="Q1175" s="2" t="s">
        <v>99</v>
      </c>
      <c r="R1175" s="2" t="s">
        <v>100</v>
      </c>
      <c r="S1175" s="2" t="s">
        <v>3859</v>
      </c>
      <c r="T1175" s="2" t="s">
        <v>200</v>
      </c>
      <c r="U1175" s="2" t="s">
        <v>514</v>
      </c>
      <c r="V1175" s="2" t="s">
        <v>146</v>
      </c>
      <c r="W1175" s="2" t="s">
        <v>561</v>
      </c>
      <c r="X1175" s="2" t="s">
        <v>100</v>
      </c>
      <c r="Y1175" s="2" t="s">
        <v>2168</v>
      </c>
      <c r="Z1175" s="4">
        <v>343</v>
      </c>
      <c r="AA1175" s="4">
        <f>=ROUNDDOWN(285.833333333333,0)</f>
      </c>
      <c r="AB1175" s="5">
        <v>1.2</v>
      </c>
      <c r="AC1175" s="2" t="s">
        <v>100</v>
      </c>
      <c r="AD1175" s="4"/>
      <c r="AE1175" s="4"/>
      <c r="AF1175" s="6">
        <v>64</v>
      </c>
      <c r="AG1175" s="6">
        <v>47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5</v>
      </c>
      <c r="BK1175" s="8">
        <v>113.79</v>
      </c>
      <c r="BL1175" s="2" t="s">
        <v>1212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2480</v>
      </c>
      <c r="BV1175" s="2" t="s">
        <v>97</v>
      </c>
      <c r="BW1175" s="2" t="s">
        <v>100</v>
      </c>
      <c r="BX1175" s="2" t="s">
        <v>100</v>
      </c>
      <c r="BY1175" s="2" t="s">
        <v>113</v>
      </c>
      <c r="BZ1175" s="2" t="s">
        <v>245</v>
      </c>
    </row>
    <row r="1176">
      <c r="A1176" s="2" t="s">
        <v>3860</v>
      </c>
      <c r="B1176" s="2" t="s">
        <v>87</v>
      </c>
      <c r="C1176" s="2" t="s">
        <v>3413</v>
      </c>
      <c r="D1176" s="2" t="s">
        <v>3836</v>
      </c>
      <c r="E1176" s="2" t="s">
        <v>506</v>
      </c>
      <c r="F1176" s="2" t="s">
        <v>3511</v>
      </c>
      <c r="G1176" s="2" t="s">
        <v>3512</v>
      </c>
      <c r="H1176" s="2" t="s">
        <v>3513</v>
      </c>
      <c r="I1176" s="2" t="s">
        <v>3837</v>
      </c>
      <c r="J1176" s="2" t="s">
        <v>247</v>
      </c>
      <c r="K1176" s="2" t="s">
        <v>189</v>
      </c>
      <c r="L1176" s="3">
        <v>26.19</v>
      </c>
      <c r="M1176" s="3">
        <v>27.5</v>
      </c>
      <c r="N1176" s="3">
        <v>54.99</v>
      </c>
      <c r="O1176" s="2" t="s">
        <v>97</v>
      </c>
      <c r="P1176" s="2" t="s">
        <v>225</v>
      </c>
      <c r="Q1176" s="2" t="s">
        <v>99</v>
      </c>
      <c r="R1176" s="2" t="s">
        <v>100</v>
      </c>
      <c r="S1176" s="2" t="s">
        <v>3859</v>
      </c>
      <c r="T1176" s="2" t="s">
        <v>200</v>
      </c>
      <c r="U1176" s="2" t="s">
        <v>480</v>
      </c>
      <c r="V1176" s="2" t="s">
        <v>146</v>
      </c>
      <c r="W1176" s="2" t="s">
        <v>561</v>
      </c>
      <c r="X1176" s="2" t="s">
        <v>100</v>
      </c>
      <c r="Y1176" s="2" t="s">
        <v>3840</v>
      </c>
      <c r="Z1176" s="4">
        <v>1376</v>
      </c>
      <c r="AA1176" s="4">
        <f>=ROUNDDOWN(430,0)</f>
      </c>
      <c r="AB1176" s="5">
        <v>3.2</v>
      </c>
      <c r="AC1176" s="2" t="s">
        <v>100</v>
      </c>
      <c r="AD1176" s="4"/>
      <c r="AE1176" s="4"/>
      <c r="AF1176" s="6">
        <v>64</v>
      </c>
      <c r="AG1176" s="6">
        <v>47</v>
      </c>
      <c r="AH1176" s="7">
        <v>0.7194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15</v>
      </c>
      <c r="BK1176" s="8">
        <v>411.04</v>
      </c>
      <c r="BL1176" s="2" t="s">
        <v>3861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2480</v>
      </c>
      <c r="BV1176" s="2" t="s">
        <v>97</v>
      </c>
      <c r="BW1176" s="2" t="s">
        <v>100</v>
      </c>
      <c r="BX1176" s="2" t="s">
        <v>100</v>
      </c>
      <c r="BY1176" s="2" t="s">
        <v>113</v>
      </c>
      <c r="BZ1176" s="2" t="s">
        <v>245</v>
      </c>
    </row>
    <row r="1177">
      <c r="A1177" s="2" t="s">
        <v>3862</v>
      </c>
      <c r="B1177" s="2" t="s">
        <v>87</v>
      </c>
      <c r="C1177" s="2" t="s">
        <v>3413</v>
      </c>
      <c r="D1177" s="2" t="s">
        <v>3836</v>
      </c>
      <c r="E1177" s="2" t="s">
        <v>506</v>
      </c>
      <c r="F1177" s="2" t="s">
        <v>3511</v>
      </c>
      <c r="G1177" s="2" t="s">
        <v>3512</v>
      </c>
      <c r="H1177" s="2" t="s">
        <v>3513</v>
      </c>
      <c r="I1177" s="2" t="s">
        <v>3837</v>
      </c>
      <c r="J1177" s="2" t="s">
        <v>270</v>
      </c>
      <c r="K1177" s="2" t="s">
        <v>189</v>
      </c>
      <c r="L1177" s="3">
        <v>28.57</v>
      </c>
      <c r="M1177" s="3">
        <v>30</v>
      </c>
      <c r="N1177" s="3">
        <v>64.99</v>
      </c>
      <c r="O1177" s="2" t="s">
        <v>97</v>
      </c>
      <c r="P1177" s="2" t="s">
        <v>225</v>
      </c>
      <c r="Q1177" s="2" t="s">
        <v>99</v>
      </c>
      <c r="R1177" s="2" t="s">
        <v>100</v>
      </c>
      <c r="S1177" s="2" t="s">
        <v>3859</v>
      </c>
      <c r="T1177" s="2" t="s">
        <v>200</v>
      </c>
      <c r="U1177" s="2" t="s">
        <v>480</v>
      </c>
      <c r="V1177" s="2" t="s">
        <v>146</v>
      </c>
      <c r="W1177" s="2" t="s">
        <v>561</v>
      </c>
      <c r="X1177" s="2" t="s">
        <v>100</v>
      </c>
      <c r="Y1177" s="2" t="s">
        <v>3840</v>
      </c>
      <c r="Z1177" s="4">
        <v>1308</v>
      </c>
      <c r="AA1177" s="4">
        <f>=ROUNDDOWN(256.470588235294,0)</f>
      </c>
      <c r="AB1177" s="5">
        <v>5.1</v>
      </c>
      <c r="AC1177" s="2" t="s">
        <v>100</v>
      </c>
      <c r="AD1177" s="4"/>
      <c r="AE1177" s="4"/>
      <c r="AF1177" s="6">
        <v>64</v>
      </c>
      <c r="AG1177" s="6">
        <v>47</v>
      </c>
      <c r="AH1177" s="7">
        <v>0.7194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/>
      <c r="BJ1177" s="4">
        <v>38</v>
      </c>
      <c r="BK1177" s="8">
        <v>1152.13</v>
      </c>
      <c r="BL1177" s="2" t="s">
        <v>3846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2480</v>
      </c>
      <c r="BV1177" s="2" t="s">
        <v>97</v>
      </c>
      <c r="BW1177" s="2" t="s">
        <v>100</v>
      </c>
      <c r="BX1177" s="2" t="s">
        <v>100</v>
      </c>
      <c r="BY1177" s="2" t="s">
        <v>113</v>
      </c>
      <c r="BZ1177" s="2" t="s">
        <v>245</v>
      </c>
    </row>
    <row r="1178">
      <c r="A1178" s="2" t="s">
        <v>3863</v>
      </c>
      <c r="B1178" s="2" t="s">
        <v>3864</v>
      </c>
      <c r="C1178" s="2" t="s">
        <v>88</v>
      </c>
      <c r="D1178" s="2" t="s">
        <v>3865</v>
      </c>
      <c r="E1178" s="2" t="s">
        <v>3866</v>
      </c>
      <c r="F1178" s="2" t="s">
        <v>3867</v>
      </c>
      <c r="G1178" s="2" t="s">
        <v>3867</v>
      </c>
      <c r="H1178" s="2" t="s">
        <v>3867</v>
      </c>
      <c r="I1178" s="2" t="s">
        <v>3868</v>
      </c>
      <c r="J1178" s="2" t="s">
        <v>3869</v>
      </c>
      <c r="K1178" s="2" t="s">
        <v>1614</v>
      </c>
      <c r="L1178" s="3">
        <v>12.1</v>
      </c>
      <c r="M1178" s="3">
        <v>12.71</v>
      </c>
      <c r="N1178" s="3">
        <v>49.99</v>
      </c>
      <c r="O1178" s="2" t="s">
        <v>97</v>
      </c>
      <c r="P1178" s="2" t="s">
        <v>225</v>
      </c>
      <c r="Q1178" s="2" t="s">
        <v>99</v>
      </c>
      <c r="R1178" s="2" t="s">
        <v>100</v>
      </c>
      <c r="S1178" s="2" t="s">
        <v>100</v>
      </c>
      <c r="T1178" s="2" t="s">
        <v>100</v>
      </c>
      <c r="U1178" s="2" t="s">
        <v>100</v>
      </c>
      <c r="V1178" s="2" t="s">
        <v>3188</v>
      </c>
      <c r="W1178" s="2" t="s">
        <v>100</v>
      </c>
      <c r="X1178" s="2" t="s">
        <v>100</v>
      </c>
      <c r="Y1178" s="2" t="s">
        <v>3870</v>
      </c>
      <c r="Z1178" s="4">
        <v>170</v>
      </c>
      <c r="AA1178" s="4">
        <f>=ROUNDDOWN({0},0)</f>
      </c>
      <c r="AB1178" s="5"/>
      <c r="AC1178" s="2" t="s">
        <v>100</v>
      </c>
      <c r="AD1178" s="4"/>
      <c r="AE1178" s="4"/>
      <c r="AF1178" s="6"/>
      <c r="AG1178" s="6">
        <v>48</v>
      </c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100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2480</v>
      </c>
      <c r="BV1178" s="2" t="s">
        <v>97</v>
      </c>
      <c r="BW1178" s="2" t="s">
        <v>100</v>
      </c>
      <c r="BX1178" s="2" t="s">
        <v>100</v>
      </c>
      <c r="BY1178" s="2" t="s">
        <v>113</v>
      </c>
      <c r="BZ1178" s="2" t="s">
        <v>100</v>
      </c>
    </row>
    <row r="1179">
      <c r="A1179" s="2" t="s">
        <v>3871</v>
      </c>
      <c r="B1179" s="2" t="s">
        <v>3872</v>
      </c>
      <c r="C1179" s="2" t="s">
        <v>2850</v>
      </c>
      <c r="D1179" s="2" t="s">
        <v>3873</v>
      </c>
      <c r="E1179" s="2" t="s">
        <v>3874</v>
      </c>
      <c r="F1179" s="2" t="s">
        <v>3875</v>
      </c>
      <c r="G1179" s="2" t="s">
        <v>3875</v>
      </c>
      <c r="H1179" s="2" t="s">
        <v>3875</v>
      </c>
      <c r="I1179" s="2" t="s">
        <v>3876</v>
      </c>
      <c r="J1179" s="2" t="s">
        <v>3877</v>
      </c>
      <c r="K1179" s="2" t="s">
        <v>169</v>
      </c>
      <c r="L1179" s="3">
        <v>52.62</v>
      </c>
      <c r="M1179" s="3">
        <v>55.25</v>
      </c>
      <c r="N1179" s="3">
        <v>110.49</v>
      </c>
      <c r="O1179" s="2" t="s">
        <v>97</v>
      </c>
      <c r="P1179" s="2" t="s">
        <v>119</v>
      </c>
      <c r="Q1179" s="2" t="s">
        <v>99</v>
      </c>
      <c r="R1179" s="2" t="s">
        <v>100</v>
      </c>
      <c r="S1179" s="2" t="s">
        <v>3878</v>
      </c>
      <c r="T1179" s="2" t="s">
        <v>100</v>
      </c>
      <c r="U1179" s="2" t="s">
        <v>1847</v>
      </c>
      <c r="V1179" s="2" t="s">
        <v>103</v>
      </c>
      <c r="W1179" s="2" t="s">
        <v>3013</v>
      </c>
      <c r="X1179" s="2" t="s">
        <v>100</v>
      </c>
      <c r="Y1179" s="2" t="s">
        <v>3879</v>
      </c>
      <c r="Z1179" s="4">
        <v>44</v>
      </c>
      <c r="AA1179" s="4">
        <f>=ROUNDDOWN(8.8,0)</f>
      </c>
      <c r="AB1179" s="5">
        <v>5</v>
      </c>
      <c r="AC1179" s="2" t="s">
        <v>326</v>
      </c>
      <c r="AD1179" s="4">
        <v>100</v>
      </c>
      <c r="AE1179" s="4">
        <v>100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>
        <v>146</v>
      </c>
      <c r="BK1179" s="8">
        <v>9161.83</v>
      </c>
      <c r="BL1179" s="2" t="s">
        <v>3880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2528</v>
      </c>
      <c r="BV1179" s="2" t="s">
        <v>97</v>
      </c>
      <c r="BW1179" s="2" t="s">
        <v>100</v>
      </c>
      <c r="BX1179" s="2" t="s">
        <v>100</v>
      </c>
      <c r="BY1179" s="2" t="s">
        <v>113</v>
      </c>
      <c r="BZ1179" s="2" t="s">
        <v>245</v>
      </c>
    </row>
    <row r="1180">
      <c r="A1180" s="2" t="s">
        <v>3881</v>
      </c>
      <c r="B1180" s="2" t="s">
        <v>3872</v>
      </c>
      <c r="C1180" s="2" t="s">
        <v>2850</v>
      </c>
      <c r="D1180" s="2" t="s">
        <v>3873</v>
      </c>
      <c r="E1180" s="2" t="s">
        <v>3882</v>
      </c>
      <c r="F1180" s="2" t="s">
        <v>3883</v>
      </c>
      <c r="G1180" s="2" t="s">
        <v>3883</v>
      </c>
      <c r="H1180" s="2" t="s">
        <v>3883</v>
      </c>
      <c r="I1180" s="2" t="s">
        <v>3884</v>
      </c>
      <c r="J1180" s="2" t="s">
        <v>3877</v>
      </c>
      <c r="K1180" s="2" t="s">
        <v>335</v>
      </c>
      <c r="L1180" s="3">
        <v>22.24</v>
      </c>
      <c r="M1180" s="3">
        <v>23.35</v>
      </c>
      <c r="N1180" s="3">
        <v>50.99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3885</v>
      </c>
      <c r="T1180" s="2" t="s">
        <v>100</v>
      </c>
      <c r="U1180" s="2" t="s">
        <v>1847</v>
      </c>
      <c r="V1180" s="2" t="s">
        <v>146</v>
      </c>
      <c r="W1180" s="2" t="s">
        <v>3886</v>
      </c>
      <c r="X1180" s="2" t="s">
        <v>100</v>
      </c>
      <c r="Y1180" s="2" t="s">
        <v>2054</v>
      </c>
      <c r="Z1180" s="4">
        <v>263</v>
      </c>
      <c r="AA1180" s="4">
        <f>=ROUNDDOWN(14.1397849462366,0)</f>
      </c>
      <c r="AB1180" s="5">
        <v>18.6</v>
      </c>
      <c r="AC1180" s="2" t="s">
        <v>3887</v>
      </c>
      <c r="AD1180" s="4">
        <v>100</v>
      </c>
      <c r="AE1180" s="4">
        <v>200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521</v>
      </c>
      <c r="BK1180" s="8">
        <v>13646.19</v>
      </c>
      <c r="BL1180" s="2" t="s">
        <v>3888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2528</v>
      </c>
      <c r="BV1180" s="2" t="s">
        <v>97</v>
      </c>
      <c r="BW1180" s="2" t="s">
        <v>100</v>
      </c>
      <c r="BX1180" s="2" t="s">
        <v>100</v>
      </c>
      <c r="BY1180" s="2" t="s">
        <v>113</v>
      </c>
      <c r="BZ1180" s="2" t="s">
        <v>245</v>
      </c>
    </row>
    <row r="1181">
      <c r="A1181" s="2" t="s">
        <v>3889</v>
      </c>
      <c r="B1181" s="2" t="s">
        <v>3872</v>
      </c>
      <c r="C1181" s="2" t="s">
        <v>2850</v>
      </c>
      <c r="D1181" s="2" t="s">
        <v>3873</v>
      </c>
      <c r="E1181" s="2" t="s">
        <v>3882</v>
      </c>
      <c r="F1181" s="2" t="s">
        <v>3890</v>
      </c>
      <c r="G1181" s="2" t="s">
        <v>3890</v>
      </c>
      <c r="H1181" s="2" t="s">
        <v>3890</v>
      </c>
      <c r="I1181" s="2" t="s">
        <v>3891</v>
      </c>
      <c r="J1181" s="2" t="s">
        <v>3877</v>
      </c>
      <c r="K1181" s="2" t="s">
        <v>858</v>
      </c>
      <c r="L1181" s="3">
        <v>66.56</v>
      </c>
      <c r="M1181" s="3">
        <v>69.89</v>
      </c>
      <c r="N1181" s="3">
        <v>144.49</v>
      </c>
      <c r="O1181" s="2" t="s">
        <v>97</v>
      </c>
      <c r="P1181" s="2" t="s">
        <v>119</v>
      </c>
      <c r="Q1181" s="2" t="s">
        <v>99</v>
      </c>
      <c r="R1181" s="2" t="s">
        <v>100</v>
      </c>
      <c r="S1181" s="2" t="s">
        <v>3892</v>
      </c>
      <c r="T1181" s="2" t="s">
        <v>100</v>
      </c>
      <c r="U1181" s="2" t="s">
        <v>1847</v>
      </c>
      <c r="V1181" s="2" t="s">
        <v>146</v>
      </c>
      <c r="W1181" s="2" t="s">
        <v>561</v>
      </c>
      <c r="X1181" s="2" t="s">
        <v>100</v>
      </c>
      <c r="Y1181" s="2" t="s">
        <v>1796</v>
      </c>
      <c r="Z1181" s="4">
        <v>93</v>
      </c>
      <c r="AA1181" s="4">
        <f>=ROUNDDOWN(23.25,0)</f>
      </c>
      <c r="AB1181" s="5">
        <v>4</v>
      </c>
      <c r="AC1181" s="2" t="s">
        <v>100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125</v>
      </c>
      <c r="BK1181" s="8">
        <v>8921.72</v>
      </c>
      <c r="BL1181" s="2" t="s">
        <v>3893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2528</v>
      </c>
      <c r="BV1181" s="2" t="s">
        <v>97</v>
      </c>
      <c r="BW1181" s="2" t="s">
        <v>100</v>
      </c>
      <c r="BX1181" s="2" t="s">
        <v>100</v>
      </c>
      <c r="BY1181" s="2" t="s">
        <v>113</v>
      </c>
      <c r="BZ1181" s="2" t="s">
        <v>245</v>
      </c>
    </row>
    <row r="1182">
      <c r="A1182" s="2" t="s">
        <v>3894</v>
      </c>
      <c r="B1182" s="2" t="s">
        <v>3872</v>
      </c>
      <c r="C1182" s="2" t="s">
        <v>2850</v>
      </c>
      <c r="D1182" s="2" t="s">
        <v>3895</v>
      </c>
      <c r="E1182" s="2" t="s">
        <v>3896</v>
      </c>
      <c r="F1182" s="2" t="s">
        <v>3897</v>
      </c>
      <c r="G1182" s="2" t="s">
        <v>3897</v>
      </c>
      <c r="H1182" s="2" t="s">
        <v>3897</v>
      </c>
      <c r="I1182" s="2" t="s">
        <v>3898</v>
      </c>
      <c r="J1182" s="2" t="s">
        <v>3877</v>
      </c>
      <c r="K1182" s="2" t="s">
        <v>278</v>
      </c>
      <c r="L1182" s="3">
        <v>32.38</v>
      </c>
      <c r="M1182" s="3">
        <v>34</v>
      </c>
      <c r="N1182" s="3">
        <v>67.99</v>
      </c>
      <c r="O1182" s="2" t="s">
        <v>97</v>
      </c>
      <c r="P1182" s="2" t="s">
        <v>119</v>
      </c>
      <c r="Q1182" s="2" t="s">
        <v>99</v>
      </c>
      <c r="R1182" s="2" t="s">
        <v>100</v>
      </c>
      <c r="S1182" s="2" t="s">
        <v>100</v>
      </c>
      <c r="T1182" s="2" t="s">
        <v>100</v>
      </c>
      <c r="U1182" s="2" t="s">
        <v>514</v>
      </c>
      <c r="V1182" s="2" t="s">
        <v>3188</v>
      </c>
      <c r="W1182" s="2" t="s">
        <v>183</v>
      </c>
      <c r="X1182" s="2" t="s">
        <v>104</v>
      </c>
      <c r="Y1182" s="2" t="s">
        <v>3899</v>
      </c>
      <c r="Z1182" s="4">
        <v>297</v>
      </c>
      <c r="AA1182" s="4">
        <f>=ROUNDDOWN(33.75,0)</f>
      </c>
      <c r="AB1182" s="5">
        <v>8.8</v>
      </c>
      <c r="AC1182" s="2" t="s">
        <v>100</v>
      </c>
      <c r="AD1182" s="4"/>
      <c r="AE1182" s="4"/>
      <c r="AF1182" s="6">
        <v>63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>
        <v>226</v>
      </c>
      <c r="BK1182" s="8">
        <v>9292.74</v>
      </c>
      <c r="BL1182" s="2" t="s">
        <v>3900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2528</v>
      </c>
      <c r="BV1182" s="2" t="s">
        <v>97</v>
      </c>
      <c r="BW1182" s="2" t="s">
        <v>100</v>
      </c>
      <c r="BX1182" s="2" t="s">
        <v>100</v>
      </c>
      <c r="BY1182" s="2" t="s">
        <v>113</v>
      </c>
      <c r="BZ1182" s="2" t="s">
        <v>245</v>
      </c>
    </row>
    <row r="1183">
      <c r="A1183" s="2" t="s">
        <v>3901</v>
      </c>
      <c r="B1183" s="2" t="s">
        <v>3872</v>
      </c>
      <c r="C1183" s="2" t="s">
        <v>2850</v>
      </c>
      <c r="D1183" s="2" t="s">
        <v>3895</v>
      </c>
      <c r="E1183" s="2" t="s">
        <v>3896</v>
      </c>
      <c r="F1183" s="2" t="s">
        <v>3902</v>
      </c>
      <c r="G1183" s="2" t="s">
        <v>3902</v>
      </c>
      <c r="H1183" s="2" t="s">
        <v>3902</v>
      </c>
      <c r="I1183" s="2" t="s">
        <v>3903</v>
      </c>
      <c r="J1183" s="2" t="s">
        <v>3877</v>
      </c>
      <c r="K1183" s="2" t="s">
        <v>360</v>
      </c>
      <c r="L1183" s="3">
        <v>40.03</v>
      </c>
      <c r="M1183" s="3">
        <v>42.03</v>
      </c>
      <c r="N1183" s="3">
        <v>87.54</v>
      </c>
      <c r="O1183" s="2" t="s">
        <v>97</v>
      </c>
      <c r="P1183" s="2" t="s">
        <v>119</v>
      </c>
      <c r="Q1183" s="2" t="s">
        <v>99</v>
      </c>
      <c r="R1183" s="2" t="s">
        <v>100</v>
      </c>
      <c r="S1183" s="2" t="s">
        <v>3904</v>
      </c>
      <c r="T1183" s="2" t="s">
        <v>100</v>
      </c>
      <c r="U1183" s="2" t="s">
        <v>1847</v>
      </c>
      <c r="V1183" s="2" t="s">
        <v>1150</v>
      </c>
      <c r="W1183" s="2" t="s">
        <v>561</v>
      </c>
      <c r="X1183" s="2" t="s">
        <v>100</v>
      </c>
      <c r="Y1183" s="2" t="s">
        <v>2054</v>
      </c>
      <c r="Z1183" s="4">
        <v>110</v>
      </c>
      <c r="AA1183" s="4">
        <f>=ROUNDDOWN(27.5,0)</f>
      </c>
      <c r="AB1183" s="5">
        <v>4</v>
      </c>
      <c r="AC1183" s="2" t="s">
        <v>100</v>
      </c>
      <c r="AD1183" s="4"/>
      <c r="AE1183" s="4"/>
      <c r="AF1183" s="6">
        <v>63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105</v>
      </c>
      <c r="BK1183" s="8">
        <v>4801.23</v>
      </c>
      <c r="BL1183" s="2" t="s">
        <v>3905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2528</v>
      </c>
      <c r="BV1183" s="2" t="s">
        <v>97</v>
      </c>
      <c r="BW1183" s="2" t="s">
        <v>100</v>
      </c>
      <c r="BX1183" s="2" t="s">
        <v>100</v>
      </c>
      <c r="BY1183" s="2" t="s">
        <v>113</v>
      </c>
      <c r="BZ1183" s="2" t="s">
        <v>245</v>
      </c>
    </row>
    <row r="1184">
      <c r="A1184" s="2" t="s">
        <v>3906</v>
      </c>
      <c r="B1184" s="2" t="s">
        <v>3872</v>
      </c>
      <c r="C1184" s="2" t="s">
        <v>2850</v>
      </c>
      <c r="D1184" s="2" t="s">
        <v>3895</v>
      </c>
      <c r="E1184" s="2" t="s">
        <v>3896</v>
      </c>
      <c r="F1184" s="2" t="s">
        <v>3907</v>
      </c>
      <c r="G1184" s="2" t="s">
        <v>3907</v>
      </c>
      <c r="H1184" s="2" t="s">
        <v>3907</v>
      </c>
      <c r="I1184" s="2" t="s">
        <v>3908</v>
      </c>
      <c r="J1184" s="2" t="s">
        <v>3877</v>
      </c>
      <c r="K1184" s="2" t="s">
        <v>1614</v>
      </c>
      <c r="L1184" s="3">
        <v>72.85</v>
      </c>
      <c r="M1184" s="3">
        <v>76.49</v>
      </c>
      <c r="N1184" s="3">
        <v>152.99</v>
      </c>
      <c r="O1184" s="2" t="s">
        <v>97</v>
      </c>
      <c r="P1184" s="2" t="s">
        <v>119</v>
      </c>
      <c r="Q1184" s="2" t="s">
        <v>99</v>
      </c>
      <c r="R1184" s="2" t="s">
        <v>100</v>
      </c>
      <c r="S1184" s="2" t="s">
        <v>3909</v>
      </c>
      <c r="T1184" s="2" t="s">
        <v>100</v>
      </c>
      <c r="U1184" s="2" t="s">
        <v>514</v>
      </c>
      <c r="V1184" s="2" t="s">
        <v>1150</v>
      </c>
      <c r="W1184" s="2" t="s">
        <v>561</v>
      </c>
      <c r="X1184" s="2" t="s">
        <v>3013</v>
      </c>
      <c r="Y1184" s="2" t="s">
        <v>3910</v>
      </c>
      <c r="Z1184" s="4">
        <v>62</v>
      </c>
      <c r="AA1184" s="4">
        <f>=ROUNDDOWN(31,0)</f>
      </c>
      <c r="AB1184" s="5">
        <v>2</v>
      </c>
      <c r="AC1184" s="2" t="s">
        <v>100</v>
      </c>
      <c r="AD1184" s="4"/>
      <c r="AE1184" s="4"/>
      <c r="AF1184" s="6">
        <v>63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>
        <v>56</v>
      </c>
      <c r="BK1184" s="8">
        <v>5140.87</v>
      </c>
      <c r="BL1184" s="2" t="s">
        <v>3911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2528</v>
      </c>
      <c r="BV1184" s="2" t="s">
        <v>97</v>
      </c>
      <c r="BW1184" s="2" t="s">
        <v>100</v>
      </c>
      <c r="BX1184" s="2" t="s">
        <v>100</v>
      </c>
      <c r="BY1184" s="2" t="s">
        <v>113</v>
      </c>
      <c r="BZ1184" s="2" t="s">
        <v>245</v>
      </c>
    </row>
    <row r="1185">
      <c r="A1185" s="2" t="s">
        <v>3912</v>
      </c>
      <c r="B1185" s="2" t="s">
        <v>3872</v>
      </c>
      <c r="C1185" s="2" t="s">
        <v>2850</v>
      </c>
      <c r="D1185" s="2" t="s">
        <v>3895</v>
      </c>
      <c r="E1185" s="2" t="s">
        <v>3896</v>
      </c>
      <c r="F1185" s="2" t="s">
        <v>3913</v>
      </c>
      <c r="G1185" s="2" t="s">
        <v>3913</v>
      </c>
      <c r="H1185" s="2" t="s">
        <v>3913</v>
      </c>
      <c r="I1185" s="2" t="s">
        <v>3914</v>
      </c>
      <c r="J1185" s="2" t="s">
        <v>3877</v>
      </c>
      <c r="K1185" s="2" t="s">
        <v>335</v>
      </c>
      <c r="L1185" s="3">
        <v>34.6</v>
      </c>
      <c r="M1185" s="3">
        <v>36.33</v>
      </c>
      <c r="N1185" s="3">
        <v>80.74</v>
      </c>
      <c r="O1185" s="2" t="s">
        <v>97</v>
      </c>
      <c r="P1185" s="2" t="s">
        <v>119</v>
      </c>
      <c r="Q1185" s="2" t="s">
        <v>99</v>
      </c>
      <c r="R1185" s="2" t="s">
        <v>100</v>
      </c>
      <c r="S1185" s="2" t="s">
        <v>3915</v>
      </c>
      <c r="T1185" s="2" t="s">
        <v>100</v>
      </c>
      <c r="U1185" s="2" t="s">
        <v>514</v>
      </c>
      <c r="V1185" s="2" t="s">
        <v>3916</v>
      </c>
      <c r="W1185" s="2" t="s">
        <v>3886</v>
      </c>
      <c r="X1185" s="2" t="s">
        <v>100</v>
      </c>
      <c r="Y1185" s="2" t="s">
        <v>240</v>
      </c>
      <c r="Z1185" s="4">
        <v>166</v>
      </c>
      <c r="AA1185" s="4">
        <f>=ROUNDDOWN(18.4444444444444,0)</f>
      </c>
      <c r="AB1185" s="5">
        <v>9</v>
      </c>
      <c r="AC1185" s="2" t="s">
        <v>100</v>
      </c>
      <c r="AD1185" s="4"/>
      <c r="AE1185" s="4"/>
      <c r="AF1185" s="6">
        <v>63</v>
      </c>
      <c r="AG1185" s="6"/>
      <c r="AH1185" s="7">
        <v>0.7701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>
        <v>263</v>
      </c>
      <c r="BK1185" s="8">
        <v>10752.29</v>
      </c>
      <c r="BL1185" s="2" t="s">
        <v>3917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2528</v>
      </c>
      <c r="BV1185" s="2" t="s">
        <v>97</v>
      </c>
      <c r="BW1185" s="2" t="s">
        <v>100</v>
      </c>
      <c r="BX1185" s="2" t="s">
        <v>100</v>
      </c>
      <c r="BY1185" s="2" t="s">
        <v>113</v>
      </c>
      <c r="BZ1185" s="2" t="s">
        <v>245</v>
      </c>
    </row>
    <row r="1186">
      <c r="A1186" s="2" t="s">
        <v>3918</v>
      </c>
      <c r="B1186" s="2" t="s">
        <v>3872</v>
      </c>
      <c r="C1186" s="2" t="s">
        <v>2850</v>
      </c>
      <c r="D1186" s="2" t="s">
        <v>3919</v>
      </c>
      <c r="E1186" s="2" t="s">
        <v>3920</v>
      </c>
      <c r="F1186" s="2" t="s">
        <v>3921</v>
      </c>
      <c r="G1186" s="2" t="s">
        <v>3921</v>
      </c>
      <c r="H1186" s="2" t="s">
        <v>3921</v>
      </c>
      <c r="I1186" s="2" t="s">
        <v>3922</v>
      </c>
      <c r="J1186" s="2" t="s">
        <v>3877</v>
      </c>
      <c r="K1186" s="2" t="s">
        <v>858</v>
      </c>
      <c r="L1186" s="3">
        <v>59.52</v>
      </c>
      <c r="M1186" s="3">
        <v>62.5</v>
      </c>
      <c r="N1186" s="3">
        <v>124.99</v>
      </c>
      <c r="O1186" s="2" t="s">
        <v>97</v>
      </c>
      <c r="P1186" s="2" t="s">
        <v>372</v>
      </c>
      <c r="Q1186" s="2" t="s">
        <v>99</v>
      </c>
      <c r="R1186" s="2" t="s">
        <v>100</v>
      </c>
      <c r="S1186" s="2" t="s">
        <v>100</v>
      </c>
      <c r="T1186" s="2" t="s">
        <v>100</v>
      </c>
      <c r="U1186" s="2" t="s">
        <v>1847</v>
      </c>
      <c r="V1186" s="2" t="s">
        <v>3188</v>
      </c>
      <c r="W1186" s="2" t="s">
        <v>183</v>
      </c>
      <c r="X1186" s="2" t="s">
        <v>239</v>
      </c>
      <c r="Y1186" s="2" t="s">
        <v>3923</v>
      </c>
      <c r="Z1186" s="4">
        <v>753</v>
      </c>
      <c r="AA1186" s="4">
        <f>=ROUNDDOWN(47.6582278481013,0)</f>
      </c>
      <c r="AB1186" s="5">
        <v>15.8</v>
      </c>
      <c r="AC1186" s="2" t="s">
        <v>100</v>
      </c>
      <c r="AD1186" s="4"/>
      <c r="AE1186" s="4"/>
      <c r="AF1186" s="6">
        <v>63</v>
      </c>
      <c r="AG1186" s="6"/>
      <c r="AH1186" s="7">
        <v>0.7701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>
        <v>408</v>
      </c>
      <c r="BK1186" s="8">
        <v>27501.04</v>
      </c>
      <c r="BL1186" s="2" t="s">
        <v>3924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2528</v>
      </c>
      <c r="BV1186" s="2" t="s">
        <v>97</v>
      </c>
      <c r="BW1186" s="2" t="s">
        <v>100</v>
      </c>
      <c r="BX1186" s="2" t="s">
        <v>100</v>
      </c>
      <c r="BY1186" s="2" t="s">
        <v>113</v>
      </c>
      <c r="BZ1186" s="2" t="s">
        <v>245</v>
      </c>
    </row>
    <row r="1187">
      <c r="A1187" s="2" t="s">
        <v>3925</v>
      </c>
      <c r="B1187" s="2" t="s">
        <v>3872</v>
      </c>
      <c r="C1187" s="2" t="s">
        <v>2850</v>
      </c>
      <c r="D1187" s="2" t="s">
        <v>3926</v>
      </c>
      <c r="E1187" s="2" t="s">
        <v>3927</v>
      </c>
      <c r="F1187" s="2" t="s">
        <v>3928</v>
      </c>
      <c r="G1187" s="2" t="s">
        <v>3928</v>
      </c>
      <c r="H1187" s="2" t="s">
        <v>3928</v>
      </c>
      <c r="I1187" s="2" t="s">
        <v>3929</v>
      </c>
      <c r="J1187" s="2" t="s">
        <v>3877</v>
      </c>
      <c r="K1187" s="2" t="s">
        <v>3930</v>
      </c>
      <c r="L1187" s="3">
        <v>50</v>
      </c>
      <c r="M1187" s="3">
        <v>52.5</v>
      </c>
      <c r="N1187" s="3">
        <v>104.99</v>
      </c>
      <c r="O1187" s="2" t="s">
        <v>97</v>
      </c>
      <c r="P1187" s="2" t="s">
        <v>119</v>
      </c>
      <c r="Q1187" s="2" t="s">
        <v>99</v>
      </c>
      <c r="R1187" s="2" t="s">
        <v>100</v>
      </c>
      <c r="S1187" s="2" t="s">
        <v>100</v>
      </c>
      <c r="T1187" s="2" t="s">
        <v>100</v>
      </c>
      <c r="U1187" s="2" t="s">
        <v>514</v>
      </c>
      <c r="V1187" s="2" t="s">
        <v>3188</v>
      </c>
      <c r="W1187" s="2" t="s">
        <v>561</v>
      </c>
      <c r="X1187" s="2" t="s">
        <v>100</v>
      </c>
      <c r="Y1187" s="2" t="s">
        <v>3931</v>
      </c>
      <c r="Z1187" s="4"/>
      <c r="AA1187" s="4">
        <f>=ROUNDDOWN({0},0)</f>
      </c>
      <c r="AB1187" s="5">
        <v>5</v>
      </c>
      <c r="AC1187" s="2" t="s">
        <v>872</v>
      </c>
      <c r="AD1187" s="4">
        <v>100</v>
      </c>
      <c r="AE1187" s="4">
        <v>100</v>
      </c>
      <c r="AF1187" s="6">
        <v>63</v>
      </c>
      <c r="AG1187" s="6"/>
      <c r="AH1187" s="7">
        <v>0.6845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>
        <v>106</v>
      </c>
      <c r="BK1187" s="8">
        <v>6014.18</v>
      </c>
      <c r="BL1187" s="2" t="s">
        <v>3932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2528</v>
      </c>
      <c r="BV1187" s="2" t="s">
        <v>97</v>
      </c>
      <c r="BW1187" s="2" t="s">
        <v>100</v>
      </c>
      <c r="BX1187" s="2" t="s">
        <v>100</v>
      </c>
      <c r="BY1187" s="2" t="s">
        <v>113</v>
      </c>
      <c r="BZ1187" s="2" t="s">
        <v>245</v>
      </c>
    </row>
    <row r="1188">
      <c r="A1188" s="2" t="s">
        <v>3933</v>
      </c>
      <c r="B1188" s="2" t="s">
        <v>3872</v>
      </c>
      <c r="C1188" s="2" t="s">
        <v>3934</v>
      </c>
      <c r="D1188" s="2" t="s">
        <v>3895</v>
      </c>
      <c r="E1188" s="2" t="s">
        <v>3896</v>
      </c>
      <c r="F1188" s="2" t="s">
        <v>3935</v>
      </c>
      <c r="G1188" s="2" t="s">
        <v>3935</v>
      </c>
      <c r="H1188" s="2" t="s">
        <v>3935</v>
      </c>
      <c r="I1188" s="2" t="s">
        <v>3936</v>
      </c>
      <c r="J1188" s="2" t="s">
        <v>3877</v>
      </c>
      <c r="K1188" s="2" t="s">
        <v>198</v>
      </c>
      <c r="L1188" s="3">
        <v>39.27</v>
      </c>
      <c r="M1188" s="3">
        <v>41.23</v>
      </c>
      <c r="N1188" s="3">
        <v>84.99</v>
      </c>
      <c r="O1188" s="2" t="s">
        <v>97</v>
      </c>
      <c r="P1188" s="2" t="s">
        <v>119</v>
      </c>
      <c r="Q1188" s="2" t="s">
        <v>99</v>
      </c>
      <c r="R1188" s="2" t="s">
        <v>100</v>
      </c>
      <c r="S1188" s="2" t="s">
        <v>100</v>
      </c>
      <c r="T1188" s="2" t="s">
        <v>100</v>
      </c>
      <c r="U1188" s="2" t="s">
        <v>480</v>
      </c>
      <c r="V1188" s="2" t="s">
        <v>3937</v>
      </c>
      <c r="W1188" s="2" t="s">
        <v>183</v>
      </c>
      <c r="X1188" s="2" t="s">
        <v>100</v>
      </c>
      <c r="Y1188" s="2" t="s">
        <v>3938</v>
      </c>
      <c r="Z1188" s="4">
        <v>132</v>
      </c>
      <c r="AA1188" s="4">
        <f>=ROUNDDOWN(33,0)</f>
      </c>
      <c r="AB1188" s="5">
        <v>4</v>
      </c>
      <c r="AC1188" s="2" t="s">
        <v>100</v>
      </c>
      <c r="AD1188" s="4"/>
      <c r="AE1188" s="4"/>
      <c r="AF1188" s="6">
        <v>63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104</v>
      </c>
      <c r="BK1188" s="8">
        <v>4532.72</v>
      </c>
      <c r="BL1188" s="2" t="s">
        <v>3939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2480</v>
      </c>
      <c r="BV1188" s="2" t="s">
        <v>97</v>
      </c>
      <c r="BW1188" s="2" t="s">
        <v>100</v>
      </c>
      <c r="BX1188" s="2" t="s">
        <v>100</v>
      </c>
      <c r="BY1188" s="2" t="s">
        <v>113</v>
      </c>
      <c r="BZ1188" s="2" t="s">
        <v>245</v>
      </c>
    </row>
    <row r="1189">
      <c r="A1189" s="2" t="s">
        <v>3940</v>
      </c>
      <c r="B1189" s="2" t="s">
        <v>3872</v>
      </c>
      <c r="C1189" s="2" t="s">
        <v>88</v>
      </c>
      <c r="D1189" s="2" t="s">
        <v>3941</v>
      </c>
      <c r="E1189" s="2" t="s">
        <v>3942</v>
      </c>
      <c r="F1189" s="2" t="s">
        <v>3943</v>
      </c>
      <c r="G1189" s="2" t="s">
        <v>3943</v>
      </c>
      <c r="H1189" s="2" t="s">
        <v>3943</v>
      </c>
      <c r="I1189" s="2" t="s">
        <v>3944</v>
      </c>
      <c r="J1189" s="2" t="s">
        <v>3877</v>
      </c>
      <c r="K1189" s="2" t="s">
        <v>3945</v>
      </c>
      <c r="L1189" s="3">
        <v>56.03</v>
      </c>
      <c r="M1189" s="3">
        <v>58.83</v>
      </c>
      <c r="N1189" s="3">
        <v>116.99</v>
      </c>
      <c r="O1189" s="2" t="s">
        <v>97</v>
      </c>
      <c r="P1189" s="2" t="s">
        <v>119</v>
      </c>
      <c r="Q1189" s="2" t="s">
        <v>99</v>
      </c>
      <c r="R1189" s="2" t="s">
        <v>100</v>
      </c>
      <c r="S1189" s="2" t="s">
        <v>3946</v>
      </c>
      <c r="T1189" s="2" t="s">
        <v>100</v>
      </c>
      <c r="U1189" s="2" t="s">
        <v>480</v>
      </c>
      <c r="V1189" s="2" t="s">
        <v>103</v>
      </c>
      <c r="W1189" s="2" t="s">
        <v>2897</v>
      </c>
      <c r="X1189" s="2" t="s">
        <v>183</v>
      </c>
      <c r="Y1189" s="2" t="s">
        <v>3947</v>
      </c>
      <c r="Z1189" s="4">
        <v>81</v>
      </c>
      <c r="AA1189" s="4">
        <f>=ROUNDDOWN(13.5,0)</f>
      </c>
      <c r="AB1189" s="5">
        <v>6</v>
      </c>
      <c r="AC1189" s="2" t="s">
        <v>107</v>
      </c>
      <c r="AD1189" s="4">
        <v>100</v>
      </c>
      <c r="AE1189" s="4">
        <v>100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>
        <v>128</v>
      </c>
      <c r="BK1189" s="8">
        <v>8068.44</v>
      </c>
      <c r="BL1189" s="2" t="s">
        <v>3948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186</v>
      </c>
      <c r="BV1189" s="2" t="s">
        <v>97</v>
      </c>
      <c r="BW1189" s="2" t="s">
        <v>100</v>
      </c>
      <c r="BX1189" s="2" t="s">
        <v>100</v>
      </c>
      <c r="BY1189" s="2" t="s">
        <v>113</v>
      </c>
      <c r="BZ1189" s="2" t="s">
        <v>245</v>
      </c>
    </row>
    <row r="1190">
      <c r="A1190" s="2" t="s">
        <v>3949</v>
      </c>
      <c r="B1190" s="2" t="s">
        <v>3872</v>
      </c>
      <c r="C1190" s="2" t="s">
        <v>88</v>
      </c>
      <c r="D1190" s="2" t="s">
        <v>3873</v>
      </c>
      <c r="E1190" s="2" t="s">
        <v>3874</v>
      </c>
      <c r="F1190" s="2" t="s">
        <v>3950</v>
      </c>
      <c r="G1190" s="2" t="s">
        <v>3950</v>
      </c>
      <c r="H1190" s="2" t="s">
        <v>3950</v>
      </c>
      <c r="I1190" s="2" t="s">
        <v>3951</v>
      </c>
      <c r="J1190" s="2" t="s">
        <v>3877</v>
      </c>
      <c r="K1190" s="2" t="s">
        <v>2720</v>
      </c>
      <c r="L1190" s="3">
        <v>16.99</v>
      </c>
      <c r="M1190" s="3">
        <v>17.84</v>
      </c>
      <c r="N1190" s="3">
        <v>42.49</v>
      </c>
      <c r="O1190" s="2" t="s">
        <v>97</v>
      </c>
      <c r="P1190" s="2" t="s">
        <v>119</v>
      </c>
      <c r="Q1190" s="2" t="s">
        <v>99</v>
      </c>
      <c r="R1190" s="2" t="s">
        <v>100</v>
      </c>
      <c r="S1190" s="2" t="s">
        <v>100</v>
      </c>
      <c r="T1190" s="2" t="s">
        <v>100</v>
      </c>
      <c r="U1190" s="2" t="s">
        <v>1847</v>
      </c>
      <c r="V1190" s="2" t="s">
        <v>2508</v>
      </c>
      <c r="W1190" s="2" t="s">
        <v>309</v>
      </c>
      <c r="X1190" s="2" t="s">
        <v>100</v>
      </c>
      <c r="Y1190" s="2" t="s">
        <v>2187</v>
      </c>
      <c r="Z1190" s="4">
        <v>374</v>
      </c>
      <c r="AA1190" s="4">
        <f>=ROUNDDOWN(28.7692307692308,0)</f>
      </c>
      <c r="AB1190" s="5">
        <v>13</v>
      </c>
      <c r="AC1190" s="2" t="s">
        <v>100</v>
      </c>
      <c r="AD1190" s="4"/>
      <c r="AE1190" s="4"/>
      <c r="AF1190" s="6">
        <v>63</v>
      </c>
      <c r="AG1190" s="6">
        <v>46</v>
      </c>
      <c r="AH1190" s="7">
        <v>0.9412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>
        <v>331</v>
      </c>
      <c r="BK1190" s="8">
        <v>6721.58</v>
      </c>
      <c r="BL1190" s="2" t="s">
        <v>3952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2480</v>
      </c>
      <c r="BV1190" s="2" t="s">
        <v>97</v>
      </c>
      <c r="BW1190" s="2" t="s">
        <v>100</v>
      </c>
      <c r="BX1190" s="2" t="s">
        <v>100</v>
      </c>
      <c r="BY1190" s="2" t="s">
        <v>113</v>
      </c>
      <c r="BZ1190" s="2" t="s">
        <v>245</v>
      </c>
    </row>
    <row r="1191">
      <c r="A1191" s="2" t="s">
        <v>3953</v>
      </c>
      <c r="B1191" s="2" t="s">
        <v>3872</v>
      </c>
      <c r="C1191" s="2" t="s">
        <v>88</v>
      </c>
      <c r="D1191" s="2" t="s">
        <v>3873</v>
      </c>
      <c r="E1191" s="2" t="s">
        <v>3874</v>
      </c>
      <c r="F1191" s="2" t="s">
        <v>3954</v>
      </c>
      <c r="G1191" s="2" t="s">
        <v>3954</v>
      </c>
      <c r="H1191" s="2" t="s">
        <v>3954</v>
      </c>
      <c r="I1191" s="2" t="s">
        <v>3955</v>
      </c>
      <c r="J1191" s="2" t="s">
        <v>3877</v>
      </c>
      <c r="K1191" s="2" t="s">
        <v>3199</v>
      </c>
      <c r="L1191" s="3">
        <v>32.38</v>
      </c>
      <c r="M1191" s="3">
        <v>34</v>
      </c>
      <c r="N1191" s="3">
        <v>67.99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100</v>
      </c>
      <c r="T1191" s="2" t="s">
        <v>100</v>
      </c>
      <c r="U1191" s="2" t="s">
        <v>514</v>
      </c>
      <c r="V1191" s="2" t="s">
        <v>3188</v>
      </c>
      <c r="W1191" s="2" t="s">
        <v>673</v>
      </c>
      <c r="X1191" s="2" t="s">
        <v>561</v>
      </c>
      <c r="Y1191" s="2" t="s">
        <v>3956</v>
      </c>
      <c r="Z1191" s="4">
        <v>144</v>
      </c>
      <c r="AA1191" s="4">
        <f>=ROUNDDOWN(9,0)</f>
      </c>
      <c r="AB1191" s="5">
        <v>16</v>
      </c>
      <c r="AC1191" s="2" t="s">
        <v>241</v>
      </c>
      <c r="AD1191" s="4">
        <v>70</v>
      </c>
      <c r="AE1191" s="4">
        <v>220</v>
      </c>
      <c r="AF1191" s="6">
        <v>65</v>
      </c>
      <c r="AG1191" s="6">
        <v>48</v>
      </c>
      <c r="AH1191" s="7">
        <v>0.3743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>
        <v>242</v>
      </c>
      <c r="BK1191" s="8">
        <v>7282.01</v>
      </c>
      <c r="BL1191" s="2" t="s">
        <v>3957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2480</v>
      </c>
      <c r="BV1191" s="2" t="s">
        <v>97</v>
      </c>
      <c r="BW1191" s="2" t="s">
        <v>100</v>
      </c>
      <c r="BX1191" s="2" t="s">
        <v>100</v>
      </c>
      <c r="BY1191" s="2" t="s">
        <v>113</v>
      </c>
      <c r="BZ1191" s="2" t="s">
        <v>245</v>
      </c>
    </row>
    <row r="1192">
      <c r="A1192" s="2" t="s">
        <v>3958</v>
      </c>
      <c r="B1192" s="2" t="s">
        <v>3872</v>
      </c>
      <c r="C1192" s="2" t="s">
        <v>88</v>
      </c>
      <c r="D1192" s="2" t="s">
        <v>3873</v>
      </c>
      <c r="E1192" s="2" t="s">
        <v>3874</v>
      </c>
      <c r="F1192" s="2" t="s">
        <v>3959</v>
      </c>
      <c r="G1192" s="2" t="s">
        <v>3959</v>
      </c>
      <c r="H1192" s="2" t="s">
        <v>3959</v>
      </c>
      <c r="I1192" s="2" t="s">
        <v>3960</v>
      </c>
      <c r="J1192" s="2" t="s">
        <v>3877</v>
      </c>
      <c r="K1192" s="2" t="s">
        <v>169</v>
      </c>
      <c r="L1192" s="3">
        <v>61.9</v>
      </c>
      <c r="M1192" s="3">
        <v>65</v>
      </c>
      <c r="N1192" s="3">
        <v>129.9</v>
      </c>
      <c r="O1192" s="2" t="s">
        <v>97</v>
      </c>
      <c r="P1192" s="2" t="s">
        <v>225</v>
      </c>
      <c r="Q1192" s="2" t="s">
        <v>99</v>
      </c>
      <c r="R1192" s="2" t="s">
        <v>100</v>
      </c>
      <c r="S1192" s="2" t="s">
        <v>100</v>
      </c>
      <c r="T1192" s="2" t="s">
        <v>100</v>
      </c>
      <c r="U1192" s="2" t="s">
        <v>1847</v>
      </c>
      <c r="V1192" s="2" t="s">
        <v>239</v>
      </c>
      <c r="W1192" s="2" t="s">
        <v>239</v>
      </c>
      <c r="X1192" s="2" t="s">
        <v>183</v>
      </c>
      <c r="Y1192" s="2" t="s">
        <v>3961</v>
      </c>
      <c r="Z1192" s="4">
        <v>41</v>
      </c>
      <c r="AA1192" s="4">
        <f>=ROUNDDOWN(10.25,0)</f>
      </c>
      <c r="AB1192" s="5">
        <v>4</v>
      </c>
      <c r="AC1192" s="2" t="s">
        <v>3887</v>
      </c>
      <c r="AD1192" s="4">
        <v>100</v>
      </c>
      <c r="AE1192" s="4">
        <v>100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52</v>
      </c>
      <c r="BK1192" s="8">
        <v>3637.56</v>
      </c>
      <c r="BL1192" s="2" t="s">
        <v>3962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2480</v>
      </c>
      <c r="BV1192" s="2" t="s">
        <v>97</v>
      </c>
      <c r="BW1192" s="2" t="s">
        <v>100</v>
      </c>
      <c r="BX1192" s="2" t="s">
        <v>100</v>
      </c>
      <c r="BY1192" s="2" t="s">
        <v>113</v>
      </c>
      <c r="BZ1192" s="2" t="s">
        <v>245</v>
      </c>
    </row>
    <row r="1193">
      <c r="A1193" s="2" t="s">
        <v>3963</v>
      </c>
      <c r="B1193" s="2" t="s">
        <v>3872</v>
      </c>
      <c r="C1193" s="2" t="s">
        <v>88</v>
      </c>
      <c r="D1193" s="2" t="s">
        <v>3873</v>
      </c>
      <c r="E1193" s="2" t="s">
        <v>3927</v>
      </c>
      <c r="F1193" s="2" t="s">
        <v>3964</v>
      </c>
      <c r="G1193" s="2" t="s">
        <v>3964</v>
      </c>
      <c r="H1193" s="2" t="s">
        <v>3964</v>
      </c>
      <c r="I1193" s="2" t="s">
        <v>3965</v>
      </c>
      <c r="J1193" s="2" t="s">
        <v>3877</v>
      </c>
      <c r="K1193" s="2" t="s">
        <v>3966</v>
      </c>
      <c r="L1193" s="3">
        <v>54.4</v>
      </c>
      <c r="M1193" s="3">
        <v>57.12</v>
      </c>
      <c r="N1193" s="3">
        <v>114.74</v>
      </c>
      <c r="O1193" s="2" t="s">
        <v>97</v>
      </c>
      <c r="P1193" s="2" t="s">
        <v>119</v>
      </c>
      <c r="Q1193" s="2" t="s">
        <v>99</v>
      </c>
      <c r="R1193" s="2" t="s">
        <v>100</v>
      </c>
      <c r="S1193" s="2" t="s">
        <v>3967</v>
      </c>
      <c r="T1193" s="2" t="s">
        <v>100</v>
      </c>
      <c r="U1193" s="2" t="s">
        <v>514</v>
      </c>
      <c r="V1193" s="2" t="s">
        <v>1150</v>
      </c>
      <c r="W1193" s="2" t="s">
        <v>561</v>
      </c>
      <c r="X1193" s="2" t="s">
        <v>239</v>
      </c>
      <c r="Y1193" s="2" t="s">
        <v>3968</v>
      </c>
      <c r="Z1193" s="4">
        <v>32</v>
      </c>
      <c r="AA1193" s="4">
        <f>=ROUNDDOWN(10.6666666666667,0)</f>
      </c>
      <c r="AB1193" s="5">
        <v>3</v>
      </c>
      <c r="AC1193" s="2" t="s">
        <v>1259</v>
      </c>
      <c r="AD1193" s="4">
        <v>70</v>
      </c>
      <c r="AE1193" s="4">
        <v>70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>
        <v>80</v>
      </c>
      <c r="BK1193" s="8">
        <v>5261.92</v>
      </c>
      <c r="BL1193" s="2" t="s">
        <v>3969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2480</v>
      </c>
      <c r="BV1193" s="2" t="s">
        <v>97</v>
      </c>
      <c r="BW1193" s="2" t="s">
        <v>100</v>
      </c>
      <c r="BX1193" s="2" t="s">
        <v>100</v>
      </c>
      <c r="BY1193" s="2" t="s">
        <v>113</v>
      </c>
      <c r="BZ1193" s="2" t="s">
        <v>245</v>
      </c>
    </row>
    <row r="1194">
      <c r="A1194" s="2" t="s">
        <v>3970</v>
      </c>
      <c r="B1194" s="2" t="s">
        <v>3872</v>
      </c>
      <c r="C1194" s="2" t="s">
        <v>88</v>
      </c>
      <c r="D1194" s="2" t="s">
        <v>3873</v>
      </c>
      <c r="E1194" s="2" t="s">
        <v>3927</v>
      </c>
      <c r="F1194" s="2" t="s">
        <v>3971</v>
      </c>
      <c r="G1194" s="2" t="s">
        <v>3971</v>
      </c>
      <c r="H1194" s="2" t="s">
        <v>3971</v>
      </c>
      <c r="I1194" s="2" t="s">
        <v>3972</v>
      </c>
      <c r="J1194" s="2" t="s">
        <v>3877</v>
      </c>
      <c r="K1194" s="2" t="s">
        <v>130</v>
      </c>
      <c r="L1194" s="3">
        <v>27.82</v>
      </c>
      <c r="M1194" s="3">
        <v>29.21</v>
      </c>
      <c r="N1194" s="3">
        <v>61.74</v>
      </c>
      <c r="O1194" s="2" t="s">
        <v>97</v>
      </c>
      <c r="P1194" s="2" t="s">
        <v>119</v>
      </c>
      <c r="Q1194" s="2" t="s">
        <v>99</v>
      </c>
      <c r="R1194" s="2" t="s">
        <v>100</v>
      </c>
      <c r="S1194" s="2" t="s">
        <v>3973</v>
      </c>
      <c r="T1194" s="2" t="s">
        <v>100</v>
      </c>
      <c r="U1194" s="2" t="s">
        <v>514</v>
      </c>
      <c r="V1194" s="2" t="s">
        <v>256</v>
      </c>
      <c r="W1194" s="2" t="s">
        <v>415</v>
      </c>
      <c r="X1194" s="2" t="s">
        <v>219</v>
      </c>
      <c r="Y1194" s="2" t="s">
        <v>3974</v>
      </c>
      <c r="Z1194" s="4">
        <v>126</v>
      </c>
      <c r="AA1194" s="4">
        <f>=ROUNDDOWN(10.5,0)</f>
      </c>
      <c r="AB1194" s="5">
        <v>12</v>
      </c>
      <c r="AC1194" s="2" t="s">
        <v>3579</v>
      </c>
      <c r="AD1194" s="4">
        <v>120</v>
      </c>
      <c r="AE1194" s="4">
        <v>180</v>
      </c>
      <c r="AF1194" s="6">
        <v>63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>
        <v>333</v>
      </c>
      <c r="BK1194" s="8">
        <v>10499.06</v>
      </c>
      <c r="BL1194" s="2" t="s">
        <v>3975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2480</v>
      </c>
      <c r="BV1194" s="2" t="s">
        <v>97</v>
      </c>
      <c r="BW1194" s="2" t="s">
        <v>100</v>
      </c>
      <c r="BX1194" s="2" t="s">
        <v>100</v>
      </c>
      <c r="BY1194" s="2" t="s">
        <v>113</v>
      </c>
      <c r="BZ1194" s="2" t="s">
        <v>245</v>
      </c>
    </row>
    <row r="1195">
      <c r="A1195" s="2" t="s">
        <v>3976</v>
      </c>
      <c r="B1195" s="2" t="s">
        <v>3872</v>
      </c>
      <c r="C1195" s="2" t="s">
        <v>88</v>
      </c>
      <c r="D1195" s="2" t="s">
        <v>3873</v>
      </c>
      <c r="E1195" s="2" t="s">
        <v>3927</v>
      </c>
      <c r="F1195" s="2" t="s">
        <v>3977</v>
      </c>
      <c r="G1195" s="2" t="s">
        <v>3977</v>
      </c>
      <c r="H1195" s="2" t="s">
        <v>3977</v>
      </c>
      <c r="I1195" s="2" t="s">
        <v>3978</v>
      </c>
      <c r="J1195" s="2" t="s">
        <v>3877</v>
      </c>
      <c r="K1195" s="2" t="s">
        <v>169</v>
      </c>
      <c r="L1195" s="3">
        <v>85.48</v>
      </c>
      <c r="M1195" s="3">
        <v>89.75</v>
      </c>
      <c r="N1195" s="3">
        <v>178.49</v>
      </c>
      <c r="O1195" s="2" t="s">
        <v>97</v>
      </c>
      <c r="P1195" s="2" t="s">
        <v>372</v>
      </c>
      <c r="Q1195" s="2" t="s">
        <v>99</v>
      </c>
      <c r="R1195" s="2" t="s">
        <v>100</v>
      </c>
      <c r="S1195" s="2" t="s">
        <v>3979</v>
      </c>
      <c r="T1195" s="2" t="s">
        <v>100</v>
      </c>
      <c r="U1195" s="2" t="s">
        <v>480</v>
      </c>
      <c r="V1195" s="2" t="s">
        <v>292</v>
      </c>
      <c r="W1195" s="2" t="s">
        <v>239</v>
      </c>
      <c r="X1195" s="2" t="s">
        <v>183</v>
      </c>
      <c r="Y1195" s="2" t="s">
        <v>3980</v>
      </c>
      <c r="Z1195" s="4">
        <v>264</v>
      </c>
      <c r="AA1195" s="4">
        <f>=ROUNDDOWN(16.5,0)</f>
      </c>
      <c r="AB1195" s="5">
        <v>16</v>
      </c>
      <c r="AC1195" s="2" t="s">
        <v>326</v>
      </c>
      <c r="AD1195" s="4">
        <v>200</v>
      </c>
      <c r="AE1195" s="4">
        <v>200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>
        <v>413</v>
      </c>
      <c r="BK1195" s="8">
        <v>39354.18</v>
      </c>
      <c r="BL1195" s="2" t="s">
        <v>3981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2480</v>
      </c>
      <c r="BV1195" s="2" t="s">
        <v>97</v>
      </c>
      <c r="BW1195" s="2" t="s">
        <v>100</v>
      </c>
      <c r="BX1195" s="2" t="s">
        <v>100</v>
      </c>
      <c r="BY1195" s="2" t="s">
        <v>113</v>
      </c>
      <c r="BZ1195" s="2" t="s">
        <v>245</v>
      </c>
    </row>
    <row r="1196">
      <c r="A1196" s="2" t="s">
        <v>3982</v>
      </c>
      <c r="B1196" s="2" t="s">
        <v>3872</v>
      </c>
      <c r="C1196" s="2" t="s">
        <v>88</v>
      </c>
      <c r="D1196" s="2" t="s">
        <v>3873</v>
      </c>
      <c r="E1196" s="2" t="s">
        <v>3927</v>
      </c>
      <c r="F1196" s="2" t="s">
        <v>3959</v>
      </c>
      <c r="G1196" s="2" t="s">
        <v>3959</v>
      </c>
      <c r="H1196" s="2" t="s">
        <v>3959</v>
      </c>
      <c r="I1196" s="2" t="s">
        <v>3983</v>
      </c>
      <c r="J1196" s="2" t="s">
        <v>3877</v>
      </c>
      <c r="K1196" s="2" t="s">
        <v>169</v>
      </c>
      <c r="L1196" s="3">
        <v>77.71</v>
      </c>
      <c r="M1196" s="3">
        <v>81.6</v>
      </c>
      <c r="N1196" s="3">
        <v>169.99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3984</v>
      </c>
      <c r="T1196" s="2" t="s">
        <v>100</v>
      </c>
      <c r="U1196" s="2" t="s">
        <v>480</v>
      </c>
      <c r="V1196" s="2" t="s">
        <v>239</v>
      </c>
      <c r="W1196" s="2" t="s">
        <v>239</v>
      </c>
      <c r="X1196" s="2" t="s">
        <v>183</v>
      </c>
      <c r="Y1196" s="2" t="s">
        <v>3980</v>
      </c>
      <c r="Z1196" s="4">
        <v>56</v>
      </c>
      <c r="AA1196" s="4">
        <f>=ROUNDDOWN(9.33333333333333,0)</f>
      </c>
      <c r="AB1196" s="5">
        <v>6</v>
      </c>
      <c r="AC1196" s="2" t="s">
        <v>241</v>
      </c>
      <c r="AD1196" s="4">
        <v>100</v>
      </c>
      <c r="AE1196" s="4">
        <v>100</v>
      </c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>
        <v>159</v>
      </c>
      <c r="BK1196" s="8">
        <v>14155.13</v>
      </c>
      <c r="BL1196" s="2" t="s">
        <v>3985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2480</v>
      </c>
      <c r="BV1196" s="2" t="s">
        <v>97</v>
      </c>
      <c r="BW1196" s="2" t="s">
        <v>100</v>
      </c>
      <c r="BX1196" s="2" t="s">
        <v>100</v>
      </c>
      <c r="BY1196" s="2" t="s">
        <v>113</v>
      </c>
      <c r="BZ1196" s="2" t="s">
        <v>245</v>
      </c>
    </row>
    <row r="1197">
      <c r="A1197" s="2" t="s">
        <v>3986</v>
      </c>
      <c r="B1197" s="2" t="s">
        <v>3872</v>
      </c>
      <c r="C1197" s="2" t="s">
        <v>88</v>
      </c>
      <c r="D1197" s="2" t="s">
        <v>3873</v>
      </c>
      <c r="E1197" s="2" t="s">
        <v>3927</v>
      </c>
      <c r="F1197" s="2" t="s">
        <v>3987</v>
      </c>
      <c r="G1197" s="2" t="s">
        <v>3987</v>
      </c>
      <c r="H1197" s="2" t="s">
        <v>3987</v>
      </c>
      <c r="I1197" s="2" t="s">
        <v>3988</v>
      </c>
      <c r="J1197" s="2" t="s">
        <v>3877</v>
      </c>
      <c r="K1197" s="2" t="s">
        <v>169</v>
      </c>
      <c r="L1197" s="3">
        <v>57.35</v>
      </c>
      <c r="M1197" s="3">
        <v>60.22</v>
      </c>
      <c r="N1197" s="3">
        <v>118.99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3989</v>
      </c>
      <c r="T1197" s="2" t="s">
        <v>100</v>
      </c>
      <c r="U1197" s="2" t="s">
        <v>514</v>
      </c>
      <c r="V1197" s="2" t="s">
        <v>2935</v>
      </c>
      <c r="W1197" s="2" t="s">
        <v>2897</v>
      </c>
      <c r="X1197" s="2" t="s">
        <v>183</v>
      </c>
      <c r="Y1197" s="2" t="s">
        <v>3990</v>
      </c>
      <c r="Z1197" s="4">
        <v>61</v>
      </c>
      <c r="AA1197" s="4">
        <f>=ROUNDDOWN(8.71428571428572,0)</f>
      </c>
      <c r="AB1197" s="5">
        <v>7</v>
      </c>
      <c r="AC1197" s="2" t="s">
        <v>241</v>
      </c>
      <c r="AD1197" s="4">
        <v>100</v>
      </c>
      <c r="AE1197" s="4">
        <v>100</v>
      </c>
      <c r="AF1197" s="6">
        <v>65</v>
      </c>
      <c r="AG1197" s="6">
        <v>48</v>
      </c>
      <c r="AH1197" s="7">
        <v>0.9893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>
        <v>213</v>
      </c>
      <c r="BK1197" s="8">
        <v>13077.18</v>
      </c>
      <c r="BL1197" s="2" t="s">
        <v>3991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2480</v>
      </c>
      <c r="BV1197" s="2" t="s">
        <v>97</v>
      </c>
      <c r="BW1197" s="2" t="s">
        <v>100</v>
      </c>
      <c r="BX1197" s="2" t="s">
        <v>100</v>
      </c>
      <c r="BY1197" s="2" t="s">
        <v>113</v>
      </c>
      <c r="BZ1197" s="2" t="s">
        <v>245</v>
      </c>
    </row>
    <row r="1198">
      <c r="A1198" s="2" t="s">
        <v>3992</v>
      </c>
      <c r="B1198" s="2" t="s">
        <v>3872</v>
      </c>
      <c r="C1198" s="2" t="s">
        <v>88</v>
      </c>
      <c r="D1198" s="2" t="s">
        <v>3873</v>
      </c>
      <c r="E1198" s="2" t="s">
        <v>3882</v>
      </c>
      <c r="F1198" s="2" t="s">
        <v>3993</v>
      </c>
      <c r="G1198" s="2" t="s">
        <v>3993</v>
      </c>
      <c r="H1198" s="2" t="s">
        <v>3993</v>
      </c>
      <c r="I1198" s="2" t="s">
        <v>3994</v>
      </c>
      <c r="J1198" s="2" t="s">
        <v>3877</v>
      </c>
      <c r="K1198" s="2" t="s">
        <v>3995</v>
      </c>
      <c r="L1198" s="3">
        <v>40.07</v>
      </c>
      <c r="M1198" s="3">
        <v>42.07</v>
      </c>
      <c r="N1198" s="3">
        <v>76.49</v>
      </c>
      <c r="O1198" s="2" t="s">
        <v>97</v>
      </c>
      <c r="P1198" s="2" t="s">
        <v>372</v>
      </c>
      <c r="Q1198" s="2" t="s">
        <v>99</v>
      </c>
      <c r="R1198" s="2" t="s">
        <v>100</v>
      </c>
      <c r="S1198" s="2" t="s">
        <v>3996</v>
      </c>
      <c r="T1198" s="2" t="s">
        <v>100</v>
      </c>
      <c r="U1198" s="2" t="s">
        <v>514</v>
      </c>
      <c r="V1198" s="2" t="s">
        <v>292</v>
      </c>
      <c r="W1198" s="2" t="s">
        <v>561</v>
      </c>
      <c r="X1198" s="2" t="s">
        <v>239</v>
      </c>
      <c r="Y1198" s="2" t="s">
        <v>3997</v>
      </c>
      <c r="Z1198" s="4">
        <v>705</v>
      </c>
      <c r="AA1198" s="4">
        <f>=ROUNDDOWN(14.3877551020408,0)</f>
      </c>
      <c r="AB1198" s="5">
        <v>49</v>
      </c>
      <c r="AC1198" s="2" t="s">
        <v>3998</v>
      </c>
      <c r="AD1198" s="4">
        <v>550</v>
      </c>
      <c r="AE1198" s="4">
        <v>550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1337</v>
      </c>
      <c r="BK1198" s="8">
        <v>60069.88</v>
      </c>
      <c r="BL1198" s="2" t="s">
        <v>3999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2480</v>
      </c>
      <c r="BV1198" s="2" t="s">
        <v>97</v>
      </c>
      <c r="BW1198" s="2" t="s">
        <v>100</v>
      </c>
      <c r="BX1198" s="2" t="s">
        <v>100</v>
      </c>
      <c r="BY1198" s="2" t="s">
        <v>113</v>
      </c>
      <c r="BZ1198" s="2" t="s">
        <v>245</v>
      </c>
    </row>
    <row r="1199">
      <c r="A1199" s="2" t="s">
        <v>4000</v>
      </c>
      <c r="B1199" s="2" t="s">
        <v>3872</v>
      </c>
      <c r="C1199" s="2" t="s">
        <v>88</v>
      </c>
      <c r="D1199" s="2" t="s">
        <v>3873</v>
      </c>
      <c r="E1199" s="2" t="s">
        <v>3882</v>
      </c>
      <c r="F1199" s="2" t="s">
        <v>4001</v>
      </c>
      <c r="G1199" s="2" t="s">
        <v>4001</v>
      </c>
      <c r="H1199" s="2" t="s">
        <v>4001</v>
      </c>
      <c r="I1199" s="2" t="s">
        <v>4002</v>
      </c>
      <c r="J1199" s="2" t="s">
        <v>3877</v>
      </c>
      <c r="K1199" s="2" t="s">
        <v>4003</v>
      </c>
      <c r="L1199" s="3">
        <v>47.23</v>
      </c>
      <c r="M1199" s="3">
        <v>49.59</v>
      </c>
      <c r="N1199" s="3">
        <v>92.14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4004</v>
      </c>
      <c r="T1199" s="2" t="s">
        <v>100</v>
      </c>
      <c r="U1199" s="2" t="s">
        <v>514</v>
      </c>
      <c r="V1199" s="2" t="s">
        <v>292</v>
      </c>
      <c r="W1199" s="2" t="s">
        <v>104</v>
      </c>
      <c r="X1199" s="2" t="s">
        <v>2897</v>
      </c>
      <c r="Y1199" s="2" t="s">
        <v>4005</v>
      </c>
      <c r="Z1199" s="4">
        <v>191</v>
      </c>
      <c r="AA1199" s="4">
        <f>=ROUNDDOWN(15.9166666666667,0)</f>
      </c>
      <c r="AB1199" s="5">
        <v>12</v>
      </c>
      <c r="AC1199" s="2" t="s">
        <v>107</v>
      </c>
      <c r="AD1199" s="4">
        <v>100</v>
      </c>
      <c r="AE1199" s="4">
        <v>100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300</v>
      </c>
      <c r="BK1199" s="8">
        <v>15543.76</v>
      </c>
      <c r="BL1199" s="2" t="s">
        <v>4006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2480</v>
      </c>
      <c r="BV1199" s="2" t="s">
        <v>97</v>
      </c>
      <c r="BW1199" s="2" t="s">
        <v>100</v>
      </c>
      <c r="BX1199" s="2" t="s">
        <v>100</v>
      </c>
      <c r="BY1199" s="2" t="s">
        <v>113</v>
      </c>
      <c r="BZ1199" s="2" t="s">
        <v>245</v>
      </c>
    </row>
    <row r="1200">
      <c r="A1200" s="2" t="s">
        <v>4007</v>
      </c>
      <c r="B1200" s="2" t="s">
        <v>3872</v>
      </c>
      <c r="C1200" s="2" t="s">
        <v>88</v>
      </c>
      <c r="D1200" s="2" t="s">
        <v>3873</v>
      </c>
      <c r="E1200" s="2" t="s">
        <v>3882</v>
      </c>
      <c r="F1200" s="2" t="s">
        <v>4001</v>
      </c>
      <c r="G1200" s="2" t="s">
        <v>4001</v>
      </c>
      <c r="H1200" s="2" t="s">
        <v>4001</v>
      </c>
      <c r="I1200" s="2" t="s">
        <v>4002</v>
      </c>
      <c r="J1200" s="2" t="s">
        <v>3877</v>
      </c>
      <c r="K1200" s="2" t="s">
        <v>4008</v>
      </c>
      <c r="L1200" s="3">
        <v>47.23</v>
      </c>
      <c r="M1200" s="3">
        <v>49.59</v>
      </c>
      <c r="N1200" s="3">
        <v>92.14</v>
      </c>
      <c r="O1200" s="2" t="s">
        <v>97</v>
      </c>
      <c r="P1200" s="2" t="s">
        <v>372</v>
      </c>
      <c r="Q1200" s="2" t="s">
        <v>99</v>
      </c>
      <c r="R1200" s="2" t="s">
        <v>100</v>
      </c>
      <c r="S1200" s="2" t="s">
        <v>4004</v>
      </c>
      <c r="T1200" s="2" t="s">
        <v>100</v>
      </c>
      <c r="U1200" s="2" t="s">
        <v>514</v>
      </c>
      <c r="V1200" s="2" t="s">
        <v>292</v>
      </c>
      <c r="W1200" s="2" t="s">
        <v>104</v>
      </c>
      <c r="X1200" s="2" t="s">
        <v>2897</v>
      </c>
      <c r="Y1200" s="2" t="s">
        <v>4005</v>
      </c>
      <c r="Z1200" s="4">
        <v>83</v>
      </c>
      <c r="AA1200" s="4">
        <f>=ROUNDDOWN(4.15,0)</f>
      </c>
      <c r="AB1200" s="5">
        <v>20</v>
      </c>
      <c r="AC1200" s="2" t="s">
        <v>241</v>
      </c>
      <c r="AD1200" s="4">
        <v>75</v>
      </c>
      <c r="AE1200" s="4">
        <v>570</v>
      </c>
      <c r="AF1200" s="6">
        <v>65</v>
      </c>
      <c r="AG1200" s="6">
        <v>48</v>
      </c>
      <c r="AH1200" s="7">
        <v>0.9626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538</v>
      </c>
      <c r="BK1200" s="8">
        <v>25737.95</v>
      </c>
      <c r="BL1200" s="2" t="s">
        <v>4009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2480</v>
      </c>
      <c r="BV1200" s="2" t="s">
        <v>97</v>
      </c>
      <c r="BW1200" s="2" t="s">
        <v>100</v>
      </c>
      <c r="BX1200" s="2" t="s">
        <v>100</v>
      </c>
      <c r="BY1200" s="2" t="s">
        <v>113</v>
      </c>
      <c r="BZ1200" s="2" t="s">
        <v>245</v>
      </c>
    </row>
    <row r="1201">
      <c r="A1201" s="2" t="s">
        <v>4010</v>
      </c>
      <c r="B1201" s="2" t="s">
        <v>3872</v>
      </c>
      <c r="C1201" s="2" t="s">
        <v>88</v>
      </c>
      <c r="D1201" s="2" t="s">
        <v>3873</v>
      </c>
      <c r="E1201" s="2" t="s">
        <v>3882</v>
      </c>
      <c r="F1201" s="2" t="s">
        <v>4001</v>
      </c>
      <c r="G1201" s="2" t="s">
        <v>4001</v>
      </c>
      <c r="H1201" s="2" t="s">
        <v>4001</v>
      </c>
      <c r="I1201" s="2" t="s">
        <v>4002</v>
      </c>
      <c r="J1201" s="2" t="s">
        <v>3877</v>
      </c>
      <c r="K1201" s="2" t="s">
        <v>189</v>
      </c>
      <c r="L1201" s="3">
        <v>47.23</v>
      </c>
      <c r="M1201" s="3">
        <v>49.59</v>
      </c>
      <c r="N1201" s="3">
        <v>92.14</v>
      </c>
      <c r="O1201" s="2" t="s">
        <v>97</v>
      </c>
      <c r="P1201" s="2" t="s">
        <v>372</v>
      </c>
      <c r="Q1201" s="2" t="s">
        <v>99</v>
      </c>
      <c r="R1201" s="2" t="s">
        <v>100</v>
      </c>
      <c r="S1201" s="2" t="s">
        <v>4011</v>
      </c>
      <c r="T1201" s="2" t="s">
        <v>100</v>
      </c>
      <c r="U1201" s="2" t="s">
        <v>514</v>
      </c>
      <c r="V1201" s="2" t="s">
        <v>292</v>
      </c>
      <c r="W1201" s="2" t="s">
        <v>104</v>
      </c>
      <c r="X1201" s="2" t="s">
        <v>100</v>
      </c>
      <c r="Y1201" s="2" t="s">
        <v>4012</v>
      </c>
      <c r="Z1201" s="4">
        <v>254</v>
      </c>
      <c r="AA1201" s="4">
        <f>=ROUNDDOWN(19.5384615384615,0)</f>
      </c>
      <c r="AB1201" s="5">
        <v>13</v>
      </c>
      <c r="AC1201" s="2" t="s">
        <v>241</v>
      </c>
      <c r="AD1201" s="4">
        <v>70</v>
      </c>
      <c r="AE1201" s="4">
        <v>210</v>
      </c>
      <c r="AF1201" s="6">
        <v>65</v>
      </c>
      <c r="AG1201" s="6">
        <v>48</v>
      </c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389</v>
      </c>
      <c r="BK1201" s="8">
        <v>19551.29</v>
      </c>
      <c r="BL1201" s="2" t="s">
        <v>4013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2480</v>
      </c>
      <c r="BV1201" s="2" t="s">
        <v>97</v>
      </c>
      <c r="BW1201" s="2" t="s">
        <v>100</v>
      </c>
      <c r="BX1201" s="2" t="s">
        <v>100</v>
      </c>
      <c r="BY1201" s="2" t="s">
        <v>113</v>
      </c>
      <c r="BZ1201" s="2" t="s">
        <v>245</v>
      </c>
    </row>
    <row r="1202">
      <c r="A1202" s="2" t="s">
        <v>4014</v>
      </c>
      <c r="B1202" s="2" t="s">
        <v>3872</v>
      </c>
      <c r="C1202" s="2" t="s">
        <v>88</v>
      </c>
      <c r="D1202" s="2" t="s">
        <v>3873</v>
      </c>
      <c r="E1202" s="2" t="s">
        <v>3882</v>
      </c>
      <c r="F1202" s="2" t="s">
        <v>4015</v>
      </c>
      <c r="G1202" s="2" t="s">
        <v>4015</v>
      </c>
      <c r="H1202" s="2" t="s">
        <v>4015</v>
      </c>
      <c r="I1202" s="2" t="s">
        <v>4016</v>
      </c>
      <c r="J1202" s="2" t="s">
        <v>3877</v>
      </c>
      <c r="K1202" s="2" t="s">
        <v>4017</v>
      </c>
      <c r="L1202" s="3">
        <v>28.22</v>
      </c>
      <c r="M1202" s="3">
        <v>29.63</v>
      </c>
      <c r="N1202" s="3">
        <v>59.49</v>
      </c>
      <c r="O1202" s="2" t="s">
        <v>97</v>
      </c>
      <c r="P1202" s="2" t="s">
        <v>119</v>
      </c>
      <c r="Q1202" s="2" t="s">
        <v>99</v>
      </c>
      <c r="R1202" s="2" t="s">
        <v>100</v>
      </c>
      <c r="S1202" s="2" t="s">
        <v>4018</v>
      </c>
      <c r="T1202" s="2" t="s">
        <v>100</v>
      </c>
      <c r="U1202" s="2" t="s">
        <v>1847</v>
      </c>
      <c r="V1202" s="2" t="s">
        <v>2935</v>
      </c>
      <c r="W1202" s="2" t="s">
        <v>415</v>
      </c>
      <c r="X1202" s="2" t="s">
        <v>100</v>
      </c>
      <c r="Y1202" s="2" t="s">
        <v>4012</v>
      </c>
      <c r="Z1202" s="4">
        <v>123</v>
      </c>
      <c r="AA1202" s="4">
        <f>=ROUNDDOWN(12.3,0)</f>
      </c>
      <c r="AB1202" s="5">
        <v>10</v>
      </c>
      <c r="AC1202" s="2" t="s">
        <v>241</v>
      </c>
      <c r="AD1202" s="4">
        <v>50</v>
      </c>
      <c r="AE1202" s="4">
        <v>150</v>
      </c>
      <c r="AF1202" s="6">
        <v>65</v>
      </c>
      <c r="AG1202" s="6">
        <v>48</v>
      </c>
      <c r="AH1202" s="7">
        <v>0.7968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229</v>
      </c>
      <c r="BK1202" s="8">
        <v>7572.82</v>
      </c>
      <c r="BL1202" s="2" t="s">
        <v>4019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2480</v>
      </c>
      <c r="BV1202" s="2" t="s">
        <v>97</v>
      </c>
      <c r="BW1202" s="2" t="s">
        <v>100</v>
      </c>
      <c r="BX1202" s="2" t="s">
        <v>100</v>
      </c>
      <c r="BY1202" s="2" t="s">
        <v>113</v>
      </c>
      <c r="BZ1202" s="2" t="s">
        <v>245</v>
      </c>
    </row>
    <row r="1203">
      <c r="A1203" s="2" t="s">
        <v>4020</v>
      </c>
      <c r="B1203" s="2" t="s">
        <v>3872</v>
      </c>
      <c r="C1203" s="2" t="s">
        <v>88</v>
      </c>
      <c r="D1203" s="2" t="s">
        <v>3873</v>
      </c>
      <c r="E1203" s="2" t="s">
        <v>3882</v>
      </c>
      <c r="F1203" s="2" t="s">
        <v>4021</v>
      </c>
      <c r="G1203" s="2" t="s">
        <v>4021</v>
      </c>
      <c r="H1203" s="2" t="s">
        <v>4021</v>
      </c>
      <c r="I1203" s="2" t="s">
        <v>4022</v>
      </c>
      <c r="J1203" s="2" t="s">
        <v>3877</v>
      </c>
      <c r="K1203" s="2" t="s">
        <v>209</v>
      </c>
      <c r="L1203" s="3">
        <v>58.83</v>
      </c>
      <c r="M1203" s="3">
        <v>61.77</v>
      </c>
      <c r="N1203" s="3">
        <v>118.74</v>
      </c>
      <c r="O1203" s="2" t="s">
        <v>97</v>
      </c>
      <c r="P1203" s="2" t="s">
        <v>372</v>
      </c>
      <c r="Q1203" s="2" t="s">
        <v>99</v>
      </c>
      <c r="R1203" s="2" t="s">
        <v>100</v>
      </c>
      <c r="S1203" s="2" t="s">
        <v>4023</v>
      </c>
      <c r="T1203" s="2" t="s">
        <v>100</v>
      </c>
      <c r="U1203" s="2" t="s">
        <v>480</v>
      </c>
      <c r="V1203" s="2" t="s">
        <v>403</v>
      </c>
      <c r="W1203" s="2" t="s">
        <v>104</v>
      </c>
      <c r="X1203" s="2" t="s">
        <v>415</v>
      </c>
      <c r="Y1203" s="2" t="s">
        <v>4024</v>
      </c>
      <c r="Z1203" s="4">
        <v>176</v>
      </c>
      <c r="AA1203" s="4">
        <f>=ROUNDDOWN(8.8,0)</f>
      </c>
      <c r="AB1203" s="5">
        <v>20</v>
      </c>
      <c r="AC1203" s="2" t="s">
        <v>3887</v>
      </c>
      <c r="AD1203" s="4">
        <v>250</v>
      </c>
      <c r="AE1203" s="4">
        <v>450</v>
      </c>
      <c r="AF1203" s="6">
        <v>65</v>
      </c>
      <c r="AG1203" s="6"/>
      <c r="AH1203" s="7">
        <v>0.8717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>
        <v>454</v>
      </c>
      <c r="BK1203" s="8">
        <v>24074.32</v>
      </c>
      <c r="BL1203" s="2" t="s">
        <v>4025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2480</v>
      </c>
      <c r="BV1203" s="2" t="s">
        <v>97</v>
      </c>
      <c r="BW1203" s="2" t="s">
        <v>100</v>
      </c>
      <c r="BX1203" s="2" t="s">
        <v>100</v>
      </c>
      <c r="BY1203" s="2" t="s">
        <v>113</v>
      </c>
      <c r="BZ1203" s="2" t="s">
        <v>245</v>
      </c>
    </row>
    <row r="1204">
      <c r="A1204" s="2" t="s">
        <v>4026</v>
      </c>
      <c r="B1204" s="2" t="s">
        <v>3872</v>
      </c>
      <c r="C1204" s="2" t="s">
        <v>88</v>
      </c>
      <c r="D1204" s="2" t="s">
        <v>3873</v>
      </c>
      <c r="E1204" s="2" t="s">
        <v>3882</v>
      </c>
      <c r="F1204" s="2" t="s">
        <v>4027</v>
      </c>
      <c r="G1204" s="2" t="s">
        <v>4027</v>
      </c>
      <c r="H1204" s="2" t="s">
        <v>4027</v>
      </c>
      <c r="I1204" s="2" t="s">
        <v>4028</v>
      </c>
      <c r="J1204" s="2" t="s">
        <v>3877</v>
      </c>
      <c r="K1204" s="2" t="s">
        <v>4029</v>
      </c>
      <c r="L1204" s="3">
        <v>36.42</v>
      </c>
      <c r="M1204" s="3">
        <v>38.24</v>
      </c>
      <c r="N1204" s="3">
        <v>76.49</v>
      </c>
      <c r="O1204" s="2" t="s">
        <v>97</v>
      </c>
      <c r="P1204" s="2" t="s">
        <v>98</v>
      </c>
      <c r="Q1204" s="2" t="s">
        <v>99</v>
      </c>
      <c r="R1204" s="2" t="s">
        <v>100</v>
      </c>
      <c r="S1204" s="2" t="s">
        <v>4030</v>
      </c>
      <c r="T1204" s="2" t="s">
        <v>100</v>
      </c>
      <c r="U1204" s="2" t="s">
        <v>514</v>
      </c>
      <c r="V1204" s="2" t="s">
        <v>292</v>
      </c>
      <c r="W1204" s="2" t="s">
        <v>561</v>
      </c>
      <c r="X1204" s="2" t="s">
        <v>104</v>
      </c>
      <c r="Y1204" s="2" t="s">
        <v>1695</v>
      </c>
      <c r="Z1204" s="4">
        <v>156</v>
      </c>
      <c r="AA1204" s="4">
        <f>=ROUNDDOWN(13,0)</f>
      </c>
      <c r="AB1204" s="5">
        <v>12</v>
      </c>
      <c r="AC1204" s="2" t="s">
        <v>3998</v>
      </c>
      <c r="AD1204" s="4">
        <v>150</v>
      </c>
      <c r="AE1204" s="4">
        <v>150</v>
      </c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>
        <v>281</v>
      </c>
      <c r="BK1204" s="8">
        <v>11874.24</v>
      </c>
      <c r="BL1204" s="2" t="s">
        <v>4031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2480</v>
      </c>
      <c r="BV1204" s="2" t="s">
        <v>97</v>
      </c>
      <c r="BW1204" s="2" t="s">
        <v>100</v>
      </c>
      <c r="BX1204" s="2" t="s">
        <v>100</v>
      </c>
      <c r="BY1204" s="2" t="s">
        <v>113</v>
      </c>
      <c r="BZ1204" s="2" t="s">
        <v>245</v>
      </c>
    </row>
    <row r="1205">
      <c r="A1205" s="2" t="s">
        <v>4032</v>
      </c>
      <c r="B1205" s="2" t="s">
        <v>3872</v>
      </c>
      <c r="C1205" s="2" t="s">
        <v>88</v>
      </c>
      <c r="D1205" s="2" t="s">
        <v>3873</v>
      </c>
      <c r="E1205" s="2" t="s">
        <v>3882</v>
      </c>
      <c r="F1205" s="2" t="s">
        <v>4033</v>
      </c>
      <c r="G1205" s="2" t="s">
        <v>4033</v>
      </c>
      <c r="H1205" s="2" t="s">
        <v>4033</v>
      </c>
      <c r="I1205" s="2" t="s">
        <v>4034</v>
      </c>
      <c r="J1205" s="2" t="s">
        <v>3877</v>
      </c>
      <c r="K1205" s="2" t="s">
        <v>4035</v>
      </c>
      <c r="L1205" s="3">
        <v>46.1</v>
      </c>
      <c r="M1205" s="3">
        <v>48.4</v>
      </c>
      <c r="N1205" s="3">
        <v>96.04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4036</v>
      </c>
      <c r="T1205" s="2" t="s">
        <v>100</v>
      </c>
      <c r="U1205" s="2" t="s">
        <v>480</v>
      </c>
      <c r="V1205" s="2" t="s">
        <v>292</v>
      </c>
      <c r="W1205" s="2" t="s">
        <v>104</v>
      </c>
      <c r="X1205" s="2" t="s">
        <v>100</v>
      </c>
      <c r="Y1205" s="2" t="s">
        <v>4037</v>
      </c>
      <c r="Z1205" s="4">
        <v>68</v>
      </c>
      <c r="AA1205" s="4">
        <f>=ROUNDDOWN(6.86868686868687,0)</f>
      </c>
      <c r="AB1205" s="5">
        <v>9.9</v>
      </c>
      <c r="AC1205" s="2" t="s">
        <v>3998</v>
      </c>
      <c r="AD1205" s="4">
        <v>200</v>
      </c>
      <c r="AE1205" s="4">
        <v>200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>
        <v>241</v>
      </c>
      <c r="BK1205" s="8">
        <v>11550.09</v>
      </c>
      <c r="BL1205" s="2" t="s">
        <v>4038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2480</v>
      </c>
      <c r="BV1205" s="2" t="s">
        <v>97</v>
      </c>
      <c r="BW1205" s="2" t="s">
        <v>100</v>
      </c>
      <c r="BX1205" s="2" t="s">
        <v>100</v>
      </c>
      <c r="BY1205" s="2" t="s">
        <v>113</v>
      </c>
      <c r="BZ1205" s="2" t="s">
        <v>245</v>
      </c>
    </row>
    <row r="1206">
      <c r="A1206" s="2" t="s">
        <v>4039</v>
      </c>
      <c r="B1206" s="2" t="s">
        <v>3872</v>
      </c>
      <c r="C1206" s="2" t="s">
        <v>88</v>
      </c>
      <c r="D1206" s="2" t="s">
        <v>3873</v>
      </c>
      <c r="E1206" s="2" t="s">
        <v>3882</v>
      </c>
      <c r="F1206" s="2" t="s">
        <v>4040</v>
      </c>
      <c r="G1206" s="2" t="s">
        <v>4040</v>
      </c>
      <c r="H1206" s="2" t="s">
        <v>4040</v>
      </c>
      <c r="I1206" s="2" t="s">
        <v>4041</v>
      </c>
      <c r="J1206" s="2" t="s">
        <v>3877</v>
      </c>
      <c r="K1206" s="2" t="s">
        <v>198</v>
      </c>
      <c r="L1206" s="3">
        <v>23.99</v>
      </c>
      <c r="M1206" s="3">
        <v>25.19</v>
      </c>
      <c r="N1206" s="3">
        <v>52.69</v>
      </c>
      <c r="O1206" s="2" t="s">
        <v>97</v>
      </c>
      <c r="P1206" s="2" t="s">
        <v>119</v>
      </c>
      <c r="Q1206" s="2" t="s">
        <v>99</v>
      </c>
      <c r="R1206" s="2" t="s">
        <v>100</v>
      </c>
      <c r="S1206" s="2" t="s">
        <v>4042</v>
      </c>
      <c r="T1206" s="2" t="s">
        <v>100</v>
      </c>
      <c r="U1206" s="2" t="s">
        <v>1847</v>
      </c>
      <c r="V1206" s="2" t="s">
        <v>292</v>
      </c>
      <c r="W1206" s="2" t="s">
        <v>104</v>
      </c>
      <c r="X1206" s="2" t="s">
        <v>561</v>
      </c>
      <c r="Y1206" s="2" t="s">
        <v>4043</v>
      </c>
      <c r="Z1206" s="4">
        <v>183</v>
      </c>
      <c r="AA1206" s="4">
        <f>=ROUNDDOWN(18.3,0)</f>
      </c>
      <c r="AB1206" s="5">
        <v>10</v>
      </c>
      <c r="AC1206" s="2" t="s">
        <v>100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258</v>
      </c>
      <c r="BK1206" s="8">
        <v>8025.51</v>
      </c>
      <c r="BL1206" s="2" t="s">
        <v>4044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2480</v>
      </c>
      <c r="BV1206" s="2" t="s">
        <v>97</v>
      </c>
      <c r="BW1206" s="2" t="s">
        <v>100</v>
      </c>
      <c r="BX1206" s="2" t="s">
        <v>100</v>
      </c>
      <c r="BY1206" s="2" t="s">
        <v>113</v>
      </c>
      <c r="BZ1206" s="2" t="s">
        <v>245</v>
      </c>
    </row>
    <row r="1207">
      <c r="A1207" s="2" t="s">
        <v>4045</v>
      </c>
      <c r="B1207" s="2" t="s">
        <v>3872</v>
      </c>
      <c r="C1207" s="2" t="s">
        <v>88</v>
      </c>
      <c r="D1207" s="2" t="s">
        <v>3873</v>
      </c>
      <c r="E1207" s="2" t="s">
        <v>3882</v>
      </c>
      <c r="F1207" s="2" t="s">
        <v>4040</v>
      </c>
      <c r="G1207" s="2" t="s">
        <v>4040</v>
      </c>
      <c r="H1207" s="2" t="s">
        <v>4040</v>
      </c>
      <c r="I1207" s="2" t="s">
        <v>4041</v>
      </c>
      <c r="J1207" s="2" t="s">
        <v>3877</v>
      </c>
      <c r="K1207" s="2" t="s">
        <v>858</v>
      </c>
      <c r="L1207" s="3">
        <v>23.99</v>
      </c>
      <c r="M1207" s="3">
        <v>25.19</v>
      </c>
      <c r="N1207" s="3">
        <v>52.69</v>
      </c>
      <c r="O1207" s="2" t="s">
        <v>97</v>
      </c>
      <c r="P1207" s="2" t="s">
        <v>98</v>
      </c>
      <c r="Q1207" s="2" t="s">
        <v>99</v>
      </c>
      <c r="R1207" s="2" t="s">
        <v>100</v>
      </c>
      <c r="S1207" s="2" t="s">
        <v>4046</v>
      </c>
      <c r="T1207" s="2" t="s">
        <v>100</v>
      </c>
      <c r="U1207" s="2" t="s">
        <v>1847</v>
      </c>
      <c r="V1207" s="2" t="s">
        <v>292</v>
      </c>
      <c r="W1207" s="2" t="s">
        <v>104</v>
      </c>
      <c r="X1207" s="2" t="s">
        <v>561</v>
      </c>
      <c r="Y1207" s="2" t="s">
        <v>4043</v>
      </c>
      <c r="Z1207" s="4">
        <v>266</v>
      </c>
      <c r="AA1207" s="4">
        <f>=ROUNDDOWN(16.625,0)</f>
      </c>
      <c r="AB1207" s="5">
        <v>16</v>
      </c>
      <c r="AC1207" s="2" t="s">
        <v>241</v>
      </c>
      <c r="AD1207" s="4">
        <v>70</v>
      </c>
      <c r="AE1207" s="4">
        <v>140</v>
      </c>
      <c r="AF1207" s="6">
        <v>65</v>
      </c>
      <c r="AG1207" s="6">
        <v>48</v>
      </c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442</v>
      </c>
      <c r="BK1207" s="8">
        <v>13082.01</v>
      </c>
      <c r="BL1207" s="2" t="s">
        <v>4047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2480</v>
      </c>
      <c r="BV1207" s="2" t="s">
        <v>97</v>
      </c>
      <c r="BW1207" s="2" t="s">
        <v>100</v>
      </c>
      <c r="BX1207" s="2" t="s">
        <v>100</v>
      </c>
      <c r="BY1207" s="2" t="s">
        <v>113</v>
      </c>
      <c r="BZ1207" s="2" t="s">
        <v>245</v>
      </c>
    </row>
    <row r="1208">
      <c r="A1208" s="2" t="s">
        <v>4048</v>
      </c>
      <c r="B1208" s="2" t="s">
        <v>3872</v>
      </c>
      <c r="C1208" s="2" t="s">
        <v>88</v>
      </c>
      <c r="D1208" s="2" t="s">
        <v>3873</v>
      </c>
      <c r="E1208" s="2" t="s">
        <v>3882</v>
      </c>
      <c r="F1208" s="2" t="s">
        <v>4049</v>
      </c>
      <c r="G1208" s="2" t="s">
        <v>4049</v>
      </c>
      <c r="H1208" s="2" t="s">
        <v>4049</v>
      </c>
      <c r="I1208" s="2" t="s">
        <v>4050</v>
      </c>
      <c r="J1208" s="2" t="s">
        <v>3877</v>
      </c>
      <c r="K1208" s="2" t="s">
        <v>130</v>
      </c>
      <c r="L1208" s="3">
        <v>45.85</v>
      </c>
      <c r="M1208" s="3">
        <v>48.14</v>
      </c>
      <c r="N1208" s="3">
        <v>99.44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4051</v>
      </c>
      <c r="T1208" s="2" t="s">
        <v>100</v>
      </c>
      <c r="U1208" s="2" t="s">
        <v>1847</v>
      </c>
      <c r="V1208" s="2" t="s">
        <v>403</v>
      </c>
      <c r="W1208" s="2" t="s">
        <v>104</v>
      </c>
      <c r="X1208" s="2" t="s">
        <v>100</v>
      </c>
      <c r="Y1208" s="2" t="s">
        <v>4024</v>
      </c>
      <c r="Z1208" s="4">
        <v>57</v>
      </c>
      <c r="AA1208" s="4">
        <f>=ROUNDDOWN(5.18181818181818,0)</f>
      </c>
      <c r="AB1208" s="5">
        <v>11</v>
      </c>
      <c r="AC1208" s="2" t="s">
        <v>241</v>
      </c>
      <c r="AD1208" s="4">
        <v>50</v>
      </c>
      <c r="AE1208" s="4">
        <v>200</v>
      </c>
      <c r="AF1208" s="6">
        <v>65</v>
      </c>
      <c r="AG1208" s="6">
        <v>48</v>
      </c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288</v>
      </c>
      <c r="BK1208" s="8">
        <v>13722.06</v>
      </c>
      <c r="BL1208" s="2" t="s">
        <v>4052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2480</v>
      </c>
      <c r="BV1208" s="2" t="s">
        <v>97</v>
      </c>
      <c r="BW1208" s="2" t="s">
        <v>100</v>
      </c>
      <c r="BX1208" s="2" t="s">
        <v>100</v>
      </c>
      <c r="BY1208" s="2" t="s">
        <v>113</v>
      </c>
      <c r="BZ1208" s="2" t="s">
        <v>245</v>
      </c>
    </row>
    <row r="1209">
      <c r="A1209" s="2" t="s">
        <v>4053</v>
      </c>
      <c r="B1209" s="2" t="s">
        <v>3872</v>
      </c>
      <c r="C1209" s="2" t="s">
        <v>88</v>
      </c>
      <c r="D1209" s="2" t="s">
        <v>3873</v>
      </c>
      <c r="E1209" s="2" t="s">
        <v>3882</v>
      </c>
      <c r="F1209" s="2" t="s">
        <v>4054</v>
      </c>
      <c r="G1209" s="2" t="s">
        <v>4054</v>
      </c>
      <c r="H1209" s="2" t="s">
        <v>4054</v>
      </c>
      <c r="I1209" s="2" t="s">
        <v>4055</v>
      </c>
      <c r="J1209" s="2" t="s">
        <v>3877</v>
      </c>
      <c r="K1209" s="2" t="s">
        <v>130</v>
      </c>
      <c r="L1209" s="3">
        <v>41.69</v>
      </c>
      <c r="M1209" s="3">
        <v>43.77</v>
      </c>
      <c r="N1209" s="3">
        <v>89.24</v>
      </c>
      <c r="O1209" s="2" t="s">
        <v>97</v>
      </c>
      <c r="P1209" s="2" t="s">
        <v>372</v>
      </c>
      <c r="Q1209" s="2" t="s">
        <v>99</v>
      </c>
      <c r="R1209" s="2" t="s">
        <v>100</v>
      </c>
      <c r="S1209" s="2" t="s">
        <v>100</v>
      </c>
      <c r="T1209" s="2" t="s">
        <v>100</v>
      </c>
      <c r="U1209" s="2" t="s">
        <v>514</v>
      </c>
      <c r="V1209" s="2" t="s">
        <v>292</v>
      </c>
      <c r="W1209" s="2" t="s">
        <v>104</v>
      </c>
      <c r="X1209" s="2" t="s">
        <v>239</v>
      </c>
      <c r="Y1209" s="2" t="s">
        <v>4037</v>
      </c>
      <c r="Z1209" s="4">
        <v>430</v>
      </c>
      <c r="AA1209" s="4">
        <f>=ROUNDDOWN(19.5454545454545,0)</f>
      </c>
      <c r="AB1209" s="5">
        <v>22</v>
      </c>
      <c r="AC1209" s="2" t="s">
        <v>241</v>
      </c>
      <c r="AD1209" s="4">
        <v>100</v>
      </c>
      <c r="AE1209" s="4">
        <v>320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>
        <v>727</v>
      </c>
      <c r="BK1209" s="8">
        <v>36606.62</v>
      </c>
      <c r="BL1209" s="2" t="s">
        <v>4056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2480</v>
      </c>
      <c r="BV1209" s="2" t="s">
        <v>97</v>
      </c>
      <c r="BW1209" s="2" t="s">
        <v>100</v>
      </c>
      <c r="BX1209" s="2" t="s">
        <v>100</v>
      </c>
      <c r="BY1209" s="2" t="s">
        <v>113</v>
      </c>
      <c r="BZ1209" s="2" t="s">
        <v>245</v>
      </c>
    </row>
    <row r="1210">
      <c r="A1210" s="2" t="s">
        <v>4057</v>
      </c>
      <c r="B1210" s="2" t="s">
        <v>3872</v>
      </c>
      <c r="C1210" s="2" t="s">
        <v>88</v>
      </c>
      <c r="D1210" s="2" t="s">
        <v>3873</v>
      </c>
      <c r="E1210" s="2" t="s">
        <v>3882</v>
      </c>
      <c r="F1210" s="2" t="s">
        <v>4058</v>
      </c>
      <c r="G1210" s="2" t="s">
        <v>4058</v>
      </c>
      <c r="H1210" s="2" t="s">
        <v>4058</v>
      </c>
      <c r="I1210" s="2" t="s">
        <v>4059</v>
      </c>
      <c r="J1210" s="2" t="s">
        <v>3877</v>
      </c>
      <c r="K1210" s="2" t="s">
        <v>858</v>
      </c>
      <c r="L1210" s="3">
        <v>71.15</v>
      </c>
      <c r="M1210" s="3">
        <v>74.71</v>
      </c>
      <c r="N1210" s="3">
        <v>146.19</v>
      </c>
      <c r="O1210" s="2" t="s">
        <v>97</v>
      </c>
      <c r="P1210" s="2" t="s">
        <v>119</v>
      </c>
      <c r="Q1210" s="2" t="s">
        <v>99</v>
      </c>
      <c r="R1210" s="2" t="s">
        <v>100</v>
      </c>
      <c r="S1210" s="2" t="s">
        <v>4060</v>
      </c>
      <c r="T1210" s="2" t="s">
        <v>100</v>
      </c>
      <c r="U1210" s="2" t="s">
        <v>480</v>
      </c>
      <c r="V1210" s="2" t="s">
        <v>403</v>
      </c>
      <c r="W1210" s="2" t="s">
        <v>104</v>
      </c>
      <c r="X1210" s="2" t="s">
        <v>100</v>
      </c>
      <c r="Y1210" s="2" t="s">
        <v>4061</v>
      </c>
      <c r="Z1210" s="4">
        <v>101</v>
      </c>
      <c r="AA1210" s="4">
        <f>=ROUNDDOWN(20.2,0)</f>
      </c>
      <c r="AB1210" s="5">
        <v>5</v>
      </c>
      <c r="AC1210" s="2" t="s">
        <v>100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>
        <v>127</v>
      </c>
      <c r="BK1210" s="8">
        <v>10651</v>
      </c>
      <c r="BL1210" s="2" t="s">
        <v>4062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2480</v>
      </c>
      <c r="BV1210" s="2" t="s">
        <v>97</v>
      </c>
      <c r="BW1210" s="2" t="s">
        <v>100</v>
      </c>
      <c r="BX1210" s="2" t="s">
        <v>100</v>
      </c>
      <c r="BY1210" s="2" t="s">
        <v>113</v>
      </c>
      <c r="BZ1210" s="2" t="s">
        <v>245</v>
      </c>
    </row>
    <row r="1211">
      <c r="A1211" s="2" t="s">
        <v>4063</v>
      </c>
      <c r="B1211" s="2" t="s">
        <v>3872</v>
      </c>
      <c r="C1211" s="2" t="s">
        <v>88</v>
      </c>
      <c r="D1211" s="2" t="s">
        <v>3873</v>
      </c>
      <c r="E1211" s="2" t="s">
        <v>3882</v>
      </c>
      <c r="F1211" s="2" t="s">
        <v>4064</v>
      </c>
      <c r="G1211" s="2" t="s">
        <v>4064</v>
      </c>
      <c r="H1211" s="2" t="s">
        <v>4064</v>
      </c>
      <c r="I1211" s="2" t="s">
        <v>4065</v>
      </c>
      <c r="J1211" s="2" t="s">
        <v>3877</v>
      </c>
      <c r="K1211" s="2" t="s">
        <v>4066</v>
      </c>
      <c r="L1211" s="3">
        <v>33.88</v>
      </c>
      <c r="M1211" s="3">
        <v>35.57</v>
      </c>
      <c r="N1211" s="3">
        <v>73.94</v>
      </c>
      <c r="O1211" s="2" t="s">
        <v>97</v>
      </c>
      <c r="P1211" s="2" t="s">
        <v>372</v>
      </c>
      <c r="Q1211" s="2" t="s">
        <v>99</v>
      </c>
      <c r="R1211" s="2" t="s">
        <v>100</v>
      </c>
      <c r="S1211" s="2" t="s">
        <v>4067</v>
      </c>
      <c r="T1211" s="2" t="s">
        <v>100</v>
      </c>
      <c r="U1211" s="2" t="s">
        <v>480</v>
      </c>
      <c r="V1211" s="2" t="s">
        <v>103</v>
      </c>
      <c r="W1211" s="2" t="s">
        <v>2897</v>
      </c>
      <c r="X1211" s="2" t="s">
        <v>183</v>
      </c>
      <c r="Y1211" s="2" t="s">
        <v>4068</v>
      </c>
      <c r="Z1211" s="4">
        <v>331</v>
      </c>
      <c r="AA1211" s="4">
        <f>=ROUNDDOWN(13.9075630252101,0)</f>
      </c>
      <c r="AB1211" s="5">
        <v>23.8</v>
      </c>
      <c r="AC1211" s="2" t="s">
        <v>241</v>
      </c>
      <c r="AD1211" s="4">
        <v>100</v>
      </c>
      <c r="AE1211" s="4">
        <v>360</v>
      </c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>
        <v>680</v>
      </c>
      <c r="BK1211" s="8">
        <v>26819.4</v>
      </c>
      <c r="BL1211" s="2" t="s">
        <v>4069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2480</v>
      </c>
      <c r="BV1211" s="2" t="s">
        <v>97</v>
      </c>
      <c r="BW1211" s="2" t="s">
        <v>100</v>
      </c>
      <c r="BX1211" s="2" t="s">
        <v>100</v>
      </c>
      <c r="BY1211" s="2" t="s">
        <v>113</v>
      </c>
      <c r="BZ1211" s="2" t="s">
        <v>245</v>
      </c>
    </row>
    <row r="1212">
      <c r="A1212" s="2" t="s">
        <v>4070</v>
      </c>
      <c r="B1212" s="2" t="s">
        <v>3872</v>
      </c>
      <c r="C1212" s="2" t="s">
        <v>88</v>
      </c>
      <c r="D1212" s="2" t="s">
        <v>3873</v>
      </c>
      <c r="E1212" s="2" t="s">
        <v>3882</v>
      </c>
      <c r="F1212" s="2" t="s">
        <v>4071</v>
      </c>
      <c r="G1212" s="2" t="s">
        <v>4071</v>
      </c>
      <c r="H1212" s="2" t="s">
        <v>4071</v>
      </c>
      <c r="I1212" s="2" t="s">
        <v>4072</v>
      </c>
      <c r="J1212" s="2" t="s">
        <v>3877</v>
      </c>
      <c r="K1212" s="2" t="s">
        <v>858</v>
      </c>
      <c r="L1212" s="3">
        <v>30.6</v>
      </c>
      <c r="M1212" s="3">
        <v>32.13</v>
      </c>
      <c r="N1212" s="3">
        <v>65.44</v>
      </c>
      <c r="O1212" s="2" t="s">
        <v>97</v>
      </c>
      <c r="P1212" s="2" t="s">
        <v>119</v>
      </c>
      <c r="Q1212" s="2" t="s">
        <v>99</v>
      </c>
      <c r="R1212" s="2" t="s">
        <v>100</v>
      </c>
      <c r="S1212" s="2" t="s">
        <v>100</v>
      </c>
      <c r="T1212" s="2" t="s">
        <v>100</v>
      </c>
      <c r="U1212" s="2" t="s">
        <v>1847</v>
      </c>
      <c r="V1212" s="2" t="s">
        <v>292</v>
      </c>
      <c r="W1212" s="2" t="s">
        <v>104</v>
      </c>
      <c r="X1212" s="2" t="s">
        <v>100</v>
      </c>
      <c r="Y1212" s="2" t="s">
        <v>583</v>
      </c>
      <c r="Z1212" s="4">
        <v>112</v>
      </c>
      <c r="AA1212" s="4">
        <f>=ROUNDDOWN(22.4,0)</f>
      </c>
      <c r="AB1212" s="5">
        <v>5</v>
      </c>
      <c r="AC1212" s="2" t="s">
        <v>100</v>
      </c>
      <c r="AD1212" s="4"/>
      <c r="AE1212" s="4"/>
      <c r="AF1212" s="6">
        <v>65</v>
      </c>
      <c r="AG1212" s="6"/>
      <c r="AH1212" s="7">
        <v>0.7487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>
        <v>96</v>
      </c>
      <c r="BK1212" s="8">
        <v>3711.22</v>
      </c>
      <c r="BL1212" s="2" t="s">
        <v>4073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2480</v>
      </c>
      <c r="BV1212" s="2" t="s">
        <v>97</v>
      </c>
      <c r="BW1212" s="2" t="s">
        <v>100</v>
      </c>
      <c r="BX1212" s="2" t="s">
        <v>100</v>
      </c>
      <c r="BY1212" s="2" t="s">
        <v>113</v>
      </c>
      <c r="BZ1212" s="2" t="s">
        <v>245</v>
      </c>
    </row>
    <row r="1213">
      <c r="A1213" s="2" t="s">
        <v>4074</v>
      </c>
      <c r="B1213" s="2" t="s">
        <v>3872</v>
      </c>
      <c r="C1213" s="2" t="s">
        <v>88</v>
      </c>
      <c r="D1213" s="2" t="s">
        <v>3873</v>
      </c>
      <c r="E1213" s="2" t="s">
        <v>3882</v>
      </c>
      <c r="F1213" s="2" t="s">
        <v>4075</v>
      </c>
      <c r="G1213" s="2" t="s">
        <v>4076</v>
      </c>
      <c r="H1213" s="2" t="s">
        <v>4077</v>
      </c>
      <c r="I1213" s="2" t="s">
        <v>4078</v>
      </c>
      <c r="J1213" s="2" t="s">
        <v>3877</v>
      </c>
      <c r="K1213" s="2" t="s">
        <v>118</v>
      </c>
      <c r="L1213" s="3">
        <v>43.01</v>
      </c>
      <c r="M1213" s="3">
        <v>45.16</v>
      </c>
      <c r="N1213" s="3">
        <v>79.04</v>
      </c>
      <c r="O1213" s="2" t="s">
        <v>97</v>
      </c>
      <c r="P1213" s="2" t="s">
        <v>98</v>
      </c>
      <c r="Q1213" s="2" t="s">
        <v>99</v>
      </c>
      <c r="R1213" s="2" t="s">
        <v>100</v>
      </c>
      <c r="S1213" s="2" t="s">
        <v>4079</v>
      </c>
      <c r="T1213" s="2" t="s">
        <v>100</v>
      </c>
      <c r="U1213" s="2" t="s">
        <v>480</v>
      </c>
      <c r="V1213" s="2" t="s">
        <v>292</v>
      </c>
      <c r="W1213" s="2" t="s">
        <v>104</v>
      </c>
      <c r="X1213" s="2" t="s">
        <v>100</v>
      </c>
      <c r="Y1213" s="2" t="s">
        <v>4061</v>
      </c>
      <c r="Z1213" s="4">
        <v>257</v>
      </c>
      <c r="AA1213" s="4">
        <f>=ROUNDDOWN(16.0625,0)</f>
      </c>
      <c r="AB1213" s="5">
        <v>16</v>
      </c>
      <c r="AC1213" s="2" t="s">
        <v>3998</v>
      </c>
      <c r="AD1213" s="4">
        <v>150</v>
      </c>
      <c r="AE1213" s="4">
        <v>150</v>
      </c>
      <c r="AF1213" s="6">
        <v>65</v>
      </c>
      <c r="AG1213" s="6"/>
      <c r="AH1213" s="7">
        <v>0.9144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387</v>
      </c>
      <c r="BK1213" s="8">
        <v>18395.49</v>
      </c>
      <c r="BL1213" s="2" t="s">
        <v>4080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2480</v>
      </c>
      <c r="BV1213" s="2" t="s">
        <v>97</v>
      </c>
      <c r="BW1213" s="2" t="s">
        <v>100</v>
      </c>
      <c r="BX1213" s="2" t="s">
        <v>100</v>
      </c>
      <c r="BY1213" s="2" t="s">
        <v>113</v>
      </c>
      <c r="BZ1213" s="2" t="s">
        <v>245</v>
      </c>
    </row>
    <row r="1214">
      <c r="A1214" s="2" t="s">
        <v>4081</v>
      </c>
      <c r="B1214" s="2" t="s">
        <v>3872</v>
      </c>
      <c r="C1214" s="2" t="s">
        <v>88</v>
      </c>
      <c r="D1214" s="2" t="s">
        <v>3873</v>
      </c>
      <c r="E1214" s="2" t="s">
        <v>3882</v>
      </c>
      <c r="F1214" s="2" t="s">
        <v>4075</v>
      </c>
      <c r="G1214" s="2" t="s">
        <v>4076</v>
      </c>
      <c r="H1214" s="2" t="s">
        <v>4077</v>
      </c>
      <c r="I1214" s="2" t="s">
        <v>4078</v>
      </c>
      <c r="J1214" s="2" t="s">
        <v>3877</v>
      </c>
      <c r="K1214" s="2" t="s">
        <v>198</v>
      </c>
      <c r="L1214" s="3">
        <v>43.01</v>
      </c>
      <c r="M1214" s="3">
        <v>45.16</v>
      </c>
      <c r="N1214" s="3">
        <v>79.04</v>
      </c>
      <c r="O1214" s="2" t="s">
        <v>97</v>
      </c>
      <c r="P1214" s="2" t="s">
        <v>119</v>
      </c>
      <c r="Q1214" s="2" t="s">
        <v>99</v>
      </c>
      <c r="R1214" s="2" t="s">
        <v>100</v>
      </c>
      <c r="S1214" s="2" t="s">
        <v>4079</v>
      </c>
      <c r="T1214" s="2" t="s">
        <v>100</v>
      </c>
      <c r="U1214" s="2" t="s">
        <v>480</v>
      </c>
      <c r="V1214" s="2" t="s">
        <v>292</v>
      </c>
      <c r="W1214" s="2" t="s">
        <v>104</v>
      </c>
      <c r="X1214" s="2" t="s">
        <v>561</v>
      </c>
      <c r="Y1214" s="2" t="s">
        <v>4043</v>
      </c>
      <c r="Z1214" s="4">
        <v>91</v>
      </c>
      <c r="AA1214" s="4">
        <f>=ROUNDDOWN(9.1,0)</f>
      </c>
      <c r="AB1214" s="5">
        <v>10</v>
      </c>
      <c r="AC1214" s="2" t="s">
        <v>3998</v>
      </c>
      <c r="AD1214" s="4">
        <v>100</v>
      </c>
      <c r="AE1214" s="4">
        <v>100</v>
      </c>
      <c r="AF1214" s="6">
        <v>65</v>
      </c>
      <c r="AG1214" s="6"/>
      <c r="AH1214" s="7">
        <v>0.9091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196</v>
      </c>
      <c r="BK1214" s="8">
        <v>8874.52</v>
      </c>
      <c r="BL1214" s="2" t="s">
        <v>4082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2480</v>
      </c>
      <c r="BV1214" s="2" t="s">
        <v>97</v>
      </c>
      <c r="BW1214" s="2" t="s">
        <v>100</v>
      </c>
      <c r="BX1214" s="2" t="s">
        <v>100</v>
      </c>
      <c r="BY1214" s="2" t="s">
        <v>113</v>
      </c>
      <c r="BZ1214" s="2" t="s">
        <v>245</v>
      </c>
    </row>
    <row r="1215">
      <c r="A1215" s="2" t="s">
        <v>4083</v>
      </c>
      <c r="B1215" s="2" t="s">
        <v>3872</v>
      </c>
      <c r="C1215" s="2" t="s">
        <v>88</v>
      </c>
      <c r="D1215" s="2" t="s">
        <v>3873</v>
      </c>
      <c r="E1215" s="2" t="s">
        <v>3882</v>
      </c>
      <c r="F1215" s="2" t="s">
        <v>4075</v>
      </c>
      <c r="G1215" s="2" t="s">
        <v>4076</v>
      </c>
      <c r="H1215" s="2" t="s">
        <v>4077</v>
      </c>
      <c r="I1215" s="2" t="s">
        <v>4078</v>
      </c>
      <c r="J1215" s="2" t="s">
        <v>3877</v>
      </c>
      <c r="K1215" s="2" t="s">
        <v>1294</v>
      </c>
      <c r="L1215" s="3">
        <v>43.01</v>
      </c>
      <c r="M1215" s="3">
        <v>45.16</v>
      </c>
      <c r="N1215" s="3">
        <v>79.04</v>
      </c>
      <c r="O1215" s="2" t="s">
        <v>97</v>
      </c>
      <c r="P1215" s="2" t="s">
        <v>119</v>
      </c>
      <c r="Q1215" s="2" t="s">
        <v>99</v>
      </c>
      <c r="R1215" s="2" t="s">
        <v>100</v>
      </c>
      <c r="S1215" s="2" t="s">
        <v>4079</v>
      </c>
      <c r="T1215" s="2" t="s">
        <v>100</v>
      </c>
      <c r="U1215" s="2" t="s">
        <v>480</v>
      </c>
      <c r="V1215" s="2" t="s">
        <v>292</v>
      </c>
      <c r="W1215" s="2" t="s">
        <v>104</v>
      </c>
      <c r="X1215" s="2" t="s">
        <v>561</v>
      </c>
      <c r="Y1215" s="2" t="s">
        <v>4084</v>
      </c>
      <c r="Z1215" s="4">
        <v>98</v>
      </c>
      <c r="AA1215" s="4">
        <f>=ROUNDDOWN(12.25,0)</f>
      </c>
      <c r="AB1215" s="5">
        <v>8</v>
      </c>
      <c r="AC1215" s="2" t="s">
        <v>241</v>
      </c>
      <c r="AD1215" s="4">
        <v>50</v>
      </c>
      <c r="AE1215" s="4">
        <v>150</v>
      </c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217</v>
      </c>
      <c r="BK1215" s="8">
        <v>10941.19</v>
      </c>
      <c r="BL1215" s="2" t="s">
        <v>4085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2480</v>
      </c>
      <c r="BV1215" s="2" t="s">
        <v>97</v>
      </c>
      <c r="BW1215" s="2" t="s">
        <v>100</v>
      </c>
      <c r="BX1215" s="2" t="s">
        <v>100</v>
      </c>
      <c r="BY1215" s="2" t="s">
        <v>113</v>
      </c>
      <c r="BZ1215" s="2" t="s">
        <v>245</v>
      </c>
    </row>
    <row r="1216">
      <c r="A1216" s="2" t="s">
        <v>4086</v>
      </c>
      <c r="B1216" s="2" t="s">
        <v>3872</v>
      </c>
      <c r="C1216" s="2" t="s">
        <v>88</v>
      </c>
      <c r="D1216" s="2" t="s">
        <v>3895</v>
      </c>
      <c r="E1216" s="2" t="s">
        <v>3896</v>
      </c>
      <c r="F1216" s="2" t="s">
        <v>4087</v>
      </c>
      <c r="G1216" s="2" t="s">
        <v>4087</v>
      </c>
      <c r="H1216" s="2" t="s">
        <v>4087</v>
      </c>
      <c r="I1216" s="2" t="s">
        <v>4088</v>
      </c>
      <c r="J1216" s="2" t="s">
        <v>3877</v>
      </c>
      <c r="K1216" s="2" t="s">
        <v>469</v>
      </c>
      <c r="L1216" s="3">
        <v>41.69</v>
      </c>
      <c r="M1216" s="3">
        <v>43.77</v>
      </c>
      <c r="N1216" s="3">
        <v>89.24</v>
      </c>
      <c r="O1216" s="2" t="s">
        <v>97</v>
      </c>
      <c r="P1216" s="2" t="s">
        <v>119</v>
      </c>
      <c r="Q1216" s="2" t="s">
        <v>99</v>
      </c>
      <c r="R1216" s="2" t="s">
        <v>100</v>
      </c>
      <c r="S1216" s="2" t="s">
        <v>100</v>
      </c>
      <c r="T1216" s="2" t="s">
        <v>100</v>
      </c>
      <c r="U1216" s="2" t="s">
        <v>480</v>
      </c>
      <c r="V1216" s="2" t="s">
        <v>4089</v>
      </c>
      <c r="W1216" s="2" t="s">
        <v>104</v>
      </c>
      <c r="X1216" s="2" t="s">
        <v>100</v>
      </c>
      <c r="Y1216" s="2" t="s">
        <v>4090</v>
      </c>
      <c r="Z1216" s="4">
        <v>47</v>
      </c>
      <c r="AA1216" s="4">
        <f>=ROUNDDOWN(7.96610169491525,0)</f>
      </c>
      <c r="AB1216" s="5">
        <v>5.9</v>
      </c>
      <c r="AC1216" s="2" t="s">
        <v>3579</v>
      </c>
      <c r="AD1216" s="4">
        <v>150</v>
      </c>
      <c r="AE1216" s="4">
        <v>150</v>
      </c>
      <c r="AF1216" s="6">
        <v>63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>
        <v>129</v>
      </c>
      <c r="BK1216" s="8">
        <v>6315.56</v>
      </c>
      <c r="BL1216" s="2" t="s">
        <v>4091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2480</v>
      </c>
      <c r="BV1216" s="2" t="s">
        <v>97</v>
      </c>
      <c r="BW1216" s="2" t="s">
        <v>100</v>
      </c>
      <c r="BX1216" s="2" t="s">
        <v>100</v>
      </c>
      <c r="BY1216" s="2" t="s">
        <v>113</v>
      </c>
      <c r="BZ1216" s="2" t="s">
        <v>245</v>
      </c>
    </row>
    <row r="1217">
      <c r="A1217" s="2" t="s">
        <v>4092</v>
      </c>
      <c r="B1217" s="2" t="s">
        <v>3872</v>
      </c>
      <c r="C1217" s="2" t="s">
        <v>88</v>
      </c>
      <c r="D1217" s="2" t="s">
        <v>3895</v>
      </c>
      <c r="E1217" s="2" t="s">
        <v>3896</v>
      </c>
      <c r="F1217" s="2" t="s">
        <v>4093</v>
      </c>
      <c r="G1217" s="2" t="s">
        <v>4093</v>
      </c>
      <c r="H1217" s="2" t="s">
        <v>4093</v>
      </c>
      <c r="I1217" s="2" t="s">
        <v>4094</v>
      </c>
      <c r="J1217" s="2" t="s">
        <v>3877</v>
      </c>
      <c r="K1217" s="2" t="s">
        <v>4095</v>
      </c>
      <c r="L1217" s="3">
        <v>57.82</v>
      </c>
      <c r="M1217" s="3">
        <v>60.71</v>
      </c>
      <c r="N1217" s="3">
        <v>127.49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4096</v>
      </c>
      <c r="T1217" s="2" t="s">
        <v>100</v>
      </c>
      <c r="U1217" s="2" t="s">
        <v>480</v>
      </c>
      <c r="V1217" s="2" t="s">
        <v>4089</v>
      </c>
      <c r="W1217" s="2" t="s">
        <v>104</v>
      </c>
      <c r="X1217" s="2" t="s">
        <v>100</v>
      </c>
      <c r="Y1217" s="2" t="s">
        <v>4097</v>
      </c>
      <c r="Z1217" s="4">
        <v>138</v>
      </c>
      <c r="AA1217" s="4">
        <f>=ROUNDDOWN(15.3333333333333,0)</f>
      </c>
      <c r="AB1217" s="5">
        <v>9</v>
      </c>
      <c r="AC1217" s="2" t="s">
        <v>872</v>
      </c>
      <c r="AD1217" s="4">
        <v>100</v>
      </c>
      <c r="AE1217" s="4">
        <v>100</v>
      </c>
      <c r="AF1217" s="6">
        <v>63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>
        <v>189</v>
      </c>
      <c r="BK1217" s="8">
        <v>13496.42</v>
      </c>
      <c r="BL1217" s="2" t="s">
        <v>4098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2480</v>
      </c>
      <c r="BV1217" s="2" t="s">
        <v>97</v>
      </c>
      <c r="BW1217" s="2" t="s">
        <v>100</v>
      </c>
      <c r="BX1217" s="2" t="s">
        <v>100</v>
      </c>
      <c r="BY1217" s="2" t="s">
        <v>113</v>
      </c>
      <c r="BZ1217" s="2" t="s">
        <v>245</v>
      </c>
    </row>
    <row r="1218">
      <c r="A1218" s="2" t="s">
        <v>4099</v>
      </c>
      <c r="B1218" s="2" t="s">
        <v>3872</v>
      </c>
      <c r="C1218" s="2" t="s">
        <v>88</v>
      </c>
      <c r="D1218" s="2" t="s">
        <v>3895</v>
      </c>
      <c r="E1218" s="2" t="s">
        <v>3896</v>
      </c>
      <c r="F1218" s="2" t="s">
        <v>4100</v>
      </c>
      <c r="G1218" s="2" t="s">
        <v>4100</v>
      </c>
      <c r="H1218" s="2" t="s">
        <v>4100</v>
      </c>
      <c r="I1218" s="2" t="s">
        <v>4101</v>
      </c>
      <c r="J1218" s="2" t="s">
        <v>3877</v>
      </c>
      <c r="K1218" s="2" t="s">
        <v>432</v>
      </c>
      <c r="L1218" s="3">
        <v>45.74</v>
      </c>
      <c r="M1218" s="3">
        <v>48.03</v>
      </c>
      <c r="N1218" s="3">
        <v>89.24</v>
      </c>
      <c r="O1218" s="2" t="s">
        <v>97</v>
      </c>
      <c r="P1218" s="2" t="s">
        <v>119</v>
      </c>
      <c r="Q1218" s="2" t="s">
        <v>99</v>
      </c>
      <c r="R1218" s="2" t="s">
        <v>100</v>
      </c>
      <c r="S1218" s="2" t="s">
        <v>4102</v>
      </c>
      <c r="T1218" s="2" t="s">
        <v>100</v>
      </c>
      <c r="U1218" s="2" t="s">
        <v>480</v>
      </c>
      <c r="V1218" s="2" t="s">
        <v>1150</v>
      </c>
      <c r="W1218" s="2" t="s">
        <v>104</v>
      </c>
      <c r="X1218" s="2" t="s">
        <v>100</v>
      </c>
      <c r="Y1218" s="2" t="s">
        <v>4103</v>
      </c>
      <c r="Z1218" s="4">
        <v>105</v>
      </c>
      <c r="AA1218" s="4">
        <f>=ROUNDDOWN(26.25,0)</f>
      </c>
      <c r="AB1218" s="5">
        <v>4</v>
      </c>
      <c r="AC1218" s="2" t="s">
        <v>100</v>
      </c>
      <c r="AD1218" s="4"/>
      <c r="AE1218" s="4"/>
      <c r="AF1218" s="6">
        <v>63</v>
      </c>
      <c r="AG1218" s="6">
        <v>46</v>
      </c>
      <c r="AH1218" s="7">
        <v>0.9893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>
        <v>95</v>
      </c>
      <c r="BK1218" s="8">
        <v>5264.58</v>
      </c>
      <c r="BL1218" s="2" t="s">
        <v>4104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2480</v>
      </c>
      <c r="BV1218" s="2" t="s">
        <v>97</v>
      </c>
      <c r="BW1218" s="2" t="s">
        <v>100</v>
      </c>
      <c r="BX1218" s="2" t="s">
        <v>100</v>
      </c>
      <c r="BY1218" s="2" t="s">
        <v>113</v>
      </c>
      <c r="BZ1218" s="2" t="s">
        <v>245</v>
      </c>
    </row>
    <row r="1219">
      <c r="A1219" s="2" t="s">
        <v>4105</v>
      </c>
      <c r="B1219" s="2" t="s">
        <v>3872</v>
      </c>
      <c r="C1219" s="2" t="s">
        <v>88</v>
      </c>
      <c r="D1219" s="2" t="s">
        <v>3895</v>
      </c>
      <c r="E1219" s="2" t="s">
        <v>3896</v>
      </c>
      <c r="F1219" s="2" t="s">
        <v>4100</v>
      </c>
      <c r="G1219" s="2" t="s">
        <v>4100</v>
      </c>
      <c r="H1219" s="2" t="s">
        <v>4100</v>
      </c>
      <c r="I1219" s="2" t="s">
        <v>4101</v>
      </c>
      <c r="J1219" s="2" t="s">
        <v>3877</v>
      </c>
      <c r="K1219" s="2" t="s">
        <v>629</v>
      </c>
      <c r="L1219" s="3">
        <v>45.74</v>
      </c>
      <c r="M1219" s="3">
        <v>48.03</v>
      </c>
      <c r="N1219" s="3">
        <v>89.24</v>
      </c>
      <c r="O1219" s="2" t="s">
        <v>97</v>
      </c>
      <c r="P1219" s="2" t="s">
        <v>119</v>
      </c>
      <c r="Q1219" s="2" t="s">
        <v>99</v>
      </c>
      <c r="R1219" s="2" t="s">
        <v>100</v>
      </c>
      <c r="S1219" s="2" t="s">
        <v>4106</v>
      </c>
      <c r="T1219" s="2" t="s">
        <v>100</v>
      </c>
      <c r="U1219" s="2" t="s">
        <v>480</v>
      </c>
      <c r="V1219" s="2" t="s">
        <v>1150</v>
      </c>
      <c r="W1219" s="2" t="s">
        <v>104</v>
      </c>
      <c r="X1219" s="2" t="s">
        <v>100</v>
      </c>
      <c r="Y1219" s="2" t="s">
        <v>1041</v>
      </c>
      <c r="Z1219" s="4">
        <v>143</v>
      </c>
      <c r="AA1219" s="4">
        <f>=ROUNDDOWN(28.6,0)</f>
      </c>
      <c r="AB1219" s="5">
        <v>5</v>
      </c>
      <c r="AC1219" s="2" t="s">
        <v>100</v>
      </c>
      <c r="AD1219" s="4"/>
      <c r="AE1219" s="4"/>
      <c r="AF1219" s="6">
        <v>63</v>
      </c>
      <c r="AG1219" s="6">
        <v>46</v>
      </c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/>
      <c r="BJ1219" s="4">
        <v>120</v>
      </c>
      <c r="BK1219" s="8">
        <v>6746.34</v>
      </c>
      <c r="BL1219" s="2" t="s">
        <v>4107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186</v>
      </c>
      <c r="BV1219" s="2" t="s">
        <v>97</v>
      </c>
      <c r="BW1219" s="2" t="s">
        <v>100</v>
      </c>
      <c r="BX1219" s="2" t="s">
        <v>100</v>
      </c>
      <c r="BY1219" s="2" t="s">
        <v>113</v>
      </c>
      <c r="BZ1219" s="2" t="s">
        <v>245</v>
      </c>
    </row>
    <row r="1220">
      <c r="A1220" s="2" t="s">
        <v>4108</v>
      </c>
      <c r="B1220" s="2" t="s">
        <v>3872</v>
      </c>
      <c r="C1220" s="2" t="s">
        <v>88</v>
      </c>
      <c r="D1220" s="2" t="s">
        <v>3895</v>
      </c>
      <c r="E1220" s="2" t="s">
        <v>3896</v>
      </c>
      <c r="F1220" s="2" t="s">
        <v>4109</v>
      </c>
      <c r="G1220" s="2" t="s">
        <v>4109</v>
      </c>
      <c r="H1220" s="2" t="s">
        <v>4109</v>
      </c>
      <c r="I1220" s="2" t="s">
        <v>3936</v>
      </c>
      <c r="J1220" s="2" t="s">
        <v>3877</v>
      </c>
      <c r="K1220" s="2" t="s">
        <v>130</v>
      </c>
      <c r="L1220" s="3">
        <v>49.63</v>
      </c>
      <c r="M1220" s="3">
        <v>52.11</v>
      </c>
      <c r="N1220" s="3">
        <v>96.04</v>
      </c>
      <c r="O1220" s="2" t="s">
        <v>97</v>
      </c>
      <c r="P1220" s="2" t="s">
        <v>372</v>
      </c>
      <c r="Q1220" s="2" t="s">
        <v>99</v>
      </c>
      <c r="R1220" s="2" t="s">
        <v>100</v>
      </c>
      <c r="S1220" s="2" t="s">
        <v>4110</v>
      </c>
      <c r="T1220" s="2" t="s">
        <v>100</v>
      </c>
      <c r="U1220" s="2" t="s">
        <v>480</v>
      </c>
      <c r="V1220" s="2" t="s">
        <v>4089</v>
      </c>
      <c r="W1220" s="2" t="s">
        <v>104</v>
      </c>
      <c r="X1220" s="2" t="s">
        <v>100</v>
      </c>
      <c r="Y1220" s="2" t="s">
        <v>240</v>
      </c>
      <c r="Z1220" s="4">
        <v>250</v>
      </c>
      <c r="AA1220" s="4">
        <f>=ROUNDDOWN(11.3636363636364,0)</f>
      </c>
      <c r="AB1220" s="5">
        <v>22</v>
      </c>
      <c r="AC1220" s="2" t="s">
        <v>872</v>
      </c>
      <c r="AD1220" s="4">
        <v>200</v>
      </c>
      <c r="AE1220" s="4">
        <v>450</v>
      </c>
      <c r="AF1220" s="6">
        <v>63</v>
      </c>
      <c r="AG1220" s="6">
        <v>46</v>
      </c>
      <c r="AH1220" s="7">
        <v>0.9465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782</v>
      </c>
      <c r="BK1220" s="8">
        <v>45996.86</v>
      </c>
      <c r="BL1220" s="2" t="s">
        <v>4111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186</v>
      </c>
      <c r="BV1220" s="2" t="s">
        <v>97</v>
      </c>
      <c r="BW1220" s="2" t="s">
        <v>100</v>
      </c>
      <c r="BX1220" s="2" t="s">
        <v>100</v>
      </c>
      <c r="BY1220" s="2" t="s">
        <v>113</v>
      </c>
      <c r="BZ1220" s="2" t="s">
        <v>245</v>
      </c>
    </row>
    <row r="1221">
      <c r="A1221" s="2" t="s">
        <v>4112</v>
      </c>
      <c r="B1221" s="2" t="s">
        <v>3872</v>
      </c>
      <c r="C1221" s="2" t="s">
        <v>88</v>
      </c>
      <c r="D1221" s="2" t="s">
        <v>3895</v>
      </c>
      <c r="E1221" s="2" t="s">
        <v>3896</v>
      </c>
      <c r="F1221" s="2" t="s">
        <v>4113</v>
      </c>
      <c r="G1221" s="2" t="s">
        <v>4113</v>
      </c>
      <c r="H1221" s="2" t="s">
        <v>4113</v>
      </c>
      <c r="I1221" s="2" t="s">
        <v>4114</v>
      </c>
      <c r="J1221" s="2" t="s">
        <v>4115</v>
      </c>
      <c r="K1221" s="2" t="s">
        <v>3199</v>
      </c>
      <c r="L1221" s="3">
        <v>54.23</v>
      </c>
      <c r="M1221" s="3">
        <v>56.94</v>
      </c>
      <c r="N1221" s="3">
        <v>118.99</v>
      </c>
      <c r="O1221" s="2" t="s">
        <v>97</v>
      </c>
      <c r="P1221" s="2" t="s">
        <v>98</v>
      </c>
      <c r="Q1221" s="2" t="s">
        <v>99</v>
      </c>
      <c r="R1221" s="2" t="s">
        <v>100</v>
      </c>
      <c r="S1221" s="2" t="s">
        <v>4116</v>
      </c>
      <c r="T1221" s="2" t="s">
        <v>100</v>
      </c>
      <c r="U1221" s="2" t="s">
        <v>514</v>
      </c>
      <c r="V1221" s="2" t="s">
        <v>1150</v>
      </c>
      <c r="W1221" s="2" t="s">
        <v>673</v>
      </c>
      <c r="X1221" s="2" t="s">
        <v>4117</v>
      </c>
      <c r="Y1221" s="2" t="s">
        <v>4118</v>
      </c>
      <c r="Z1221" s="4">
        <v>169</v>
      </c>
      <c r="AA1221" s="4">
        <f>=ROUNDDOWN(18.7777777777778,0)</f>
      </c>
      <c r="AB1221" s="5">
        <v>9</v>
      </c>
      <c r="AC1221" s="2" t="s">
        <v>1457</v>
      </c>
      <c r="AD1221" s="4">
        <v>100</v>
      </c>
      <c r="AE1221" s="4">
        <v>100</v>
      </c>
      <c r="AF1221" s="6">
        <v>63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/>
      <c r="BJ1221" s="4">
        <v>237</v>
      </c>
      <c r="BK1221" s="8">
        <v>14131.09</v>
      </c>
      <c r="BL1221" s="2" t="s">
        <v>4119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2480</v>
      </c>
      <c r="BV1221" s="2" t="s">
        <v>97</v>
      </c>
      <c r="BW1221" s="2" t="s">
        <v>100</v>
      </c>
      <c r="BX1221" s="2" t="s">
        <v>100</v>
      </c>
      <c r="BY1221" s="2" t="s">
        <v>113</v>
      </c>
      <c r="BZ1221" s="2" t="s">
        <v>245</v>
      </c>
    </row>
    <row r="1222">
      <c r="A1222" s="2" t="s">
        <v>4120</v>
      </c>
      <c r="B1222" s="2" t="s">
        <v>3872</v>
      </c>
      <c r="C1222" s="2" t="s">
        <v>88</v>
      </c>
      <c r="D1222" s="2" t="s">
        <v>3895</v>
      </c>
      <c r="E1222" s="2" t="s">
        <v>3896</v>
      </c>
      <c r="F1222" s="2" t="s">
        <v>4113</v>
      </c>
      <c r="G1222" s="2" t="s">
        <v>4113</v>
      </c>
      <c r="H1222" s="2" t="s">
        <v>4113</v>
      </c>
      <c r="I1222" s="2" t="s">
        <v>4114</v>
      </c>
      <c r="J1222" s="2" t="s">
        <v>4115</v>
      </c>
      <c r="K1222" s="2" t="s">
        <v>1340</v>
      </c>
      <c r="L1222" s="3">
        <v>54.23</v>
      </c>
      <c r="M1222" s="3">
        <v>56.94</v>
      </c>
      <c r="N1222" s="3">
        <v>118.99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4121</v>
      </c>
      <c r="T1222" s="2" t="s">
        <v>100</v>
      </c>
      <c r="U1222" s="2" t="s">
        <v>514</v>
      </c>
      <c r="V1222" s="2" t="s">
        <v>1150</v>
      </c>
      <c r="W1222" s="2" t="s">
        <v>673</v>
      </c>
      <c r="X1222" s="2" t="s">
        <v>561</v>
      </c>
      <c r="Y1222" s="2" t="s">
        <v>4122</v>
      </c>
      <c r="Z1222" s="4">
        <v>234</v>
      </c>
      <c r="AA1222" s="4">
        <f>=ROUNDDOWN(23.4,0)</f>
      </c>
      <c r="AB1222" s="5">
        <v>10</v>
      </c>
      <c r="AC1222" s="2" t="s">
        <v>100</v>
      </c>
      <c r="AD1222" s="4"/>
      <c r="AE1222" s="4"/>
      <c r="AF1222" s="6">
        <v>63</v>
      </c>
      <c r="AG1222" s="6">
        <v>46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/>
      <c r="BJ1222" s="4">
        <v>268</v>
      </c>
      <c r="BK1222" s="8">
        <v>16754.69</v>
      </c>
      <c r="BL1222" s="2" t="s">
        <v>4123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2480</v>
      </c>
      <c r="BV1222" s="2" t="s">
        <v>97</v>
      </c>
      <c r="BW1222" s="2" t="s">
        <v>100</v>
      </c>
      <c r="BX1222" s="2" t="s">
        <v>100</v>
      </c>
      <c r="BY1222" s="2" t="s">
        <v>113</v>
      </c>
      <c r="BZ1222" s="2" t="s">
        <v>245</v>
      </c>
    </row>
    <row r="1223">
      <c r="A1223" s="2" t="s">
        <v>4124</v>
      </c>
      <c r="B1223" s="2" t="s">
        <v>3872</v>
      </c>
      <c r="C1223" s="2" t="s">
        <v>88</v>
      </c>
      <c r="D1223" s="2" t="s">
        <v>3895</v>
      </c>
      <c r="E1223" s="2" t="s">
        <v>3896</v>
      </c>
      <c r="F1223" s="2" t="s">
        <v>4125</v>
      </c>
      <c r="G1223" s="2" t="s">
        <v>4125</v>
      </c>
      <c r="H1223" s="2" t="s">
        <v>4125</v>
      </c>
      <c r="I1223" s="2" t="s">
        <v>4126</v>
      </c>
      <c r="J1223" s="2" t="s">
        <v>3877</v>
      </c>
      <c r="K1223" s="2" t="s">
        <v>118</v>
      </c>
      <c r="L1223" s="3">
        <v>63.6</v>
      </c>
      <c r="M1223" s="3">
        <v>66.78</v>
      </c>
      <c r="N1223" s="3">
        <v>124.94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4127</v>
      </c>
      <c r="T1223" s="2" t="s">
        <v>100</v>
      </c>
      <c r="U1223" s="2" t="s">
        <v>480</v>
      </c>
      <c r="V1223" s="2" t="s">
        <v>1150</v>
      </c>
      <c r="W1223" s="2" t="s">
        <v>673</v>
      </c>
      <c r="X1223" s="2" t="s">
        <v>100</v>
      </c>
      <c r="Y1223" s="2" t="s">
        <v>4128</v>
      </c>
      <c r="Z1223" s="4">
        <v>142</v>
      </c>
      <c r="AA1223" s="4">
        <f>=ROUNDDOWN(20.2857142857143,0)</f>
      </c>
      <c r="AB1223" s="5">
        <v>7</v>
      </c>
      <c r="AC1223" s="2" t="s">
        <v>1457</v>
      </c>
      <c r="AD1223" s="4">
        <v>100</v>
      </c>
      <c r="AE1223" s="4">
        <v>100</v>
      </c>
      <c r="AF1223" s="6">
        <v>63</v>
      </c>
      <c r="AG1223" s="6"/>
      <c r="AH1223" s="7">
        <v>0.8182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/>
      <c r="BJ1223" s="4">
        <v>156</v>
      </c>
      <c r="BK1223" s="8">
        <v>11557.86</v>
      </c>
      <c r="BL1223" s="2" t="s">
        <v>4129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186</v>
      </c>
      <c r="BV1223" s="2" t="s">
        <v>97</v>
      </c>
      <c r="BW1223" s="2" t="s">
        <v>100</v>
      </c>
      <c r="BX1223" s="2" t="s">
        <v>100</v>
      </c>
      <c r="BY1223" s="2" t="s">
        <v>113</v>
      </c>
      <c r="BZ1223" s="2" t="s">
        <v>245</v>
      </c>
    </row>
    <row r="1224">
      <c r="A1224" s="2" t="s">
        <v>4130</v>
      </c>
      <c r="B1224" s="2" t="s">
        <v>3872</v>
      </c>
      <c r="C1224" s="2" t="s">
        <v>88</v>
      </c>
      <c r="D1224" s="2" t="s">
        <v>3895</v>
      </c>
      <c r="E1224" s="2" t="s">
        <v>3896</v>
      </c>
      <c r="F1224" s="2" t="s">
        <v>4125</v>
      </c>
      <c r="G1224" s="2" t="s">
        <v>4125</v>
      </c>
      <c r="H1224" s="2" t="s">
        <v>4125</v>
      </c>
      <c r="I1224" s="2" t="s">
        <v>4126</v>
      </c>
      <c r="J1224" s="2" t="s">
        <v>3877</v>
      </c>
      <c r="K1224" s="2" t="s">
        <v>198</v>
      </c>
      <c r="L1224" s="3">
        <v>67.34</v>
      </c>
      <c r="M1224" s="3">
        <v>70.71</v>
      </c>
      <c r="N1224" s="3">
        <v>124.94</v>
      </c>
      <c r="O1224" s="2" t="s">
        <v>97</v>
      </c>
      <c r="P1224" s="2" t="s">
        <v>98</v>
      </c>
      <c r="Q1224" s="2" t="s">
        <v>99</v>
      </c>
      <c r="R1224" s="2" t="s">
        <v>100</v>
      </c>
      <c r="S1224" s="2" t="s">
        <v>100</v>
      </c>
      <c r="T1224" s="2" t="s">
        <v>100</v>
      </c>
      <c r="U1224" s="2" t="s">
        <v>480</v>
      </c>
      <c r="V1224" s="2" t="s">
        <v>1150</v>
      </c>
      <c r="W1224" s="2" t="s">
        <v>673</v>
      </c>
      <c r="X1224" s="2" t="s">
        <v>561</v>
      </c>
      <c r="Y1224" s="2" t="s">
        <v>4122</v>
      </c>
      <c r="Z1224" s="4">
        <v>100</v>
      </c>
      <c r="AA1224" s="4">
        <f>=ROUNDDOWN(20,0)</f>
      </c>
      <c r="AB1224" s="5">
        <v>5</v>
      </c>
      <c r="AC1224" s="2" t="s">
        <v>1457</v>
      </c>
      <c r="AD1224" s="4">
        <v>100</v>
      </c>
      <c r="AE1224" s="4">
        <v>100</v>
      </c>
      <c r="AF1224" s="6">
        <v>63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/>
      <c r="BJ1224" s="4">
        <v>145</v>
      </c>
      <c r="BK1224" s="8">
        <v>11290.12</v>
      </c>
      <c r="BL1224" s="2" t="s">
        <v>4131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2480</v>
      </c>
      <c r="BV1224" s="2" t="s">
        <v>97</v>
      </c>
      <c r="BW1224" s="2" t="s">
        <v>100</v>
      </c>
      <c r="BX1224" s="2" t="s">
        <v>100</v>
      </c>
      <c r="BY1224" s="2" t="s">
        <v>113</v>
      </c>
      <c r="BZ1224" s="2" t="s">
        <v>245</v>
      </c>
    </row>
    <row r="1225">
      <c r="A1225" s="2" t="s">
        <v>4132</v>
      </c>
      <c r="B1225" s="2" t="s">
        <v>3872</v>
      </c>
      <c r="C1225" s="2" t="s">
        <v>88</v>
      </c>
      <c r="D1225" s="2" t="s">
        <v>3895</v>
      </c>
      <c r="E1225" s="2" t="s">
        <v>3896</v>
      </c>
      <c r="F1225" s="2" t="s">
        <v>4125</v>
      </c>
      <c r="G1225" s="2" t="s">
        <v>4125</v>
      </c>
      <c r="H1225" s="2" t="s">
        <v>4125</v>
      </c>
      <c r="I1225" s="2" t="s">
        <v>4126</v>
      </c>
      <c r="J1225" s="2" t="s">
        <v>3877</v>
      </c>
      <c r="K1225" s="2" t="s">
        <v>629</v>
      </c>
      <c r="L1225" s="3">
        <v>63.6</v>
      </c>
      <c r="M1225" s="3">
        <v>66.78</v>
      </c>
      <c r="N1225" s="3">
        <v>124.94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4133</v>
      </c>
      <c r="T1225" s="2" t="s">
        <v>100</v>
      </c>
      <c r="U1225" s="2" t="s">
        <v>480</v>
      </c>
      <c r="V1225" s="2" t="s">
        <v>1150</v>
      </c>
      <c r="W1225" s="2" t="s">
        <v>673</v>
      </c>
      <c r="X1225" s="2" t="s">
        <v>100</v>
      </c>
      <c r="Y1225" s="2" t="s">
        <v>4134</v>
      </c>
      <c r="Z1225" s="4">
        <v>192</v>
      </c>
      <c r="AA1225" s="4">
        <f>=ROUNDDOWN(13.7142857142857,0)</f>
      </c>
      <c r="AB1225" s="5">
        <v>14</v>
      </c>
      <c r="AC1225" s="2" t="s">
        <v>1457</v>
      </c>
      <c r="AD1225" s="4">
        <v>100</v>
      </c>
      <c r="AE1225" s="4">
        <v>100</v>
      </c>
      <c r="AF1225" s="6">
        <v>63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/>
      <c r="BJ1225" s="4">
        <v>437</v>
      </c>
      <c r="BK1225" s="8">
        <v>32554.67</v>
      </c>
      <c r="BL1225" s="2" t="s">
        <v>4135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186</v>
      </c>
      <c r="BV1225" s="2" t="s">
        <v>97</v>
      </c>
      <c r="BW1225" s="2" t="s">
        <v>100</v>
      </c>
      <c r="BX1225" s="2" t="s">
        <v>100</v>
      </c>
      <c r="BY1225" s="2" t="s">
        <v>113</v>
      </c>
      <c r="BZ1225" s="2" t="s">
        <v>245</v>
      </c>
    </row>
    <row r="1226">
      <c r="A1226" s="2" t="s">
        <v>4136</v>
      </c>
      <c r="B1226" s="2" t="s">
        <v>3872</v>
      </c>
      <c r="C1226" s="2" t="s">
        <v>88</v>
      </c>
      <c r="D1226" s="2" t="s">
        <v>3895</v>
      </c>
      <c r="E1226" s="2" t="s">
        <v>3896</v>
      </c>
      <c r="F1226" s="2" t="s">
        <v>4137</v>
      </c>
      <c r="G1226" s="2" t="s">
        <v>4137</v>
      </c>
      <c r="H1226" s="2" t="s">
        <v>4137</v>
      </c>
      <c r="I1226" s="2" t="s">
        <v>4138</v>
      </c>
      <c r="J1226" s="2" t="s">
        <v>3877</v>
      </c>
      <c r="K1226" s="2" t="s">
        <v>335</v>
      </c>
      <c r="L1226" s="3">
        <v>61.71</v>
      </c>
      <c r="M1226" s="3">
        <v>64.8</v>
      </c>
      <c r="N1226" s="3">
        <v>127.49</v>
      </c>
      <c r="O1226" s="2" t="s">
        <v>97</v>
      </c>
      <c r="P1226" s="2" t="s">
        <v>119</v>
      </c>
      <c r="Q1226" s="2" t="s">
        <v>99</v>
      </c>
      <c r="R1226" s="2" t="s">
        <v>100</v>
      </c>
      <c r="S1226" s="2" t="s">
        <v>4139</v>
      </c>
      <c r="T1226" s="2" t="s">
        <v>100</v>
      </c>
      <c r="U1226" s="2" t="s">
        <v>514</v>
      </c>
      <c r="V1226" s="2" t="s">
        <v>1150</v>
      </c>
      <c r="W1226" s="2" t="s">
        <v>561</v>
      </c>
      <c r="X1226" s="2" t="s">
        <v>673</v>
      </c>
      <c r="Y1226" s="2" t="s">
        <v>4140</v>
      </c>
      <c r="Z1226" s="4">
        <v>109</v>
      </c>
      <c r="AA1226" s="4">
        <f>=ROUNDDOWN(27.9487179487179,0)</f>
      </c>
      <c r="AB1226" s="5">
        <v>3.9</v>
      </c>
      <c r="AC1226" s="2" t="s">
        <v>100</v>
      </c>
      <c r="AD1226" s="4"/>
      <c r="AE1226" s="4"/>
      <c r="AF1226" s="6">
        <v>63</v>
      </c>
      <c r="AG1226" s="6"/>
      <c r="AH1226" s="7">
        <v>0.9679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103</v>
      </c>
      <c r="BK1226" s="8">
        <v>7531.62</v>
      </c>
      <c r="BL1226" s="2" t="s">
        <v>4141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2480</v>
      </c>
      <c r="BV1226" s="2" t="s">
        <v>97</v>
      </c>
      <c r="BW1226" s="2" t="s">
        <v>100</v>
      </c>
      <c r="BX1226" s="2" t="s">
        <v>100</v>
      </c>
      <c r="BY1226" s="2" t="s">
        <v>113</v>
      </c>
      <c r="BZ1226" s="2" t="s">
        <v>245</v>
      </c>
    </row>
    <row r="1227">
      <c r="A1227" s="2" t="s">
        <v>4142</v>
      </c>
      <c r="B1227" s="2" t="s">
        <v>3872</v>
      </c>
      <c r="C1227" s="2" t="s">
        <v>88</v>
      </c>
      <c r="D1227" s="2" t="s">
        <v>3895</v>
      </c>
      <c r="E1227" s="2" t="s">
        <v>3896</v>
      </c>
      <c r="F1227" s="2" t="s">
        <v>4143</v>
      </c>
      <c r="G1227" s="2" t="s">
        <v>4143</v>
      </c>
      <c r="H1227" s="2" t="s">
        <v>4143</v>
      </c>
      <c r="I1227" s="2" t="s">
        <v>4144</v>
      </c>
      <c r="J1227" s="2" t="s">
        <v>3877</v>
      </c>
      <c r="K1227" s="2" t="s">
        <v>4145</v>
      </c>
      <c r="L1227" s="3">
        <v>40.47</v>
      </c>
      <c r="M1227" s="3">
        <v>42.49</v>
      </c>
      <c r="N1227" s="3">
        <v>84.99</v>
      </c>
      <c r="O1227" s="2" t="s">
        <v>97</v>
      </c>
      <c r="P1227" s="2" t="s">
        <v>119</v>
      </c>
      <c r="Q1227" s="2" t="s">
        <v>99</v>
      </c>
      <c r="R1227" s="2" t="s">
        <v>100</v>
      </c>
      <c r="S1227" s="2" t="s">
        <v>100</v>
      </c>
      <c r="T1227" s="2" t="s">
        <v>100</v>
      </c>
      <c r="U1227" s="2" t="s">
        <v>1847</v>
      </c>
      <c r="V1227" s="2" t="s">
        <v>4089</v>
      </c>
      <c r="W1227" s="2" t="s">
        <v>309</v>
      </c>
      <c r="X1227" s="2" t="s">
        <v>219</v>
      </c>
      <c r="Y1227" s="2" t="s">
        <v>4146</v>
      </c>
      <c r="Z1227" s="4">
        <v>64</v>
      </c>
      <c r="AA1227" s="4">
        <f>=ROUNDDOWN(16,0)</f>
      </c>
      <c r="AB1227" s="5">
        <v>4</v>
      </c>
      <c r="AC1227" s="2" t="s">
        <v>3579</v>
      </c>
      <c r="AD1227" s="4">
        <v>100</v>
      </c>
      <c r="AE1227" s="4">
        <v>100</v>
      </c>
      <c r="AF1227" s="6">
        <v>63</v>
      </c>
      <c r="AG1227" s="6"/>
      <c r="AH1227" s="7">
        <v>0.6257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>
        <v>109</v>
      </c>
      <c r="BK1227" s="8">
        <v>6054.58</v>
      </c>
      <c r="BL1227" s="2" t="s">
        <v>4147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2480</v>
      </c>
      <c r="BV1227" s="2" t="s">
        <v>97</v>
      </c>
      <c r="BW1227" s="2" t="s">
        <v>100</v>
      </c>
      <c r="BX1227" s="2" t="s">
        <v>100</v>
      </c>
      <c r="BY1227" s="2" t="s">
        <v>113</v>
      </c>
      <c r="BZ1227" s="2" t="s">
        <v>245</v>
      </c>
    </row>
    <row r="1228">
      <c r="A1228" s="2" t="s">
        <v>4148</v>
      </c>
      <c r="B1228" s="2" t="s">
        <v>3872</v>
      </c>
      <c r="C1228" s="2" t="s">
        <v>88</v>
      </c>
      <c r="D1228" s="2" t="s">
        <v>3895</v>
      </c>
      <c r="E1228" s="2" t="s">
        <v>3896</v>
      </c>
      <c r="F1228" s="2" t="s">
        <v>4149</v>
      </c>
      <c r="G1228" s="2" t="s">
        <v>4149</v>
      </c>
      <c r="H1228" s="2" t="s">
        <v>4149</v>
      </c>
      <c r="I1228" s="2" t="s">
        <v>4150</v>
      </c>
      <c r="J1228" s="2" t="s">
        <v>3877</v>
      </c>
      <c r="K1228" s="2" t="s">
        <v>1952</v>
      </c>
      <c r="L1228" s="3">
        <v>64.52</v>
      </c>
      <c r="M1228" s="3">
        <v>67.75</v>
      </c>
      <c r="N1228" s="3">
        <v>124.94</v>
      </c>
      <c r="O1228" s="2" t="s">
        <v>97</v>
      </c>
      <c r="P1228" s="2" t="s">
        <v>119</v>
      </c>
      <c r="Q1228" s="2" t="s">
        <v>99</v>
      </c>
      <c r="R1228" s="2" t="s">
        <v>100</v>
      </c>
      <c r="S1228" s="2" t="s">
        <v>4151</v>
      </c>
      <c r="T1228" s="2" t="s">
        <v>100</v>
      </c>
      <c r="U1228" s="2" t="s">
        <v>480</v>
      </c>
      <c r="V1228" s="2" t="s">
        <v>1150</v>
      </c>
      <c r="W1228" s="2" t="s">
        <v>673</v>
      </c>
      <c r="X1228" s="2" t="s">
        <v>4152</v>
      </c>
      <c r="Y1228" s="2" t="s">
        <v>4118</v>
      </c>
      <c r="Z1228" s="4">
        <v>146</v>
      </c>
      <c r="AA1228" s="4">
        <f>=ROUNDDOWN(54.0740740740741,0)</f>
      </c>
      <c r="AB1228" s="5">
        <v>2.7</v>
      </c>
      <c r="AC1228" s="2" t="s">
        <v>100</v>
      </c>
      <c r="AD1228" s="4"/>
      <c r="AE1228" s="4"/>
      <c r="AF1228" s="6">
        <v>63</v>
      </c>
      <c r="AG1228" s="6">
        <v>46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>
        <v>126</v>
      </c>
      <c r="BK1228" s="8">
        <v>9185.62</v>
      </c>
      <c r="BL1228" s="2" t="s">
        <v>4153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2480</v>
      </c>
      <c r="BV1228" s="2" t="s">
        <v>97</v>
      </c>
      <c r="BW1228" s="2" t="s">
        <v>100</v>
      </c>
      <c r="BX1228" s="2" t="s">
        <v>100</v>
      </c>
      <c r="BY1228" s="2" t="s">
        <v>113</v>
      </c>
      <c r="BZ1228" s="2" t="s">
        <v>245</v>
      </c>
    </row>
    <row r="1229">
      <c r="A1229" s="2" t="s">
        <v>4154</v>
      </c>
      <c r="B1229" s="2" t="s">
        <v>3872</v>
      </c>
      <c r="C1229" s="2" t="s">
        <v>88</v>
      </c>
      <c r="D1229" s="2" t="s">
        <v>3895</v>
      </c>
      <c r="E1229" s="2" t="s">
        <v>3896</v>
      </c>
      <c r="F1229" s="2" t="s">
        <v>4155</v>
      </c>
      <c r="G1229" s="2" t="s">
        <v>4155</v>
      </c>
      <c r="H1229" s="2" t="s">
        <v>4155</v>
      </c>
      <c r="I1229" s="2" t="s">
        <v>4114</v>
      </c>
      <c r="J1229" s="2" t="s">
        <v>3877</v>
      </c>
      <c r="K1229" s="2" t="s">
        <v>4156</v>
      </c>
      <c r="L1229" s="3">
        <v>43.01</v>
      </c>
      <c r="M1229" s="3">
        <v>45.16</v>
      </c>
      <c r="N1229" s="3">
        <v>84.99</v>
      </c>
      <c r="O1229" s="2" t="s">
        <v>97</v>
      </c>
      <c r="P1229" s="2" t="s">
        <v>119</v>
      </c>
      <c r="Q1229" s="2" t="s">
        <v>99</v>
      </c>
      <c r="R1229" s="2" t="s">
        <v>100</v>
      </c>
      <c r="S1229" s="2" t="s">
        <v>4157</v>
      </c>
      <c r="T1229" s="2" t="s">
        <v>100</v>
      </c>
      <c r="U1229" s="2" t="s">
        <v>514</v>
      </c>
      <c r="V1229" s="2" t="s">
        <v>1150</v>
      </c>
      <c r="W1229" s="2" t="s">
        <v>673</v>
      </c>
      <c r="X1229" s="2" t="s">
        <v>673</v>
      </c>
      <c r="Y1229" s="2" t="s">
        <v>4158</v>
      </c>
      <c r="Z1229" s="4">
        <v>83</v>
      </c>
      <c r="AA1229" s="4">
        <f>=ROUNDDOWN(11.8571428571429,0)</f>
      </c>
      <c r="AB1229" s="5">
        <v>7</v>
      </c>
      <c r="AC1229" s="2" t="s">
        <v>100</v>
      </c>
      <c r="AD1229" s="4"/>
      <c r="AE1229" s="4"/>
      <c r="AF1229" s="6">
        <v>63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>
        <v>191</v>
      </c>
      <c r="BK1229" s="8">
        <v>9820.1</v>
      </c>
      <c r="BL1229" s="2" t="s">
        <v>4159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2480</v>
      </c>
      <c r="BV1229" s="2" t="s">
        <v>97</v>
      </c>
      <c r="BW1229" s="2" t="s">
        <v>100</v>
      </c>
      <c r="BX1229" s="2" t="s">
        <v>100</v>
      </c>
      <c r="BY1229" s="2" t="s">
        <v>113</v>
      </c>
      <c r="BZ1229" s="2" t="s">
        <v>245</v>
      </c>
    </row>
    <row r="1230">
      <c r="A1230" s="2" t="s">
        <v>4160</v>
      </c>
      <c r="B1230" s="2" t="s">
        <v>3872</v>
      </c>
      <c r="C1230" s="2" t="s">
        <v>88</v>
      </c>
      <c r="D1230" s="2" t="s">
        <v>3895</v>
      </c>
      <c r="E1230" s="2" t="s">
        <v>3927</v>
      </c>
      <c r="F1230" s="2" t="s">
        <v>4161</v>
      </c>
      <c r="G1230" s="2" t="s">
        <v>4161</v>
      </c>
      <c r="H1230" s="2" t="s">
        <v>4161</v>
      </c>
      <c r="I1230" s="2" t="s">
        <v>4162</v>
      </c>
      <c r="J1230" s="2" t="s">
        <v>3877</v>
      </c>
      <c r="K1230" s="2" t="s">
        <v>858</v>
      </c>
      <c r="L1230" s="3">
        <v>76.19</v>
      </c>
      <c r="M1230" s="3">
        <v>80</v>
      </c>
      <c r="N1230" s="3">
        <v>140.24</v>
      </c>
      <c r="O1230" s="2" t="s">
        <v>97</v>
      </c>
      <c r="P1230" s="2" t="s">
        <v>119</v>
      </c>
      <c r="Q1230" s="2" t="s">
        <v>99</v>
      </c>
      <c r="R1230" s="2" t="s">
        <v>100</v>
      </c>
      <c r="S1230" s="2" t="s">
        <v>4163</v>
      </c>
      <c r="T1230" s="2" t="s">
        <v>100</v>
      </c>
      <c r="U1230" s="2" t="s">
        <v>171</v>
      </c>
      <c r="V1230" s="2" t="s">
        <v>1150</v>
      </c>
      <c r="W1230" s="2" t="s">
        <v>561</v>
      </c>
      <c r="X1230" s="2" t="s">
        <v>100</v>
      </c>
      <c r="Y1230" s="2" t="s">
        <v>748</v>
      </c>
      <c r="Z1230" s="4">
        <v>200</v>
      </c>
      <c r="AA1230" s="4">
        <f>=ROUNDDOWN(40,0)</f>
      </c>
      <c r="AB1230" s="5">
        <v>5</v>
      </c>
      <c r="AC1230" s="2" t="s">
        <v>100</v>
      </c>
      <c r="AD1230" s="4"/>
      <c r="AE1230" s="4"/>
      <c r="AF1230" s="6">
        <v>63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/>
      <c r="BD1230" s="8"/>
      <c r="BE1230" s="4"/>
      <c r="BF1230" s="8"/>
      <c r="BG1230" s="7"/>
      <c r="BH1230" s="7"/>
      <c r="BI1230" s="7"/>
      <c r="BJ1230" s="4">
        <v>115</v>
      </c>
      <c r="BK1230" s="8">
        <v>10056.42</v>
      </c>
      <c r="BL1230" s="2" t="s">
        <v>4164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2480</v>
      </c>
      <c r="BV1230" s="2" t="s">
        <v>97</v>
      </c>
      <c r="BW1230" s="2" t="s">
        <v>100</v>
      </c>
      <c r="BX1230" s="2" t="s">
        <v>100</v>
      </c>
      <c r="BY1230" s="2" t="s">
        <v>113</v>
      </c>
      <c r="BZ1230" s="2" t="s">
        <v>245</v>
      </c>
    </row>
    <row r="1231">
      <c r="A1231" s="2" t="s">
        <v>4165</v>
      </c>
      <c r="B1231" s="2" t="s">
        <v>3872</v>
      </c>
      <c r="C1231" s="2" t="s">
        <v>88</v>
      </c>
      <c r="D1231" s="2" t="s">
        <v>3895</v>
      </c>
      <c r="E1231" s="2" t="s">
        <v>3927</v>
      </c>
      <c r="F1231" s="2" t="s">
        <v>4166</v>
      </c>
      <c r="G1231" s="2" t="s">
        <v>4166</v>
      </c>
      <c r="H1231" s="2" t="s">
        <v>4166</v>
      </c>
      <c r="I1231" s="2" t="s">
        <v>4167</v>
      </c>
      <c r="J1231" s="2" t="s">
        <v>3877</v>
      </c>
      <c r="K1231" s="2" t="s">
        <v>4095</v>
      </c>
      <c r="L1231" s="3">
        <v>69.19</v>
      </c>
      <c r="M1231" s="3">
        <v>72.65</v>
      </c>
      <c r="N1231" s="3">
        <v>135.99</v>
      </c>
      <c r="O1231" s="2" t="s">
        <v>97</v>
      </c>
      <c r="P1231" s="2" t="s">
        <v>119</v>
      </c>
      <c r="Q1231" s="2" t="s">
        <v>99</v>
      </c>
      <c r="R1231" s="2" t="s">
        <v>100</v>
      </c>
      <c r="S1231" s="2" t="s">
        <v>4168</v>
      </c>
      <c r="T1231" s="2" t="s">
        <v>100</v>
      </c>
      <c r="U1231" s="2" t="s">
        <v>171</v>
      </c>
      <c r="V1231" s="2" t="s">
        <v>1150</v>
      </c>
      <c r="W1231" s="2" t="s">
        <v>561</v>
      </c>
      <c r="X1231" s="2" t="s">
        <v>4169</v>
      </c>
      <c r="Y1231" s="2" t="s">
        <v>4170</v>
      </c>
      <c r="Z1231" s="4">
        <v>62</v>
      </c>
      <c r="AA1231" s="4">
        <f>=ROUNDDOWN(20.6666666666667,0)</f>
      </c>
      <c r="AB1231" s="5">
        <v>3</v>
      </c>
      <c r="AC1231" s="2" t="s">
        <v>100</v>
      </c>
      <c r="AD1231" s="4"/>
      <c r="AE1231" s="4"/>
      <c r="AF1231" s="6">
        <v>63</v>
      </c>
      <c r="AG1231" s="6">
        <v>46</v>
      </c>
      <c r="AH1231" s="7">
        <v>0.9626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77</v>
      </c>
      <c r="BK1231" s="8">
        <v>6233.71</v>
      </c>
      <c r="BL1231" s="2" t="s">
        <v>4171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2480</v>
      </c>
      <c r="BV1231" s="2" t="s">
        <v>97</v>
      </c>
      <c r="BW1231" s="2" t="s">
        <v>100</v>
      </c>
      <c r="BX1231" s="2" t="s">
        <v>100</v>
      </c>
      <c r="BY1231" s="2" t="s">
        <v>113</v>
      </c>
      <c r="BZ1231" s="2" t="s">
        <v>245</v>
      </c>
    </row>
    <row r="1232">
      <c r="A1232" s="2" t="s">
        <v>4172</v>
      </c>
      <c r="B1232" s="2" t="s">
        <v>3872</v>
      </c>
      <c r="C1232" s="2" t="s">
        <v>88</v>
      </c>
      <c r="D1232" s="2" t="s">
        <v>3895</v>
      </c>
      <c r="E1232" s="2" t="s">
        <v>3927</v>
      </c>
      <c r="F1232" s="2" t="s">
        <v>4173</v>
      </c>
      <c r="G1232" s="2" t="s">
        <v>4173</v>
      </c>
      <c r="H1232" s="2" t="s">
        <v>4173</v>
      </c>
      <c r="I1232" s="2" t="s">
        <v>4174</v>
      </c>
      <c r="J1232" s="2" t="s">
        <v>3877</v>
      </c>
      <c r="K1232" s="2" t="s">
        <v>118</v>
      </c>
      <c r="L1232" s="3">
        <v>46.22</v>
      </c>
      <c r="M1232" s="3">
        <v>48.53</v>
      </c>
      <c r="N1232" s="3">
        <v>89.24</v>
      </c>
      <c r="O1232" s="2" t="s">
        <v>97</v>
      </c>
      <c r="P1232" s="2" t="s">
        <v>119</v>
      </c>
      <c r="Q1232" s="2" t="s">
        <v>99</v>
      </c>
      <c r="R1232" s="2" t="s">
        <v>100</v>
      </c>
      <c r="S1232" s="2" t="s">
        <v>4175</v>
      </c>
      <c r="T1232" s="2" t="s">
        <v>100</v>
      </c>
      <c r="U1232" s="2" t="s">
        <v>514</v>
      </c>
      <c r="V1232" s="2" t="s">
        <v>1150</v>
      </c>
      <c r="W1232" s="2" t="s">
        <v>561</v>
      </c>
      <c r="X1232" s="2" t="s">
        <v>100</v>
      </c>
      <c r="Y1232" s="2" t="s">
        <v>2847</v>
      </c>
      <c r="Z1232" s="4">
        <v>147</v>
      </c>
      <c r="AA1232" s="4">
        <f>=ROUNDDOWN(52.5,0)</f>
      </c>
      <c r="AB1232" s="5">
        <v>2.8</v>
      </c>
      <c r="AC1232" s="2" t="s">
        <v>100</v>
      </c>
      <c r="AD1232" s="4"/>
      <c r="AE1232" s="4"/>
      <c r="AF1232" s="6">
        <v>63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94</v>
      </c>
      <c r="BK1232" s="8">
        <v>5499.06</v>
      </c>
      <c r="BL1232" s="2" t="s">
        <v>4176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2480</v>
      </c>
      <c r="BV1232" s="2" t="s">
        <v>97</v>
      </c>
      <c r="BW1232" s="2" t="s">
        <v>100</v>
      </c>
      <c r="BX1232" s="2" t="s">
        <v>100</v>
      </c>
      <c r="BY1232" s="2" t="s">
        <v>113</v>
      </c>
      <c r="BZ1232" s="2" t="s">
        <v>245</v>
      </c>
    </row>
    <row r="1233">
      <c r="A1233" s="2" t="s">
        <v>4177</v>
      </c>
      <c r="B1233" s="2" t="s">
        <v>3872</v>
      </c>
      <c r="C1233" s="2" t="s">
        <v>88</v>
      </c>
      <c r="D1233" s="2" t="s">
        <v>3895</v>
      </c>
      <c r="E1233" s="2" t="s">
        <v>3927</v>
      </c>
      <c r="F1233" s="2" t="s">
        <v>4178</v>
      </c>
      <c r="G1233" s="2" t="s">
        <v>100</v>
      </c>
      <c r="H1233" s="2" t="s">
        <v>100</v>
      </c>
      <c r="I1233" s="2" t="s">
        <v>4179</v>
      </c>
      <c r="J1233" s="2" t="s">
        <v>3877</v>
      </c>
      <c r="K1233" s="2" t="s">
        <v>118</v>
      </c>
      <c r="L1233" s="3">
        <v>24.5</v>
      </c>
      <c r="M1233" s="3">
        <v>25.72</v>
      </c>
      <c r="N1233" s="3">
        <v>50.99</v>
      </c>
      <c r="O1233" s="2" t="s">
        <v>97</v>
      </c>
      <c r="P1233" s="2" t="s">
        <v>119</v>
      </c>
      <c r="Q1233" s="2" t="s">
        <v>99</v>
      </c>
      <c r="R1233" s="2" t="s">
        <v>100</v>
      </c>
      <c r="S1233" s="2" t="s">
        <v>4180</v>
      </c>
      <c r="T1233" s="2" t="s">
        <v>100</v>
      </c>
      <c r="U1233" s="2" t="s">
        <v>402</v>
      </c>
      <c r="V1233" s="2" t="s">
        <v>239</v>
      </c>
      <c r="W1233" s="2" t="s">
        <v>239</v>
      </c>
      <c r="X1233" s="2" t="s">
        <v>100</v>
      </c>
      <c r="Y1233" s="2" t="s">
        <v>4181</v>
      </c>
      <c r="Z1233" s="4">
        <v>141</v>
      </c>
      <c r="AA1233" s="4">
        <f>=ROUNDDOWN(25.6363636363636,0)</f>
      </c>
      <c r="AB1233" s="5">
        <v>5.5</v>
      </c>
      <c r="AC1233" s="2" t="s">
        <v>100</v>
      </c>
      <c r="AD1233" s="4"/>
      <c r="AE1233" s="4"/>
      <c r="AF1233" s="6">
        <v>63</v>
      </c>
      <c r="AG1233" s="6"/>
      <c r="AH1233" s="7">
        <v>0.8984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>
        <v>173</v>
      </c>
      <c r="BK1233" s="8">
        <v>5024.1</v>
      </c>
      <c r="BL1233" s="2" t="s">
        <v>4182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2480</v>
      </c>
      <c r="BV1233" s="2" t="s">
        <v>97</v>
      </c>
      <c r="BW1233" s="2" t="s">
        <v>100</v>
      </c>
      <c r="BX1233" s="2" t="s">
        <v>100</v>
      </c>
      <c r="BY1233" s="2" t="s">
        <v>113</v>
      </c>
      <c r="BZ1233" s="2" t="s">
        <v>245</v>
      </c>
    </row>
    <row r="1234">
      <c r="A1234" s="2" t="s">
        <v>4183</v>
      </c>
      <c r="B1234" s="2" t="s">
        <v>3872</v>
      </c>
      <c r="C1234" s="2" t="s">
        <v>88</v>
      </c>
      <c r="D1234" s="2" t="s">
        <v>3895</v>
      </c>
      <c r="E1234" s="2" t="s">
        <v>3882</v>
      </c>
      <c r="F1234" s="2" t="s">
        <v>4184</v>
      </c>
      <c r="G1234" s="2" t="s">
        <v>4184</v>
      </c>
      <c r="H1234" s="2" t="s">
        <v>4184</v>
      </c>
      <c r="I1234" s="2" t="s">
        <v>4185</v>
      </c>
      <c r="J1234" s="2" t="s">
        <v>3877</v>
      </c>
      <c r="K1234" s="2" t="s">
        <v>209</v>
      </c>
      <c r="L1234" s="3">
        <v>77.71</v>
      </c>
      <c r="M1234" s="3">
        <v>81.6</v>
      </c>
      <c r="N1234" s="3">
        <v>169.99</v>
      </c>
      <c r="O1234" s="2" t="s">
        <v>97</v>
      </c>
      <c r="P1234" s="2" t="s">
        <v>119</v>
      </c>
      <c r="Q1234" s="2" t="s">
        <v>99</v>
      </c>
      <c r="R1234" s="2" t="s">
        <v>100</v>
      </c>
      <c r="S1234" s="2" t="s">
        <v>4186</v>
      </c>
      <c r="T1234" s="2" t="s">
        <v>100</v>
      </c>
      <c r="U1234" s="2" t="s">
        <v>171</v>
      </c>
      <c r="V1234" s="2" t="s">
        <v>1150</v>
      </c>
      <c r="W1234" s="2" t="s">
        <v>561</v>
      </c>
      <c r="X1234" s="2" t="s">
        <v>673</v>
      </c>
      <c r="Y1234" s="2" t="s">
        <v>4187</v>
      </c>
      <c r="Z1234" s="4">
        <v>70</v>
      </c>
      <c r="AA1234" s="4">
        <f>=ROUNDDOWN(43.75,0)</f>
      </c>
      <c r="AB1234" s="5">
        <v>1.6</v>
      </c>
      <c r="AC1234" s="2" t="s">
        <v>100</v>
      </c>
      <c r="AD1234" s="4"/>
      <c r="AE1234" s="4"/>
      <c r="AF1234" s="6">
        <v>63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>
        <v>59</v>
      </c>
      <c r="BK1234" s="8">
        <v>5455.63</v>
      </c>
      <c r="BL1234" s="2" t="s">
        <v>4188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2480</v>
      </c>
      <c r="BV1234" s="2" t="s">
        <v>97</v>
      </c>
      <c r="BW1234" s="2" t="s">
        <v>100</v>
      </c>
      <c r="BX1234" s="2" t="s">
        <v>100</v>
      </c>
      <c r="BY1234" s="2" t="s">
        <v>113</v>
      </c>
      <c r="BZ1234" s="2" t="s">
        <v>245</v>
      </c>
    </row>
    <row r="1235">
      <c r="A1235" s="2" t="s">
        <v>4189</v>
      </c>
      <c r="B1235" s="2" t="s">
        <v>3872</v>
      </c>
      <c r="C1235" s="2" t="s">
        <v>88</v>
      </c>
      <c r="D1235" s="2" t="s">
        <v>4190</v>
      </c>
      <c r="E1235" s="2" t="s">
        <v>4191</v>
      </c>
      <c r="F1235" s="2" t="s">
        <v>1128</v>
      </c>
      <c r="G1235" s="2" t="s">
        <v>1128</v>
      </c>
      <c r="H1235" s="2" t="s">
        <v>1128</v>
      </c>
      <c r="I1235" s="2" t="s">
        <v>4192</v>
      </c>
      <c r="J1235" s="2" t="s">
        <v>3877</v>
      </c>
      <c r="K1235" s="2" t="s">
        <v>4193</v>
      </c>
      <c r="L1235" s="3">
        <v>40.19</v>
      </c>
      <c r="M1235" s="3">
        <v>42.2</v>
      </c>
      <c r="N1235" s="3">
        <v>89.99</v>
      </c>
      <c r="O1235" s="2" t="s">
        <v>97</v>
      </c>
      <c r="P1235" s="2" t="s">
        <v>119</v>
      </c>
      <c r="Q1235" s="2" t="s">
        <v>99</v>
      </c>
      <c r="R1235" s="2" t="s">
        <v>100</v>
      </c>
      <c r="S1235" s="2" t="s">
        <v>4194</v>
      </c>
      <c r="T1235" s="2" t="s">
        <v>100</v>
      </c>
      <c r="U1235" s="2" t="s">
        <v>1847</v>
      </c>
      <c r="V1235" s="2" t="s">
        <v>146</v>
      </c>
      <c r="W1235" s="2" t="s">
        <v>561</v>
      </c>
      <c r="X1235" s="2" t="s">
        <v>415</v>
      </c>
      <c r="Y1235" s="2" t="s">
        <v>4195</v>
      </c>
      <c r="Z1235" s="4">
        <v>48</v>
      </c>
      <c r="AA1235" s="4">
        <f>=ROUNDDOWN(12,0)</f>
      </c>
      <c r="AB1235" s="5">
        <v>4</v>
      </c>
      <c r="AC1235" s="2" t="s">
        <v>4196</v>
      </c>
      <c r="AD1235" s="4">
        <v>100</v>
      </c>
      <c r="AE1235" s="4">
        <v>100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/>
      <c r="BJ1235" s="4">
        <v>103</v>
      </c>
      <c r="BK1235" s="8">
        <v>4777.67</v>
      </c>
      <c r="BL1235" s="2" t="s">
        <v>4197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2480</v>
      </c>
      <c r="BV1235" s="2" t="s">
        <v>97</v>
      </c>
      <c r="BW1235" s="2" t="s">
        <v>100</v>
      </c>
      <c r="BX1235" s="2" t="s">
        <v>100</v>
      </c>
      <c r="BY1235" s="2" t="s">
        <v>113</v>
      </c>
      <c r="BZ1235" s="2" t="s">
        <v>245</v>
      </c>
    </row>
    <row r="1236">
      <c r="A1236" s="2" t="s">
        <v>4198</v>
      </c>
      <c r="B1236" s="2" t="s">
        <v>3872</v>
      </c>
      <c r="C1236" s="2" t="s">
        <v>88</v>
      </c>
      <c r="D1236" s="2" t="s">
        <v>4190</v>
      </c>
      <c r="E1236" s="2" t="s">
        <v>4191</v>
      </c>
      <c r="F1236" s="2" t="s">
        <v>1128</v>
      </c>
      <c r="G1236" s="2" t="s">
        <v>1128</v>
      </c>
      <c r="H1236" s="2" t="s">
        <v>1128</v>
      </c>
      <c r="I1236" s="2" t="s">
        <v>4192</v>
      </c>
      <c r="J1236" s="2" t="s">
        <v>3877</v>
      </c>
      <c r="K1236" s="2" t="s">
        <v>4199</v>
      </c>
      <c r="L1236" s="3">
        <v>40.19</v>
      </c>
      <c r="M1236" s="3">
        <v>42.2</v>
      </c>
      <c r="N1236" s="3">
        <v>89.99</v>
      </c>
      <c r="O1236" s="2" t="s">
        <v>97</v>
      </c>
      <c r="P1236" s="2" t="s">
        <v>98</v>
      </c>
      <c r="Q1236" s="2" t="s">
        <v>99</v>
      </c>
      <c r="R1236" s="2" t="s">
        <v>100</v>
      </c>
      <c r="S1236" s="2" t="s">
        <v>4200</v>
      </c>
      <c r="T1236" s="2" t="s">
        <v>100</v>
      </c>
      <c r="U1236" s="2" t="s">
        <v>1847</v>
      </c>
      <c r="V1236" s="2" t="s">
        <v>146</v>
      </c>
      <c r="W1236" s="2" t="s">
        <v>561</v>
      </c>
      <c r="X1236" s="2" t="s">
        <v>100</v>
      </c>
      <c r="Y1236" s="2" t="s">
        <v>4201</v>
      </c>
      <c r="Z1236" s="4">
        <v>151</v>
      </c>
      <c r="AA1236" s="4">
        <f>=ROUNDDOWN(13.7272727272727,0)</f>
      </c>
      <c r="AB1236" s="5">
        <v>11</v>
      </c>
      <c r="AC1236" s="2" t="s">
        <v>107</v>
      </c>
      <c r="AD1236" s="4">
        <v>120</v>
      </c>
      <c r="AE1236" s="4">
        <v>120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/>
      <c r="BJ1236" s="4">
        <v>266</v>
      </c>
      <c r="BK1236" s="8">
        <v>12512.69</v>
      </c>
      <c r="BL1236" s="2" t="s">
        <v>4202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2480</v>
      </c>
      <c r="BV1236" s="2" t="s">
        <v>97</v>
      </c>
      <c r="BW1236" s="2" t="s">
        <v>100</v>
      </c>
      <c r="BX1236" s="2" t="s">
        <v>100</v>
      </c>
      <c r="BY1236" s="2" t="s">
        <v>113</v>
      </c>
      <c r="BZ1236" s="2" t="s">
        <v>245</v>
      </c>
    </row>
    <row r="1237">
      <c r="A1237" s="2" t="s">
        <v>4203</v>
      </c>
      <c r="B1237" s="2" t="s">
        <v>3872</v>
      </c>
      <c r="C1237" s="2" t="s">
        <v>88</v>
      </c>
      <c r="D1237" s="2" t="s">
        <v>3919</v>
      </c>
      <c r="E1237" s="2" t="s">
        <v>3920</v>
      </c>
      <c r="F1237" s="2" t="s">
        <v>4204</v>
      </c>
      <c r="G1237" s="2" t="s">
        <v>4204</v>
      </c>
      <c r="H1237" s="2" t="s">
        <v>4204</v>
      </c>
      <c r="I1237" s="2" t="s">
        <v>4205</v>
      </c>
      <c r="J1237" s="2" t="s">
        <v>4206</v>
      </c>
      <c r="K1237" s="2" t="s">
        <v>3199</v>
      </c>
      <c r="L1237" s="3">
        <v>40.47</v>
      </c>
      <c r="M1237" s="3">
        <v>42.49</v>
      </c>
      <c r="N1237" s="3">
        <v>84.99</v>
      </c>
      <c r="O1237" s="2" t="s">
        <v>97</v>
      </c>
      <c r="P1237" s="2" t="s">
        <v>119</v>
      </c>
      <c r="Q1237" s="2" t="s">
        <v>99</v>
      </c>
      <c r="R1237" s="2" t="s">
        <v>100</v>
      </c>
      <c r="S1237" s="2" t="s">
        <v>100</v>
      </c>
      <c r="T1237" s="2" t="s">
        <v>100</v>
      </c>
      <c r="U1237" s="2" t="s">
        <v>1847</v>
      </c>
      <c r="V1237" s="2" t="s">
        <v>3188</v>
      </c>
      <c r="W1237" s="2" t="s">
        <v>673</v>
      </c>
      <c r="X1237" s="2" t="s">
        <v>100</v>
      </c>
      <c r="Y1237" s="2" t="s">
        <v>4207</v>
      </c>
      <c r="Z1237" s="4"/>
      <c r="AA1237" s="4">
        <f>=ROUNDDOWN({0},0)</f>
      </c>
      <c r="AB1237" s="5">
        <v>8</v>
      </c>
      <c r="AC1237" s="2" t="s">
        <v>241</v>
      </c>
      <c r="AD1237" s="4">
        <v>100</v>
      </c>
      <c r="AE1237" s="4">
        <v>200</v>
      </c>
      <c r="AF1237" s="6">
        <v>65</v>
      </c>
      <c r="AG1237" s="6"/>
      <c r="AH1237" s="7">
        <v>0.7005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/>
      <c r="BJ1237" s="4">
        <v>143</v>
      </c>
      <c r="BK1237" s="8">
        <v>7407.49</v>
      </c>
      <c r="BL1237" s="2" t="s">
        <v>4208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2480</v>
      </c>
      <c r="BV1237" s="2" t="s">
        <v>97</v>
      </c>
      <c r="BW1237" s="2" t="s">
        <v>100</v>
      </c>
      <c r="BX1237" s="2" t="s">
        <v>100</v>
      </c>
      <c r="BY1237" s="2" t="s">
        <v>113</v>
      </c>
      <c r="BZ1237" s="2" t="s">
        <v>245</v>
      </c>
    </row>
    <row r="1238">
      <c r="A1238" s="2" t="s">
        <v>4209</v>
      </c>
      <c r="B1238" s="2" t="s">
        <v>3872</v>
      </c>
      <c r="C1238" s="2" t="s">
        <v>88</v>
      </c>
      <c r="D1238" s="2" t="s">
        <v>3919</v>
      </c>
      <c r="E1238" s="2" t="s">
        <v>3920</v>
      </c>
      <c r="F1238" s="2" t="s">
        <v>4204</v>
      </c>
      <c r="G1238" s="2" t="s">
        <v>4204</v>
      </c>
      <c r="H1238" s="2" t="s">
        <v>4204</v>
      </c>
      <c r="I1238" s="2" t="s">
        <v>4205</v>
      </c>
      <c r="J1238" s="2" t="s">
        <v>4210</v>
      </c>
      <c r="K1238" s="2" t="s">
        <v>3199</v>
      </c>
      <c r="L1238" s="3">
        <v>47.62</v>
      </c>
      <c r="M1238" s="3">
        <v>50</v>
      </c>
      <c r="N1238" s="3">
        <v>99.99</v>
      </c>
      <c r="O1238" s="2" t="s">
        <v>97</v>
      </c>
      <c r="P1238" s="2" t="s">
        <v>225</v>
      </c>
      <c r="Q1238" s="2" t="s">
        <v>99</v>
      </c>
      <c r="R1238" s="2" t="s">
        <v>100</v>
      </c>
      <c r="S1238" s="2" t="s">
        <v>100</v>
      </c>
      <c r="T1238" s="2" t="s">
        <v>100</v>
      </c>
      <c r="U1238" s="2" t="s">
        <v>1847</v>
      </c>
      <c r="V1238" s="2" t="s">
        <v>3188</v>
      </c>
      <c r="W1238" s="2" t="s">
        <v>673</v>
      </c>
      <c r="X1238" s="2" t="s">
        <v>100</v>
      </c>
      <c r="Y1238" s="2" t="s">
        <v>4211</v>
      </c>
      <c r="Z1238" s="4">
        <v>56</v>
      </c>
      <c r="AA1238" s="4">
        <f>=ROUNDDOWN(14,0)</f>
      </c>
      <c r="AB1238" s="5">
        <v>4</v>
      </c>
      <c r="AC1238" s="2" t="s">
        <v>4196</v>
      </c>
      <c r="AD1238" s="4">
        <v>100</v>
      </c>
      <c r="AE1238" s="4">
        <v>100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/>
      <c r="BJ1238" s="4">
        <v>33</v>
      </c>
      <c r="BK1238" s="8">
        <v>1794.92</v>
      </c>
      <c r="BL1238" s="2" t="s">
        <v>4212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2480</v>
      </c>
      <c r="BV1238" s="2" t="s">
        <v>97</v>
      </c>
      <c r="BW1238" s="2" t="s">
        <v>100</v>
      </c>
      <c r="BX1238" s="2" t="s">
        <v>100</v>
      </c>
      <c r="BY1238" s="2" t="s">
        <v>113</v>
      </c>
      <c r="BZ1238" s="2" t="s">
        <v>100</v>
      </c>
    </row>
    <row r="1239">
      <c r="A1239" s="2" t="s">
        <v>4213</v>
      </c>
      <c r="B1239" s="2" t="s">
        <v>3872</v>
      </c>
      <c r="C1239" s="2" t="s">
        <v>88</v>
      </c>
      <c r="D1239" s="2" t="s">
        <v>3919</v>
      </c>
      <c r="E1239" s="2" t="s">
        <v>3920</v>
      </c>
      <c r="F1239" s="2" t="s">
        <v>4214</v>
      </c>
      <c r="G1239" s="2" t="s">
        <v>4214</v>
      </c>
      <c r="H1239" s="2" t="s">
        <v>4214</v>
      </c>
      <c r="I1239" s="2" t="s">
        <v>4215</v>
      </c>
      <c r="J1239" s="2" t="s">
        <v>3877</v>
      </c>
      <c r="K1239" s="2" t="s">
        <v>3199</v>
      </c>
      <c r="L1239" s="3">
        <v>40.47</v>
      </c>
      <c r="M1239" s="3">
        <v>42.49</v>
      </c>
      <c r="N1239" s="3">
        <v>84.99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100</v>
      </c>
      <c r="T1239" s="2" t="s">
        <v>100</v>
      </c>
      <c r="U1239" s="2" t="s">
        <v>1847</v>
      </c>
      <c r="V1239" s="2" t="s">
        <v>3188</v>
      </c>
      <c r="W1239" s="2" t="s">
        <v>673</v>
      </c>
      <c r="X1239" s="2" t="s">
        <v>309</v>
      </c>
      <c r="Y1239" s="2" t="s">
        <v>3956</v>
      </c>
      <c r="Z1239" s="4">
        <v>97</v>
      </c>
      <c r="AA1239" s="4">
        <f>=ROUNDDOWN(4.61904761904762,0)</f>
      </c>
      <c r="AB1239" s="5">
        <v>21</v>
      </c>
      <c r="AC1239" s="2" t="s">
        <v>241</v>
      </c>
      <c r="AD1239" s="4">
        <v>100</v>
      </c>
      <c r="AE1239" s="4">
        <v>520</v>
      </c>
      <c r="AF1239" s="6">
        <v>65</v>
      </c>
      <c r="AG1239" s="6"/>
      <c r="AH1239" s="7">
        <v>0.9198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>
        <v>596</v>
      </c>
      <c r="BK1239" s="8">
        <v>27191.47</v>
      </c>
      <c r="BL1239" s="2" t="s">
        <v>4216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2480</v>
      </c>
      <c r="BV1239" s="2" t="s">
        <v>97</v>
      </c>
      <c r="BW1239" s="2" t="s">
        <v>100</v>
      </c>
      <c r="BX1239" s="2" t="s">
        <v>100</v>
      </c>
      <c r="BY1239" s="2" t="s">
        <v>113</v>
      </c>
      <c r="BZ1239" s="2" t="s">
        <v>245</v>
      </c>
    </row>
    <row r="1240">
      <c r="A1240" s="2" t="s">
        <v>4217</v>
      </c>
      <c r="B1240" s="2" t="s">
        <v>3872</v>
      </c>
      <c r="C1240" s="2" t="s">
        <v>88</v>
      </c>
      <c r="D1240" s="2" t="s">
        <v>3919</v>
      </c>
      <c r="E1240" s="2" t="s">
        <v>3920</v>
      </c>
      <c r="F1240" s="2" t="s">
        <v>4218</v>
      </c>
      <c r="G1240" s="2" t="s">
        <v>4218</v>
      </c>
      <c r="H1240" s="2" t="s">
        <v>4218</v>
      </c>
      <c r="I1240" s="2" t="s">
        <v>4219</v>
      </c>
      <c r="J1240" s="2" t="s">
        <v>3877</v>
      </c>
      <c r="K1240" s="2" t="s">
        <v>3199</v>
      </c>
      <c r="L1240" s="3">
        <v>57.14</v>
      </c>
      <c r="M1240" s="3">
        <v>60</v>
      </c>
      <c r="N1240" s="3">
        <v>119.99</v>
      </c>
      <c r="O1240" s="2" t="s">
        <v>97</v>
      </c>
      <c r="P1240" s="2" t="s">
        <v>225</v>
      </c>
      <c r="Q1240" s="2" t="s">
        <v>99</v>
      </c>
      <c r="R1240" s="2" t="s">
        <v>100</v>
      </c>
      <c r="S1240" s="2" t="s">
        <v>100</v>
      </c>
      <c r="T1240" s="2" t="s">
        <v>100</v>
      </c>
      <c r="U1240" s="2" t="s">
        <v>1847</v>
      </c>
      <c r="V1240" s="2" t="s">
        <v>3188</v>
      </c>
      <c r="W1240" s="2" t="s">
        <v>673</v>
      </c>
      <c r="X1240" s="2" t="s">
        <v>309</v>
      </c>
      <c r="Y1240" s="2" t="s">
        <v>1398</v>
      </c>
      <c r="Z1240" s="4">
        <v>79</v>
      </c>
      <c r="AA1240" s="4">
        <f>=ROUNDDOWN(19.75,0)</f>
      </c>
      <c r="AB1240" s="5">
        <v>4</v>
      </c>
      <c r="AC1240" s="2" t="s">
        <v>100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>
        <v>18</v>
      </c>
      <c r="BK1240" s="8">
        <v>1098.03</v>
      </c>
      <c r="BL1240" s="2" t="s">
        <v>4220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2480</v>
      </c>
      <c r="BV1240" s="2" t="s">
        <v>97</v>
      </c>
      <c r="BW1240" s="2" t="s">
        <v>100</v>
      </c>
      <c r="BX1240" s="2" t="s">
        <v>100</v>
      </c>
      <c r="BY1240" s="2" t="s">
        <v>113</v>
      </c>
      <c r="BZ1240" s="2" t="s">
        <v>245</v>
      </c>
    </row>
    <row r="1241">
      <c r="A1241" s="2" t="s">
        <v>4221</v>
      </c>
      <c r="B1241" s="2" t="s">
        <v>3872</v>
      </c>
      <c r="C1241" s="2" t="s">
        <v>88</v>
      </c>
      <c r="D1241" s="2" t="s">
        <v>3919</v>
      </c>
      <c r="E1241" s="2" t="s">
        <v>3920</v>
      </c>
      <c r="F1241" s="2" t="s">
        <v>4222</v>
      </c>
      <c r="G1241" s="2" t="s">
        <v>4222</v>
      </c>
      <c r="H1241" s="2" t="s">
        <v>4222</v>
      </c>
      <c r="I1241" s="2" t="s">
        <v>4223</v>
      </c>
      <c r="J1241" s="2" t="s">
        <v>3877</v>
      </c>
      <c r="K1241" s="2" t="s">
        <v>3199</v>
      </c>
      <c r="L1241" s="3">
        <v>76.9</v>
      </c>
      <c r="M1241" s="3">
        <v>80.74</v>
      </c>
      <c r="N1241" s="3">
        <v>161.49</v>
      </c>
      <c r="O1241" s="2" t="s">
        <v>97</v>
      </c>
      <c r="P1241" s="2" t="s">
        <v>119</v>
      </c>
      <c r="Q1241" s="2" t="s">
        <v>99</v>
      </c>
      <c r="R1241" s="2" t="s">
        <v>100</v>
      </c>
      <c r="S1241" s="2" t="s">
        <v>100</v>
      </c>
      <c r="T1241" s="2" t="s">
        <v>100</v>
      </c>
      <c r="U1241" s="2" t="s">
        <v>1847</v>
      </c>
      <c r="V1241" s="2" t="s">
        <v>3188</v>
      </c>
      <c r="W1241" s="2" t="s">
        <v>673</v>
      </c>
      <c r="X1241" s="2" t="s">
        <v>309</v>
      </c>
      <c r="Y1241" s="2" t="s">
        <v>3956</v>
      </c>
      <c r="Z1241" s="4">
        <v>76</v>
      </c>
      <c r="AA1241" s="4">
        <f>=ROUNDDOWN(12.6666666666667,0)</f>
      </c>
      <c r="AB1241" s="5">
        <v>6</v>
      </c>
      <c r="AC1241" s="2" t="s">
        <v>1259</v>
      </c>
      <c r="AD1241" s="4">
        <v>120</v>
      </c>
      <c r="AE1241" s="4">
        <v>120</v>
      </c>
      <c r="AF1241" s="6">
        <v>65</v>
      </c>
      <c r="AG1241" s="6"/>
      <c r="AH1241" s="7">
        <v>0.8717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>
        <v>136</v>
      </c>
      <c r="BK1241" s="8">
        <v>12557.4</v>
      </c>
      <c r="BL1241" s="2" t="s">
        <v>4224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2480</v>
      </c>
      <c r="BV1241" s="2" t="s">
        <v>97</v>
      </c>
      <c r="BW1241" s="2" t="s">
        <v>100</v>
      </c>
      <c r="BX1241" s="2" t="s">
        <v>100</v>
      </c>
      <c r="BY1241" s="2" t="s">
        <v>113</v>
      </c>
      <c r="BZ1241" s="2" t="s">
        <v>245</v>
      </c>
    </row>
    <row r="1242">
      <c r="A1242" s="2" t="s">
        <v>4225</v>
      </c>
      <c r="B1242" s="2" t="s">
        <v>3872</v>
      </c>
      <c r="C1242" s="2" t="s">
        <v>88</v>
      </c>
      <c r="D1242" s="2" t="s">
        <v>3919</v>
      </c>
      <c r="E1242" s="2" t="s">
        <v>3920</v>
      </c>
      <c r="F1242" s="2" t="s">
        <v>4226</v>
      </c>
      <c r="G1242" s="2" t="s">
        <v>4226</v>
      </c>
      <c r="H1242" s="2" t="s">
        <v>4226</v>
      </c>
      <c r="I1242" s="2" t="s">
        <v>4227</v>
      </c>
      <c r="J1242" s="2" t="s">
        <v>3877</v>
      </c>
      <c r="K1242" s="2" t="s">
        <v>3199</v>
      </c>
      <c r="L1242" s="3">
        <v>71.42</v>
      </c>
      <c r="M1242" s="3">
        <v>75</v>
      </c>
      <c r="N1242" s="3">
        <v>149.99</v>
      </c>
      <c r="O1242" s="2" t="s">
        <v>97</v>
      </c>
      <c r="P1242" s="2" t="s">
        <v>119</v>
      </c>
      <c r="Q1242" s="2" t="s">
        <v>99</v>
      </c>
      <c r="R1242" s="2" t="s">
        <v>100</v>
      </c>
      <c r="S1242" s="2" t="s">
        <v>100</v>
      </c>
      <c r="T1242" s="2" t="s">
        <v>100</v>
      </c>
      <c r="U1242" s="2" t="s">
        <v>1847</v>
      </c>
      <c r="V1242" s="2" t="s">
        <v>3188</v>
      </c>
      <c r="W1242" s="2" t="s">
        <v>673</v>
      </c>
      <c r="X1242" s="2" t="s">
        <v>673</v>
      </c>
      <c r="Y1242" s="2" t="s">
        <v>4228</v>
      </c>
      <c r="Z1242" s="4">
        <v>150</v>
      </c>
      <c r="AA1242" s="4">
        <f>=ROUNDDOWN(30,0)</f>
      </c>
      <c r="AB1242" s="5">
        <v>5</v>
      </c>
      <c r="AC1242" s="2" t="s">
        <v>100</v>
      </c>
      <c r="AD1242" s="4"/>
      <c r="AE1242" s="4"/>
      <c r="AF1242" s="6">
        <v>65</v>
      </c>
      <c r="AG1242" s="6">
        <v>48</v>
      </c>
      <c r="AH1242" s="7">
        <v>0.7219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>
        <v>100</v>
      </c>
      <c r="BK1242" s="8">
        <v>8059.25</v>
      </c>
      <c r="BL1242" s="2" t="s">
        <v>4229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2480</v>
      </c>
      <c r="BV1242" s="2" t="s">
        <v>97</v>
      </c>
      <c r="BW1242" s="2" t="s">
        <v>100</v>
      </c>
      <c r="BX1242" s="2" t="s">
        <v>100</v>
      </c>
      <c r="BY1242" s="2" t="s">
        <v>113</v>
      </c>
      <c r="BZ1242" s="2" t="s">
        <v>245</v>
      </c>
    </row>
    <row r="1243">
      <c r="A1243" s="2" t="s">
        <v>4230</v>
      </c>
      <c r="B1243" s="2" t="s">
        <v>3872</v>
      </c>
      <c r="C1243" s="2" t="s">
        <v>88</v>
      </c>
      <c r="D1243" s="2" t="s">
        <v>3919</v>
      </c>
      <c r="E1243" s="2" t="s">
        <v>4231</v>
      </c>
      <c r="F1243" s="2" t="s">
        <v>4232</v>
      </c>
      <c r="G1243" s="2" t="s">
        <v>4232</v>
      </c>
      <c r="H1243" s="2" t="s">
        <v>4232</v>
      </c>
      <c r="I1243" s="2" t="s">
        <v>4233</v>
      </c>
      <c r="J1243" s="2" t="s">
        <v>3877</v>
      </c>
      <c r="K1243" s="2" t="s">
        <v>858</v>
      </c>
      <c r="L1243" s="3">
        <v>57.85</v>
      </c>
      <c r="M1243" s="3">
        <v>60.74</v>
      </c>
      <c r="N1243" s="3">
        <v>114.74</v>
      </c>
      <c r="O1243" s="2" t="s">
        <v>97</v>
      </c>
      <c r="P1243" s="2" t="s">
        <v>119</v>
      </c>
      <c r="Q1243" s="2" t="s">
        <v>99</v>
      </c>
      <c r="R1243" s="2" t="s">
        <v>100</v>
      </c>
      <c r="S1243" s="2" t="s">
        <v>4234</v>
      </c>
      <c r="T1243" s="2" t="s">
        <v>100</v>
      </c>
      <c r="U1243" s="2" t="s">
        <v>1847</v>
      </c>
      <c r="V1243" s="2" t="s">
        <v>146</v>
      </c>
      <c r="W1243" s="2" t="s">
        <v>239</v>
      </c>
      <c r="X1243" s="2" t="s">
        <v>183</v>
      </c>
      <c r="Y1243" s="2" t="s">
        <v>4043</v>
      </c>
      <c r="Z1243" s="4">
        <v>126</v>
      </c>
      <c r="AA1243" s="4">
        <f>=ROUNDDOWN(23.3333333333333,0)</f>
      </c>
      <c r="AB1243" s="5">
        <v>5.4</v>
      </c>
      <c r="AC1243" s="2" t="s">
        <v>326</v>
      </c>
      <c r="AD1243" s="4">
        <v>100</v>
      </c>
      <c r="AE1243" s="4">
        <v>100</v>
      </c>
      <c r="AF1243" s="6">
        <v>65</v>
      </c>
      <c r="AG1243" s="6"/>
      <c r="AH1243" s="7">
        <v>0.9412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>
        <v>177</v>
      </c>
      <c r="BK1243" s="8">
        <v>11853.56</v>
      </c>
      <c r="BL1243" s="2" t="s">
        <v>4235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2480</v>
      </c>
      <c r="BV1243" s="2" t="s">
        <v>97</v>
      </c>
      <c r="BW1243" s="2" t="s">
        <v>100</v>
      </c>
      <c r="BX1243" s="2" t="s">
        <v>100</v>
      </c>
      <c r="BY1243" s="2" t="s">
        <v>113</v>
      </c>
      <c r="BZ1243" s="2" t="s">
        <v>245</v>
      </c>
    </row>
    <row r="1244">
      <c r="A1244" s="2" t="s">
        <v>4236</v>
      </c>
      <c r="B1244" s="2" t="s">
        <v>3872</v>
      </c>
      <c r="C1244" s="2" t="s">
        <v>88</v>
      </c>
      <c r="D1244" s="2" t="s">
        <v>3919</v>
      </c>
      <c r="E1244" s="2" t="s">
        <v>4231</v>
      </c>
      <c r="F1244" s="2" t="s">
        <v>4237</v>
      </c>
      <c r="G1244" s="2" t="s">
        <v>4237</v>
      </c>
      <c r="H1244" s="2" t="s">
        <v>4237</v>
      </c>
      <c r="I1244" s="2" t="s">
        <v>4238</v>
      </c>
      <c r="J1244" s="2" t="s">
        <v>4239</v>
      </c>
      <c r="K1244" s="2" t="s">
        <v>3199</v>
      </c>
      <c r="L1244" s="3">
        <v>50.43</v>
      </c>
      <c r="M1244" s="3">
        <v>52.95</v>
      </c>
      <c r="N1244" s="3">
        <v>93.49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100</v>
      </c>
      <c r="T1244" s="2" t="s">
        <v>100</v>
      </c>
      <c r="U1244" s="2" t="s">
        <v>1847</v>
      </c>
      <c r="V1244" s="2" t="s">
        <v>1150</v>
      </c>
      <c r="W1244" s="2" t="s">
        <v>100</v>
      </c>
      <c r="X1244" s="2" t="s">
        <v>100</v>
      </c>
      <c r="Y1244" s="2" t="s">
        <v>2054</v>
      </c>
      <c r="Z1244" s="4">
        <v>282</v>
      </c>
      <c r="AA1244" s="4">
        <f>=ROUNDDOWN(18.8,0)</f>
      </c>
      <c r="AB1244" s="5">
        <v>15</v>
      </c>
      <c r="AC1244" s="2" t="s">
        <v>4196</v>
      </c>
      <c r="AD1244" s="4">
        <v>100</v>
      </c>
      <c r="AE1244" s="4">
        <v>130</v>
      </c>
      <c r="AF1244" s="6">
        <v>65</v>
      </c>
      <c r="AG1244" s="6">
        <v>48</v>
      </c>
      <c r="AH1244" s="7">
        <v>0.9144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379</v>
      </c>
      <c r="BK1244" s="8">
        <v>21130.91</v>
      </c>
      <c r="BL1244" s="2" t="s">
        <v>4240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2480</v>
      </c>
      <c r="BV1244" s="2" t="s">
        <v>97</v>
      </c>
      <c r="BW1244" s="2" t="s">
        <v>100</v>
      </c>
      <c r="BX1244" s="2" t="s">
        <v>100</v>
      </c>
      <c r="BY1244" s="2" t="s">
        <v>113</v>
      </c>
      <c r="BZ1244" s="2" t="s">
        <v>245</v>
      </c>
    </row>
    <row r="1245">
      <c r="A1245" s="2" t="s">
        <v>4241</v>
      </c>
      <c r="B1245" s="2" t="s">
        <v>3872</v>
      </c>
      <c r="C1245" s="2" t="s">
        <v>88</v>
      </c>
      <c r="D1245" s="2" t="s">
        <v>3919</v>
      </c>
      <c r="E1245" s="2" t="s">
        <v>4231</v>
      </c>
      <c r="F1245" s="2" t="s">
        <v>4237</v>
      </c>
      <c r="G1245" s="2" t="s">
        <v>4237</v>
      </c>
      <c r="H1245" s="2" t="s">
        <v>4237</v>
      </c>
      <c r="I1245" s="2" t="s">
        <v>4242</v>
      </c>
      <c r="J1245" s="2" t="s">
        <v>4243</v>
      </c>
      <c r="K1245" s="2" t="s">
        <v>3199</v>
      </c>
      <c r="L1245" s="3">
        <v>18.95</v>
      </c>
      <c r="M1245" s="3">
        <v>19.9</v>
      </c>
      <c r="N1245" s="3">
        <v>42.49</v>
      </c>
      <c r="O1245" s="2" t="s">
        <v>97</v>
      </c>
      <c r="P1245" s="2" t="s">
        <v>119</v>
      </c>
      <c r="Q1245" s="2" t="s">
        <v>99</v>
      </c>
      <c r="R1245" s="2" t="s">
        <v>100</v>
      </c>
      <c r="S1245" s="2" t="s">
        <v>100</v>
      </c>
      <c r="T1245" s="2" t="s">
        <v>100</v>
      </c>
      <c r="U1245" s="2" t="s">
        <v>1847</v>
      </c>
      <c r="V1245" s="2" t="s">
        <v>1150</v>
      </c>
      <c r="W1245" s="2" t="s">
        <v>100</v>
      </c>
      <c r="X1245" s="2" t="s">
        <v>100</v>
      </c>
      <c r="Y1245" s="2" t="s">
        <v>2054</v>
      </c>
      <c r="Z1245" s="4">
        <v>263</v>
      </c>
      <c r="AA1245" s="4">
        <f>=ROUNDDOWN(14.6111111111111,0)</f>
      </c>
      <c r="AB1245" s="5">
        <v>18</v>
      </c>
      <c r="AC1245" s="2" t="s">
        <v>3887</v>
      </c>
      <c r="AD1245" s="4">
        <v>100</v>
      </c>
      <c r="AE1245" s="4">
        <v>280</v>
      </c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450</v>
      </c>
      <c r="BK1245" s="8">
        <v>9895.16</v>
      </c>
      <c r="BL1245" s="2" t="s">
        <v>4244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2480</v>
      </c>
      <c r="BV1245" s="2" t="s">
        <v>97</v>
      </c>
      <c r="BW1245" s="2" t="s">
        <v>100</v>
      </c>
      <c r="BX1245" s="2" t="s">
        <v>100</v>
      </c>
      <c r="BY1245" s="2" t="s">
        <v>113</v>
      </c>
      <c r="BZ1245" s="2" t="s">
        <v>245</v>
      </c>
    </row>
    <row r="1246">
      <c r="A1246" s="2" t="s">
        <v>4245</v>
      </c>
      <c r="B1246" s="2" t="s">
        <v>3872</v>
      </c>
      <c r="C1246" s="2" t="s">
        <v>88</v>
      </c>
      <c r="D1246" s="2" t="s">
        <v>4246</v>
      </c>
      <c r="E1246" s="2" t="s">
        <v>4247</v>
      </c>
      <c r="F1246" s="2" t="s">
        <v>4248</v>
      </c>
      <c r="G1246" s="2" t="s">
        <v>4249</v>
      </c>
      <c r="H1246" s="2" t="s">
        <v>4250</v>
      </c>
      <c r="I1246" s="2" t="s">
        <v>4251</v>
      </c>
      <c r="J1246" s="2" t="s">
        <v>3877</v>
      </c>
      <c r="K1246" s="2" t="s">
        <v>4035</v>
      </c>
      <c r="L1246" s="3">
        <v>34.24</v>
      </c>
      <c r="M1246" s="3">
        <v>35.95</v>
      </c>
      <c r="N1246" s="3">
        <v>69.69</v>
      </c>
      <c r="O1246" s="2" t="s">
        <v>97</v>
      </c>
      <c r="P1246" s="2" t="s">
        <v>119</v>
      </c>
      <c r="Q1246" s="2" t="s">
        <v>99</v>
      </c>
      <c r="R1246" s="2" t="s">
        <v>100</v>
      </c>
      <c r="S1246" s="2" t="s">
        <v>4252</v>
      </c>
      <c r="T1246" s="2" t="s">
        <v>100</v>
      </c>
      <c r="U1246" s="2" t="s">
        <v>480</v>
      </c>
      <c r="V1246" s="2" t="s">
        <v>146</v>
      </c>
      <c r="W1246" s="2" t="s">
        <v>104</v>
      </c>
      <c r="X1246" s="2" t="s">
        <v>100</v>
      </c>
      <c r="Y1246" s="2" t="s">
        <v>4253</v>
      </c>
      <c r="Z1246" s="4">
        <v>106</v>
      </c>
      <c r="AA1246" s="4">
        <f>=ROUNDDOWN(21.2,0)</f>
      </c>
      <c r="AB1246" s="5">
        <v>5</v>
      </c>
      <c r="AC1246" s="2" t="s">
        <v>100</v>
      </c>
      <c r="AD1246" s="4"/>
      <c r="AE1246" s="4"/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>
        <v>154</v>
      </c>
      <c r="BK1246" s="8">
        <v>5393.45</v>
      </c>
      <c r="BL1246" s="2" t="s">
        <v>4254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2480</v>
      </c>
      <c r="BV1246" s="2" t="s">
        <v>97</v>
      </c>
      <c r="BW1246" s="2" t="s">
        <v>100</v>
      </c>
      <c r="BX1246" s="2" t="s">
        <v>100</v>
      </c>
      <c r="BY1246" s="2" t="s">
        <v>113</v>
      </c>
      <c r="BZ1246" s="2" t="s">
        <v>245</v>
      </c>
    </row>
    <row r="1247">
      <c r="A1247" s="2" t="s">
        <v>4255</v>
      </c>
      <c r="B1247" s="2" t="s">
        <v>3872</v>
      </c>
      <c r="C1247" s="2" t="s">
        <v>88</v>
      </c>
      <c r="D1247" s="2" t="s">
        <v>3926</v>
      </c>
      <c r="E1247" s="2" t="s">
        <v>3927</v>
      </c>
      <c r="F1247" s="2" t="s">
        <v>4256</v>
      </c>
      <c r="G1247" s="2" t="s">
        <v>4256</v>
      </c>
      <c r="H1247" s="2" t="s">
        <v>4256</v>
      </c>
      <c r="I1247" s="2" t="s">
        <v>4257</v>
      </c>
      <c r="J1247" s="2" t="s">
        <v>3877</v>
      </c>
      <c r="K1247" s="2" t="s">
        <v>209</v>
      </c>
      <c r="L1247" s="3">
        <v>42.43</v>
      </c>
      <c r="M1247" s="3">
        <v>44.55</v>
      </c>
      <c r="N1247" s="3">
        <v>89.99</v>
      </c>
      <c r="O1247" s="2" t="s">
        <v>97</v>
      </c>
      <c r="P1247" s="2" t="s">
        <v>119</v>
      </c>
      <c r="Q1247" s="2" t="s">
        <v>99</v>
      </c>
      <c r="R1247" s="2" t="s">
        <v>100</v>
      </c>
      <c r="S1247" s="2" t="s">
        <v>4258</v>
      </c>
      <c r="T1247" s="2" t="s">
        <v>100</v>
      </c>
      <c r="U1247" s="2" t="s">
        <v>1847</v>
      </c>
      <c r="V1247" s="2" t="s">
        <v>1150</v>
      </c>
      <c r="W1247" s="2" t="s">
        <v>561</v>
      </c>
      <c r="X1247" s="2" t="s">
        <v>100</v>
      </c>
      <c r="Y1247" s="2" t="s">
        <v>4140</v>
      </c>
      <c r="Z1247" s="4">
        <v>20</v>
      </c>
      <c r="AA1247" s="4">
        <f>=ROUNDDOWN(3.33333333333333,0)</f>
      </c>
      <c r="AB1247" s="5">
        <v>6</v>
      </c>
      <c r="AC1247" s="2" t="s">
        <v>872</v>
      </c>
      <c r="AD1247" s="4">
        <v>100</v>
      </c>
      <c r="AE1247" s="4">
        <v>100</v>
      </c>
      <c r="AF1247" s="6">
        <v>63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>
        <v>178</v>
      </c>
      <c r="BK1247" s="8">
        <v>8156.22</v>
      </c>
      <c r="BL1247" s="2" t="s">
        <v>4259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2480</v>
      </c>
      <c r="BV1247" s="2" t="s">
        <v>97</v>
      </c>
      <c r="BW1247" s="2" t="s">
        <v>100</v>
      </c>
      <c r="BX1247" s="2" t="s">
        <v>100</v>
      </c>
      <c r="BY1247" s="2" t="s">
        <v>113</v>
      </c>
      <c r="BZ1247" s="2" t="s">
        <v>245</v>
      </c>
    </row>
    <row r="1248">
      <c r="A1248" s="2" t="s">
        <v>4260</v>
      </c>
      <c r="B1248" s="2" t="s">
        <v>3872</v>
      </c>
      <c r="C1248" s="2" t="s">
        <v>88</v>
      </c>
      <c r="D1248" s="2" t="s">
        <v>3926</v>
      </c>
      <c r="E1248" s="2" t="s">
        <v>3927</v>
      </c>
      <c r="F1248" s="2" t="s">
        <v>4261</v>
      </c>
      <c r="G1248" s="2" t="s">
        <v>4261</v>
      </c>
      <c r="H1248" s="2" t="s">
        <v>4261</v>
      </c>
      <c r="I1248" s="2" t="s">
        <v>4262</v>
      </c>
      <c r="J1248" s="2" t="s">
        <v>3877</v>
      </c>
      <c r="K1248" s="2" t="s">
        <v>118</v>
      </c>
      <c r="L1248" s="3">
        <v>45.33</v>
      </c>
      <c r="M1248" s="3">
        <v>47.6</v>
      </c>
      <c r="N1248" s="3">
        <v>101.99</v>
      </c>
      <c r="O1248" s="2" t="s">
        <v>97</v>
      </c>
      <c r="P1248" s="2" t="s">
        <v>119</v>
      </c>
      <c r="Q1248" s="2" t="s">
        <v>99</v>
      </c>
      <c r="R1248" s="2" t="s">
        <v>100</v>
      </c>
      <c r="S1248" s="2" t="s">
        <v>100</v>
      </c>
      <c r="T1248" s="2" t="s">
        <v>100</v>
      </c>
      <c r="U1248" s="2" t="s">
        <v>1847</v>
      </c>
      <c r="V1248" s="2" t="s">
        <v>1150</v>
      </c>
      <c r="W1248" s="2" t="s">
        <v>561</v>
      </c>
      <c r="X1248" s="2" t="s">
        <v>100</v>
      </c>
      <c r="Y1248" s="2" t="s">
        <v>4263</v>
      </c>
      <c r="Z1248" s="4">
        <v>91</v>
      </c>
      <c r="AA1248" s="4">
        <f>=ROUNDDOWN(13,0)</f>
      </c>
      <c r="AB1248" s="5">
        <v>7</v>
      </c>
      <c r="AC1248" s="2" t="s">
        <v>1259</v>
      </c>
      <c r="AD1248" s="4">
        <v>100</v>
      </c>
      <c r="AE1248" s="4">
        <v>100</v>
      </c>
      <c r="AF1248" s="6">
        <v>65</v>
      </c>
      <c r="AG1248" s="6"/>
      <c r="AH1248" s="7">
        <v>0.9251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>
        <v>172</v>
      </c>
      <c r="BK1248" s="8">
        <v>9350.12</v>
      </c>
      <c r="BL1248" s="2" t="s">
        <v>4264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2480</v>
      </c>
      <c r="BV1248" s="2" t="s">
        <v>97</v>
      </c>
      <c r="BW1248" s="2" t="s">
        <v>100</v>
      </c>
      <c r="BX1248" s="2" t="s">
        <v>100</v>
      </c>
      <c r="BY1248" s="2" t="s">
        <v>113</v>
      </c>
      <c r="BZ1248" s="2" t="s">
        <v>245</v>
      </c>
    </row>
    <row r="1249">
      <c r="A1249" s="2" t="s">
        <v>4265</v>
      </c>
      <c r="B1249" s="2" t="s">
        <v>3872</v>
      </c>
      <c r="C1249" s="2" t="s">
        <v>88</v>
      </c>
      <c r="D1249" s="2" t="s">
        <v>3926</v>
      </c>
      <c r="E1249" s="2" t="s">
        <v>3927</v>
      </c>
      <c r="F1249" s="2" t="s">
        <v>4266</v>
      </c>
      <c r="G1249" s="2" t="s">
        <v>4266</v>
      </c>
      <c r="H1249" s="2" t="s">
        <v>4266</v>
      </c>
      <c r="I1249" s="2" t="s">
        <v>4267</v>
      </c>
      <c r="J1249" s="2" t="s">
        <v>3877</v>
      </c>
      <c r="K1249" s="2" t="s">
        <v>3004</v>
      </c>
      <c r="L1249" s="3">
        <v>25.25</v>
      </c>
      <c r="M1249" s="3">
        <v>26.51</v>
      </c>
      <c r="N1249" s="3">
        <v>53.54</v>
      </c>
      <c r="O1249" s="2" t="s">
        <v>97</v>
      </c>
      <c r="P1249" s="2" t="s">
        <v>119</v>
      </c>
      <c r="Q1249" s="2" t="s">
        <v>99</v>
      </c>
      <c r="R1249" s="2" t="s">
        <v>100</v>
      </c>
      <c r="S1249" s="2" t="s">
        <v>4268</v>
      </c>
      <c r="T1249" s="2" t="s">
        <v>100</v>
      </c>
      <c r="U1249" s="2" t="s">
        <v>514</v>
      </c>
      <c r="V1249" s="2" t="s">
        <v>4269</v>
      </c>
      <c r="W1249" s="2" t="s">
        <v>561</v>
      </c>
      <c r="X1249" s="2" t="s">
        <v>100</v>
      </c>
      <c r="Y1249" s="2" t="s">
        <v>4270</v>
      </c>
      <c r="Z1249" s="4">
        <v>190</v>
      </c>
      <c r="AA1249" s="4">
        <f>=ROUNDDOWN(13.5714285714286,0)</f>
      </c>
      <c r="AB1249" s="5">
        <v>14</v>
      </c>
      <c r="AC1249" s="2" t="s">
        <v>872</v>
      </c>
      <c r="AD1249" s="4">
        <v>200</v>
      </c>
      <c r="AE1249" s="4">
        <v>200</v>
      </c>
      <c r="AF1249" s="6">
        <v>63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438</v>
      </c>
      <c r="BK1249" s="8">
        <v>11062.15</v>
      </c>
      <c r="BL1249" s="2" t="s">
        <v>4271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2480</v>
      </c>
      <c r="BV1249" s="2" t="s">
        <v>97</v>
      </c>
      <c r="BW1249" s="2" t="s">
        <v>100</v>
      </c>
      <c r="BX1249" s="2" t="s">
        <v>100</v>
      </c>
      <c r="BY1249" s="2" t="s">
        <v>113</v>
      </c>
      <c r="BZ1249" s="2" t="s">
        <v>245</v>
      </c>
    </row>
    <row r="1250">
      <c r="A1250" s="2" t="s">
        <v>4272</v>
      </c>
      <c r="B1250" s="2" t="s">
        <v>3872</v>
      </c>
      <c r="C1250" s="2" t="s">
        <v>88</v>
      </c>
      <c r="D1250" s="2" t="s">
        <v>3926</v>
      </c>
      <c r="E1250" s="2" t="s">
        <v>3927</v>
      </c>
      <c r="F1250" s="2" t="s">
        <v>4273</v>
      </c>
      <c r="G1250" s="2" t="s">
        <v>4273</v>
      </c>
      <c r="H1250" s="2" t="s">
        <v>4273</v>
      </c>
      <c r="I1250" s="2" t="s">
        <v>4274</v>
      </c>
      <c r="J1250" s="2" t="s">
        <v>3877</v>
      </c>
      <c r="K1250" s="2" t="s">
        <v>118</v>
      </c>
      <c r="L1250" s="3">
        <v>59.5</v>
      </c>
      <c r="M1250" s="3">
        <v>62.48</v>
      </c>
      <c r="N1250" s="3">
        <v>127.49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4275</v>
      </c>
      <c r="T1250" s="2" t="s">
        <v>100</v>
      </c>
      <c r="U1250" s="2" t="s">
        <v>1847</v>
      </c>
      <c r="V1250" s="2" t="s">
        <v>2935</v>
      </c>
      <c r="W1250" s="2" t="s">
        <v>2897</v>
      </c>
      <c r="X1250" s="2" t="s">
        <v>100</v>
      </c>
      <c r="Y1250" s="2" t="s">
        <v>240</v>
      </c>
      <c r="Z1250" s="4">
        <v>278</v>
      </c>
      <c r="AA1250" s="4">
        <f>=ROUNDDOWN(35.6410256410256,0)</f>
      </c>
      <c r="AB1250" s="5">
        <v>7.8</v>
      </c>
      <c r="AC1250" s="2" t="s">
        <v>100</v>
      </c>
      <c r="AD1250" s="4"/>
      <c r="AE1250" s="4"/>
      <c r="AF1250" s="6">
        <v>63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208</v>
      </c>
      <c r="BK1250" s="8">
        <v>13807.57</v>
      </c>
      <c r="BL1250" s="2" t="s">
        <v>4276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186</v>
      </c>
      <c r="BV1250" s="2" t="s">
        <v>97</v>
      </c>
      <c r="BW1250" s="2" t="s">
        <v>100</v>
      </c>
      <c r="BX1250" s="2" t="s">
        <v>100</v>
      </c>
      <c r="BY1250" s="2" t="s">
        <v>113</v>
      </c>
      <c r="BZ1250" s="2" t="s">
        <v>245</v>
      </c>
    </row>
    <row r="1251">
      <c r="A1251" s="2" t="s">
        <v>4277</v>
      </c>
      <c r="B1251" s="2" t="s">
        <v>3872</v>
      </c>
      <c r="C1251" s="2" t="s">
        <v>88</v>
      </c>
      <c r="D1251" s="2" t="s">
        <v>3926</v>
      </c>
      <c r="E1251" s="2" t="s">
        <v>3882</v>
      </c>
      <c r="F1251" s="2" t="s">
        <v>4278</v>
      </c>
      <c r="G1251" s="2" t="s">
        <v>4278</v>
      </c>
      <c r="H1251" s="2" t="s">
        <v>4278</v>
      </c>
      <c r="I1251" s="2" t="s">
        <v>4279</v>
      </c>
      <c r="J1251" s="2" t="s">
        <v>3877</v>
      </c>
      <c r="K1251" s="2" t="s">
        <v>3269</v>
      </c>
      <c r="L1251" s="3">
        <v>21.31</v>
      </c>
      <c r="M1251" s="3">
        <v>22.38</v>
      </c>
      <c r="N1251" s="3">
        <v>50.99</v>
      </c>
      <c r="O1251" s="2" t="s">
        <v>97</v>
      </c>
      <c r="P1251" s="2" t="s">
        <v>119</v>
      </c>
      <c r="Q1251" s="2" t="s">
        <v>99</v>
      </c>
      <c r="R1251" s="2" t="s">
        <v>100</v>
      </c>
      <c r="S1251" s="2" t="s">
        <v>4280</v>
      </c>
      <c r="T1251" s="2" t="s">
        <v>100</v>
      </c>
      <c r="U1251" s="2" t="s">
        <v>480</v>
      </c>
      <c r="V1251" s="2" t="s">
        <v>292</v>
      </c>
      <c r="W1251" s="2" t="s">
        <v>183</v>
      </c>
      <c r="X1251" s="2" t="s">
        <v>104</v>
      </c>
      <c r="Y1251" s="2" t="s">
        <v>4281</v>
      </c>
      <c r="Z1251" s="4">
        <v>190</v>
      </c>
      <c r="AA1251" s="4">
        <f>=ROUNDDOWN(15.8333333333333,0)</f>
      </c>
      <c r="AB1251" s="5">
        <v>12</v>
      </c>
      <c r="AC1251" s="2" t="s">
        <v>3579</v>
      </c>
      <c r="AD1251" s="4">
        <v>100</v>
      </c>
      <c r="AE1251" s="4">
        <v>100</v>
      </c>
      <c r="AF1251" s="6">
        <v>63</v>
      </c>
      <c r="AG1251" s="6"/>
      <c r="AH1251" s="7">
        <v>0.893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>
        <v>312</v>
      </c>
      <c r="BK1251" s="8">
        <v>8692.7</v>
      </c>
      <c r="BL1251" s="2" t="s">
        <v>4282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2480</v>
      </c>
      <c r="BV1251" s="2" t="s">
        <v>97</v>
      </c>
      <c r="BW1251" s="2" t="s">
        <v>100</v>
      </c>
      <c r="BX1251" s="2" t="s">
        <v>100</v>
      </c>
      <c r="BY1251" s="2" t="s">
        <v>113</v>
      </c>
      <c r="BZ1251" s="2" t="s">
        <v>245</v>
      </c>
    </row>
    <row r="1252">
      <c r="A1252" s="2" t="s">
        <v>4283</v>
      </c>
      <c r="B1252" s="2" t="s">
        <v>3872</v>
      </c>
      <c r="C1252" s="2" t="s">
        <v>3178</v>
      </c>
      <c r="D1252" s="2" t="s">
        <v>3873</v>
      </c>
      <c r="E1252" s="2" t="s">
        <v>3942</v>
      </c>
      <c r="F1252" s="2" t="s">
        <v>4284</v>
      </c>
      <c r="G1252" s="2" t="s">
        <v>4284</v>
      </c>
      <c r="H1252" s="2" t="s">
        <v>4284</v>
      </c>
      <c r="I1252" s="2" t="s">
        <v>4285</v>
      </c>
      <c r="J1252" s="2" t="s">
        <v>4286</v>
      </c>
      <c r="K1252" s="2" t="s">
        <v>3199</v>
      </c>
      <c r="L1252" s="3">
        <v>47.09</v>
      </c>
      <c r="M1252" s="3">
        <v>49.44</v>
      </c>
      <c r="N1252" s="3">
        <v>98.99</v>
      </c>
      <c r="O1252" s="2" t="s">
        <v>97</v>
      </c>
      <c r="P1252" s="2" t="s">
        <v>119</v>
      </c>
      <c r="Q1252" s="2" t="s">
        <v>99</v>
      </c>
      <c r="R1252" s="2" t="s">
        <v>100</v>
      </c>
      <c r="S1252" s="2" t="s">
        <v>4287</v>
      </c>
      <c r="T1252" s="2" t="s">
        <v>100</v>
      </c>
      <c r="U1252" s="2" t="s">
        <v>1847</v>
      </c>
      <c r="V1252" s="2" t="s">
        <v>1150</v>
      </c>
      <c r="W1252" s="2" t="s">
        <v>673</v>
      </c>
      <c r="X1252" s="2" t="s">
        <v>100</v>
      </c>
      <c r="Y1252" s="2" t="s">
        <v>4288</v>
      </c>
      <c r="Z1252" s="4">
        <v>198</v>
      </c>
      <c r="AA1252" s="4">
        <f>=ROUNDDOWN(24.4444444444444,0)</f>
      </c>
      <c r="AB1252" s="5">
        <v>8.1</v>
      </c>
      <c r="AC1252" s="2" t="s">
        <v>3579</v>
      </c>
      <c r="AD1252" s="4">
        <v>100</v>
      </c>
      <c r="AE1252" s="4">
        <v>100</v>
      </c>
      <c r="AF1252" s="6">
        <v>63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207</v>
      </c>
      <c r="BK1252" s="8">
        <v>10878.71</v>
      </c>
      <c r="BL1252" s="2" t="s">
        <v>4289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2528</v>
      </c>
      <c r="BV1252" s="2" t="s">
        <v>97</v>
      </c>
      <c r="BW1252" s="2" t="s">
        <v>100</v>
      </c>
      <c r="BX1252" s="2" t="s">
        <v>100</v>
      </c>
      <c r="BY1252" s="2" t="s">
        <v>113</v>
      </c>
      <c r="BZ1252" s="2" t="s">
        <v>245</v>
      </c>
    </row>
    <row r="1253">
      <c r="A1253" s="2" t="s">
        <v>4290</v>
      </c>
      <c r="B1253" s="2" t="s">
        <v>3872</v>
      </c>
      <c r="C1253" s="2" t="s">
        <v>3178</v>
      </c>
      <c r="D1253" s="2" t="s">
        <v>3873</v>
      </c>
      <c r="E1253" s="2" t="s">
        <v>3942</v>
      </c>
      <c r="F1253" s="2" t="s">
        <v>4284</v>
      </c>
      <c r="G1253" s="2" t="s">
        <v>4284</v>
      </c>
      <c r="H1253" s="2" t="s">
        <v>4284</v>
      </c>
      <c r="I1253" s="2" t="s">
        <v>4285</v>
      </c>
      <c r="J1253" s="2" t="s">
        <v>4286</v>
      </c>
      <c r="K1253" s="2" t="s">
        <v>189</v>
      </c>
      <c r="L1253" s="3">
        <v>47.09</v>
      </c>
      <c r="M1253" s="3">
        <v>49.44</v>
      </c>
      <c r="N1253" s="3">
        <v>98.99</v>
      </c>
      <c r="O1253" s="2" t="s">
        <v>97</v>
      </c>
      <c r="P1253" s="2" t="s">
        <v>372</v>
      </c>
      <c r="Q1253" s="2" t="s">
        <v>99</v>
      </c>
      <c r="R1253" s="2" t="s">
        <v>100</v>
      </c>
      <c r="S1253" s="2" t="s">
        <v>4291</v>
      </c>
      <c r="T1253" s="2" t="s">
        <v>100</v>
      </c>
      <c r="U1253" s="2" t="s">
        <v>1847</v>
      </c>
      <c r="V1253" s="2" t="s">
        <v>1150</v>
      </c>
      <c r="W1253" s="2" t="s">
        <v>673</v>
      </c>
      <c r="X1253" s="2" t="s">
        <v>561</v>
      </c>
      <c r="Y1253" s="2" t="s">
        <v>4140</v>
      </c>
      <c r="Z1253" s="4">
        <v>211</v>
      </c>
      <c r="AA1253" s="4">
        <f>=ROUNDDOWN(16.2307692307692,0)</f>
      </c>
      <c r="AB1253" s="5">
        <v>13</v>
      </c>
      <c r="AC1253" s="2" t="s">
        <v>3579</v>
      </c>
      <c r="AD1253" s="4">
        <v>110</v>
      </c>
      <c r="AE1253" s="4">
        <v>110</v>
      </c>
      <c r="AF1253" s="6">
        <v>63</v>
      </c>
      <c r="AG1253" s="6">
        <v>46</v>
      </c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374</v>
      </c>
      <c r="BK1253" s="8">
        <v>18455.49</v>
      </c>
      <c r="BL1253" s="2" t="s">
        <v>4292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2528</v>
      </c>
      <c r="BV1253" s="2" t="s">
        <v>97</v>
      </c>
      <c r="BW1253" s="2" t="s">
        <v>100</v>
      </c>
      <c r="BX1253" s="2" t="s">
        <v>100</v>
      </c>
      <c r="BY1253" s="2" t="s">
        <v>113</v>
      </c>
      <c r="BZ1253" s="2" t="s">
        <v>245</v>
      </c>
    </row>
    <row r="1254">
      <c r="A1254" s="2" t="s">
        <v>4293</v>
      </c>
      <c r="B1254" s="2" t="s">
        <v>3872</v>
      </c>
      <c r="C1254" s="2" t="s">
        <v>3178</v>
      </c>
      <c r="D1254" s="2" t="s">
        <v>3873</v>
      </c>
      <c r="E1254" s="2" t="s">
        <v>3874</v>
      </c>
      <c r="F1254" s="2" t="s">
        <v>4284</v>
      </c>
      <c r="G1254" s="2" t="s">
        <v>4284</v>
      </c>
      <c r="H1254" s="2" t="s">
        <v>4284</v>
      </c>
      <c r="I1254" s="2" t="s">
        <v>4294</v>
      </c>
      <c r="J1254" s="2" t="s">
        <v>4295</v>
      </c>
      <c r="K1254" s="2" t="s">
        <v>3199</v>
      </c>
      <c r="L1254" s="3">
        <v>93.25</v>
      </c>
      <c r="M1254" s="3">
        <v>97.91</v>
      </c>
      <c r="N1254" s="3">
        <v>206.99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100</v>
      </c>
      <c r="T1254" s="2" t="s">
        <v>100</v>
      </c>
      <c r="U1254" s="2" t="s">
        <v>480</v>
      </c>
      <c r="V1254" s="2" t="s">
        <v>1150</v>
      </c>
      <c r="W1254" s="2" t="s">
        <v>673</v>
      </c>
      <c r="X1254" s="2" t="s">
        <v>561</v>
      </c>
      <c r="Y1254" s="2" t="s">
        <v>4281</v>
      </c>
      <c r="Z1254" s="4">
        <v>158</v>
      </c>
      <c r="AA1254" s="4">
        <f>=ROUNDDOWN(22.8985507246377,0)</f>
      </c>
      <c r="AB1254" s="5">
        <v>6.9</v>
      </c>
      <c r="AC1254" s="2" t="s">
        <v>100</v>
      </c>
      <c r="AD1254" s="4"/>
      <c r="AE1254" s="4"/>
      <c r="AF1254" s="6">
        <v>63</v>
      </c>
      <c r="AG1254" s="6">
        <v>46</v>
      </c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>
        <v>170</v>
      </c>
      <c r="BK1254" s="8">
        <v>18651.27</v>
      </c>
      <c r="BL1254" s="2" t="s">
        <v>4296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2528</v>
      </c>
      <c r="BV1254" s="2" t="s">
        <v>97</v>
      </c>
      <c r="BW1254" s="2" t="s">
        <v>100</v>
      </c>
      <c r="BX1254" s="2" t="s">
        <v>100</v>
      </c>
      <c r="BY1254" s="2" t="s">
        <v>113</v>
      </c>
      <c r="BZ1254" s="2" t="s">
        <v>245</v>
      </c>
    </row>
    <row r="1255">
      <c r="A1255" s="2" t="s">
        <v>4297</v>
      </c>
      <c r="B1255" s="2" t="s">
        <v>3872</v>
      </c>
      <c r="C1255" s="2" t="s">
        <v>3178</v>
      </c>
      <c r="D1255" s="2" t="s">
        <v>3919</v>
      </c>
      <c r="E1255" s="2" t="s">
        <v>3920</v>
      </c>
      <c r="F1255" s="2" t="s">
        <v>4298</v>
      </c>
      <c r="G1255" s="2" t="s">
        <v>4298</v>
      </c>
      <c r="H1255" s="2" t="s">
        <v>4298</v>
      </c>
      <c r="I1255" s="2" t="s">
        <v>4299</v>
      </c>
      <c r="J1255" s="2" t="s">
        <v>4295</v>
      </c>
      <c r="K1255" s="2" t="s">
        <v>3199</v>
      </c>
      <c r="L1255" s="3">
        <v>104.91</v>
      </c>
      <c r="M1255" s="3">
        <v>110.16</v>
      </c>
      <c r="N1255" s="3">
        <v>229.49</v>
      </c>
      <c r="O1255" s="2" t="s">
        <v>97</v>
      </c>
      <c r="P1255" s="2" t="s">
        <v>119</v>
      </c>
      <c r="Q1255" s="2" t="s">
        <v>99</v>
      </c>
      <c r="R1255" s="2" t="s">
        <v>100</v>
      </c>
      <c r="S1255" s="2" t="s">
        <v>4300</v>
      </c>
      <c r="T1255" s="2" t="s">
        <v>100</v>
      </c>
      <c r="U1255" s="2" t="s">
        <v>480</v>
      </c>
      <c r="V1255" s="2" t="s">
        <v>146</v>
      </c>
      <c r="W1255" s="2" t="s">
        <v>561</v>
      </c>
      <c r="X1255" s="2" t="s">
        <v>673</v>
      </c>
      <c r="Y1255" s="2" t="s">
        <v>4195</v>
      </c>
      <c r="Z1255" s="4">
        <v>65</v>
      </c>
      <c r="AA1255" s="4">
        <f>=ROUNDDOWN(29.5454545454545,0)</f>
      </c>
      <c r="AB1255" s="5">
        <v>2.2</v>
      </c>
      <c r="AC1255" s="2" t="s">
        <v>100</v>
      </c>
      <c r="AD1255" s="4"/>
      <c r="AE1255" s="4"/>
      <c r="AF1255" s="6">
        <v>65</v>
      </c>
      <c r="AG1255" s="6"/>
      <c r="AH1255" s="7">
        <v>0.9572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>
        <v>61</v>
      </c>
      <c r="BK1255" s="8">
        <v>7251.42</v>
      </c>
      <c r="BL1255" s="2" t="s">
        <v>4301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2528</v>
      </c>
      <c r="BV1255" s="2" t="s">
        <v>97</v>
      </c>
      <c r="BW1255" s="2" t="s">
        <v>100</v>
      </c>
      <c r="BX1255" s="2" t="s">
        <v>100</v>
      </c>
      <c r="BY1255" s="2" t="s">
        <v>113</v>
      </c>
      <c r="BZ1255" s="2" t="s">
        <v>245</v>
      </c>
    </row>
    <row r="1256">
      <c r="A1256" s="2" t="s">
        <v>4302</v>
      </c>
      <c r="B1256" s="2" t="s">
        <v>3872</v>
      </c>
      <c r="C1256" s="2" t="s">
        <v>3178</v>
      </c>
      <c r="D1256" s="2" t="s">
        <v>3919</v>
      </c>
      <c r="E1256" s="2" t="s">
        <v>4231</v>
      </c>
      <c r="F1256" s="2" t="s">
        <v>4298</v>
      </c>
      <c r="G1256" s="2" t="s">
        <v>4298</v>
      </c>
      <c r="H1256" s="2" t="s">
        <v>4298</v>
      </c>
      <c r="I1256" s="2" t="s">
        <v>4303</v>
      </c>
      <c r="J1256" s="2" t="s">
        <v>4304</v>
      </c>
      <c r="K1256" s="2" t="s">
        <v>335</v>
      </c>
      <c r="L1256" s="3">
        <v>74.11</v>
      </c>
      <c r="M1256" s="3">
        <v>77.82</v>
      </c>
      <c r="N1256" s="3">
        <v>141.94</v>
      </c>
      <c r="O1256" s="2" t="s">
        <v>97</v>
      </c>
      <c r="P1256" s="2" t="s">
        <v>372</v>
      </c>
      <c r="Q1256" s="2" t="s">
        <v>99</v>
      </c>
      <c r="R1256" s="2" t="s">
        <v>100</v>
      </c>
      <c r="S1256" s="2" t="s">
        <v>4305</v>
      </c>
      <c r="T1256" s="2" t="s">
        <v>100</v>
      </c>
      <c r="U1256" s="2" t="s">
        <v>1847</v>
      </c>
      <c r="V1256" s="2" t="s">
        <v>403</v>
      </c>
      <c r="W1256" s="2" t="s">
        <v>561</v>
      </c>
      <c r="X1256" s="2" t="s">
        <v>673</v>
      </c>
      <c r="Y1256" s="2" t="s">
        <v>3990</v>
      </c>
      <c r="Z1256" s="4">
        <v>282</v>
      </c>
      <c r="AA1256" s="4">
        <f>=ROUNDDOWN(16.5882352941176,0)</f>
      </c>
      <c r="AB1256" s="5">
        <v>17</v>
      </c>
      <c r="AC1256" s="2" t="s">
        <v>3887</v>
      </c>
      <c r="AD1256" s="4">
        <v>100</v>
      </c>
      <c r="AE1256" s="4">
        <v>100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551</v>
      </c>
      <c r="BK1256" s="8">
        <v>42351.63</v>
      </c>
      <c r="BL1256" s="2" t="s">
        <v>4306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2528</v>
      </c>
      <c r="BV1256" s="2" t="s">
        <v>97</v>
      </c>
      <c r="BW1256" s="2" t="s">
        <v>100</v>
      </c>
      <c r="BX1256" s="2" t="s">
        <v>100</v>
      </c>
      <c r="BY1256" s="2" t="s">
        <v>113</v>
      </c>
      <c r="BZ1256" s="2" t="s">
        <v>245</v>
      </c>
    </row>
    <row r="1257">
      <c r="A1257" s="2" t="s">
        <v>4307</v>
      </c>
      <c r="B1257" s="2" t="s">
        <v>3872</v>
      </c>
      <c r="C1257" s="2" t="s">
        <v>3178</v>
      </c>
      <c r="D1257" s="2" t="s">
        <v>3919</v>
      </c>
      <c r="E1257" s="2" t="s">
        <v>4231</v>
      </c>
      <c r="F1257" s="2" t="s">
        <v>4298</v>
      </c>
      <c r="G1257" s="2" t="s">
        <v>4298</v>
      </c>
      <c r="H1257" s="2" t="s">
        <v>4298</v>
      </c>
      <c r="I1257" s="2" t="s">
        <v>4308</v>
      </c>
      <c r="J1257" s="2" t="s">
        <v>4309</v>
      </c>
      <c r="K1257" s="2" t="s">
        <v>335</v>
      </c>
      <c r="L1257" s="3">
        <v>111.24</v>
      </c>
      <c r="M1257" s="3">
        <v>116.8</v>
      </c>
      <c r="N1257" s="3">
        <v>209.94</v>
      </c>
      <c r="O1257" s="2" t="s">
        <v>97</v>
      </c>
      <c r="P1257" s="2" t="s">
        <v>372</v>
      </c>
      <c r="Q1257" s="2" t="s">
        <v>99</v>
      </c>
      <c r="R1257" s="2" t="s">
        <v>100</v>
      </c>
      <c r="S1257" s="2" t="s">
        <v>4310</v>
      </c>
      <c r="T1257" s="2" t="s">
        <v>100</v>
      </c>
      <c r="U1257" s="2" t="s">
        <v>1847</v>
      </c>
      <c r="V1257" s="2" t="s">
        <v>403</v>
      </c>
      <c r="W1257" s="2" t="s">
        <v>561</v>
      </c>
      <c r="X1257" s="2" t="s">
        <v>673</v>
      </c>
      <c r="Y1257" s="2" t="s">
        <v>3990</v>
      </c>
      <c r="Z1257" s="4">
        <v>353</v>
      </c>
      <c r="AA1257" s="4">
        <f>=ROUNDDOWN(14.7083333333333,0)</f>
      </c>
      <c r="AB1257" s="5">
        <v>24</v>
      </c>
      <c r="AC1257" s="2" t="s">
        <v>3887</v>
      </c>
      <c r="AD1257" s="4">
        <v>100</v>
      </c>
      <c r="AE1257" s="4">
        <v>100</v>
      </c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>
        <v>752</v>
      </c>
      <c r="BK1257" s="8">
        <v>86719.02</v>
      </c>
      <c r="BL1257" s="2" t="s">
        <v>4311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2528</v>
      </c>
      <c r="BV1257" s="2" t="s">
        <v>97</v>
      </c>
      <c r="BW1257" s="2" t="s">
        <v>100</v>
      </c>
      <c r="BX1257" s="2" t="s">
        <v>100</v>
      </c>
      <c r="BY1257" s="2" t="s">
        <v>113</v>
      </c>
      <c r="BZ1257" s="2" t="s">
        <v>245</v>
      </c>
    </row>
    <row r="1258">
      <c r="A1258" s="2" t="s">
        <v>4312</v>
      </c>
      <c r="B1258" s="2" t="s">
        <v>3872</v>
      </c>
      <c r="C1258" s="2" t="s">
        <v>3178</v>
      </c>
      <c r="D1258" s="2" t="s">
        <v>3919</v>
      </c>
      <c r="E1258" s="2" t="s">
        <v>4231</v>
      </c>
      <c r="F1258" s="2" t="s">
        <v>4298</v>
      </c>
      <c r="G1258" s="2" t="s">
        <v>4298</v>
      </c>
      <c r="H1258" s="2" t="s">
        <v>4298</v>
      </c>
      <c r="I1258" s="2" t="s">
        <v>4303</v>
      </c>
      <c r="J1258" s="2" t="s">
        <v>4304</v>
      </c>
      <c r="K1258" s="2" t="s">
        <v>3199</v>
      </c>
      <c r="L1258" s="3">
        <v>74.11</v>
      </c>
      <c r="M1258" s="3">
        <v>77.82</v>
      </c>
      <c r="N1258" s="3">
        <v>141.94</v>
      </c>
      <c r="O1258" s="2" t="s">
        <v>97</v>
      </c>
      <c r="P1258" s="2" t="s">
        <v>372</v>
      </c>
      <c r="Q1258" s="2" t="s">
        <v>99</v>
      </c>
      <c r="R1258" s="2" t="s">
        <v>100</v>
      </c>
      <c r="S1258" s="2" t="s">
        <v>100</v>
      </c>
      <c r="T1258" s="2" t="s">
        <v>100</v>
      </c>
      <c r="U1258" s="2" t="s">
        <v>1847</v>
      </c>
      <c r="V1258" s="2" t="s">
        <v>403</v>
      </c>
      <c r="W1258" s="2" t="s">
        <v>561</v>
      </c>
      <c r="X1258" s="2" t="s">
        <v>673</v>
      </c>
      <c r="Y1258" s="2" t="s">
        <v>4313</v>
      </c>
      <c r="Z1258" s="4">
        <v>409</v>
      </c>
      <c r="AA1258" s="4">
        <f>=ROUNDDOWN(10.7631578947368,0)</f>
      </c>
      <c r="AB1258" s="5">
        <v>38</v>
      </c>
      <c r="AC1258" s="2" t="s">
        <v>3887</v>
      </c>
      <c r="AD1258" s="4">
        <v>500</v>
      </c>
      <c r="AE1258" s="4">
        <v>500</v>
      </c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1005</v>
      </c>
      <c r="BK1258" s="8">
        <v>75084.64</v>
      </c>
      <c r="BL1258" s="2" t="s">
        <v>4314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2528</v>
      </c>
      <c r="BV1258" s="2" t="s">
        <v>97</v>
      </c>
      <c r="BW1258" s="2" t="s">
        <v>100</v>
      </c>
      <c r="BX1258" s="2" t="s">
        <v>100</v>
      </c>
      <c r="BY1258" s="2" t="s">
        <v>113</v>
      </c>
      <c r="BZ1258" s="2" t="s">
        <v>245</v>
      </c>
    </row>
    <row r="1259">
      <c r="A1259" s="2" t="s">
        <v>4315</v>
      </c>
      <c r="B1259" s="2" t="s">
        <v>3872</v>
      </c>
      <c r="C1259" s="2" t="s">
        <v>3178</v>
      </c>
      <c r="D1259" s="2" t="s">
        <v>3919</v>
      </c>
      <c r="E1259" s="2" t="s">
        <v>4231</v>
      </c>
      <c r="F1259" s="2" t="s">
        <v>4298</v>
      </c>
      <c r="G1259" s="2" t="s">
        <v>4298</v>
      </c>
      <c r="H1259" s="2" t="s">
        <v>4298</v>
      </c>
      <c r="I1259" s="2" t="s">
        <v>4308</v>
      </c>
      <c r="J1259" s="2" t="s">
        <v>4309</v>
      </c>
      <c r="K1259" s="2" t="s">
        <v>3199</v>
      </c>
      <c r="L1259" s="3">
        <v>111.24</v>
      </c>
      <c r="M1259" s="3">
        <v>116.8</v>
      </c>
      <c r="N1259" s="3">
        <v>209.94</v>
      </c>
      <c r="O1259" s="2" t="s">
        <v>97</v>
      </c>
      <c r="P1259" s="2" t="s">
        <v>372</v>
      </c>
      <c r="Q1259" s="2" t="s">
        <v>99</v>
      </c>
      <c r="R1259" s="2" t="s">
        <v>100</v>
      </c>
      <c r="S1259" s="2" t="s">
        <v>4300</v>
      </c>
      <c r="T1259" s="2" t="s">
        <v>100</v>
      </c>
      <c r="U1259" s="2" t="s">
        <v>1847</v>
      </c>
      <c r="V1259" s="2" t="s">
        <v>403</v>
      </c>
      <c r="W1259" s="2" t="s">
        <v>561</v>
      </c>
      <c r="X1259" s="2" t="s">
        <v>673</v>
      </c>
      <c r="Y1259" s="2" t="s">
        <v>4316</v>
      </c>
      <c r="Z1259" s="4">
        <v>892</v>
      </c>
      <c r="AA1259" s="4">
        <f>=ROUNDDOWN(17.4901960784314,0)</f>
      </c>
      <c r="AB1259" s="5">
        <v>51</v>
      </c>
      <c r="AC1259" s="2" t="s">
        <v>241</v>
      </c>
      <c r="AD1259" s="4">
        <v>50</v>
      </c>
      <c r="AE1259" s="4">
        <v>400</v>
      </c>
      <c r="AF1259" s="6">
        <v>65</v>
      </c>
      <c r="AG1259" s="6">
        <v>48</v>
      </c>
      <c r="AH1259" s="7">
        <v>0.9786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>
        <v>1659</v>
      </c>
      <c r="BK1259" s="8">
        <v>190040.04</v>
      </c>
      <c r="BL1259" s="2" t="s">
        <v>4317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2528</v>
      </c>
      <c r="BV1259" s="2" t="s">
        <v>97</v>
      </c>
      <c r="BW1259" s="2" t="s">
        <v>100</v>
      </c>
      <c r="BX1259" s="2" t="s">
        <v>100</v>
      </c>
      <c r="BY1259" s="2" t="s">
        <v>113</v>
      </c>
      <c r="BZ1259" s="2" t="s">
        <v>245</v>
      </c>
    </row>
    <row r="1260">
      <c r="A1260" s="2" t="s">
        <v>4318</v>
      </c>
      <c r="B1260" s="2" t="s">
        <v>3872</v>
      </c>
      <c r="C1260" s="2" t="s">
        <v>3178</v>
      </c>
      <c r="D1260" s="2" t="s">
        <v>3919</v>
      </c>
      <c r="E1260" s="2" t="s">
        <v>4231</v>
      </c>
      <c r="F1260" s="2" t="s">
        <v>4298</v>
      </c>
      <c r="G1260" s="2" t="s">
        <v>4298</v>
      </c>
      <c r="H1260" s="2" t="s">
        <v>4298</v>
      </c>
      <c r="I1260" s="2" t="s">
        <v>4303</v>
      </c>
      <c r="J1260" s="2" t="s">
        <v>4304</v>
      </c>
      <c r="K1260" s="2" t="s">
        <v>1340</v>
      </c>
      <c r="L1260" s="3">
        <v>74.11</v>
      </c>
      <c r="M1260" s="3">
        <v>77.82</v>
      </c>
      <c r="N1260" s="3">
        <v>141.94</v>
      </c>
      <c r="O1260" s="2" t="s">
        <v>97</v>
      </c>
      <c r="P1260" s="2" t="s">
        <v>119</v>
      </c>
      <c r="Q1260" s="2" t="s">
        <v>99</v>
      </c>
      <c r="R1260" s="2" t="s">
        <v>100</v>
      </c>
      <c r="S1260" s="2" t="s">
        <v>100</v>
      </c>
      <c r="T1260" s="2" t="s">
        <v>100</v>
      </c>
      <c r="U1260" s="2" t="s">
        <v>1847</v>
      </c>
      <c r="V1260" s="2" t="s">
        <v>403</v>
      </c>
      <c r="W1260" s="2" t="s">
        <v>561</v>
      </c>
      <c r="X1260" s="2" t="s">
        <v>673</v>
      </c>
      <c r="Y1260" s="2" t="s">
        <v>4313</v>
      </c>
      <c r="Z1260" s="4">
        <v>335</v>
      </c>
      <c r="AA1260" s="4">
        <f>=ROUNDDOWN(41.875,0)</f>
      </c>
      <c r="AB1260" s="5">
        <v>8</v>
      </c>
      <c r="AC1260" s="2" t="s">
        <v>100</v>
      </c>
      <c r="AD1260" s="4"/>
      <c r="AE1260" s="4"/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236</v>
      </c>
      <c r="BK1260" s="8">
        <v>18472.01</v>
      </c>
      <c r="BL1260" s="2" t="s">
        <v>4319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2528</v>
      </c>
      <c r="BV1260" s="2" t="s">
        <v>97</v>
      </c>
      <c r="BW1260" s="2" t="s">
        <v>100</v>
      </c>
      <c r="BX1260" s="2" t="s">
        <v>100</v>
      </c>
      <c r="BY1260" s="2" t="s">
        <v>113</v>
      </c>
      <c r="BZ1260" s="2" t="s">
        <v>245</v>
      </c>
    </row>
    <row r="1261">
      <c r="A1261" s="2" t="s">
        <v>4320</v>
      </c>
      <c r="B1261" s="2" t="s">
        <v>3872</v>
      </c>
      <c r="C1261" s="2" t="s">
        <v>3178</v>
      </c>
      <c r="D1261" s="2" t="s">
        <v>3919</v>
      </c>
      <c r="E1261" s="2" t="s">
        <v>4231</v>
      </c>
      <c r="F1261" s="2" t="s">
        <v>4298</v>
      </c>
      <c r="G1261" s="2" t="s">
        <v>4298</v>
      </c>
      <c r="H1261" s="2" t="s">
        <v>4298</v>
      </c>
      <c r="I1261" s="2" t="s">
        <v>4308</v>
      </c>
      <c r="J1261" s="2" t="s">
        <v>4309</v>
      </c>
      <c r="K1261" s="2" t="s">
        <v>1340</v>
      </c>
      <c r="L1261" s="3">
        <v>111.24</v>
      </c>
      <c r="M1261" s="3">
        <v>116.8</v>
      </c>
      <c r="N1261" s="3">
        <v>209.94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100</v>
      </c>
      <c r="T1261" s="2" t="s">
        <v>100</v>
      </c>
      <c r="U1261" s="2" t="s">
        <v>1847</v>
      </c>
      <c r="V1261" s="2" t="s">
        <v>403</v>
      </c>
      <c r="W1261" s="2" t="s">
        <v>561</v>
      </c>
      <c r="X1261" s="2" t="s">
        <v>673</v>
      </c>
      <c r="Y1261" s="2" t="s">
        <v>4321</v>
      </c>
      <c r="Z1261" s="4">
        <v>261</v>
      </c>
      <c r="AA1261" s="4">
        <f>=ROUNDDOWN(29,0)</f>
      </c>
      <c r="AB1261" s="5">
        <v>9</v>
      </c>
      <c r="AC1261" s="2" t="s">
        <v>3887</v>
      </c>
      <c r="AD1261" s="4">
        <v>60</v>
      </c>
      <c r="AE1261" s="4">
        <v>60</v>
      </c>
      <c r="AF1261" s="6">
        <v>65</v>
      </c>
      <c r="AG1261" s="6">
        <v>48</v>
      </c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224</v>
      </c>
      <c r="BK1261" s="8">
        <v>27308.47</v>
      </c>
      <c r="BL1261" s="2" t="s">
        <v>4322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2528</v>
      </c>
      <c r="BV1261" s="2" t="s">
        <v>97</v>
      </c>
      <c r="BW1261" s="2" t="s">
        <v>100</v>
      </c>
      <c r="BX1261" s="2" t="s">
        <v>100</v>
      </c>
      <c r="BY1261" s="2" t="s">
        <v>113</v>
      </c>
      <c r="BZ1261" s="2" t="s">
        <v>245</v>
      </c>
    </row>
    <row r="1262">
      <c r="A1262" s="2" t="s">
        <v>4323</v>
      </c>
      <c r="B1262" s="2" t="s">
        <v>3872</v>
      </c>
      <c r="C1262" s="2" t="s">
        <v>3178</v>
      </c>
      <c r="D1262" s="2" t="s">
        <v>3919</v>
      </c>
      <c r="E1262" s="2" t="s">
        <v>4231</v>
      </c>
      <c r="F1262" s="2" t="s">
        <v>4298</v>
      </c>
      <c r="G1262" s="2" t="s">
        <v>4298</v>
      </c>
      <c r="H1262" s="2" t="s">
        <v>4298</v>
      </c>
      <c r="I1262" s="2" t="s">
        <v>4303</v>
      </c>
      <c r="J1262" s="2" t="s">
        <v>4304</v>
      </c>
      <c r="K1262" s="2" t="s">
        <v>189</v>
      </c>
      <c r="L1262" s="3">
        <v>74.11</v>
      </c>
      <c r="M1262" s="3">
        <v>77.82</v>
      </c>
      <c r="N1262" s="3">
        <v>141.94</v>
      </c>
      <c r="O1262" s="2" t="s">
        <v>97</v>
      </c>
      <c r="P1262" s="2" t="s">
        <v>119</v>
      </c>
      <c r="Q1262" s="2" t="s">
        <v>99</v>
      </c>
      <c r="R1262" s="2" t="s">
        <v>100</v>
      </c>
      <c r="S1262" s="2" t="s">
        <v>100</v>
      </c>
      <c r="T1262" s="2" t="s">
        <v>100</v>
      </c>
      <c r="U1262" s="2" t="s">
        <v>1847</v>
      </c>
      <c r="V1262" s="2" t="s">
        <v>403</v>
      </c>
      <c r="W1262" s="2" t="s">
        <v>561</v>
      </c>
      <c r="X1262" s="2" t="s">
        <v>673</v>
      </c>
      <c r="Y1262" s="2" t="s">
        <v>4324</v>
      </c>
      <c r="Z1262" s="4">
        <v>252</v>
      </c>
      <c r="AA1262" s="4">
        <f>=ROUNDDOWN(31.5,0)</f>
      </c>
      <c r="AB1262" s="5">
        <v>8</v>
      </c>
      <c r="AC1262" s="2" t="s">
        <v>3887</v>
      </c>
      <c r="AD1262" s="4">
        <v>80</v>
      </c>
      <c r="AE1262" s="4">
        <v>80</v>
      </c>
      <c r="AF1262" s="6">
        <v>65</v>
      </c>
      <c r="AG1262" s="6">
        <v>48</v>
      </c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184</v>
      </c>
      <c r="BK1262" s="8">
        <v>14430.68</v>
      </c>
      <c r="BL1262" s="2" t="s">
        <v>4325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2528</v>
      </c>
      <c r="BV1262" s="2" t="s">
        <v>97</v>
      </c>
      <c r="BW1262" s="2" t="s">
        <v>100</v>
      </c>
      <c r="BX1262" s="2" t="s">
        <v>100</v>
      </c>
      <c r="BY1262" s="2" t="s">
        <v>113</v>
      </c>
      <c r="BZ1262" s="2" t="s">
        <v>245</v>
      </c>
    </row>
    <row r="1263">
      <c r="A1263" s="2" t="s">
        <v>4326</v>
      </c>
      <c r="B1263" s="2" t="s">
        <v>3872</v>
      </c>
      <c r="C1263" s="2" t="s">
        <v>3178</v>
      </c>
      <c r="D1263" s="2" t="s">
        <v>3919</v>
      </c>
      <c r="E1263" s="2" t="s">
        <v>4231</v>
      </c>
      <c r="F1263" s="2" t="s">
        <v>4298</v>
      </c>
      <c r="G1263" s="2" t="s">
        <v>4298</v>
      </c>
      <c r="H1263" s="2" t="s">
        <v>4298</v>
      </c>
      <c r="I1263" s="2" t="s">
        <v>4308</v>
      </c>
      <c r="J1263" s="2" t="s">
        <v>4309</v>
      </c>
      <c r="K1263" s="2" t="s">
        <v>189</v>
      </c>
      <c r="L1263" s="3">
        <v>111.24</v>
      </c>
      <c r="M1263" s="3">
        <v>116.8</v>
      </c>
      <c r="N1263" s="3">
        <v>209.94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100</v>
      </c>
      <c r="T1263" s="2" t="s">
        <v>100</v>
      </c>
      <c r="U1263" s="2" t="s">
        <v>1847</v>
      </c>
      <c r="V1263" s="2" t="s">
        <v>403</v>
      </c>
      <c r="W1263" s="2" t="s">
        <v>561</v>
      </c>
      <c r="X1263" s="2" t="s">
        <v>673</v>
      </c>
      <c r="Y1263" s="2" t="s">
        <v>4324</v>
      </c>
      <c r="Z1263" s="4">
        <v>237</v>
      </c>
      <c r="AA1263" s="4">
        <f>=ROUNDDOWN(40.1694915254237,0)</f>
      </c>
      <c r="AB1263" s="5">
        <v>5.9</v>
      </c>
      <c r="AC1263" s="2" t="s">
        <v>100</v>
      </c>
      <c r="AD1263" s="4"/>
      <c r="AE1263" s="4"/>
      <c r="AF1263" s="6">
        <v>65</v>
      </c>
      <c r="AG1263" s="6">
        <v>48</v>
      </c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212</v>
      </c>
      <c r="BK1263" s="8">
        <v>25745.32</v>
      </c>
      <c r="BL1263" s="2" t="s">
        <v>4327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2528</v>
      </c>
      <c r="BV1263" s="2" t="s">
        <v>97</v>
      </c>
      <c r="BW1263" s="2" t="s">
        <v>100</v>
      </c>
      <c r="BX1263" s="2" t="s">
        <v>100</v>
      </c>
      <c r="BY1263" s="2" t="s">
        <v>113</v>
      </c>
      <c r="BZ1263" s="2" t="s">
        <v>245</v>
      </c>
    </row>
    <row r="1264">
      <c r="A1264" s="2" t="s">
        <v>4328</v>
      </c>
      <c r="B1264" s="2" t="s">
        <v>3872</v>
      </c>
      <c r="C1264" s="2" t="s">
        <v>3178</v>
      </c>
      <c r="D1264" s="2" t="s">
        <v>4329</v>
      </c>
      <c r="E1264" s="2" t="s">
        <v>4330</v>
      </c>
      <c r="F1264" s="2" t="s">
        <v>4331</v>
      </c>
      <c r="G1264" s="2" t="s">
        <v>4331</v>
      </c>
      <c r="H1264" s="2" t="s">
        <v>4331</v>
      </c>
      <c r="I1264" s="2" t="s">
        <v>4332</v>
      </c>
      <c r="J1264" s="2" t="s">
        <v>4295</v>
      </c>
      <c r="K1264" s="2" t="s">
        <v>4008</v>
      </c>
      <c r="L1264" s="3">
        <v>27.51</v>
      </c>
      <c r="M1264" s="3">
        <v>28.89</v>
      </c>
      <c r="N1264" s="3">
        <v>52.69</v>
      </c>
      <c r="O1264" s="2" t="s">
        <v>97</v>
      </c>
      <c r="P1264" s="2" t="s">
        <v>372</v>
      </c>
      <c r="Q1264" s="2" t="s">
        <v>99</v>
      </c>
      <c r="R1264" s="2" t="s">
        <v>100</v>
      </c>
      <c r="S1264" s="2" t="s">
        <v>4333</v>
      </c>
      <c r="T1264" s="2" t="s">
        <v>100</v>
      </c>
      <c r="U1264" s="2" t="s">
        <v>480</v>
      </c>
      <c r="V1264" s="2" t="s">
        <v>146</v>
      </c>
      <c r="W1264" s="2" t="s">
        <v>104</v>
      </c>
      <c r="X1264" s="2" t="s">
        <v>100</v>
      </c>
      <c r="Y1264" s="2" t="s">
        <v>240</v>
      </c>
      <c r="Z1264" s="4">
        <v>408</v>
      </c>
      <c r="AA1264" s="4">
        <f>=ROUNDDOWN(7.15789473684211,0)</f>
      </c>
      <c r="AB1264" s="5">
        <v>57</v>
      </c>
      <c r="AC1264" s="2" t="s">
        <v>4334</v>
      </c>
      <c r="AD1264" s="4">
        <v>550</v>
      </c>
      <c r="AE1264" s="4">
        <v>1030</v>
      </c>
      <c r="AF1264" s="6">
        <v>65</v>
      </c>
      <c r="AG1264" s="6"/>
      <c r="AH1264" s="7">
        <v>0.9091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1303</v>
      </c>
      <c r="BK1264" s="8">
        <v>35090.93</v>
      </c>
      <c r="BL1264" s="2" t="s">
        <v>4335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2528</v>
      </c>
      <c r="BV1264" s="2" t="s">
        <v>97</v>
      </c>
      <c r="BW1264" s="2" t="s">
        <v>100</v>
      </c>
      <c r="BX1264" s="2" t="s">
        <v>100</v>
      </c>
      <c r="BY1264" s="2" t="s">
        <v>113</v>
      </c>
      <c r="BZ1264" s="2" t="s">
        <v>245</v>
      </c>
    </row>
    <row r="1265">
      <c r="A1265" s="2" t="s">
        <v>4336</v>
      </c>
      <c r="B1265" s="2" t="s">
        <v>3872</v>
      </c>
      <c r="C1265" s="2" t="s">
        <v>3178</v>
      </c>
      <c r="D1265" s="2" t="s">
        <v>4329</v>
      </c>
      <c r="E1265" s="2" t="s">
        <v>4330</v>
      </c>
      <c r="F1265" s="2" t="s">
        <v>4331</v>
      </c>
      <c r="G1265" s="2" t="s">
        <v>4331</v>
      </c>
      <c r="H1265" s="2" t="s">
        <v>4331</v>
      </c>
      <c r="I1265" s="2" t="s">
        <v>4332</v>
      </c>
      <c r="J1265" s="2" t="s">
        <v>4295</v>
      </c>
      <c r="K1265" s="2" t="s">
        <v>1340</v>
      </c>
      <c r="L1265" s="3">
        <v>27.51</v>
      </c>
      <c r="M1265" s="3">
        <v>28.89</v>
      </c>
      <c r="N1265" s="3">
        <v>52.69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100</v>
      </c>
      <c r="T1265" s="2" t="s">
        <v>100</v>
      </c>
      <c r="U1265" s="2" t="s">
        <v>480</v>
      </c>
      <c r="V1265" s="2" t="s">
        <v>146</v>
      </c>
      <c r="W1265" s="2" t="s">
        <v>104</v>
      </c>
      <c r="X1265" s="2" t="s">
        <v>673</v>
      </c>
      <c r="Y1265" s="2" t="s">
        <v>4337</v>
      </c>
      <c r="Z1265" s="4">
        <v>325</v>
      </c>
      <c r="AA1265" s="4">
        <f>=ROUNDDOWN(10.5519480519481,0)</f>
      </c>
      <c r="AB1265" s="5">
        <v>30.8</v>
      </c>
      <c r="AC1265" s="2" t="s">
        <v>4334</v>
      </c>
      <c r="AD1265" s="4">
        <v>150</v>
      </c>
      <c r="AE1265" s="4">
        <v>530</v>
      </c>
      <c r="AF1265" s="6">
        <v>65</v>
      </c>
      <c r="AG1265" s="6"/>
      <c r="AH1265" s="7">
        <v>0.9305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919</v>
      </c>
      <c r="BK1265" s="8">
        <v>27703.89</v>
      </c>
      <c r="BL1265" s="2" t="s">
        <v>4338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2528</v>
      </c>
      <c r="BV1265" s="2" t="s">
        <v>97</v>
      </c>
      <c r="BW1265" s="2" t="s">
        <v>100</v>
      </c>
      <c r="BX1265" s="2" t="s">
        <v>100</v>
      </c>
      <c r="BY1265" s="2" t="s">
        <v>113</v>
      </c>
      <c r="BZ1265" s="2" t="s">
        <v>245</v>
      </c>
    </row>
    <row r="1266">
      <c r="A1266" s="2" t="s">
        <v>4339</v>
      </c>
      <c r="B1266" s="2" t="s">
        <v>3872</v>
      </c>
      <c r="C1266" s="2" t="s">
        <v>3178</v>
      </c>
      <c r="D1266" s="2" t="s">
        <v>4329</v>
      </c>
      <c r="E1266" s="2" t="s">
        <v>4330</v>
      </c>
      <c r="F1266" s="2" t="s">
        <v>4340</v>
      </c>
      <c r="G1266" s="2" t="s">
        <v>4340</v>
      </c>
      <c r="H1266" s="2" t="s">
        <v>4340</v>
      </c>
      <c r="I1266" s="2" t="s">
        <v>4341</v>
      </c>
      <c r="J1266" s="2" t="s">
        <v>4295</v>
      </c>
      <c r="K1266" s="2" t="s">
        <v>4342</v>
      </c>
      <c r="L1266" s="3">
        <v>100.98</v>
      </c>
      <c r="M1266" s="3">
        <v>106.03</v>
      </c>
      <c r="N1266" s="3">
        <v>169.99</v>
      </c>
      <c r="O1266" s="2" t="s">
        <v>97</v>
      </c>
      <c r="P1266" s="2" t="s">
        <v>372</v>
      </c>
      <c r="Q1266" s="2" t="s">
        <v>99</v>
      </c>
      <c r="R1266" s="2" t="s">
        <v>100</v>
      </c>
      <c r="S1266" s="2" t="s">
        <v>4343</v>
      </c>
      <c r="T1266" s="2" t="s">
        <v>100</v>
      </c>
      <c r="U1266" s="2" t="s">
        <v>480</v>
      </c>
      <c r="V1266" s="2" t="s">
        <v>146</v>
      </c>
      <c r="W1266" s="2" t="s">
        <v>104</v>
      </c>
      <c r="X1266" s="2" t="s">
        <v>100</v>
      </c>
      <c r="Y1266" s="2" t="s">
        <v>4344</v>
      </c>
      <c r="Z1266" s="4">
        <v>383</v>
      </c>
      <c r="AA1266" s="4">
        <f>=ROUNDDOWN(29.4615384615385,0)</f>
      </c>
      <c r="AB1266" s="5">
        <v>13</v>
      </c>
      <c r="AC1266" s="2" t="s">
        <v>100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>
        <v>294</v>
      </c>
      <c r="BK1266" s="8">
        <v>29391.77</v>
      </c>
      <c r="BL1266" s="2" t="s">
        <v>4345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2528</v>
      </c>
      <c r="BV1266" s="2" t="s">
        <v>97</v>
      </c>
      <c r="BW1266" s="2" t="s">
        <v>100</v>
      </c>
      <c r="BX1266" s="2" t="s">
        <v>100</v>
      </c>
      <c r="BY1266" s="2" t="s">
        <v>113</v>
      </c>
      <c r="BZ1266" s="2" t="s">
        <v>245</v>
      </c>
    </row>
    <row r="1267">
      <c r="A1267" s="2" t="s">
        <v>4346</v>
      </c>
      <c r="B1267" s="2" t="s">
        <v>3872</v>
      </c>
      <c r="C1267" s="2" t="s">
        <v>4347</v>
      </c>
      <c r="D1267" s="2" t="s">
        <v>3873</v>
      </c>
      <c r="E1267" s="2" t="s">
        <v>3927</v>
      </c>
      <c r="F1267" s="2" t="s">
        <v>4348</v>
      </c>
      <c r="G1267" s="2" t="s">
        <v>4348</v>
      </c>
      <c r="H1267" s="2" t="s">
        <v>4348</v>
      </c>
      <c r="I1267" s="2" t="s">
        <v>4349</v>
      </c>
      <c r="J1267" s="2" t="s">
        <v>3877</v>
      </c>
      <c r="K1267" s="2" t="s">
        <v>118</v>
      </c>
      <c r="L1267" s="3">
        <v>38.46</v>
      </c>
      <c r="M1267" s="3">
        <v>40.38</v>
      </c>
      <c r="N1267" s="3">
        <v>84.99</v>
      </c>
      <c r="O1267" s="2" t="s">
        <v>97</v>
      </c>
      <c r="P1267" s="2" t="s">
        <v>372</v>
      </c>
      <c r="Q1267" s="2" t="s">
        <v>99</v>
      </c>
      <c r="R1267" s="2" t="s">
        <v>100</v>
      </c>
      <c r="S1267" s="2" t="s">
        <v>4350</v>
      </c>
      <c r="T1267" s="2" t="s">
        <v>100</v>
      </c>
      <c r="U1267" s="2" t="s">
        <v>1847</v>
      </c>
      <c r="V1267" s="2" t="s">
        <v>1150</v>
      </c>
      <c r="W1267" s="2" t="s">
        <v>561</v>
      </c>
      <c r="X1267" s="2" t="s">
        <v>4351</v>
      </c>
      <c r="Y1267" s="2" t="s">
        <v>4352</v>
      </c>
      <c r="Z1267" s="4">
        <v>419</v>
      </c>
      <c r="AA1267" s="4">
        <f>=ROUNDDOWN(17.2427983539095,0)</f>
      </c>
      <c r="AB1267" s="5">
        <v>24.3</v>
      </c>
      <c r="AC1267" s="2" t="s">
        <v>326</v>
      </c>
      <c r="AD1267" s="4">
        <v>200</v>
      </c>
      <c r="AE1267" s="4">
        <v>200</v>
      </c>
      <c r="AF1267" s="6">
        <v>65</v>
      </c>
      <c r="AG1267" s="6"/>
      <c r="AH1267" s="7">
        <v>0.7914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>
        <v>693</v>
      </c>
      <c r="BK1267" s="8">
        <v>29587.09</v>
      </c>
      <c r="BL1267" s="2" t="s">
        <v>4353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2528</v>
      </c>
      <c r="BV1267" s="2" t="s">
        <v>97</v>
      </c>
      <c r="BW1267" s="2" t="s">
        <v>100</v>
      </c>
      <c r="BX1267" s="2" t="s">
        <v>100</v>
      </c>
      <c r="BY1267" s="2" t="s">
        <v>113</v>
      </c>
      <c r="BZ1267" s="2" t="s">
        <v>245</v>
      </c>
    </row>
    <row r="1268">
      <c r="A1268" s="2" t="s">
        <v>4354</v>
      </c>
      <c r="B1268" s="2" t="s">
        <v>3872</v>
      </c>
      <c r="C1268" s="2" t="s">
        <v>4347</v>
      </c>
      <c r="D1268" s="2" t="s">
        <v>3873</v>
      </c>
      <c r="E1268" s="2" t="s">
        <v>3927</v>
      </c>
      <c r="F1268" s="2" t="s">
        <v>4355</v>
      </c>
      <c r="G1268" s="2" t="s">
        <v>4355</v>
      </c>
      <c r="H1268" s="2" t="s">
        <v>4355</v>
      </c>
      <c r="I1268" s="2" t="s">
        <v>4356</v>
      </c>
      <c r="J1268" s="2" t="s">
        <v>3877</v>
      </c>
      <c r="K1268" s="2" t="s">
        <v>118</v>
      </c>
      <c r="L1268" s="3">
        <v>40.8</v>
      </c>
      <c r="M1268" s="3">
        <v>42.84</v>
      </c>
      <c r="N1268" s="3">
        <v>84.99</v>
      </c>
      <c r="O1268" s="2" t="s">
        <v>97</v>
      </c>
      <c r="P1268" s="2" t="s">
        <v>119</v>
      </c>
      <c r="Q1268" s="2" t="s">
        <v>99</v>
      </c>
      <c r="R1268" s="2" t="s">
        <v>100</v>
      </c>
      <c r="S1268" s="2" t="s">
        <v>4357</v>
      </c>
      <c r="T1268" s="2" t="s">
        <v>100</v>
      </c>
      <c r="U1268" s="2" t="s">
        <v>1847</v>
      </c>
      <c r="V1268" s="2" t="s">
        <v>239</v>
      </c>
      <c r="W1268" s="2" t="s">
        <v>561</v>
      </c>
      <c r="X1268" s="2" t="s">
        <v>4351</v>
      </c>
      <c r="Y1268" s="2" t="s">
        <v>4352</v>
      </c>
      <c r="Z1268" s="4">
        <v>43</v>
      </c>
      <c r="AA1268" s="4">
        <f>=ROUNDDOWN(10.75,0)</f>
      </c>
      <c r="AB1268" s="5">
        <v>4</v>
      </c>
      <c r="AC1268" s="2" t="s">
        <v>1259</v>
      </c>
      <c r="AD1268" s="4">
        <v>100</v>
      </c>
      <c r="AE1268" s="4">
        <v>100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>
        <v>115</v>
      </c>
      <c r="BK1268" s="8">
        <v>5164.55</v>
      </c>
      <c r="BL1268" s="2" t="s">
        <v>4358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2528</v>
      </c>
      <c r="BV1268" s="2" t="s">
        <v>97</v>
      </c>
      <c r="BW1268" s="2" t="s">
        <v>100</v>
      </c>
      <c r="BX1268" s="2" t="s">
        <v>100</v>
      </c>
      <c r="BY1268" s="2" t="s">
        <v>113</v>
      </c>
      <c r="BZ1268" s="2" t="s">
        <v>245</v>
      </c>
    </row>
    <row r="1269">
      <c r="A1269" s="2" t="s">
        <v>4359</v>
      </c>
      <c r="B1269" s="2" t="s">
        <v>3872</v>
      </c>
      <c r="C1269" s="2" t="s">
        <v>4347</v>
      </c>
      <c r="D1269" s="2" t="s">
        <v>3873</v>
      </c>
      <c r="E1269" s="2" t="s">
        <v>3882</v>
      </c>
      <c r="F1269" s="2" t="s">
        <v>4360</v>
      </c>
      <c r="G1269" s="2" t="s">
        <v>4360</v>
      </c>
      <c r="H1269" s="2" t="s">
        <v>4360</v>
      </c>
      <c r="I1269" s="2" t="s">
        <v>4361</v>
      </c>
      <c r="J1269" s="2" t="s">
        <v>3877</v>
      </c>
      <c r="K1269" s="2" t="s">
        <v>3199</v>
      </c>
      <c r="L1269" s="3">
        <v>37.19</v>
      </c>
      <c r="M1269" s="3">
        <v>39.05</v>
      </c>
      <c r="N1269" s="3">
        <v>76.49</v>
      </c>
      <c r="O1269" s="2" t="s">
        <v>97</v>
      </c>
      <c r="P1269" s="2" t="s">
        <v>372</v>
      </c>
      <c r="Q1269" s="2" t="s">
        <v>99</v>
      </c>
      <c r="R1269" s="2" t="s">
        <v>100</v>
      </c>
      <c r="S1269" s="2" t="s">
        <v>100</v>
      </c>
      <c r="T1269" s="2" t="s">
        <v>100</v>
      </c>
      <c r="U1269" s="2" t="s">
        <v>1847</v>
      </c>
      <c r="V1269" s="2" t="s">
        <v>146</v>
      </c>
      <c r="W1269" s="2" t="s">
        <v>104</v>
      </c>
      <c r="X1269" s="2" t="s">
        <v>4351</v>
      </c>
      <c r="Y1269" s="2" t="s">
        <v>2201</v>
      </c>
      <c r="Z1269" s="4">
        <v>294</v>
      </c>
      <c r="AA1269" s="4">
        <f>=ROUNDDOWN(11.3076923076923,0)</f>
      </c>
      <c r="AB1269" s="5">
        <v>26</v>
      </c>
      <c r="AC1269" s="2" t="s">
        <v>107</v>
      </c>
      <c r="AD1269" s="4">
        <v>150</v>
      </c>
      <c r="AE1269" s="4">
        <v>390</v>
      </c>
      <c r="AF1269" s="6">
        <v>65</v>
      </c>
      <c r="AG1269" s="6"/>
      <c r="AH1269" s="7">
        <v>0.9679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>
        <v>676</v>
      </c>
      <c r="BK1269" s="8">
        <v>28604.19</v>
      </c>
      <c r="BL1269" s="2" t="s">
        <v>4362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2528</v>
      </c>
      <c r="BV1269" s="2" t="s">
        <v>97</v>
      </c>
      <c r="BW1269" s="2" t="s">
        <v>100</v>
      </c>
      <c r="BX1269" s="2" t="s">
        <v>100</v>
      </c>
      <c r="BY1269" s="2" t="s">
        <v>113</v>
      </c>
      <c r="BZ1269" s="2" t="s">
        <v>245</v>
      </c>
    </row>
    <row r="1270">
      <c r="A1270" s="2" t="s">
        <v>4363</v>
      </c>
      <c r="B1270" s="2" t="s">
        <v>3872</v>
      </c>
      <c r="C1270" s="2" t="s">
        <v>4347</v>
      </c>
      <c r="D1270" s="2" t="s">
        <v>3873</v>
      </c>
      <c r="E1270" s="2" t="s">
        <v>3882</v>
      </c>
      <c r="F1270" s="2" t="s">
        <v>4364</v>
      </c>
      <c r="G1270" s="2" t="s">
        <v>4364</v>
      </c>
      <c r="H1270" s="2" t="s">
        <v>4364</v>
      </c>
      <c r="I1270" s="2" t="s">
        <v>4365</v>
      </c>
      <c r="J1270" s="2" t="s">
        <v>3877</v>
      </c>
      <c r="K1270" s="2" t="s">
        <v>118</v>
      </c>
      <c r="L1270" s="3">
        <v>32</v>
      </c>
      <c r="M1270" s="3">
        <v>33.6</v>
      </c>
      <c r="N1270" s="3">
        <v>69.99</v>
      </c>
      <c r="O1270" s="2" t="s">
        <v>97</v>
      </c>
      <c r="P1270" s="2" t="s">
        <v>225</v>
      </c>
      <c r="Q1270" s="2" t="s">
        <v>99</v>
      </c>
      <c r="R1270" s="2" t="s">
        <v>100</v>
      </c>
      <c r="S1270" s="2" t="s">
        <v>100</v>
      </c>
      <c r="T1270" s="2" t="s">
        <v>100</v>
      </c>
      <c r="U1270" s="2" t="s">
        <v>1847</v>
      </c>
      <c r="V1270" s="2" t="s">
        <v>1150</v>
      </c>
      <c r="W1270" s="2" t="s">
        <v>4366</v>
      </c>
      <c r="X1270" s="2" t="s">
        <v>561</v>
      </c>
      <c r="Y1270" s="2" t="s">
        <v>3961</v>
      </c>
      <c r="Z1270" s="4">
        <v>57</v>
      </c>
      <c r="AA1270" s="4">
        <f>=ROUNDDOWN(21.1111111111111,0)</f>
      </c>
      <c r="AB1270" s="5">
        <v>2.7</v>
      </c>
      <c r="AC1270" s="2" t="s">
        <v>100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38</v>
      </c>
      <c r="BK1270" s="8">
        <v>1374.5</v>
      </c>
      <c r="BL1270" s="2" t="s">
        <v>4367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2528</v>
      </c>
      <c r="BV1270" s="2" t="s">
        <v>97</v>
      </c>
      <c r="BW1270" s="2" t="s">
        <v>100</v>
      </c>
      <c r="BX1270" s="2" t="s">
        <v>100</v>
      </c>
      <c r="BY1270" s="2" t="s">
        <v>113</v>
      </c>
      <c r="BZ1270" s="2" t="s">
        <v>100</v>
      </c>
    </row>
    <row r="1271">
      <c r="A1271" s="2" t="s">
        <v>4368</v>
      </c>
      <c r="B1271" s="2" t="s">
        <v>3872</v>
      </c>
      <c r="C1271" s="2" t="s">
        <v>4347</v>
      </c>
      <c r="D1271" s="2" t="s">
        <v>3873</v>
      </c>
      <c r="E1271" s="2" t="s">
        <v>3882</v>
      </c>
      <c r="F1271" s="2" t="s">
        <v>4364</v>
      </c>
      <c r="G1271" s="2" t="s">
        <v>4364</v>
      </c>
      <c r="H1271" s="2" t="s">
        <v>4364</v>
      </c>
      <c r="I1271" s="2" t="s">
        <v>4369</v>
      </c>
      <c r="J1271" s="2" t="s">
        <v>3877</v>
      </c>
      <c r="K1271" s="2" t="s">
        <v>169</v>
      </c>
      <c r="L1271" s="3">
        <v>32</v>
      </c>
      <c r="M1271" s="3">
        <v>33.6</v>
      </c>
      <c r="N1271" s="3">
        <v>69.99</v>
      </c>
      <c r="O1271" s="2" t="s">
        <v>97</v>
      </c>
      <c r="P1271" s="2" t="s">
        <v>225</v>
      </c>
      <c r="Q1271" s="2" t="s">
        <v>99</v>
      </c>
      <c r="R1271" s="2" t="s">
        <v>100</v>
      </c>
      <c r="S1271" s="2" t="s">
        <v>100</v>
      </c>
      <c r="T1271" s="2" t="s">
        <v>100</v>
      </c>
      <c r="U1271" s="2" t="s">
        <v>1847</v>
      </c>
      <c r="V1271" s="2" t="s">
        <v>1150</v>
      </c>
      <c r="W1271" s="2" t="s">
        <v>4366</v>
      </c>
      <c r="X1271" s="2" t="s">
        <v>561</v>
      </c>
      <c r="Y1271" s="2" t="s">
        <v>3961</v>
      </c>
      <c r="Z1271" s="4">
        <v>19</v>
      </c>
      <c r="AA1271" s="4">
        <f>=ROUNDDOWN(4.75,0)</f>
      </c>
      <c r="AB1271" s="5">
        <v>4</v>
      </c>
      <c r="AC1271" s="2" t="s">
        <v>107</v>
      </c>
      <c r="AD1271" s="4">
        <v>100</v>
      </c>
      <c r="AE1271" s="4">
        <v>100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74</v>
      </c>
      <c r="BK1271" s="8">
        <v>2534.38</v>
      </c>
      <c r="BL1271" s="2" t="s">
        <v>4367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2528</v>
      </c>
      <c r="BV1271" s="2" t="s">
        <v>97</v>
      </c>
      <c r="BW1271" s="2" t="s">
        <v>100</v>
      </c>
      <c r="BX1271" s="2" t="s">
        <v>100</v>
      </c>
      <c r="BY1271" s="2" t="s">
        <v>113</v>
      </c>
      <c r="BZ1271" s="2" t="s">
        <v>100</v>
      </c>
    </row>
    <row r="1272">
      <c r="A1272" s="2" t="s">
        <v>4370</v>
      </c>
      <c r="B1272" s="2" t="s">
        <v>3872</v>
      </c>
      <c r="C1272" s="2" t="s">
        <v>4347</v>
      </c>
      <c r="D1272" s="2" t="s">
        <v>3895</v>
      </c>
      <c r="E1272" s="2" t="s">
        <v>3927</v>
      </c>
      <c r="F1272" s="2" t="s">
        <v>4371</v>
      </c>
      <c r="G1272" s="2" t="s">
        <v>4371</v>
      </c>
      <c r="H1272" s="2" t="s">
        <v>4371</v>
      </c>
      <c r="I1272" s="2" t="s">
        <v>4162</v>
      </c>
      <c r="J1272" s="2" t="s">
        <v>3877</v>
      </c>
      <c r="K1272" s="2" t="s">
        <v>130</v>
      </c>
      <c r="L1272" s="3">
        <v>79.42</v>
      </c>
      <c r="M1272" s="3">
        <v>83.39</v>
      </c>
      <c r="N1272" s="3">
        <v>157.24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4372</v>
      </c>
      <c r="T1272" s="2" t="s">
        <v>100</v>
      </c>
      <c r="U1272" s="2" t="s">
        <v>171</v>
      </c>
      <c r="V1272" s="2" t="s">
        <v>1150</v>
      </c>
      <c r="W1272" s="2" t="s">
        <v>561</v>
      </c>
      <c r="X1272" s="2" t="s">
        <v>4351</v>
      </c>
      <c r="Y1272" s="2" t="s">
        <v>4373</v>
      </c>
      <c r="Z1272" s="4">
        <v>120</v>
      </c>
      <c r="AA1272" s="4">
        <f>=ROUNDDOWN(17.1428571428571,0)</f>
      </c>
      <c r="AB1272" s="5">
        <v>7</v>
      </c>
      <c r="AC1272" s="2" t="s">
        <v>3579</v>
      </c>
      <c r="AD1272" s="4">
        <v>100</v>
      </c>
      <c r="AE1272" s="4">
        <v>100</v>
      </c>
      <c r="AF1272" s="6">
        <v>63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>
        <v>183</v>
      </c>
      <c r="BK1272" s="8">
        <v>17071.66</v>
      </c>
      <c r="BL1272" s="2" t="s">
        <v>4374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2528</v>
      </c>
      <c r="BV1272" s="2" t="s">
        <v>97</v>
      </c>
      <c r="BW1272" s="2" t="s">
        <v>100</v>
      </c>
      <c r="BX1272" s="2" t="s">
        <v>100</v>
      </c>
      <c r="BY1272" s="2" t="s">
        <v>113</v>
      </c>
      <c r="BZ1272" s="2" t="s">
        <v>245</v>
      </c>
    </row>
    <row r="1273">
      <c r="A1273" s="2" t="s">
        <v>4375</v>
      </c>
      <c r="B1273" s="2" t="s">
        <v>3872</v>
      </c>
      <c r="C1273" s="2" t="s">
        <v>4347</v>
      </c>
      <c r="D1273" s="2" t="s">
        <v>3895</v>
      </c>
      <c r="E1273" s="2" t="s">
        <v>3927</v>
      </c>
      <c r="F1273" s="2" t="s">
        <v>4376</v>
      </c>
      <c r="G1273" s="2" t="s">
        <v>4376</v>
      </c>
      <c r="H1273" s="2" t="s">
        <v>4376</v>
      </c>
      <c r="I1273" s="2" t="s">
        <v>4377</v>
      </c>
      <c r="J1273" s="2" t="s">
        <v>3877</v>
      </c>
      <c r="K1273" s="2" t="s">
        <v>130</v>
      </c>
      <c r="L1273" s="3">
        <v>29.92</v>
      </c>
      <c r="M1273" s="3">
        <v>31.42</v>
      </c>
      <c r="N1273" s="3">
        <v>63.74</v>
      </c>
      <c r="O1273" s="2" t="s">
        <v>97</v>
      </c>
      <c r="P1273" s="2" t="s">
        <v>119</v>
      </c>
      <c r="Q1273" s="2" t="s">
        <v>99</v>
      </c>
      <c r="R1273" s="2" t="s">
        <v>100</v>
      </c>
      <c r="S1273" s="2" t="s">
        <v>100</v>
      </c>
      <c r="T1273" s="2" t="s">
        <v>100</v>
      </c>
      <c r="U1273" s="2" t="s">
        <v>514</v>
      </c>
      <c r="V1273" s="2" t="s">
        <v>292</v>
      </c>
      <c r="W1273" s="2" t="s">
        <v>104</v>
      </c>
      <c r="X1273" s="2" t="s">
        <v>4378</v>
      </c>
      <c r="Y1273" s="2" t="s">
        <v>4379</v>
      </c>
      <c r="Z1273" s="4">
        <v>84</v>
      </c>
      <c r="AA1273" s="4">
        <f>=ROUNDDOWN(14,0)</f>
      </c>
      <c r="AB1273" s="5">
        <v>6</v>
      </c>
      <c r="AC1273" s="2" t="s">
        <v>3579</v>
      </c>
      <c r="AD1273" s="4">
        <v>100</v>
      </c>
      <c r="AE1273" s="4">
        <v>100</v>
      </c>
      <c r="AF1273" s="6">
        <v>63</v>
      </c>
      <c r="AG1273" s="6"/>
      <c r="AH1273" s="7">
        <v>0.9733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169</v>
      </c>
      <c r="BK1273" s="8">
        <v>5958.92</v>
      </c>
      <c r="BL1273" s="2" t="s">
        <v>4380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2528</v>
      </c>
      <c r="BV1273" s="2" t="s">
        <v>97</v>
      </c>
      <c r="BW1273" s="2" t="s">
        <v>100</v>
      </c>
      <c r="BX1273" s="2" t="s">
        <v>100</v>
      </c>
      <c r="BY1273" s="2" t="s">
        <v>113</v>
      </c>
      <c r="BZ1273" s="2" t="s">
        <v>245</v>
      </c>
    </row>
    <row r="1274">
      <c r="A1274" s="2" t="s">
        <v>4381</v>
      </c>
      <c r="B1274" s="2" t="s">
        <v>3872</v>
      </c>
      <c r="C1274" s="2" t="s">
        <v>4347</v>
      </c>
      <c r="D1274" s="2" t="s">
        <v>3895</v>
      </c>
      <c r="E1274" s="2" t="s">
        <v>3927</v>
      </c>
      <c r="F1274" s="2" t="s">
        <v>4382</v>
      </c>
      <c r="G1274" s="2" t="s">
        <v>4382</v>
      </c>
      <c r="H1274" s="2" t="s">
        <v>4382</v>
      </c>
      <c r="I1274" s="2" t="s">
        <v>4383</v>
      </c>
      <c r="J1274" s="2" t="s">
        <v>3877</v>
      </c>
      <c r="K1274" s="2" t="s">
        <v>278</v>
      </c>
      <c r="L1274" s="3">
        <v>63.6</v>
      </c>
      <c r="M1274" s="3">
        <v>66.78</v>
      </c>
      <c r="N1274" s="3">
        <v>124.94</v>
      </c>
      <c r="O1274" s="2" t="s">
        <v>97</v>
      </c>
      <c r="P1274" s="2" t="s">
        <v>372</v>
      </c>
      <c r="Q1274" s="2" t="s">
        <v>99</v>
      </c>
      <c r="R1274" s="2" t="s">
        <v>100</v>
      </c>
      <c r="S1274" s="2" t="s">
        <v>100</v>
      </c>
      <c r="T1274" s="2" t="s">
        <v>100</v>
      </c>
      <c r="U1274" s="2" t="s">
        <v>402</v>
      </c>
      <c r="V1274" s="2" t="s">
        <v>292</v>
      </c>
      <c r="W1274" s="2" t="s">
        <v>104</v>
      </c>
      <c r="X1274" s="2" t="s">
        <v>4378</v>
      </c>
      <c r="Y1274" s="2" t="s">
        <v>4384</v>
      </c>
      <c r="Z1274" s="4">
        <v>376</v>
      </c>
      <c r="AA1274" s="4">
        <f>=ROUNDDOWN(27.8518518518519,0)</f>
      </c>
      <c r="AB1274" s="5">
        <v>13.5</v>
      </c>
      <c r="AC1274" s="2" t="s">
        <v>872</v>
      </c>
      <c r="AD1274" s="4">
        <v>200</v>
      </c>
      <c r="AE1274" s="4">
        <v>200</v>
      </c>
      <c r="AF1274" s="6">
        <v>63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>
        <v>526</v>
      </c>
      <c r="BK1274" s="8">
        <v>38908.91</v>
      </c>
      <c r="BL1274" s="2" t="s">
        <v>4385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2528</v>
      </c>
      <c r="BV1274" s="2" t="s">
        <v>97</v>
      </c>
      <c r="BW1274" s="2" t="s">
        <v>100</v>
      </c>
      <c r="BX1274" s="2" t="s">
        <v>100</v>
      </c>
      <c r="BY1274" s="2" t="s">
        <v>113</v>
      </c>
      <c r="BZ1274" s="2" t="s">
        <v>245</v>
      </c>
    </row>
    <row r="1275">
      <c r="A1275" s="2" t="s">
        <v>4386</v>
      </c>
      <c r="B1275" s="2" t="s">
        <v>3872</v>
      </c>
      <c r="C1275" s="2" t="s">
        <v>4347</v>
      </c>
      <c r="D1275" s="2" t="s">
        <v>3895</v>
      </c>
      <c r="E1275" s="2" t="s">
        <v>3927</v>
      </c>
      <c r="F1275" s="2" t="s">
        <v>4387</v>
      </c>
      <c r="G1275" s="2" t="s">
        <v>4387</v>
      </c>
      <c r="H1275" s="2" t="s">
        <v>4387</v>
      </c>
      <c r="I1275" s="2" t="s">
        <v>4388</v>
      </c>
      <c r="J1275" s="2" t="s">
        <v>3877</v>
      </c>
      <c r="K1275" s="2" t="s">
        <v>130</v>
      </c>
      <c r="L1275" s="3">
        <v>26.03</v>
      </c>
      <c r="M1275" s="3">
        <v>27.33</v>
      </c>
      <c r="N1275" s="3">
        <v>59.49</v>
      </c>
      <c r="O1275" s="2" t="s">
        <v>97</v>
      </c>
      <c r="P1275" s="2" t="s">
        <v>119</v>
      </c>
      <c r="Q1275" s="2" t="s">
        <v>99</v>
      </c>
      <c r="R1275" s="2" t="s">
        <v>100</v>
      </c>
      <c r="S1275" s="2" t="s">
        <v>4389</v>
      </c>
      <c r="T1275" s="2" t="s">
        <v>100</v>
      </c>
      <c r="U1275" s="2" t="s">
        <v>1847</v>
      </c>
      <c r="V1275" s="2" t="s">
        <v>4089</v>
      </c>
      <c r="W1275" s="2" t="s">
        <v>309</v>
      </c>
      <c r="X1275" s="2" t="s">
        <v>4378</v>
      </c>
      <c r="Y1275" s="2" t="s">
        <v>4270</v>
      </c>
      <c r="Z1275" s="4">
        <v>336</v>
      </c>
      <c r="AA1275" s="4">
        <f>=ROUNDDOWN(36.5217391304348,0)</f>
      </c>
      <c r="AB1275" s="5">
        <v>9.2</v>
      </c>
      <c r="AC1275" s="2" t="s">
        <v>100</v>
      </c>
      <c r="AD1275" s="4"/>
      <c r="AE1275" s="4"/>
      <c r="AF1275" s="6">
        <v>63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>
        <v>336</v>
      </c>
      <c r="BK1275" s="8">
        <v>11316.36</v>
      </c>
      <c r="BL1275" s="2" t="s">
        <v>4390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2528</v>
      </c>
      <c r="BV1275" s="2" t="s">
        <v>97</v>
      </c>
      <c r="BW1275" s="2" t="s">
        <v>100</v>
      </c>
      <c r="BX1275" s="2" t="s">
        <v>100</v>
      </c>
      <c r="BY1275" s="2" t="s">
        <v>113</v>
      </c>
      <c r="BZ1275" s="2" t="s">
        <v>245</v>
      </c>
    </row>
    <row r="1276">
      <c r="A1276" s="2" t="s">
        <v>4391</v>
      </c>
      <c r="B1276" s="2" t="s">
        <v>3872</v>
      </c>
      <c r="C1276" s="2" t="s">
        <v>4347</v>
      </c>
      <c r="D1276" s="2" t="s">
        <v>3895</v>
      </c>
      <c r="E1276" s="2" t="s">
        <v>3927</v>
      </c>
      <c r="F1276" s="2" t="s">
        <v>4392</v>
      </c>
      <c r="G1276" s="2" t="s">
        <v>4392</v>
      </c>
      <c r="H1276" s="2" t="s">
        <v>4392</v>
      </c>
      <c r="I1276" s="2" t="s">
        <v>4393</v>
      </c>
      <c r="J1276" s="2" t="s">
        <v>3877</v>
      </c>
      <c r="K1276" s="2" t="s">
        <v>130</v>
      </c>
      <c r="L1276" s="3">
        <v>87.35</v>
      </c>
      <c r="M1276" s="3">
        <v>91.72</v>
      </c>
      <c r="N1276" s="3">
        <v>161.49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4394</v>
      </c>
      <c r="T1276" s="2" t="s">
        <v>100</v>
      </c>
      <c r="U1276" s="2" t="s">
        <v>171</v>
      </c>
      <c r="V1276" s="2" t="s">
        <v>4089</v>
      </c>
      <c r="W1276" s="2" t="s">
        <v>104</v>
      </c>
      <c r="X1276" s="2" t="s">
        <v>4378</v>
      </c>
      <c r="Y1276" s="2" t="s">
        <v>4395</v>
      </c>
      <c r="Z1276" s="4">
        <v>158</v>
      </c>
      <c r="AA1276" s="4">
        <f>=ROUNDDOWN(26.3333333333333,0)</f>
      </c>
      <c r="AB1276" s="5">
        <v>6</v>
      </c>
      <c r="AC1276" s="2" t="s">
        <v>100</v>
      </c>
      <c r="AD1276" s="4"/>
      <c r="AE1276" s="4"/>
      <c r="AF1276" s="6">
        <v>63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/>
      <c r="BD1276" s="8"/>
      <c r="BE1276" s="4"/>
      <c r="BF1276" s="8"/>
      <c r="BG1276" s="7"/>
      <c r="BH1276" s="7"/>
      <c r="BI1276" s="7"/>
      <c r="BJ1276" s="4">
        <v>169</v>
      </c>
      <c r="BK1276" s="8">
        <v>17066.67</v>
      </c>
      <c r="BL1276" s="2" t="s">
        <v>4396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2528</v>
      </c>
      <c r="BV1276" s="2" t="s">
        <v>97</v>
      </c>
      <c r="BW1276" s="2" t="s">
        <v>100</v>
      </c>
      <c r="BX1276" s="2" t="s">
        <v>100</v>
      </c>
      <c r="BY1276" s="2" t="s">
        <v>113</v>
      </c>
      <c r="BZ1276" s="2" t="s">
        <v>245</v>
      </c>
    </row>
    <row r="1277">
      <c r="A1277" s="2" t="s">
        <v>4397</v>
      </c>
      <c r="B1277" s="2" t="s">
        <v>3872</v>
      </c>
      <c r="C1277" s="2" t="s">
        <v>4347</v>
      </c>
      <c r="D1277" s="2" t="s">
        <v>3919</v>
      </c>
      <c r="E1277" s="2" t="s">
        <v>3920</v>
      </c>
      <c r="F1277" s="2" t="s">
        <v>2039</v>
      </c>
      <c r="G1277" s="2" t="s">
        <v>2039</v>
      </c>
      <c r="H1277" s="2" t="s">
        <v>2039</v>
      </c>
      <c r="I1277" s="2" t="s">
        <v>4398</v>
      </c>
      <c r="J1277" s="2" t="s">
        <v>3877</v>
      </c>
      <c r="K1277" s="2" t="s">
        <v>3199</v>
      </c>
      <c r="L1277" s="3">
        <v>62.26</v>
      </c>
      <c r="M1277" s="3">
        <v>65.37</v>
      </c>
      <c r="N1277" s="3">
        <v>130.04</v>
      </c>
      <c r="O1277" s="2" t="s">
        <v>97</v>
      </c>
      <c r="P1277" s="2" t="s">
        <v>372</v>
      </c>
      <c r="Q1277" s="2" t="s">
        <v>99</v>
      </c>
      <c r="R1277" s="2" t="s">
        <v>100</v>
      </c>
      <c r="S1277" s="2" t="s">
        <v>100</v>
      </c>
      <c r="T1277" s="2" t="s">
        <v>100</v>
      </c>
      <c r="U1277" s="2" t="s">
        <v>1847</v>
      </c>
      <c r="V1277" s="2" t="s">
        <v>146</v>
      </c>
      <c r="W1277" s="2" t="s">
        <v>104</v>
      </c>
      <c r="X1277" s="2" t="s">
        <v>4351</v>
      </c>
      <c r="Y1277" s="2" t="s">
        <v>4399</v>
      </c>
      <c r="Z1277" s="4">
        <v>114</v>
      </c>
      <c r="AA1277" s="4">
        <f>=ROUNDDOWN(3.25714285714286,0)</f>
      </c>
      <c r="AB1277" s="5">
        <v>35</v>
      </c>
      <c r="AC1277" s="2" t="s">
        <v>241</v>
      </c>
      <c r="AD1277" s="4">
        <v>200</v>
      </c>
      <c r="AE1277" s="4">
        <v>900</v>
      </c>
      <c r="AF1277" s="6">
        <v>65</v>
      </c>
      <c r="AG1277" s="6">
        <v>48</v>
      </c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>
        <v>1058</v>
      </c>
      <c r="BK1277" s="8">
        <v>74056.82</v>
      </c>
      <c r="BL1277" s="2" t="s">
        <v>4400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2528</v>
      </c>
      <c r="BV1277" s="2" t="s">
        <v>97</v>
      </c>
      <c r="BW1277" s="2" t="s">
        <v>100</v>
      </c>
      <c r="BX1277" s="2" t="s">
        <v>100</v>
      </c>
      <c r="BY1277" s="2" t="s">
        <v>113</v>
      </c>
      <c r="BZ1277" s="2" t="s">
        <v>245</v>
      </c>
    </row>
    <row r="1278">
      <c r="A1278" s="2" t="s">
        <v>4401</v>
      </c>
      <c r="B1278" s="2" t="s">
        <v>3872</v>
      </c>
      <c r="C1278" s="2" t="s">
        <v>4347</v>
      </c>
      <c r="D1278" s="2" t="s">
        <v>3919</v>
      </c>
      <c r="E1278" s="2" t="s">
        <v>3920</v>
      </c>
      <c r="F1278" s="2" t="s">
        <v>4402</v>
      </c>
      <c r="G1278" s="2" t="s">
        <v>4402</v>
      </c>
      <c r="H1278" s="2" t="s">
        <v>4402</v>
      </c>
      <c r="I1278" s="2" t="s">
        <v>4403</v>
      </c>
      <c r="J1278" s="2" t="s">
        <v>3877</v>
      </c>
      <c r="K1278" s="2" t="s">
        <v>335</v>
      </c>
      <c r="L1278" s="3">
        <v>123.21</v>
      </c>
      <c r="M1278" s="3">
        <v>129.37</v>
      </c>
      <c r="N1278" s="3">
        <v>225.24</v>
      </c>
      <c r="O1278" s="2" t="s">
        <v>97</v>
      </c>
      <c r="P1278" s="2" t="s">
        <v>119</v>
      </c>
      <c r="Q1278" s="2" t="s">
        <v>99</v>
      </c>
      <c r="R1278" s="2" t="s">
        <v>100</v>
      </c>
      <c r="S1278" s="2" t="s">
        <v>100</v>
      </c>
      <c r="T1278" s="2" t="s">
        <v>100</v>
      </c>
      <c r="U1278" s="2" t="s">
        <v>1847</v>
      </c>
      <c r="V1278" s="2" t="s">
        <v>146</v>
      </c>
      <c r="W1278" s="2" t="s">
        <v>104</v>
      </c>
      <c r="X1278" s="2" t="s">
        <v>4351</v>
      </c>
      <c r="Y1278" s="2" t="s">
        <v>4404</v>
      </c>
      <c r="Z1278" s="4">
        <v>73</v>
      </c>
      <c r="AA1278" s="4">
        <f>=ROUNDDOWN(25.1724137931034,0)</f>
      </c>
      <c r="AB1278" s="5">
        <v>2.9</v>
      </c>
      <c r="AC1278" s="2" t="s">
        <v>241</v>
      </c>
      <c r="AD1278" s="4">
        <v>50</v>
      </c>
      <c r="AE1278" s="4">
        <v>50</v>
      </c>
      <c r="AF1278" s="6">
        <v>65</v>
      </c>
      <c r="AG1278" s="6">
        <v>48</v>
      </c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>
        <v>119</v>
      </c>
      <c r="BK1278" s="8">
        <v>15089.3</v>
      </c>
      <c r="BL1278" s="2" t="s">
        <v>4405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2528</v>
      </c>
      <c r="BV1278" s="2" t="s">
        <v>97</v>
      </c>
      <c r="BW1278" s="2" t="s">
        <v>100</v>
      </c>
      <c r="BX1278" s="2" t="s">
        <v>100</v>
      </c>
      <c r="BY1278" s="2" t="s">
        <v>113</v>
      </c>
      <c r="BZ1278" s="2" t="s">
        <v>245</v>
      </c>
    </row>
    <row r="1279">
      <c r="A1279" s="2" t="s">
        <v>4406</v>
      </c>
      <c r="B1279" s="2" t="s">
        <v>3872</v>
      </c>
      <c r="C1279" s="2" t="s">
        <v>4347</v>
      </c>
      <c r="D1279" s="2" t="s">
        <v>3919</v>
      </c>
      <c r="E1279" s="2" t="s">
        <v>3920</v>
      </c>
      <c r="F1279" s="2" t="s">
        <v>2154</v>
      </c>
      <c r="G1279" s="2" t="s">
        <v>2154</v>
      </c>
      <c r="H1279" s="2" t="s">
        <v>2154</v>
      </c>
      <c r="I1279" s="2" t="s">
        <v>4407</v>
      </c>
      <c r="J1279" s="2" t="s">
        <v>3877</v>
      </c>
      <c r="K1279" s="2" t="s">
        <v>858</v>
      </c>
      <c r="L1279" s="3">
        <v>45.23</v>
      </c>
      <c r="M1279" s="3">
        <v>47.49</v>
      </c>
      <c r="N1279" s="3">
        <v>94.99</v>
      </c>
      <c r="O1279" s="2" t="s">
        <v>97</v>
      </c>
      <c r="P1279" s="2" t="s">
        <v>119</v>
      </c>
      <c r="Q1279" s="2" t="s">
        <v>99</v>
      </c>
      <c r="R1279" s="2" t="s">
        <v>100</v>
      </c>
      <c r="S1279" s="2" t="s">
        <v>100</v>
      </c>
      <c r="T1279" s="2" t="s">
        <v>100</v>
      </c>
      <c r="U1279" s="2" t="s">
        <v>1847</v>
      </c>
      <c r="V1279" s="2" t="s">
        <v>3188</v>
      </c>
      <c r="W1279" s="2" t="s">
        <v>239</v>
      </c>
      <c r="X1279" s="2" t="s">
        <v>4366</v>
      </c>
      <c r="Y1279" s="2" t="s">
        <v>3923</v>
      </c>
      <c r="Z1279" s="4">
        <v>269</v>
      </c>
      <c r="AA1279" s="4">
        <f>=ROUNDDOWN(29.8888888888889,0)</f>
      </c>
      <c r="AB1279" s="5">
        <v>9</v>
      </c>
      <c r="AC1279" s="2" t="s">
        <v>100</v>
      </c>
      <c r="AD1279" s="4"/>
      <c r="AE1279" s="4"/>
      <c r="AF1279" s="6">
        <v>63</v>
      </c>
      <c r="AG1279" s="6"/>
      <c r="AH1279" s="7">
        <v>0.9947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>
        <v>217</v>
      </c>
      <c r="BK1279" s="8">
        <v>10451.96</v>
      </c>
      <c r="BL1279" s="2" t="s">
        <v>4408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2528</v>
      </c>
      <c r="BV1279" s="2" t="s">
        <v>97</v>
      </c>
      <c r="BW1279" s="2" t="s">
        <v>100</v>
      </c>
      <c r="BX1279" s="2" t="s">
        <v>100</v>
      </c>
      <c r="BY1279" s="2" t="s">
        <v>113</v>
      </c>
      <c r="BZ1279" s="2" t="s">
        <v>100</v>
      </c>
    </row>
    <row r="1280">
      <c r="A1280" s="2" t="s">
        <v>4409</v>
      </c>
      <c r="B1280" s="2" t="s">
        <v>3872</v>
      </c>
      <c r="C1280" s="2" t="s">
        <v>4347</v>
      </c>
      <c r="D1280" s="2" t="s">
        <v>3919</v>
      </c>
      <c r="E1280" s="2" t="s">
        <v>3920</v>
      </c>
      <c r="F1280" s="2" t="s">
        <v>4410</v>
      </c>
      <c r="G1280" s="2" t="s">
        <v>4410</v>
      </c>
      <c r="H1280" s="2" t="s">
        <v>4410</v>
      </c>
      <c r="I1280" s="2" t="s">
        <v>4411</v>
      </c>
      <c r="J1280" s="2" t="s">
        <v>3877</v>
      </c>
      <c r="K1280" s="2" t="s">
        <v>1148</v>
      </c>
      <c r="L1280" s="3">
        <v>95.23</v>
      </c>
      <c r="M1280" s="3">
        <v>99.99</v>
      </c>
      <c r="N1280" s="3">
        <v>199.99</v>
      </c>
      <c r="O1280" s="2" t="s">
        <v>97</v>
      </c>
      <c r="P1280" s="2" t="s">
        <v>225</v>
      </c>
      <c r="Q1280" s="2" t="s">
        <v>99</v>
      </c>
      <c r="R1280" s="2" t="s">
        <v>100</v>
      </c>
      <c r="S1280" s="2" t="s">
        <v>100</v>
      </c>
      <c r="T1280" s="2" t="s">
        <v>100</v>
      </c>
      <c r="U1280" s="2" t="s">
        <v>1847</v>
      </c>
      <c r="V1280" s="2" t="s">
        <v>3188</v>
      </c>
      <c r="W1280" s="2" t="s">
        <v>239</v>
      </c>
      <c r="X1280" s="2" t="s">
        <v>4366</v>
      </c>
      <c r="Y1280" s="2" t="s">
        <v>4228</v>
      </c>
      <c r="Z1280" s="4">
        <v>90</v>
      </c>
      <c r="AA1280" s="4">
        <f>=ROUNDDOWN(90,0)</f>
      </c>
      <c r="AB1280" s="5">
        <v>1</v>
      </c>
      <c r="AC1280" s="2" t="s">
        <v>100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10</v>
      </c>
      <c r="BK1280" s="8">
        <v>1074.94</v>
      </c>
      <c r="BL1280" s="2" t="s">
        <v>4412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2528</v>
      </c>
      <c r="BV1280" s="2" t="s">
        <v>97</v>
      </c>
      <c r="BW1280" s="2" t="s">
        <v>100</v>
      </c>
      <c r="BX1280" s="2" t="s">
        <v>100</v>
      </c>
      <c r="BY1280" s="2" t="s">
        <v>113</v>
      </c>
      <c r="BZ1280" s="2" t="s">
        <v>100</v>
      </c>
    </row>
    <row r="1281">
      <c r="A1281" s="2" t="s">
        <v>4413</v>
      </c>
      <c r="B1281" s="2" t="s">
        <v>3872</v>
      </c>
      <c r="C1281" s="2" t="s">
        <v>4347</v>
      </c>
      <c r="D1281" s="2" t="s">
        <v>3919</v>
      </c>
      <c r="E1281" s="2" t="s">
        <v>3920</v>
      </c>
      <c r="F1281" s="2" t="s">
        <v>4410</v>
      </c>
      <c r="G1281" s="2" t="s">
        <v>4410</v>
      </c>
      <c r="H1281" s="2" t="s">
        <v>4410</v>
      </c>
      <c r="I1281" s="2" t="s">
        <v>4411</v>
      </c>
      <c r="J1281" s="2" t="s">
        <v>3877</v>
      </c>
      <c r="K1281" s="2" t="s">
        <v>858</v>
      </c>
      <c r="L1281" s="3">
        <v>95.23</v>
      </c>
      <c r="M1281" s="3">
        <v>99.99</v>
      </c>
      <c r="N1281" s="3">
        <v>199.99</v>
      </c>
      <c r="O1281" s="2" t="s">
        <v>97</v>
      </c>
      <c r="P1281" s="2" t="s">
        <v>225</v>
      </c>
      <c r="Q1281" s="2" t="s">
        <v>99</v>
      </c>
      <c r="R1281" s="2" t="s">
        <v>100</v>
      </c>
      <c r="S1281" s="2" t="s">
        <v>100</v>
      </c>
      <c r="T1281" s="2" t="s">
        <v>100</v>
      </c>
      <c r="U1281" s="2" t="s">
        <v>1847</v>
      </c>
      <c r="V1281" s="2" t="s">
        <v>3188</v>
      </c>
      <c r="W1281" s="2" t="s">
        <v>239</v>
      </c>
      <c r="X1281" s="2" t="s">
        <v>4366</v>
      </c>
      <c r="Y1281" s="2" t="s">
        <v>4228</v>
      </c>
      <c r="Z1281" s="4">
        <v>79</v>
      </c>
      <c r="AA1281" s="4">
        <f>=ROUNDDOWN(79,0)</f>
      </c>
      <c r="AB1281" s="5">
        <v>1</v>
      </c>
      <c r="AC1281" s="2" t="s">
        <v>100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21</v>
      </c>
      <c r="BK1281" s="8">
        <v>2196.39</v>
      </c>
      <c r="BL1281" s="2" t="s">
        <v>4414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2528</v>
      </c>
      <c r="BV1281" s="2" t="s">
        <v>97</v>
      </c>
      <c r="BW1281" s="2" t="s">
        <v>100</v>
      </c>
      <c r="BX1281" s="2" t="s">
        <v>100</v>
      </c>
      <c r="BY1281" s="2" t="s">
        <v>113</v>
      </c>
      <c r="BZ1281" s="2" t="s">
        <v>100</v>
      </c>
    </row>
    <row r="1282">
      <c r="A1282" s="2" t="s">
        <v>4415</v>
      </c>
      <c r="B1282" s="2" t="s">
        <v>3872</v>
      </c>
      <c r="C1282" s="2" t="s">
        <v>4347</v>
      </c>
      <c r="D1282" s="2" t="s">
        <v>3926</v>
      </c>
      <c r="E1282" s="2" t="s">
        <v>3927</v>
      </c>
      <c r="F1282" s="2" t="s">
        <v>4416</v>
      </c>
      <c r="G1282" s="2" t="s">
        <v>4416</v>
      </c>
      <c r="H1282" s="2" t="s">
        <v>4416</v>
      </c>
      <c r="I1282" s="2" t="s">
        <v>4417</v>
      </c>
      <c r="J1282" s="2" t="s">
        <v>3877</v>
      </c>
      <c r="K1282" s="2" t="s">
        <v>130</v>
      </c>
      <c r="L1282" s="3">
        <v>15.17</v>
      </c>
      <c r="M1282" s="3">
        <v>15.93</v>
      </c>
      <c r="N1282" s="3">
        <v>38.24</v>
      </c>
      <c r="O1282" s="2" t="s">
        <v>97</v>
      </c>
      <c r="P1282" s="2" t="s">
        <v>119</v>
      </c>
      <c r="Q1282" s="2" t="s">
        <v>99</v>
      </c>
      <c r="R1282" s="2" t="s">
        <v>100</v>
      </c>
      <c r="S1282" s="2" t="s">
        <v>4418</v>
      </c>
      <c r="T1282" s="2" t="s">
        <v>100</v>
      </c>
      <c r="U1282" s="2" t="s">
        <v>1847</v>
      </c>
      <c r="V1282" s="2" t="s">
        <v>4089</v>
      </c>
      <c r="W1282" s="2" t="s">
        <v>309</v>
      </c>
      <c r="X1282" s="2" t="s">
        <v>4378</v>
      </c>
      <c r="Y1282" s="2" t="s">
        <v>4270</v>
      </c>
      <c r="Z1282" s="4">
        <v>212</v>
      </c>
      <c r="AA1282" s="4">
        <f>=ROUNDDOWN(17.6666666666667,0)</f>
      </c>
      <c r="AB1282" s="5">
        <v>12</v>
      </c>
      <c r="AC1282" s="2" t="s">
        <v>872</v>
      </c>
      <c r="AD1282" s="4">
        <v>100</v>
      </c>
      <c r="AE1282" s="4">
        <v>100</v>
      </c>
      <c r="AF1282" s="6">
        <v>63</v>
      </c>
      <c r="AG1282" s="6"/>
      <c r="AH1282" s="7">
        <v>0.9893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>
        <v>304</v>
      </c>
      <c r="BK1282" s="8">
        <v>5930.65</v>
      </c>
      <c r="BL1282" s="2" t="s">
        <v>4419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2528</v>
      </c>
      <c r="BV1282" s="2" t="s">
        <v>97</v>
      </c>
      <c r="BW1282" s="2" t="s">
        <v>100</v>
      </c>
      <c r="BX1282" s="2" t="s">
        <v>100</v>
      </c>
      <c r="BY1282" s="2" t="s">
        <v>113</v>
      </c>
      <c r="BZ1282" s="2" t="s">
        <v>245</v>
      </c>
    </row>
    <row r="1283">
      <c r="A1283" s="2" t="s">
        <v>4420</v>
      </c>
      <c r="B1283" s="2" t="s">
        <v>3872</v>
      </c>
      <c r="C1283" s="2" t="s">
        <v>4347</v>
      </c>
      <c r="D1283" s="2" t="s">
        <v>3926</v>
      </c>
      <c r="E1283" s="2" t="s">
        <v>3927</v>
      </c>
      <c r="F1283" s="2" t="s">
        <v>4421</v>
      </c>
      <c r="G1283" s="2" t="s">
        <v>4421</v>
      </c>
      <c r="H1283" s="2" t="s">
        <v>4421</v>
      </c>
      <c r="I1283" s="2" t="s">
        <v>4422</v>
      </c>
      <c r="J1283" s="2" t="s">
        <v>3877</v>
      </c>
      <c r="K1283" s="2" t="s">
        <v>130</v>
      </c>
      <c r="L1283" s="3">
        <v>17.03</v>
      </c>
      <c r="M1283" s="3">
        <v>17.88</v>
      </c>
      <c r="N1283" s="3">
        <v>39.09</v>
      </c>
      <c r="O1283" s="2" t="s">
        <v>97</v>
      </c>
      <c r="P1283" s="2" t="s">
        <v>119</v>
      </c>
      <c r="Q1283" s="2" t="s">
        <v>99</v>
      </c>
      <c r="R1283" s="2" t="s">
        <v>100</v>
      </c>
      <c r="S1283" s="2" t="s">
        <v>4423</v>
      </c>
      <c r="T1283" s="2" t="s">
        <v>100</v>
      </c>
      <c r="U1283" s="2" t="s">
        <v>1847</v>
      </c>
      <c r="V1283" s="2" t="s">
        <v>4089</v>
      </c>
      <c r="W1283" s="2" t="s">
        <v>309</v>
      </c>
      <c r="X1283" s="2" t="s">
        <v>4378</v>
      </c>
      <c r="Y1283" s="2" t="s">
        <v>4270</v>
      </c>
      <c r="Z1283" s="4">
        <v>187</v>
      </c>
      <c r="AA1283" s="4">
        <f>=ROUNDDOWN(20.7777777777778,0)</f>
      </c>
      <c r="AB1283" s="5">
        <v>9</v>
      </c>
      <c r="AC1283" s="2" t="s">
        <v>100</v>
      </c>
      <c r="AD1283" s="4"/>
      <c r="AE1283" s="4"/>
      <c r="AF1283" s="6">
        <v>63</v>
      </c>
      <c r="AG1283" s="6">
        <v>46</v>
      </c>
      <c r="AH1283" s="7">
        <v>0.9572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>
        <v>228</v>
      </c>
      <c r="BK1283" s="8">
        <v>4783.14</v>
      </c>
      <c r="BL1283" s="2" t="s">
        <v>4424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2528</v>
      </c>
      <c r="BV1283" s="2" t="s">
        <v>97</v>
      </c>
      <c r="BW1283" s="2" t="s">
        <v>100</v>
      </c>
      <c r="BX1283" s="2" t="s">
        <v>100</v>
      </c>
      <c r="BY1283" s="2" t="s">
        <v>113</v>
      </c>
      <c r="BZ1283" s="2" t="s">
        <v>245</v>
      </c>
    </row>
    <row r="1284">
      <c r="A1284" s="2" t="s">
        <v>4425</v>
      </c>
      <c r="B1284" s="2" t="s">
        <v>3872</v>
      </c>
      <c r="C1284" s="2" t="s">
        <v>4347</v>
      </c>
      <c r="D1284" s="2" t="s">
        <v>3926</v>
      </c>
      <c r="E1284" s="2" t="s">
        <v>3927</v>
      </c>
      <c r="F1284" s="2" t="s">
        <v>4426</v>
      </c>
      <c r="G1284" s="2" t="s">
        <v>4426</v>
      </c>
      <c r="H1284" s="2" t="s">
        <v>4426</v>
      </c>
      <c r="I1284" s="2" t="s">
        <v>4427</v>
      </c>
      <c r="J1284" s="2" t="s">
        <v>3877</v>
      </c>
      <c r="K1284" s="2" t="s">
        <v>278</v>
      </c>
      <c r="L1284" s="3">
        <v>41.91</v>
      </c>
      <c r="M1284" s="3">
        <v>44.01</v>
      </c>
      <c r="N1284" s="3">
        <v>90.94</v>
      </c>
      <c r="O1284" s="2" t="s">
        <v>97</v>
      </c>
      <c r="P1284" s="2" t="s">
        <v>119</v>
      </c>
      <c r="Q1284" s="2" t="s">
        <v>99</v>
      </c>
      <c r="R1284" s="2" t="s">
        <v>100</v>
      </c>
      <c r="S1284" s="2" t="s">
        <v>100</v>
      </c>
      <c r="T1284" s="2" t="s">
        <v>100</v>
      </c>
      <c r="U1284" s="2" t="s">
        <v>480</v>
      </c>
      <c r="V1284" s="2" t="s">
        <v>292</v>
      </c>
      <c r="W1284" s="2" t="s">
        <v>104</v>
      </c>
      <c r="X1284" s="2" t="s">
        <v>4378</v>
      </c>
      <c r="Y1284" s="2" t="s">
        <v>4384</v>
      </c>
      <c r="Z1284" s="4">
        <v>153</v>
      </c>
      <c r="AA1284" s="4">
        <f>=ROUNDDOWN(30.6,0)</f>
      </c>
      <c r="AB1284" s="5">
        <v>5</v>
      </c>
      <c r="AC1284" s="2" t="s">
        <v>100</v>
      </c>
      <c r="AD1284" s="4"/>
      <c r="AE1284" s="4"/>
      <c r="AF1284" s="6">
        <v>63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128</v>
      </c>
      <c r="BK1284" s="8">
        <v>5921.36</v>
      </c>
      <c r="BL1284" s="2" t="s">
        <v>4428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2528</v>
      </c>
      <c r="BV1284" s="2" t="s">
        <v>97</v>
      </c>
      <c r="BW1284" s="2" t="s">
        <v>100</v>
      </c>
      <c r="BX1284" s="2" t="s">
        <v>100</v>
      </c>
      <c r="BY1284" s="2" t="s">
        <v>113</v>
      </c>
      <c r="BZ1284" s="2" t="s">
        <v>245</v>
      </c>
    </row>
    <row r="1285">
      <c r="A1285" s="2" t="s">
        <v>4429</v>
      </c>
      <c r="B1285" s="2" t="s">
        <v>3872</v>
      </c>
      <c r="C1285" s="2" t="s">
        <v>4347</v>
      </c>
      <c r="D1285" s="2" t="s">
        <v>3926</v>
      </c>
      <c r="E1285" s="2" t="s">
        <v>3882</v>
      </c>
      <c r="F1285" s="2" t="s">
        <v>4430</v>
      </c>
      <c r="G1285" s="2" t="s">
        <v>4430</v>
      </c>
      <c r="H1285" s="2" t="s">
        <v>4430</v>
      </c>
      <c r="I1285" s="2" t="s">
        <v>4431</v>
      </c>
      <c r="J1285" s="2" t="s">
        <v>3877</v>
      </c>
      <c r="K1285" s="2" t="s">
        <v>130</v>
      </c>
      <c r="L1285" s="3">
        <v>38.09</v>
      </c>
      <c r="M1285" s="3">
        <v>39.99</v>
      </c>
      <c r="N1285" s="3">
        <v>79.99</v>
      </c>
      <c r="O1285" s="2" t="s">
        <v>97</v>
      </c>
      <c r="P1285" s="2" t="s">
        <v>119</v>
      </c>
      <c r="Q1285" s="2" t="s">
        <v>99</v>
      </c>
      <c r="R1285" s="2" t="s">
        <v>100</v>
      </c>
      <c r="S1285" s="2" t="s">
        <v>100</v>
      </c>
      <c r="T1285" s="2" t="s">
        <v>100</v>
      </c>
      <c r="U1285" s="2" t="s">
        <v>514</v>
      </c>
      <c r="V1285" s="2" t="s">
        <v>2508</v>
      </c>
      <c r="W1285" s="2" t="s">
        <v>239</v>
      </c>
      <c r="X1285" s="2" t="s">
        <v>4366</v>
      </c>
      <c r="Y1285" s="2" t="s">
        <v>221</v>
      </c>
      <c r="Z1285" s="4">
        <v>63</v>
      </c>
      <c r="AA1285" s="4">
        <f>=ROUNDDOWN(15.75,0)</f>
      </c>
      <c r="AB1285" s="5">
        <v>4</v>
      </c>
      <c r="AC1285" s="2" t="s">
        <v>872</v>
      </c>
      <c r="AD1285" s="4">
        <v>70</v>
      </c>
      <c r="AE1285" s="4">
        <v>70</v>
      </c>
      <c r="AF1285" s="6">
        <v>65</v>
      </c>
      <c r="AG1285" s="6"/>
      <c r="AH1285" s="7">
        <v>0.8235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87</v>
      </c>
      <c r="BK1285" s="8">
        <v>3713.28</v>
      </c>
      <c r="BL1285" s="2" t="s">
        <v>4432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2528</v>
      </c>
      <c r="BV1285" s="2" t="s">
        <v>97</v>
      </c>
      <c r="BW1285" s="2" t="s">
        <v>100</v>
      </c>
      <c r="BX1285" s="2" t="s">
        <v>100</v>
      </c>
      <c r="BY1285" s="2" t="s">
        <v>113</v>
      </c>
      <c r="BZ1285" s="2" t="s">
        <v>100</v>
      </c>
    </row>
    <row r="1286">
      <c r="A1286" s="2" t="s">
        <v>4433</v>
      </c>
      <c r="B1286" s="2" t="s">
        <v>4434</v>
      </c>
      <c r="C1286" s="2" t="s">
        <v>88</v>
      </c>
      <c r="D1286" s="2" t="s">
        <v>4435</v>
      </c>
      <c r="E1286" s="2" t="s">
        <v>4436</v>
      </c>
      <c r="F1286" s="2" t="s">
        <v>4437</v>
      </c>
      <c r="G1286" s="2" t="s">
        <v>4438</v>
      </c>
      <c r="H1286" s="2" t="s">
        <v>4438</v>
      </c>
      <c r="I1286" s="2" t="s">
        <v>4439</v>
      </c>
      <c r="J1286" s="2" t="s">
        <v>1936</v>
      </c>
      <c r="K1286" s="2" t="s">
        <v>189</v>
      </c>
      <c r="L1286" s="3">
        <v>17.76</v>
      </c>
      <c r="M1286" s="3">
        <v>18.65</v>
      </c>
      <c r="N1286" s="3">
        <v>37.99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4440</v>
      </c>
      <c r="T1286" s="2" t="s">
        <v>4441</v>
      </c>
      <c r="U1286" s="2" t="s">
        <v>100</v>
      </c>
      <c r="V1286" s="2" t="s">
        <v>146</v>
      </c>
      <c r="W1286" s="2" t="s">
        <v>183</v>
      </c>
      <c r="X1286" s="2" t="s">
        <v>100</v>
      </c>
      <c r="Y1286" s="2" t="s">
        <v>240</v>
      </c>
      <c r="Z1286" s="4">
        <v>1818</v>
      </c>
      <c r="AA1286" s="4">
        <f>=ROUNDDOWN(18.9375,0)</f>
      </c>
      <c r="AB1286" s="5">
        <v>96</v>
      </c>
      <c r="AC1286" s="2" t="s">
        <v>123</v>
      </c>
      <c r="AD1286" s="4">
        <v>300</v>
      </c>
      <c r="AE1286" s="4">
        <v>1220</v>
      </c>
      <c r="AF1286" s="6">
        <v>65</v>
      </c>
      <c r="AG1286" s="6">
        <v>48</v>
      </c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>
        <v>30</v>
      </c>
      <c r="AQ1286" s="8">
        <v>519.3</v>
      </c>
      <c r="AR1286" s="4"/>
      <c r="AS1286" s="8"/>
      <c r="AT1286" s="7"/>
      <c r="AU1286" s="7"/>
      <c r="AV1286" s="4">
        <v>114</v>
      </c>
      <c r="AW1286" s="8">
        <v>2547.77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0.2038</v>
      </c>
      <c r="BC1286" s="4">
        <v>114</v>
      </c>
      <c r="BD1286" s="8">
        <v>2547.77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1</v>
      </c>
      <c r="BJ1286" s="4">
        <v>2407</v>
      </c>
      <c r="BK1286" s="8">
        <v>40495.61</v>
      </c>
      <c r="BL1286" s="2" t="s">
        <v>4442</v>
      </c>
      <c r="BM1286" s="7">
        <v>0.0125</v>
      </c>
      <c r="BN1286" s="7">
        <v>0.0128</v>
      </c>
      <c r="BO1286" s="4">
        <v>30</v>
      </c>
      <c r="BP1286" s="8">
        <v>519.3</v>
      </c>
      <c r="BQ1286" s="4"/>
      <c r="BR1286" s="8"/>
      <c r="BS1286" s="7"/>
      <c r="BT1286" s="7"/>
      <c r="BU1286" s="2" t="s">
        <v>109</v>
      </c>
      <c r="BV1286" s="2" t="s">
        <v>110</v>
      </c>
      <c r="BW1286" s="2" t="s">
        <v>4443</v>
      </c>
      <c r="BX1286" s="2" t="s">
        <v>4444</v>
      </c>
      <c r="BY1286" s="2" t="s">
        <v>113</v>
      </c>
      <c r="BZ1286" s="2" t="s">
        <v>100</v>
      </c>
    </row>
    <row r="1287">
      <c r="A1287" s="2" t="s">
        <v>4445</v>
      </c>
      <c r="B1287" s="2" t="s">
        <v>4434</v>
      </c>
      <c r="C1287" s="2" t="s">
        <v>88</v>
      </c>
      <c r="D1287" s="2" t="s">
        <v>4435</v>
      </c>
      <c r="E1287" s="2" t="s">
        <v>4436</v>
      </c>
      <c r="F1287" s="2" t="s">
        <v>4437</v>
      </c>
      <c r="G1287" s="2" t="s">
        <v>4438</v>
      </c>
      <c r="H1287" s="2" t="s">
        <v>4438</v>
      </c>
      <c r="I1287" s="2" t="s">
        <v>4439</v>
      </c>
      <c r="J1287" s="2" t="s">
        <v>2072</v>
      </c>
      <c r="K1287" s="2" t="s">
        <v>189</v>
      </c>
      <c r="L1287" s="3">
        <v>18.87</v>
      </c>
      <c r="M1287" s="3">
        <v>19.81</v>
      </c>
      <c r="N1287" s="3">
        <v>39.99</v>
      </c>
      <c r="O1287" s="2" t="s">
        <v>97</v>
      </c>
      <c r="P1287" s="2" t="s">
        <v>950</v>
      </c>
      <c r="Q1287" s="2" t="s">
        <v>99</v>
      </c>
      <c r="R1287" s="2" t="s">
        <v>100</v>
      </c>
      <c r="S1287" s="2" t="s">
        <v>4440</v>
      </c>
      <c r="T1287" s="2" t="s">
        <v>4441</v>
      </c>
      <c r="U1287" s="2" t="s">
        <v>100</v>
      </c>
      <c r="V1287" s="2" t="s">
        <v>146</v>
      </c>
      <c r="W1287" s="2" t="s">
        <v>183</v>
      </c>
      <c r="X1287" s="2" t="s">
        <v>100</v>
      </c>
      <c r="Y1287" s="2" t="s">
        <v>240</v>
      </c>
      <c r="Z1287" s="4">
        <v>2012</v>
      </c>
      <c r="AA1287" s="4">
        <f>=ROUNDDOWN(26.4736842105263,0)</f>
      </c>
      <c r="AB1287" s="5">
        <v>76</v>
      </c>
      <c r="AC1287" s="2" t="s">
        <v>123</v>
      </c>
      <c r="AD1287" s="4">
        <v>150</v>
      </c>
      <c r="AE1287" s="4">
        <v>150</v>
      </c>
      <c r="AF1287" s="6">
        <v>65</v>
      </c>
      <c r="AG1287" s="6">
        <v>48</v>
      </c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>
        <v>11</v>
      </c>
      <c r="AQ1287" s="8">
        <v>199.98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0.0785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2579</v>
      </c>
      <c r="BK1287" s="8">
        <v>47554.64</v>
      </c>
      <c r="BL1287" s="2" t="s">
        <v>4446</v>
      </c>
      <c r="BM1287" s="7">
        <v>0.0043</v>
      </c>
      <c r="BN1287" s="7">
        <v>0.0042</v>
      </c>
      <c r="BO1287" s="4">
        <v>11</v>
      </c>
      <c r="BP1287" s="8">
        <v>199.98</v>
      </c>
      <c r="BQ1287" s="4"/>
      <c r="BR1287" s="8"/>
      <c r="BS1287" s="7"/>
      <c r="BT1287" s="7"/>
      <c r="BU1287" s="2" t="s">
        <v>109</v>
      </c>
      <c r="BV1287" s="2" t="s">
        <v>110</v>
      </c>
      <c r="BW1287" s="2" t="s">
        <v>4443</v>
      </c>
      <c r="BX1287" s="2" t="s">
        <v>258</v>
      </c>
      <c r="BY1287" s="2" t="s">
        <v>113</v>
      </c>
      <c r="BZ1287" s="2" t="s">
        <v>100</v>
      </c>
    </row>
    <row r="1288">
      <c r="A1288" s="2" t="s">
        <v>4447</v>
      </c>
      <c r="B1288" s="2" t="s">
        <v>4434</v>
      </c>
      <c r="C1288" s="2" t="s">
        <v>88</v>
      </c>
      <c r="D1288" s="2" t="s">
        <v>4435</v>
      </c>
      <c r="E1288" s="2" t="s">
        <v>4436</v>
      </c>
      <c r="F1288" s="2" t="s">
        <v>4437</v>
      </c>
      <c r="G1288" s="2" t="s">
        <v>4438</v>
      </c>
      <c r="H1288" s="2" t="s">
        <v>4438</v>
      </c>
      <c r="I1288" s="2" t="s">
        <v>4439</v>
      </c>
      <c r="J1288" s="2" t="s">
        <v>717</v>
      </c>
      <c r="K1288" s="2" t="s">
        <v>189</v>
      </c>
      <c r="L1288" s="3">
        <v>22.35</v>
      </c>
      <c r="M1288" s="3">
        <v>23.47</v>
      </c>
      <c r="N1288" s="3">
        <v>47.99</v>
      </c>
      <c r="O1288" s="2" t="s">
        <v>97</v>
      </c>
      <c r="P1288" s="2" t="s">
        <v>372</v>
      </c>
      <c r="Q1288" s="2" t="s">
        <v>99</v>
      </c>
      <c r="R1288" s="2" t="s">
        <v>100</v>
      </c>
      <c r="S1288" s="2" t="s">
        <v>4440</v>
      </c>
      <c r="T1288" s="2" t="s">
        <v>4441</v>
      </c>
      <c r="U1288" s="2" t="s">
        <v>100</v>
      </c>
      <c r="V1288" s="2" t="s">
        <v>146</v>
      </c>
      <c r="W1288" s="2" t="s">
        <v>183</v>
      </c>
      <c r="X1288" s="2" t="s">
        <v>100</v>
      </c>
      <c r="Y1288" s="2" t="s">
        <v>240</v>
      </c>
      <c r="Z1288" s="4">
        <v>1986</v>
      </c>
      <c r="AA1288" s="4">
        <f>=ROUNDDOWN(20.4742268041237,0)</f>
      </c>
      <c r="AB1288" s="5">
        <v>97</v>
      </c>
      <c r="AC1288" s="2" t="s">
        <v>123</v>
      </c>
      <c r="AD1288" s="4">
        <v>100</v>
      </c>
      <c r="AE1288" s="4">
        <v>940</v>
      </c>
      <c r="AF1288" s="6">
        <v>65</v>
      </c>
      <c r="AG1288" s="6">
        <v>48</v>
      </c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>
        <v>34</v>
      </c>
      <c r="AQ1288" s="8">
        <v>738.14</v>
      </c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0.2897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2212</v>
      </c>
      <c r="BK1288" s="8">
        <v>49533.54</v>
      </c>
      <c r="BL1288" s="2" t="s">
        <v>4448</v>
      </c>
      <c r="BM1288" s="7">
        <v>0.0154</v>
      </c>
      <c r="BN1288" s="7">
        <v>0.0149</v>
      </c>
      <c r="BO1288" s="4">
        <v>34</v>
      </c>
      <c r="BP1288" s="8">
        <v>738.14</v>
      </c>
      <c r="BQ1288" s="4"/>
      <c r="BR1288" s="8"/>
      <c r="BS1288" s="7"/>
      <c r="BT1288" s="7"/>
      <c r="BU1288" s="2" t="s">
        <v>109</v>
      </c>
      <c r="BV1288" s="2" t="s">
        <v>110</v>
      </c>
      <c r="BW1288" s="2" t="s">
        <v>4443</v>
      </c>
      <c r="BX1288" s="2" t="s">
        <v>4449</v>
      </c>
      <c r="BY1288" s="2" t="s">
        <v>113</v>
      </c>
      <c r="BZ1288" s="2" t="s">
        <v>100</v>
      </c>
    </row>
    <row r="1289">
      <c r="A1289" s="2" t="s">
        <v>4450</v>
      </c>
      <c r="B1289" s="2" t="s">
        <v>4434</v>
      </c>
      <c r="C1289" s="2" t="s">
        <v>88</v>
      </c>
      <c r="D1289" s="2" t="s">
        <v>4435</v>
      </c>
      <c r="E1289" s="2" t="s">
        <v>4436</v>
      </c>
      <c r="F1289" s="2" t="s">
        <v>4437</v>
      </c>
      <c r="G1289" s="2" t="s">
        <v>4438</v>
      </c>
      <c r="H1289" s="2" t="s">
        <v>4438</v>
      </c>
      <c r="I1289" s="2" t="s">
        <v>4439</v>
      </c>
      <c r="J1289" s="2" t="s">
        <v>706</v>
      </c>
      <c r="K1289" s="2" t="s">
        <v>189</v>
      </c>
      <c r="L1289" s="3">
        <v>25.91</v>
      </c>
      <c r="M1289" s="3">
        <v>27.21</v>
      </c>
      <c r="N1289" s="3">
        <v>52.99</v>
      </c>
      <c r="O1289" s="2" t="s">
        <v>97</v>
      </c>
      <c r="P1289" s="2" t="s">
        <v>307</v>
      </c>
      <c r="Q1289" s="2" t="s">
        <v>99</v>
      </c>
      <c r="R1289" s="2" t="s">
        <v>100</v>
      </c>
      <c r="S1289" s="2" t="s">
        <v>4440</v>
      </c>
      <c r="T1289" s="2" t="s">
        <v>4441</v>
      </c>
      <c r="U1289" s="2" t="s">
        <v>100</v>
      </c>
      <c r="V1289" s="2" t="s">
        <v>146</v>
      </c>
      <c r="W1289" s="2" t="s">
        <v>183</v>
      </c>
      <c r="X1289" s="2" t="s">
        <v>100</v>
      </c>
      <c r="Y1289" s="2" t="s">
        <v>240</v>
      </c>
      <c r="Z1289" s="4">
        <v>4750</v>
      </c>
      <c r="AA1289" s="4">
        <f>=ROUNDDOWN(26.9886363636364,0)</f>
      </c>
      <c r="AB1289" s="5">
        <v>176</v>
      </c>
      <c r="AC1289" s="2" t="s">
        <v>123</v>
      </c>
      <c r="AD1289" s="4">
        <v>100</v>
      </c>
      <c r="AE1289" s="4">
        <v>1400</v>
      </c>
      <c r="AF1289" s="6">
        <v>65</v>
      </c>
      <c r="AG1289" s="6">
        <v>48</v>
      </c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>
        <v>9</v>
      </c>
      <c r="AQ1289" s="8">
        <v>224.55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0.0881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4502</v>
      </c>
      <c r="BK1289" s="8">
        <v>112978.08</v>
      </c>
      <c r="BL1289" s="2" t="s">
        <v>4451</v>
      </c>
      <c r="BM1289" s="7">
        <v>0.002</v>
      </c>
      <c r="BN1289" s="7">
        <v>0.002</v>
      </c>
      <c r="BO1289" s="4">
        <v>9</v>
      </c>
      <c r="BP1289" s="8">
        <v>224.55</v>
      </c>
      <c r="BQ1289" s="4"/>
      <c r="BR1289" s="8"/>
      <c r="BS1289" s="7"/>
      <c r="BT1289" s="7"/>
      <c r="BU1289" s="2" t="s">
        <v>109</v>
      </c>
      <c r="BV1289" s="2" t="s">
        <v>110</v>
      </c>
      <c r="BW1289" s="2" t="s">
        <v>4443</v>
      </c>
      <c r="BX1289" s="2" t="s">
        <v>4452</v>
      </c>
      <c r="BY1289" s="2" t="s">
        <v>113</v>
      </c>
      <c r="BZ1289" s="2" t="s">
        <v>100</v>
      </c>
    </row>
    <row r="1290">
      <c r="A1290" s="2" t="s">
        <v>4453</v>
      </c>
      <c r="B1290" s="2" t="s">
        <v>4434</v>
      </c>
      <c r="C1290" s="2" t="s">
        <v>88</v>
      </c>
      <c r="D1290" s="2" t="s">
        <v>4435</v>
      </c>
      <c r="E1290" s="2" t="s">
        <v>4436</v>
      </c>
      <c r="F1290" s="2" t="s">
        <v>4437</v>
      </c>
      <c r="G1290" s="2" t="s">
        <v>4438</v>
      </c>
      <c r="H1290" s="2" t="s">
        <v>4438</v>
      </c>
      <c r="I1290" s="2" t="s">
        <v>4439</v>
      </c>
      <c r="J1290" s="2" t="s">
        <v>714</v>
      </c>
      <c r="K1290" s="2" t="s">
        <v>189</v>
      </c>
      <c r="L1290" s="3">
        <v>29.69</v>
      </c>
      <c r="M1290" s="3">
        <v>31.17</v>
      </c>
      <c r="N1290" s="3">
        <v>59.99</v>
      </c>
      <c r="O1290" s="2" t="s">
        <v>97</v>
      </c>
      <c r="P1290" s="2" t="s">
        <v>372</v>
      </c>
      <c r="Q1290" s="2" t="s">
        <v>99</v>
      </c>
      <c r="R1290" s="2" t="s">
        <v>100</v>
      </c>
      <c r="S1290" s="2" t="s">
        <v>4440</v>
      </c>
      <c r="T1290" s="2" t="s">
        <v>4441</v>
      </c>
      <c r="U1290" s="2" t="s">
        <v>100</v>
      </c>
      <c r="V1290" s="2" t="s">
        <v>146</v>
      </c>
      <c r="W1290" s="2" t="s">
        <v>183</v>
      </c>
      <c r="X1290" s="2" t="s">
        <v>100</v>
      </c>
      <c r="Y1290" s="2" t="s">
        <v>240</v>
      </c>
      <c r="Z1290" s="4">
        <v>1979</v>
      </c>
      <c r="AA1290" s="4">
        <f>=ROUNDDOWN(19.5940594059406,0)</f>
      </c>
      <c r="AB1290" s="5">
        <v>101</v>
      </c>
      <c r="AC1290" s="2" t="s">
        <v>123</v>
      </c>
      <c r="AD1290" s="4">
        <v>250</v>
      </c>
      <c r="AE1290" s="4">
        <v>1050</v>
      </c>
      <c r="AF1290" s="6">
        <v>65</v>
      </c>
      <c r="AG1290" s="6">
        <v>48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14</v>
      </c>
      <c r="AQ1290" s="8">
        <v>404.04</v>
      </c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0.1586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2104</v>
      </c>
      <c r="BK1290" s="8">
        <v>63588.08</v>
      </c>
      <c r="BL1290" s="2" t="s">
        <v>4454</v>
      </c>
      <c r="BM1290" s="7">
        <v>0.0067</v>
      </c>
      <c r="BN1290" s="7">
        <v>0.0064</v>
      </c>
      <c r="BO1290" s="4">
        <v>14</v>
      </c>
      <c r="BP1290" s="8">
        <v>404.04</v>
      </c>
      <c r="BQ1290" s="4"/>
      <c r="BR1290" s="8"/>
      <c r="BS1290" s="7"/>
      <c r="BT1290" s="7"/>
      <c r="BU1290" s="2" t="s">
        <v>109</v>
      </c>
      <c r="BV1290" s="2" t="s">
        <v>110</v>
      </c>
      <c r="BW1290" s="2" t="s">
        <v>4443</v>
      </c>
      <c r="BX1290" s="2" t="s">
        <v>4455</v>
      </c>
      <c r="BY1290" s="2" t="s">
        <v>113</v>
      </c>
      <c r="BZ1290" s="2" t="s">
        <v>100</v>
      </c>
    </row>
    <row r="1291">
      <c r="A1291" s="2" t="s">
        <v>4456</v>
      </c>
      <c r="B1291" s="2" t="s">
        <v>4434</v>
      </c>
      <c r="C1291" s="2" t="s">
        <v>88</v>
      </c>
      <c r="D1291" s="2" t="s">
        <v>4435</v>
      </c>
      <c r="E1291" s="2" t="s">
        <v>4436</v>
      </c>
      <c r="F1291" s="2" t="s">
        <v>4437</v>
      </c>
      <c r="G1291" s="2" t="s">
        <v>4438</v>
      </c>
      <c r="H1291" s="2" t="s">
        <v>4438</v>
      </c>
      <c r="I1291" s="2" t="s">
        <v>4439</v>
      </c>
      <c r="J1291" s="2" t="s">
        <v>817</v>
      </c>
      <c r="K1291" s="2" t="s">
        <v>189</v>
      </c>
      <c r="L1291" s="3">
        <v>29.69</v>
      </c>
      <c r="M1291" s="3">
        <v>31.17</v>
      </c>
      <c r="N1291" s="3">
        <v>59.99</v>
      </c>
      <c r="O1291" s="2" t="s">
        <v>97</v>
      </c>
      <c r="P1291" s="2" t="s">
        <v>950</v>
      </c>
      <c r="Q1291" s="2" t="s">
        <v>99</v>
      </c>
      <c r="R1291" s="2" t="s">
        <v>100</v>
      </c>
      <c r="S1291" s="2" t="s">
        <v>4440</v>
      </c>
      <c r="T1291" s="2" t="s">
        <v>4441</v>
      </c>
      <c r="U1291" s="2" t="s">
        <v>100</v>
      </c>
      <c r="V1291" s="2" t="s">
        <v>146</v>
      </c>
      <c r="W1291" s="2" t="s">
        <v>183</v>
      </c>
      <c r="X1291" s="2" t="s">
        <v>100</v>
      </c>
      <c r="Y1291" s="2" t="s">
        <v>240</v>
      </c>
      <c r="Z1291" s="4">
        <v>737</v>
      </c>
      <c r="AA1291" s="4">
        <f>=ROUNDDOWN(21.6764705882353,0)</f>
      </c>
      <c r="AB1291" s="5">
        <v>34</v>
      </c>
      <c r="AC1291" s="2" t="s">
        <v>123</v>
      </c>
      <c r="AD1291" s="4">
        <v>50</v>
      </c>
      <c r="AE1291" s="4">
        <v>400</v>
      </c>
      <c r="AF1291" s="6">
        <v>65</v>
      </c>
      <c r="AG1291" s="6">
        <v>48</v>
      </c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>
        <v>16</v>
      </c>
      <c r="AQ1291" s="8">
        <v>461.76</v>
      </c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0.1812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567</v>
      </c>
      <c r="BK1291" s="8">
        <v>17320.13</v>
      </c>
      <c r="BL1291" s="2" t="s">
        <v>4457</v>
      </c>
      <c r="BM1291" s="7">
        <v>0.0282</v>
      </c>
      <c r="BN1291" s="7">
        <v>0.0267</v>
      </c>
      <c r="BO1291" s="4">
        <v>16</v>
      </c>
      <c r="BP1291" s="8">
        <v>461.76</v>
      </c>
      <c r="BQ1291" s="4"/>
      <c r="BR1291" s="8"/>
      <c r="BS1291" s="7"/>
      <c r="BT1291" s="7"/>
      <c r="BU1291" s="2" t="s">
        <v>109</v>
      </c>
      <c r="BV1291" s="2" t="s">
        <v>110</v>
      </c>
      <c r="BW1291" s="2" t="s">
        <v>4443</v>
      </c>
      <c r="BX1291" s="2" t="s">
        <v>4458</v>
      </c>
      <c r="BY1291" s="2" t="s">
        <v>113</v>
      </c>
      <c r="BZ1291" s="2" t="s">
        <v>100</v>
      </c>
    </row>
    <row r="1292">
      <c r="A1292" s="2" t="s">
        <v>4459</v>
      </c>
      <c r="B1292" s="2" t="s">
        <v>4434</v>
      </c>
      <c r="C1292" s="2" t="s">
        <v>88</v>
      </c>
      <c r="D1292" s="2" t="s">
        <v>4435</v>
      </c>
      <c r="E1292" s="2" t="s">
        <v>4436</v>
      </c>
      <c r="F1292" s="2" t="s">
        <v>4460</v>
      </c>
      <c r="G1292" s="2" t="s">
        <v>4461</v>
      </c>
      <c r="H1292" s="2" t="s">
        <v>4461</v>
      </c>
      <c r="I1292" s="2" t="s">
        <v>4462</v>
      </c>
      <c r="J1292" s="2" t="s">
        <v>1936</v>
      </c>
      <c r="K1292" s="2" t="s">
        <v>189</v>
      </c>
      <c r="L1292" s="3">
        <v>17.01</v>
      </c>
      <c r="M1292" s="3">
        <v>17.86</v>
      </c>
      <c r="N1292" s="3">
        <v>37.99</v>
      </c>
      <c r="O1292" s="2" t="s">
        <v>97</v>
      </c>
      <c r="P1292" s="2" t="s">
        <v>119</v>
      </c>
      <c r="Q1292" s="2" t="s">
        <v>99</v>
      </c>
      <c r="R1292" s="2" t="s">
        <v>100</v>
      </c>
      <c r="S1292" s="2" t="s">
        <v>4463</v>
      </c>
      <c r="T1292" s="2" t="s">
        <v>280</v>
      </c>
      <c r="U1292" s="2" t="s">
        <v>100</v>
      </c>
      <c r="V1292" s="2" t="s">
        <v>146</v>
      </c>
      <c r="W1292" s="2" t="s">
        <v>183</v>
      </c>
      <c r="X1292" s="2" t="s">
        <v>100</v>
      </c>
      <c r="Y1292" s="2" t="s">
        <v>240</v>
      </c>
      <c r="Z1292" s="4">
        <v>274</v>
      </c>
      <c r="AA1292" s="4">
        <f>=ROUNDDOWN(24.9090909090909,0)</f>
      </c>
      <c r="AB1292" s="5">
        <v>11</v>
      </c>
      <c r="AC1292" s="2" t="s">
        <v>320</v>
      </c>
      <c r="AD1292" s="4">
        <v>70</v>
      </c>
      <c r="AE1292" s="4">
        <v>260</v>
      </c>
      <c r="AF1292" s="6">
        <v>65</v>
      </c>
      <c r="AG1292" s="6">
        <v>73</v>
      </c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>
        <v>2</v>
      </c>
      <c r="AQ1292" s="8">
        <v>33.26</v>
      </c>
      <c r="AR1292" s="4"/>
      <c r="AS1292" s="8"/>
      <c r="AT1292" s="7"/>
      <c r="AU1292" s="7"/>
      <c r="AV1292" s="4">
        <v>32</v>
      </c>
      <c r="AW1292" s="8">
        <v>636.56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0.0522</v>
      </c>
      <c r="BC1292" s="4">
        <v>32</v>
      </c>
      <c r="BD1292" s="8">
        <v>636.56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>
        <v>1</v>
      </c>
      <c r="BJ1292" s="4">
        <v>223</v>
      </c>
      <c r="BK1292" s="8">
        <v>4006.27</v>
      </c>
      <c r="BL1292" s="2" t="s">
        <v>4464</v>
      </c>
      <c r="BM1292" s="7">
        <v>0.009</v>
      </c>
      <c r="BN1292" s="7">
        <v>0.0083</v>
      </c>
      <c r="BO1292" s="4">
        <v>2</v>
      </c>
      <c r="BP1292" s="8">
        <v>33.26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243</v>
      </c>
      <c r="BX1292" s="2" t="s">
        <v>926</v>
      </c>
      <c r="BY1292" s="2" t="s">
        <v>113</v>
      </c>
      <c r="BZ1292" s="2" t="s">
        <v>100</v>
      </c>
    </row>
    <row r="1293">
      <c r="A1293" s="2" t="s">
        <v>4465</v>
      </c>
      <c r="B1293" s="2" t="s">
        <v>4434</v>
      </c>
      <c r="C1293" s="2" t="s">
        <v>88</v>
      </c>
      <c r="D1293" s="2" t="s">
        <v>4435</v>
      </c>
      <c r="E1293" s="2" t="s">
        <v>4436</v>
      </c>
      <c r="F1293" s="2" t="s">
        <v>4460</v>
      </c>
      <c r="G1293" s="2" t="s">
        <v>4461</v>
      </c>
      <c r="H1293" s="2" t="s">
        <v>4461</v>
      </c>
      <c r="I1293" s="2" t="s">
        <v>4462</v>
      </c>
      <c r="J1293" s="2" t="s">
        <v>2072</v>
      </c>
      <c r="K1293" s="2" t="s">
        <v>189</v>
      </c>
      <c r="L1293" s="3">
        <v>17.23</v>
      </c>
      <c r="M1293" s="3">
        <v>18.09</v>
      </c>
      <c r="N1293" s="3">
        <v>39.99</v>
      </c>
      <c r="O1293" s="2" t="s">
        <v>97</v>
      </c>
      <c r="P1293" s="2" t="s">
        <v>119</v>
      </c>
      <c r="Q1293" s="2" t="s">
        <v>99</v>
      </c>
      <c r="R1293" s="2" t="s">
        <v>100</v>
      </c>
      <c r="S1293" s="2" t="s">
        <v>4463</v>
      </c>
      <c r="T1293" s="2" t="s">
        <v>280</v>
      </c>
      <c r="U1293" s="2" t="s">
        <v>100</v>
      </c>
      <c r="V1293" s="2" t="s">
        <v>146</v>
      </c>
      <c r="W1293" s="2" t="s">
        <v>183</v>
      </c>
      <c r="X1293" s="2" t="s">
        <v>100</v>
      </c>
      <c r="Y1293" s="2" t="s">
        <v>240</v>
      </c>
      <c r="Z1293" s="4">
        <v>687</v>
      </c>
      <c r="AA1293" s="4">
        <f>=ROUNDDOWN(40.4117647058823,0)</f>
      </c>
      <c r="AB1293" s="5">
        <v>17</v>
      </c>
      <c r="AC1293" s="2" t="s">
        <v>320</v>
      </c>
      <c r="AD1293" s="4">
        <v>130</v>
      </c>
      <c r="AE1293" s="4">
        <v>300</v>
      </c>
      <c r="AF1293" s="6">
        <v>65</v>
      </c>
      <c r="AG1293" s="6">
        <v>73</v>
      </c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>
        <v>9</v>
      </c>
      <c r="AQ1293" s="8">
        <v>149.67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0.2351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437</v>
      </c>
      <c r="BK1293" s="8">
        <v>8300.65</v>
      </c>
      <c r="BL1293" s="2" t="s">
        <v>4466</v>
      </c>
      <c r="BM1293" s="7">
        <v>0.0206</v>
      </c>
      <c r="BN1293" s="7">
        <v>0.018</v>
      </c>
      <c r="BO1293" s="4">
        <v>9</v>
      </c>
      <c r="BP1293" s="8">
        <v>149.67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243</v>
      </c>
      <c r="BX1293" s="2" t="s">
        <v>244</v>
      </c>
      <c r="BY1293" s="2" t="s">
        <v>113</v>
      </c>
      <c r="BZ1293" s="2" t="s">
        <v>100</v>
      </c>
    </row>
    <row r="1294">
      <c r="A1294" s="2" t="s">
        <v>4467</v>
      </c>
      <c r="B1294" s="2" t="s">
        <v>4434</v>
      </c>
      <c r="C1294" s="2" t="s">
        <v>88</v>
      </c>
      <c r="D1294" s="2" t="s">
        <v>4435</v>
      </c>
      <c r="E1294" s="2" t="s">
        <v>4436</v>
      </c>
      <c r="F1294" s="2" t="s">
        <v>4460</v>
      </c>
      <c r="G1294" s="2" t="s">
        <v>4461</v>
      </c>
      <c r="H1294" s="2" t="s">
        <v>4461</v>
      </c>
      <c r="I1294" s="2" t="s">
        <v>4462</v>
      </c>
      <c r="J1294" s="2" t="s">
        <v>717</v>
      </c>
      <c r="K1294" s="2" t="s">
        <v>189</v>
      </c>
      <c r="L1294" s="3">
        <v>20.41</v>
      </c>
      <c r="M1294" s="3">
        <v>21.43</v>
      </c>
      <c r="N1294" s="3">
        <v>49.99</v>
      </c>
      <c r="O1294" s="2" t="s">
        <v>97</v>
      </c>
      <c r="P1294" s="2" t="s">
        <v>119</v>
      </c>
      <c r="Q1294" s="2" t="s">
        <v>99</v>
      </c>
      <c r="R1294" s="2" t="s">
        <v>100</v>
      </c>
      <c r="S1294" s="2" t="s">
        <v>4463</v>
      </c>
      <c r="T1294" s="2" t="s">
        <v>280</v>
      </c>
      <c r="U1294" s="2" t="s">
        <v>100</v>
      </c>
      <c r="V1294" s="2" t="s">
        <v>146</v>
      </c>
      <c r="W1294" s="2" t="s">
        <v>183</v>
      </c>
      <c r="X1294" s="2" t="s">
        <v>100</v>
      </c>
      <c r="Y1294" s="2" t="s">
        <v>240</v>
      </c>
      <c r="Z1294" s="4">
        <v>302</v>
      </c>
      <c r="AA1294" s="4">
        <f>=ROUNDDOWN(25.1666666666667,0)</f>
      </c>
      <c r="AB1294" s="5">
        <v>12</v>
      </c>
      <c r="AC1294" s="2" t="s">
        <v>320</v>
      </c>
      <c r="AD1294" s="4">
        <v>60</v>
      </c>
      <c r="AE1294" s="4">
        <v>190</v>
      </c>
      <c r="AF1294" s="6">
        <v>65</v>
      </c>
      <c r="AG1294" s="6">
        <v>73</v>
      </c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>
        <v>15</v>
      </c>
      <c r="AQ1294" s="8">
        <v>297.75</v>
      </c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0.4677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 t="s">
        <v>100</v>
      </c>
      <c r="BJ1294" s="4">
        <v>356</v>
      </c>
      <c r="BK1294" s="8">
        <v>7834.26</v>
      </c>
      <c r="BL1294" s="2" t="s">
        <v>4468</v>
      </c>
      <c r="BM1294" s="7">
        <v>0.0421</v>
      </c>
      <c r="BN1294" s="7">
        <v>0.038</v>
      </c>
      <c r="BO1294" s="4">
        <v>15</v>
      </c>
      <c r="BP1294" s="8">
        <v>297.75</v>
      </c>
      <c r="BQ1294" s="4"/>
      <c r="BR1294" s="8"/>
      <c r="BS1294" s="7"/>
      <c r="BT1294" s="7"/>
      <c r="BU1294" s="2" t="s">
        <v>109</v>
      </c>
      <c r="BV1294" s="2" t="s">
        <v>110</v>
      </c>
      <c r="BW1294" s="2" t="s">
        <v>243</v>
      </c>
      <c r="BX1294" s="2" t="s">
        <v>4469</v>
      </c>
      <c r="BY1294" s="2" t="s">
        <v>113</v>
      </c>
      <c r="BZ1294" s="2" t="s">
        <v>100</v>
      </c>
    </row>
    <row r="1295">
      <c r="A1295" s="2" t="s">
        <v>4470</v>
      </c>
      <c r="B1295" s="2" t="s">
        <v>4434</v>
      </c>
      <c r="C1295" s="2" t="s">
        <v>88</v>
      </c>
      <c r="D1295" s="2" t="s">
        <v>4435</v>
      </c>
      <c r="E1295" s="2" t="s">
        <v>4436</v>
      </c>
      <c r="F1295" s="2" t="s">
        <v>4460</v>
      </c>
      <c r="G1295" s="2" t="s">
        <v>4461</v>
      </c>
      <c r="H1295" s="2" t="s">
        <v>4461</v>
      </c>
      <c r="I1295" s="2" t="s">
        <v>4462</v>
      </c>
      <c r="J1295" s="2" t="s">
        <v>706</v>
      </c>
      <c r="K1295" s="2" t="s">
        <v>189</v>
      </c>
      <c r="L1295" s="3">
        <v>23.22</v>
      </c>
      <c r="M1295" s="3">
        <v>24.38</v>
      </c>
      <c r="N1295" s="3">
        <v>54.99</v>
      </c>
      <c r="O1295" s="2" t="s">
        <v>97</v>
      </c>
      <c r="P1295" s="2" t="s">
        <v>119</v>
      </c>
      <c r="Q1295" s="2" t="s">
        <v>99</v>
      </c>
      <c r="R1295" s="2" t="s">
        <v>100</v>
      </c>
      <c r="S1295" s="2" t="s">
        <v>4463</v>
      </c>
      <c r="T1295" s="2" t="s">
        <v>280</v>
      </c>
      <c r="U1295" s="2" t="s">
        <v>100</v>
      </c>
      <c r="V1295" s="2" t="s">
        <v>146</v>
      </c>
      <c r="W1295" s="2" t="s">
        <v>183</v>
      </c>
      <c r="X1295" s="2" t="s">
        <v>100</v>
      </c>
      <c r="Y1295" s="2" t="s">
        <v>240</v>
      </c>
      <c r="Z1295" s="4">
        <v>402</v>
      </c>
      <c r="AA1295" s="4">
        <f>=ROUNDDOWN(14.3571428571429,0)</f>
      </c>
      <c r="AB1295" s="5">
        <v>28</v>
      </c>
      <c r="AC1295" s="2" t="s">
        <v>320</v>
      </c>
      <c r="AD1295" s="4">
        <v>130</v>
      </c>
      <c r="AE1295" s="4">
        <v>540</v>
      </c>
      <c r="AF1295" s="6">
        <v>65</v>
      </c>
      <c r="AG1295" s="6">
        <v>73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>
        <v>6</v>
      </c>
      <c r="AQ1295" s="8">
        <v>155.88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0.2449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662</v>
      </c>
      <c r="BK1295" s="8">
        <v>16689.65</v>
      </c>
      <c r="BL1295" s="2" t="s">
        <v>4471</v>
      </c>
      <c r="BM1295" s="7">
        <v>0.0091</v>
      </c>
      <c r="BN1295" s="7">
        <v>0.0093</v>
      </c>
      <c r="BO1295" s="4">
        <v>6</v>
      </c>
      <c r="BP1295" s="8">
        <v>155.88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243</v>
      </c>
      <c r="BX1295" s="2" t="s">
        <v>244</v>
      </c>
      <c r="BY1295" s="2" t="s">
        <v>113</v>
      </c>
      <c r="BZ1295" s="2" t="s">
        <v>100</v>
      </c>
    </row>
    <row r="1296">
      <c r="A1296" s="2" t="s">
        <v>4472</v>
      </c>
      <c r="B1296" s="2" t="s">
        <v>4434</v>
      </c>
      <c r="C1296" s="2" t="s">
        <v>88</v>
      </c>
      <c r="D1296" s="2" t="s">
        <v>4473</v>
      </c>
      <c r="E1296" s="2" t="s">
        <v>4474</v>
      </c>
      <c r="F1296" s="2" t="s">
        <v>4475</v>
      </c>
      <c r="G1296" s="2" t="s">
        <v>4476</v>
      </c>
      <c r="H1296" s="2" t="s">
        <v>4476</v>
      </c>
      <c r="I1296" s="2" t="s">
        <v>4477</v>
      </c>
      <c r="J1296" s="2" t="s">
        <v>247</v>
      </c>
      <c r="K1296" s="2" t="s">
        <v>512</v>
      </c>
      <c r="L1296" s="3">
        <v>22.05</v>
      </c>
      <c r="M1296" s="3">
        <v>23.15</v>
      </c>
      <c r="N1296" s="3">
        <v>44.99</v>
      </c>
      <c r="O1296" s="2" t="s">
        <v>97</v>
      </c>
      <c r="P1296" s="2" t="s">
        <v>119</v>
      </c>
      <c r="Q1296" s="2" t="s">
        <v>99</v>
      </c>
      <c r="R1296" s="2" t="s">
        <v>100</v>
      </c>
      <c r="S1296" s="2" t="s">
        <v>100</v>
      </c>
      <c r="T1296" s="2" t="s">
        <v>218</v>
      </c>
      <c r="U1296" s="2" t="s">
        <v>100</v>
      </c>
      <c r="V1296" s="2" t="s">
        <v>146</v>
      </c>
      <c r="W1296" s="2" t="s">
        <v>183</v>
      </c>
      <c r="X1296" s="2" t="s">
        <v>100</v>
      </c>
      <c r="Y1296" s="2" t="s">
        <v>2054</v>
      </c>
      <c r="Z1296" s="4">
        <v>780</v>
      </c>
      <c r="AA1296" s="4">
        <f>=ROUNDDOWN(15,0)</f>
      </c>
      <c r="AB1296" s="5">
        <v>52</v>
      </c>
      <c r="AC1296" s="2" t="s">
        <v>282</v>
      </c>
      <c r="AD1296" s="4">
        <v>70</v>
      </c>
      <c r="AE1296" s="4">
        <v>584</v>
      </c>
      <c r="AF1296" s="6">
        <v>65</v>
      </c>
      <c r="AG1296" s="6"/>
      <c r="AH1296" s="7">
        <v>0.9091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>
        <v>35</v>
      </c>
      <c r="AQ1296" s="8">
        <v>761.95</v>
      </c>
      <c r="AR1296" s="4"/>
      <c r="AS1296" s="8"/>
      <c r="AT1296" s="7"/>
      <c r="AU1296" s="7"/>
      <c r="AV1296" s="4">
        <v>35</v>
      </c>
      <c r="AW1296" s="8">
        <v>761.95</v>
      </c>
      <c r="AX1296" s="4"/>
      <c r="AY1296" s="8"/>
      <c r="AZ1296" s="7"/>
      <c r="BA1296" s="7"/>
      <c r="BB1296" s="7">
        <v>1</v>
      </c>
      <c r="BC1296" s="4">
        <v>105</v>
      </c>
      <c r="BD1296" s="8">
        <v>2287.64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0.3331</v>
      </c>
      <c r="BJ1296" s="4">
        <v>1784</v>
      </c>
      <c r="BK1296" s="8">
        <v>39223.66</v>
      </c>
      <c r="BL1296" s="2" t="s">
        <v>4478</v>
      </c>
      <c r="BM1296" s="7">
        <v>0.0196</v>
      </c>
      <c r="BN1296" s="7">
        <v>0.0194</v>
      </c>
      <c r="BO1296" s="4">
        <v>35</v>
      </c>
      <c r="BP1296" s="8">
        <v>761.95</v>
      </c>
      <c r="BQ1296" s="4"/>
      <c r="BR1296" s="8"/>
      <c r="BS1296" s="7"/>
      <c r="BT1296" s="7"/>
      <c r="BU1296" s="2" t="s">
        <v>109</v>
      </c>
      <c r="BV1296" s="2" t="s">
        <v>110</v>
      </c>
      <c r="BW1296" s="2" t="s">
        <v>137</v>
      </c>
      <c r="BX1296" s="2" t="s">
        <v>4479</v>
      </c>
      <c r="BY1296" s="2" t="s">
        <v>113</v>
      </c>
      <c r="BZ1296" s="2" t="s">
        <v>100</v>
      </c>
    </row>
    <row r="1297">
      <c r="A1297" s="2" t="s">
        <v>4480</v>
      </c>
      <c r="B1297" s="2" t="s">
        <v>4434</v>
      </c>
      <c r="C1297" s="2" t="s">
        <v>88</v>
      </c>
      <c r="D1297" s="2" t="s">
        <v>4473</v>
      </c>
      <c r="E1297" s="2" t="s">
        <v>4474</v>
      </c>
      <c r="F1297" s="2" t="s">
        <v>4475</v>
      </c>
      <c r="G1297" s="2" t="s">
        <v>4476</v>
      </c>
      <c r="H1297" s="2" t="s">
        <v>4476</v>
      </c>
      <c r="I1297" s="2" t="s">
        <v>4477</v>
      </c>
      <c r="J1297" s="2" t="s">
        <v>1936</v>
      </c>
      <c r="K1297" s="2" t="s">
        <v>360</v>
      </c>
      <c r="L1297" s="3">
        <v>16.45</v>
      </c>
      <c r="M1297" s="3">
        <v>17.27</v>
      </c>
      <c r="N1297" s="3">
        <v>34.99</v>
      </c>
      <c r="O1297" s="2" t="s">
        <v>97</v>
      </c>
      <c r="P1297" s="2" t="s">
        <v>119</v>
      </c>
      <c r="Q1297" s="2" t="s">
        <v>99</v>
      </c>
      <c r="R1297" s="2" t="s">
        <v>100</v>
      </c>
      <c r="S1297" s="2" t="s">
        <v>4481</v>
      </c>
      <c r="T1297" s="2" t="s">
        <v>218</v>
      </c>
      <c r="U1297" s="2" t="s">
        <v>1847</v>
      </c>
      <c r="V1297" s="2" t="s">
        <v>146</v>
      </c>
      <c r="W1297" s="2" t="s">
        <v>183</v>
      </c>
      <c r="X1297" s="2" t="s">
        <v>104</v>
      </c>
      <c r="Y1297" s="2" t="s">
        <v>4482</v>
      </c>
      <c r="Z1297" s="4">
        <v>373</v>
      </c>
      <c r="AA1297" s="4">
        <f>=ROUNDDOWN(10.9705882352941,0)</f>
      </c>
      <c r="AB1297" s="5">
        <v>34</v>
      </c>
      <c r="AC1297" s="2" t="s">
        <v>184</v>
      </c>
      <c r="AD1297" s="4">
        <v>130</v>
      </c>
      <c r="AE1297" s="4">
        <v>820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>
        <v>13</v>
      </c>
      <c r="AQ1297" s="8">
        <v>224.51</v>
      </c>
      <c r="AR1297" s="4"/>
      <c r="AS1297" s="8"/>
      <c r="AT1297" s="7"/>
      <c r="AU1297" s="7"/>
      <c r="AV1297" s="4">
        <v>21</v>
      </c>
      <c r="AW1297" s="8">
        <v>409.71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0.548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0.1791</v>
      </c>
      <c r="BJ1297" s="4">
        <v>939</v>
      </c>
      <c r="BK1297" s="8">
        <v>16581.37</v>
      </c>
      <c r="BL1297" s="2" t="s">
        <v>963</v>
      </c>
      <c r="BM1297" s="7">
        <v>0.0138</v>
      </c>
      <c r="BN1297" s="7">
        <v>0.0135</v>
      </c>
      <c r="BO1297" s="4">
        <v>13</v>
      </c>
      <c r="BP1297" s="8">
        <v>224.51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4483</v>
      </c>
      <c r="BX1297" s="2" t="s">
        <v>4484</v>
      </c>
      <c r="BY1297" s="2" t="s">
        <v>113</v>
      </c>
      <c r="BZ1297" s="2" t="s">
        <v>100</v>
      </c>
    </row>
    <row r="1298">
      <c r="A1298" s="2" t="s">
        <v>4485</v>
      </c>
      <c r="B1298" s="2" t="s">
        <v>4434</v>
      </c>
      <c r="C1298" s="2" t="s">
        <v>88</v>
      </c>
      <c r="D1298" s="2" t="s">
        <v>4473</v>
      </c>
      <c r="E1298" s="2" t="s">
        <v>4474</v>
      </c>
      <c r="F1298" s="2" t="s">
        <v>4475</v>
      </c>
      <c r="G1298" s="2" t="s">
        <v>4476</v>
      </c>
      <c r="H1298" s="2" t="s">
        <v>4476</v>
      </c>
      <c r="I1298" s="2" t="s">
        <v>4477</v>
      </c>
      <c r="J1298" s="2" t="s">
        <v>247</v>
      </c>
      <c r="K1298" s="2" t="s">
        <v>360</v>
      </c>
      <c r="L1298" s="3">
        <v>22.05</v>
      </c>
      <c r="M1298" s="3">
        <v>23.15</v>
      </c>
      <c r="N1298" s="3">
        <v>44.99</v>
      </c>
      <c r="O1298" s="2" t="s">
        <v>97</v>
      </c>
      <c r="P1298" s="2" t="s">
        <v>98</v>
      </c>
      <c r="Q1298" s="2" t="s">
        <v>99</v>
      </c>
      <c r="R1298" s="2" t="s">
        <v>100</v>
      </c>
      <c r="S1298" s="2" t="s">
        <v>4481</v>
      </c>
      <c r="T1298" s="2" t="s">
        <v>218</v>
      </c>
      <c r="U1298" s="2" t="s">
        <v>1847</v>
      </c>
      <c r="V1298" s="2" t="s">
        <v>146</v>
      </c>
      <c r="W1298" s="2" t="s">
        <v>183</v>
      </c>
      <c r="X1298" s="2" t="s">
        <v>104</v>
      </c>
      <c r="Y1298" s="2" t="s">
        <v>4482</v>
      </c>
      <c r="Z1298" s="4">
        <v>714</v>
      </c>
      <c r="AA1298" s="4">
        <f>=ROUNDDOWN(14,0)</f>
      </c>
      <c r="AB1298" s="5">
        <v>51</v>
      </c>
      <c r="AC1298" s="2" t="s">
        <v>184</v>
      </c>
      <c r="AD1298" s="4">
        <v>410</v>
      </c>
      <c r="AE1298" s="4">
        <v>1110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>
        <v>8</v>
      </c>
      <c r="AQ1298" s="8">
        <v>185.2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0.452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1601</v>
      </c>
      <c r="BK1298" s="8">
        <v>37153.11</v>
      </c>
      <c r="BL1298" s="2" t="s">
        <v>963</v>
      </c>
      <c r="BM1298" s="7">
        <v>0.005</v>
      </c>
      <c r="BN1298" s="7">
        <v>0.005</v>
      </c>
      <c r="BO1298" s="4">
        <v>8</v>
      </c>
      <c r="BP1298" s="8">
        <v>185.2</v>
      </c>
      <c r="BQ1298" s="4"/>
      <c r="BR1298" s="8"/>
      <c r="BS1298" s="7"/>
      <c r="BT1298" s="7"/>
      <c r="BU1298" s="2" t="s">
        <v>109</v>
      </c>
      <c r="BV1298" s="2" t="s">
        <v>110</v>
      </c>
      <c r="BW1298" s="2" t="s">
        <v>4483</v>
      </c>
      <c r="BX1298" s="2" t="s">
        <v>4486</v>
      </c>
      <c r="BY1298" s="2" t="s">
        <v>113</v>
      </c>
      <c r="BZ1298" s="2" t="s">
        <v>100</v>
      </c>
    </row>
    <row r="1299">
      <c r="A1299" s="2" t="s">
        <v>4487</v>
      </c>
      <c r="B1299" s="2" t="s">
        <v>4434</v>
      </c>
      <c r="C1299" s="2" t="s">
        <v>88</v>
      </c>
      <c r="D1299" s="2" t="s">
        <v>4473</v>
      </c>
      <c r="E1299" s="2" t="s">
        <v>4474</v>
      </c>
      <c r="F1299" s="2" t="s">
        <v>4475</v>
      </c>
      <c r="G1299" s="2" t="s">
        <v>4476</v>
      </c>
      <c r="H1299" s="2" t="s">
        <v>4476</v>
      </c>
      <c r="I1299" s="2" t="s">
        <v>4477</v>
      </c>
      <c r="J1299" s="2" t="s">
        <v>714</v>
      </c>
      <c r="K1299" s="2" t="s">
        <v>913</v>
      </c>
      <c r="L1299" s="3">
        <v>27.5</v>
      </c>
      <c r="M1299" s="3">
        <v>28.88</v>
      </c>
      <c r="N1299" s="3">
        <v>54.99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4488</v>
      </c>
      <c r="T1299" s="2" t="s">
        <v>218</v>
      </c>
      <c r="U1299" s="2" t="s">
        <v>100</v>
      </c>
      <c r="V1299" s="2" t="s">
        <v>146</v>
      </c>
      <c r="W1299" s="2" t="s">
        <v>183</v>
      </c>
      <c r="X1299" s="2" t="s">
        <v>100</v>
      </c>
      <c r="Y1299" s="2" t="s">
        <v>240</v>
      </c>
      <c r="Z1299" s="4">
        <v>543</v>
      </c>
      <c r="AA1299" s="4">
        <f>=ROUNDDOWN(13.9230769230769,0)</f>
      </c>
      <c r="AB1299" s="5">
        <v>39</v>
      </c>
      <c r="AC1299" s="2" t="s">
        <v>184</v>
      </c>
      <c r="AD1299" s="4">
        <v>290</v>
      </c>
      <c r="AE1299" s="4">
        <v>1180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>
        <v>14</v>
      </c>
      <c r="AQ1299" s="8">
        <v>381.08</v>
      </c>
      <c r="AR1299" s="4"/>
      <c r="AS1299" s="8"/>
      <c r="AT1299" s="7"/>
      <c r="AU1299" s="7"/>
      <c r="AV1299" s="4">
        <v>14</v>
      </c>
      <c r="AW1299" s="8">
        <v>381.08</v>
      </c>
      <c r="AX1299" s="4"/>
      <c r="AY1299" s="8"/>
      <c r="AZ1299" s="7"/>
      <c r="BA1299" s="7"/>
      <c r="BB1299" s="7">
        <v>1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0.1666</v>
      </c>
      <c r="BJ1299" s="4">
        <v>1216</v>
      </c>
      <c r="BK1299" s="8">
        <v>32895.65</v>
      </c>
      <c r="BL1299" s="2" t="s">
        <v>4489</v>
      </c>
      <c r="BM1299" s="7">
        <v>0.0115</v>
      </c>
      <c r="BN1299" s="7">
        <v>0.0116</v>
      </c>
      <c r="BO1299" s="4">
        <v>14</v>
      </c>
      <c r="BP1299" s="8">
        <v>381.08</v>
      </c>
      <c r="BQ1299" s="4"/>
      <c r="BR1299" s="8"/>
      <c r="BS1299" s="7"/>
      <c r="BT1299" s="7"/>
      <c r="BU1299" s="2" t="s">
        <v>109</v>
      </c>
      <c r="BV1299" s="2" t="s">
        <v>110</v>
      </c>
      <c r="BW1299" s="2" t="s">
        <v>243</v>
      </c>
      <c r="BX1299" s="2" t="s">
        <v>4490</v>
      </c>
      <c r="BY1299" s="2" t="s">
        <v>113</v>
      </c>
      <c r="BZ1299" s="2" t="s">
        <v>100</v>
      </c>
    </row>
    <row r="1300">
      <c r="A1300" s="2" t="s">
        <v>4491</v>
      </c>
      <c r="B1300" s="2" t="s">
        <v>4434</v>
      </c>
      <c r="C1300" s="2" t="s">
        <v>88</v>
      </c>
      <c r="D1300" s="2" t="s">
        <v>4473</v>
      </c>
      <c r="E1300" s="2" t="s">
        <v>4474</v>
      </c>
      <c r="F1300" s="2" t="s">
        <v>4475</v>
      </c>
      <c r="G1300" s="2" t="s">
        <v>4476</v>
      </c>
      <c r="H1300" s="2" t="s">
        <v>4476</v>
      </c>
      <c r="I1300" s="2" t="s">
        <v>4477</v>
      </c>
      <c r="J1300" s="2" t="s">
        <v>1936</v>
      </c>
      <c r="K1300" s="2" t="s">
        <v>432</v>
      </c>
      <c r="L1300" s="3">
        <v>16.45</v>
      </c>
      <c r="M1300" s="3">
        <v>17.27</v>
      </c>
      <c r="N1300" s="3">
        <v>34.99</v>
      </c>
      <c r="O1300" s="2" t="s">
        <v>97</v>
      </c>
      <c r="P1300" s="2" t="s">
        <v>119</v>
      </c>
      <c r="Q1300" s="2" t="s">
        <v>99</v>
      </c>
      <c r="R1300" s="2" t="s">
        <v>100</v>
      </c>
      <c r="S1300" s="2" t="s">
        <v>100</v>
      </c>
      <c r="T1300" s="2" t="s">
        <v>218</v>
      </c>
      <c r="U1300" s="2" t="s">
        <v>100</v>
      </c>
      <c r="V1300" s="2" t="s">
        <v>146</v>
      </c>
      <c r="W1300" s="2" t="s">
        <v>183</v>
      </c>
      <c r="X1300" s="2" t="s">
        <v>100</v>
      </c>
      <c r="Y1300" s="2" t="s">
        <v>2054</v>
      </c>
      <c r="Z1300" s="4">
        <v>392</v>
      </c>
      <c r="AA1300" s="4">
        <f>=ROUNDDOWN(14.5185185185185,0)</f>
      </c>
      <c r="AB1300" s="5">
        <v>27</v>
      </c>
      <c r="AC1300" s="2" t="s">
        <v>282</v>
      </c>
      <c r="AD1300" s="4">
        <v>60</v>
      </c>
      <c r="AE1300" s="4">
        <v>470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>
        <v>12</v>
      </c>
      <c r="AW1300" s="8">
        <v>326.64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>
        <v>0.1428</v>
      </c>
      <c r="BJ1300" s="4">
        <v>626</v>
      </c>
      <c r="BK1300" s="8">
        <v>10453.59</v>
      </c>
      <c r="BL1300" s="2" t="s">
        <v>4492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137</v>
      </c>
      <c r="BX1300" s="2" t="s">
        <v>138</v>
      </c>
      <c r="BY1300" s="2" t="s">
        <v>113</v>
      </c>
      <c r="BZ1300" s="2" t="s">
        <v>100</v>
      </c>
    </row>
    <row r="1301">
      <c r="A1301" s="2" t="s">
        <v>4493</v>
      </c>
      <c r="B1301" s="2" t="s">
        <v>4434</v>
      </c>
      <c r="C1301" s="2" t="s">
        <v>88</v>
      </c>
      <c r="D1301" s="2" t="s">
        <v>4473</v>
      </c>
      <c r="E1301" s="2" t="s">
        <v>4474</v>
      </c>
      <c r="F1301" s="2" t="s">
        <v>4475</v>
      </c>
      <c r="G1301" s="2" t="s">
        <v>4476</v>
      </c>
      <c r="H1301" s="2" t="s">
        <v>4476</v>
      </c>
      <c r="I1301" s="2" t="s">
        <v>4477</v>
      </c>
      <c r="J1301" s="2" t="s">
        <v>714</v>
      </c>
      <c r="K1301" s="2" t="s">
        <v>432</v>
      </c>
      <c r="L1301" s="3">
        <v>27.5</v>
      </c>
      <c r="M1301" s="3">
        <v>28.88</v>
      </c>
      <c r="N1301" s="3">
        <v>54.99</v>
      </c>
      <c r="O1301" s="2" t="s">
        <v>97</v>
      </c>
      <c r="P1301" s="2" t="s">
        <v>119</v>
      </c>
      <c r="Q1301" s="2" t="s">
        <v>99</v>
      </c>
      <c r="R1301" s="2" t="s">
        <v>100</v>
      </c>
      <c r="S1301" s="2" t="s">
        <v>100</v>
      </c>
      <c r="T1301" s="2" t="s">
        <v>218</v>
      </c>
      <c r="U1301" s="2" t="s">
        <v>100</v>
      </c>
      <c r="V1301" s="2" t="s">
        <v>146</v>
      </c>
      <c r="W1301" s="2" t="s">
        <v>183</v>
      </c>
      <c r="X1301" s="2" t="s">
        <v>100</v>
      </c>
      <c r="Y1301" s="2" t="s">
        <v>2054</v>
      </c>
      <c r="Z1301" s="4">
        <v>632</v>
      </c>
      <c r="AA1301" s="4">
        <f>=ROUNDDOWN(28.7272727272727,0)</f>
      </c>
      <c r="AB1301" s="5">
        <v>22</v>
      </c>
      <c r="AC1301" s="2" t="s">
        <v>282</v>
      </c>
      <c r="AD1301" s="4">
        <v>170</v>
      </c>
      <c r="AE1301" s="4">
        <v>420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>
        <v>12</v>
      </c>
      <c r="AQ1301" s="8">
        <v>326.64</v>
      </c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1</v>
      </c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527</v>
      </c>
      <c r="BK1301" s="8">
        <v>14019.7</v>
      </c>
      <c r="BL1301" s="2" t="s">
        <v>4494</v>
      </c>
      <c r="BM1301" s="7">
        <v>0.0228</v>
      </c>
      <c r="BN1301" s="7">
        <v>0.0233</v>
      </c>
      <c r="BO1301" s="4">
        <v>12</v>
      </c>
      <c r="BP1301" s="8">
        <v>326.64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137</v>
      </c>
      <c r="BX1301" s="2" t="s">
        <v>4495</v>
      </c>
      <c r="BY1301" s="2" t="s">
        <v>113</v>
      </c>
      <c r="BZ1301" s="2" t="s">
        <v>100</v>
      </c>
    </row>
    <row r="1302">
      <c r="A1302" s="2" t="s">
        <v>4496</v>
      </c>
      <c r="B1302" s="2" t="s">
        <v>4434</v>
      </c>
      <c r="C1302" s="2" t="s">
        <v>88</v>
      </c>
      <c r="D1302" s="2" t="s">
        <v>4473</v>
      </c>
      <c r="E1302" s="2" t="s">
        <v>4474</v>
      </c>
      <c r="F1302" s="2" t="s">
        <v>4475</v>
      </c>
      <c r="G1302" s="2" t="s">
        <v>4476</v>
      </c>
      <c r="H1302" s="2" t="s">
        <v>4476</v>
      </c>
      <c r="I1302" s="2" t="s">
        <v>4477</v>
      </c>
      <c r="J1302" s="2" t="s">
        <v>1936</v>
      </c>
      <c r="K1302" s="2" t="s">
        <v>118</v>
      </c>
      <c r="L1302" s="3">
        <v>16.45</v>
      </c>
      <c r="M1302" s="3">
        <v>17.27</v>
      </c>
      <c r="N1302" s="3">
        <v>34.99</v>
      </c>
      <c r="O1302" s="2" t="s">
        <v>97</v>
      </c>
      <c r="P1302" s="2" t="s">
        <v>119</v>
      </c>
      <c r="Q1302" s="2" t="s">
        <v>99</v>
      </c>
      <c r="R1302" s="2" t="s">
        <v>100</v>
      </c>
      <c r="S1302" s="2" t="s">
        <v>4497</v>
      </c>
      <c r="T1302" s="2" t="s">
        <v>218</v>
      </c>
      <c r="U1302" s="2" t="s">
        <v>100</v>
      </c>
      <c r="V1302" s="2" t="s">
        <v>146</v>
      </c>
      <c r="W1302" s="2" t="s">
        <v>183</v>
      </c>
      <c r="X1302" s="2" t="s">
        <v>100</v>
      </c>
      <c r="Y1302" s="2" t="s">
        <v>240</v>
      </c>
      <c r="Z1302" s="4">
        <v>509</v>
      </c>
      <c r="AA1302" s="4">
        <f>=ROUNDDOWN(13.7567567567568,0)</f>
      </c>
      <c r="AB1302" s="5">
        <v>37</v>
      </c>
      <c r="AC1302" s="2" t="s">
        <v>872</v>
      </c>
      <c r="AD1302" s="4">
        <v>300</v>
      </c>
      <c r="AE1302" s="4">
        <v>400</v>
      </c>
      <c r="AF1302" s="6">
        <v>65</v>
      </c>
      <c r="AG1302" s="6"/>
      <c r="AH1302" s="7">
        <v>0.984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>
        <v>14</v>
      </c>
      <c r="AQ1302" s="8">
        <v>228.62</v>
      </c>
      <c r="AR1302" s="4"/>
      <c r="AS1302" s="8"/>
      <c r="AT1302" s="7"/>
      <c r="AU1302" s="7"/>
      <c r="AV1302" s="4">
        <v>17</v>
      </c>
      <c r="AW1302" s="8">
        <v>310.28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0.7368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>
        <v>0.1356</v>
      </c>
      <c r="BJ1302" s="4">
        <v>1140</v>
      </c>
      <c r="BK1302" s="8">
        <v>19155.62</v>
      </c>
      <c r="BL1302" s="2" t="s">
        <v>4498</v>
      </c>
      <c r="BM1302" s="7">
        <v>0.0123</v>
      </c>
      <c r="BN1302" s="7">
        <v>0.0119</v>
      </c>
      <c r="BO1302" s="4">
        <v>14</v>
      </c>
      <c r="BP1302" s="8">
        <v>228.62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243</v>
      </c>
      <c r="BX1302" s="2" t="s">
        <v>4499</v>
      </c>
      <c r="BY1302" s="2" t="s">
        <v>113</v>
      </c>
      <c r="BZ1302" s="2" t="s">
        <v>100</v>
      </c>
    </row>
    <row r="1303">
      <c r="A1303" s="2" t="s">
        <v>4500</v>
      </c>
      <c r="B1303" s="2" t="s">
        <v>4434</v>
      </c>
      <c r="C1303" s="2" t="s">
        <v>88</v>
      </c>
      <c r="D1303" s="2" t="s">
        <v>4473</v>
      </c>
      <c r="E1303" s="2" t="s">
        <v>4474</v>
      </c>
      <c r="F1303" s="2" t="s">
        <v>4475</v>
      </c>
      <c r="G1303" s="2" t="s">
        <v>4476</v>
      </c>
      <c r="H1303" s="2" t="s">
        <v>4476</v>
      </c>
      <c r="I1303" s="2" t="s">
        <v>4477</v>
      </c>
      <c r="J1303" s="2" t="s">
        <v>714</v>
      </c>
      <c r="K1303" s="2" t="s">
        <v>118</v>
      </c>
      <c r="L1303" s="3">
        <v>27.5</v>
      </c>
      <c r="M1303" s="3">
        <v>28.88</v>
      </c>
      <c r="N1303" s="3">
        <v>54.99</v>
      </c>
      <c r="O1303" s="2" t="s">
        <v>97</v>
      </c>
      <c r="P1303" s="2" t="s">
        <v>119</v>
      </c>
      <c r="Q1303" s="2" t="s">
        <v>99</v>
      </c>
      <c r="R1303" s="2" t="s">
        <v>100</v>
      </c>
      <c r="S1303" s="2" t="s">
        <v>4497</v>
      </c>
      <c r="T1303" s="2" t="s">
        <v>218</v>
      </c>
      <c r="U1303" s="2" t="s">
        <v>100</v>
      </c>
      <c r="V1303" s="2" t="s">
        <v>146</v>
      </c>
      <c r="W1303" s="2" t="s">
        <v>183</v>
      </c>
      <c r="X1303" s="2" t="s">
        <v>100</v>
      </c>
      <c r="Y1303" s="2" t="s">
        <v>240</v>
      </c>
      <c r="Z1303" s="4">
        <v>1026</v>
      </c>
      <c r="AA1303" s="4">
        <f>=ROUNDDOWN(25.0243902439024,0)</f>
      </c>
      <c r="AB1303" s="5">
        <v>41</v>
      </c>
      <c r="AC1303" s="2" t="s">
        <v>872</v>
      </c>
      <c r="AD1303" s="4">
        <v>200</v>
      </c>
      <c r="AE1303" s="4">
        <v>270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3</v>
      </c>
      <c r="AQ1303" s="8">
        <v>81.66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0.2632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1504</v>
      </c>
      <c r="BK1303" s="8">
        <v>41176.4</v>
      </c>
      <c r="BL1303" s="2" t="s">
        <v>4501</v>
      </c>
      <c r="BM1303" s="7">
        <v>0.002</v>
      </c>
      <c r="BN1303" s="7">
        <v>0.002</v>
      </c>
      <c r="BO1303" s="4">
        <v>3</v>
      </c>
      <c r="BP1303" s="8">
        <v>81.66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243</v>
      </c>
      <c r="BX1303" s="2" t="s">
        <v>4502</v>
      </c>
      <c r="BY1303" s="2" t="s">
        <v>113</v>
      </c>
      <c r="BZ1303" s="2" t="s">
        <v>100</v>
      </c>
    </row>
    <row r="1304">
      <c r="A1304" s="2" t="s">
        <v>4503</v>
      </c>
      <c r="B1304" s="2" t="s">
        <v>4434</v>
      </c>
      <c r="C1304" s="2" t="s">
        <v>88</v>
      </c>
      <c r="D1304" s="2" t="s">
        <v>4473</v>
      </c>
      <c r="E1304" s="2" t="s">
        <v>4474</v>
      </c>
      <c r="F1304" s="2" t="s">
        <v>4475</v>
      </c>
      <c r="G1304" s="2" t="s">
        <v>4476</v>
      </c>
      <c r="H1304" s="2" t="s">
        <v>4476</v>
      </c>
      <c r="I1304" s="2" t="s">
        <v>4477</v>
      </c>
      <c r="J1304" s="2" t="s">
        <v>1936</v>
      </c>
      <c r="K1304" s="2" t="s">
        <v>2477</v>
      </c>
      <c r="L1304" s="3">
        <v>16.45</v>
      </c>
      <c r="M1304" s="3">
        <v>17.27</v>
      </c>
      <c r="N1304" s="3">
        <v>34.99</v>
      </c>
      <c r="O1304" s="2" t="s">
        <v>97</v>
      </c>
      <c r="P1304" s="2" t="s">
        <v>119</v>
      </c>
      <c r="Q1304" s="2" t="s">
        <v>99</v>
      </c>
      <c r="R1304" s="2" t="s">
        <v>100</v>
      </c>
      <c r="S1304" s="2" t="s">
        <v>100</v>
      </c>
      <c r="T1304" s="2" t="s">
        <v>218</v>
      </c>
      <c r="U1304" s="2" t="s">
        <v>100</v>
      </c>
      <c r="V1304" s="2" t="s">
        <v>146</v>
      </c>
      <c r="W1304" s="2" t="s">
        <v>183</v>
      </c>
      <c r="X1304" s="2" t="s">
        <v>100</v>
      </c>
      <c r="Y1304" s="2" t="s">
        <v>2054</v>
      </c>
      <c r="Z1304" s="4">
        <v>291</v>
      </c>
      <c r="AA1304" s="4">
        <f>=ROUNDDOWN(7.86486486486487,0)</f>
      </c>
      <c r="AB1304" s="5">
        <v>37</v>
      </c>
      <c r="AC1304" s="2" t="s">
        <v>184</v>
      </c>
      <c r="AD1304" s="4">
        <v>190</v>
      </c>
      <c r="AE1304" s="4">
        <v>710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6</v>
      </c>
      <c r="AQ1304" s="8">
        <v>97.98</v>
      </c>
      <c r="AR1304" s="4"/>
      <c r="AS1304" s="8"/>
      <c r="AT1304" s="7"/>
      <c r="AU1304" s="7"/>
      <c r="AV1304" s="4">
        <v>6</v>
      </c>
      <c r="AW1304" s="8">
        <v>97.98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1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>
        <v>0.0428</v>
      </c>
      <c r="BJ1304" s="4">
        <v>1034</v>
      </c>
      <c r="BK1304" s="8">
        <v>17347.72</v>
      </c>
      <c r="BL1304" s="2" t="s">
        <v>4504</v>
      </c>
      <c r="BM1304" s="7">
        <v>0.0058</v>
      </c>
      <c r="BN1304" s="7">
        <v>0.0056</v>
      </c>
      <c r="BO1304" s="4">
        <v>6</v>
      </c>
      <c r="BP1304" s="8">
        <v>97.98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137</v>
      </c>
      <c r="BX1304" s="2" t="s">
        <v>4505</v>
      </c>
      <c r="BY1304" s="2" t="s">
        <v>113</v>
      </c>
      <c r="BZ1304" s="2" t="s">
        <v>100</v>
      </c>
    </row>
    <row r="1305">
      <c r="A1305" s="2" t="s">
        <v>4506</v>
      </c>
      <c r="B1305" s="2" t="s">
        <v>4434</v>
      </c>
      <c r="C1305" s="2" t="s">
        <v>88</v>
      </c>
      <c r="D1305" s="2" t="s">
        <v>4473</v>
      </c>
      <c r="E1305" s="2" t="s">
        <v>4474</v>
      </c>
      <c r="F1305" s="2" t="s">
        <v>4475</v>
      </c>
      <c r="G1305" s="2" t="s">
        <v>4476</v>
      </c>
      <c r="H1305" s="2" t="s">
        <v>4476</v>
      </c>
      <c r="I1305" s="2" t="s">
        <v>4477</v>
      </c>
      <c r="J1305" s="2" t="s">
        <v>714</v>
      </c>
      <c r="K1305" s="2" t="s">
        <v>2477</v>
      </c>
      <c r="L1305" s="3">
        <v>27.5</v>
      </c>
      <c r="M1305" s="3">
        <v>28.88</v>
      </c>
      <c r="N1305" s="3">
        <v>54.99</v>
      </c>
      <c r="O1305" s="2" t="s">
        <v>97</v>
      </c>
      <c r="P1305" s="2" t="s">
        <v>119</v>
      </c>
      <c r="Q1305" s="2" t="s">
        <v>99</v>
      </c>
      <c r="R1305" s="2" t="s">
        <v>100</v>
      </c>
      <c r="S1305" s="2" t="s">
        <v>100</v>
      </c>
      <c r="T1305" s="2" t="s">
        <v>218</v>
      </c>
      <c r="U1305" s="2" t="s">
        <v>100</v>
      </c>
      <c r="V1305" s="2" t="s">
        <v>146</v>
      </c>
      <c r="W1305" s="2" t="s">
        <v>183</v>
      </c>
      <c r="X1305" s="2" t="s">
        <v>100</v>
      </c>
      <c r="Y1305" s="2" t="s">
        <v>2054</v>
      </c>
      <c r="Z1305" s="4">
        <v>895</v>
      </c>
      <c r="AA1305" s="4">
        <f>=ROUNDDOWN(20.3409090909091,0)</f>
      </c>
      <c r="AB1305" s="5">
        <v>44</v>
      </c>
      <c r="AC1305" s="2" t="s">
        <v>184</v>
      </c>
      <c r="AD1305" s="4">
        <v>230</v>
      </c>
      <c r="AE1305" s="4">
        <v>1060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1325</v>
      </c>
      <c r="BK1305" s="8">
        <v>36195.72</v>
      </c>
      <c r="BL1305" s="2" t="s">
        <v>4507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137</v>
      </c>
      <c r="BX1305" s="2" t="s">
        <v>2628</v>
      </c>
      <c r="BY1305" s="2" t="s">
        <v>113</v>
      </c>
      <c r="BZ1305" s="2" t="s">
        <v>100</v>
      </c>
    </row>
    <row r="1306">
      <c r="A1306" s="2" t="s">
        <v>4508</v>
      </c>
      <c r="B1306" s="2" t="s">
        <v>4434</v>
      </c>
      <c r="C1306" s="2" t="s">
        <v>88</v>
      </c>
      <c r="D1306" s="2" t="s">
        <v>4473</v>
      </c>
      <c r="E1306" s="2" t="s">
        <v>4474</v>
      </c>
      <c r="F1306" s="2" t="s">
        <v>4475</v>
      </c>
      <c r="G1306" s="2" t="s">
        <v>4476</v>
      </c>
      <c r="H1306" s="2" t="s">
        <v>4476</v>
      </c>
      <c r="I1306" s="2" t="s">
        <v>4477</v>
      </c>
      <c r="J1306" s="2" t="s">
        <v>1936</v>
      </c>
      <c r="K1306" s="2" t="s">
        <v>335</v>
      </c>
      <c r="L1306" s="3">
        <v>16.45</v>
      </c>
      <c r="M1306" s="3">
        <v>17.27</v>
      </c>
      <c r="N1306" s="3">
        <v>34.99</v>
      </c>
      <c r="O1306" s="2" t="s">
        <v>97</v>
      </c>
      <c r="P1306" s="2" t="s">
        <v>225</v>
      </c>
      <c r="Q1306" s="2" t="s">
        <v>99</v>
      </c>
      <c r="R1306" s="2" t="s">
        <v>100</v>
      </c>
      <c r="S1306" s="2" t="s">
        <v>4509</v>
      </c>
      <c r="T1306" s="2" t="s">
        <v>218</v>
      </c>
      <c r="U1306" s="2" t="s">
        <v>1847</v>
      </c>
      <c r="V1306" s="2" t="s">
        <v>146</v>
      </c>
      <c r="W1306" s="2" t="s">
        <v>183</v>
      </c>
      <c r="X1306" s="2" t="s">
        <v>100</v>
      </c>
      <c r="Y1306" s="2" t="s">
        <v>3675</v>
      </c>
      <c r="Z1306" s="4">
        <v>565</v>
      </c>
      <c r="AA1306" s="4">
        <f>=ROUNDDOWN(43.4615384615385,0)</f>
      </c>
      <c r="AB1306" s="5">
        <v>13</v>
      </c>
      <c r="AC1306" s="2" t="s">
        <v>174</v>
      </c>
      <c r="AD1306" s="4">
        <v>52</v>
      </c>
      <c r="AE1306" s="4">
        <v>202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 t="s">
        <v>100</v>
      </c>
      <c r="BJ1306" s="4">
        <v>227</v>
      </c>
      <c r="BK1306" s="8">
        <v>4225.3</v>
      </c>
      <c r="BL1306" s="2" t="s">
        <v>537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207</v>
      </c>
      <c r="BV1306" s="2" t="s">
        <v>97</v>
      </c>
      <c r="BW1306" s="2" t="s">
        <v>100</v>
      </c>
      <c r="BX1306" s="2" t="s">
        <v>100</v>
      </c>
      <c r="BY1306" s="2" t="s">
        <v>113</v>
      </c>
      <c r="BZ1306" s="2" t="s">
        <v>100</v>
      </c>
    </row>
    <row r="1307">
      <c r="A1307" s="2" t="s">
        <v>4510</v>
      </c>
      <c r="B1307" s="2" t="s">
        <v>4434</v>
      </c>
      <c r="C1307" s="2" t="s">
        <v>88</v>
      </c>
      <c r="D1307" s="2" t="s">
        <v>4473</v>
      </c>
      <c r="E1307" s="2" t="s">
        <v>4474</v>
      </c>
      <c r="F1307" s="2" t="s">
        <v>4475</v>
      </c>
      <c r="G1307" s="2" t="s">
        <v>4476</v>
      </c>
      <c r="H1307" s="2" t="s">
        <v>4476</v>
      </c>
      <c r="I1307" s="2" t="s">
        <v>4477</v>
      </c>
      <c r="J1307" s="2" t="s">
        <v>247</v>
      </c>
      <c r="K1307" s="2" t="s">
        <v>335</v>
      </c>
      <c r="L1307" s="3">
        <v>22.05</v>
      </c>
      <c r="M1307" s="3">
        <v>23.15</v>
      </c>
      <c r="N1307" s="3">
        <v>44.99</v>
      </c>
      <c r="O1307" s="2" t="s">
        <v>97</v>
      </c>
      <c r="P1307" s="2" t="s">
        <v>225</v>
      </c>
      <c r="Q1307" s="2" t="s">
        <v>99</v>
      </c>
      <c r="R1307" s="2" t="s">
        <v>100</v>
      </c>
      <c r="S1307" s="2" t="s">
        <v>4509</v>
      </c>
      <c r="T1307" s="2" t="s">
        <v>218</v>
      </c>
      <c r="U1307" s="2" t="s">
        <v>1847</v>
      </c>
      <c r="V1307" s="2" t="s">
        <v>146</v>
      </c>
      <c r="W1307" s="2" t="s">
        <v>183</v>
      </c>
      <c r="X1307" s="2" t="s">
        <v>100</v>
      </c>
      <c r="Y1307" s="2" t="s">
        <v>3667</v>
      </c>
      <c r="Z1307" s="4">
        <v>1447</v>
      </c>
      <c r="AA1307" s="4">
        <f>=ROUNDDOWN(65.7727272727273,0)</f>
      </c>
      <c r="AB1307" s="5">
        <v>22</v>
      </c>
      <c r="AC1307" s="2" t="s">
        <v>174</v>
      </c>
      <c r="AD1307" s="4">
        <v>40</v>
      </c>
      <c r="AE1307" s="4">
        <v>190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395</v>
      </c>
      <c r="BK1307" s="8">
        <v>9727.16</v>
      </c>
      <c r="BL1307" s="2" t="s">
        <v>4511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207</v>
      </c>
      <c r="BV1307" s="2" t="s">
        <v>97</v>
      </c>
      <c r="BW1307" s="2" t="s">
        <v>100</v>
      </c>
      <c r="BX1307" s="2" t="s">
        <v>100</v>
      </c>
      <c r="BY1307" s="2" t="s">
        <v>113</v>
      </c>
      <c r="BZ1307" s="2" t="s">
        <v>100</v>
      </c>
    </row>
    <row r="1308">
      <c r="A1308" s="2" t="s">
        <v>4512</v>
      </c>
      <c r="B1308" s="2" t="s">
        <v>4434</v>
      </c>
      <c r="C1308" s="2" t="s">
        <v>88</v>
      </c>
      <c r="D1308" s="2" t="s">
        <v>4473</v>
      </c>
      <c r="E1308" s="2" t="s">
        <v>4474</v>
      </c>
      <c r="F1308" s="2" t="s">
        <v>4475</v>
      </c>
      <c r="G1308" s="2" t="s">
        <v>4476</v>
      </c>
      <c r="H1308" s="2" t="s">
        <v>4476</v>
      </c>
      <c r="I1308" s="2" t="s">
        <v>4477</v>
      </c>
      <c r="J1308" s="2" t="s">
        <v>714</v>
      </c>
      <c r="K1308" s="2" t="s">
        <v>335</v>
      </c>
      <c r="L1308" s="3">
        <v>27.5</v>
      </c>
      <c r="M1308" s="3">
        <v>28.88</v>
      </c>
      <c r="N1308" s="3">
        <v>54.99</v>
      </c>
      <c r="O1308" s="2" t="s">
        <v>97</v>
      </c>
      <c r="P1308" s="2" t="s">
        <v>225</v>
      </c>
      <c r="Q1308" s="2" t="s">
        <v>99</v>
      </c>
      <c r="R1308" s="2" t="s">
        <v>100</v>
      </c>
      <c r="S1308" s="2" t="s">
        <v>4509</v>
      </c>
      <c r="T1308" s="2" t="s">
        <v>218</v>
      </c>
      <c r="U1308" s="2" t="s">
        <v>1847</v>
      </c>
      <c r="V1308" s="2" t="s">
        <v>146</v>
      </c>
      <c r="W1308" s="2" t="s">
        <v>183</v>
      </c>
      <c r="X1308" s="2" t="s">
        <v>100</v>
      </c>
      <c r="Y1308" s="2" t="s">
        <v>3675</v>
      </c>
      <c r="Z1308" s="4">
        <v>1001</v>
      </c>
      <c r="AA1308" s="4">
        <f>=ROUNDDOWN(66.7333333333333,0)</f>
      </c>
      <c r="AB1308" s="5">
        <v>15</v>
      </c>
      <c r="AC1308" s="2" t="s">
        <v>174</v>
      </c>
      <c r="AD1308" s="4">
        <v>60</v>
      </c>
      <c r="AE1308" s="4">
        <v>560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 t="s">
        <v>100</v>
      </c>
      <c r="BJ1308" s="4">
        <v>244</v>
      </c>
      <c r="BK1308" s="8">
        <v>7460.21</v>
      </c>
      <c r="BL1308" s="2" t="s">
        <v>553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207</v>
      </c>
      <c r="BV1308" s="2" t="s">
        <v>97</v>
      </c>
      <c r="BW1308" s="2" t="s">
        <v>100</v>
      </c>
      <c r="BX1308" s="2" t="s">
        <v>100</v>
      </c>
      <c r="BY1308" s="2" t="s">
        <v>113</v>
      </c>
      <c r="BZ1308" s="2" t="s">
        <v>100</v>
      </c>
    </row>
    <row r="1309">
      <c r="A1309" s="2" t="s">
        <v>4513</v>
      </c>
      <c r="B1309" s="2" t="s">
        <v>4434</v>
      </c>
      <c r="C1309" s="2" t="s">
        <v>88</v>
      </c>
      <c r="D1309" s="2" t="s">
        <v>4473</v>
      </c>
      <c r="E1309" s="2" t="s">
        <v>4474</v>
      </c>
      <c r="F1309" s="2" t="s">
        <v>4475</v>
      </c>
      <c r="G1309" s="2" t="s">
        <v>4476</v>
      </c>
      <c r="H1309" s="2" t="s">
        <v>4476</v>
      </c>
      <c r="I1309" s="2" t="s">
        <v>4477</v>
      </c>
      <c r="J1309" s="2" t="s">
        <v>1936</v>
      </c>
      <c r="K1309" s="2" t="s">
        <v>765</v>
      </c>
      <c r="L1309" s="3">
        <v>16.45</v>
      </c>
      <c r="M1309" s="3">
        <v>17.27</v>
      </c>
      <c r="N1309" s="3">
        <v>34.99</v>
      </c>
      <c r="O1309" s="2" t="s">
        <v>97</v>
      </c>
      <c r="P1309" s="2" t="s">
        <v>119</v>
      </c>
      <c r="Q1309" s="2" t="s">
        <v>99</v>
      </c>
      <c r="R1309" s="2" t="s">
        <v>100</v>
      </c>
      <c r="S1309" s="2" t="s">
        <v>4514</v>
      </c>
      <c r="T1309" s="2" t="s">
        <v>218</v>
      </c>
      <c r="U1309" s="2" t="s">
        <v>100</v>
      </c>
      <c r="V1309" s="2" t="s">
        <v>146</v>
      </c>
      <c r="W1309" s="2" t="s">
        <v>183</v>
      </c>
      <c r="X1309" s="2" t="s">
        <v>100</v>
      </c>
      <c r="Y1309" s="2" t="s">
        <v>4515</v>
      </c>
      <c r="Z1309" s="4">
        <v>219</v>
      </c>
      <c r="AA1309" s="4">
        <f>=ROUNDDOWN(24.3333333333333,0)</f>
      </c>
      <c r="AB1309" s="5">
        <v>9</v>
      </c>
      <c r="AC1309" s="2" t="s">
        <v>184</v>
      </c>
      <c r="AD1309" s="4">
        <v>100</v>
      </c>
      <c r="AE1309" s="4">
        <v>100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175</v>
      </c>
      <c r="BK1309" s="8">
        <v>3015.23</v>
      </c>
      <c r="BL1309" s="2" t="s">
        <v>774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207</v>
      </c>
      <c r="BV1309" s="2" t="s">
        <v>97</v>
      </c>
      <c r="BW1309" s="2" t="s">
        <v>100</v>
      </c>
      <c r="BX1309" s="2" t="s">
        <v>100</v>
      </c>
      <c r="BY1309" s="2" t="s">
        <v>113</v>
      </c>
      <c r="BZ1309" s="2" t="s">
        <v>100</v>
      </c>
    </row>
    <row r="1310">
      <c r="A1310" s="2" t="s">
        <v>4516</v>
      </c>
      <c r="B1310" s="2" t="s">
        <v>4434</v>
      </c>
      <c r="C1310" s="2" t="s">
        <v>88</v>
      </c>
      <c r="D1310" s="2" t="s">
        <v>4473</v>
      </c>
      <c r="E1310" s="2" t="s">
        <v>4474</v>
      </c>
      <c r="F1310" s="2" t="s">
        <v>4475</v>
      </c>
      <c r="G1310" s="2" t="s">
        <v>4476</v>
      </c>
      <c r="H1310" s="2" t="s">
        <v>4476</v>
      </c>
      <c r="I1310" s="2" t="s">
        <v>4477</v>
      </c>
      <c r="J1310" s="2" t="s">
        <v>247</v>
      </c>
      <c r="K1310" s="2" t="s">
        <v>765</v>
      </c>
      <c r="L1310" s="3">
        <v>22.05</v>
      </c>
      <c r="M1310" s="3">
        <v>23.15</v>
      </c>
      <c r="N1310" s="3">
        <v>44.99</v>
      </c>
      <c r="O1310" s="2" t="s">
        <v>97</v>
      </c>
      <c r="P1310" s="2" t="s">
        <v>119</v>
      </c>
      <c r="Q1310" s="2" t="s">
        <v>99</v>
      </c>
      <c r="R1310" s="2" t="s">
        <v>100</v>
      </c>
      <c r="S1310" s="2" t="s">
        <v>4514</v>
      </c>
      <c r="T1310" s="2" t="s">
        <v>218</v>
      </c>
      <c r="U1310" s="2" t="s">
        <v>100</v>
      </c>
      <c r="V1310" s="2" t="s">
        <v>146</v>
      </c>
      <c r="W1310" s="2" t="s">
        <v>183</v>
      </c>
      <c r="X1310" s="2" t="s">
        <v>100</v>
      </c>
      <c r="Y1310" s="2" t="s">
        <v>4515</v>
      </c>
      <c r="Z1310" s="4">
        <v>345</v>
      </c>
      <c r="AA1310" s="4">
        <f>=ROUNDDOWN(24.6428571428571,0)</f>
      </c>
      <c r="AB1310" s="5">
        <v>14</v>
      </c>
      <c r="AC1310" s="2" t="s">
        <v>184</v>
      </c>
      <c r="AD1310" s="4">
        <v>220</v>
      </c>
      <c r="AE1310" s="4">
        <v>220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338</v>
      </c>
      <c r="BK1310" s="8">
        <v>7433.6</v>
      </c>
      <c r="BL1310" s="2" t="s">
        <v>771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207</v>
      </c>
      <c r="BV1310" s="2" t="s">
        <v>97</v>
      </c>
      <c r="BW1310" s="2" t="s">
        <v>100</v>
      </c>
      <c r="BX1310" s="2" t="s">
        <v>100</v>
      </c>
      <c r="BY1310" s="2" t="s">
        <v>113</v>
      </c>
      <c r="BZ1310" s="2" t="s">
        <v>100</v>
      </c>
    </row>
    <row r="1311">
      <c r="A1311" s="2" t="s">
        <v>4517</v>
      </c>
      <c r="B1311" s="2" t="s">
        <v>4434</v>
      </c>
      <c r="C1311" s="2" t="s">
        <v>88</v>
      </c>
      <c r="D1311" s="2" t="s">
        <v>4473</v>
      </c>
      <c r="E1311" s="2" t="s">
        <v>4474</v>
      </c>
      <c r="F1311" s="2" t="s">
        <v>4475</v>
      </c>
      <c r="G1311" s="2" t="s">
        <v>4476</v>
      </c>
      <c r="H1311" s="2" t="s">
        <v>4476</v>
      </c>
      <c r="I1311" s="2" t="s">
        <v>4477</v>
      </c>
      <c r="J1311" s="2" t="s">
        <v>714</v>
      </c>
      <c r="K1311" s="2" t="s">
        <v>765</v>
      </c>
      <c r="L1311" s="3">
        <v>27.5</v>
      </c>
      <c r="M1311" s="3">
        <v>28.88</v>
      </c>
      <c r="N1311" s="3">
        <v>54.99</v>
      </c>
      <c r="O1311" s="2" t="s">
        <v>97</v>
      </c>
      <c r="P1311" s="2" t="s">
        <v>119</v>
      </c>
      <c r="Q1311" s="2" t="s">
        <v>99</v>
      </c>
      <c r="R1311" s="2" t="s">
        <v>100</v>
      </c>
      <c r="S1311" s="2" t="s">
        <v>4514</v>
      </c>
      <c r="T1311" s="2" t="s">
        <v>218</v>
      </c>
      <c r="U1311" s="2" t="s">
        <v>100</v>
      </c>
      <c r="V1311" s="2" t="s">
        <v>146</v>
      </c>
      <c r="W1311" s="2" t="s">
        <v>183</v>
      </c>
      <c r="X1311" s="2" t="s">
        <v>100</v>
      </c>
      <c r="Y1311" s="2" t="s">
        <v>4515</v>
      </c>
      <c r="Z1311" s="4">
        <v>589</v>
      </c>
      <c r="AA1311" s="4">
        <f>=ROUNDDOWN(45.3076923076923,0)</f>
      </c>
      <c r="AB1311" s="5">
        <v>13</v>
      </c>
      <c r="AC1311" s="2" t="s">
        <v>1457</v>
      </c>
      <c r="AD1311" s="4">
        <v>200</v>
      </c>
      <c r="AE1311" s="4">
        <v>480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262</v>
      </c>
      <c r="BK1311" s="8">
        <v>7138.25</v>
      </c>
      <c r="BL1311" s="2" t="s">
        <v>776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207</v>
      </c>
      <c r="BV1311" s="2" t="s">
        <v>97</v>
      </c>
      <c r="BW1311" s="2" t="s">
        <v>100</v>
      </c>
      <c r="BX1311" s="2" t="s">
        <v>100</v>
      </c>
      <c r="BY1311" s="2" t="s">
        <v>113</v>
      </c>
      <c r="BZ1311" s="2" t="s">
        <v>100</v>
      </c>
    </row>
    <row r="1312">
      <c r="A1312" s="2" t="s">
        <v>4518</v>
      </c>
      <c r="B1312" s="2" t="s">
        <v>4434</v>
      </c>
      <c r="C1312" s="2" t="s">
        <v>88</v>
      </c>
      <c r="D1312" s="2" t="s">
        <v>4473</v>
      </c>
      <c r="E1312" s="2" t="s">
        <v>4474</v>
      </c>
      <c r="F1312" s="2" t="s">
        <v>4475</v>
      </c>
      <c r="G1312" s="2" t="s">
        <v>4476</v>
      </c>
      <c r="H1312" s="2" t="s">
        <v>4476</v>
      </c>
      <c r="I1312" s="2" t="s">
        <v>4477</v>
      </c>
      <c r="J1312" s="2" t="s">
        <v>1936</v>
      </c>
      <c r="K1312" s="2" t="s">
        <v>278</v>
      </c>
      <c r="L1312" s="3">
        <v>16.45</v>
      </c>
      <c r="M1312" s="3">
        <v>17.27</v>
      </c>
      <c r="N1312" s="3">
        <v>34.99</v>
      </c>
      <c r="O1312" s="2" t="s">
        <v>97</v>
      </c>
      <c r="P1312" s="2" t="s">
        <v>2478</v>
      </c>
      <c r="Q1312" s="2" t="s">
        <v>99</v>
      </c>
      <c r="R1312" s="2" t="s">
        <v>100</v>
      </c>
      <c r="S1312" s="2" t="s">
        <v>4519</v>
      </c>
      <c r="T1312" s="2" t="s">
        <v>218</v>
      </c>
      <c r="U1312" s="2" t="s">
        <v>1847</v>
      </c>
      <c r="V1312" s="2" t="s">
        <v>146</v>
      </c>
      <c r="W1312" s="2" t="s">
        <v>183</v>
      </c>
      <c r="X1312" s="2" t="s">
        <v>100</v>
      </c>
      <c r="Y1312" s="2" t="s">
        <v>100</v>
      </c>
      <c r="Z1312" s="4"/>
      <c r="AA1312" s="4">
        <f>=ROUNDDOWN({0},0)</f>
      </c>
      <c r="AB1312" s="5"/>
      <c r="AC1312" s="2" t="s">
        <v>4520</v>
      </c>
      <c r="AD1312" s="4">
        <v>350</v>
      </c>
      <c r="AE1312" s="4">
        <v>350</v>
      </c>
      <c r="AF1312" s="6">
        <v>65</v>
      </c>
      <c r="AG1312" s="6"/>
      <c r="AH1312" s="7"/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/>
      <c r="BK1312" s="8"/>
      <c r="BL1312" s="2" t="s">
        <v>100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2480</v>
      </c>
      <c r="BV1312" s="2" t="s">
        <v>97</v>
      </c>
      <c r="BW1312" s="2" t="s">
        <v>100</v>
      </c>
      <c r="BX1312" s="2" t="s">
        <v>100</v>
      </c>
      <c r="BY1312" s="2" t="s">
        <v>113</v>
      </c>
      <c r="BZ1312" s="2" t="s">
        <v>100</v>
      </c>
    </row>
    <row r="1313">
      <c r="A1313" s="2" t="s">
        <v>4521</v>
      </c>
      <c r="B1313" s="2" t="s">
        <v>4434</v>
      </c>
      <c r="C1313" s="2" t="s">
        <v>88</v>
      </c>
      <c r="D1313" s="2" t="s">
        <v>4473</v>
      </c>
      <c r="E1313" s="2" t="s">
        <v>4474</v>
      </c>
      <c r="F1313" s="2" t="s">
        <v>4475</v>
      </c>
      <c r="G1313" s="2" t="s">
        <v>4476</v>
      </c>
      <c r="H1313" s="2" t="s">
        <v>4476</v>
      </c>
      <c r="I1313" s="2" t="s">
        <v>4477</v>
      </c>
      <c r="J1313" s="2" t="s">
        <v>247</v>
      </c>
      <c r="K1313" s="2" t="s">
        <v>278</v>
      </c>
      <c r="L1313" s="3">
        <v>22.05</v>
      </c>
      <c r="M1313" s="3">
        <v>23.15</v>
      </c>
      <c r="N1313" s="3">
        <v>44.99</v>
      </c>
      <c r="O1313" s="2" t="s">
        <v>97</v>
      </c>
      <c r="P1313" s="2" t="s">
        <v>2478</v>
      </c>
      <c r="Q1313" s="2" t="s">
        <v>99</v>
      </c>
      <c r="R1313" s="2" t="s">
        <v>100</v>
      </c>
      <c r="S1313" s="2" t="s">
        <v>4519</v>
      </c>
      <c r="T1313" s="2" t="s">
        <v>218</v>
      </c>
      <c r="U1313" s="2" t="s">
        <v>1847</v>
      </c>
      <c r="V1313" s="2" t="s">
        <v>146</v>
      </c>
      <c r="W1313" s="2" t="s">
        <v>183</v>
      </c>
      <c r="X1313" s="2" t="s">
        <v>100</v>
      </c>
      <c r="Y1313" s="2" t="s">
        <v>100</v>
      </c>
      <c r="Z1313" s="4"/>
      <c r="AA1313" s="4">
        <f>=ROUNDDOWN({0},0)</f>
      </c>
      <c r="AB1313" s="5"/>
      <c r="AC1313" s="2" t="s">
        <v>4520</v>
      </c>
      <c r="AD1313" s="4">
        <v>410</v>
      </c>
      <c r="AE1313" s="4">
        <v>410</v>
      </c>
      <c r="AF1313" s="6">
        <v>65</v>
      </c>
      <c r="AG1313" s="6"/>
      <c r="AH1313" s="7"/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/>
      <c r="BK1313" s="8"/>
      <c r="BL1313" s="2" t="s">
        <v>100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2480</v>
      </c>
      <c r="BV1313" s="2" t="s">
        <v>97</v>
      </c>
      <c r="BW1313" s="2" t="s">
        <v>100</v>
      </c>
      <c r="BX1313" s="2" t="s">
        <v>100</v>
      </c>
      <c r="BY1313" s="2" t="s">
        <v>113</v>
      </c>
      <c r="BZ1313" s="2" t="s">
        <v>100</v>
      </c>
    </row>
    <row r="1314">
      <c r="A1314" s="2" t="s">
        <v>4522</v>
      </c>
      <c r="B1314" s="2" t="s">
        <v>4434</v>
      </c>
      <c r="C1314" s="2" t="s">
        <v>88</v>
      </c>
      <c r="D1314" s="2" t="s">
        <v>4473</v>
      </c>
      <c r="E1314" s="2" t="s">
        <v>4474</v>
      </c>
      <c r="F1314" s="2" t="s">
        <v>4475</v>
      </c>
      <c r="G1314" s="2" t="s">
        <v>4476</v>
      </c>
      <c r="H1314" s="2" t="s">
        <v>4476</v>
      </c>
      <c r="I1314" s="2" t="s">
        <v>4477</v>
      </c>
      <c r="J1314" s="2" t="s">
        <v>714</v>
      </c>
      <c r="K1314" s="2" t="s">
        <v>278</v>
      </c>
      <c r="L1314" s="3">
        <v>27.5</v>
      </c>
      <c r="M1314" s="3">
        <v>28.88</v>
      </c>
      <c r="N1314" s="3">
        <v>54.99</v>
      </c>
      <c r="O1314" s="2" t="s">
        <v>97</v>
      </c>
      <c r="P1314" s="2" t="s">
        <v>2478</v>
      </c>
      <c r="Q1314" s="2" t="s">
        <v>99</v>
      </c>
      <c r="R1314" s="2" t="s">
        <v>100</v>
      </c>
      <c r="S1314" s="2" t="s">
        <v>4519</v>
      </c>
      <c r="T1314" s="2" t="s">
        <v>218</v>
      </c>
      <c r="U1314" s="2" t="s">
        <v>1847</v>
      </c>
      <c r="V1314" s="2" t="s">
        <v>146</v>
      </c>
      <c r="W1314" s="2" t="s">
        <v>183</v>
      </c>
      <c r="X1314" s="2" t="s">
        <v>100</v>
      </c>
      <c r="Y1314" s="2" t="s">
        <v>100</v>
      </c>
      <c r="Z1314" s="4"/>
      <c r="AA1314" s="4">
        <f>=ROUNDDOWN({0},0)</f>
      </c>
      <c r="AB1314" s="5"/>
      <c r="AC1314" s="2" t="s">
        <v>4520</v>
      </c>
      <c r="AD1314" s="4">
        <v>290</v>
      </c>
      <c r="AE1314" s="4">
        <v>290</v>
      </c>
      <c r="AF1314" s="6">
        <v>65</v>
      </c>
      <c r="AG1314" s="6"/>
      <c r="AH1314" s="7"/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/>
      <c r="BK1314" s="8"/>
      <c r="BL1314" s="2" t="s">
        <v>100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2480</v>
      </c>
      <c r="BV1314" s="2" t="s">
        <v>97</v>
      </c>
      <c r="BW1314" s="2" t="s">
        <v>100</v>
      </c>
      <c r="BX1314" s="2" t="s">
        <v>100</v>
      </c>
      <c r="BY1314" s="2" t="s">
        <v>113</v>
      </c>
      <c r="BZ1314" s="2" t="s">
        <v>100</v>
      </c>
    </row>
    <row r="1315">
      <c r="A1315" s="2" t="s">
        <v>4523</v>
      </c>
      <c r="B1315" s="2" t="s">
        <v>4434</v>
      </c>
      <c r="C1315" s="2" t="s">
        <v>88</v>
      </c>
      <c r="D1315" s="2" t="s">
        <v>4473</v>
      </c>
      <c r="E1315" s="2" t="s">
        <v>4474</v>
      </c>
      <c r="F1315" s="2" t="s">
        <v>4475</v>
      </c>
      <c r="G1315" s="2" t="s">
        <v>4476</v>
      </c>
      <c r="H1315" s="2" t="s">
        <v>4476</v>
      </c>
      <c r="I1315" s="2" t="s">
        <v>4477</v>
      </c>
      <c r="J1315" s="2" t="s">
        <v>1936</v>
      </c>
      <c r="K1315" s="2" t="s">
        <v>324</v>
      </c>
      <c r="L1315" s="3">
        <v>16.45</v>
      </c>
      <c r="M1315" s="3">
        <v>17.27</v>
      </c>
      <c r="N1315" s="3">
        <v>34.99</v>
      </c>
      <c r="O1315" s="2" t="s">
        <v>97</v>
      </c>
      <c r="P1315" s="2" t="s">
        <v>2478</v>
      </c>
      <c r="Q1315" s="2" t="s">
        <v>99</v>
      </c>
      <c r="R1315" s="2" t="s">
        <v>100</v>
      </c>
      <c r="S1315" s="2" t="s">
        <v>4519</v>
      </c>
      <c r="T1315" s="2" t="s">
        <v>218</v>
      </c>
      <c r="U1315" s="2" t="s">
        <v>1847</v>
      </c>
      <c r="V1315" s="2" t="s">
        <v>146</v>
      </c>
      <c r="W1315" s="2" t="s">
        <v>183</v>
      </c>
      <c r="X1315" s="2" t="s">
        <v>100</v>
      </c>
      <c r="Y1315" s="2" t="s">
        <v>100</v>
      </c>
      <c r="Z1315" s="4"/>
      <c r="AA1315" s="4">
        <f>=ROUNDDOWN({0},0)</f>
      </c>
      <c r="AB1315" s="5"/>
      <c r="AC1315" s="2" t="s">
        <v>4520</v>
      </c>
      <c r="AD1315" s="4">
        <v>350</v>
      </c>
      <c r="AE1315" s="4">
        <v>350</v>
      </c>
      <c r="AF1315" s="6">
        <v>65</v>
      </c>
      <c r="AG1315" s="6"/>
      <c r="AH1315" s="7"/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/>
      <c r="BK1315" s="8"/>
      <c r="BL1315" s="2" t="s">
        <v>100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2480</v>
      </c>
      <c r="BV1315" s="2" t="s">
        <v>97</v>
      </c>
      <c r="BW1315" s="2" t="s">
        <v>100</v>
      </c>
      <c r="BX1315" s="2" t="s">
        <v>100</v>
      </c>
      <c r="BY1315" s="2" t="s">
        <v>113</v>
      </c>
      <c r="BZ1315" s="2" t="s">
        <v>100</v>
      </c>
    </row>
    <row r="1316">
      <c r="A1316" s="2" t="s">
        <v>4524</v>
      </c>
      <c r="B1316" s="2" t="s">
        <v>4434</v>
      </c>
      <c r="C1316" s="2" t="s">
        <v>88</v>
      </c>
      <c r="D1316" s="2" t="s">
        <v>4473</v>
      </c>
      <c r="E1316" s="2" t="s">
        <v>4474</v>
      </c>
      <c r="F1316" s="2" t="s">
        <v>4475</v>
      </c>
      <c r="G1316" s="2" t="s">
        <v>4476</v>
      </c>
      <c r="H1316" s="2" t="s">
        <v>4476</v>
      </c>
      <c r="I1316" s="2" t="s">
        <v>4477</v>
      </c>
      <c r="J1316" s="2" t="s">
        <v>247</v>
      </c>
      <c r="K1316" s="2" t="s">
        <v>324</v>
      </c>
      <c r="L1316" s="3">
        <v>22.05</v>
      </c>
      <c r="M1316" s="3">
        <v>23.15</v>
      </c>
      <c r="N1316" s="3">
        <v>44.99</v>
      </c>
      <c r="O1316" s="2" t="s">
        <v>97</v>
      </c>
      <c r="P1316" s="2" t="s">
        <v>2478</v>
      </c>
      <c r="Q1316" s="2" t="s">
        <v>99</v>
      </c>
      <c r="R1316" s="2" t="s">
        <v>100</v>
      </c>
      <c r="S1316" s="2" t="s">
        <v>4519</v>
      </c>
      <c r="T1316" s="2" t="s">
        <v>218</v>
      </c>
      <c r="U1316" s="2" t="s">
        <v>1847</v>
      </c>
      <c r="V1316" s="2" t="s">
        <v>146</v>
      </c>
      <c r="W1316" s="2" t="s">
        <v>183</v>
      </c>
      <c r="X1316" s="2" t="s">
        <v>100</v>
      </c>
      <c r="Y1316" s="2" t="s">
        <v>100</v>
      </c>
      <c r="Z1316" s="4"/>
      <c r="AA1316" s="4">
        <f>=ROUNDDOWN({0},0)</f>
      </c>
      <c r="AB1316" s="5"/>
      <c r="AC1316" s="2" t="s">
        <v>4520</v>
      </c>
      <c r="AD1316" s="4">
        <v>420</v>
      </c>
      <c r="AE1316" s="4">
        <v>420</v>
      </c>
      <c r="AF1316" s="6">
        <v>65</v>
      </c>
      <c r="AG1316" s="6"/>
      <c r="AH1316" s="7"/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/>
      <c r="BK1316" s="8"/>
      <c r="BL1316" s="2" t="s">
        <v>100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2480</v>
      </c>
      <c r="BV1316" s="2" t="s">
        <v>97</v>
      </c>
      <c r="BW1316" s="2" t="s">
        <v>100</v>
      </c>
      <c r="BX1316" s="2" t="s">
        <v>100</v>
      </c>
      <c r="BY1316" s="2" t="s">
        <v>113</v>
      </c>
      <c r="BZ1316" s="2" t="s">
        <v>100</v>
      </c>
    </row>
    <row r="1317">
      <c r="A1317" s="2" t="s">
        <v>4525</v>
      </c>
      <c r="B1317" s="2" t="s">
        <v>4434</v>
      </c>
      <c r="C1317" s="2" t="s">
        <v>88</v>
      </c>
      <c r="D1317" s="2" t="s">
        <v>4473</v>
      </c>
      <c r="E1317" s="2" t="s">
        <v>4474</v>
      </c>
      <c r="F1317" s="2" t="s">
        <v>4475</v>
      </c>
      <c r="G1317" s="2" t="s">
        <v>4476</v>
      </c>
      <c r="H1317" s="2" t="s">
        <v>4476</v>
      </c>
      <c r="I1317" s="2" t="s">
        <v>4477</v>
      </c>
      <c r="J1317" s="2" t="s">
        <v>714</v>
      </c>
      <c r="K1317" s="2" t="s">
        <v>324</v>
      </c>
      <c r="L1317" s="3">
        <v>27.5</v>
      </c>
      <c r="M1317" s="3">
        <v>28.88</v>
      </c>
      <c r="N1317" s="3">
        <v>54.99</v>
      </c>
      <c r="O1317" s="2" t="s">
        <v>97</v>
      </c>
      <c r="P1317" s="2" t="s">
        <v>2478</v>
      </c>
      <c r="Q1317" s="2" t="s">
        <v>99</v>
      </c>
      <c r="R1317" s="2" t="s">
        <v>100</v>
      </c>
      <c r="S1317" s="2" t="s">
        <v>4519</v>
      </c>
      <c r="T1317" s="2" t="s">
        <v>218</v>
      </c>
      <c r="U1317" s="2" t="s">
        <v>1847</v>
      </c>
      <c r="V1317" s="2" t="s">
        <v>146</v>
      </c>
      <c r="W1317" s="2" t="s">
        <v>183</v>
      </c>
      <c r="X1317" s="2" t="s">
        <v>100</v>
      </c>
      <c r="Y1317" s="2" t="s">
        <v>100</v>
      </c>
      <c r="Z1317" s="4"/>
      <c r="AA1317" s="4">
        <f>=ROUNDDOWN({0},0)</f>
      </c>
      <c r="AB1317" s="5"/>
      <c r="AC1317" s="2" t="s">
        <v>4520</v>
      </c>
      <c r="AD1317" s="4">
        <v>290</v>
      </c>
      <c r="AE1317" s="4">
        <v>290</v>
      </c>
      <c r="AF1317" s="6">
        <v>65</v>
      </c>
      <c r="AG1317" s="6"/>
      <c r="AH1317" s="7"/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/>
      <c r="BK1317" s="8"/>
      <c r="BL1317" s="2" t="s">
        <v>100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2480</v>
      </c>
      <c r="BV1317" s="2" t="s">
        <v>97</v>
      </c>
      <c r="BW1317" s="2" t="s">
        <v>100</v>
      </c>
      <c r="BX1317" s="2" t="s">
        <v>100</v>
      </c>
      <c r="BY1317" s="2" t="s">
        <v>113</v>
      </c>
      <c r="BZ1317" s="2" t="s">
        <v>100</v>
      </c>
    </row>
    <row r="1318">
      <c r="A1318" s="2" t="s">
        <v>4526</v>
      </c>
      <c r="B1318" s="2" t="s">
        <v>4434</v>
      </c>
      <c r="C1318" s="2" t="s">
        <v>88</v>
      </c>
      <c r="D1318" s="2" t="s">
        <v>4473</v>
      </c>
      <c r="E1318" s="2" t="s">
        <v>4474</v>
      </c>
      <c r="F1318" s="2" t="s">
        <v>4475</v>
      </c>
      <c r="G1318" s="2" t="s">
        <v>4476</v>
      </c>
      <c r="H1318" s="2" t="s">
        <v>4476</v>
      </c>
      <c r="I1318" s="2" t="s">
        <v>4477</v>
      </c>
      <c r="J1318" s="2" t="s">
        <v>1936</v>
      </c>
      <c r="K1318" s="2" t="s">
        <v>578</v>
      </c>
      <c r="L1318" s="3">
        <v>16.45</v>
      </c>
      <c r="M1318" s="3">
        <v>17.27</v>
      </c>
      <c r="N1318" s="3">
        <v>34.99</v>
      </c>
      <c r="O1318" s="2" t="s">
        <v>97</v>
      </c>
      <c r="P1318" s="2" t="s">
        <v>119</v>
      </c>
      <c r="Q1318" s="2" t="s">
        <v>99</v>
      </c>
      <c r="R1318" s="2" t="s">
        <v>100</v>
      </c>
      <c r="S1318" s="2" t="s">
        <v>4527</v>
      </c>
      <c r="T1318" s="2" t="s">
        <v>218</v>
      </c>
      <c r="U1318" s="2" t="s">
        <v>100</v>
      </c>
      <c r="V1318" s="2" t="s">
        <v>146</v>
      </c>
      <c r="W1318" s="2" t="s">
        <v>183</v>
      </c>
      <c r="X1318" s="2" t="s">
        <v>100</v>
      </c>
      <c r="Y1318" s="2" t="s">
        <v>4528</v>
      </c>
      <c r="Z1318" s="4">
        <v>129</v>
      </c>
      <c r="AA1318" s="4">
        <f>=ROUNDDOWN(8.0625,0)</f>
      </c>
      <c r="AB1318" s="5">
        <v>16</v>
      </c>
      <c r="AC1318" s="2" t="s">
        <v>184</v>
      </c>
      <c r="AD1318" s="4">
        <v>130</v>
      </c>
      <c r="AE1318" s="4">
        <v>350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482</v>
      </c>
      <c r="BK1318" s="8">
        <v>8539.33</v>
      </c>
      <c r="BL1318" s="2" t="s">
        <v>4529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207</v>
      </c>
      <c r="BV1318" s="2" t="s">
        <v>97</v>
      </c>
      <c r="BW1318" s="2" t="s">
        <v>100</v>
      </c>
      <c r="BX1318" s="2" t="s">
        <v>100</v>
      </c>
      <c r="BY1318" s="2" t="s">
        <v>113</v>
      </c>
      <c r="BZ1318" s="2" t="s">
        <v>100</v>
      </c>
    </row>
    <row r="1319">
      <c r="A1319" s="2" t="s">
        <v>4530</v>
      </c>
      <c r="B1319" s="2" t="s">
        <v>4434</v>
      </c>
      <c r="C1319" s="2" t="s">
        <v>88</v>
      </c>
      <c r="D1319" s="2" t="s">
        <v>4473</v>
      </c>
      <c r="E1319" s="2" t="s">
        <v>4474</v>
      </c>
      <c r="F1319" s="2" t="s">
        <v>4475</v>
      </c>
      <c r="G1319" s="2" t="s">
        <v>4476</v>
      </c>
      <c r="H1319" s="2" t="s">
        <v>4476</v>
      </c>
      <c r="I1319" s="2" t="s">
        <v>4477</v>
      </c>
      <c r="J1319" s="2" t="s">
        <v>247</v>
      </c>
      <c r="K1319" s="2" t="s">
        <v>578</v>
      </c>
      <c r="L1319" s="3">
        <v>22.05</v>
      </c>
      <c r="M1319" s="3">
        <v>23.15</v>
      </c>
      <c r="N1319" s="3">
        <v>44.99</v>
      </c>
      <c r="O1319" s="2" t="s">
        <v>97</v>
      </c>
      <c r="P1319" s="2" t="s">
        <v>950</v>
      </c>
      <c r="Q1319" s="2" t="s">
        <v>99</v>
      </c>
      <c r="R1319" s="2" t="s">
        <v>100</v>
      </c>
      <c r="S1319" s="2" t="s">
        <v>4527</v>
      </c>
      <c r="T1319" s="2" t="s">
        <v>218</v>
      </c>
      <c r="U1319" s="2" t="s">
        <v>100</v>
      </c>
      <c r="V1319" s="2" t="s">
        <v>146</v>
      </c>
      <c r="W1319" s="2" t="s">
        <v>183</v>
      </c>
      <c r="X1319" s="2" t="s">
        <v>100</v>
      </c>
      <c r="Y1319" s="2" t="s">
        <v>4528</v>
      </c>
      <c r="Z1319" s="4">
        <v>466</v>
      </c>
      <c r="AA1319" s="4">
        <f>=ROUNDDOWN(17.2592592592593,0)</f>
      </c>
      <c r="AB1319" s="5">
        <v>27</v>
      </c>
      <c r="AC1319" s="2" t="s">
        <v>184</v>
      </c>
      <c r="AD1319" s="4">
        <v>100</v>
      </c>
      <c r="AE1319" s="4">
        <v>350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851</v>
      </c>
      <c r="BK1319" s="8">
        <v>19483.91</v>
      </c>
      <c r="BL1319" s="2" t="s">
        <v>267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207</v>
      </c>
      <c r="BV1319" s="2" t="s">
        <v>97</v>
      </c>
      <c r="BW1319" s="2" t="s">
        <v>100</v>
      </c>
      <c r="BX1319" s="2" t="s">
        <v>100</v>
      </c>
      <c r="BY1319" s="2" t="s">
        <v>113</v>
      </c>
      <c r="BZ1319" s="2" t="s">
        <v>100</v>
      </c>
    </row>
    <row r="1320">
      <c r="A1320" s="2" t="s">
        <v>4531</v>
      </c>
      <c r="B1320" s="2" t="s">
        <v>4434</v>
      </c>
      <c r="C1320" s="2" t="s">
        <v>88</v>
      </c>
      <c r="D1320" s="2" t="s">
        <v>4473</v>
      </c>
      <c r="E1320" s="2" t="s">
        <v>4474</v>
      </c>
      <c r="F1320" s="2" t="s">
        <v>4475</v>
      </c>
      <c r="G1320" s="2" t="s">
        <v>4476</v>
      </c>
      <c r="H1320" s="2" t="s">
        <v>4476</v>
      </c>
      <c r="I1320" s="2" t="s">
        <v>4477</v>
      </c>
      <c r="J1320" s="2" t="s">
        <v>714</v>
      </c>
      <c r="K1320" s="2" t="s">
        <v>578</v>
      </c>
      <c r="L1320" s="3">
        <v>27.5</v>
      </c>
      <c r="M1320" s="3">
        <v>28.88</v>
      </c>
      <c r="N1320" s="3">
        <v>54.99</v>
      </c>
      <c r="O1320" s="2" t="s">
        <v>97</v>
      </c>
      <c r="P1320" s="2" t="s">
        <v>119</v>
      </c>
      <c r="Q1320" s="2" t="s">
        <v>99</v>
      </c>
      <c r="R1320" s="2" t="s">
        <v>100</v>
      </c>
      <c r="S1320" s="2" t="s">
        <v>4527</v>
      </c>
      <c r="T1320" s="2" t="s">
        <v>218</v>
      </c>
      <c r="U1320" s="2" t="s">
        <v>100</v>
      </c>
      <c r="V1320" s="2" t="s">
        <v>146</v>
      </c>
      <c r="W1320" s="2" t="s">
        <v>183</v>
      </c>
      <c r="X1320" s="2" t="s">
        <v>100</v>
      </c>
      <c r="Y1320" s="2" t="s">
        <v>4528</v>
      </c>
      <c r="Z1320" s="4">
        <v>482</v>
      </c>
      <c r="AA1320" s="4">
        <f>=ROUNDDOWN(19.28,0)</f>
      </c>
      <c r="AB1320" s="5">
        <v>25</v>
      </c>
      <c r="AC1320" s="2" t="s">
        <v>184</v>
      </c>
      <c r="AD1320" s="4">
        <v>500</v>
      </c>
      <c r="AE1320" s="4">
        <v>500</v>
      </c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 t="s">
        <v>100</v>
      </c>
      <c r="BJ1320" s="4">
        <v>636</v>
      </c>
      <c r="BK1320" s="8">
        <v>17821.87</v>
      </c>
      <c r="BL1320" s="2" t="s">
        <v>272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207</v>
      </c>
      <c r="BV1320" s="2" t="s">
        <v>97</v>
      </c>
      <c r="BW1320" s="2" t="s">
        <v>100</v>
      </c>
      <c r="BX1320" s="2" t="s">
        <v>100</v>
      </c>
      <c r="BY1320" s="2" t="s">
        <v>113</v>
      </c>
      <c r="BZ1320" s="2" t="s">
        <v>100</v>
      </c>
    </row>
    <row r="1321">
      <c r="A1321" s="2" t="s">
        <v>4532</v>
      </c>
      <c r="B1321" s="2" t="s">
        <v>4434</v>
      </c>
      <c r="C1321" s="2" t="s">
        <v>88</v>
      </c>
      <c r="D1321" s="2" t="s">
        <v>4473</v>
      </c>
      <c r="E1321" s="2" t="s">
        <v>4474</v>
      </c>
      <c r="F1321" s="2" t="s">
        <v>4533</v>
      </c>
      <c r="G1321" s="2" t="s">
        <v>4534</v>
      </c>
      <c r="H1321" s="2" t="s">
        <v>4534</v>
      </c>
      <c r="I1321" s="2" t="s">
        <v>4535</v>
      </c>
      <c r="J1321" s="2" t="s">
        <v>237</v>
      </c>
      <c r="K1321" s="2" t="s">
        <v>1614</v>
      </c>
      <c r="L1321" s="3">
        <v>20.47</v>
      </c>
      <c r="M1321" s="3">
        <v>21.49</v>
      </c>
      <c r="N1321" s="3">
        <v>44.99</v>
      </c>
      <c r="O1321" s="2" t="s">
        <v>97</v>
      </c>
      <c r="P1321" s="2" t="s">
        <v>119</v>
      </c>
      <c r="Q1321" s="2" t="s">
        <v>99</v>
      </c>
      <c r="R1321" s="2" t="s">
        <v>100</v>
      </c>
      <c r="S1321" s="2" t="s">
        <v>4536</v>
      </c>
      <c r="T1321" s="2" t="s">
        <v>4441</v>
      </c>
      <c r="U1321" s="2" t="s">
        <v>1847</v>
      </c>
      <c r="V1321" s="2" t="s">
        <v>146</v>
      </c>
      <c r="W1321" s="2" t="s">
        <v>183</v>
      </c>
      <c r="X1321" s="2" t="s">
        <v>219</v>
      </c>
      <c r="Y1321" s="2" t="s">
        <v>4537</v>
      </c>
      <c r="Z1321" s="4">
        <v>313</v>
      </c>
      <c r="AA1321" s="4">
        <f>=ROUNDDOWN(19.5625,0)</f>
      </c>
      <c r="AB1321" s="5">
        <v>16</v>
      </c>
      <c r="AC1321" s="2" t="s">
        <v>872</v>
      </c>
      <c r="AD1321" s="4">
        <v>220</v>
      </c>
      <c r="AE1321" s="4">
        <v>470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>
        <v>5</v>
      </c>
      <c r="AQ1321" s="8">
        <v>114.3</v>
      </c>
      <c r="AR1321" s="4"/>
      <c r="AS1321" s="8"/>
      <c r="AT1321" s="7"/>
      <c r="AU1321" s="7"/>
      <c r="AV1321" s="4">
        <v>6</v>
      </c>
      <c r="AW1321" s="8">
        <v>142.88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0.8</v>
      </c>
      <c r="BC1321" s="4">
        <v>12</v>
      </c>
      <c r="BD1321" s="8">
        <v>320.08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0.4464</v>
      </c>
      <c r="BJ1321" s="4">
        <v>325</v>
      </c>
      <c r="BK1321" s="8">
        <v>7124.18</v>
      </c>
      <c r="BL1321" s="2" t="s">
        <v>786</v>
      </c>
      <c r="BM1321" s="7">
        <v>0.0154</v>
      </c>
      <c r="BN1321" s="7">
        <v>0.016</v>
      </c>
      <c r="BO1321" s="4">
        <v>5</v>
      </c>
      <c r="BP1321" s="8">
        <v>114.3</v>
      </c>
      <c r="BQ1321" s="4"/>
      <c r="BR1321" s="8"/>
      <c r="BS1321" s="7"/>
      <c r="BT1321" s="7"/>
      <c r="BU1321" s="2" t="s">
        <v>109</v>
      </c>
      <c r="BV1321" s="2" t="s">
        <v>110</v>
      </c>
      <c r="BW1321" s="2" t="s">
        <v>4538</v>
      </c>
      <c r="BX1321" s="2" t="s">
        <v>1666</v>
      </c>
      <c r="BY1321" s="2" t="s">
        <v>113</v>
      </c>
      <c r="BZ1321" s="2" t="s">
        <v>100</v>
      </c>
    </row>
    <row r="1322">
      <c r="A1322" s="2" t="s">
        <v>4539</v>
      </c>
      <c r="B1322" s="2" t="s">
        <v>4434</v>
      </c>
      <c r="C1322" s="2" t="s">
        <v>88</v>
      </c>
      <c r="D1322" s="2" t="s">
        <v>4473</v>
      </c>
      <c r="E1322" s="2" t="s">
        <v>4474</v>
      </c>
      <c r="F1322" s="2" t="s">
        <v>4533</v>
      </c>
      <c r="G1322" s="2" t="s">
        <v>4534</v>
      </c>
      <c r="H1322" s="2" t="s">
        <v>4534</v>
      </c>
      <c r="I1322" s="2" t="s">
        <v>4535</v>
      </c>
      <c r="J1322" s="2" t="s">
        <v>247</v>
      </c>
      <c r="K1322" s="2" t="s">
        <v>1614</v>
      </c>
      <c r="L1322" s="3">
        <v>25.39</v>
      </c>
      <c r="M1322" s="3">
        <v>26.66</v>
      </c>
      <c r="N1322" s="3">
        <v>54.99</v>
      </c>
      <c r="O1322" s="2" t="s">
        <v>97</v>
      </c>
      <c r="P1322" s="2" t="s">
        <v>119</v>
      </c>
      <c r="Q1322" s="2" t="s">
        <v>99</v>
      </c>
      <c r="R1322" s="2" t="s">
        <v>100</v>
      </c>
      <c r="S1322" s="2" t="s">
        <v>4536</v>
      </c>
      <c r="T1322" s="2" t="s">
        <v>4441</v>
      </c>
      <c r="U1322" s="2" t="s">
        <v>1847</v>
      </c>
      <c r="V1322" s="2" t="s">
        <v>146</v>
      </c>
      <c r="W1322" s="2" t="s">
        <v>183</v>
      </c>
      <c r="X1322" s="2" t="s">
        <v>219</v>
      </c>
      <c r="Y1322" s="2" t="s">
        <v>4537</v>
      </c>
      <c r="Z1322" s="4">
        <v>579</v>
      </c>
      <c r="AA1322" s="4">
        <f>=ROUNDDOWN(25.1739130434783,0)</f>
      </c>
      <c r="AB1322" s="5">
        <v>23</v>
      </c>
      <c r="AC1322" s="2" t="s">
        <v>872</v>
      </c>
      <c r="AD1322" s="4">
        <v>220</v>
      </c>
      <c r="AE1322" s="4">
        <v>630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>
        <v>1</v>
      </c>
      <c r="AQ1322" s="8">
        <v>28.58</v>
      </c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0.2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 t="s">
        <v>100</v>
      </c>
      <c r="BJ1322" s="4">
        <v>452</v>
      </c>
      <c r="BK1322" s="8">
        <v>11852.08</v>
      </c>
      <c r="BL1322" s="2" t="s">
        <v>749</v>
      </c>
      <c r="BM1322" s="7">
        <v>0.0022</v>
      </c>
      <c r="BN1322" s="7">
        <v>0.0024</v>
      </c>
      <c r="BO1322" s="4">
        <v>1</v>
      </c>
      <c r="BP1322" s="8">
        <v>28.58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4538</v>
      </c>
      <c r="BX1322" s="2" t="s">
        <v>4540</v>
      </c>
      <c r="BY1322" s="2" t="s">
        <v>113</v>
      </c>
      <c r="BZ1322" s="2" t="s">
        <v>100</v>
      </c>
    </row>
    <row r="1323">
      <c r="A1323" s="2" t="s">
        <v>4541</v>
      </c>
      <c r="B1323" s="2" t="s">
        <v>4434</v>
      </c>
      <c r="C1323" s="2" t="s">
        <v>88</v>
      </c>
      <c r="D1323" s="2" t="s">
        <v>4473</v>
      </c>
      <c r="E1323" s="2" t="s">
        <v>4474</v>
      </c>
      <c r="F1323" s="2" t="s">
        <v>4533</v>
      </c>
      <c r="G1323" s="2" t="s">
        <v>4534</v>
      </c>
      <c r="H1323" s="2" t="s">
        <v>4534</v>
      </c>
      <c r="I1323" s="2" t="s">
        <v>4535</v>
      </c>
      <c r="J1323" s="2" t="s">
        <v>237</v>
      </c>
      <c r="K1323" s="2" t="s">
        <v>198</v>
      </c>
      <c r="L1323" s="3">
        <v>20.47</v>
      </c>
      <c r="M1323" s="3">
        <v>21.49</v>
      </c>
      <c r="N1323" s="3">
        <v>44.99</v>
      </c>
      <c r="O1323" s="2" t="s">
        <v>97</v>
      </c>
      <c r="P1323" s="2" t="s">
        <v>119</v>
      </c>
      <c r="Q1323" s="2" t="s">
        <v>99</v>
      </c>
      <c r="R1323" s="2" t="s">
        <v>100</v>
      </c>
      <c r="S1323" s="2" t="s">
        <v>4542</v>
      </c>
      <c r="T1323" s="2" t="s">
        <v>4441</v>
      </c>
      <c r="U1323" s="2" t="s">
        <v>1847</v>
      </c>
      <c r="V1323" s="2" t="s">
        <v>146</v>
      </c>
      <c r="W1323" s="2" t="s">
        <v>183</v>
      </c>
      <c r="X1323" s="2" t="s">
        <v>219</v>
      </c>
      <c r="Y1323" s="2" t="s">
        <v>2357</v>
      </c>
      <c r="Z1323" s="4">
        <v>523</v>
      </c>
      <c r="AA1323" s="4">
        <f>=ROUNDDOWN(32.6875,0)</f>
      </c>
      <c r="AB1323" s="5">
        <v>16</v>
      </c>
      <c r="AC1323" s="2" t="s">
        <v>356</v>
      </c>
      <c r="AD1323" s="4">
        <v>450</v>
      </c>
      <c r="AE1323" s="4">
        <v>710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>
        <v>4</v>
      </c>
      <c r="AW1323" s="8">
        <v>114.32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>
        <v>0.3572</v>
      </c>
      <c r="BJ1323" s="4">
        <v>428</v>
      </c>
      <c r="BK1323" s="8">
        <v>9251.19</v>
      </c>
      <c r="BL1323" s="2" t="s">
        <v>763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4538</v>
      </c>
      <c r="BX1323" s="2" t="s">
        <v>4543</v>
      </c>
      <c r="BY1323" s="2" t="s">
        <v>113</v>
      </c>
      <c r="BZ1323" s="2" t="s">
        <v>100</v>
      </c>
    </row>
    <row r="1324">
      <c r="A1324" s="2" t="s">
        <v>4544</v>
      </c>
      <c r="B1324" s="2" t="s">
        <v>4434</v>
      </c>
      <c r="C1324" s="2" t="s">
        <v>88</v>
      </c>
      <c r="D1324" s="2" t="s">
        <v>4473</v>
      </c>
      <c r="E1324" s="2" t="s">
        <v>4474</v>
      </c>
      <c r="F1324" s="2" t="s">
        <v>4533</v>
      </c>
      <c r="G1324" s="2" t="s">
        <v>4534</v>
      </c>
      <c r="H1324" s="2" t="s">
        <v>4534</v>
      </c>
      <c r="I1324" s="2" t="s">
        <v>4535</v>
      </c>
      <c r="J1324" s="2" t="s">
        <v>247</v>
      </c>
      <c r="K1324" s="2" t="s">
        <v>198</v>
      </c>
      <c r="L1324" s="3">
        <v>25.39</v>
      </c>
      <c r="M1324" s="3">
        <v>26.66</v>
      </c>
      <c r="N1324" s="3">
        <v>54.99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4542</v>
      </c>
      <c r="T1324" s="2" t="s">
        <v>4441</v>
      </c>
      <c r="U1324" s="2" t="s">
        <v>1847</v>
      </c>
      <c r="V1324" s="2" t="s">
        <v>146</v>
      </c>
      <c r="W1324" s="2" t="s">
        <v>183</v>
      </c>
      <c r="X1324" s="2" t="s">
        <v>219</v>
      </c>
      <c r="Y1324" s="2" t="s">
        <v>2357</v>
      </c>
      <c r="Z1324" s="4">
        <v>535</v>
      </c>
      <c r="AA1324" s="4">
        <f>=ROUNDDOWN(24.3181818181818,0)</f>
      </c>
      <c r="AB1324" s="5">
        <v>22</v>
      </c>
      <c r="AC1324" s="2" t="s">
        <v>356</v>
      </c>
      <c r="AD1324" s="4">
        <v>300</v>
      </c>
      <c r="AE1324" s="4">
        <v>820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>
        <v>4</v>
      </c>
      <c r="AQ1324" s="8">
        <v>114.32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1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604</v>
      </c>
      <c r="BK1324" s="8">
        <v>16113.69</v>
      </c>
      <c r="BL1324" s="2" t="s">
        <v>749</v>
      </c>
      <c r="BM1324" s="7">
        <v>0.0066</v>
      </c>
      <c r="BN1324" s="7">
        <v>0.0071</v>
      </c>
      <c r="BO1324" s="4">
        <v>4</v>
      </c>
      <c r="BP1324" s="8">
        <v>114.32</v>
      </c>
      <c r="BQ1324" s="4"/>
      <c r="BR1324" s="8"/>
      <c r="BS1324" s="7"/>
      <c r="BT1324" s="7"/>
      <c r="BU1324" s="2" t="s">
        <v>109</v>
      </c>
      <c r="BV1324" s="2" t="s">
        <v>110</v>
      </c>
      <c r="BW1324" s="2" t="s">
        <v>4538</v>
      </c>
      <c r="BX1324" s="2" t="s">
        <v>4545</v>
      </c>
      <c r="BY1324" s="2" t="s">
        <v>113</v>
      </c>
      <c r="BZ1324" s="2" t="s">
        <v>100</v>
      </c>
    </row>
    <row r="1325">
      <c r="A1325" s="2" t="s">
        <v>4546</v>
      </c>
      <c r="B1325" s="2" t="s">
        <v>4434</v>
      </c>
      <c r="C1325" s="2" t="s">
        <v>88</v>
      </c>
      <c r="D1325" s="2" t="s">
        <v>4473</v>
      </c>
      <c r="E1325" s="2" t="s">
        <v>4474</v>
      </c>
      <c r="F1325" s="2" t="s">
        <v>4533</v>
      </c>
      <c r="G1325" s="2" t="s">
        <v>4534</v>
      </c>
      <c r="H1325" s="2" t="s">
        <v>4534</v>
      </c>
      <c r="I1325" s="2" t="s">
        <v>4535</v>
      </c>
      <c r="J1325" s="2" t="s">
        <v>714</v>
      </c>
      <c r="K1325" s="2" t="s">
        <v>198</v>
      </c>
      <c r="L1325" s="3">
        <v>28.11</v>
      </c>
      <c r="M1325" s="3">
        <v>29.52</v>
      </c>
      <c r="N1325" s="3">
        <v>64.99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4542</v>
      </c>
      <c r="T1325" s="2" t="s">
        <v>4441</v>
      </c>
      <c r="U1325" s="2" t="s">
        <v>1847</v>
      </c>
      <c r="V1325" s="2" t="s">
        <v>146</v>
      </c>
      <c r="W1325" s="2" t="s">
        <v>183</v>
      </c>
      <c r="X1325" s="2" t="s">
        <v>219</v>
      </c>
      <c r="Y1325" s="2" t="s">
        <v>2357</v>
      </c>
      <c r="Z1325" s="4">
        <v>479</v>
      </c>
      <c r="AA1325" s="4">
        <f>=ROUNDDOWN(23.95,0)</f>
      </c>
      <c r="AB1325" s="5">
        <v>20</v>
      </c>
      <c r="AC1325" s="2" t="s">
        <v>356</v>
      </c>
      <c r="AD1325" s="4">
        <v>450</v>
      </c>
      <c r="AE1325" s="4">
        <v>910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562</v>
      </c>
      <c r="BK1325" s="8">
        <v>16887.84</v>
      </c>
      <c r="BL1325" s="2" t="s">
        <v>418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4538</v>
      </c>
      <c r="BX1325" s="2" t="s">
        <v>4037</v>
      </c>
      <c r="BY1325" s="2" t="s">
        <v>113</v>
      </c>
      <c r="BZ1325" s="2" t="s">
        <v>100</v>
      </c>
    </row>
    <row r="1326">
      <c r="A1326" s="2" t="s">
        <v>4547</v>
      </c>
      <c r="B1326" s="2" t="s">
        <v>4434</v>
      </c>
      <c r="C1326" s="2" t="s">
        <v>88</v>
      </c>
      <c r="D1326" s="2" t="s">
        <v>4473</v>
      </c>
      <c r="E1326" s="2" t="s">
        <v>4474</v>
      </c>
      <c r="F1326" s="2" t="s">
        <v>4533</v>
      </c>
      <c r="G1326" s="2" t="s">
        <v>4534</v>
      </c>
      <c r="H1326" s="2" t="s">
        <v>4534</v>
      </c>
      <c r="I1326" s="2" t="s">
        <v>4535</v>
      </c>
      <c r="J1326" s="2" t="s">
        <v>237</v>
      </c>
      <c r="K1326" s="2" t="s">
        <v>360</v>
      </c>
      <c r="L1326" s="3">
        <v>20.47</v>
      </c>
      <c r="M1326" s="3">
        <v>21.49</v>
      </c>
      <c r="N1326" s="3">
        <v>44.99</v>
      </c>
      <c r="O1326" s="2" t="s">
        <v>97</v>
      </c>
      <c r="P1326" s="2" t="s">
        <v>119</v>
      </c>
      <c r="Q1326" s="2" t="s">
        <v>99</v>
      </c>
      <c r="R1326" s="2" t="s">
        <v>100</v>
      </c>
      <c r="S1326" s="2" t="s">
        <v>4548</v>
      </c>
      <c r="T1326" s="2" t="s">
        <v>4441</v>
      </c>
      <c r="U1326" s="2" t="s">
        <v>1847</v>
      </c>
      <c r="V1326" s="2" t="s">
        <v>146</v>
      </c>
      <c r="W1326" s="2" t="s">
        <v>183</v>
      </c>
      <c r="X1326" s="2" t="s">
        <v>219</v>
      </c>
      <c r="Y1326" s="2" t="s">
        <v>4537</v>
      </c>
      <c r="Z1326" s="4">
        <v>535</v>
      </c>
      <c r="AA1326" s="4">
        <f>=ROUNDDOWN(41.1538461538462,0)</f>
      </c>
      <c r="AB1326" s="5">
        <v>13</v>
      </c>
      <c r="AC1326" s="2" t="s">
        <v>872</v>
      </c>
      <c r="AD1326" s="4">
        <v>180</v>
      </c>
      <c r="AE1326" s="4">
        <v>180</v>
      </c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>
        <v>2</v>
      </c>
      <c r="AW1326" s="8">
        <v>62.88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0.1965</v>
      </c>
      <c r="BJ1326" s="4">
        <v>317</v>
      </c>
      <c r="BK1326" s="8">
        <v>6990.97</v>
      </c>
      <c r="BL1326" s="2" t="s">
        <v>418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4538</v>
      </c>
      <c r="BX1326" s="2" t="s">
        <v>4549</v>
      </c>
      <c r="BY1326" s="2" t="s">
        <v>113</v>
      </c>
      <c r="BZ1326" s="2" t="s">
        <v>100</v>
      </c>
    </row>
    <row r="1327">
      <c r="A1327" s="2" t="s">
        <v>4550</v>
      </c>
      <c r="B1327" s="2" t="s">
        <v>4434</v>
      </c>
      <c r="C1327" s="2" t="s">
        <v>88</v>
      </c>
      <c r="D1327" s="2" t="s">
        <v>4473</v>
      </c>
      <c r="E1327" s="2" t="s">
        <v>4474</v>
      </c>
      <c r="F1327" s="2" t="s">
        <v>4533</v>
      </c>
      <c r="G1327" s="2" t="s">
        <v>4534</v>
      </c>
      <c r="H1327" s="2" t="s">
        <v>4534</v>
      </c>
      <c r="I1327" s="2" t="s">
        <v>4535</v>
      </c>
      <c r="J1327" s="2" t="s">
        <v>247</v>
      </c>
      <c r="K1327" s="2" t="s">
        <v>360</v>
      </c>
      <c r="L1327" s="3">
        <v>25.39</v>
      </c>
      <c r="M1327" s="3">
        <v>26.66</v>
      </c>
      <c r="N1327" s="3">
        <v>54.99</v>
      </c>
      <c r="O1327" s="2" t="s">
        <v>97</v>
      </c>
      <c r="P1327" s="2" t="s">
        <v>119</v>
      </c>
      <c r="Q1327" s="2" t="s">
        <v>99</v>
      </c>
      <c r="R1327" s="2" t="s">
        <v>100</v>
      </c>
      <c r="S1327" s="2" t="s">
        <v>4548</v>
      </c>
      <c r="T1327" s="2" t="s">
        <v>4441</v>
      </c>
      <c r="U1327" s="2" t="s">
        <v>1847</v>
      </c>
      <c r="V1327" s="2" t="s">
        <v>146</v>
      </c>
      <c r="W1327" s="2" t="s">
        <v>183</v>
      </c>
      <c r="X1327" s="2" t="s">
        <v>219</v>
      </c>
      <c r="Y1327" s="2" t="s">
        <v>4537</v>
      </c>
      <c r="Z1327" s="4">
        <v>480</v>
      </c>
      <c r="AA1327" s="4">
        <f>=ROUNDDOWN(28.2352941176471,0)</f>
      </c>
      <c r="AB1327" s="5">
        <v>17</v>
      </c>
      <c r="AC1327" s="2" t="s">
        <v>872</v>
      </c>
      <c r="AD1327" s="4">
        <v>390</v>
      </c>
      <c r="AE1327" s="4">
        <v>490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435</v>
      </c>
      <c r="BK1327" s="8">
        <v>11713.84</v>
      </c>
      <c r="BL1327" s="2" t="s">
        <v>418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4538</v>
      </c>
      <c r="BX1327" s="2" t="s">
        <v>4551</v>
      </c>
      <c r="BY1327" s="2" t="s">
        <v>113</v>
      </c>
      <c r="BZ1327" s="2" t="s">
        <v>100</v>
      </c>
    </row>
    <row r="1328">
      <c r="A1328" s="2" t="s">
        <v>4552</v>
      </c>
      <c r="B1328" s="2" t="s">
        <v>4434</v>
      </c>
      <c r="C1328" s="2" t="s">
        <v>88</v>
      </c>
      <c r="D1328" s="2" t="s">
        <v>4473</v>
      </c>
      <c r="E1328" s="2" t="s">
        <v>4474</v>
      </c>
      <c r="F1328" s="2" t="s">
        <v>4533</v>
      </c>
      <c r="G1328" s="2" t="s">
        <v>4534</v>
      </c>
      <c r="H1328" s="2" t="s">
        <v>4534</v>
      </c>
      <c r="I1328" s="2" t="s">
        <v>4535</v>
      </c>
      <c r="J1328" s="2" t="s">
        <v>714</v>
      </c>
      <c r="K1328" s="2" t="s">
        <v>360</v>
      </c>
      <c r="L1328" s="3">
        <v>28.11</v>
      </c>
      <c r="M1328" s="3">
        <v>29.52</v>
      </c>
      <c r="N1328" s="3">
        <v>64.99</v>
      </c>
      <c r="O1328" s="2" t="s">
        <v>97</v>
      </c>
      <c r="P1328" s="2" t="s">
        <v>119</v>
      </c>
      <c r="Q1328" s="2" t="s">
        <v>99</v>
      </c>
      <c r="R1328" s="2" t="s">
        <v>100</v>
      </c>
      <c r="S1328" s="2" t="s">
        <v>4548</v>
      </c>
      <c r="T1328" s="2" t="s">
        <v>4441</v>
      </c>
      <c r="U1328" s="2" t="s">
        <v>1847</v>
      </c>
      <c r="V1328" s="2" t="s">
        <v>146</v>
      </c>
      <c r="W1328" s="2" t="s">
        <v>183</v>
      </c>
      <c r="X1328" s="2" t="s">
        <v>219</v>
      </c>
      <c r="Y1328" s="2" t="s">
        <v>4537</v>
      </c>
      <c r="Z1328" s="4">
        <v>576</v>
      </c>
      <c r="AA1328" s="4">
        <f>=ROUNDDOWN(48,0)</f>
      </c>
      <c r="AB1328" s="5">
        <v>12</v>
      </c>
      <c r="AC1328" s="2" t="s">
        <v>872</v>
      </c>
      <c r="AD1328" s="4">
        <v>100</v>
      </c>
      <c r="AE1328" s="4">
        <v>230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>
        <v>2</v>
      </c>
      <c r="AQ1328" s="8">
        <v>62.88</v>
      </c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1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 t="s">
        <v>100</v>
      </c>
      <c r="BJ1328" s="4">
        <v>292</v>
      </c>
      <c r="BK1328" s="8">
        <v>8794.31</v>
      </c>
      <c r="BL1328" s="2" t="s">
        <v>749</v>
      </c>
      <c r="BM1328" s="7">
        <v>0.0068</v>
      </c>
      <c r="BN1328" s="7">
        <v>0.0072</v>
      </c>
      <c r="BO1328" s="4">
        <v>2</v>
      </c>
      <c r="BP1328" s="8">
        <v>62.88</v>
      </c>
      <c r="BQ1328" s="4"/>
      <c r="BR1328" s="8"/>
      <c r="BS1328" s="7"/>
      <c r="BT1328" s="7"/>
      <c r="BU1328" s="2" t="s">
        <v>109</v>
      </c>
      <c r="BV1328" s="2" t="s">
        <v>110</v>
      </c>
      <c r="BW1328" s="2" t="s">
        <v>4538</v>
      </c>
      <c r="BX1328" s="2" t="s">
        <v>4553</v>
      </c>
      <c r="BY1328" s="2" t="s">
        <v>113</v>
      </c>
      <c r="BZ1328" s="2" t="s">
        <v>100</v>
      </c>
    </row>
    <row r="1329">
      <c r="A1329" s="2" t="s">
        <v>4554</v>
      </c>
      <c r="B1329" s="2" t="s">
        <v>4434</v>
      </c>
      <c r="C1329" s="2" t="s">
        <v>88</v>
      </c>
      <c r="D1329" s="2" t="s">
        <v>4473</v>
      </c>
      <c r="E1329" s="2" t="s">
        <v>4474</v>
      </c>
      <c r="F1329" s="2" t="s">
        <v>4533</v>
      </c>
      <c r="G1329" s="2" t="s">
        <v>4534</v>
      </c>
      <c r="H1329" s="2" t="s">
        <v>4534</v>
      </c>
      <c r="I1329" s="2" t="s">
        <v>4535</v>
      </c>
      <c r="J1329" s="2" t="s">
        <v>237</v>
      </c>
      <c r="K1329" s="2" t="s">
        <v>335</v>
      </c>
      <c r="L1329" s="3">
        <v>20.47</v>
      </c>
      <c r="M1329" s="3">
        <v>21.49</v>
      </c>
      <c r="N1329" s="3">
        <v>44.99</v>
      </c>
      <c r="O1329" s="2" t="s">
        <v>97</v>
      </c>
      <c r="P1329" s="2" t="s">
        <v>119</v>
      </c>
      <c r="Q1329" s="2" t="s">
        <v>99</v>
      </c>
      <c r="R1329" s="2" t="s">
        <v>100</v>
      </c>
      <c r="S1329" s="2" t="s">
        <v>4555</v>
      </c>
      <c r="T1329" s="2" t="s">
        <v>218</v>
      </c>
      <c r="U1329" s="2" t="s">
        <v>1847</v>
      </c>
      <c r="V1329" s="2" t="s">
        <v>146</v>
      </c>
      <c r="W1329" s="2" t="s">
        <v>183</v>
      </c>
      <c r="X1329" s="2" t="s">
        <v>219</v>
      </c>
      <c r="Y1329" s="2" t="s">
        <v>4556</v>
      </c>
      <c r="Z1329" s="4">
        <v>117</v>
      </c>
      <c r="AA1329" s="4">
        <f>=ROUNDDOWN(19.5,0)</f>
      </c>
      <c r="AB1329" s="5">
        <v>6</v>
      </c>
      <c r="AC1329" s="2" t="s">
        <v>872</v>
      </c>
      <c r="AD1329" s="4">
        <v>170</v>
      </c>
      <c r="AE1329" s="4">
        <v>220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139</v>
      </c>
      <c r="BK1329" s="8">
        <v>3140.59</v>
      </c>
      <c r="BL1329" s="2" t="s">
        <v>4557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207</v>
      </c>
      <c r="BV1329" s="2" t="s">
        <v>97</v>
      </c>
      <c r="BW1329" s="2" t="s">
        <v>100</v>
      </c>
      <c r="BX1329" s="2" t="s">
        <v>100</v>
      </c>
      <c r="BY1329" s="2" t="s">
        <v>113</v>
      </c>
      <c r="BZ1329" s="2" t="s">
        <v>100</v>
      </c>
    </row>
    <row r="1330">
      <c r="A1330" s="2" t="s">
        <v>4558</v>
      </c>
      <c r="B1330" s="2" t="s">
        <v>4434</v>
      </c>
      <c r="C1330" s="2" t="s">
        <v>88</v>
      </c>
      <c r="D1330" s="2" t="s">
        <v>4473</v>
      </c>
      <c r="E1330" s="2" t="s">
        <v>4474</v>
      </c>
      <c r="F1330" s="2" t="s">
        <v>4533</v>
      </c>
      <c r="G1330" s="2" t="s">
        <v>4534</v>
      </c>
      <c r="H1330" s="2" t="s">
        <v>4534</v>
      </c>
      <c r="I1330" s="2" t="s">
        <v>4535</v>
      </c>
      <c r="J1330" s="2" t="s">
        <v>247</v>
      </c>
      <c r="K1330" s="2" t="s">
        <v>335</v>
      </c>
      <c r="L1330" s="3">
        <v>25.39</v>
      </c>
      <c r="M1330" s="3">
        <v>26.66</v>
      </c>
      <c r="N1330" s="3">
        <v>54.99</v>
      </c>
      <c r="O1330" s="2" t="s">
        <v>97</v>
      </c>
      <c r="P1330" s="2" t="s">
        <v>119</v>
      </c>
      <c r="Q1330" s="2" t="s">
        <v>99</v>
      </c>
      <c r="R1330" s="2" t="s">
        <v>100</v>
      </c>
      <c r="S1330" s="2" t="s">
        <v>4555</v>
      </c>
      <c r="T1330" s="2" t="s">
        <v>218</v>
      </c>
      <c r="U1330" s="2" t="s">
        <v>1847</v>
      </c>
      <c r="V1330" s="2" t="s">
        <v>146</v>
      </c>
      <c r="W1330" s="2" t="s">
        <v>183</v>
      </c>
      <c r="X1330" s="2" t="s">
        <v>219</v>
      </c>
      <c r="Y1330" s="2" t="s">
        <v>4556</v>
      </c>
      <c r="Z1330" s="4">
        <v>194</v>
      </c>
      <c r="AA1330" s="4">
        <f>=ROUNDDOWN(19.4,0)</f>
      </c>
      <c r="AB1330" s="5">
        <v>10</v>
      </c>
      <c r="AC1330" s="2" t="s">
        <v>872</v>
      </c>
      <c r="AD1330" s="4">
        <v>220</v>
      </c>
      <c r="AE1330" s="4">
        <v>420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316</v>
      </c>
      <c r="BK1330" s="8">
        <v>8434.28</v>
      </c>
      <c r="BL1330" s="2" t="s">
        <v>1336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207</v>
      </c>
      <c r="BV1330" s="2" t="s">
        <v>97</v>
      </c>
      <c r="BW1330" s="2" t="s">
        <v>100</v>
      </c>
      <c r="BX1330" s="2" t="s">
        <v>100</v>
      </c>
      <c r="BY1330" s="2" t="s">
        <v>113</v>
      </c>
      <c r="BZ1330" s="2" t="s">
        <v>100</v>
      </c>
    </row>
    <row r="1331">
      <c r="A1331" s="2" t="s">
        <v>4559</v>
      </c>
      <c r="B1331" s="2" t="s">
        <v>4434</v>
      </c>
      <c r="C1331" s="2" t="s">
        <v>88</v>
      </c>
      <c r="D1331" s="2" t="s">
        <v>4473</v>
      </c>
      <c r="E1331" s="2" t="s">
        <v>4474</v>
      </c>
      <c r="F1331" s="2" t="s">
        <v>4533</v>
      </c>
      <c r="G1331" s="2" t="s">
        <v>4534</v>
      </c>
      <c r="H1331" s="2" t="s">
        <v>4534</v>
      </c>
      <c r="I1331" s="2" t="s">
        <v>4535</v>
      </c>
      <c r="J1331" s="2" t="s">
        <v>714</v>
      </c>
      <c r="K1331" s="2" t="s">
        <v>335</v>
      </c>
      <c r="L1331" s="3">
        <v>28.11</v>
      </c>
      <c r="M1331" s="3">
        <v>29.52</v>
      </c>
      <c r="N1331" s="3">
        <v>64.99</v>
      </c>
      <c r="O1331" s="2" t="s">
        <v>97</v>
      </c>
      <c r="P1331" s="2" t="s">
        <v>119</v>
      </c>
      <c r="Q1331" s="2" t="s">
        <v>99</v>
      </c>
      <c r="R1331" s="2" t="s">
        <v>100</v>
      </c>
      <c r="S1331" s="2" t="s">
        <v>4555</v>
      </c>
      <c r="T1331" s="2" t="s">
        <v>218</v>
      </c>
      <c r="U1331" s="2" t="s">
        <v>1847</v>
      </c>
      <c r="V1331" s="2" t="s">
        <v>146</v>
      </c>
      <c r="W1331" s="2" t="s">
        <v>183</v>
      </c>
      <c r="X1331" s="2" t="s">
        <v>219</v>
      </c>
      <c r="Y1331" s="2" t="s">
        <v>4556</v>
      </c>
      <c r="Z1331" s="4">
        <v>221</v>
      </c>
      <c r="AA1331" s="4">
        <f>=ROUNDDOWN(27.625,0)</f>
      </c>
      <c r="AB1331" s="5">
        <v>8</v>
      </c>
      <c r="AC1331" s="2" t="s">
        <v>872</v>
      </c>
      <c r="AD1331" s="4">
        <v>190</v>
      </c>
      <c r="AE1331" s="4">
        <v>290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209</v>
      </c>
      <c r="BK1331" s="8">
        <v>6319.56</v>
      </c>
      <c r="BL1331" s="2" t="s">
        <v>1058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207</v>
      </c>
      <c r="BV1331" s="2" t="s">
        <v>97</v>
      </c>
      <c r="BW1331" s="2" t="s">
        <v>100</v>
      </c>
      <c r="BX1331" s="2" t="s">
        <v>100</v>
      </c>
      <c r="BY1331" s="2" t="s">
        <v>113</v>
      </c>
      <c r="BZ1331" s="2" t="s">
        <v>100</v>
      </c>
    </row>
    <row r="1332">
      <c r="A1332" s="2" t="s">
        <v>4560</v>
      </c>
      <c r="B1332" s="2" t="s">
        <v>4434</v>
      </c>
      <c r="C1332" s="2" t="s">
        <v>88</v>
      </c>
      <c r="D1332" s="2" t="s">
        <v>4473</v>
      </c>
      <c r="E1332" s="2" t="s">
        <v>4474</v>
      </c>
      <c r="F1332" s="2" t="s">
        <v>4533</v>
      </c>
      <c r="G1332" s="2" t="s">
        <v>4534</v>
      </c>
      <c r="H1332" s="2" t="s">
        <v>4534</v>
      </c>
      <c r="I1332" s="2" t="s">
        <v>4535</v>
      </c>
      <c r="J1332" s="2" t="s">
        <v>237</v>
      </c>
      <c r="K1332" s="2" t="s">
        <v>765</v>
      </c>
      <c r="L1332" s="3">
        <v>20.47</v>
      </c>
      <c r="M1332" s="3">
        <v>21.49</v>
      </c>
      <c r="N1332" s="3">
        <v>44.99</v>
      </c>
      <c r="O1332" s="2" t="s">
        <v>97</v>
      </c>
      <c r="P1332" s="2" t="s">
        <v>119</v>
      </c>
      <c r="Q1332" s="2" t="s">
        <v>99</v>
      </c>
      <c r="R1332" s="2" t="s">
        <v>100</v>
      </c>
      <c r="S1332" s="2" t="s">
        <v>4561</v>
      </c>
      <c r="T1332" s="2" t="s">
        <v>4441</v>
      </c>
      <c r="U1332" s="2" t="s">
        <v>1847</v>
      </c>
      <c r="V1332" s="2" t="s">
        <v>146</v>
      </c>
      <c r="W1332" s="2" t="s">
        <v>183</v>
      </c>
      <c r="X1332" s="2" t="s">
        <v>219</v>
      </c>
      <c r="Y1332" s="2" t="s">
        <v>4562</v>
      </c>
      <c r="Z1332" s="4">
        <v>123</v>
      </c>
      <c r="AA1332" s="4">
        <f>=ROUNDDOWN(24.6,0)</f>
      </c>
      <c r="AB1332" s="5">
        <v>5</v>
      </c>
      <c r="AC1332" s="2" t="s">
        <v>872</v>
      </c>
      <c r="AD1332" s="4">
        <v>100</v>
      </c>
      <c r="AE1332" s="4">
        <v>130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95</v>
      </c>
      <c r="BK1332" s="8">
        <v>2044.25</v>
      </c>
      <c r="BL1332" s="2" t="s">
        <v>1241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207</v>
      </c>
      <c r="BV1332" s="2" t="s">
        <v>97</v>
      </c>
      <c r="BW1332" s="2" t="s">
        <v>100</v>
      </c>
      <c r="BX1332" s="2" t="s">
        <v>100</v>
      </c>
      <c r="BY1332" s="2" t="s">
        <v>113</v>
      </c>
      <c r="BZ1332" s="2" t="s">
        <v>100</v>
      </c>
    </row>
    <row r="1333">
      <c r="A1333" s="2" t="s">
        <v>4563</v>
      </c>
      <c r="B1333" s="2" t="s">
        <v>4434</v>
      </c>
      <c r="C1333" s="2" t="s">
        <v>88</v>
      </c>
      <c r="D1333" s="2" t="s">
        <v>4473</v>
      </c>
      <c r="E1333" s="2" t="s">
        <v>4474</v>
      </c>
      <c r="F1333" s="2" t="s">
        <v>4533</v>
      </c>
      <c r="G1333" s="2" t="s">
        <v>4534</v>
      </c>
      <c r="H1333" s="2" t="s">
        <v>4534</v>
      </c>
      <c r="I1333" s="2" t="s">
        <v>4535</v>
      </c>
      <c r="J1333" s="2" t="s">
        <v>247</v>
      </c>
      <c r="K1333" s="2" t="s">
        <v>765</v>
      </c>
      <c r="L1333" s="3">
        <v>25.39</v>
      </c>
      <c r="M1333" s="3">
        <v>26.66</v>
      </c>
      <c r="N1333" s="3">
        <v>54.99</v>
      </c>
      <c r="O1333" s="2" t="s">
        <v>97</v>
      </c>
      <c r="P1333" s="2" t="s">
        <v>119</v>
      </c>
      <c r="Q1333" s="2" t="s">
        <v>99</v>
      </c>
      <c r="R1333" s="2" t="s">
        <v>100</v>
      </c>
      <c r="S1333" s="2" t="s">
        <v>4561</v>
      </c>
      <c r="T1333" s="2" t="s">
        <v>4441</v>
      </c>
      <c r="U1333" s="2" t="s">
        <v>1847</v>
      </c>
      <c r="V1333" s="2" t="s">
        <v>146</v>
      </c>
      <c r="W1333" s="2" t="s">
        <v>183</v>
      </c>
      <c r="X1333" s="2" t="s">
        <v>219</v>
      </c>
      <c r="Y1333" s="2" t="s">
        <v>4562</v>
      </c>
      <c r="Z1333" s="4">
        <v>138</v>
      </c>
      <c r="AA1333" s="4">
        <f>=ROUNDDOWN(17.25,0)</f>
      </c>
      <c r="AB1333" s="5">
        <v>8</v>
      </c>
      <c r="AC1333" s="2" t="s">
        <v>872</v>
      </c>
      <c r="AD1333" s="4">
        <v>150</v>
      </c>
      <c r="AE1333" s="4">
        <v>230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153</v>
      </c>
      <c r="BK1333" s="8">
        <v>4061.68</v>
      </c>
      <c r="BL1333" s="2" t="s">
        <v>1336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207</v>
      </c>
      <c r="BV1333" s="2" t="s">
        <v>97</v>
      </c>
      <c r="BW1333" s="2" t="s">
        <v>100</v>
      </c>
      <c r="BX1333" s="2" t="s">
        <v>100</v>
      </c>
      <c r="BY1333" s="2" t="s">
        <v>113</v>
      </c>
      <c r="BZ1333" s="2" t="s">
        <v>100</v>
      </c>
    </row>
    <row r="1334">
      <c r="A1334" s="2" t="s">
        <v>4564</v>
      </c>
      <c r="B1334" s="2" t="s">
        <v>4434</v>
      </c>
      <c r="C1334" s="2" t="s">
        <v>88</v>
      </c>
      <c r="D1334" s="2" t="s">
        <v>4473</v>
      </c>
      <c r="E1334" s="2" t="s">
        <v>4474</v>
      </c>
      <c r="F1334" s="2" t="s">
        <v>4533</v>
      </c>
      <c r="G1334" s="2" t="s">
        <v>4534</v>
      </c>
      <c r="H1334" s="2" t="s">
        <v>4534</v>
      </c>
      <c r="I1334" s="2" t="s">
        <v>4535</v>
      </c>
      <c r="J1334" s="2" t="s">
        <v>714</v>
      </c>
      <c r="K1334" s="2" t="s">
        <v>765</v>
      </c>
      <c r="L1334" s="3">
        <v>28.11</v>
      </c>
      <c r="M1334" s="3">
        <v>29.52</v>
      </c>
      <c r="N1334" s="3">
        <v>64.99</v>
      </c>
      <c r="O1334" s="2" t="s">
        <v>97</v>
      </c>
      <c r="P1334" s="2" t="s">
        <v>119</v>
      </c>
      <c r="Q1334" s="2" t="s">
        <v>99</v>
      </c>
      <c r="R1334" s="2" t="s">
        <v>100</v>
      </c>
      <c r="S1334" s="2" t="s">
        <v>4561</v>
      </c>
      <c r="T1334" s="2" t="s">
        <v>4441</v>
      </c>
      <c r="U1334" s="2" t="s">
        <v>1847</v>
      </c>
      <c r="V1334" s="2" t="s">
        <v>146</v>
      </c>
      <c r="W1334" s="2" t="s">
        <v>183</v>
      </c>
      <c r="X1334" s="2" t="s">
        <v>219</v>
      </c>
      <c r="Y1334" s="2" t="s">
        <v>4562</v>
      </c>
      <c r="Z1334" s="4">
        <v>161</v>
      </c>
      <c r="AA1334" s="4">
        <f>=ROUNDDOWN(23,0)</f>
      </c>
      <c r="AB1334" s="5">
        <v>7</v>
      </c>
      <c r="AC1334" s="2" t="s">
        <v>872</v>
      </c>
      <c r="AD1334" s="4">
        <v>70</v>
      </c>
      <c r="AE1334" s="4">
        <v>210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120</v>
      </c>
      <c r="BK1334" s="8">
        <v>3575.66</v>
      </c>
      <c r="BL1334" s="2" t="s">
        <v>418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207</v>
      </c>
      <c r="BV1334" s="2" t="s">
        <v>97</v>
      </c>
      <c r="BW1334" s="2" t="s">
        <v>100</v>
      </c>
      <c r="BX1334" s="2" t="s">
        <v>100</v>
      </c>
      <c r="BY1334" s="2" t="s">
        <v>113</v>
      </c>
      <c r="BZ1334" s="2" t="s">
        <v>100</v>
      </c>
    </row>
    <row r="1335">
      <c r="A1335" s="2" t="s">
        <v>4565</v>
      </c>
      <c r="B1335" s="2" t="s">
        <v>4434</v>
      </c>
      <c r="C1335" s="2" t="s">
        <v>88</v>
      </c>
      <c r="D1335" s="2" t="s">
        <v>4473</v>
      </c>
      <c r="E1335" s="2" t="s">
        <v>4474</v>
      </c>
      <c r="F1335" s="2" t="s">
        <v>4566</v>
      </c>
      <c r="G1335" s="2" t="s">
        <v>4567</v>
      </c>
      <c r="H1335" s="2" t="s">
        <v>4567</v>
      </c>
      <c r="I1335" s="2" t="s">
        <v>4568</v>
      </c>
      <c r="J1335" s="2" t="s">
        <v>247</v>
      </c>
      <c r="K1335" s="2" t="s">
        <v>629</v>
      </c>
      <c r="L1335" s="3">
        <v>25.67</v>
      </c>
      <c r="M1335" s="3">
        <v>26.95</v>
      </c>
      <c r="N1335" s="3">
        <v>54.99</v>
      </c>
      <c r="O1335" s="2" t="s">
        <v>97</v>
      </c>
      <c r="P1335" s="2" t="s">
        <v>119</v>
      </c>
      <c r="Q1335" s="2" t="s">
        <v>99</v>
      </c>
      <c r="R1335" s="2" t="s">
        <v>100</v>
      </c>
      <c r="S1335" s="2" t="s">
        <v>4569</v>
      </c>
      <c r="T1335" s="2" t="s">
        <v>218</v>
      </c>
      <c r="U1335" s="2" t="s">
        <v>100</v>
      </c>
      <c r="V1335" s="2" t="s">
        <v>146</v>
      </c>
      <c r="W1335" s="2" t="s">
        <v>183</v>
      </c>
      <c r="X1335" s="2" t="s">
        <v>100</v>
      </c>
      <c r="Y1335" s="2" t="s">
        <v>240</v>
      </c>
      <c r="Z1335" s="4">
        <v>394</v>
      </c>
      <c r="AA1335" s="4">
        <f>=ROUNDDOWN(20.7368421052632,0)</f>
      </c>
      <c r="AB1335" s="5">
        <v>19</v>
      </c>
      <c r="AC1335" s="2" t="s">
        <v>872</v>
      </c>
      <c r="AD1335" s="4">
        <v>200</v>
      </c>
      <c r="AE1335" s="4">
        <v>460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>
        <v>4</v>
      </c>
      <c r="AQ1335" s="8">
        <v>116.12</v>
      </c>
      <c r="AR1335" s="4"/>
      <c r="AS1335" s="8"/>
      <c r="AT1335" s="7"/>
      <c r="AU1335" s="7"/>
      <c r="AV1335" s="4">
        <v>4</v>
      </c>
      <c r="AW1335" s="8">
        <v>116.12</v>
      </c>
      <c r="AX1335" s="4"/>
      <c r="AY1335" s="8"/>
      <c r="AZ1335" s="7"/>
      <c r="BA1335" s="7"/>
      <c r="BB1335" s="7">
        <v>1</v>
      </c>
      <c r="BC1335" s="4">
        <v>4</v>
      </c>
      <c r="BD1335" s="8">
        <v>116.12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1</v>
      </c>
      <c r="BJ1335" s="4">
        <v>459</v>
      </c>
      <c r="BK1335" s="8">
        <v>12398.05</v>
      </c>
      <c r="BL1335" s="2" t="s">
        <v>4570</v>
      </c>
      <c r="BM1335" s="7">
        <v>0.0087</v>
      </c>
      <c r="BN1335" s="7">
        <v>0.0094</v>
      </c>
      <c r="BO1335" s="4">
        <v>4</v>
      </c>
      <c r="BP1335" s="8">
        <v>116.12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4571</v>
      </c>
      <c r="BX1335" s="2" t="s">
        <v>1993</v>
      </c>
      <c r="BY1335" s="2" t="s">
        <v>113</v>
      </c>
      <c r="BZ1335" s="2" t="s">
        <v>100</v>
      </c>
    </row>
    <row r="1336">
      <c r="A1336" s="2" t="s">
        <v>4572</v>
      </c>
      <c r="B1336" s="2" t="s">
        <v>4434</v>
      </c>
      <c r="C1336" s="2" t="s">
        <v>88</v>
      </c>
      <c r="D1336" s="2" t="s">
        <v>4473</v>
      </c>
      <c r="E1336" s="2" t="s">
        <v>4474</v>
      </c>
      <c r="F1336" s="2" t="s">
        <v>4566</v>
      </c>
      <c r="G1336" s="2" t="s">
        <v>4567</v>
      </c>
      <c r="H1336" s="2" t="s">
        <v>4567</v>
      </c>
      <c r="I1336" s="2" t="s">
        <v>4568</v>
      </c>
      <c r="J1336" s="2" t="s">
        <v>247</v>
      </c>
      <c r="K1336" s="2" t="s">
        <v>2477</v>
      </c>
      <c r="L1336" s="3">
        <v>25.67</v>
      </c>
      <c r="M1336" s="3">
        <v>26.95</v>
      </c>
      <c r="N1336" s="3">
        <v>54.99</v>
      </c>
      <c r="O1336" s="2" t="s">
        <v>97</v>
      </c>
      <c r="P1336" s="2" t="s">
        <v>119</v>
      </c>
      <c r="Q1336" s="2" t="s">
        <v>99</v>
      </c>
      <c r="R1336" s="2" t="s">
        <v>100</v>
      </c>
      <c r="S1336" s="2" t="s">
        <v>4573</v>
      </c>
      <c r="T1336" s="2" t="s">
        <v>218</v>
      </c>
      <c r="U1336" s="2" t="s">
        <v>1847</v>
      </c>
      <c r="V1336" s="2" t="s">
        <v>146</v>
      </c>
      <c r="W1336" s="2" t="s">
        <v>183</v>
      </c>
      <c r="X1336" s="2" t="s">
        <v>100</v>
      </c>
      <c r="Y1336" s="2" t="s">
        <v>4574</v>
      </c>
      <c r="Z1336" s="4">
        <v>620</v>
      </c>
      <c r="AA1336" s="4">
        <f>=ROUNDDOWN(41.3333333333333,0)</f>
      </c>
      <c r="AB1336" s="5">
        <v>15</v>
      </c>
      <c r="AC1336" s="2" t="s">
        <v>872</v>
      </c>
      <c r="AD1336" s="4">
        <v>230</v>
      </c>
      <c r="AE1336" s="4">
        <v>350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361</v>
      </c>
      <c r="BK1336" s="8">
        <v>9441.21</v>
      </c>
      <c r="BL1336" s="2" t="s">
        <v>553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207</v>
      </c>
      <c r="BV1336" s="2" t="s">
        <v>97</v>
      </c>
      <c r="BW1336" s="2" t="s">
        <v>100</v>
      </c>
      <c r="BX1336" s="2" t="s">
        <v>100</v>
      </c>
      <c r="BY1336" s="2" t="s">
        <v>113</v>
      </c>
      <c r="BZ1336" s="2" t="s">
        <v>100</v>
      </c>
    </row>
    <row r="1337">
      <c r="A1337" s="2" t="s">
        <v>4575</v>
      </c>
      <c r="B1337" s="2" t="s">
        <v>4434</v>
      </c>
      <c r="C1337" s="2" t="s">
        <v>88</v>
      </c>
      <c r="D1337" s="2" t="s">
        <v>4473</v>
      </c>
      <c r="E1337" s="2" t="s">
        <v>4474</v>
      </c>
      <c r="F1337" s="2" t="s">
        <v>4566</v>
      </c>
      <c r="G1337" s="2" t="s">
        <v>4567</v>
      </c>
      <c r="H1337" s="2" t="s">
        <v>4567</v>
      </c>
      <c r="I1337" s="2" t="s">
        <v>4568</v>
      </c>
      <c r="J1337" s="2" t="s">
        <v>714</v>
      </c>
      <c r="K1337" s="2" t="s">
        <v>2477</v>
      </c>
      <c r="L1337" s="3">
        <v>28.98</v>
      </c>
      <c r="M1337" s="3">
        <v>30.43</v>
      </c>
      <c r="N1337" s="3">
        <v>64.99</v>
      </c>
      <c r="O1337" s="2" t="s">
        <v>97</v>
      </c>
      <c r="P1337" s="2" t="s">
        <v>119</v>
      </c>
      <c r="Q1337" s="2" t="s">
        <v>99</v>
      </c>
      <c r="R1337" s="2" t="s">
        <v>100</v>
      </c>
      <c r="S1337" s="2" t="s">
        <v>4573</v>
      </c>
      <c r="T1337" s="2" t="s">
        <v>218</v>
      </c>
      <c r="U1337" s="2" t="s">
        <v>1847</v>
      </c>
      <c r="V1337" s="2" t="s">
        <v>146</v>
      </c>
      <c r="W1337" s="2" t="s">
        <v>183</v>
      </c>
      <c r="X1337" s="2" t="s">
        <v>100</v>
      </c>
      <c r="Y1337" s="2" t="s">
        <v>4574</v>
      </c>
      <c r="Z1337" s="4">
        <v>1104</v>
      </c>
      <c r="AA1337" s="4">
        <f>=ROUNDDOWN(48,0)</f>
      </c>
      <c r="AB1337" s="5">
        <v>23</v>
      </c>
      <c r="AC1337" s="2" t="s">
        <v>872</v>
      </c>
      <c r="AD1337" s="4">
        <v>200</v>
      </c>
      <c r="AE1337" s="4">
        <v>430</v>
      </c>
      <c r="AF1337" s="6">
        <v>65</v>
      </c>
      <c r="AG1337" s="6"/>
      <c r="AH1337" s="7">
        <v>0.9519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610</v>
      </c>
      <c r="BK1337" s="8">
        <v>18810.06</v>
      </c>
      <c r="BL1337" s="2" t="s">
        <v>272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207</v>
      </c>
      <c r="BV1337" s="2" t="s">
        <v>97</v>
      </c>
      <c r="BW1337" s="2" t="s">
        <v>100</v>
      </c>
      <c r="BX1337" s="2" t="s">
        <v>100</v>
      </c>
      <c r="BY1337" s="2" t="s">
        <v>113</v>
      </c>
      <c r="BZ1337" s="2" t="s">
        <v>100</v>
      </c>
    </row>
    <row r="1338">
      <c r="A1338" s="2" t="s">
        <v>4576</v>
      </c>
      <c r="B1338" s="2" t="s">
        <v>4434</v>
      </c>
      <c r="C1338" s="2" t="s">
        <v>88</v>
      </c>
      <c r="D1338" s="2" t="s">
        <v>4473</v>
      </c>
      <c r="E1338" s="2" t="s">
        <v>4474</v>
      </c>
      <c r="F1338" s="2" t="s">
        <v>4566</v>
      </c>
      <c r="G1338" s="2" t="s">
        <v>4567</v>
      </c>
      <c r="H1338" s="2" t="s">
        <v>4567</v>
      </c>
      <c r="I1338" s="2" t="s">
        <v>4568</v>
      </c>
      <c r="J1338" s="2" t="s">
        <v>247</v>
      </c>
      <c r="K1338" s="2" t="s">
        <v>1614</v>
      </c>
      <c r="L1338" s="3">
        <v>25.67</v>
      </c>
      <c r="M1338" s="3">
        <v>26.95</v>
      </c>
      <c r="N1338" s="3">
        <v>54.99</v>
      </c>
      <c r="O1338" s="2" t="s">
        <v>97</v>
      </c>
      <c r="P1338" s="2" t="s">
        <v>119</v>
      </c>
      <c r="Q1338" s="2" t="s">
        <v>99</v>
      </c>
      <c r="R1338" s="2" t="s">
        <v>100</v>
      </c>
      <c r="S1338" s="2" t="s">
        <v>4577</v>
      </c>
      <c r="T1338" s="2" t="s">
        <v>218</v>
      </c>
      <c r="U1338" s="2" t="s">
        <v>100</v>
      </c>
      <c r="V1338" s="2" t="s">
        <v>146</v>
      </c>
      <c r="W1338" s="2" t="s">
        <v>183</v>
      </c>
      <c r="X1338" s="2" t="s">
        <v>100</v>
      </c>
      <c r="Y1338" s="2" t="s">
        <v>240</v>
      </c>
      <c r="Z1338" s="4">
        <v>850</v>
      </c>
      <c r="AA1338" s="4">
        <f>=ROUNDDOWN(31.4814814814815,0)</f>
      </c>
      <c r="AB1338" s="5">
        <v>27</v>
      </c>
      <c r="AC1338" s="2" t="s">
        <v>356</v>
      </c>
      <c r="AD1338" s="4">
        <v>100</v>
      </c>
      <c r="AE1338" s="4">
        <v>680</v>
      </c>
      <c r="AF1338" s="6">
        <v>65</v>
      </c>
      <c r="AG1338" s="6">
        <v>48</v>
      </c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698</v>
      </c>
      <c r="BK1338" s="8">
        <v>18538.47</v>
      </c>
      <c r="BL1338" s="2" t="s">
        <v>418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4571</v>
      </c>
      <c r="BX1338" s="2" t="s">
        <v>4578</v>
      </c>
      <c r="BY1338" s="2" t="s">
        <v>113</v>
      </c>
      <c r="BZ1338" s="2" t="s">
        <v>100</v>
      </c>
    </row>
    <row r="1339">
      <c r="A1339" s="2" t="s">
        <v>4579</v>
      </c>
      <c r="B1339" s="2" t="s">
        <v>4434</v>
      </c>
      <c r="C1339" s="2" t="s">
        <v>88</v>
      </c>
      <c r="D1339" s="2" t="s">
        <v>4473</v>
      </c>
      <c r="E1339" s="2" t="s">
        <v>4474</v>
      </c>
      <c r="F1339" s="2" t="s">
        <v>4566</v>
      </c>
      <c r="G1339" s="2" t="s">
        <v>4567</v>
      </c>
      <c r="H1339" s="2" t="s">
        <v>4567</v>
      </c>
      <c r="I1339" s="2" t="s">
        <v>4568</v>
      </c>
      <c r="J1339" s="2" t="s">
        <v>247</v>
      </c>
      <c r="K1339" s="2" t="s">
        <v>4580</v>
      </c>
      <c r="L1339" s="3">
        <v>25.67</v>
      </c>
      <c r="M1339" s="3">
        <v>26.95</v>
      </c>
      <c r="N1339" s="3">
        <v>54.99</v>
      </c>
      <c r="O1339" s="2" t="s">
        <v>97</v>
      </c>
      <c r="P1339" s="2" t="s">
        <v>119</v>
      </c>
      <c r="Q1339" s="2" t="s">
        <v>99</v>
      </c>
      <c r="R1339" s="2" t="s">
        <v>100</v>
      </c>
      <c r="S1339" s="2" t="s">
        <v>4581</v>
      </c>
      <c r="T1339" s="2" t="s">
        <v>218</v>
      </c>
      <c r="U1339" s="2" t="s">
        <v>1847</v>
      </c>
      <c r="V1339" s="2" t="s">
        <v>146</v>
      </c>
      <c r="W1339" s="2" t="s">
        <v>183</v>
      </c>
      <c r="X1339" s="2" t="s">
        <v>100</v>
      </c>
      <c r="Y1339" s="2" t="s">
        <v>4582</v>
      </c>
      <c r="Z1339" s="4">
        <v>630</v>
      </c>
      <c r="AA1339" s="4">
        <f>=ROUNDDOWN(39.375,0)</f>
      </c>
      <c r="AB1339" s="5">
        <v>16</v>
      </c>
      <c r="AC1339" s="2" t="s">
        <v>768</v>
      </c>
      <c r="AD1339" s="4">
        <v>160</v>
      </c>
      <c r="AE1339" s="4">
        <v>360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367</v>
      </c>
      <c r="BK1339" s="8">
        <v>9595.18</v>
      </c>
      <c r="BL1339" s="2" t="s">
        <v>4583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207</v>
      </c>
      <c r="BV1339" s="2" t="s">
        <v>97</v>
      </c>
      <c r="BW1339" s="2" t="s">
        <v>100</v>
      </c>
      <c r="BX1339" s="2" t="s">
        <v>100</v>
      </c>
      <c r="BY1339" s="2" t="s">
        <v>113</v>
      </c>
      <c r="BZ1339" s="2" t="s">
        <v>100</v>
      </c>
    </row>
    <row r="1340">
      <c r="A1340" s="2" t="s">
        <v>4584</v>
      </c>
      <c r="B1340" s="2" t="s">
        <v>4434</v>
      </c>
      <c r="C1340" s="2" t="s">
        <v>88</v>
      </c>
      <c r="D1340" s="2" t="s">
        <v>4473</v>
      </c>
      <c r="E1340" s="2" t="s">
        <v>4474</v>
      </c>
      <c r="F1340" s="2" t="s">
        <v>4566</v>
      </c>
      <c r="G1340" s="2" t="s">
        <v>4567</v>
      </c>
      <c r="H1340" s="2" t="s">
        <v>4567</v>
      </c>
      <c r="I1340" s="2" t="s">
        <v>4568</v>
      </c>
      <c r="J1340" s="2" t="s">
        <v>714</v>
      </c>
      <c r="K1340" s="2" t="s">
        <v>4580</v>
      </c>
      <c r="L1340" s="3">
        <v>28.98</v>
      </c>
      <c r="M1340" s="3">
        <v>30.43</v>
      </c>
      <c r="N1340" s="3">
        <v>64.99</v>
      </c>
      <c r="O1340" s="2" t="s">
        <v>97</v>
      </c>
      <c r="P1340" s="2" t="s">
        <v>119</v>
      </c>
      <c r="Q1340" s="2" t="s">
        <v>99</v>
      </c>
      <c r="R1340" s="2" t="s">
        <v>100</v>
      </c>
      <c r="S1340" s="2" t="s">
        <v>4581</v>
      </c>
      <c r="T1340" s="2" t="s">
        <v>218</v>
      </c>
      <c r="U1340" s="2" t="s">
        <v>1847</v>
      </c>
      <c r="V1340" s="2" t="s">
        <v>146</v>
      </c>
      <c r="W1340" s="2" t="s">
        <v>183</v>
      </c>
      <c r="X1340" s="2" t="s">
        <v>100</v>
      </c>
      <c r="Y1340" s="2" t="s">
        <v>4582</v>
      </c>
      <c r="Z1340" s="4">
        <v>780</v>
      </c>
      <c r="AA1340" s="4">
        <f>=ROUNDDOWN(41.0526315789474,0)</f>
      </c>
      <c r="AB1340" s="5">
        <v>19</v>
      </c>
      <c r="AC1340" s="2" t="s">
        <v>768</v>
      </c>
      <c r="AD1340" s="4">
        <v>220</v>
      </c>
      <c r="AE1340" s="4">
        <v>420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553</v>
      </c>
      <c r="BK1340" s="8">
        <v>17389.06</v>
      </c>
      <c r="BL1340" s="2" t="s">
        <v>267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207</v>
      </c>
      <c r="BV1340" s="2" t="s">
        <v>97</v>
      </c>
      <c r="BW1340" s="2" t="s">
        <v>100</v>
      </c>
      <c r="BX1340" s="2" t="s">
        <v>100</v>
      </c>
      <c r="BY1340" s="2" t="s">
        <v>113</v>
      </c>
      <c r="BZ1340" s="2" t="s">
        <v>100</v>
      </c>
    </row>
    <row r="1341">
      <c r="A1341" s="2" t="s">
        <v>4585</v>
      </c>
      <c r="B1341" s="2" t="s">
        <v>4434</v>
      </c>
      <c r="C1341" s="2" t="s">
        <v>88</v>
      </c>
      <c r="D1341" s="2" t="s">
        <v>803</v>
      </c>
      <c r="E1341" s="2" t="s">
        <v>4586</v>
      </c>
      <c r="F1341" s="2" t="s">
        <v>4587</v>
      </c>
      <c r="G1341" s="2" t="s">
        <v>4588</v>
      </c>
      <c r="H1341" s="2" t="s">
        <v>4588</v>
      </c>
      <c r="I1341" s="2" t="s">
        <v>4589</v>
      </c>
      <c r="J1341" s="2" t="s">
        <v>237</v>
      </c>
      <c r="K1341" s="2" t="s">
        <v>189</v>
      </c>
      <c r="L1341" s="3">
        <v>26.5</v>
      </c>
      <c r="M1341" s="3">
        <v>27.82</v>
      </c>
      <c r="N1341" s="3">
        <v>52.99</v>
      </c>
      <c r="O1341" s="2" t="s">
        <v>97</v>
      </c>
      <c r="P1341" s="2" t="s">
        <v>119</v>
      </c>
      <c r="Q1341" s="2" t="s">
        <v>99</v>
      </c>
      <c r="R1341" s="2" t="s">
        <v>100</v>
      </c>
      <c r="S1341" s="2" t="s">
        <v>4590</v>
      </c>
      <c r="T1341" s="2" t="s">
        <v>280</v>
      </c>
      <c r="U1341" s="2" t="s">
        <v>1847</v>
      </c>
      <c r="V1341" s="2" t="s">
        <v>146</v>
      </c>
      <c r="W1341" s="2" t="s">
        <v>183</v>
      </c>
      <c r="X1341" s="2" t="s">
        <v>673</v>
      </c>
      <c r="Y1341" s="2" t="s">
        <v>240</v>
      </c>
      <c r="Z1341" s="4">
        <v>739</v>
      </c>
      <c r="AA1341" s="4">
        <f>=ROUNDDOWN(30.7916666666667,0)</f>
      </c>
      <c r="AB1341" s="5">
        <v>24</v>
      </c>
      <c r="AC1341" s="2" t="s">
        <v>1771</v>
      </c>
      <c r="AD1341" s="4">
        <v>100</v>
      </c>
      <c r="AE1341" s="4">
        <v>180</v>
      </c>
      <c r="AF1341" s="6">
        <v>68</v>
      </c>
      <c r="AG1341" s="6">
        <v>76</v>
      </c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>
        <v>13</v>
      </c>
      <c r="AW1341" s="8">
        <v>545.87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>
        <v>13</v>
      </c>
      <c r="BD1341" s="8">
        <v>545.87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1</v>
      </c>
      <c r="BJ1341" s="4">
        <v>426</v>
      </c>
      <c r="BK1341" s="8">
        <v>13312.25</v>
      </c>
      <c r="BL1341" s="2" t="s">
        <v>4591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243</v>
      </c>
      <c r="BX1341" s="2" t="s">
        <v>4592</v>
      </c>
      <c r="BY1341" s="2" t="s">
        <v>113</v>
      </c>
      <c r="BZ1341" s="2" t="s">
        <v>100</v>
      </c>
    </row>
    <row r="1342">
      <c r="A1342" s="2" t="s">
        <v>4593</v>
      </c>
      <c r="B1342" s="2" t="s">
        <v>4434</v>
      </c>
      <c r="C1342" s="2" t="s">
        <v>88</v>
      </c>
      <c r="D1342" s="2" t="s">
        <v>803</v>
      </c>
      <c r="E1342" s="2" t="s">
        <v>4586</v>
      </c>
      <c r="F1342" s="2" t="s">
        <v>4587</v>
      </c>
      <c r="G1342" s="2" t="s">
        <v>4588</v>
      </c>
      <c r="H1342" s="2" t="s">
        <v>4588</v>
      </c>
      <c r="I1342" s="2" t="s">
        <v>4589</v>
      </c>
      <c r="J1342" s="2" t="s">
        <v>247</v>
      </c>
      <c r="K1342" s="2" t="s">
        <v>189</v>
      </c>
      <c r="L1342" s="3">
        <v>37.5</v>
      </c>
      <c r="M1342" s="3">
        <v>39.38</v>
      </c>
      <c r="N1342" s="3">
        <v>74.99</v>
      </c>
      <c r="O1342" s="2" t="s">
        <v>97</v>
      </c>
      <c r="P1342" s="2" t="s">
        <v>119</v>
      </c>
      <c r="Q1342" s="2" t="s">
        <v>99</v>
      </c>
      <c r="R1342" s="2" t="s">
        <v>100</v>
      </c>
      <c r="S1342" s="2" t="s">
        <v>4590</v>
      </c>
      <c r="T1342" s="2" t="s">
        <v>280</v>
      </c>
      <c r="U1342" s="2" t="s">
        <v>1847</v>
      </c>
      <c r="V1342" s="2" t="s">
        <v>146</v>
      </c>
      <c r="W1342" s="2" t="s">
        <v>183</v>
      </c>
      <c r="X1342" s="2" t="s">
        <v>673</v>
      </c>
      <c r="Y1342" s="2" t="s">
        <v>240</v>
      </c>
      <c r="Z1342" s="4">
        <v>345</v>
      </c>
      <c r="AA1342" s="4">
        <f>=ROUNDDOWN(11.1290322580645,0)</f>
      </c>
      <c r="AB1342" s="5">
        <v>31</v>
      </c>
      <c r="AC1342" s="2" t="s">
        <v>135</v>
      </c>
      <c r="AD1342" s="4">
        <v>140</v>
      </c>
      <c r="AE1342" s="4">
        <v>1064</v>
      </c>
      <c r="AF1342" s="6">
        <v>68</v>
      </c>
      <c r="AG1342" s="6">
        <v>76</v>
      </c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>
        <v>13</v>
      </c>
      <c r="AQ1342" s="8">
        <v>545.87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1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701</v>
      </c>
      <c r="BK1342" s="8">
        <v>29019.15</v>
      </c>
      <c r="BL1342" s="2" t="s">
        <v>4594</v>
      </c>
      <c r="BM1342" s="7">
        <v>0.0185</v>
      </c>
      <c r="BN1342" s="7">
        <v>0.0188</v>
      </c>
      <c r="BO1342" s="4">
        <v>13</v>
      </c>
      <c r="BP1342" s="8">
        <v>545.87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243</v>
      </c>
      <c r="BX1342" s="2" t="s">
        <v>4595</v>
      </c>
      <c r="BY1342" s="2" t="s">
        <v>113</v>
      </c>
      <c r="BZ1342" s="2" t="s">
        <v>100</v>
      </c>
    </row>
    <row r="1343">
      <c r="A1343" s="2" t="s">
        <v>4596</v>
      </c>
      <c r="B1343" s="2" t="s">
        <v>4434</v>
      </c>
      <c r="C1343" s="2" t="s">
        <v>88</v>
      </c>
      <c r="D1343" s="2" t="s">
        <v>803</v>
      </c>
      <c r="E1343" s="2" t="s">
        <v>4586</v>
      </c>
      <c r="F1343" s="2" t="s">
        <v>4587</v>
      </c>
      <c r="G1343" s="2" t="s">
        <v>4588</v>
      </c>
      <c r="H1343" s="2" t="s">
        <v>4588</v>
      </c>
      <c r="I1343" s="2" t="s">
        <v>4589</v>
      </c>
      <c r="J1343" s="2" t="s">
        <v>237</v>
      </c>
      <c r="K1343" s="2" t="s">
        <v>1172</v>
      </c>
      <c r="L1343" s="3">
        <v>26.5</v>
      </c>
      <c r="M1343" s="3">
        <v>27.82</v>
      </c>
      <c r="N1343" s="3">
        <v>52.99</v>
      </c>
      <c r="O1343" s="2" t="s">
        <v>97</v>
      </c>
      <c r="P1343" s="2" t="s">
        <v>225</v>
      </c>
      <c r="Q1343" s="2" t="s">
        <v>99</v>
      </c>
      <c r="R1343" s="2" t="s">
        <v>100</v>
      </c>
      <c r="S1343" s="2" t="s">
        <v>4597</v>
      </c>
      <c r="T1343" s="2" t="s">
        <v>280</v>
      </c>
      <c r="U1343" s="2" t="s">
        <v>1847</v>
      </c>
      <c r="V1343" s="2" t="s">
        <v>146</v>
      </c>
      <c r="W1343" s="2" t="s">
        <v>183</v>
      </c>
      <c r="X1343" s="2" t="s">
        <v>673</v>
      </c>
      <c r="Y1343" s="2" t="s">
        <v>1296</v>
      </c>
      <c r="Z1343" s="4">
        <v>160</v>
      </c>
      <c r="AA1343" s="4">
        <f>=ROUNDDOWN(12.3076923076923,0)</f>
      </c>
      <c r="AB1343" s="5">
        <v>13</v>
      </c>
      <c r="AC1343" s="2" t="s">
        <v>148</v>
      </c>
      <c r="AD1343" s="4">
        <v>60</v>
      </c>
      <c r="AE1343" s="4">
        <v>390</v>
      </c>
      <c r="AF1343" s="6">
        <v>68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 t="s">
        <v>100</v>
      </c>
      <c r="BJ1343" s="4">
        <v>159</v>
      </c>
      <c r="BK1343" s="8">
        <v>4670.97</v>
      </c>
      <c r="BL1343" s="2" t="s">
        <v>537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207</v>
      </c>
      <c r="BV1343" s="2" t="s">
        <v>97</v>
      </c>
      <c r="BW1343" s="2" t="s">
        <v>100</v>
      </c>
      <c r="BX1343" s="2" t="s">
        <v>100</v>
      </c>
      <c r="BY1343" s="2" t="s">
        <v>113</v>
      </c>
      <c r="BZ1343" s="2" t="s">
        <v>100</v>
      </c>
    </row>
    <row r="1344">
      <c r="A1344" s="2" t="s">
        <v>4598</v>
      </c>
      <c r="B1344" s="2" t="s">
        <v>4434</v>
      </c>
      <c r="C1344" s="2" t="s">
        <v>88</v>
      </c>
      <c r="D1344" s="2" t="s">
        <v>803</v>
      </c>
      <c r="E1344" s="2" t="s">
        <v>4586</v>
      </c>
      <c r="F1344" s="2" t="s">
        <v>4587</v>
      </c>
      <c r="G1344" s="2" t="s">
        <v>4588</v>
      </c>
      <c r="H1344" s="2" t="s">
        <v>4588</v>
      </c>
      <c r="I1344" s="2" t="s">
        <v>4589</v>
      </c>
      <c r="J1344" s="2" t="s">
        <v>247</v>
      </c>
      <c r="K1344" s="2" t="s">
        <v>1172</v>
      </c>
      <c r="L1344" s="3">
        <v>37.5</v>
      </c>
      <c r="M1344" s="3">
        <v>39.38</v>
      </c>
      <c r="N1344" s="3">
        <v>74.99</v>
      </c>
      <c r="O1344" s="2" t="s">
        <v>97</v>
      </c>
      <c r="P1344" s="2" t="s">
        <v>225</v>
      </c>
      <c r="Q1344" s="2" t="s">
        <v>99</v>
      </c>
      <c r="R1344" s="2" t="s">
        <v>100</v>
      </c>
      <c r="S1344" s="2" t="s">
        <v>4597</v>
      </c>
      <c r="T1344" s="2" t="s">
        <v>280</v>
      </c>
      <c r="U1344" s="2" t="s">
        <v>1847</v>
      </c>
      <c r="V1344" s="2" t="s">
        <v>146</v>
      </c>
      <c r="W1344" s="2" t="s">
        <v>183</v>
      </c>
      <c r="X1344" s="2" t="s">
        <v>673</v>
      </c>
      <c r="Y1344" s="2" t="s">
        <v>1605</v>
      </c>
      <c r="Z1344" s="4">
        <v>220</v>
      </c>
      <c r="AA1344" s="4">
        <f>=ROUNDDOWN(20,0)</f>
      </c>
      <c r="AB1344" s="5">
        <v>11</v>
      </c>
      <c r="AC1344" s="2" t="s">
        <v>148</v>
      </c>
      <c r="AD1344" s="4">
        <v>150</v>
      </c>
      <c r="AE1344" s="4">
        <v>230</v>
      </c>
      <c r="AF1344" s="6">
        <v>68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211</v>
      </c>
      <c r="BK1344" s="8">
        <v>8476.94</v>
      </c>
      <c r="BL1344" s="2" t="s">
        <v>553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207</v>
      </c>
      <c r="BV1344" s="2" t="s">
        <v>97</v>
      </c>
      <c r="BW1344" s="2" t="s">
        <v>100</v>
      </c>
      <c r="BX1344" s="2" t="s">
        <v>100</v>
      </c>
      <c r="BY1344" s="2" t="s">
        <v>113</v>
      </c>
      <c r="BZ1344" s="2" t="s">
        <v>100</v>
      </c>
    </row>
    <row r="1345">
      <c r="A1345" s="2" t="s">
        <v>4599</v>
      </c>
      <c r="B1345" s="2" t="s">
        <v>4434</v>
      </c>
      <c r="C1345" s="2" t="s">
        <v>88</v>
      </c>
      <c r="D1345" s="2" t="s">
        <v>803</v>
      </c>
      <c r="E1345" s="2" t="s">
        <v>4586</v>
      </c>
      <c r="F1345" s="2" t="s">
        <v>4587</v>
      </c>
      <c r="G1345" s="2" t="s">
        <v>4588</v>
      </c>
      <c r="H1345" s="2" t="s">
        <v>4588</v>
      </c>
      <c r="I1345" s="2" t="s">
        <v>4589</v>
      </c>
      <c r="J1345" s="2" t="s">
        <v>270</v>
      </c>
      <c r="K1345" s="2" t="s">
        <v>1172</v>
      </c>
      <c r="L1345" s="3">
        <v>42.5</v>
      </c>
      <c r="M1345" s="3">
        <v>44.62</v>
      </c>
      <c r="N1345" s="3">
        <v>84.99</v>
      </c>
      <c r="O1345" s="2" t="s">
        <v>97</v>
      </c>
      <c r="P1345" s="2" t="s">
        <v>225</v>
      </c>
      <c r="Q1345" s="2" t="s">
        <v>99</v>
      </c>
      <c r="R1345" s="2" t="s">
        <v>100</v>
      </c>
      <c r="S1345" s="2" t="s">
        <v>4597</v>
      </c>
      <c r="T1345" s="2" t="s">
        <v>280</v>
      </c>
      <c r="U1345" s="2" t="s">
        <v>1847</v>
      </c>
      <c r="V1345" s="2" t="s">
        <v>146</v>
      </c>
      <c r="W1345" s="2" t="s">
        <v>183</v>
      </c>
      <c r="X1345" s="2" t="s">
        <v>673</v>
      </c>
      <c r="Y1345" s="2" t="s">
        <v>1296</v>
      </c>
      <c r="Z1345" s="4">
        <v>288</v>
      </c>
      <c r="AA1345" s="4">
        <f>=ROUNDDOWN(28.8,0)</f>
      </c>
      <c r="AB1345" s="5">
        <v>10</v>
      </c>
      <c r="AC1345" s="2" t="s">
        <v>148</v>
      </c>
      <c r="AD1345" s="4">
        <v>90</v>
      </c>
      <c r="AE1345" s="4">
        <v>190</v>
      </c>
      <c r="AF1345" s="6">
        <v>68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143</v>
      </c>
      <c r="BK1345" s="8">
        <v>6640.15</v>
      </c>
      <c r="BL1345" s="2" t="s">
        <v>1198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207</v>
      </c>
      <c r="BV1345" s="2" t="s">
        <v>97</v>
      </c>
      <c r="BW1345" s="2" t="s">
        <v>100</v>
      </c>
      <c r="BX1345" s="2" t="s">
        <v>100</v>
      </c>
      <c r="BY1345" s="2" t="s">
        <v>113</v>
      </c>
      <c r="BZ1345" s="2" t="s">
        <v>100</v>
      </c>
    </row>
    <row r="1346">
      <c r="A1346" s="2" t="s">
        <v>4600</v>
      </c>
      <c r="B1346" s="2" t="s">
        <v>4434</v>
      </c>
      <c r="C1346" s="2" t="s">
        <v>88</v>
      </c>
      <c r="D1346" s="2" t="s">
        <v>803</v>
      </c>
      <c r="E1346" s="2" t="s">
        <v>4586</v>
      </c>
      <c r="F1346" s="2" t="s">
        <v>4587</v>
      </c>
      <c r="G1346" s="2" t="s">
        <v>4588</v>
      </c>
      <c r="H1346" s="2" t="s">
        <v>4588</v>
      </c>
      <c r="I1346" s="2" t="s">
        <v>4589</v>
      </c>
      <c r="J1346" s="2" t="s">
        <v>237</v>
      </c>
      <c r="K1346" s="2" t="s">
        <v>578</v>
      </c>
      <c r="L1346" s="3">
        <v>26.5</v>
      </c>
      <c r="M1346" s="3">
        <v>27.82</v>
      </c>
      <c r="N1346" s="3">
        <v>52.99</v>
      </c>
      <c r="O1346" s="2" t="s">
        <v>97</v>
      </c>
      <c r="P1346" s="2" t="s">
        <v>225</v>
      </c>
      <c r="Q1346" s="2" t="s">
        <v>99</v>
      </c>
      <c r="R1346" s="2" t="s">
        <v>100</v>
      </c>
      <c r="S1346" s="2" t="s">
        <v>4601</v>
      </c>
      <c r="T1346" s="2" t="s">
        <v>280</v>
      </c>
      <c r="U1346" s="2" t="s">
        <v>1847</v>
      </c>
      <c r="V1346" s="2" t="s">
        <v>146</v>
      </c>
      <c r="W1346" s="2" t="s">
        <v>183</v>
      </c>
      <c r="X1346" s="2" t="s">
        <v>673</v>
      </c>
      <c r="Y1346" s="2" t="s">
        <v>1296</v>
      </c>
      <c r="Z1346" s="4">
        <v>336</v>
      </c>
      <c r="AA1346" s="4">
        <f>=ROUNDDOWN(37.3333333333333,0)</f>
      </c>
      <c r="AB1346" s="5">
        <v>9</v>
      </c>
      <c r="AC1346" s="2" t="s">
        <v>100</v>
      </c>
      <c r="AD1346" s="4"/>
      <c r="AE1346" s="4"/>
      <c r="AF1346" s="6">
        <v>68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64</v>
      </c>
      <c r="BK1346" s="8">
        <v>2071.71</v>
      </c>
      <c r="BL1346" s="2" t="s">
        <v>4602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207</v>
      </c>
      <c r="BV1346" s="2" t="s">
        <v>97</v>
      </c>
      <c r="BW1346" s="2" t="s">
        <v>100</v>
      </c>
      <c r="BX1346" s="2" t="s">
        <v>100</v>
      </c>
      <c r="BY1346" s="2" t="s">
        <v>113</v>
      </c>
      <c r="BZ1346" s="2" t="s">
        <v>100</v>
      </c>
    </row>
    <row r="1347">
      <c r="A1347" s="2" t="s">
        <v>4603</v>
      </c>
      <c r="B1347" s="2" t="s">
        <v>4434</v>
      </c>
      <c r="C1347" s="2" t="s">
        <v>88</v>
      </c>
      <c r="D1347" s="2" t="s">
        <v>803</v>
      </c>
      <c r="E1347" s="2" t="s">
        <v>4586</v>
      </c>
      <c r="F1347" s="2" t="s">
        <v>4587</v>
      </c>
      <c r="G1347" s="2" t="s">
        <v>4588</v>
      </c>
      <c r="H1347" s="2" t="s">
        <v>4588</v>
      </c>
      <c r="I1347" s="2" t="s">
        <v>4589</v>
      </c>
      <c r="J1347" s="2" t="s">
        <v>247</v>
      </c>
      <c r="K1347" s="2" t="s">
        <v>578</v>
      </c>
      <c r="L1347" s="3">
        <v>37.5</v>
      </c>
      <c r="M1347" s="3">
        <v>39.38</v>
      </c>
      <c r="N1347" s="3">
        <v>74.99</v>
      </c>
      <c r="O1347" s="2" t="s">
        <v>97</v>
      </c>
      <c r="P1347" s="2" t="s">
        <v>225</v>
      </c>
      <c r="Q1347" s="2" t="s">
        <v>99</v>
      </c>
      <c r="R1347" s="2" t="s">
        <v>100</v>
      </c>
      <c r="S1347" s="2" t="s">
        <v>4601</v>
      </c>
      <c r="T1347" s="2" t="s">
        <v>280</v>
      </c>
      <c r="U1347" s="2" t="s">
        <v>1847</v>
      </c>
      <c r="V1347" s="2" t="s">
        <v>146</v>
      </c>
      <c r="W1347" s="2" t="s">
        <v>183</v>
      </c>
      <c r="X1347" s="2" t="s">
        <v>673</v>
      </c>
      <c r="Y1347" s="2" t="s">
        <v>1296</v>
      </c>
      <c r="Z1347" s="4">
        <v>480</v>
      </c>
      <c r="AA1347" s="4">
        <f>=ROUNDDOWN(43.6363636363636,0)</f>
      </c>
      <c r="AB1347" s="5">
        <v>11</v>
      </c>
      <c r="AC1347" s="2" t="s">
        <v>100</v>
      </c>
      <c r="AD1347" s="4"/>
      <c r="AE1347" s="4"/>
      <c r="AF1347" s="6">
        <v>68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101</v>
      </c>
      <c r="BK1347" s="8">
        <v>4258.96</v>
      </c>
      <c r="BL1347" s="2" t="s">
        <v>553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207</v>
      </c>
      <c r="BV1347" s="2" t="s">
        <v>97</v>
      </c>
      <c r="BW1347" s="2" t="s">
        <v>100</v>
      </c>
      <c r="BX1347" s="2" t="s">
        <v>100</v>
      </c>
      <c r="BY1347" s="2" t="s">
        <v>113</v>
      </c>
      <c r="BZ1347" s="2" t="s">
        <v>100</v>
      </c>
    </row>
    <row r="1348">
      <c r="A1348" s="2" t="s">
        <v>4604</v>
      </c>
      <c r="B1348" s="2" t="s">
        <v>4434</v>
      </c>
      <c r="C1348" s="2" t="s">
        <v>88</v>
      </c>
      <c r="D1348" s="2" t="s">
        <v>803</v>
      </c>
      <c r="E1348" s="2" t="s">
        <v>4586</v>
      </c>
      <c r="F1348" s="2" t="s">
        <v>4587</v>
      </c>
      <c r="G1348" s="2" t="s">
        <v>4588</v>
      </c>
      <c r="H1348" s="2" t="s">
        <v>4588</v>
      </c>
      <c r="I1348" s="2" t="s">
        <v>4589</v>
      </c>
      <c r="J1348" s="2" t="s">
        <v>270</v>
      </c>
      <c r="K1348" s="2" t="s">
        <v>578</v>
      </c>
      <c r="L1348" s="3">
        <v>42.5</v>
      </c>
      <c r="M1348" s="3">
        <v>44.62</v>
      </c>
      <c r="N1348" s="3">
        <v>84.99</v>
      </c>
      <c r="O1348" s="2" t="s">
        <v>97</v>
      </c>
      <c r="P1348" s="2" t="s">
        <v>225</v>
      </c>
      <c r="Q1348" s="2" t="s">
        <v>99</v>
      </c>
      <c r="R1348" s="2" t="s">
        <v>100</v>
      </c>
      <c r="S1348" s="2" t="s">
        <v>4601</v>
      </c>
      <c r="T1348" s="2" t="s">
        <v>280</v>
      </c>
      <c r="U1348" s="2" t="s">
        <v>1847</v>
      </c>
      <c r="V1348" s="2" t="s">
        <v>146</v>
      </c>
      <c r="W1348" s="2" t="s">
        <v>183</v>
      </c>
      <c r="X1348" s="2" t="s">
        <v>673</v>
      </c>
      <c r="Y1348" s="2" t="s">
        <v>1296</v>
      </c>
      <c r="Z1348" s="4">
        <v>416</v>
      </c>
      <c r="AA1348" s="4">
        <f>=ROUNDDOWN(46.2222222222222,0)</f>
      </c>
      <c r="AB1348" s="5">
        <v>9</v>
      </c>
      <c r="AC1348" s="2" t="s">
        <v>100</v>
      </c>
      <c r="AD1348" s="4"/>
      <c r="AE1348" s="4"/>
      <c r="AF1348" s="6">
        <v>68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67</v>
      </c>
      <c r="BK1348" s="8">
        <v>3196.06</v>
      </c>
      <c r="BL1348" s="2" t="s">
        <v>229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207</v>
      </c>
      <c r="BV1348" s="2" t="s">
        <v>97</v>
      </c>
      <c r="BW1348" s="2" t="s">
        <v>100</v>
      </c>
      <c r="BX1348" s="2" t="s">
        <v>100</v>
      </c>
      <c r="BY1348" s="2" t="s">
        <v>113</v>
      </c>
      <c r="BZ1348" s="2" t="s">
        <v>100</v>
      </c>
    </row>
    <row r="1349">
      <c r="A1349" s="2" t="s">
        <v>4605</v>
      </c>
      <c r="B1349" s="2" t="s">
        <v>4434</v>
      </c>
      <c r="C1349" s="2" t="s">
        <v>88</v>
      </c>
      <c r="D1349" s="2" t="s">
        <v>803</v>
      </c>
      <c r="E1349" s="2" t="s">
        <v>4586</v>
      </c>
      <c r="F1349" s="2" t="s">
        <v>4606</v>
      </c>
      <c r="G1349" s="2" t="s">
        <v>4606</v>
      </c>
      <c r="H1349" s="2" t="s">
        <v>4606</v>
      </c>
      <c r="I1349" s="2" t="s">
        <v>4607</v>
      </c>
      <c r="J1349" s="2" t="s">
        <v>237</v>
      </c>
      <c r="K1349" s="2" t="s">
        <v>189</v>
      </c>
      <c r="L1349" s="3">
        <v>18.28</v>
      </c>
      <c r="M1349" s="3">
        <v>19.19</v>
      </c>
      <c r="N1349" s="3">
        <v>39.99</v>
      </c>
      <c r="O1349" s="2" t="s">
        <v>97</v>
      </c>
      <c r="P1349" s="2" t="s">
        <v>119</v>
      </c>
      <c r="Q1349" s="2" t="s">
        <v>99</v>
      </c>
      <c r="R1349" s="2" t="s">
        <v>100</v>
      </c>
      <c r="S1349" s="2" t="s">
        <v>4608</v>
      </c>
      <c r="T1349" s="2" t="s">
        <v>218</v>
      </c>
      <c r="U1349" s="2" t="s">
        <v>1847</v>
      </c>
      <c r="V1349" s="2" t="s">
        <v>403</v>
      </c>
      <c r="W1349" s="2" t="s">
        <v>183</v>
      </c>
      <c r="X1349" s="2" t="s">
        <v>561</v>
      </c>
      <c r="Y1349" s="2" t="s">
        <v>2670</v>
      </c>
      <c r="Z1349" s="4">
        <v>74</v>
      </c>
      <c r="AA1349" s="4">
        <f>=ROUNDDOWN(18.5,0)</f>
      </c>
      <c r="AB1349" s="5">
        <v>4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118</v>
      </c>
      <c r="BK1349" s="8">
        <v>2399.44</v>
      </c>
      <c r="BL1349" s="2" t="s">
        <v>4609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207</v>
      </c>
      <c r="BV1349" s="2" t="s">
        <v>97</v>
      </c>
      <c r="BW1349" s="2" t="s">
        <v>100</v>
      </c>
      <c r="BX1349" s="2" t="s">
        <v>100</v>
      </c>
      <c r="BY1349" s="2" t="s">
        <v>113</v>
      </c>
      <c r="BZ1349" s="2" t="s">
        <v>100</v>
      </c>
    </row>
    <row r="1350">
      <c r="A1350" s="2" t="s">
        <v>4610</v>
      </c>
      <c r="B1350" s="2" t="s">
        <v>4434</v>
      </c>
      <c r="C1350" s="2" t="s">
        <v>88</v>
      </c>
      <c r="D1350" s="2" t="s">
        <v>803</v>
      </c>
      <c r="E1350" s="2" t="s">
        <v>4586</v>
      </c>
      <c r="F1350" s="2" t="s">
        <v>4606</v>
      </c>
      <c r="G1350" s="2" t="s">
        <v>4606</v>
      </c>
      <c r="H1350" s="2" t="s">
        <v>4606</v>
      </c>
      <c r="I1350" s="2" t="s">
        <v>4607</v>
      </c>
      <c r="J1350" s="2" t="s">
        <v>247</v>
      </c>
      <c r="K1350" s="2" t="s">
        <v>189</v>
      </c>
      <c r="L1350" s="3">
        <v>22.85</v>
      </c>
      <c r="M1350" s="3">
        <v>23.99</v>
      </c>
      <c r="N1350" s="3">
        <v>49.99</v>
      </c>
      <c r="O1350" s="2" t="s">
        <v>97</v>
      </c>
      <c r="P1350" s="2" t="s">
        <v>119</v>
      </c>
      <c r="Q1350" s="2" t="s">
        <v>99</v>
      </c>
      <c r="R1350" s="2" t="s">
        <v>100</v>
      </c>
      <c r="S1350" s="2" t="s">
        <v>4608</v>
      </c>
      <c r="T1350" s="2" t="s">
        <v>218</v>
      </c>
      <c r="U1350" s="2" t="s">
        <v>1847</v>
      </c>
      <c r="V1350" s="2" t="s">
        <v>403</v>
      </c>
      <c r="W1350" s="2" t="s">
        <v>183</v>
      </c>
      <c r="X1350" s="2" t="s">
        <v>561</v>
      </c>
      <c r="Y1350" s="2" t="s">
        <v>4611</v>
      </c>
      <c r="Z1350" s="4">
        <v>167</v>
      </c>
      <c r="AA1350" s="4">
        <f>=ROUNDDOWN(27.8333333333333,0)</f>
      </c>
      <c r="AB1350" s="5">
        <v>6</v>
      </c>
      <c r="AC1350" s="2" t="s">
        <v>100</v>
      </c>
      <c r="AD1350" s="4"/>
      <c r="AE1350" s="4"/>
      <c r="AF1350" s="6">
        <v>65</v>
      </c>
      <c r="AG1350" s="6"/>
      <c r="AH1350" s="7">
        <v>0.615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/>
      <c r="BJ1350" s="4">
        <v>165</v>
      </c>
      <c r="BK1350" s="8">
        <v>4185.79</v>
      </c>
      <c r="BL1350" s="2" t="s">
        <v>4612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207</v>
      </c>
      <c r="BV1350" s="2" t="s">
        <v>97</v>
      </c>
      <c r="BW1350" s="2" t="s">
        <v>100</v>
      </c>
      <c r="BX1350" s="2" t="s">
        <v>100</v>
      </c>
      <c r="BY1350" s="2" t="s">
        <v>113</v>
      </c>
      <c r="BZ1350" s="2" t="s">
        <v>100</v>
      </c>
    </row>
    <row r="1351">
      <c r="A1351" s="2" t="s">
        <v>4613</v>
      </c>
      <c r="B1351" s="2" t="s">
        <v>4434</v>
      </c>
      <c r="C1351" s="2" t="s">
        <v>88</v>
      </c>
      <c r="D1351" s="2" t="s">
        <v>803</v>
      </c>
      <c r="E1351" s="2" t="s">
        <v>4586</v>
      </c>
      <c r="F1351" s="2" t="s">
        <v>4606</v>
      </c>
      <c r="G1351" s="2" t="s">
        <v>4606</v>
      </c>
      <c r="H1351" s="2" t="s">
        <v>4606</v>
      </c>
      <c r="I1351" s="2" t="s">
        <v>4607</v>
      </c>
      <c r="J1351" s="2" t="s">
        <v>270</v>
      </c>
      <c r="K1351" s="2" t="s">
        <v>189</v>
      </c>
      <c r="L1351" s="3">
        <v>25.14</v>
      </c>
      <c r="M1351" s="3">
        <v>26.4</v>
      </c>
      <c r="N1351" s="3">
        <v>54.99</v>
      </c>
      <c r="O1351" s="2" t="s">
        <v>97</v>
      </c>
      <c r="P1351" s="2" t="s">
        <v>119</v>
      </c>
      <c r="Q1351" s="2" t="s">
        <v>99</v>
      </c>
      <c r="R1351" s="2" t="s">
        <v>100</v>
      </c>
      <c r="S1351" s="2" t="s">
        <v>4608</v>
      </c>
      <c r="T1351" s="2" t="s">
        <v>218</v>
      </c>
      <c r="U1351" s="2" t="s">
        <v>1847</v>
      </c>
      <c r="V1351" s="2" t="s">
        <v>403</v>
      </c>
      <c r="W1351" s="2" t="s">
        <v>183</v>
      </c>
      <c r="X1351" s="2" t="s">
        <v>561</v>
      </c>
      <c r="Y1351" s="2" t="s">
        <v>2670</v>
      </c>
      <c r="Z1351" s="4">
        <v>272</v>
      </c>
      <c r="AA1351" s="4">
        <f>=ROUNDDOWN(45.3333333333333,0)</f>
      </c>
      <c r="AB1351" s="5">
        <v>6</v>
      </c>
      <c r="AC1351" s="2" t="s">
        <v>100</v>
      </c>
      <c r="AD1351" s="4"/>
      <c r="AE1351" s="4"/>
      <c r="AF1351" s="6">
        <v>65</v>
      </c>
      <c r="AG1351" s="6"/>
      <c r="AH1351" s="7">
        <v>0.615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/>
      <c r="BJ1351" s="4">
        <v>83</v>
      </c>
      <c r="BK1351" s="8">
        <v>2370.42</v>
      </c>
      <c r="BL1351" s="2" t="s">
        <v>4614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207</v>
      </c>
      <c r="BV1351" s="2" t="s">
        <v>97</v>
      </c>
      <c r="BW1351" s="2" t="s">
        <v>100</v>
      </c>
      <c r="BX1351" s="2" t="s">
        <v>100</v>
      </c>
      <c r="BY1351" s="2" t="s">
        <v>113</v>
      </c>
      <c r="BZ1351" s="2" t="s">
        <v>100</v>
      </c>
    </row>
    <row r="1352">
      <c r="A1352" s="2" t="s">
        <v>4615</v>
      </c>
      <c r="B1352" s="2" t="s">
        <v>4434</v>
      </c>
      <c r="C1352" s="2" t="s">
        <v>88</v>
      </c>
      <c r="D1352" s="2" t="s">
        <v>803</v>
      </c>
      <c r="E1352" s="2" t="s">
        <v>4586</v>
      </c>
      <c r="F1352" s="2" t="s">
        <v>4616</v>
      </c>
      <c r="G1352" s="2" t="s">
        <v>4616</v>
      </c>
      <c r="H1352" s="2" t="s">
        <v>4616</v>
      </c>
      <c r="I1352" s="2" t="s">
        <v>4617</v>
      </c>
      <c r="J1352" s="2" t="s">
        <v>247</v>
      </c>
      <c r="K1352" s="2" t="s">
        <v>1172</v>
      </c>
      <c r="L1352" s="3">
        <v>54.47</v>
      </c>
      <c r="M1352" s="3">
        <v>57.19</v>
      </c>
      <c r="N1352" s="3">
        <v>109.99</v>
      </c>
      <c r="O1352" s="2" t="s">
        <v>97</v>
      </c>
      <c r="P1352" s="2" t="s">
        <v>225</v>
      </c>
      <c r="Q1352" s="2" t="s">
        <v>99</v>
      </c>
      <c r="R1352" s="2" t="s">
        <v>100</v>
      </c>
      <c r="S1352" s="2" t="s">
        <v>4618</v>
      </c>
      <c r="T1352" s="2" t="s">
        <v>218</v>
      </c>
      <c r="U1352" s="2" t="s">
        <v>1847</v>
      </c>
      <c r="V1352" s="2" t="s">
        <v>146</v>
      </c>
      <c r="W1352" s="2" t="s">
        <v>183</v>
      </c>
      <c r="X1352" s="2" t="s">
        <v>673</v>
      </c>
      <c r="Y1352" s="2" t="s">
        <v>1163</v>
      </c>
      <c r="Z1352" s="4">
        <v>383</v>
      </c>
      <c r="AA1352" s="4">
        <f>=ROUNDDOWN(42.5555555555556,0)</f>
      </c>
      <c r="AB1352" s="5">
        <v>9</v>
      </c>
      <c r="AC1352" s="2" t="s">
        <v>1342</v>
      </c>
      <c r="AD1352" s="4">
        <v>90</v>
      </c>
      <c r="AE1352" s="4">
        <v>140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>
        <v>70</v>
      </c>
      <c r="BK1352" s="8">
        <v>4228.96</v>
      </c>
      <c r="BL1352" s="2" t="s">
        <v>4619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207</v>
      </c>
      <c r="BV1352" s="2" t="s">
        <v>97</v>
      </c>
      <c r="BW1352" s="2" t="s">
        <v>100</v>
      </c>
      <c r="BX1352" s="2" t="s">
        <v>100</v>
      </c>
      <c r="BY1352" s="2" t="s">
        <v>113</v>
      </c>
      <c r="BZ1352" s="2" t="s">
        <v>100</v>
      </c>
    </row>
    <row r="1353">
      <c r="A1353" s="2" t="s">
        <v>4620</v>
      </c>
      <c r="B1353" s="2" t="s">
        <v>4434</v>
      </c>
      <c r="C1353" s="2" t="s">
        <v>88</v>
      </c>
      <c r="D1353" s="2" t="s">
        <v>803</v>
      </c>
      <c r="E1353" s="2" t="s">
        <v>4586</v>
      </c>
      <c r="F1353" s="2" t="s">
        <v>4616</v>
      </c>
      <c r="G1353" s="2" t="s">
        <v>4616</v>
      </c>
      <c r="H1353" s="2" t="s">
        <v>4616</v>
      </c>
      <c r="I1353" s="2" t="s">
        <v>4617</v>
      </c>
      <c r="J1353" s="2" t="s">
        <v>270</v>
      </c>
      <c r="K1353" s="2" t="s">
        <v>1172</v>
      </c>
      <c r="L1353" s="3">
        <v>64.38</v>
      </c>
      <c r="M1353" s="3">
        <v>67.6</v>
      </c>
      <c r="N1353" s="3">
        <v>129.99</v>
      </c>
      <c r="O1353" s="2" t="s">
        <v>97</v>
      </c>
      <c r="P1353" s="2" t="s">
        <v>225</v>
      </c>
      <c r="Q1353" s="2" t="s">
        <v>99</v>
      </c>
      <c r="R1353" s="2" t="s">
        <v>100</v>
      </c>
      <c r="S1353" s="2" t="s">
        <v>4618</v>
      </c>
      <c r="T1353" s="2" t="s">
        <v>218</v>
      </c>
      <c r="U1353" s="2" t="s">
        <v>1847</v>
      </c>
      <c r="V1353" s="2" t="s">
        <v>146</v>
      </c>
      <c r="W1353" s="2" t="s">
        <v>183</v>
      </c>
      <c r="X1353" s="2" t="s">
        <v>673</v>
      </c>
      <c r="Y1353" s="2" t="s">
        <v>1163</v>
      </c>
      <c r="Z1353" s="4">
        <v>426</v>
      </c>
      <c r="AA1353" s="4">
        <f>=ROUNDDOWN(35.5,0)</f>
      </c>
      <c r="AB1353" s="5">
        <v>12</v>
      </c>
      <c r="AC1353" s="2" t="s">
        <v>1342</v>
      </c>
      <c r="AD1353" s="4">
        <v>180</v>
      </c>
      <c r="AE1353" s="4">
        <v>230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105</v>
      </c>
      <c r="BK1353" s="8">
        <v>7546.19</v>
      </c>
      <c r="BL1353" s="2" t="s">
        <v>1354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207</v>
      </c>
      <c r="BV1353" s="2" t="s">
        <v>97</v>
      </c>
      <c r="BW1353" s="2" t="s">
        <v>100</v>
      </c>
      <c r="BX1353" s="2" t="s">
        <v>100</v>
      </c>
      <c r="BY1353" s="2" t="s">
        <v>113</v>
      </c>
      <c r="BZ1353" s="2" t="s">
        <v>100</v>
      </c>
    </row>
    <row r="1354">
      <c r="A1354" s="2" t="s">
        <v>4621</v>
      </c>
      <c r="B1354" s="2" t="s">
        <v>4434</v>
      </c>
      <c r="C1354" s="2" t="s">
        <v>88</v>
      </c>
      <c r="D1354" s="2" t="s">
        <v>803</v>
      </c>
      <c r="E1354" s="2" t="s">
        <v>4586</v>
      </c>
      <c r="F1354" s="2" t="s">
        <v>4616</v>
      </c>
      <c r="G1354" s="2" t="s">
        <v>4616</v>
      </c>
      <c r="H1354" s="2" t="s">
        <v>4616</v>
      </c>
      <c r="I1354" s="2" t="s">
        <v>4617</v>
      </c>
      <c r="J1354" s="2" t="s">
        <v>247</v>
      </c>
      <c r="K1354" s="2" t="s">
        <v>189</v>
      </c>
      <c r="L1354" s="3">
        <v>54.47</v>
      </c>
      <c r="M1354" s="3">
        <v>57.19</v>
      </c>
      <c r="N1354" s="3">
        <v>109.99</v>
      </c>
      <c r="O1354" s="2" t="s">
        <v>97</v>
      </c>
      <c r="P1354" s="2" t="s">
        <v>119</v>
      </c>
      <c r="Q1354" s="2" t="s">
        <v>99</v>
      </c>
      <c r="R1354" s="2" t="s">
        <v>100</v>
      </c>
      <c r="S1354" s="2" t="s">
        <v>4622</v>
      </c>
      <c r="T1354" s="2" t="s">
        <v>218</v>
      </c>
      <c r="U1354" s="2" t="s">
        <v>1847</v>
      </c>
      <c r="V1354" s="2" t="s">
        <v>146</v>
      </c>
      <c r="W1354" s="2" t="s">
        <v>183</v>
      </c>
      <c r="X1354" s="2" t="s">
        <v>673</v>
      </c>
      <c r="Y1354" s="2" t="s">
        <v>4611</v>
      </c>
      <c r="Z1354" s="4">
        <v>226</v>
      </c>
      <c r="AA1354" s="4">
        <f>=ROUNDDOWN(13.2941176470588,0)</f>
      </c>
      <c r="AB1354" s="5">
        <v>17</v>
      </c>
      <c r="AC1354" s="2" t="s">
        <v>821</v>
      </c>
      <c r="AD1354" s="4">
        <v>150</v>
      </c>
      <c r="AE1354" s="4">
        <v>430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458</v>
      </c>
      <c r="BK1354" s="8">
        <v>27979.8</v>
      </c>
      <c r="BL1354" s="2" t="s">
        <v>548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207</v>
      </c>
      <c r="BV1354" s="2" t="s">
        <v>97</v>
      </c>
      <c r="BW1354" s="2" t="s">
        <v>100</v>
      </c>
      <c r="BX1354" s="2" t="s">
        <v>100</v>
      </c>
      <c r="BY1354" s="2" t="s">
        <v>113</v>
      </c>
      <c r="BZ1354" s="2" t="s">
        <v>100</v>
      </c>
    </row>
    <row r="1355">
      <c r="A1355" s="2" t="s">
        <v>4623</v>
      </c>
      <c r="B1355" s="2" t="s">
        <v>4434</v>
      </c>
      <c r="C1355" s="2" t="s">
        <v>88</v>
      </c>
      <c r="D1355" s="2" t="s">
        <v>803</v>
      </c>
      <c r="E1355" s="2" t="s">
        <v>4586</v>
      </c>
      <c r="F1355" s="2" t="s">
        <v>4616</v>
      </c>
      <c r="G1355" s="2" t="s">
        <v>4616</v>
      </c>
      <c r="H1355" s="2" t="s">
        <v>4616</v>
      </c>
      <c r="I1355" s="2" t="s">
        <v>4617</v>
      </c>
      <c r="J1355" s="2" t="s">
        <v>270</v>
      </c>
      <c r="K1355" s="2" t="s">
        <v>189</v>
      </c>
      <c r="L1355" s="3">
        <v>64.38</v>
      </c>
      <c r="M1355" s="3">
        <v>67.6</v>
      </c>
      <c r="N1355" s="3">
        <v>129.99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4622</v>
      </c>
      <c r="T1355" s="2" t="s">
        <v>218</v>
      </c>
      <c r="U1355" s="2" t="s">
        <v>1847</v>
      </c>
      <c r="V1355" s="2" t="s">
        <v>146</v>
      </c>
      <c r="W1355" s="2" t="s">
        <v>183</v>
      </c>
      <c r="X1355" s="2" t="s">
        <v>673</v>
      </c>
      <c r="Y1355" s="2" t="s">
        <v>4624</v>
      </c>
      <c r="Z1355" s="4">
        <v>613</v>
      </c>
      <c r="AA1355" s="4">
        <f>=ROUNDDOWN(19.7741935483871,0)</f>
      </c>
      <c r="AB1355" s="5">
        <v>31</v>
      </c>
      <c r="AC1355" s="2" t="s">
        <v>821</v>
      </c>
      <c r="AD1355" s="4">
        <v>100</v>
      </c>
      <c r="AE1355" s="4">
        <v>840</v>
      </c>
      <c r="AF1355" s="6">
        <v>65</v>
      </c>
      <c r="AG1355" s="6"/>
      <c r="AH1355" s="7">
        <v>0.8984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>
        <v>641</v>
      </c>
      <c r="BK1355" s="8">
        <v>46546.74</v>
      </c>
      <c r="BL1355" s="2" t="s">
        <v>550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207</v>
      </c>
      <c r="BV1355" s="2" t="s">
        <v>97</v>
      </c>
      <c r="BW1355" s="2" t="s">
        <v>100</v>
      </c>
      <c r="BX1355" s="2" t="s">
        <v>100</v>
      </c>
      <c r="BY1355" s="2" t="s">
        <v>113</v>
      </c>
      <c r="BZ1355" s="2" t="s">
        <v>100</v>
      </c>
    </row>
    <row r="1356">
      <c r="A1356" s="2" t="s">
        <v>4625</v>
      </c>
      <c r="B1356" s="2" t="s">
        <v>4434</v>
      </c>
      <c r="C1356" s="2" t="s">
        <v>88</v>
      </c>
      <c r="D1356" s="2" t="s">
        <v>4626</v>
      </c>
      <c r="E1356" s="2" t="s">
        <v>4627</v>
      </c>
      <c r="F1356" s="2" t="s">
        <v>4616</v>
      </c>
      <c r="G1356" s="2" t="s">
        <v>4616</v>
      </c>
      <c r="H1356" s="2" t="s">
        <v>4616</v>
      </c>
      <c r="I1356" s="2" t="s">
        <v>4628</v>
      </c>
      <c r="J1356" s="2" t="s">
        <v>714</v>
      </c>
      <c r="K1356" s="2" t="s">
        <v>1172</v>
      </c>
      <c r="L1356" s="3">
        <v>15</v>
      </c>
      <c r="M1356" s="3">
        <v>15.75</v>
      </c>
      <c r="N1356" s="3">
        <v>34.99</v>
      </c>
      <c r="O1356" s="2" t="s">
        <v>97</v>
      </c>
      <c r="P1356" s="2" t="s">
        <v>225</v>
      </c>
      <c r="Q1356" s="2" t="s">
        <v>99</v>
      </c>
      <c r="R1356" s="2" t="s">
        <v>100</v>
      </c>
      <c r="S1356" s="2" t="s">
        <v>4629</v>
      </c>
      <c r="T1356" s="2" t="s">
        <v>218</v>
      </c>
      <c r="U1356" s="2" t="s">
        <v>1847</v>
      </c>
      <c r="V1356" s="2" t="s">
        <v>146</v>
      </c>
      <c r="W1356" s="2" t="s">
        <v>183</v>
      </c>
      <c r="X1356" s="2" t="s">
        <v>673</v>
      </c>
      <c r="Y1356" s="2" t="s">
        <v>1163</v>
      </c>
      <c r="Z1356" s="4">
        <v>131</v>
      </c>
      <c r="AA1356" s="4">
        <f>=ROUNDDOWN(26.2,0)</f>
      </c>
      <c r="AB1356" s="5">
        <v>5</v>
      </c>
      <c r="AC1356" s="2" t="s">
        <v>1342</v>
      </c>
      <c r="AD1356" s="4">
        <v>100</v>
      </c>
      <c r="AE1356" s="4">
        <v>100</v>
      </c>
      <c r="AF1356" s="6">
        <v>65</v>
      </c>
      <c r="AG1356" s="6"/>
      <c r="AH1356" s="7">
        <v>0.9808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34</v>
      </c>
      <c r="BK1356" s="8">
        <v>574.62</v>
      </c>
      <c r="BL1356" s="2" t="s">
        <v>2170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207</v>
      </c>
      <c r="BV1356" s="2" t="s">
        <v>97</v>
      </c>
      <c r="BW1356" s="2" t="s">
        <v>100</v>
      </c>
      <c r="BX1356" s="2" t="s">
        <v>100</v>
      </c>
      <c r="BY1356" s="2" t="s">
        <v>113</v>
      </c>
      <c r="BZ1356" s="2" t="s">
        <v>100</v>
      </c>
    </row>
    <row r="1357">
      <c r="A1357" s="2" t="s">
        <v>4630</v>
      </c>
      <c r="B1357" s="2" t="s">
        <v>4434</v>
      </c>
      <c r="C1357" s="2" t="s">
        <v>88</v>
      </c>
      <c r="D1357" s="2" t="s">
        <v>4626</v>
      </c>
      <c r="E1357" s="2" t="s">
        <v>4627</v>
      </c>
      <c r="F1357" s="2" t="s">
        <v>4616</v>
      </c>
      <c r="G1357" s="2" t="s">
        <v>4616</v>
      </c>
      <c r="H1357" s="2" t="s">
        <v>4616</v>
      </c>
      <c r="I1357" s="2" t="s">
        <v>4628</v>
      </c>
      <c r="J1357" s="2" t="s">
        <v>4631</v>
      </c>
      <c r="K1357" s="2" t="s">
        <v>1172</v>
      </c>
      <c r="L1357" s="3">
        <v>13.71</v>
      </c>
      <c r="M1357" s="3">
        <v>14.4</v>
      </c>
      <c r="N1357" s="3">
        <v>31.99</v>
      </c>
      <c r="O1357" s="2" t="s">
        <v>97</v>
      </c>
      <c r="P1357" s="2" t="s">
        <v>225</v>
      </c>
      <c r="Q1357" s="2" t="s">
        <v>99</v>
      </c>
      <c r="R1357" s="2" t="s">
        <v>100</v>
      </c>
      <c r="S1357" s="2" t="s">
        <v>4629</v>
      </c>
      <c r="T1357" s="2" t="s">
        <v>218</v>
      </c>
      <c r="U1357" s="2" t="s">
        <v>1847</v>
      </c>
      <c r="V1357" s="2" t="s">
        <v>146</v>
      </c>
      <c r="W1357" s="2" t="s">
        <v>183</v>
      </c>
      <c r="X1357" s="2" t="s">
        <v>673</v>
      </c>
      <c r="Y1357" s="2" t="s">
        <v>1163</v>
      </c>
      <c r="Z1357" s="4">
        <v>76</v>
      </c>
      <c r="AA1357" s="4">
        <f>=ROUNDDOWN(19,0)</f>
      </c>
      <c r="AB1357" s="5">
        <v>4</v>
      </c>
      <c r="AC1357" s="2" t="s">
        <v>1342</v>
      </c>
      <c r="AD1357" s="4">
        <v>130</v>
      </c>
      <c r="AE1357" s="4">
        <v>130</v>
      </c>
      <c r="AF1357" s="6">
        <v>65</v>
      </c>
      <c r="AG1357" s="6"/>
      <c r="AH1357" s="7">
        <v>0.9808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85</v>
      </c>
      <c r="BK1357" s="8">
        <v>1320.55</v>
      </c>
      <c r="BL1357" s="2" t="s">
        <v>2073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207</v>
      </c>
      <c r="BV1357" s="2" t="s">
        <v>97</v>
      </c>
      <c r="BW1357" s="2" t="s">
        <v>100</v>
      </c>
      <c r="BX1357" s="2" t="s">
        <v>100</v>
      </c>
      <c r="BY1357" s="2" t="s">
        <v>113</v>
      </c>
      <c r="BZ1357" s="2" t="s">
        <v>100</v>
      </c>
    </row>
    <row r="1358">
      <c r="A1358" s="2" t="s">
        <v>4632</v>
      </c>
      <c r="B1358" s="2" t="s">
        <v>4434</v>
      </c>
      <c r="C1358" s="2" t="s">
        <v>88</v>
      </c>
      <c r="D1358" s="2" t="s">
        <v>4626</v>
      </c>
      <c r="E1358" s="2" t="s">
        <v>4627</v>
      </c>
      <c r="F1358" s="2" t="s">
        <v>4616</v>
      </c>
      <c r="G1358" s="2" t="s">
        <v>4616</v>
      </c>
      <c r="H1358" s="2" t="s">
        <v>4616</v>
      </c>
      <c r="I1358" s="2" t="s">
        <v>4628</v>
      </c>
      <c r="J1358" s="2" t="s">
        <v>714</v>
      </c>
      <c r="K1358" s="2" t="s">
        <v>189</v>
      </c>
      <c r="L1358" s="3">
        <v>15</v>
      </c>
      <c r="M1358" s="3">
        <v>15.75</v>
      </c>
      <c r="N1358" s="3">
        <v>34.99</v>
      </c>
      <c r="O1358" s="2" t="s">
        <v>97</v>
      </c>
      <c r="P1358" s="2" t="s">
        <v>119</v>
      </c>
      <c r="Q1358" s="2" t="s">
        <v>99</v>
      </c>
      <c r="R1358" s="2" t="s">
        <v>100</v>
      </c>
      <c r="S1358" s="2" t="s">
        <v>4633</v>
      </c>
      <c r="T1358" s="2" t="s">
        <v>218</v>
      </c>
      <c r="U1358" s="2" t="s">
        <v>1847</v>
      </c>
      <c r="V1358" s="2" t="s">
        <v>146</v>
      </c>
      <c r="W1358" s="2" t="s">
        <v>183</v>
      </c>
      <c r="X1358" s="2" t="s">
        <v>673</v>
      </c>
      <c r="Y1358" s="2" t="s">
        <v>4624</v>
      </c>
      <c r="Z1358" s="4">
        <v>250</v>
      </c>
      <c r="AA1358" s="4">
        <f>=ROUNDDOWN(20.8333333333333,0)</f>
      </c>
      <c r="AB1358" s="5">
        <v>12</v>
      </c>
      <c r="AC1358" s="2" t="s">
        <v>148</v>
      </c>
      <c r="AD1358" s="4">
        <v>50</v>
      </c>
      <c r="AE1358" s="4">
        <v>150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292</v>
      </c>
      <c r="BK1358" s="8">
        <v>5043.36</v>
      </c>
      <c r="BL1358" s="2" t="s">
        <v>4634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207</v>
      </c>
      <c r="BV1358" s="2" t="s">
        <v>97</v>
      </c>
      <c r="BW1358" s="2" t="s">
        <v>100</v>
      </c>
      <c r="BX1358" s="2" t="s">
        <v>100</v>
      </c>
      <c r="BY1358" s="2" t="s">
        <v>113</v>
      </c>
      <c r="BZ1358" s="2" t="s">
        <v>100</v>
      </c>
    </row>
    <row r="1359">
      <c r="A1359" s="2" t="s">
        <v>4635</v>
      </c>
      <c r="B1359" s="2" t="s">
        <v>4434</v>
      </c>
      <c r="C1359" s="2" t="s">
        <v>88</v>
      </c>
      <c r="D1359" s="2" t="s">
        <v>4626</v>
      </c>
      <c r="E1359" s="2" t="s">
        <v>4627</v>
      </c>
      <c r="F1359" s="2" t="s">
        <v>4616</v>
      </c>
      <c r="G1359" s="2" t="s">
        <v>4616</v>
      </c>
      <c r="H1359" s="2" t="s">
        <v>4616</v>
      </c>
      <c r="I1359" s="2" t="s">
        <v>4628</v>
      </c>
      <c r="J1359" s="2" t="s">
        <v>4631</v>
      </c>
      <c r="K1359" s="2" t="s">
        <v>189</v>
      </c>
      <c r="L1359" s="3">
        <v>13.71</v>
      </c>
      <c r="M1359" s="3">
        <v>14.4</v>
      </c>
      <c r="N1359" s="3">
        <v>31.99</v>
      </c>
      <c r="O1359" s="2" t="s">
        <v>97</v>
      </c>
      <c r="P1359" s="2" t="s">
        <v>119</v>
      </c>
      <c r="Q1359" s="2" t="s">
        <v>99</v>
      </c>
      <c r="R1359" s="2" t="s">
        <v>100</v>
      </c>
      <c r="S1359" s="2" t="s">
        <v>4633</v>
      </c>
      <c r="T1359" s="2" t="s">
        <v>218</v>
      </c>
      <c r="U1359" s="2" t="s">
        <v>1847</v>
      </c>
      <c r="V1359" s="2" t="s">
        <v>146</v>
      </c>
      <c r="W1359" s="2" t="s">
        <v>183</v>
      </c>
      <c r="X1359" s="2" t="s">
        <v>673</v>
      </c>
      <c r="Y1359" s="2" t="s">
        <v>4611</v>
      </c>
      <c r="Z1359" s="4">
        <v>315</v>
      </c>
      <c r="AA1359" s="4">
        <f>=ROUNDDOWN(21,0)</f>
      </c>
      <c r="AB1359" s="5">
        <v>15</v>
      </c>
      <c r="AC1359" s="2" t="s">
        <v>821</v>
      </c>
      <c r="AD1359" s="4">
        <v>100</v>
      </c>
      <c r="AE1359" s="4">
        <v>280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327</v>
      </c>
      <c r="BK1359" s="8">
        <v>5148.54</v>
      </c>
      <c r="BL1359" s="2" t="s">
        <v>4619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207</v>
      </c>
      <c r="BV1359" s="2" t="s">
        <v>97</v>
      </c>
      <c r="BW1359" s="2" t="s">
        <v>100</v>
      </c>
      <c r="BX1359" s="2" t="s">
        <v>100</v>
      </c>
      <c r="BY1359" s="2" t="s">
        <v>113</v>
      </c>
      <c r="BZ1359" s="2" t="s">
        <v>100</v>
      </c>
    </row>
    <row r="1360">
      <c r="A1360" s="2" t="s">
        <v>4636</v>
      </c>
      <c r="B1360" s="2" t="s">
        <v>4434</v>
      </c>
      <c r="C1360" s="2" t="s">
        <v>4637</v>
      </c>
      <c r="D1360" s="2" t="s">
        <v>4435</v>
      </c>
      <c r="E1360" s="2" t="s">
        <v>4638</v>
      </c>
      <c r="F1360" s="2" t="s">
        <v>4639</v>
      </c>
      <c r="G1360" s="2" t="s">
        <v>4639</v>
      </c>
      <c r="H1360" s="2" t="s">
        <v>4639</v>
      </c>
      <c r="I1360" s="2" t="s">
        <v>4640</v>
      </c>
      <c r="J1360" s="2" t="s">
        <v>1936</v>
      </c>
      <c r="K1360" s="2" t="s">
        <v>118</v>
      </c>
      <c r="L1360" s="3">
        <v>41.4</v>
      </c>
      <c r="M1360" s="3">
        <v>43.47</v>
      </c>
      <c r="N1360" s="3">
        <v>89.99</v>
      </c>
      <c r="O1360" s="2" t="s">
        <v>97</v>
      </c>
      <c r="P1360" s="2" t="s">
        <v>119</v>
      </c>
      <c r="Q1360" s="2" t="s">
        <v>99</v>
      </c>
      <c r="R1360" s="2" t="s">
        <v>100</v>
      </c>
      <c r="S1360" s="2" t="s">
        <v>4641</v>
      </c>
      <c r="T1360" s="2" t="s">
        <v>4642</v>
      </c>
      <c r="U1360" s="2" t="s">
        <v>100</v>
      </c>
      <c r="V1360" s="2" t="s">
        <v>146</v>
      </c>
      <c r="W1360" s="2" t="s">
        <v>183</v>
      </c>
      <c r="X1360" s="2" t="s">
        <v>100</v>
      </c>
      <c r="Y1360" s="2" t="s">
        <v>240</v>
      </c>
      <c r="Z1360" s="4">
        <v>509</v>
      </c>
      <c r="AA1360" s="4">
        <f>=ROUNDDOWN(46.2727272727273,0)</f>
      </c>
      <c r="AB1360" s="5">
        <v>11</v>
      </c>
      <c r="AC1360" s="2" t="s">
        <v>100</v>
      </c>
      <c r="AD1360" s="4"/>
      <c r="AE1360" s="4"/>
      <c r="AF1360" s="6">
        <v>65</v>
      </c>
      <c r="AG1360" s="6"/>
      <c r="AH1360" s="7">
        <v>0.9412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>
        <v>2</v>
      </c>
      <c r="AQ1360" s="8">
        <v>105.32</v>
      </c>
      <c r="AR1360" s="4"/>
      <c r="AS1360" s="8"/>
      <c r="AT1360" s="7"/>
      <c r="AU1360" s="7"/>
      <c r="AV1360" s="4">
        <v>18</v>
      </c>
      <c r="AW1360" s="8">
        <v>1445.02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0.0729</v>
      </c>
      <c r="BC1360" s="4">
        <v>18</v>
      </c>
      <c r="BD1360" s="8">
        <v>1445.02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1</v>
      </c>
      <c r="BJ1360" s="4">
        <v>326</v>
      </c>
      <c r="BK1360" s="8">
        <v>14595.96</v>
      </c>
      <c r="BL1360" s="2" t="s">
        <v>4643</v>
      </c>
      <c r="BM1360" s="7">
        <v>0.0061</v>
      </c>
      <c r="BN1360" s="7">
        <v>0.0072</v>
      </c>
      <c r="BO1360" s="4">
        <v>2</v>
      </c>
      <c r="BP1360" s="8">
        <v>105.32</v>
      </c>
      <c r="BQ1360" s="4"/>
      <c r="BR1360" s="8"/>
      <c r="BS1360" s="7"/>
      <c r="BT1360" s="7"/>
      <c r="BU1360" s="2" t="s">
        <v>109</v>
      </c>
      <c r="BV1360" s="2" t="s">
        <v>110</v>
      </c>
      <c r="BW1360" s="2" t="s">
        <v>4443</v>
      </c>
      <c r="BX1360" s="2" t="s">
        <v>4644</v>
      </c>
      <c r="BY1360" s="2" t="s">
        <v>113</v>
      </c>
      <c r="BZ1360" s="2" t="s">
        <v>100</v>
      </c>
    </row>
    <row r="1361">
      <c r="A1361" s="2" t="s">
        <v>4645</v>
      </c>
      <c r="B1361" s="2" t="s">
        <v>4434</v>
      </c>
      <c r="C1361" s="2" t="s">
        <v>4637</v>
      </c>
      <c r="D1361" s="2" t="s">
        <v>4435</v>
      </c>
      <c r="E1361" s="2" t="s">
        <v>4638</v>
      </c>
      <c r="F1361" s="2" t="s">
        <v>4639</v>
      </c>
      <c r="G1361" s="2" t="s">
        <v>4639</v>
      </c>
      <c r="H1361" s="2" t="s">
        <v>4639</v>
      </c>
      <c r="I1361" s="2" t="s">
        <v>4640</v>
      </c>
      <c r="J1361" s="2" t="s">
        <v>717</v>
      </c>
      <c r="K1361" s="2" t="s">
        <v>118</v>
      </c>
      <c r="L1361" s="3">
        <v>54</v>
      </c>
      <c r="M1361" s="3">
        <v>56.7</v>
      </c>
      <c r="N1361" s="3">
        <v>119.99</v>
      </c>
      <c r="O1361" s="2" t="s">
        <v>97</v>
      </c>
      <c r="P1361" s="2" t="s">
        <v>119</v>
      </c>
      <c r="Q1361" s="2" t="s">
        <v>99</v>
      </c>
      <c r="R1361" s="2" t="s">
        <v>100</v>
      </c>
      <c r="S1361" s="2" t="s">
        <v>4641</v>
      </c>
      <c r="T1361" s="2" t="s">
        <v>4642</v>
      </c>
      <c r="U1361" s="2" t="s">
        <v>100</v>
      </c>
      <c r="V1361" s="2" t="s">
        <v>146</v>
      </c>
      <c r="W1361" s="2" t="s">
        <v>183</v>
      </c>
      <c r="X1361" s="2" t="s">
        <v>100</v>
      </c>
      <c r="Y1361" s="2" t="s">
        <v>240</v>
      </c>
      <c r="Z1361" s="4">
        <v>311</v>
      </c>
      <c r="AA1361" s="4">
        <f>=ROUNDDOWN(44.4285714285714,0)</f>
      </c>
      <c r="AB1361" s="5">
        <v>7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>
        <v>1</v>
      </c>
      <c r="AQ1361" s="8">
        <v>69.29</v>
      </c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0.048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223</v>
      </c>
      <c r="BK1361" s="8">
        <v>13283.1</v>
      </c>
      <c r="BL1361" s="2" t="s">
        <v>4646</v>
      </c>
      <c r="BM1361" s="7">
        <v>0.0045</v>
      </c>
      <c r="BN1361" s="7">
        <v>0.0052</v>
      </c>
      <c r="BO1361" s="4">
        <v>1</v>
      </c>
      <c r="BP1361" s="8">
        <v>69.29</v>
      </c>
      <c r="BQ1361" s="4"/>
      <c r="BR1361" s="8"/>
      <c r="BS1361" s="7"/>
      <c r="BT1361" s="7"/>
      <c r="BU1361" s="2" t="s">
        <v>109</v>
      </c>
      <c r="BV1361" s="2" t="s">
        <v>110</v>
      </c>
      <c r="BW1361" s="2" t="s">
        <v>4443</v>
      </c>
      <c r="BX1361" s="2" t="s">
        <v>4647</v>
      </c>
      <c r="BY1361" s="2" t="s">
        <v>113</v>
      </c>
      <c r="BZ1361" s="2" t="s">
        <v>100</v>
      </c>
    </row>
    <row r="1362">
      <c r="A1362" s="2" t="s">
        <v>4648</v>
      </c>
      <c r="B1362" s="2" t="s">
        <v>4434</v>
      </c>
      <c r="C1362" s="2" t="s">
        <v>4637</v>
      </c>
      <c r="D1362" s="2" t="s">
        <v>4435</v>
      </c>
      <c r="E1362" s="2" t="s">
        <v>4638</v>
      </c>
      <c r="F1362" s="2" t="s">
        <v>4639</v>
      </c>
      <c r="G1362" s="2" t="s">
        <v>4639</v>
      </c>
      <c r="H1362" s="2" t="s">
        <v>4639</v>
      </c>
      <c r="I1362" s="2" t="s">
        <v>4640</v>
      </c>
      <c r="J1362" s="2" t="s">
        <v>706</v>
      </c>
      <c r="K1362" s="2" t="s">
        <v>118</v>
      </c>
      <c r="L1362" s="3">
        <v>62.1</v>
      </c>
      <c r="M1362" s="3">
        <v>65.2</v>
      </c>
      <c r="N1362" s="3">
        <v>134.99</v>
      </c>
      <c r="O1362" s="2" t="s">
        <v>97</v>
      </c>
      <c r="P1362" s="2" t="s">
        <v>119</v>
      </c>
      <c r="Q1362" s="2" t="s">
        <v>99</v>
      </c>
      <c r="R1362" s="2" t="s">
        <v>100</v>
      </c>
      <c r="S1362" s="2" t="s">
        <v>4641</v>
      </c>
      <c r="T1362" s="2" t="s">
        <v>4642</v>
      </c>
      <c r="U1362" s="2" t="s">
        <v>100</v>
      </c>
      <c r="V1362" s="2" t="s">
        <v>146</v>
      </c>
      <c r="W1362" s="2" t="s">
        <v>183</v>
      </c>
      <c r="X1362" s="2" t="s">
        <v>100</v>
      </c>
      <c r="Y1362" s="2" t="s">
        <v>240</v>
      </c>
      <c r="Z1362" s="4">
        <v>522</v>
      </c>
      <c r="AA1362" s="4">
        <f>=ROUNDDOWN(32.625,0)</f>
      </c>
      <c r="AB1362" s="5">
        <v>16</v>
      </c>
      <c r="AC1362" s="2" t="s">
        <v>100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>
        <v>8</v>
      </c>
      <c r="AQ1362" s="8">
        <v>623.68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0.4316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353</v>
      </c>
      <c r="BK1362" s="8">
        <v>24360.88</v>
      </c>
      <c r="BL1362" s="2" t="s">
        <v>4649</v>
      </c>
      <c r="BM1362" s="7">
        <v>0.0227</v>
      </c>
      <c r="BN1362" s="7">
        <v>0.0256</v>
      </c>
      <c r="BO1362" s="4">
        <v>8</v>
      </c>
      <c r="BP1362" s="8">
        <v>623.68</v>
      </c>
      <c r="BQ1362" s="4"/>
      <c r="BR1362" s="8"/>
      <c r="BS1362" s="7"/>
      <c r="BT1362" s="7"/>
      <c r="BU1362" s="2" t="s">
        <v>109</v>
      </c>
      <c r="BV1362" s="2" t="s">
        <v>110</v>
      </c>
      <c r="BW1362" s="2" t="s">
        <v>4443</v>
      </c>
      <c r="BX1362" s="2" t="s">
        <v>1125</v>
      </c>
      <c r="BY1362" s="2" t="s">
        <v>113</v>
      </c>
      <c r="BZ1362" s="2" t="s">
        <v>100</v>
      </c>
    </row>
    <row r="1363">
      <c r="A1363" s="2" t="s">
        <v>4650</v>
      </c>
      <c r="B1363" s="2" t="s">
        <v>4434</v>
      </c>
      <c r="C1363" s="2" t="s">
        <v>4637</v>
      </c>
      <c r="D1363" s="2" t="s">
        <v>4435</v>
      </c>
      <c r="E1363" s="2" t="s">
        <v>4638</v>
      </c>
      <c r="F1363" s="2" t="s">
        <v>4639</v>
      </c>
      <c r="G1363" s="2" t="s">
        <v>4639</v>
      </c>
      <c r="H1363" s="2" t="s">
        <v>4639</v>
      </c>
      <c r="I1363" s="2" t="s">
        <v>4640</v>
      </c>
      <c r="J1363" s="2" t="s">
        <v>714</v>
      </c>
      <c r="K1363" s="2" t="s">
        <v>118</v>
      </c>
      <c r="L1363" s="3">
        <v>76.8</v>
      </c>
      <c r="M1363" s="3">
        <v>80.64</v>
      </c>
      <c r="N1363" s="3">
        <v>159.99</v>
      </c>
      <c r="O1363" s="2" t="s">
        <v>97</v>
      </c>
      <c r="P1363" s="2" t="s">
        <v>119</v>
      </c>
      <c r="Q1363" s="2" t="s">
        <v>99</v>
      </c>
      <c r="R1363" s="2" t="s">
        <v>100</v>
      </c>
      <c r="S1363" s="2" t="s">
        <v>4641</v>
      </c>
      <c r="T1363" s="2" t="s">
        <v>4642</v>
      </c>
      <c r="U1363" s="2" t="s">
        <v>100</v>
      </c>
      <c r="V1363" s="2" t="s">
        <v>146</v>
      </c>
      <c r="W1363" s="2" t="s">
        <v>183</v>
      </c>
      <c r="X1363" s="2" t="s">
        <v>100</v>
      </c>
      <c r="Y1363" s="2" t="s">
        <v>240</v>
      </c>
      <c r="Z1363" s="4">
        <v>323</v>
      </c>
      <c r="AA1363" s="4">
        <f>=ROUNDDOWN(53.8333333333333,0)</f>
      </c>
      <c r="AB1363" s="5">
        <v>6</v>
      </c>
      <c r="AC1363" s="2" t="s">
        <v>100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>
        <v>4</v>
      </c>
      <c r="AQ1363" s="8">
        <v>369.56</v>
      </c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0.2557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114</v>
      </c>
      <c r="BK1363" s="8">
        <v>9759.76</v>
      </c>
      <c r="BL1363" s="2" t="s">
        <v>4651</v>
      </c>
      <c r="BM1363" s="7">
        <v>0.0351</v>
      </c>
      <c r="BN1363" s="7">
        <v>0.0379</v>
      </c>
      <c r="BO1363" s="4">
        <v>4</v>
      </c>
      <c r="BP1363" s="8">
        <v>369.56</v>
      </c>
      <c r="BQ1363" s="4"/>
      <c r="BR1363" s="8"/>
      <c r="BS1363" s="7"/>
      <c r="BT1363" s="7"/>
      <c r="BU1363" s="2" t="s">
        <v>109</v>
      </c>
      <c r="BV1363" s="2" t="s">
        <v>110</v>
      </c>
      <c r="BW1363" s="2" t="s">
        <v>4443</v>
      </c>
      <c r="BX1363" s="2" t="s">
        <v>523</v>
      </c>
      <c r="BY1363" s="2" t="s">
        <v>113</v>
      </c>
      <c r="BZ1363" s="2" t="s">
        <v>100</v>
      </c>
    </row>
    <row r="1364">
      <c r="A1364" s="2" t="s">
        <v>4652</v>
      </c>
      <c r="B1364" s="2" t="s">
        <v>4434</v>
      </c>
      <c r="C1364" s="2" t="s">
        <v>4637</v>
      </c>
      <c r="D1364" s="2" t="s">
        <v>4435</v>
      </c>
      <c r="E1364" s="2" t="s">
        <v>4638</v>
      </c>
      <c r="F1364" s="2" t="s">
        <v>4639</v>
      </c>
      <c r="G1364" s="2" t="s">
        <v>4639</v>
      </c>
      <c r="H1364" s="2" t="s">
        <v>4639</v>
      </c>
      <c r="I1364" s="2" t="s">
        <v>4640</v>
      </c>
      <c r="J1364" s="2" t="s">
        <v>817</v>
      </c>
      <c r="K1364" s="2" t="s">
        <v>118</v>
      </c>
      <c r="L1364" s="3">
        <v>76.8</v>
      </c>
      <c r="M1364" s="3">
        <v>80.64</v>
      </c>
      <c r="N1364" s="3">
        <v>159.99</v>
      </c>
      <c r="O1364" s="2" t="s">
        <v>97</v>
      </c>
      <c r="P1364" s="2" t="s">
        <v>119</v>
      </c>
      <c r="Q1364" s="2" t="s">
        <v>99</v>
      </c>
      <c r="R1364" s="2" t="s">
        <v>100</v>
      </c>
      <c r="S1364" s="2" t="s">
        <v>4641</v>
      </c>
      <c r="T1364" s="2" t="s">
        <v>4642</v>
      </c>
      <c r="U1364" s="2" t="s">
        <v>100</v>
      </c>
      <c r="V1364" s="2" t="s">
        <v>146</v>
      </c>
      <c r="W1364" s="2" t="s">
        <v>183</v>
      </c>
      <c r="X1364" s="2" t="s">
        <v>100</v>
      </c>
      <c r="Y1364" s="2" t="s">
        <v>240</v>
      </c>
      <c r="Z1364" s="4">
        <v>158</v>
      </c>
      <c r="AA1364" s="4">
        <f>=ROUNDDOWN(52.6666666666667,0)</f>
      </c>
      <c r="AB1364" s="5">
        <v>3</v>
      </c>
      <c r="AC1364" s="2" t="s">
        <v>100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>
        <v>3</v>
      </c>
      <c r="AQ1364" s="8">
        <v>277.17</v>
      </c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0.1918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41</v>
      </c>
      <c r="BK1364" s="8">
        <v>3563.78</v>
      </c>
      <c r="BL1364" s="2" t="s">
        <v>4653</v>
      </c>
      <c r="BM1364" s="7">
        <v>0.0732</v>
      </c>
      <c r="BN1364" s="7">
        <v>0.0778</v>
      </c>
      <c r="BO1364" s="4">
        <v>3</v>
      </c>
      <c r="BP1364" s="8">
        <v>277.17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4443</v>
      </c>
      <c r="BX1364" s="2" t="s">
        <v>1041</v>
      </c>
      <c r="BY1364" s="2" t="s">
        <v>113</v>
      </c>
      <c r="BZ1364" s="2" t="s">
        <v>100</v>
      </c>
    </row>
    <row r="1365">
      <c r="A1365" s="2" t="s">
        <v>4654</v>
      </c>
      <c r="B1365" s="2" t="s">
        <v>4434</v>
      </c>
      <c r="C1365" s="2" t="s">
        <v>4637</v>
      </c>
      <c r="D1365" s="2" t="s">
        <v>4435</v>
      </c>
      <c r="E1365" s="2" t="s">
        <v>4638</v>
      </c>
      <c r="F1365" s="2" t="s">
        <v>4655</v>
      </c>
      <c r="G1365" s="2" t="s">
        <v>4655</v>
      </c>
      <c r="H1365" s="2" t="s">
        <v>4655</v>
      </c>
      <c r="I1365" s="2" t="s">
        <v>4656</v>
      </c>
      <c r="J1365" s="2" t="s">
        <v>1936</v>
      </c>
      <c r="K1365" s="2" t="s">
        <v>118</v>
      </c>
      <c r="L1365" s="3">
        <v>25.3</v>
      </c>
      <c r="M1365" s="3">
        <v>26.56</v>
      </c>
      <c r="N1365" s="3">
        <v>54.99</v>
      </c>
      <c r="O1365" s="2" t="s">
        <v>97</v>
      </c>
      <c r="P1365" s="2" t="s">
        <v>119</v>
      </c>
      <c r="Q1365" s="2" t="s">
        <v>99</v>
      </c>
      <c r="R1365" s="2" t="s">
        <v>100</v>
      </c>
      <c r="S1365" s="2" t="s">
        <v>4657</v>
      </c>
      <c r="T1365" s="2" t="s">
        <v>4642</v>
      </c>
      <c r="U1365" s="2" t="s">
        <v>100</v>
      </c>
      <c r="V1365" s="2" t="s">
        <v>146</v>
      </c>
      <c r="W1365" s="2" t="s">
        <v>183</v>
      </c>
      <c r="X1365" s="2" t="s">
        <v>100</v>
      </c>
      <c r="Y1365" s="2" t="s">
        <v>240</v>
      </c>
      <c r="Z1365" s="4">
        <v>289</v>
      </c>
      <c r="AA1365" s="4">
        <f>=ROUNDDOWN(41.2857142857143,0)</f>
      </c>
      <c r="AB1365" s="5">
        <v>7</v>
      </c>
      <c r="AC1365" s="2" t="s">
        <v>100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>
        <v>2</v>
      </c>
      <c r="AQ1365" s="8">
        <v>63.52</v>
      </c>
      <c r="AR1365" s="4"/>
      <c r="AS1365" s="8"/>
      <c r="AT1365" s="7"/>
      <c r="AU1365" s="7"/>
      <c r="AV1365" s="4">
        <v>27</v>
      </c>
      <c r="AW1365" s="8">
        <v>992.5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0.064</v>
      </c>
      <c r="BC1365" s="4">
        <v>27</v>
      </c>
      <c r="BD1365" s="8">
        <v>992.5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1</v>
      </c>
      <c r="BJ1365" s="4">
        <v>297</v>
      </c>
      <c r="BK1365" s="8">
        <v>7866.03</v>
      </c>
      <c r="BL1365" s="2" t="s">
        <v>4658</v>
      </c>
      <c r="BM1365" s="7">
        <v>0.0067</v>
      </c>
      <c r="BN1365" s="7">
        <v>0.0081</v>
      </c>
      <c r="BO1365" s="4">
        <v>2</v>
      </c>
      <c r="BP1365" s="8">
        <v>63.52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4443</v>
      </c>
      <c r="BX1365" s="2" t="s">
        <v>4659</v>
      </c>
      <c r="BY1365" s="2" t="s">
        <v>113</v>
      </c>
      <c r="BZ1365" s="2" t="s">
        <v>100</v>
      </c>
    </row>
    <row r="1366">
      <c r="A1366" s="2" t="s">
        <v>4660</v>
      </c>
      <c r="B1366" s="2" t="s">
        <v>4434</v>
      </c>
      <c r="C1366" s="2" t="s">
        <v>4637</v>
      </c>
      <c r="D1366" s="2" t="s">
        <v>4435</v>
      </c>
      <c r="E1366" s="2" t="s">
        <v>4638</v>
      </c>
      <c r="F1366" s="2" t="s">
        <v>4655</v>
      </c>
      <c r="G1366" s="2" t="s">
        <v>4655</v>
      </c>
      <c r="H1366" s="2" t="s">
        <v>4655</v>
      </c>
      <c r="I1366" s="2" t="s">
        <v>4656</v>
      </c>
      <c r="J1366" s="2" t="s">
        <v>2072</v>
      </c>
      <c r="K1366" s="2" t="s">
        <v>118</v>
      </c>
      <c r="L1366" s="3">
        <v>27.6</v>
      </c>
      <c r="M1366" s="3">
        <v>28.98</v>
      </c>
      <c r="N1366" s="3">
        <v>59.99</v>
      </c>
      <c r="O1366" s="2" t="s">
        <v>97</v>
      </c>
      <c r="P1366" s="2" t="s">
        <v>119</v>
      </c>
      <c r="Q1366" s="2" t="s">
        <v>99</v>
      </c>
      <c r="R1366" s="2" t="s">
        <v>100</v>
      </c>
      <c r="S1366" s="2" t="s">
        <v>4657</v>
      </c>
      <c r="T1366" s="2" t="s">
        <v>4642</v>
      </c>
      <c r="U1366" s="2" t="s">
        <v>100</v>
      </c>
      <c r="V1366" s="2" t="s">
        <v>146</v>
      </c>
      <c r="W1366" s="2" t="s">
        <v>183</v>
      </c>
      <c r="X1366" s="2" t="s">
        <v>100</v>
      </c>
      <c r="Y1366" s="2" t="s">
        <v>240</v>
      </c>
      <c r="Z1366" s="4">
        <v>556</v>
      </c>
      <c r="AA1366" s="4">
        <f>=ROUNDDOWN(46.3333333333333,0)</f>
      </c>
      <c r="AB1366" s="5">
        <v>12</v>
      </c>
      <c r="AC1366" s="2" t="s">
        <v>100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>
        <v>17</v>
      </c>
      <c r="AQ1366" s="8">
        <v>553.69</v>
      </c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0.5579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570</v>
      </c>
      <c r="BK1366" s="8">
        <v>15568.83</v>
      </c>
      <c r="BL1366" s="2" t="s">
        <v>4661</v>
      </c>
      <c r="BM1366" s="7">
        <v>0.0298</v>
      </c>
      <c r="BN1366" s="7">
        <v>0.0356</v>
      </c>
      <c r="BO1366" s="4">
        <v>17</v>
      </c>
      <c r="BP1366" s="8">
        <v>553.69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4443</v>
      </c>
      <c r="BX1366" s="2" t="s">
        <v>4662</v>
      </c>
      <c r="BY1366" s="2" t="s">
        <v>113</v>
      </c>
      <c r="BZ1366" s="2" t="s">
        <v>100</v>
      </c>
    </row>
    <row r="1367">
      <c r="A1367" s="2" t="s">
        <v>4663</v>
      </c>
      <c r="B1367" s="2" t="s">
        <v>4434</v>
      </c>
      <c r="C1367" s="2" t="s">
        <v>4637</v>
      </c>
      <c r="D1367" s="2" t="s">
        <v>4435</v>
      </c>
      <c r="E1367" s="2" t="s">
        <v>4638</v>
      </c>
      <c r="F1367" s="2" t="s">
        <v>4655</v>
      </c>
      <c r="G1367" s="2" t="s">
        <v>4655</v>
      </c>
      <c r="H1367" s="2" t="s">
        <v>4655</v>
      </c>
      <c r="I1367" s="2" t="s">
        <v>4656</v>
      </c>
      <c r="J1367" s="2" t="s">
        <v>717</v>
      </c>
      <c r="K1367" s="2" t="s">
        <v>118</v>
      </c>
      <c r="L1367" s="3">
        <v>32.2</v>
      </c>
      <c r="M1367" s="3">
        <v>33.81</v>
      </c>
      <c r="N1367" s="3">
        <v>69.99</v>
      </c>
      <c r="O1367" s="2" t="s">
        <v>97</v>
      </c>
      <c r="P1367" s="2" t="s">
        <v>119</v>
      </c>
      <c r="Q1367" s="2" t="s">
        <v>99</v>
      </c>
      <c r="R1367" s="2" t="s">
        <v>100</v>
      </c>
      <c r="S1367" s="2" t="s">
        <v>4657</v>
      </c>
      <c r="T1367" s="2" t="s">
        <v>4642</v>
      </c>
      <c r="U1367" s="2" t="s">
        <v>100</v>
      </c>
      <c r="V1367" s="2" t="s">
        <v>146</v>
      </c>
      <c r="W1367" s="2" t="s">
        <v>183</v>
      </c>
      <c r="X1367" s="2" t="s">
        <v>100</v>
      </c>
      <c r="Y1367" s="2" t="s">
        <v>240</v>
      </c>
      <c r="Z1367" s="4">
        <v>267</v>
      </c>
      <c r="AA1367" s="4">
        <f>=ROUNDDOWN(44.5,0)</f>
      </c>
      <c r="AB1367" s="5">
        <v>6</v>
      </c>
      <c r="AC1367" s="2" t="s">
        <v>100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>
        <v>1</v>
      </c>
      <c r="AQ1367" s="8">
        <v>40.41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0.0407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144</v>
      </c>
      <c r="BK1367" s="8">
        <v>5140.03</v>
      </c>
      <c r="BL1367" s="2" t="s">
        <v>4664</v>
      </c>
      <c r="BM1367" s="7">
        <v>0.0069</v>
      </c>
      <c r="BN1367" s="7">
        <v>0.0079</v>
      </c>
      <c r="BO1367" s="4">
        <v>1</v>
      </c>
      <c r="BP1367" s="8">
        <v>40.41</v>
      </c>
      <c r="BQ1367" s="4"/>
      <c r="BR1367" s="8"/>
      <c r="BS1367" s="7"/>
      <c r="BT1367" s="7"/>
      <c r="BU1367" s="2" t="s">
        <v>109</v>
      </c>
      <c r="BV1367" s="2" t="s">
        <v>110</v>
      </c>
      <c r="BW1367" s="2" t="s">
        <v>4443</v>
      </c>
      <c r="BX1367" s="2" t="s">
        <v>1993</v>
      </c>
      <c r="BY1367" s="2" t="s">
        <v>113</v>
      </c>
      <c r="BZ1367" s="2" t="s">
        <v>100</v>
      </c>
    </row>
    <row r="1368">
      <c r="A1368" s="2" t="s">
        <v>4665</v>
      </c>
      <c r="B1368" s="2" t="s">
        <v>4434</v>
      </c>
      <c r="C1368" s="2" t="s">
        <v>4637</v>
      </c>
      <c r="D1368" s="2" t="s">
        <v>4435</v>
      </c>
      <c r="E1368" s="2" t="s">
        <v>4638</v>
      </c>
      <c r="F1368" s="2" t="s">
        <v>4655</v>
      </c>
      <c r="G1368" s="2" t="s">
        <v>4655</v>
      </c>
      <c r="H1368" s="2" t="s">
        <v>4655</v>
      </c>
      <c r="I1368" s="2" t="s">
        <v>4656</v>
      </c>
      <c r="J1368" s="2" t="s">
        <v>706</v>
      </c>
      <c r="K1368" s="2" t="s">
        <v>118</v>
      </c>
      <c r="L1368" s="3">
        <v>36.8</v>
      </c>
      <c r="M1368" s="3">
        <v>38.64</v>
      </c>
      <c r="N1368" s="3">
        <v>79.99</v>
      </c>
      <c r="O1368" s="2" t="s">
        <v>97</v>
      </c>
      <c r="P1368" s="2" t="s">
        <v>119</v>
      </c>
      <c r="Q1368" s="2" t="s">
        <v>99</v>
      </c>
      <c r="R1368" s="2" t="s">
        <v>100</v>
      </c>
      <c r="S1368" s="2" t="s">
        <v>4657</v>
      </c>
      <c r="T1368" s="2" t="s">
        <v>4642</v>
      </c>
      <c r="U1368" s="2" t="s">
        <v>100</v>
      </c>
      <c r="V1368" s="2" t="s">
        <v>146</v>
      </c>
      <c r="W1368" s="2" t="s">
        <v>183</v>
      </c>
      <c r="X1368" s="2" t="s">
        <v>100</v>
      </c>
      <c r="Y1368" s="2" t="s">
        <v>240</v>
      </c>
      <c r="Z1368" s="4">
        <v>320</v>
      </c>
      <c r="AA1368" s="4">
        <f>=ROUNDDOWN(32,0)</f>
      </c>
      <c r="AB1368" s="5">
        <v>10</v>
      </c>
      <c r="AC1368" s="2" t="s">
        <v>100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>
        <v>6</v>
      </c>
      <c r="AQ1368" s="8">
        <v>277.14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0.2792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256</v>
      </c>
      <c r="BK1368" s="8">
        <v>10514.04</v>
      </c>
      <c r="BL1368" s="2" t="s">
        <v>4666</v>
      </c>
      <c r="BM1368" s="7">
        <v>0.0234</v>
      </c>
      <c r="BN1368" s="7">
        <v>0.0264</v>
      </c>
      <c r="BO1368" s="4">
        <v>6</v>
      </c>
      <c r="BP1368" s="8">
        <v>277.14</v>
      </c>
      <c r="BQ1368" s="4"/>
      <c r="BR1368" s="8"/>
      <c r="BS1368" s="7"/>
      <c r="BT1368" s="7"/>
      <c r="BU1368" s="2" t="s">
        <v>109</v>
      </c>
      <c r="BV1368" s="2" t="s">
        <v>110</v>
      </c>
      <c r="BW1368" s="2" t="s">
        <v>4443</v>
      </c>
      <c r="BX1368" s="2" t="s">
        <v>4667</v>
      </c>
      <c r="BY1368" s="2" t="s">
        <v>113</v>
      </c>
      <c r="BZ1368" s="2" t="s">
        <v>100</v>
      </c>
    </row>
    <row r="1369">
      <c r="A1369" s="2" t="s">
        <v>4668</v>
      </c>
      <c r="B1369" s="2" t="s">
        <v>4434</v>
      </c>
      <c r="C1369" s="2" t="s">
        <v>4637</v>
      </c>
      <c r="D1369" s="2" t="s">
        <v>4435</v>
      </c>
      <c r="E1369" s="2" t="s">
        <v>4638</v>
      </c>
      <c r="F1369" s="2" t="s">
        <v>4655</v>
      </c>
      <c r="G1369" s="2" t="s">
        <v>4655</v>
      </c>
      <c r="H1369" s="2" t="s">
        <v>4655</v>
      </c>
      <c r="I1369" s="2" t="s">
        <v>4656</v>
      </c>
      <c r="J1369" s="2" t="s">
        <v>714</v>
      </c>
      <c r="K1369" s="2" t="s">
        <v>118</v>
      </c>
      <c r="L1369" s="3">
        <v>46</v>
      </c>
      <c r="M1369" s="3">
        <v>48.3</v>
      </c>
      <c r="N1369" s="3">
        <v>99.99</v>
      </c>
      <c r="O1369" s="2" t="s">
        <v>97</v>
      </c>
      <c r="P1369" s="2" t="s">
        <v>119</v>
      </c>
      <c r="Q1369" s="2" t="s">
        <v>99</v>
      </c>
      <c r="R1369" s="2" t="s">
        <v>100</v>
      </c>
      <c r="S1369" s="2" t="s">
        <v>4657</v>
      </c>
      <c r="T1369" s="2" t="s">
        <v>4642</v>
      </c>
      <c r="U1369" s="2" t="s">
        <v>100</v>
      </c>
      <c r="V1369" s="2" t="s">
        <v>146</v>
      </c>
      <c r="W1369" s="2" t="s">
        <v>183</v>
      </c>
      <c r="X1369" s="2" t="s">
        <v>100</v>
      </c>
      <c r="Y1369" s="2" t="s">
        <v>240</v>
      </c>
      <c r="Z1369" s="4">
        <v>244</v>
      </c>
      <c r="AA1369" s="4">
        <f>=ROUNDDOWN(40.6666666666667,0)</f>
      </c>
      <c r="AB1369" s="5">
        <v>6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>
        <v>1</v>
      </c>
      <c r="AQ1369" s="8">
        <v>57.74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0.0582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89</v>
      </c>
      <c r="BK1369" s="8">
        <v>4711.83</v>
      </c>
      <c r="BL1369" s="2" t="s">
        <v>4664</v>
      </c>
      <c r="BM1369" s="7">
        <v>0.0112</v>
      </c>
      <c r="BN1369" s="7">
        <v>0.0123</v>
      </c>
      <c r="BO1369" s="4">
        <v>1</v>
      </c>
      <c r="BP1369" s="8">
        <v>57.74</v>
      </c>
      <c r="BQ1369" s="4"/>
      <c r="BR1369" s="8"/>
      <c r="BS1369" s="7"/>
      <c r="BT1369" s="7"/>
      <c r="BU1369" s="2" t="s">
        <v>109</v>
      </c>
      <c r="BV1369" s="2" t="s">
        <v>110</v>
      </c>
      <c r="BW1369" s="2" t="s">
        <v>4443</v>
      </c>
      <c r="BX1369" s="2" t="s">
        <v>2001</v>
      </c>
      <c r="BY1369" s="2" t="s">
        <v>113</v>
      </c>
      <c r="BZ1369" s="2" t="s">
        <v>100</v>
      </c>
    </row>
    <row r="1370">
      <c r="A1370" s="2" t="s">
        <v>4669</v>
      </c>
      <c r="B1370" s="2" t="s">
        <v>4434</v>
      </c>
      <c r="C1370" s="2" t="s">
        <v>4637</v>
      </c>
      <c r="D1370" s="2" t="s">
        <v>4435</v>
      </c>
      <c r="E1370" s="2" t="s">
        <v>4638</v>
      </c>
      <c r="F1370" s="2" t="s">
        <v>4670</v>
      </c>
      <c r="G1370" s="2" t="s">
        <v>4671</v>
      </c>
      <c r="H1370" s="2" t="s">
        <v>4670</v>
      </c>
      <c r="I1370" s="2" t="s">
        <v>4672</v>
      </c>
      <c r="J1370" s="2" t="s">
        <v>2072</v>
      </c>
      <c r="K1370" s="2" t="s">
        <v>189</v>
      </c>
      <c r="L1370" s="3">
        <v>79.49</v>
      </c>
      <c r="M1370" s="3">
        <v>83.46</v>
      </c>
      <c r="N1370" s="3">
        <v>149.99</v>
      </c>
      <c r="O1370" s="2" t="s">
        <v>97</v>
      </c>
      <c r="P1370" s="2" t="s">
        <v>119</v>
      </c>
      <c r="Q1370" s="2" t="s">
        <v>99</v>
      </c>
      <c r="R1370" s="2" t="s">
        <v>100</v>
      </c>
      <c r="S1370" s="2" t="s">
        <v>4673</v>
      </c>
      <c r="T1370" s="2" t="s">
        <v>4642</v>
      </c>
      <c r="U1370" s="2" t="s">
        <v>100</v>
      </c>
      <c r="V1370" s="2" t="s">
        <v>146</v>
      </c>
      <c r="W1370" s="2" t="s">
        <v>183</v>
      </c>
      <c r="X1370" s="2" t="s">
        <v>100</v>
      </c>
      <c r="Y1370" s="2" t="s">
        <v>240</v>
      </c>
      <c r="Z1370" s="4">
        <v>133</v>
      </c>
      <c r="AA1370" s="4">
        <f>=ROUNDDOWN(11.0833333333333,0)</f>
      </c>
      <c r="AB1370" s="5">
        <v>12</v>
      </c>
      <c r="AC1370" s="2" t="s">
        <v>768</v>
      </c>
      <c r="AD1370" s="4">
        <v>150</v>
      </c>
      <c r="AE1370" s="4">
        <v>150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>
        <v>1</v>
      </c>
      <c r="AQ1370" s="8">
        <v>86.63</v>
      </c>
      <c r="AR1370" s="4"/>
      <c r="AS1370" s="8"/>
      <c r="AT1370" s="7"/>
      <c r="AU1370" s="7"/>
      <c r="AV1370" s="4">
        <v>4</v>
      </c>
      <c r="AW1370" s="8">
        <v>438.92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0.1974</v>
      </c>
      <c r="BC1370" s="4">
        <v>4</v>
      </c>
      <c r="BD1370" s="8">
        <v>438.92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>
        <v>1</v>
      </c>
      <c r="BJ1370" s="4">
        <v>677</v>
      </c>
      <c r="BK1370" s="8">
        <v>49627</v>
      </c>
      <c r="BL1370" s="2" t="s">
        <v>4674</v>
      </c>
      <c r="BM1370" s="7">
        <v>0.0015</v>
      </c>
      <c r="BN1370" s="7">
        <v>0.0017</v>
      </c>
      <c r="BO1370" s="4">
        <v>1</v>
      </c>
      <c r="BP1370" s="8">
        <v>86.63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4675</v>
      </c>
      <c r="BX1370" s="2" t="s">
        <v>1063</v>
      </c>
      <c r="BY1370" s="2" t="s">
        <v>113</v>
      </c>
      <c r="BZ1370" s="2" t="s">
        <v>100</v>
      </c>
    </row>
    <row r="1371">
      <c r="A1371" s="2" t="s">
        <v>4676</v>
      </c>
      <c r="B1371" s="2" t="s">
        <v>4434</v>
      </c>
      <c r="C1371" s="2" t="s">
        <v>4637</v>
      </c>
      <c r="D1371" s="2" t="s">
        <v>4435</v>
      </c>
      <c r="E1371" s="2" t="s">
        <v>4638</v>
      </c>
      <c r="F1371" s="2" t="s">
        <v>4670</v>
      </c>
      <c r="G1371" s="2" t="s">
        <v>4671</v>
      </c>
      <c r="H1371" s="2" t="s">
        <v>4670</v>
      </c>
      <c r="I1371" s="2" t="s">
        <v>4672</v>
      </c>
      <c r="J1371" s="2" t="s">
        <v>717</v>
      </c>
      <c r="K1371" s="2" t="s">
        <v>189</v>
      </c>
      <c r="L1371" s="3">
        <v>100.69</v>
      </c>
      <c r="M1371" s="3">
        <v>105.72</v>
      </c>
      <c r="N1371" s="3">
        <v>189.99</v>
      </c>
      <c r="O1371" s="2" t="s">
        <v>97</v>
      </c>
      <c r="P1371" s="2" t="s">
        <v>119</v>
      </c>
      <c r="Q1371" s="2" t="s">
        <v>99</v>
      </c>
      <c r="R1371" s="2" t="s">
        <v>100</v>
      </c>
      <c r="S1371" s="2" t="s">
        <v>4673</v>
      </c>
      <c r="T1371" s="2" t="s">
        <v>4642</v>
      </c>
      <c r="U1371" s="2" t="s">
        <v>100</v>
      </c>
      <c r="V1371" s="2" t="s">
        <v>146</v>
      </c>
      <c r="W1371" s="2" t="s">
        <v>183</v>
      </c>
      <c r="X1371" s="2" t="s">
        <v>100</v>
      </c>
      <c r="Y1371" s="2" t="s">
        <v>240</v>
      </c>
      <c r="Z1371" s="4">
        <v>195</v>
      </c>
      <c r="AA1371" s="4">
        <f>=ROUNDDOWN(48.75,0)</f>
      </c>
      <c r="AB1371" s="5">
        <v>4</v>
      </c>
      <c r="AC1371" s="2" t="s">
        <v>100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>
        <v>1</v>
      </c>
      <c r="AQ1371" s="8">
        <v>109.73</v>
      </c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0.25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124</v>
      </c>
      <c r="BK1371" s="8">
        <v>11952.76</v>
      </c>
      <c r="BL1371" s="2" t="s">
        <v>4677</v>
      </c>
      <c r="BM1371" s="7">
        <v>0.0081</v>
      </c>
      <c r="BN1371" s="7">
        <v>0.0092</v>
      </c>
      <c r="BO1371" s="4">
        <v>1</v>
      </c>
      <c r="BP1371" s="8">
        <v>109.73</v>
      </c>
      <c r="BQ1371" s="4"/>
      <c r="BR1371" s="8"/>
      <c r="BS1371" s="7"/>
      <c r="BT1371" s="7"/>
      <c r="BU1371" s="2" t="s">
        <v>109</v>
      </c>
      <c r="BV1371" s="2" t="s">
        <v>110</v>
      </c>
      <c r="BW1371" s="2" t="s">
        <v>4675</v>
      </c>
      <c r="BX1371" s="2" t="s">
        <v>4449</v>
      </c>
      <c r="BY1371" s="2" t="s">
        <v>113</v>
      </c>
      <c r="BZ1371" s="2" t="s">
        <v>100</v>
      </c>
    </row>
    <row r="1372">
      <c r="A1372" s="2" t="s">
        <v>4678</v>
      </c>
      <c r="B1372" s="2" t="s">
        <v>4434</v>
      </c>
      <c r="C1372" s="2" t="s">
        <v>4637</v>
      </c>
      <c r="D1372" s="2" t="s">
        <v>4435</v>
      </c>
      <c r="E1372" s="2" t="s">
        <v>4638</v>
      </c>
      <c r="F1372" s="2" t="s">
        <v>4670</v>
      </c>
      <c r="G1372" s="2" t="s">
        <v>4671</v>
      </c>
      <c r="H1372" s="2" t="s">
        <v>4670</v>
      </c>
      <c r="I1372" s="2" t="s">
        <v>4672</v>
      </c>
      <c r="J1372" s="2" t="s">
        <v>706</v>
      </c>
      <c r="K1372" s="2" t="s">
        <v>189</v>
      </c>
      <c r="L1372" s="3">
        <v>111.29</v>
      </c>
      <c r="M1372" s="3">
        <v>116.85</v>
      </c>
      <c r="N1372" s="3">
        <v>209.99</v>
      </c>
      <c r="O1372" s="2" t="s">
        <v>97</v>
      </c>
      <c r="P1372" s="2" t="s">
        <v>119</v>
      </c>
      <c r="Q1372" s="2" t="s">
        <v>99</v>
      </c>
      <c r="R1372" s="2" t="s">
        <v>100</v>
      </c>
      <c r="S1372" s="2" t="s">
        <v>4673</v>
      </c>
      <c r="T1372" s="2" t="s">
        <v>4642</v>
      </c>
      <c r="U1372" s="2" t="s">
        <v>100</v>
      </c>
      <c r="V1372" s="2" t="s">
        <v>146</v>
      </c>
      <c r="W1372" s="2" t="s">
        <v>183</v>
      </c>
      <c r="X1372" s="2" t="s">
        <v>100</v>
      </c>
      <c r="Y1372" s="2" t="s">
        <v>240</v>
      </c>
      <c r="Z1372" s="4">
        <v>157</v>
      </c>
      <c r="AA1372" s="4">
        <f>=ROUNDDOWN(19.625,0)</f>
      </c>
      <c r="AB1372" s="5">
        <v>8</v>
      </c>
      <c r="AC1372" s="2" t="s">
        <v>768</v>
      </c>
      <c r="AD1372" s="4">
        <v>100</v>
      </c>
      <c r="AE1372" s="4">
        <v>100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>
        <v>2</v>
      </c>
      <c r="AQ1372" s="8">
        <v>242.56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0.5526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129</v>
      </c>
      <c r="BK1372" s="8">
        <v>14509.39</v>
      </c>
      <c r="BL1372" s="2" t="s">
        <v>4679</v>
      </c>
      <c r="BM1372" s="7">
        <v>0.0155</v>
      </c>
      <c r="BN1372" s="7">
        <v>0.0167</v>
      </c>
      <c r="BO1372" s="4">
        <v>2</v>
      </c>
      <c r="BP1372" s="8">
        <v>242.56</v>
      </c>
      <c r="BQ1372" s="4"/>
      <c r="BR1372" s="8"/>
      <c r="BS1372" s="7"/>
      <c r="BT1372" s="7"/>
      <c r="BU1372" s="2" t="s">
        <v>109</v>
      </c>
      <c r="BV1372" s="2" t="s">
        <v>110</v>
      </c>
      <c r="BW1372" s="2" t="s">
        <v>4675</v>
      </c>
      <c r="BX1372" s="2" t="s">
        <v>4680</v>
      </c>
      <c r="BY1372" s="2" t="s">
        <v>113</v>
      </c>
      <c r="BZ1372" s="2" t="s">
        <v>100</v>
      </c>
    </row>
    <row r="1373">
      <c r="A1373" s="2" t="s">
        <v>4681</v>
      </c>
      <c r="B1373" s="2" t="s">
        <v>4434</v>
      </c>
      <c r="C1373" s="2" t="s">
        <v>4637</v>
      </c>
      <c r="D1373" s="2" t="s">
        <v>4435</v>
      </c>
      <c r="E1373" s="2" t="s">
        <v>4638</v>
      </c>
      <c r="F1373" s="2" t="s">
        <v>4670</v>
      </c>
      <c r="G1373" s="2" t="s">
        <v>4671</v>
      </c>
      <c r="H1373" s="2" t="s">
        <v>4670</v>
      </c>
      <c r="I1373" s="2" t="s">
        <v>4672</v>
      </c>
      <c r="J1373" s="2" t="s">
        <v>714</v>
      </c>
      <c r="K1373" s="2" t="s">
        <v>189</v>
      </c>
      <c r="L1373" s="3">
        <v>137.79</v>
      </c>
      <c r="M1373" s="3">
        <v>144.68</v>
      </c>
      <c r="N1373" s="3">
        <v>259.99</v>
      </c>
      <c r="O1373" s="2" t="s">
        <v>97</v>
      </c>
      <c r="P1373" s="2" t="s">
        <v>119</v>
      </c>
      <c r="Q1373" s="2" t="s">
        <v>99</v>
      </c>
      <c r="R1373" s="2" t="s">
        <v>100</v>
      </c>
      <c r="S1373" s="2" t="s">
        <v>4673</v>
      </c>
      <c r="T1373" s="2" t="s">
        <v>4642</v>
      </c>
      <c r="U1373" s="2" t="s">
        <v>100</v>
      </c>
      <c r="V1373" s="2" t="s">
        <v>146</v>
      </c>
      <c r="W1373" s="2" t="s">
        <v>183</v>
      </c>
      <c r="X1373" s="2" t="s">
        <v>100</v>
      </c>
      <c r="Y1373" s="2" t="s">
        <v>240</v>
      </c>
      <c r="Z1373" s="4">
        <v>158</v>
      </c>
      <c r="AA1373" s="4">
        <f>=ROUNDDOWN(31.6,0)</f>
      </c>
      <c r="AB1373" s="5">
        <v>5</v>
      </c>
      <c r="AC1373" s="2" t="s">
        <v>768</v>
      </c>
      <c r="AD1373" s="4">
        <v>50</v>
      </c>
      <c r="AE1373" s="4">
        <v>50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70</v>
      </c>
      <c r="BK1373" s="8">
        <v>10302.71</v>
      </c>
      <c r="BL1373" s="2" t="s">
        <v>4682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4675</v>
      </c>
      <c r="BX1373" s="2" t="s">
        <v>354</v>
      </c>
      <c r="BY1373" s="2" t="s">
        <v>113</v>
      </c>
      <c r="BZ1373" s="2" t="s">
        <v>100</v>
      </c>
    </row>
    <row r="1374">
      <c r="A1374" s="2" t="s">
        <v>4683</v>
      </c>
      <c r="B1374" s="2" t="s">
        <v>4434</v>
      </c>
      <c r="C1374" s="2" t="s">
        <v>4637</v>
      </c>
      <c r="D1374" s="2" t="s">
        <v>4435</v>
      </c>
      <c r="E1374" s="2" t="s">
        <v>4638</v>
      </c>
      <c r="F1374" s="2" t="s">
        <v>4684</v>
      </c>
      <c r="G1374" s="2" t="s">
        <v>4684</v>
      </c>
      <c r="H1374" s="2" t="s">
        <v>4684</v>
      </c>
      <c r="I1374" s="2" t="s">
        <v>4685</v>
      </c>
      <c r="J1374" s="2" t="s">
        <v>1936</v>
      </c>
      <c r="K1374" s="2" t="s">
        <v>189</v>
      </c>
      <c r="L1374" s="3">
        <v>58.29</v>
      </c>
      <c r="M1374" s="3">
        <v>61.2</v>
      </c>
      <c r="N1374" s="3">
        <v>109.99</v>
      </c>
      <c r="O1374" s="2" t="s">
        <v>97</v>
      </c>
      <c r="P1374" s="2" t="s">
        <v>119</v>
      </c>
      <c r="Q1374" s="2" t="s">
        <v>99</v>
      </c>
      <c r="R1374" s="2" t="s">
        <v>100</v>
      </c>
      <c r="S1374" s="2" t="s">
        <v>4686</v>
      </c>
      <c r="T1374" s="2" t="s">
        <v>4642</v>
      </c>
      <c r="U1374" s="2" t="s">
        <v>100</v>
      </c>
      <c r="V1374" s="2" t="s">
        <v>146</v>
      </c>
      <c r="W1374" s="2" t="s">
        <v>183</v>
      </c>
      <c r="X1374" s="2" t="s">
        <v>100</v>
      </c>
      <c r="Y1374" s="2" t="s">
        <v>240</v>
      </c>
      <c r="Z1374" s="4">
        <v>254</v>
      </c>
      <c r="AA1374" s="4">
        <f>=ROUNDDOWN(63.5,0)</f>
      </c>
      <c r="AB1374" s="5">
        <v>4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33</v>
      </c>
      <c r="BK1374" s="8">
        <v>1866.79</v>
      </c>
      <c r="BL1374" s="2" t="s">
        <v>4687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4443</v>
      </c>
      <c r="BX1374" s="2" t="s">
        <v>4688</v>
      </c>
      <c r="BY1374" s="2" t="s">
        <v>113</v>
      </c>
      <c r="BZ1374" s="2" t="s">
        <v>100</v>
      </c>
    </row>
    <row r="1375">
      <c r="A1375" s="2" t="s">
        <v>4689</v>
      </c>
      <c r="B1375" s="2" t="s">
        <v>4434</v>
      </c>
      <c r="C1375" s="2" t="s">
        <v>4637</v>
      </c>
      <c r="D1375" s="2" t="s">
        <v>4435</v>
      </c>
      <c r="E1375" s="2" t="s">
        <v>4638</v>
      </c>
      <c r="F1375" s="2" t="s">
        <v>4684</v>
      </c>
      <c r="G1375" s="2" t="s">
        <v>4684</v>
      </c>
      <c r="H1375" s="2" t="s">
        <v>4684</v>
      </c>
      <c r="I1375" s="2" t="s">
        <v>4690</v>
      </c>
      <c r="J1375" s="2" t="s">
        <v>2072</v>
      </c>
      <c r="K1375" s="2" t="s">
        <v>189</v>
      </c>
      <c r="L1375" s="3">
        <v>58.29</v>
      </c>
      <c r="M1375" s="3">
        <v>61.2</v>
      </c>
      <c r="N1375" s="3">
        <v>109.99</v>
      </c>
      <c r="O1375" s="2" t="s">
        <v>97</v>
      </c>
      <c r="P1375" s="2" t="s">
        <v>119</v>
      </c>
      <c r="Q1375" s="2" t="s">
        <v>99</v>
      </c>
      <c r="R1375" s="2" t="s">
        <v>100</v>
      </c>
      <c r="S1375" s="2" t="s">
        <v>4686</v>
      </c>
      <c r="T1375" s="2" t="s">
        <v>100</v>
      </c>
      <c r="U1375" s="2" t="s">
        <v>1847</v>
      </c>
      <c r="V1375" s="2" t="s">
        <v>146</v>
      </c>
      <c r="W1375" s="2" t="s">
        <v>183</v>
      </c>
      <c r="X1375" s="2" t="s">
        <v>100</v>
      </c>
      <c r="Y1375" s="2" t="s">
        <v>4691</v>
      </c>
      <c r="Z1375" s="4">
        <v>545</v>
      </c>
      <c r="AA1375" s="4">
        <f>=ROUNDDOWN(136.25,0)</f>
      </c>
      <c r="AB1375" s="5">
        <v>4</v>
      </c>
      <c r="AC1375" s="2" t="s">
        <v>100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>
        <v>30</v>
      </c>
      <c r="BK1375" s="8">
        <v>1913.13</v>
      </c>
      <c r="BL1375" s="2" t="s">
        <v>4692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162</v>
      </c>
      <c r="BX1375" s="2" t="s">
        <v>4693</v>
      </c>
      <c r="BY1375" s="2" t="s">
        <v>113</v>
      </c>
      <c r="BZ1375" s="2" t="s">
        <v>100</v>
      </c>
    </row>
    <row r="1376">
      <c r="A1376" s="2" t="s">
        <v>4694</v>
      </c>
      <c r="B1376" s="2" t="s">
        <v>4434</v>
      </c>
      <c r="C1376" s="2" t="s">
        <v>4637</v>
      </c>
      <c r="D1376" s="2" t="s">
        <v>4435</v>
      </c>
      <c r="E1376" s="2" t="s">
        <v>4638</v>
      </c>
      <c r="F1376" s="2" t="s">
        <v>4684</v>
      </c>
      <c r="G1376" s="2" t="s">
        <v>4684</v>
      </c>
      <c r="H1376" s="2" t="s">
        <v>4684</v>
      </c>
      <c r="I1376" s="2" t="s">
        <v>4685</v>
      </c>
      <c r="J1376" s="2" t="s">
        <v>717</v>
      </c>
      <c r="K1376" s="2" t="s">
        <v>189</v>
      </c>
      <c r="L1376" s="3">
        <v>74.19</v>
      </c>
      <c r="M1376" s="3">
        <v>77.9</v>
      </c>
      <c r="N1376" s="3">
        <v>139.99</v>
      </c>
      <c r="O1376" s="2" t="s">
        <v>97</v>
      </c>
      <c r="P1376" s="2" t="s">
        <v>119</v>
      </c>
      <c r="Q1376" s="2" t="s">
        <v>99</v>
      </c>
      <c r="R1376" s="2" t="s">
        <v>100</v>
      </c>
      <c r="S1376" s="2" t="s">
        <v>4686</v>
      </c>
      <c r="T1376" s="2" t="s">
        <v>4642</v>
      </c>
      <c r="U1376" s="2" t="s">
        <v>100</v>
      </c>
      <c r="V1376" s="2" t="s">
        <v>146</v>
      </c>
      <c r="W1376" s="2" t="s">
        <v>183</v>
      </c>
      <c r="X1376" s="2" t="s">
        <v>100</v>
      </c>
      <c r="Y1376" s="2" t="s">
        <v>240</v>
      </c>
      <c r="Z1376" s="4">
        <v>261</v>
      </c>
      <c r="AA1376" s="4">
        <f>=ROUNDDOWN(65.25,0)</f>
      </c>
      <c r="AB1376" s="5">
        <v>4</v>
      </c>
      <c r="AC1376" s="2" t="s">
        <v>100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>
        <v>20</v>
      </c>
      <c r="BK1376" s="8">
        <v>1535.19</v>
      </c>
      <c r="BL1376" s="2" t="s">
        <v>4695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4443</v>
      </c>
      <c r="BX1376" s="2" t="s">
        <v>4696</v>
      </c>
      <c r="BY1376" s="2" t="s">
        <v>113</v>
      </c>
      <c r="BZ1376" s="2" t="s">
        <v>100</v>
      </c>
    </row>
    <row r="1377">
      <c r="A1377" s="2" t="s">
        <v>4697</v>
      </c>
      <c r="B1377" s="2" t="s">
        <v>4434</v>
      </c>
      <c r="C1377" s="2" t="s">
        <v>4637</v>
      </c>
      <c r="D1377" s="2" t="s">
        <v>4435</v>
      </c>
      <c r="E1377" s="2" t="s">
        <v>4638</v>
      </c>
      <c r="F1377" s="2" t="s">
        <v>4684</v>
      </c>
      <c r="G1377" s="2" t="s">
        <v>4684</v>
      </c>
      <c r="H1377" s="2" t="s">
        <v>4684</v>
      </c>
      <c r="I1377" s="2" t="s">
        <v>4685</v>
      </c>
      <c r="J1377" s="2" t="s">
        <v>706</v>
      </c>
      <c r="K1377" s="2" t="s">
        <v>189</v>
      </c>
      <c r="L1377" s="3">
        <v>84.79</v>
      </c>
      <c r="M1377" s="3">
        <v>89.03</v>
      </c>
      <c r="N1377" s="3">
        <v>159.99</v>
      </c>
      <c r="O1377" s="2" t="s">
        <v>97</v>
      </c>
      <c r="P1377" s="2" t="s">
        <v>119</v>
      </c>
      <c r="Q1377" s="2" t="s">
        <v>99</v>
      </c>
      <c r="R1377" s="2" t="s">
        <v>100</v>
      </c>
      <c r="S1377" s="2" t="s">
        <v>4686</v>
      </c>
      <c r="T1377" s="2" t="s">
        <v>4642</v>
      </c>
      <c r="U1377" s="2" t="s">
        <v>100</v>
      </c>
      <c r="V1377" s="2" t="s">
        <v>146</v>
      </c>
      <c r="W1377" s="2" t="s">
        <v>183</v>
      </c>
      <c r="X1377" s="2" t="s">
        <v>100</v>
      </c>
      <c r="Y1377" s="2" t="s">
        <v>240</v>
      </c>
      <c r="Z1377" s="4">
        <v>220</v>
      </c>
      <c r="AA1377" s="4">
        <f>=ROUNDDOWN(36.6666666666667,0)</f>
      </c>
      <c r="AB1377" s="5">
        <v>6</v>
      </c>
      <c r="AC1377" s="2" t="s">
        <v>100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97</v>
      </c>
      <c r="BK1377" s="8">
        <v>8302.72</v>
      </c>
      <c r="BL1377" s="2" t="s">
        <v>4698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4443</v>
      </c>
      <c r="BX1377" s="2" t="s">
        <v>4699</v>
      </c>
      <c r="BY1377" s="2" t="s">
        <v>113</v>
      </c>
      <c r="BZ1377" s="2" t="s">
        <v>100</v>
      </c>
    </row>
    <row r="1378">
      <c r="A1378" s="2" t="s">
        <v>4700</v>
      </c>
      <c r="B1378" s="2" t="s">
        <v>4434</v>
      </c>
      <c r="C1378" s="2" t="s">
        <v>4637</v>
      </c>
      <c r="D1378" s="2" t="s">
        <v>4435</v>
      </c>
      <c r="E1378" s="2" t="s">
        <v>4638</v>
      </c>
      <c r="F1378" s="2" t="s">
        <v>4684</v>
      </c>
      <c r="G1378" s="2" t="s">
        <v>4684</v>
      </c>
      <c r="H1378" s="2" t="s">
        <v>4684</v>
      </c>
      <c r="I1378" s="2" t="s">
        <v>4685</v>
      </c>
      <c r="J1378" s="2" t="s">
        <v>714</v>
      </c>
      <c r="K1378" s="2" t="s">
        <v>189</v>
      </c>
      <c r="L1378" s="3">
        <v>100.69</v>
      </c>
      <c r="M1378" s="3">
        <v>105.72</v>
      </c>
      <c r="N1378" s="3">
        <v>189.99</v>
      </c>
      <c r="O1378" s="2" t="s">
        <v>97</v>
      </c>
      <c r="P1378" s="2" t="s">
        <v>119</v>
      </c>
      <c r="Q1378" s="2" t="s">
        <v>99</v>
      </c>
      <c r="R1378" s="2" t="s">
        <v>100</v>
      </c>
      <c r="S1378" s="2" t="s">
        <v>4686</v>
      </c>
      <c r="T1378" s="2" t="s">
        <v>4642</v>
      </c>
      <c r="U1378" s="2" t="s">
        <v>100</v>
      </c>
      <c r="V1378" s="2" t="s">
        <v>146</v>
      </c>
      <c r="W1378" s="2" t="s">
        <v>183</v>
      </c>
      <c r="X1378" s="2" t="s">
        <v>100</v>
      </c>
      <c r="Y1378" s="2" t="s">
        <v>240</v>
      </c>
      <c r="Z1378" s="4">
        <v>238</v>
      </c>
      <c r="AA1378" s="4">
        <f>=ROUNDDOWN(47.6,0)</f>
      </c>
      <c r="AB1378" s="5">
        <v>5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42</v>
      </c>
      <c r="BK1378" s="8">
        <v>4526.06</v>
      </c>
      <c r="BL1378" s="2" t="s">
        <v>4701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4443</v>
      </c>
      <c r="BX1378" s="2" t="s">
        <v>4702</v>
      </c>
      <c r="BY1378" s="2" t="s">
        <v>113</v>
      </c>
      <c r="BZ1378" s="2" t="s">
        <v>100</v>
      </c>
    </row>
    <row r="1379">
      <c r="A1379" s="2" t="s">
        <v>4703</v>
      </c>
      <c r="B1379" s="2" t="s">
        <v>4434</v>
      </c>
      <c r="C1379" s="2" t="s">
        <v>4637</v>
      </c>
      <c r="D1379" s="2" t="s">
        <v>4435</v>
      </c>
      <c r="E1379" s="2" t="s">
        <v>4638</v>
      </c>
      <c r="F1379" s="2" t="s">
        <v>4704</v>
      </c>
      <c r="G1379" s="2" t="s">
        <v>4704</v>
      </c>
      <c r="H1379" s="2" t="s">
        <v>4704</v>
      </c>
      <c r="I1379" s="2" t="s">
        <v>4685</v>
      </c>
      <c r="J1379" s="2" t="s">
        <v>1936</v>
      </c>
      <c r="K1379" s="2" t="s">
        <v>189</v>
      </c>
      <c r="L1379" s="3">
        <v>68.26</v>
      </c>
      <c r="M1379" s="3">
        <v>71.67</v>
      </c>
      <c r="N1379" s="3">
        <v>129.99</v>
      </c>
      <c r="O1379" s="2" t="s">
        <v>97</v>
      </c>
      <c r="P1379" s="2" t="s">
        <v>119</v>
      </c>
      <c r="Q1379" s="2" t="s">
        <v>99</v>
      </c>
      <c r="R1379" s="2" t="s">
        <v>100</v>
      </c>
      <c r="S1379" s="2" t="s">
        <v>4705</v>
      </c>
      <c r="T1379" s="2" t="s">
        <v>4642</v>
      </c>
      <c r="U1379" s="2" t="s">
        <v>100</v>
      </c>
      <c r="V1379" s="2" t="s">
        <v>146</v>
      </c>
      <c r="W1379" s="2" t="s">
        <v>183</v>
      </c>
      <c r="X1379" s="2" t="s">
        <v>100</v>
      </c>
      <c r="Y1379" s="2" t="s">
        <v>240</v>
      </c>
      <c r="Z1379" s="4">
        <v>214</v>
      </c>
      <c r="AA1379" s="4">
        <f>=ROUNDDOWN(42.8,0)</f>
      </c>
      <c r="AB1379" s="5">
        <v>5</v>
      </c>
      <c r="AC1379" s="2" t="s">
        <v>100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117</v>
      </c>
      <c r="BK1379" s="8">
        <v>8207.64</v>
      </c>
      <c r="BL1379" s="2" t="s">
        <v>4706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4443</v>
      </c>
      <c r="BX1379" s="2" t="s">
        <v>4707</v>
      </c>
      <c r="BY1379" s="2" t="s">
        <v>113</v>
      </c>
      <c r="BZ1379" s="2" t="s">
        <v>100</v>
      </c>
    </row>
    <row r="1380">
      <c r="A1380" s="2" t="s">
        <v>4708</v>
      </c>
      <c r="B1380" s="2" t="s">
        <v>4434</v>
      </c>
      <c r="C1380" s="2" t="s">
        <v>4637</v>
      </c>
      <c r="D1380" s="2" t="s">
        <v>4435</v>
      </c>
      <c r="E1380" s="2" t="s">
        <v>4638</v>
      </c>
      <c r="F1380" s="2" t="s">
        <v>4704</v>
      </c>
      <c r="G1380" s="2" t="s">
        <v>4704</v>
      </c>
      <c r="H1380" s="2" t="s">
        <v>4704</v>
      </c>
      <c r="I1380" s="2" t="s">
        <v>4685</v>
      </c>
      <c r="J1380" s="2" t="s">
        <v>2072</v>
      </c>
      <c r="K1380" s="2" t="s">
        <v>189</v>
      </c>
      <c r="L1380" s="3">
        <v>68.26</v>
      </c>
      <c r="M1380" s="3">
        <v>71.67</v>
      </c>
      <c r="N1380" s="3">
        <v>129.99</v>
      </c>
      <c r="O1380" s="2" t="s">
        <v>97</v>
      </c>
      <c r="P1380" s="2" t="s">
        <v>119</v>
      </c>
      <c r="Q1380" s="2" t="s">
        <v>99</v>
      </c>
      <c r="R1380" s="2" t="s">
        <v>100</v>
      </c>
      <c r="S1380" s="2" t="s">
        <v>4705</v>
      </c>
      <c r="T1380" s="2" t="s">
        <v>4642</v>
      </c>
      <c r="U1380" s="2" t="s">
        <v>100</v>
      </c>
      <c r="V1380" s="2" t="s">
        <v>146</v>
      </c>
      <c r="W1380" s="2" t="s">
        <v>183</v>
      </c>
      <c r="X1380" s="2" t="s">
        <v>100</v>
      </c>
      <c r="Y1380" s="2" t="s">
        <v>240</v>
      </c>
      <c r="Z1380" s="4">
        <v>98</v>
      </c>
      <c r="AA1380" s="4">
        <f>=ROUNDDOWN(8.90909090909091,0)</f>
      </c>
      <c r="AB1380" s="5">
        <v>11</v>
      </c>
      <c r="AC1380" s="2" t="s">
        <v>768</v>
      </c>
      <c r="AD1380" s="4">
        <v>150</v>
      </c>
      <c r="AE1380" s="4">
        <v>150</v>
      </c>
      <c r="AF1380" s="6">
        <v>65</v>
      </c>
      <c r="AG1380" s="6"/>
      <c r="AH1380" s="7">
        <v>0.9572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919</v>
      </c>
      <c r="BK1380" s="8">
        <v>63889.58</v>
      </c>
      <c r="BL1380" s="2" t="s">
        <v>4709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4710</v>
      </c>
      <c r="BX1380" s="2" t="s">
        <v>4711</v>
      </c>
      <c r="BY1380" s="2" t="s">
        <v>113</v>
      </c>
      <c r="BZ1380" s="2" t="s">
        <v>100</v>
      </c>
    </row>
    <row r="1381">
      <c r="A1381" s="2" t="s">
        <v>4712</v>
      </c>
      <c r="B1381" s="2" t="s">
        <v>4434</v>
      </c>
      <c r="C1381" s="2" t="s">
        <v>4637</v>
      </c>
      <c r="D1381" s="2" t="s">
        <v>4435</v>
      </c>
      <c r="E1381" s="2" t="s">
        <v>4638</v>
      </c>
      <c r="F1381" s="2" t="s">
        <v>4704</v>
      </c>
      <c r="G1381" s="2" t="s">
        <v>4704</v>
      </c>
      <c r="H1381" s="2" t="s">
        <v>4704</v>
      </c>
      <c r="I1381" s="2" t="s">
        <v>4685</v>
      </c>
      <c r="J1381" s="2" t="s">
        <v>717</v>
      </c>
      <c r="K1381" s="2" t="s">
        <v>189</v>
      </c>
      <c r="L1381" s="3">
        <v>87.76</v>
      </c>
      <c r="M1381" s="3">
        <v>92.15</v>
      </c>
      <c r="N1381" s="3">
        <v>169.99</v>
      </c>
      <c r="O1381" s="2" t="s">
        <v>97</v>
      </c>
      <c r="P1381" s="2" t="s">
        <v>119</v>
      </c>
      <c r="Q1381" s="2" t="s">
        <v>99</v>
      </c>
      <c r="R1381" s="2" t="s">
        <v>100</v>
      </c>
      <c r="S1381" s="2" t="s">
        <v>4705</v>
      </c>
      <c r="T1381" s="2" t="s">
        <v>4642</v>
      </c>
      <c r="U1381" s="2" t="s">
        <v>100</v>
      </c>
      <c r="V1381" s="2" t="s">
        <v>146</v>
      </c>
      <c r="W1381" s="2" t="s">
        <v>183</v>
      </c>
      <c r="X1381" s="2" t="s">
        <v>100</v>
      </c>
      <c r="Y1381" s="2" t="s">
        <v>240</v>
      </c>
      <c r="Z1381" s="4">
        <v>121</v>
      </c>
      <c r="AA1381" s="4">
        <f>=ROUNDDOWN(40.3333333333333,0)</f>
      </c>
      <c r="AB1381" s="5">
        <v>3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65</v>
      </c>
      <c r="BK1381" s="8">
        <v>6175.3</v>
      </c>
      <c r="BL1381" s="2" t="s">
        <v>4706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4443</v>
      </c>
      <c r="BX1381" s="2" t="s">
        <v>1993</v>
      </c>
      <c r="BY1381" s="2" t="s">
        <v>113</v>
      </c>
      <c r="BZ1381" s="2" t="s">
        <v>100</v>
      </c>
    </row>
    <row r="1382">
      <c r="A1382" s="2" t="s">
        <v>4713</v>
      </c>
      <c r="B1382" s="2" t="s">
        <v>4434</v>
      </c>
      <c r="C1382" s="2" t="s">
        <v>4637</v>
      </c>
      <c r="D1382" s="2" t="s">
        <v>4435</v>
      </c>
      <c r="E1382" s="2" t="s">
        <v>4638</v>
      </c>
      <c r="F1382" s="2" t="s">
        <v>4704</v>
      </c>
      <c r="G1382" s="2" t="s">
        <v>4704</v>
      </c>
      <c r="H1382" s="2" t="s">
        <v>4704</v>
      </c>
      <c r="I1382" s="2" t="s">
        <v>4685</v>
      </c>
      <c r="J1382" s="2" t="s">
        <v>706</v>
      </c>
      <c r="K1382" s="2" t="s">
        <v>189</v>
      </c>
      <c r="L1382" s="3">
        <v>97.52</v>
      </c>
      <c r="M1382" s="3">
        <v>102.4</v>
      </c>
      <c r="N1382" s="3">
        <v>189.99</v>
      </c>
      <c r="O1382" s="2" t="s">
        <v>97</v>
      </c>
      <c r="P1382" s="2" t="s">
        <v>119</v>
      </c>
      <c r="Q1382" s="2" t="s">
        <v>99</v>
      </c>
      <c r="R1382" s="2" t="s">
        <v>100</v>
      </c>
      <c r="S1382" s="2" t="s">
        <v>4705</v>
      </c>
      <c r="T1382" s="2" t="s">
        <v>4642</v>
      </c>
      <c r="U1382" s="2" t="s">
        <v>100</v>
      </c>
      <c r="V1382" s="2" t="s">
        <v>146</v>
      </c>
      <c r="W1382" s="2" t="s">
        <v>183</v>
      </c>
      <c r="X1382" s="2" t="s">
        <v>100</v>
      </c>
      <c r="Y1382" s="2" t="s">
        <v>240</v>
      </c>
      <c r="Z1382" s="4">
        <v>224</v>
      </c>
      <c r="AA1382" s="4">
        <f>=ROUNDDOWN(24.8888888888889,0)</f>
      </c>
      <c r="AB1382" s="5">
        <v>9</v>
      </c>
      <c r="AC1382" s="2" t="s">
        <v>768</v>
      </c>
      <c r="AD1382" s="4">
        <v>50</v>
      </c>
      <c r="AE1382" s="4">
        <v>50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176</v>
      </c>
      <c r="BK1382" s="8">
        <v>18015.23</v>
      </c>
      <c r="BL1382" s="2" t="s">
        <v>4714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4443</v>
      </c>
      <c r="BX1382" s="2" t="s">
        <v>4715</v>
      </c>
      <c r="BY1382" s="2" t="s">
        <v>113</v>
      </c>
      <c r="BZ1382" s="2" t="s">
        <v>100</v>
      </c>
    </row>
    <row r="1383">
      <c r="A1383" s="2" t="s">
        <v>4716</v>
      </c>
      <c r="B1383" s="2" t="s">
        <v>4434</v>
      </c>
      <c r="C1383" s="2" t="s">
        <v>4637</v>
      </c>
      <c r="D1383" s="2" t="s">
        <v>4435</v>
      </c>
      <c r="E1383" s="2" t="s">
        <v>4638</v>
      </c>
      <c r="F1383" s="2" t="s">
        <v>4704</v>
      </c>
      <c r="G1383" s="2" t="s">
        <v>4704</v>
      </c>
      <c r="H1383" s="2" t="s">
        <v>4704</v>
      </c>
      <c r="I1383" s="2" t="s">
        <v>4685</v>
      </c>
      <c r="J1383" s="2" t="s">
        <v>714</v>
      </c>
      <c r="K1383" s="2" t="s">
        <v>189</v>
      </c>
      <c r="L1383" s="3">
        <v>121.9</v>
      </c>
      <c r="M1383" s="3">
        <v>128</v>
      </c>
      <c r="N1383" s="3">
        <v>239.99</v>
      </c>
      <c r="O1383" s="2" t="s">
        <v>97</v>
      </c>
      <c r="P1383" s="2" t="s">
        <v>119</v>
      </c>
      <c r="Q1383" s="2" t="s">
        <v>99</v>
      </c>
      <c r="R1383" s="2" t="s">
        <v>100</v>
      </c>
      <c r="S1383" s="2" t="s">
        <v>4705</v>
      </c>
      <c r="T1383" s="2" t="s">
        <v>4642</v>
      </c>
      <c r="U1383" s="2" t="s">
        <v>100</v>
      </c>
      <c r="V1383" s="2" t="s">
        <v>146</v>
      </c>
      <c r="W1383" s="2" t="s">
        <v>183</v>
      </c>
      <c r="X1383" s="2" t="s">
        <v>100</v>
      </c>
      <c r="Y1383" s="2" t="s">
        <v>240</v>
      </c>
      <c r="Z1383" s="4">
        <v>106</v>
      </c>
      <c r="AA1383" s="4">
        <f>=ROUNDDOWN(26.5,0)</f>
      </c>
      <c r="AB1383" s="5">
        <v>4</v>
      </c>
      <c r="AC1383" s="2" t="s">
        <v>768</v>
      </c>
      <c r="AD1383" s="4">
        <v>50</v>
      </c>
      <c r="AE1383" s="4">
        <v>50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/>
      <c r="BJ1383" s="4">
        <v>66</v>
      </c>
      <c r="BK1383" s="8">
        <v>8855.65</v>
      </c>
      <c r="BL1383" s="2" t="s">
        <v>4717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4443</v>
      </c>
      <c r="BX1383" s="2" t="s">
        <v>4718</v>
      </c>
      <c r="BY1383" s="2" t="s">
        <v>113</v>
      </c>
      <c r="BZ1383" s="2" t="s">
        <v>100</v>
      </c>
    </row>
    <row r="1384">
      <c r="A1384" s="2" t="s">
        <v>4719</v>
      </c>
      <c r="B1384" s="2" t="s">
        <v>4434</v>
      </c>
      <c r="C1384" s="2" t="s">
        <v>4637</v>
      </c>
      <c r="D1384" s="2" t="s">
        <v>4435</v>
      </c>
      <c r="E1384" s="2" t="s">
        <v>4638</v>
      </c>
      <c r="F1384" s="2" t="s">
        <v>4720</v>
      </c>
      <c r="G1384" s="2" t="s">
        <v>4720</v>
      </c>
      <c r="H1384" s="2" t="s">
        <v>4720</v>
      </c>
      <c r="I1384" s="2" t="s">
        <v>4721</v>
      </c>
      <c r="J1384" s="2" t="s">
        <v>1936</v>
      </c>
      <c r="K1384" s="2" t="s">
        <v>189</v>
      </c>
      <c r="L1384" s="3">
        <v>73.14</v>
      </c>
      <c r="M1384" s="3">
        <v>76.8</v>
      </c>
      <c r="N1384" s="3">
        <v>139.99</v>
      </c>
      <c r="O1384" s="2" t="s">
        <v>97</v>
      </c>
      <c r="P1384" s="2" t="s">
        <v>119</v>
      </c>
      <c r="Q1384" s="2" t="s">
        <v>99</v>
      </c>
      <c r="R1384" s="2" t="s">
        <v>100</v>
      </c>
      <c r="S1384" s="2" t="s">
        <v>4722</v>
      </c>
      <c r="T1384" s="2" t="s">
        <v>4642</v>
      </c>
      <c r="U1384" s="2" t="s">
        <v>100</v>
      </c>
      <c r="V1384" s="2" t="s">
        <v>146</v>
      </c>
      <c r="W1384" s="2" t="s">
        <v>183</v>
      </c>
      <c r="X1384" s="2" t="s">
        <v>100</v>
      </c>
      <c r="Y1384" s="2" t="s">
        <v>240</v>
      </c>
      <c r="Z1384" s="4">
        <v>233</v>
      </c>
      <c r="AA1384" s="4">
        <f>=ROUNDDOWN(46.6,0)</f>
      </c>
      <c r="AB1384" s="5">
        <v>5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/>
      <c r="BJ1384" s="4">
        <v>129</v>
      </c>
      <c r="BK1384" s="8">
        <v>9903.33</v>
      </c>
      <c r="BL1384" s="2" t="s">
        <v>1570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4571</v>
      </c>
      <c r="BX1384" s="2" t="s">
        <v>1529</v>
      </c>
      <c r="BY1384" s="2" t="s">
        <v>113</v>
      </c>
      <c r="BZ1384" s="2" t="s">
        <v>100</v>
      </c>
    </row>
    <row r="1385">
      <c r="A1385" s="2" t="s">
        <v>4723</v>
      </c>
      <c r="B1385" s="2" t="s">
        <v>4434</v>
      </c>
      <c r="C1385" s="2" t="s">
        <v>4637</v>
      </c>
      <c r="D1385" s="2" t="s">
        <v>4435</v>
      </c>
      <c r="E1385" s="2" t="s">
        <v>4638</v>
      </c>
      <c r="F1385" s="2" t="s">
        <v>4720</v>
      </c>
      <c r="G1385" s="2" t="s">
        <v>4720</v>
      </c>
      <c r="H1385" s="2" t="s">
        <v>4720</v>
      </c>
      <c r="I1385" s="2" t="s">
        <v>4721</v>
      </c>
      <c r="J1385" s="2" t="s">
        <v>717</v>
      </c>
      <c r="K1385" s="2" t="s">
        <v>189</v>
      </c>
      <c r="L1385" s="3">
        <v>92.64</v>
      </c>
      <c r="M1385" s="3">
        <v>97.27</v>
      </c>
      <c r="N1385" s="3">
        <v>179.99</v>
      </c>
      <c r="O1385" s="2" t="s">
        <v>97</v>
      </c>
      <c r="P1385" s="2" t="s">
        <v>119</v>
      </c>
      <c r="Q1385" s="2" t="s">
        <v>99</v>
      </c>
      <c r="R1385" s="2" t="s">
        <v>100</v>
      </c>
      <c r="S1385" s="2" t="s">
        <v>4722</v>
      </c>
      <c r="T1385" s="2" t="s">
        <v>4642</v>
      </c>
      <c r="U1385" s="2" t="s">
        <v>100</v>
      </c>
      <c r="V1385" s="2" t="s">
        <v>146</v>
      </c>
      <c r="W1385" s="2" t="s">
        <v>183</v>
      </c>
      <c r="X1385" s="2" t="s">
        <v>100</v>
      </c>
      <c r="Y1385" s="2" t="s">
        <v>240</v>
      </c>
      <c r="Z1385" s="4">
        <v>192</v>
      </c>
      <c r="AA1385" s="4">
        <f>=ROUNDDOWN(32,0)</f>
      </c>
      <c r="AB1385" s="5">
        <v>6</v>
      </c>
      <c r="AC1385" s="2" t="s">
        <v>100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108</v>
      </c>
      <c r="BK1385" s="8">
        <v>10834.58</v>
      </c>
      <c r="BL1385" s="2" t="s">
        <v>4724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4571</v>
      </c>
      <c r="BX1385" s="2" t="s">
        <v>4725</v>
      </c>
      <c r="BY1385" s="2" t="s">
        <v>113</v>
      </c>
      <c r="BZ1385" s="2" t="s">
        <v>100</v>
      </c>
    </row>
    <row r="1386">
      <c r="A1386" s="2" t="s">
        <v>4726</v>
      </c>
      <c r="B1386" s="2" t="s">
        <v>4434</v>
      </c>
      <c r="C1386" s="2" t="s">
        <v>4637</v>
      </c>
      <c r="D1386" s="2" t="s">
        <v>4435</v>
      </c>
      <c r="E1386" s="2" t="s">
        <v>4638</v>
      </c>
      <c r="F1386" s="2" t="s">
        <v>4720</v>
      </c>
      <c r="G1386" s="2" t="s">
        <v>4720</v>
      </c>
      <c r="H1386" s="2" t="s">
        <v>4720</v>
      </c>
      <c r="I1386" s="2" t="s">
        <v>4721</v>
      </c>
      <c r="J1386" s="2" t="s">
        <v>706</v>
      </c>
      <c r="K1386" s="2" t="s">
        <v>189</v>
      </c>
      <c r="L1386" s="3">
        <v>102.39</v>
      </c>
      <c r="M1386" s="3">
        <v>107.51</v>
      </c>
      <c r="N1386" s="3">
        <v>199.99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4722</v>
      </c>
      <c r="T1386" s="2" t="s">
        <v>4642</v>
      </c>
      <c r="U1386" s="2" t="s">
        <v>100</v>
      </c>
      <c r="V1386" s="2" t="s">
        <v>146</v>
      </c>
      <c r="W1386" s="2" t="s">
        <v>183</v>
      </c>
      <c r="X1386" s="2" t="s">
        <v>100</v>
      </c>
      <c r="Y1386" s="2" t="s">
        <v>4727</v>
      </c>
      <c r="Z1386" s="4">
        <v>385</v>
      </c>
      <c r="AA1386" s="4">
        <f>=ROUNDDOWN(25.6666666666667,0)</f>
      </c>
      <c r="AB1386" s="5">
        <v>15</v>
      </c>
      <c r="AC1386" s="2" t="s">
        <v>768</v>
      </c>
      <c r="AD1386" s="4">
        <v>50</v>
      </c>
      <c r="AE1386" s="4">
        <v>50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/>
      <c r="BJ1386" s="4">
        <v>294</v>
      </c>
      <c r="BK1386" s="8">
        <v>32114.54</v>
      </c>
      <c r="BL1386" s="2" t="s">
        <v>4728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4571</v>
      </c>
      <c r="BX1386" s="2" t="s">
        <v>1993</v>
      </c>
      <c r="BY1386" s="2" t="s">
        <v>113</v>
      </c>
      <c r="BZ1386" s="2" t="s">
        <v>100</v>
      </c>
    </row>
    <row r="1387">
      <c r="A1387" s="2" t="s">
        <v>4729</v>
      </c>
      <c r="B1387" s="2" t="s">
        <v>4434</v>
      </c>
      <c r="C1387" s="2" t="s">
        <v>4637</v>
      </c>
      <c r="D1387" s="2" t="s">
        <v>4435</v>
      </c>
      <c r="E1387" s="2" t="s">
        <v>4638</v>
      </c>
      <c r="F1387" s="2" t="s">
        <v>4720</v>
      </c>
      <c r="G1387" s="2" t="s">
        <v>4720</v>
      </c>
      <c r="H1387" s="2" t="s">
        <v>4720</v>
      </c>
      <c r="I1387" s="2" t="s">
        <v>4721</v>
      </c>
      <c r="J1387" s="2" t="s">
        <v>714</v>
      </c>
      <c r="K1387" s="2" t="s">
        <v>189</v>
      </c>
      <c r="L1387" s="3">
        <v>126.77</v>
      </c>
      <c r="M1387" s="3">
        <v>133.11</v>
      </c>
      <c r="N1387" s="3">
        <v>249.99</v>
      </c>
      <c r="O1387" s="2" t="s">
        <v>97</v>
      </c>
      <c r="P1387" s="2" t="s">
        <v>119</v>
      </c>
      <c r="Q1387" s="2" t="s">
        <v>99</v>
      </c>
      <c r="R1387" s="2" t="s">
        <v>100</v>
      </c>
      <c r="S1387" s="2" t="s">
        <v>4722</v>
      </c>
      <c r="T1387" s="2" t="s">
        <v>4642</v>
      </c>
      <c r="U1387" s="2" t="s">
        <v>100</v>
      </c>
      <c r="V1387" s="2" t="s">
        <v>146</v>
      </c>
      <c r="W1387" s="2" t="s">
        <v>183</v>
      </c>
      <c r="X1387" s="2" t="s">
        <v>100</v>
      </c>
      <c r="Y1387" s="2" t="s">
        <v>240</v>
      </c>
      <c r="Z1387" s="4">
        <v>281</v>
      </c>
      <c r="AA1387" s="4">
        <f>=ROUNDDOWN(40.1428571428571,0)</f>
      </c>
      <c r="AB1387" s="5">
        <v>7</v>
      </c>
      <c r="AC1387" s="2" t="s">
        <v>100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/>
      <c r="BJ1387" s="4">
        <v>169</v>
      </c>
      <c r="BK1387" s="8">
        <v>22905.13</v>
      </c>
      <c r="BL1387" s="2" t="s">
        <v>4730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4571</v>
      </c>
      <c r="BX1387" s="2" t="s">
        <v>868</v>
      </c>
      <c r="BY1387" s="2" t="s">
        <v>113</v>
      </c>
      <c r="BZ1387" s="2" t="s">
        <v>100</v>
      </c>
    </row>
    <row r="1388">
      <c r="A1388" s="2" t="s">
        <v>4731</v>
      </c>
      <c r="B1388" s="2" t="s">
        <v>4434</v>
      </c>
      <c r="C1388" s="2" t="s">
        <v>4637</v>
      </c>
      <c r="D1388" s="2" t="s">
        <v>4435</v>
      </c>
      <c r="E1388" s="2" t="s">
        <v>4638</v>
      </c>
      <c r="F1388" s="2" t="s">
        <v>4720</v>
      </c>
      <c r="G1388" s="2" t="s">
        <v>4720</v>
      </c>
      <c r="H1388" s="2" t="s">
        <v>4720</v>
      </c>
      <c r="I1388" s="2" t="s">
        <v>4721</v>
      </c>
      <c r="J1388" s="2" t="s">
        <v>817</v>
      </c>
      <c r="K1388" s="2" t="s">
        <v>189</v>
      </c>
      <c r="L1388" s="3">
        <v>126.77</v>
      </c>
      <c r="M1388" s="3">
        <v>133.11</v>
      </c>
      <c r="N1388" s="3">
        <v>249.99</v>
      </c>
      <c r="O1388" s="2" t="s">
        <v>97</v>
      </c>
      <c r="P1388" s="2" t="s">
        <v>119</v>
      </c>
      <c r="Q1388" s="2" t="s">
        <v>99</v>
      </c>
      <c r="R1388" s="2" t="s">
        <v>100</v>
      </c>
      <c r="S1388" s="2" t="s">
        <v>4722</v>
      </c>
      <c r="T1388" s="2" t="s">
        <v>4642</v>
      </c>
      <c r="U1388" s="2" t="s">
        <v>100</v>
      </c>
      <c r="V1388" s="2" t="s">
        <v>146</v>
      </c>
      <c r="W1388" s="2" t="s">
        <v>183</v>
      </c>
      <c r="X1388" s="2" t="s">
        <v>100</v>
      </c>
      <c r="Y1388" s="2" t="s">
        <v>240</v>
      </c>
      <c r="Z1388" s="4">
        <v>135</v>
      </c>
      <c r="AA1388" s="4">
        <f>=ROUNDDOWN(45,0)</f>
      </c>
      <c r="AB1388" s="5">
        <v>3</v>
      </c>
      <c r="AC1388" s="2" t="s">
        <v>100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57</v>
      </c>
      <c r="BK1388" s="8">
        <v>7980.07</v>
      </c>
      <c r="BL1388" s="2" t="s">
        <v>4732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4571</v>
      </c>
      <c r="BX1388" s="2" t="s">
        <v>4733</v>
      </c>
      <c r="BY1388" s="2" t="s">
        <v>113</v>
      </c>
      <c r="BZ1388" s="2" t="s">
        <v>100</v>
      </c>
    </row>
    <row r="1389">
      <c r="A1389" s="2" t="s">
        <v>4734</v>
      </c>
      <c r="B1389" s="2" t="s">
        <v>4434</v>
      </c>
      <c r="C1389" s="2" t="s">
        <v>4637</v>
      </c>
      <c r="D1389" s="2" t="s">
        <v>4435</v>
      </c>
      <c r="E1389" s="2" t="s">
        <v>4436</v>
      </c>
      <c r="F1389" s="2" t="s">
        <v>4735</v>
      </c>
      <c r="G1389" s="2" t="s">
        <v>346</v>
      </c>
      <c r="H1389" s="2" t="s">
        <v>346</v>
      </c>
      <c r="I1389" s="2" t="s">
        <v>4736</v>
      </c>
      <c r="J1389" s="2" t="s">
        <v>1936</v>
      </c>
      <c r="K1389" s="2" t="s">
        <v>189</v>
      </c>
      <c r="L1389" s="3">
        <v>12.59</v>
      </c>
      <c r="M1389" s="3">
        <v>13.22</v>
      </c>
      <c r="N1389" s="3">
        <v>27.99</v>
      </c>
      <c r="O1389" s="2" t="s">
        <v>97</v>
      </c>
      <c r="P1389" s="2" t="s">
        <v>119</v>
      </c>
      <c r="Q1389" s="2" t="s">
        <v>99</v>
      </c>
      <c r="R1389" s="2" t="s">
        <v>100</v>
      </c>
      <c r="S1389" s="2" t="s">
        <v>4737</v>
      </c>
      <c r="T1389" s="2" t="s">
        <v>218</v>
      </c>
      <c r="U1389" s="2" t="s">
        <v>100</v>
      </c>
      <c r="V1389" s="2" t="s">
        <v>146</v>
      </c>
      <c r="W1389" s="2" t="s">
        <v>183</v>
      </c>
      <c r="X1389" s="2" t="s">
        <v>100</v>
      </c>
      <c r="Y1389" s="2" t="s">
        <v>240</v>
      </c>
      <c r="Z1389" s="4">
        <v>1820</v>
      </c>
      <c r="AA1389" s="4">
        <f>=ROUNDDOWN(36.4,0)</f>
      </c>
      <c r="AB1389" s="5">
        <v>50</v>
      </c>
      <c r="AC1389" s="2" t="s">
        <v>100</v>
      </c>
      <c r="AD1389" s="4"/>
      <c r="AE1389" s="4"/>
      <c r="AF1389" s="6">
        <v>65</v>
      </c>
      <c r="AG1389" s="6">
        <v>48</v>
      </c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>
        <v>28</v>
      </c>
      <c r="AQ1389" s="8">
        <v>418.6</v>
      </c>
      <c r="AR1389" s="4"/>
      <c r="AS1389" s="8"/>
      <c r="AT1389" s="7"/>
      <c r="AU1389" s="7"/>
      <c r="AV1389" s="4">
        <v>64</v>
      </c>
      <c r="AW1389" s="8">
        <v>1094.2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0.3826</v>
      </c>
      <c r="BC1389" s="4">
        <v>64</v>
      </c>
      <c r="BD1389" s="8">
        <v>1094.2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1</v>
      </c>
      <c r="BJ1389" s="4">
        <v>1263</v>
      </c>
      <c r="BK1389" s="8">
        <v>17237.15</v>
      </c>
      <c r="BL1389" s="2" t="s">
        <v>4738</v>
      </c>
      <c r="BM1389" s="7">
        <v>0.0222</v>
      </c>
      <c r="BN1389" s="7">
        <v>0.0243</v>
      </c>
      <c r="BO1389" s="4">
        <v>28</v>
      </c>
      <c r="BP1389" s="8">
        <v>418.6</v>
      </c>
      <c r="BQ1389" s="4"/>
      <c r="BR1389" s="8"/>
      <c r="BS1389" s="7"/>
      <c r="BT1389" s="7"/>
      <c r="BU1389" s="2" t="s">
        <v>109</v>
      </c>
      <c r="BV1389" s="2" t="s">
        <v>110</v>
      </c>
      <c r="BW1389" s="2" t="s">
        <v>243</v>
      </c>
      <c r="BX1389" s="2" t="s">
        <v>312</v>
      </c>
      <c r="BY1389" s="2" t="s">
        <v>113</v>
      </c>
      <c r="BZ1389" s="2" t="s">
        <v>100</v>
      </c>
    </row>
    <row r="1390">
      <c r="A1390" s="2" t="s">
        <v>4739</v>
      </c>
      <c r="B1390" s="2" t="s">
        <v>4434</v>
      </c>
      <c r="C1390" s="2" t="s">
        <v>4637</v>
      </c>
      <c r="D1390" s="2" t="s">
        <v>4435</v>
      </c>
      <c r="E1390" s="2" t="s">
        <v>4436</v>
      </c>
      <c r="F1390" s="2" t="s">
        <v>4735</v>
      </c>
      <c r="G1390" s="2" t="s">
        <v>346</v>
      </c>
      <c r="H1390" s="2" t="s">
        <v>346</v>
      </c>
      <c r="I1390" s="2" t="s">
        <v>4736</v>
      </c>
      <c r="J1390" s="2" t="s">
        <v>2072</v>
      </c>
      <c r="K1390" s="2" t="s">
        <v>189</v>
      </c>
      <c r="L1390" s="3">
        <v>13.16</v>
      </c>
      <c r="M1390" s="3">
        <v>13.82</v>
      </c>
      <c r="N1390" s="3">
        <v>29.99</v>
      </c>
      <c r="O1390" s="2" t="s">
        <v>97</v>
      </c>
      <c r="P1390" s="2" t="s">
        <v>119</v>
      </c>
      <c r="Q1390" s="2" t="s">
        <v>99</v>
      </c>
      <c r="R1390" s="2" t="s">
        <v>100</v>
      </c>
      <c r="S1390" s="2" t="s">
        <v>4737</v>
      </c>
      <c r="T1390" s="2" t="s">
        <v>218</v>
      </c>
      <c r="U1390" s="2" t="s">
        <v>100</v>
      </c>
      <c r="V1390" s="2" t="s">
        <v>146</v>
      </c>
      <c r="W1390" s="2" t="s">
        <v>183</v>
      </c>
      <c r="X1390" s="2" t="s">
        <v>100</v>
      </c>
      <c r="Y1390" s="2" t="s">
        <v>240</v>
      </c>
      <c r="Z1390" s="4">
        <v>2682</v>
      </c>
      <c r="AA1390" s="4">
        <f>=ROUNDDOWN(33.1111111111111,0)</f>
      </c>
      <c r="AB1390" s="5">
        <v>81</v>
      </c>
      <c r="AC1390" s="2" t="s">
        <v>100</v>
      </c>
      <c r="AD1390" s="4"/>
      <c r="AE1390" s="4"/>
      <c r="AF1390" s="6">
        <v>65</v>
      </c>
      <c r="AG1390" s="6">
        <v>48</v>
      </c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18</v>
      </c>
      <c r="AQ1390" s="8">
        <v>279.36</v>
      </c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0.2553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3397</v>
      </c>
      <c r="BK1390" s="8">
        <v>48293.86</v>
      </c>
      <c r="BL1390" s="2" t="s">
        <v>4740</v>
      </c>
      <c r="BM1390" s="7">
        <v>0.0053</v>
      </c>
      <c r="BN1390" s="7">
        <v>0.0058</v>
      </c>
      <c r="BO1390" s="4">
        <v>18</v>
      </c>
      <c r="BP1390" s="8">
        <v>279.36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243</v>
      </c>
      <c r="BX1390" s="2" t="s">
        <v>4741</v>
      </c>
      <c r="BY1390" s="2" t="s">
        <v>113</v>
      </c>
      <c r="BZ1390" s="2" t="s">
        <v>100</v>
      </c>
    </row>
    <row r="1391">
      <c r="A1391" s="2" t="s">
        <v>4742</v>
      </c>
      <c r="B1391" s="2" t="s">
        <v>4434</v>
      </c>
      <c r="C1391" s="2" t="s">
        <v>4637</v>
      </c>
      <c r="D1391" s="2" t="s">
        <v>4435</v>
      </c>
      <c r="E1391" s="2" t="s">
        <v>4436</v>
      </c>
      <c r="F1391" s="2" t="s">
        <v>4735</v>
      </c>
      <c r="G1391" s="2" t="s">
        <v>346</v>
      </c>
      <c r="H1391" s="2" t="s">
        <v>346</v>
      </c>
      <c r="I1391" s="2" t="s">
        <v>4736</v>
      </c>
      <c r="J1391" s="2" t="s">
        <v>717</v>
      </c>
      <c r="K1391" s="2" t="s">
        <v>189</v>
      </c>
      <c r="L1391" s="3">
        <v>16.02</v>
      </c>
      <c r="M1391" s="3">
        <v>16.82</v>
      </c>
      <c r="N1391" s="3">
        <v>34.99</v>
      </c>
      <c r="O1391" s="2" t="s">
        <v>97</v>
      </c>
      <c r="P1391" s="2" t="s">
        <v>119</v>
      </c>
      <c r="Q1391" s="2" t="s">
        <v>99</v>
      </c>
      <c r="R1391" s="2" t="s">
        <v>100</v>
      </c>
      <c r="S1391" s="2" t="s">
        <v>4737</v>
      </c>
      <c r="T1391" s="2" t="s">
        <v>218</v>
      </c>
      <c r="U1391" s="2" t="s">
        <v>100</v>
      </c>
      <c r="V1391" s="2" t="s">
        <v>146</v>
      </c>
      <c r="W1391" s="2" t="s">
        <v>183</v>
      </c>
      <c r="X1391" s="2" t="s">
        <v>100</v>
      </c>
      <c r="Y1391" s="2" t="s">
        <v>240</v>
      </c>
      <c r="Z1391" s="4">
        <v>1427</v>
      </c>
      <c r="AA1391" s="4">
        <f>=ROUNDDOWN(32.4318181818182,0)</f>
      </c>
      <c r="AB1391" s="5">
        <v>44</v>
      </c>
      <c r="AC1391" s="2" t="s">
        <v>100</v>
      </c>
      <c r="AD1391" s="4"/>
      <c r="AE1391" s="4"/>
      <c r="AF1391" s="6">
        <v>65</v>
      </c>
      <c r="AG1391" s="6">
        <v>48</v>
      </c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6</v>
      </c>
      <c r="AQ1391" s="8">
        <v>112.8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0.1031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1208</v>
      </c>
      <c r="BK1391" s="8">
        <v>20883.58</v>
      </c>
      <c r="BL1391" s="2" t="s">
        <v>4743</v>
      </c>
      <c r="BM1391" s="7">
        <v>0.005</v>
      </c>
      <c r="BN1391" s="7">
        <v>0.0054</v>
      </c>
      <c r="BO1391" s="4">
        <v>6</v>
      </c>
      <c r="BP1391" s="8">
        <v>112.8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243</v>
      </c>
      <c r="BX1391" s="2" t="s">
        <v>312</v>
      </c>
      <c r="BY1391" s="2" t="s">
        <v>113</v>
      </c>
      <c r="BZ1391" s="2" t="s">
        <v>100</v>
      </c>
    </row>
    <row r="1392">
      <c r="A1392" s="2" t="s">
        <v>4744</v>
      </c>
      <c r="B1392" s="2" t="s">
        <v>4434</v>
      </c>
      <c r="C1392" s="2" t="s">
        <v>4637</v>
      </c>
      <c r="D1392" s="2" t="s">
        <v>4435</v>
      </c>
      <c r="E1392" s="2" t="s">
        <v>4436</v>
      </c>
      <c r="F1392" s="2" t="s">
        <v>4735</v>
      </c>
      <c r="G1392" s="2" t="s">
        <v>346</v>
      </c>
      <c r="H1392" s="2" t="s">
        <v>346</v>
      </c>
      <c r="I1392" s="2" t="s">
        <v>4736</v>
      </c>
      <c r="J1392" s="2" t="s">
        <v>706</v>
      </c>
      <c r="K1392" s="2" t="s">
        <v>189</v>
      </c>
      <c r="L1392" s="3">
        <v>18.53</v>
      </c>
      <c r="M1392" s="3">
        <v>19.46</v>
      </c>
      <c r="N1392" s="3">
        <v>39.99</v>
      </c>
      <c r="O1392" s="2" t="s">
        <v>97</v>
      </c>
      <c r="P1392" s="2" t="s">
        <v>372</v>
      </c>
      <c r="Q1392" s="2" t="s">
        <v>99</v>
      </c>
      <c r="R1392" s="2" t="s">
        <v>100</v>
      </c>
      <c r="S1392" s="2" t="s">
        <v>4737</v>
      </c>
      <c r="T1392" s="2" t="s">
        <v>218</v>
      </c>
      <c r="U1392" s="2" t="s">
        <v>100</v>
      </c>
      <c r="V1392" s="2" t="s">
        <v>146</v>
      </c>
      <c r="W1392" s="2" t="s">
        <v>183</v>
      </c>
      <c r="X1392" s="2" t="s">
        <v>100</v>
      </c>
      <c r="Y1392" s="2" t="s">
        <v>240</v>
      </c>
      <c r="Z1392" s="4">
        <v>2468</v>
      </c>
      <c r="AA1392" s="4">
        <f>=ROUNDDOWN(23.2830188679245,0)</f>
      </c>
      <c r="AB1392" s="5">
        <v>106</v>
      </c>
      <c r="AC1392" s="2" t="s">
        <v>4745</v>
      </c>
      <c r="AD1392" s="4">
        <v>170</v>
      </c>
      <c r="AE1392" s="4">
        <v>680</v>
      </c>
      <c r="AF1392" s="6">
        <v>65</v>
      </c>
      <c r="AG1392" s="6">
        <v>48</v>
      </c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>
        <v>6</v>
      </c>
      <c r="AQ1392" s="8">
        <v>126.9</v>
      </c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0.116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2913</v>
      </c>
      <c r="BK1392" s="8">
        <v>57854.36</v>
      </c>
      <c r="BL1392" s="2" t="s">
        <v>4746</v>
      </c>
      <c r="BM1392" s="7">
        <v>0.0021</v>
      </c>
      <c r="BN1392" s="7">
        <v>0.0022</v>
      </c>
      <c r="BO1392" s="4">
        <v>6</v>
      </c>
      <c r="BP1392" s="8">
        <v>126.9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243</v>
      </c>
      <c r="BX1392" s="2" t="s">
        <v>4747</v>
      </c>
      <c r="BY1392" s="2" t="s">
        <v>113</v>
      </c>
      <c r="BZ1392" s="2" t="s">
        <v>100</v>
      </c>
    </row>
    <row r="1393">
      <c r="A1393" s="2" t="s">
        <v>4748</v>
      </c>
      <c r="B1393" s="2" t="s">
        <v>4434</v>
      </c>
      <c r="C1393" s="2" t="s">
        <v>4637</v>
      </c>
      <c r="D1393" s="2" t="s">
        <v>4435</v>
      </c>
      <c r="E1393" s="2" t="s">
        <v>4436</v>
      </c>
      <c r="F1393" s="2" t="s">
        <v>4735</v>
      </c>
      <c r="G1393" s="2" t="s">
        <v>346</v>
      </c>
      <c r="H1393" s="2" t="s">
        <v>346</v>
      </c>
      <c r="I1393" s="2" t="s">
        <v>4736</v>
      </c>
      <c r="J1393" s="2" t="s">
        <v>714</v>
      </c>
      <c r="K1393" s="2" t="s">
        <v>189</v>
      </c>
      <c r="L1393" s="3">
        <v>21.75</v>
      </c>
      <c r="M1393" s="3">
        <v>22.84</v>
      </c>
      <c r="N1393" s="3">
        <v>43.99</v>
      </c>
      <c r="O1393" s="2" t="s">
        <v>97</v>
      </c>
      <c r="P1393" s="2" t="s">
        <v>98</v>
      </c>
      <c r="Q1393" s="2" t="s">
        <v>99</v>
      </c>
      <c r="R1393" s="2" t="s">
        <v>100</v>
      </c>
      <c r="S1393" s="2" t="s">
        <v>4737</v>
      </c>
      <c r="T1393" s="2" t="s">
        <v>218</v>
      </c>
      <c r="U1393" s="2" t="s">
        <v>100</v>
      </c>
      <c r="V1393" s="2" t="s">
        <v>146</v>
      </c>
      <c r="W1393" s="2" t="s">
        <v>183</v>
      </c>
      <c r="X1393" s="2" t="s">
        <v>100</v>
      </c>
      <c r="Y1393" s="2" t="s">
        <v>240</v>
      </c>
      <c r="Z1393" s="4">
        <v>1747</v>
      </c>
      <c r="AA1393" s="4">
        <f>=ROUNDDOWN(31.7636363636364,0)</f>
      </c>
      <c r="AB1393" s="5">
        <v>55</v>
      </c>
      <c r="AC1393" s="2" t="s">
        <v>100</v>
      </c>
      <c r="AD1393" s="4"/>
      <c r="AE1393" s="4"/>
      <c r="AF1393" s="6">
        <v>65</v>
      </c>
      <c r="AG1393" s="6">
        <v>48</v>
      </c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2</v>
      </c>
      <c r="AQ1393" s="8">
        <v>52.18</v>
      </c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0.0477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1414</v>
      </c>
      <c r="BK1393" s="8">
        <v>33199.42</v>
      </c>
      <c r="BL1393" s="2" t="s">
        <v>4746</v>
      </c>
      <c r="BM1393" s="7">
        <v>0.0014</v>
      </c>
      <c r="BN1393" s="7">
        <v>0.0016</v>
      </c>
      <c r="BO1393" s="4">
        <v>2</v>
      </c>
      <c r="BP1393" s="8">
        <v>52.18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243</v>
      </c>
      <c r="BX1393" s="2" t="s">
        <v>312</v>
      </c>
      <c r="BY1393" s="2" t="s">
        <v>113</v>
      </c>
      <c r="BZ1393" s="2" t="s">
        <v>100</v>
      </c>
    </row>
    <row r="1394">
      <c r="A1394" s="2" t="s">
        <v>4749</v>
      </c>
      <c r="B1394" s="2" t="s">
        <v>4434</v>
      </c>
      <c r="C1394" s="2" t="s">
        <v>4637</v>
      </c>
      <c r="D1394" s="2" t="s">
        <v>4435</v>
      </c>
      <c r="E1394" s="2" t="s">
        <v>4436</v>
      </c>
      <c r="F1394" s="2" t="s">
        <v>4735</v>
      </c>
      <c r="G1394" s="2" t="s">
        <v>346</v>
      </c>
      <c r="H1394" s="2" t="s">
        <v>346</v>
      </c>
      <c r="I1394" s="2" t="s">
        <v>4736</v>
      </c>
      <c r="J1394" s="2" t="s">
        <v>817</v>
      </c>
      <c r="K1394" s="2" t="s">
        <v>189</v>
      </c>
      <c r="L1394" s="3">
        <v>21.75</v>
      </c>
      <c r="M1394" s="3">
        <v>22.84</v>
      </c>
      <c r="N1394" s="3">
        <v>43.99</v>
      </c>
      <c r="O1394" s="2" t="s">
        <v>97</v>
      </c>
      <c r="P1394" s="2" t="s">
        <v>119</v>
      </c>
      <c r="Q1394" s="2" t="s">
        <v>99</v>
      </c>
      <c r="R1394" s="2" t="s">
        <v>100</v>
      </c>
      <c r="S1394" s="2" t="s">
        <v>4737</v>
      </c>
      <c r="T1394" s="2" t="s">
        <v>218</v>
      </c>
      <c r="U1394" s="2" t="s">
        <v>100</v>
      </c>
      <c r="V1394" s="2" t="s">
        <v>146</v>
      </c>
      <c r="W1394" s="2" t="s">
        <v>183</v>
      </c>
      <c r="X1394" s="2" t="s">
        <v>100</v>
      </c>
      <c r="Y1394" s="2" t="s">
        <v>240</v>
      </c>
      <c r="Z1394" s="4">
        <v>750</v>
      </c>
      <c r="AA1394" s="4">
        <f>=ROUNDDOWN(30,0)</f>
      </c>
      <c r="AB1394" s="5">
        <v>25</v>
      </c>
      <c r="AC1394" s="2" t="s">
        <v>1115</v>
      </c>
      <c r="AD1394" s="4">
        <v>50</v>
      </c>
      <c r="AE1394" s="4">
        <v>120</v>
      </c>
      <c r="AF1394" s="6">
        <v>65</v>
      </c>
      <c r="AG1394" s="6">
        <v>48</v>
      </c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>
        <v>4</v>
      </c>
      <c r="AQ1394" s="8">
        <v>104.36</v>
      </c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0.0954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546</v>
      </c>
      <c r="BK1394" s="8">
        <v>12911.38</v>
      </c>
      <c r="BL1394" s="2" t="s">
        <v>4750</v>
      </c>
      <c r="BM1394" s="7">
        <v>0.0073</v>
      </c>
      <c r="BN1394" s="7">
        <v>0.0081</v>
      </c>
      <c r="BO1394" s="4">
        <v>4</v>
      </c>
      <c r="BP1394" s="8">
        <v>104.36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243</v>
      </c>
      <c r="BX1394" s="2" t="s">
        <v>312</v>
      </c>
      <c r="BY1394" s="2" t="s">
        <v>113</v>
      </c>
      <c r="BZ1394" s="2" t="s">
        <v>100</v>
      </c>
    </row>
    <row r="1395">
      <c r="A1395" s="2" t="s">
        <v>4751</v>
      </c>
      <c r="B1395" s="2" t="s">
        <v>4434</v>
      </c>
      <c r="C1395" s="2" t="s">
        <v>4637</v>
      </c>
      <c r="D1395" s="2" t="s">
        <v>4435</v>
      </c>
      <c r="E1395" s="2" t="s">
        <v>4436</v>
      </c>
      <c r="F1395" s="2" t="s">
        <v>4752</v>
      </c>
      <c r="G1395" s="2" t="s">
        <v>4753</v>
      </c>
      <c r="H1395" s="2" t="s">
        <v>4753</v>
      </c>
      <c r="I1395" s="2" t="s">
        <v>4754</v>
      </c>
      <c r="J1395" s="2" t="s">
        <v>4755</v>
      </c>
      <c r="K1395" s="2" t="s">
        <v>189</v>
      </c>
      <c r="L1395" s="3">
        <v>15.4</v>
      </c>
      <c r="M1395" s="3">
        <v>16.17</v>
      </c>
      <c r="N1395" s="3">
        <v>34.99</v>
      </c>
      <c r="O1395" s="2" t="s">
        <v>97</v>
      </c>
      <c r="P1395" s="2" t="s">
        <v>372</v>
      </c>
      <c r="Q1395" s="2" t="s">
        <v>99</v>
      </c>
      <c r="R1395" s="2" t="s">
        <v>100</v>
      </c>
      <c r="S1395" s="2" t="s">
        <v>4737</v>
      </c>
      <c r="T1395" s="2" t="s">
        <v>218</v>
      </c>
      <c r="U1395" s="2" t="s">
        <v>100</v>
      </c>
      <c r="V1395" s="2" t="s">
        <v>146</v>
      </c>
      <c r="W1395" s="2" t="s">
        <v>183</v>
      </c>
      <c r="X1395" s="2" t="s">
        <v>100</v>
      </c>
      <c r="Y1395" s="2" t="s">
        <v>576</v>
      </c>
      <c r="Z1395" s="4">
        <v>3908</v>
      </c>
      <c r="AA1395" s="4">
        <f>=ROUNDDOWN(22.4597701149425,0)</f>
      </c>
      <c r="AB1395" s="5">
        <v>174</v>
      </c>
      <c r="AC1395" s="2" t="s">
        <v>1509</v>
      </c>
      <c r="AD1395" s="4">
        <v>500</v>
      </c>
      <c r="AE1395" s="4">
        <v>950</v>
      </c>
      <c r="AF1395" s="6">
        <v>65</v>
      </c>
      <c r="AG1395" s="6">
        <v>48</v>
      </c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>
        <v>39</v>
      </c>
      <c r="AQ1395" s="8">
        <v>900.51</v>
      </c>
      <c r="AR1395" s="4"/>
      <c r="AS1395" s="8"/>
      <c r="AT1395" s="7"/>
      <c r="AU1395" s="7"/>
      <c r="AV1395" s="4">
        <v>39</v>
      </c>
      <c r="AW1395" s="8">
        <v>900.51</v>
      </c>
      <c r="AX1395" s="4"/>
      <c r="AY1395" s="8"/>
      <c r="AZ1395" s="7"/>
      <c r="BA1395" s="7"/>
      <c r="BB1395" s="7">
        <v>1</v>
      </c>
      <c r="BC1395" s="4">
        <v>39</v>
      </c>
      <c r="BD1395" s="8">
        <v>900.51</v>
      </c>
      <c r="BE1395" s="4"/>
      <c r="BF1395" s="8"/>
      <c r="BG1395" s="7"/>
      <c r="BH1395" s="7"/>
      <c r="BI1395" s="7">
        <v>1</v>
      </c>
      <c r="BJ1395" s="4">
        <v>5900</v>
      </c>
      <c r="BK1395" s="8">
        <v>102562.1</v>
      </c>
      <c r="BL1395" s="2" t="s">
        <v>4756</v>
      </c>
      <c r="BM1395" s="7">
        <v>0.0066</v>
      </c>
      <c r="BN1395" s="7">
        <v>0.0088</v>
      </c>
      <c r="BO1395" s="4">
        <v>39</v>
      </c>
      <c r="BP1395" s="8">
        <v>900.51</v>
      </c>
      <c r="BQ1395" s="4"/>
      <c r="BR1395" s="8"/>
      <c r="BS1395" s="7"/>
      <c r="BT1395" s="7"/>
      <c r="BU1395" s="2" t="s">
        <v>109</v>
      </c>
      <c r="BV1395" s="2" t="s">
        <v>110</v>
      </c>
      <c r="BW1395" s="2" t="s">
        <v>243</v>
      </c>
      <c r="BX1395" s="2" t="s">
        <v>4757</v>
      </c>
      <c r="BY1395" s="2" t="s">
        <v>113</v>
      </c>
      <c r="BZ1395" s="2" t="s">
        <v>100</v>
      </c>
    </row>
    <row r="1396">
      <c r="A1396" s="2" t="s">
        <v>4758</v>
      </c>
      <c r="B1396" s="2" t="s">
        <v>4434</v>
      </c>
      <c r="C1396" s="2" t="s">
        <v>4637</v>
      </c>
      <c r="D1396" s="2" t="s">
        <v>4435</v>
      </c>
      <c r="E1396" s="2" t="s">
        <v>4436</v>
      </c>
      <c r="F1396" s="2" t="s">
        <v>4759</v>
      </c>
      <c r="G1396" s="2" t="s">
        <v>4759</v>
      </c>
      <c r="H1396" s="2" t="s">
        <v>4759</v>
      </c>
      <c r="I1396" s="2" t="s">
        <v>4760</v>
      </c>
      <c r="J1396" s="2" t="s">
        <v>2072</v>
      </c>
      <c r="K1396" s="2" t="s">
        <v>189</v>
      </c>
      <c r="L1396" s="3">
        <v>21.19</v>
      </c>
      <c r="M1396" s="3">
        <v>22.25</v>
      </c>
      <c r="N1396" s="3">
        <v>39.99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4761</v>
      </c>
      <c r="T1396" s="2" t="s">
        <v>280</v>
      </c>
      <c r="U1396" s="2" t="s">
        <v>1847</v>
      </c>
      <c r="V1396" s="2" t="s">
        <v>146</v>
      </c>
      <c r="W1396" s="2" t="s">
        <v>183</v>
      </c>
      <c r="X1396" s="2" t="s">
        <v>561</v>
      </c>
      <c r="Y1396" s="2" t="s">
        <v>3923</v>
      </c>
      <c r="Z1396" s="4">
        <v>1256</v>
      </c>
      <c r="AA1396" s="4">
        <f>=ROUNDDOWN(21.6551724137931,0)</f>
      </c>
      <c r="AB1396" s="5">
        <v>58</v>
      </c>
      <c r="AC1396" s="2" t="s">
        <v>2272</v>
      </c>
      <c r="AD1396" s="4">
        <v>114</v>
      </c>
      <c r="AE1396" s="4">
        <v>384</v>
      </c>
      <c r="AF1396" s="6">
        <v>66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>
        <v>12</v>
      </c>
      <c r="AW1396" s="8">
        <v>381.12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>
        <v>12</v>
      </c>
      <c r="BD1396" s="8">
        <v>381.12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1</v>
      </c>
      <c r="BJ1396" s="4">
        <v>2873</v>
      </c>
      <c r="BK1396" s="8">
        <v>66304.63</v>
      </c>
      <c r="BL1396" s="2" t="s">
        <v>2861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207</v>
      </c>
      <c r="BV1396" s="2" t="s">
        <v>97</v>
      </c>
      <c r="BW1396" s="2" t="s">
        <v>100</v>
      </c>
      <c r="BX1396" s="2" t="s">
        <v>100</v>
      </c>
      <c r="BY1396" s="2" t="s">
        <v>113</v>
      </c>
      <c r="BZ1396" s="2" t="s">
        <v>100</v>
      </c>
    </row>
    <row r="1397">
      <c r="A1397" s="2" t="s">
        <v>4762</v>
      </c>
      <c r="B1397" s="2" t="s">
        <v>4434</v>
      </c>
      <c r="C1397" s="2" t="s">
        <v>4637</v>
      </c>
      <c r="D1397" s="2" t="s">
        <v>4435</v>
      </c>
      <c r="E1397" s="2" t="s">
        <v>4436</v>
      </c>
      <c r="F1397" s="2" t="s">
        <v>4759</v>
      </c>
      <c r="G1397" s="2" t="s">
        <v>4759</v>
      </c>
      <c r="H1397" s="2" t="s">
        <v>4759</v>
      </c>
      <c r="I1397" s="2" t="s">
        <v>4760</v>
      </c>
      <c r="J1397" s="2" t="s">
        <v>717</v>
      </c>
      <c r="K1397" s="2" t="s">
        <v>189</v>
      </c>
      <c r="L1397" s="3">
        <v>23.84</v>
      </c>
      <c r="M1397" s="3">
        <v>25.03</v>
      </c>
      <c r="N1397" s="3">
        <v>44.99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4763</v>
      </c>
      <c r="T1397" s="2" t="s">
        <v>280</v>
      </c>
      <c r="U1397" s="2" t="s">
        <v>100</v>
      </c>
      <c r="V1397" s="2" t="s">
        <v>146</v>
      </c>
      <c r="W1397" s="2" t="s">
        <v>183</v>
      </c>
      <c r="X1397" s="2" t="s">
        <v>100</v>
      </c>
      <c r="Y1397" s="2" t="s">
        <v>240</v>
      </c>
      <c r="Z1397" s="4">
        <v>860</v>
      </c>
      <c r="AA1397" s="4">
        <f>=ROUNDDOWN(9.77272727272727,0)</f>
      </c>
      <c r="AB1397" s="5">
        <v>88</v>
      </c>
      <c r="AC1397" s="2" t="s">
        <v>2272</v>
      </c>
      <c r="AD1397" s="4">
        <v>24</v>
      </c>
      <c r="AE1397" s="4">
        <v>1364</v>
      </c>
      <c r="AF1397" s="6">
        <v>66</v>
      </c>
      <c r="AG1397" s="6">
        <v>74</v>
      </c>
      <c r="AH1397" s="7">
        <v>0.9305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>
        <v>12</v>
      </c>
      <c r="AQ1397" s="8">
        <v>381.12</v>
      </c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1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3270</v>
      </c>
      <c r="BK1397" s="8">
        <v>100191.85</v>
      </c>
      <c r="BL1397" s="2" t="s">
        <v>4764</v>
      </c>
      <c r="BM1397" s="7">
        <v>0.0037</v>
      </c>
      <c r="BN1397" s="7">
        <v>0.0038</v>
      </c>
      <c r="BO1397" s="4">
        <v>12</v>
      </c>
      <c r="BP1397" s="8">
        <v>381.12</v>
      </c>
      <c r="BQ1397" s="4"/>
      <c r="BR1397" s="8"/>
      <c r="BS1397" s="7"/>
      <c r="BT1397" s="7"/>
      <c r="BU1397" s="2" t="s">
        <v>109</v>
      </c>
      <c r="BV1397" s="2" t="s">
        <v>110</v>
      </c>
      <c r="BW1397" s="2" t="s">
        <v>243</v>
      </c>
      <c r="BX1397" s="2" t="s">
        <v>4765</v>
      </c>
      <c r="BY1397" s="2" t="s">
        <v>113</v>
      </c>
      <c r="BZ1397" s="2" t="s">
        <v>100</v>
      </c>
    </row>
    <row r="1398">
      <c r="A1398" s="2" t="s">
        <v>4766</v>
      </c>
      <c r="B1398" s="2" t="s">
        <v>4434</v>
      </c>
      <c r="C1398" s="2" t="s">
        <v>4637</v>
      </c>
      <c r="D1398" s="2" t="s">
        <v>4435</v>
      </c>
      <c r="E1398" s="2" t="s">
        <v>4436</v>
      </c>
      <c r="F1398" s="2" t="s">
        <v>4767</v>
      </c>
      <c r="G1398" s="2" t="s">
        <v>4768</v>
      </c>
      <c r="H1398" s="2" t="s">
        <v>4768</v>
      </c>
      <c r="I1398" s="2" t="s">
        <v>4769</v>
      </c>
      <c r="J1398" s="2" t="s">
        <v>1936</v>
      </c>
      <c r="K1398" s="2" t="s">
        <v>189</v>
      </c>
      <c r="L1398" s="3">
        <v>10.91</v>
      </c>
      <c r="M1398" s="3">
        <v>11.46</v>
      </c>
      <c r="N1398" s="3">
        <v>20.99</v>
      </c>
      <c r="O1398" s="2" t="s">
        <v>97</v>
      </c>
      <c r="P1398" s="2" t="s">
        <v>119</v>
      </c>
      <c r="Q1398" s="2" t="s">
        <v>99</v>
      </c>
      <c r="R1398" s="2" t="s">
        <v>100</v>
      </c>
      <c r="S1398" s="2" t="s">
        <v>4770</v>
      </c>
      <c r="T1398" s="2" t="s">
        <v>218</v>
      </c>
      <c r="U1398" s="2" t="s">
        <v>100</v>
      </c>
      <c r="V1398" s="2" t="s">
        <v>146</v>
      </c>
      <c r="W1398" s="2" t="s">
        <v>183</v>
      </c>
      <c r="X1398" s="2" t="s">
        <v>100</v>
      </c>
      <c r="Y1398" s="2" t="s">
        <v>240</v>
      </c>
      <c r="Z1398" s="4">
        <v>70</v>
      </c>
      <c r="AA1398" s="4">
        <f>=ROUNDDOWN(3.5,0)</f>
      </c>
      <c r="AB1398" s="5">
        <v>20</v>
      </c>
      <c r="AC1398" s="2" t="s">
        <v>1509</v>
      </c>
      <c r="AD1398" s="4">
        <v>50</v>
      </c>
      <c r="AE1398" s="4">
        <v>380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>
        <v>1</v>
      </c>
      <c r="AQ1398" s="8">
        <v>15.02</v>
      </c>
      <c r="AR1398" s="4"/>
      <c r="AS1398" s="8"/>
      <c r="AT1398" s="7"/>
      <c r="AU1398" s="7"/>
      <c r="AV1398" s="4">
        <v>6</v>
      </c>
      <c r="AW1398" s="8">
        <v>135.5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0.1108</v>
      </c>
      <c r="BC1398" s="4">
        <v>6</v>
      </c>
      <c r="BD1398" s="8">
        <v>135.5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>
        <v>1</v>
      </c>
      <c r="BJ1398" s="4">
        <v>577</v>
      </c>
      <c r="BK1398" s="8">
        <v>7860.41</v>
      </c>
      <c r="BL1398" s="2" t="s">
        <v>4771</v>
      </c>
      <c r="BM1398" s="7">
        <v>0.0017</v>
      </c>
      <c r="BN1398" s="7">
        <v>0.0019</v>
      </c>
      <c r="BO1398" s="4">
        <v>1</v>
      </c>
      <c r="BP1398" s="8">
        <v>15.02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243</v>
      </c>
      <c r="BX1398" s="2" t="s">
        <v>322</v>
      </c>
      <c r="BY1398" s="2" t="s">
        <v>113</v>
      </c>
      <c r="BZ1398" s="2" t="s">
        <v>100</v>
      </c>
    </row>
    <row r="1399">
      <c r="A1399" s="2" t="s">
        <v>4772</v>
      </c>
      <c r="B1399" s="2" t="s">
        <v>4434</v>
      </c>
      <c r="C1399" s="2" t="s">
        <v>4637</v>
      </c>
      <c r="D1399" s="2" t="s">
        <v>4435</v>
      </c>
      <c r="E1399" s="2" t="s">
        <v>4436</v>
      </c>
      <c r="F1399" s="2" t="s">
        <v>4767</v>
      </c>
      <c r="G1399" s="2" t="s">
        <v>4768</v>
      </c>
      <c r="H1399" s="2" t="s">
        <v>4768</v>
      </c>
      <c r="I1399" s="2" t="s">
        <v>4769</v>
      </c>
      <c r="J1399" s="2" t="s">
        <v>2072</v>
      </c>
      <c r="K1399" s="2" t="s">
        <v>189</v>
      </c>
      <c r="L1399" s="3">
        <v>11.43</v>
      </c>
      <c r="M1399" s="3">
        <v>12</v>
      </c>
      <c r="N1399" s="3">
        <v>21.99</v>
      </c>
      <c r="O1399" s="2" t="s">
        <v>97</v>
      </c>
      <c r="P1399" s="2" t="s">
        <v>119</v>
      </c>
      <c r="Q1399" s="2" t="s">
        <v>99</v>
      </c>
      <c r="R1399" s="2" t="s">
        <v>100</v>
      </c>
      <c r="S1399" s="2" t="s">
        <v>4770</v>
      </c>
      <c r="T1399" s="2" t="s">
        <v>218</v>
      </c>
      <c r="U1399" s="2" t="s">
        <v>100</v>
      </c>
      <c r="V1399" s="2" t="s">
        <v>146</v>
      </c>
      <c r="W1399" s="2" t="s">
        <v>183</v>
      </c>
      <c r="X1399" s="2" t="s">
        <v>100</v>
      </c>
      <c r="Y1399" s="2" t="s">
        <v>240</v>
      </c>
      <c r="Z1399" s="4">
        <v>441</v>
      </c>
      <c r="AA1399" s="4">
        <f>=ROUNDDOWN(9.58695652173913,0)</f>
      </c>
      <c r="AB1399" s="5">
        <v>46</v>
      </c>
      <c r="AC1399" s="2" t="s">
        <v>1509</v>
      </c>
      <c r="AD1399" s="4">
        <v>100</v>
      </c>
      <c r="AE1399" s="4">
        <v>730</v>
      </c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>
        <v>1</v>
      </c>
      <c r="AQ1399" s="8">
        <v>15.6</v>
      </c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0.1151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1642</v>
      </c>
      <c r="BK1399" s="8">
        <v>23546.4</v>
      </c>
      <c r="BL1399" s="2" t="s">
        <v>4773</v>
      </c>
      <c r="BM1399" s="7">
        <v>0.0006</v>
      </c>
      <c r="BN1399" s="7">
        <v>0.0007</v>
      </c>
      <c r="BO1399" s="4">
        <v>1</v>
      </c>
      <c r="BP1399" s="8">
        <v>15.6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243</v>
      </c>
      <c r="BX1399" s="2" t="s">
        <v>4774</v>
      </c>
      <c r="BY1399" s="2" t="s">
        <v>113</v>
      </c>
      <c r="BZ1399" s="2" t="s">
        <v>100</v>
      </c>
    </row>
    <row r="1400">
      <c r="A1400" s="2" t="s">
        <v>4775</v>
      </c>
      <c r="B1400" s="2" t="s">
        <v>4434</v>
      </c>
      <c r="C1400" s="2" t="s">
        <v>4637</v>
      </c>
      <c r="D1400" s="2" t="s">
        <v>4435</v>
      </c>
      <c r="E1400" s="2" t="s">
        <v>4436</v>
      </c>
      <c r="F1400" s="2" t="s">
        <v>4767</v>
      </c>
      <c r="G1400" s="2" t="s">
        <v>4768</v>
      </c>
      <c r="H1400" s="2" t="s">
        <v>4768</v>
      </c>
      <c r="I1400" s="2" t="s">
        <v>4769</v>
      </c>
      <c r="J1400" s="2" t="s">
        <v>706</v>
      </c>
      <c r="K1400" s="2" t="s">
        <v>189</v>
      </c>
      <c r="L1400" s="3">
        <v>14.55</v>
      </c>
      <c r="M1400" s="3">
        <v>15.28</v>
      </c>
      <c r="N1400" s="3">
        <v>27.99</v>
      </c>
      <c r="O1400" s="2" t="s">
        <v>97</v>
      </c>
      <c r="P1400" s="2" t="s">
        <v>119</v>
      </c>
      <c r="Q1400" s="2" t="s">
        <v>99</v>
      </c>
      <c r="R1400" s="2" t="s">
        <v>100</v>
      </c>
      <c r="S1400" s="2" t="s">
        <v>4770</v>
      </c>
      <c r="T1400" s="2" t="s">
        <v>218</v>
      </c>
      <c r="U1400" s="2" t="s">
        <v>100</v>
      </c>
      <c r="V1400" s="2" t="s">
        <v>146</v>
      </c>
      <c r="W1400" s="2" t="s">
        <v>183</v>
      </c>
      <c r="X1400" s="2" t="s">
        <v>100</v>
      </c>
      <c r="Y1400" s="2" t="s">
        <v>240</v>
      </c>
      <c r="Z1400" s="4">
        <v>208</v>
      </c>
      <c r="AA1400" s="4">
        <f>=ROUNDDOWN(4.16,0)</f>
      </c>
      <c r="AB1400" s="5">
        <v>50</v>
      </c>
      <c r="AC1400" s="2" t="s">
        <v>1509</v>
      </c>
      <c r="AD1400" s="4">
        <v>100</v>
      </c>
      <c r="AE1400" s="4">
        <v>900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1725</v>
      </c>
      <c r="BK1400" s="8">
        <v>32256.22</v>
      </c>
      <c r="BL1400" s="2" t="s">
        <v>4776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243</v>
      </c>
      <c r="BX1400" s="2" t="s">
        <v>567</v>
      </c>
      <c r="BY1400" s="2" t="s">
        <v>113</v>
      </c>
      <c r="BZ1400" s="2" t="s">
        <v>100</v>
      </c>
    </row>
    <row r="1401">
      <c r="A1401" s="2" t="s">
        <v>4777</v>
      </c>
      <c r="B1401" s="2" t="s">
        <v>4434</v>
      </c>
      <c r="C1401" s="2" t="s">
        <v>4637</v>
      </c>
      <c r="D1401" s="2" t="s">
        <v>4435</v>
      </c>
      <c r="E1401" s="2" t="s">
        <v>4436</v>
      </c>
      <c r="F1401" s="2" t="s">
        <v>4767</v>
      </c>
      <c r="G1401" s="2" t="s">
        <v>4768</v>
      </c>
      <c r="H1401" s="2" t="s">
        <v>4768</v>
      </c>
      <c r="I1401" s="2" t="s">
        <v>4769</v>
      </c>
      <c r="J1401" s="2" t="s">
        <v>714</v>
      </c>
      <c r="K1401" s="2" t="s">
        <v>189</v>
      </c>
      <c r="L1401" s="3">
        <v>17.15</v>
      </c>
      <c r="M1401" s="3">
        <v>18.01</v>
      </c>
      <c r="N1401" s="3">
        <v>32.99</v>
      </c>
      <c r="O1401" s="2" t="s">
        <v>97</v>
      </c>
      <c r="P1401" s="2" t="s">
        <v>119</v>
      </c>
      <c r="Q1401" s="2" t="s">
        <v>99</v>
      </c>
      <c r="R1401" s="2" t="s">
        <v>100</v>
      </c>
      <c r="S1401" s="2" t="s">
        <v>4770</v>
      </c>
      <c r="T1401" s="2" t="s">
        <v>218</v>
      </c>
      <c r="U1401" s="2" t="s">
        <v>100</v>
      </c>
      <c r="V1401" s="2" t="s">
        <v>146</v>
      </c>
      <c r="W1401" s="2" t="s">
        <v>183</v>
      </c>
      <c r="X1401" s="2" t="s">
        <v>100</v>
      </c>
      <c r="Y1401" s="2" t="s">
        <v>240</v>
      </c>
      <c r="Z1401" s="4">
        <v>60</v>
      </c>
      <c r="AA1401" s="4">
        <f>=ROUNDDOWN(3,0)</f>
      </c>
      <c r="AB1401" s="5">
        <v>20</v>
      </c>
      <c r="AC1401" s="2" t="s">
        <v>1509</v>
      </c>
      <c r="AD1401" s="4">
        <v>50</v>
      </c>
      <c r="AE1401" s="4">
        <v>370</v>
      </c>
      <c r="AF1401" s="6">
        <v>65</v>
      </c>
      <c r="AG1401" s="6"/>
      <c r="AH1401" s="7">
        <v>0.9572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>
        <v>4</v>
      </c>
      <c r="AQ1401" s="8">
        <v>104.88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0.774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664</v>
      </c>
      <c r="BK1401" s="8">
        <v>15090.72</v>
      </c>
      <c r="BL1401" s="2" t="s">
        <v>4778</v>
      </c>
      <c r="BM1401" s="7">
        <v>0.006</v>
      </c>
      <c r="BN1401" s="7">
        <v>0.0069</v>
      </c>
      <c r="BO1401" s="4">
        <v>4</v>
      </c>
      <c r="BP1401" s="8">
        <v>104.88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243</v>
      </c>
      <c r="BX1401" s="2" t="s">
        <v>4779</v>
      </c>
      <c r="BY1401" s="2" t="s">
        <v>113</v>
      </c>
      <c r="BZ1401" s="2" t="s">
        <v>100</v>
      </c>
    </row>
    <row r="1402">
      <c r="A1402" s="2" t="s">
        <v>4780</v>
      </c>
      <c r="B1402" s="2" t="s">
        <v>4434</v>
      </c>
      <c r="C1402" s="2" t="s">
        <v>4637</v>
      </c>
      <c r="D1402" s="2" t="s">
        <v>803</v>
      </c>
      <c r="E1402" s="2" t="s">
        <v>4586</v>
      </c>
      <c r="F1402" s="2" t="s">
        <v>4781</v>
      </c>
      <c r="G1402" s="2" t="s">
        <v>4781</v>
      </c>
      <c r="H1402" s="2" t="s">
        <v>4781</v>
      </c>
      <c r="I1402" s="2" t="s">
        <v>4782</v>
      </c>
      <c r="J1402" s="2" t="s">
        <v>1936</v>
      </c>
      <c r="K1402" s="2" t="s">
        <v>189</v>
      </c>
      <c r="L1402" s="3">
        <v>38.4</v>
      </c>
      <c r="M1402" s="3">
        <v>40.32</v>
      </c>
      <c r="N1402" s="3">
        <v>79.99</v>
      </c>
      <c r="O1402" s="2" t="s">
        <v>97</v>
      </c>
      <c r="P1402" s="2" t="s">
        <v>119</v>
      </c>
      <c r="Q1402" s="2" t="s">
        <v>99</v>
      </c>
      <c r="R1402" s="2" t="s">
        <v>100</v>
      </c>
      <c r="S1402" s="2" t="s">
        <v>4783</v>
      </c>
      <c r="T1402" s="2" t="s">
        <v>280</v>
      </c>
      <c r="U1402" s="2" t="s">
        <v>100</v>
      </c>
      <c r="V1402" s="2" t="s">
        <v>146</v>
      </c>
      <c r="W1402" s="2" t="s">
        <v>183</v>
      </c>
      <c r="X1402" s="2" t="s">
        <v>100</v>
      </c>
      <c r="Y1402" s="2" t="s">
        <v>240</v>
      </c>
      <c r="Z1402" s="4">
        <v>187</v>
      </c>
      <c r="AA1402" s="4">
        <f>=ROUNDDOWN(46.75,0)</f>
      </c>
      <c r="AB1402" s="5">
        <v>4</v>
      </c>
      <c r="AC1402" s="2" t="s">
        <v>562</v>
      </c>
      <c r="AD1402" s="4">
        <v>50</v>
      </c>
      <c r="AE1402" s="4">
        <v>50</v>
      </c>
      <c r="AF1402" s="6">
        <v>66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>
        <v>3</v>
      </c>
      <c r="AQ1402" s="8">
        <v>120.93</v>
      </c>
      <c r="AR1402" s="4"/>
      <c r="AS1402" s="8"/>
      <c r="AT1402" s="7"/>
      <c r="AU1402" s="7"/>
      <c r="AV1402" s="4">
        <v>4</v>
      </c>
      <c r="AW1402" s="8">
        <v>181.4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0.6666</v>
      </c>
      <c r="BC1402" s="4">
        <v>4</v>
      </c>
      <c r="BD1402" s="8">
        <v>181.4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1</v>
      </c>
      <c r="BJ1402" s="4">
        <v>44</v>
      </c>
      <c r="BK1402" s="8">
        <v>1817.86</v>
      </c>
      <c r="BL1402" s="2" t="s">
        <v>4784</v>
      </c>
      <c r="BM1402" s="7">
        <v>0.0682</v>
      </c>
      <c r="BN1402" s="7">
        <v>0.0665</v>
      </c>
      <c r="BO1402" s="4">
        <v>3</v>
      </c>
      <c r="BP1402" s="8">
        <v>120.93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243</v>
      </c>
      <c r="BX1402" s="2" t="s">
        <v>4785</v>
      </c>
      <c r="BY1402" s="2" t="s">
        <v>113</v>
      </c>
      <c r="BZ1402" s="2" t="s">
        <v>100</v>
      </c>
    </row>
    <row r="1403">
      <c r="A1403" s="2" t="s">
        <v>4786</v>
      </c>
      <c r="B1403" s="2" t="s">
        <v>4434</v>
      </c>
      <c r="C1403" s="2" t="s">
        <v>4637</v>
      </c>
      <c r="D1403" s="2" t="s">
        <v>803</v>
      </c>
      <c r="E1403" s="2" t="s">
        <v>4586</v>
      </c>
      <c r="F1403" s="2" t="s">
        <v>4781</v>
      </c>
      <c r="G1403" s="2" t="s">
        <v>4781</v>
      </c>
      <c r="H1403" s="2" t="s">
        <v>4781</v>
      </c>
      <c r="I1403" s="2" t="s">
        <v>4782</v>
      </c>
      <c r="J1403" s="2" t="s">
        <v>247</v>
      </c>
      <c r="K1403" s="2" t="s">
        <v>189</v>
      </c>
      <c r="L1403" s="3">
        <v>49</v>
      </c>
      <c r="M1403" s="3">
        <v>51.45</v>
      </c>
      <c r="N1403" s="3">
        <v>99.99</v>
      </c>
      <c r="O1403" s="2" t="s">
        <v>97</v>
      </c>
      <c r="P1403" s="2" t="s">
        <v>119</v>
      </c>
      <c r="Q1403" s="2" t="s">
        <v>99</v>
      </c>
      <c r="R1403" s="2" t="s">
        <v>100</v>
      </c>
      <c r="S1403" s="2" t="s">
        <v>4783</v>
      </c>
      <c r="T1403" s="2" t="s">
        <v>280</v>
      </c>
      <c r="U1403" s="2" t="s">
        <v>100</v>
      </c>
      <c r="V1403" s="2" t="s">
        <v>146</v>
      </c>
      <c r="W1403" s="2" t="s">
        <v>183</v>
      </c>
      <c r="X1403" s="2" t="s">
        <v>100</v>
      </c>
      <c r="Y1403" s="2" t="s">
        <v>240</v>
      </c>
      <c r="Z1403" s="4">
        <v>189</v>
      </c>
      <c r="AA1403" s="4">
        <f>=ROUNDDOWN(31.5,0)</f>
      </c>
      <c r="AB1403" s="5">
        <v>6</v>
      </c>
      <c r="AC1403" s="2" t="s">
        <v>107</v>
      </c>
      <c r="AD1403" s="4">
        <v>110</v>
      </c>
      <c r="AE1403" s="4">
        <v>110</v>
      </c>
      <c r="AF1403" s="6">
        <v>66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60</v>
      </c>
      <c r="BK1403" s="8">
        <v>3131.3</v>
      </c>
      <c r="BL1403" s="2" t="s">
        <v>4787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243</v>
      </c>
      <c r="BX1403" s="2" t="s">
        <v>4788</v>
      </c>
      <c r="BY1403" s="2" t="s">
        <v>113</v>
      </c>
      <c r="BZ1403" s="2" t="s">
        <v>100</v>
      </c>
    </row>
    <row r="1404">
      <c r="A1404" s="2" t="s">
        <v>4789</v>
      </c>
      <c r="B1404" s="2" t="s">
        <v>4434</v>
      </c>
      <c r="C1404" s="2" t="s">
        <v>4637</v>
      </c>
      <c r="D1404" s="2" t="s">
        <v>803</v>
      </c>
      <c r="E1404" s="2" t="s">
        <v>4586</v>
      </c>
      <c r="F1404" s="2" t="s">
        <v>4781</v>
      </c>
      <c r="G1404" s="2" t="s">
        <v>4781</v>
      </c>
      <c r="H1404" s="2" t="s">
        <v>4781</v>
      </c>
      <c r="I1404" s="2" t="s">
        <v>4782</v>
      </c>
      <c r="J1404" s="2" t="s">
        <v>714</v>
      </c>
      <c r="K1404" s="2" t="s">
        <v>189</v>
      </c>
      <c r="L1404" s="3">
        <v>60</v>
      </c>
      <c r="M1404" s="3">
        <v>63</v>
      </c>
      <c r="N1404" s="3">
        <v>119.99</v>
      </c>
      <c r="O1404" s="2" t="s">
        <v>97</v>
      </c>
      <c r="P1404" s="2" t="s">
        <v>119</v>
      </c>
      <c r="Q1404" s="2" t="s">
        <v>99</v>
      </c>
      <c r="R1404" s="2" t="s">
        <v>100</v>
      </c>
      <c r="S1404" s="2" t="s">
        <v>4783</v>
      </c>
      <c r="T1404" s="2" t="s">
        <v>280</v>
      </c>
      <c r="U1404" s="2" t="s">
        <v>100</v>
      </c>
      <c r="V1404" s="2" t="s">
        <v>146</v>
      </c>
      <c r="W1404" s="2" t="s">
        <v>183</v>
      </c>
      <c r="X1404" s="2" t="s">
        <v>100</v>
      </c>
      <c r="Y1404" s="2" t="s">
        <v>240</v>
      </c>
      <c r="Z1404" s="4">
        <v>131</v>
      </c>
      <c r="AA1404" s="4">
        <f>=ROUNDDOWN(26.2,0)</f>
      </c>
      <c r="AB1404" s="5">
        <v>5</v>
      </c>
      <c r="AC1404" s="2" t="s">
        <v>107</v>
      </c>
      <c r="AD1404" s="4">
        <v>60</v>
      </c>
      <c r="AE1404" s="4">
        <v>110</v>
      </c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>
        <v>1</v>
      </c>
      <c r="AQ1404" s="8">
        <v>60.47</v>
      </c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0.3334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59</v>
      </c>
      <c r="BK1404" s="8">
        <v>3868.12</v>
      </c>
      <c r="BL1404" s="2" t="s">
        <v>4790</v>
      </c>
      <c r="BM1404" s="7">
        <v>0.0169</v>
      </c>
      <c r="BN1404" s="7">
        <v>0.0156</v>
      </c>
      <c r="BO1404" s="4">
        <v>1</v>
      </c>
      <c r="BP1404" s="8">
        <v>60.47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243</v>
      </c>
      <c r="BX1404" s="2" t="s">
        <v>4791</v>
      </c>
      <c r="BY1404" s="2" t="s">
        <v>113</v>
      </c>
      <c r="BZ1404" s="2" t="s">
        <v>100</v>
      </c>
    </row>
    <row r="1405">
      <c r="A1405" s="2" t="s">
        <v>4792</v>
      </c>
      <c r="B1405" s="2" t="s">
        <v>4434</v>
      </c>
      <c r="C1405" s="2" t="s">
        <v>4637</v>
      </c>
      <c r="D1405" s="2" t="s">
        <v>803</v>
      </c>
      <c r="E1405" s="2" t="s">
        <v>4586</v>
      </c>
      <c r="F1405" s="2" t="s">
        <v>4793</v>
      </c>
      <c r="G1405" s="2" t="s">
        <v>4793</v>
      </c>
      <c r="H1405" s="2" t="s">
        <v>4793</v>
      </c>
      <c r="I1405" s="2" t="s">
        <v>4782</v>
      </c>
      <c r="J1405" s="2" t="s">
        <v>1936</v>
      </c>
      <c r="K1405" s="2" t="s">
        <v>189</v>
      </c>
      <c r="L1405" s="3">
        <v>32.9</v>
      </c>
      <c r="M1405" s="3">
        <v>34.54</v>
      </c>
      <c r="N1405" s="3">
        <v>69.99</v>
      </c>
      <c r="O1405" s="2" t="s">
        <v>97</v>
      </c>
      <c r="P1405" s="2" t="s">
        <v>119</v>
      </c>
      <c r="Q1405" s="2" t="s">
        <v>99</v>
      </c>
      <c r="R1405" s="2" t="s">
        <v>100</v>
      </c>
      <c r="S1405" s="2" t="s">
        <v>4783</v>
      </c>
      <c r="T1405" s="2" t="s">
        <v>280</v>
      </c>
      <c r="U1405" s="2" t="s">
        <v>100</v>
      </c>
      <c r="V1405" s="2" t="s">
        <v>146</v>
      </c>
      <c r="W1405" s="2" t="s">
        <v>183</v>
      </c>
      <c r="X1405" s="2" t="s">
        <v>100</v>
      </c>
      <c r="Y1405" s="2" t="s">
        <v>240</v>
      </c>
      <c r="Z1405" s="4">
        <v>197</v>
      </c>
      <c r="AA1405" s="4">
        <f>=ROUNDDOWN(32.8333333333333,0)</f>
      </c>
      <c r="AB1405" s="5">
        <v>6</v>
      </c>
      <c r="AC1405" s="2" t="s">
        <v>562</v>
      </c>
      <c r="AD1405" s="4">
        <v>50</v>
      </c>
      <c r="AE1405" s="4">
        <v>50</v>
      </c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>
        <v>1</v>
      </c>
      <c r="AQ1405" s="8">
        <v>35.27</v>
      </c>
      <c r="AR1405" s="4"/>
      <c r="AS1405" s="8"/>
      <c r="AT1405" s="7"/>
      <c r="AU1405" s="7"/>
      <c r="AV1405" s="4">
        <v>1</v>
      </c>
      <c r="AW1405" s="8">
        <v>35.27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1</v>
      </c>
      <c r="BC1405" s="4">
        <v>1</v>
      </c>
      <c r="BD1405" s="8">
        <v>35.27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1</v>
      </c>
      <c r="BJ1405" s="4">
        <v>129</v>
      </c>
      <c r="BK1405" s="8">
        <v>4839.58</v>
      </c>
      <c r="BL1405" s="2" t="s">
        <v>124</v>
      </c>
      <c r="BM1405" s="7">
        <v>0.0078</v>
      </c>
      <c r="BN1405" s="7">
        <v>0.0073</v>
      </c>
      <c r="BO1405" s="4">
        <v>1</v>
      </c>
      <c r="BP1405" s="8">
        <v>35.27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243</v>
      </c>
      <c r="BX1405" s="2" t="s">
        <v>4794</v>
      </c>
      <c r="BY1405" s="2" t="s">
        <v>113</v>
      </c>
      <c r="BZ1405" s="2" t="s">
        <v>100</v>
      </c>
    </row>
    <row r="1406">
      <c r="A1406" s="2" t="s">
        <v>4795</v>
      </c>
      <c r="B1406" s="2" t="s">
        <v>4434</v>
      </c>
      <c r="C1406" s="2" t="s">
        <v>4637</v>
      </c>
      <c r="D1406" s="2" t="s">
        <v>803</v>
      </c>
      <c r="E1406" s="2" t="s">
        <v>4586</v>
      </c>
      <c r="F1406" s="2" t="s">
        <v>4793</v>
      </c>
      <c r="G1406" s="2" t="s">
        <v>4793</v>
      </c>
      <c r="H1406" s="2" t="s">
        <v>4793</v>
      </c>
      <c r="I1406" s="2" t="s">
        <v>4782</v>
      </c>
      <c r="J1406" s="2" t="s">
        <v>247</v>
      </c>
      <c r="K1406" s="2" t="s">
        <v>189</v>
      </c>
      <c r="L1406" s="3">
        <v>43.2</v>
      </c>
      <c r="M1406" s="3">
        <v>45.36</v>
      </c>
      <c r="N1406" s="3">
        <v>89.99</v>
      </c>
      <c r="O1406" s="2" t="s">
        <v>97</v>
      </c>
      <c r="P1406" s="2" t="s">
        <v>119</v>
      </c>
      <c r="Q1406" s="2" t="s">
        <v>99</v>
      </c>
      <c r="R1406" s="2" t="s">
        <v>100</v>
      </c>
      <c r="S1406" s="2" t="s">
        <v>4783</v>
      </c>
      <c r="T1406" s="2" t="s">
        <v>280</v>
      </c>
      <c r="U1406" s="2" t="s">
        <v>100</v>
      </c>
      <c r="V1406" s="2" t="s">
        <v>146</v>
      </c>
      <c r="W1406" s="2" t="s">
        <v>183</v>
      </c>
      <c r="X1406" s="2" t="s">
        <v>100</v>
      </c>
      <c r="Y1406" s="2" t="s">
        <v>240</v>
      </c>
      <c r="Z1406" s="4">
        <v>267</v>
      </c>
      <c r="AA1406" s="4">
        <f>=ROUNDDOWN(33.375,0)</f>
      </c>
      <c r="AB1406" s="5">
        <v>8</v>
      </c>
      <c r="AC1406" s="2" t="s">
        <v>562</v>
      </c>
      <c r="AD1406" s="4">
        <v>110</v>
      </c>
      <c r="AE1406" s="4">
        <v>110</v>
      </c>
      <c r="AF1406" s="6">
        <v>66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130</v>
      </c>
      <c r="BK1406" s="8">
        <v>6013.01</v>
      </c>
      <c r="BL1406" s="2" t="s">
        <v>4796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243</v>
      </c>
      <c r="BX1406" s="2" t="s">
        <v>4797</v>
      </c>
      <c r="BY1406" s="2" t="s">
        <v>113</v>
      </c>
      <c r="BZ1406" s="2" t="s">
        <v>100</v>
      </c>
    </row>
    <row r="1407">
      <c r="A1407" s="2" t="s">
        <v>4798</v>
      </c>
      <c r="B1407" s="2" t="s">
        <v>4434</v>
      </c>
      <c r="C1407" s="2" t="s">
        <v>4637</v>
      </c>
      <c r="D1407" s="2" t="s">
        <v>803</v>
      </c>
      <c r="E1407" s="2" t="s">
        <v>4586</v>
      </c>
      <c r="F1407" s="2" t="s">
        <v>4793</v>
      </c>
      <c r="G1407" s="2" t="s">
        <v>4793</v>
      </c>
      <c r="H1407" s="2" t="s">
        <v>4793</v>
      </c>
      <c r="I1407" s="2" t="s">
        <v>4782</v>
      </c>
      <c r="J1407" s="2" t="s">
        <v>714</v>
      </c>
      <c r="K1407" s="2" t="s">
        <v>189</v>
      </c>
      <c r="L1407" s="3">
        <v>55</v>
      </c>
      <c r="M1407" s="3">
        <v>57.75</v>
      </c>
      <c r="N1407" s="3">
        <v>109.99</v>
      </c>
      <c r="O1407" s="2" t="s">
        <v>97</v>
      </c>
      <c r="P1407" s="2" t="s">
        <v>119</v>
      </c>
      <c r="Q1407" s="2" t="s">
        <v>99</v>
      </c>
      <c r="R1407" s="2" t="s">
        <v>100</v>
      </c>
      <c r="S1407" s="2" t="s">
        <v>4783</v>
      </c>
      <c r="T1407" s="2" t="s">
        <v>280</v>
      </c>
      <c r="U1407" s="2" t="s">
        <v>100</v>
      </c>
      <c r="V1407" s="2" t="s">
        <v>146</v>
      </c>
      <c r="W1407" s="2" t="s">
        <v>183</v>
      </c>
      <c r="X1407" s="2" t="s">
        <v>100</v>
      </c>
      <c r="Y1407" s="2" t="s">
        <v>240</v>
      </c>
      <c r="Z1407" s="4">
        <v>185</v>
      </c>
      <c r="AA1407" s="4">
        <f>=ROUNDDOWN(23.125,0)</f>
      </c>
      <c r="AB1407" s="5">
        <v>8</v>
      </c>
      <c r="AC1407" s="2" t="s">
        <v>107</v>
      </c>
      <c r="AD1407" s="4">
        <v>180</v>
      </c>
      <c r="AE1407" s="4">
        <v>180</v>
      </c>
      <c r="AF1407" s="6">
        <v>66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114</v>
      </c>
      <c r="BK1407" s="8">
        <v>6649.49</v>
      </c>
      <c r="BL1407" s="2" t="s">
        <v>4796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243</v>
      </c>
      <c r="BX1407" s="2" t="s">
        <v>4799</v>
      </c>
      <c r="BY1407" s="2" t="s">
        <v>113</v>
      </c>
      <c r="BZ1407" s="2" t="s">
        <v>100</v>
      </c>
    </row>
    <row r="1408">
      <c r="A1408" s="2" t="s">
        <v>4800</v>
      </c>
      <c r="B1408" s="2" t="s">
        <v>4434</v>
      </c>
      <c r="C1408" s="2" t="s">
        <v>4637</v>
      </c>
      <c r="D1408" s="2" t="s">
        <v>803</v>
      </c>
      <c r="E1408" s="2" t="s">
        <v>4586</v>
      </c>
      <c r="F1408" s="2" t="s">
        <v>4801</v>
      </c>
      <c r="G1408" s="2" t="s">
        <v>4802</v>
      </c>
      <c r="H1408" s="2" t="s">
        <v>4802</v>
      </c>
      <c r="I1408" s="2" t="s">
        <v>4803</v>
      </c>
      <c r="J1408" s="2" t="s">
        <v>1936</v>
      </c>
      <c r="K1408" s="2" t="s">
        <v>189</v>
      </c>
      <c r="L1408" s="3">
        <v>24</v>
      </c>
      <c r="M1408" s="3">
        <v>25.2</v>
      </c>
      <c r="N1408" s="3">
        <v>49.99</v>
      </c>
      <c r="O1408" s="2" t="s">
        <v>97</v>
      </c>
      <c r="P1408" s="2" t="s">
        <v>119</v>
      </c>
      <c r="Q1408" s="2" t="s">
        <v>99</v>
      </c>
      <c r="R1408" s="2" t="s">
        <v>100</v>
      </c>
      <c r="S1408" s="2" t="s">
        <v>4804</v>
      </c>
      <c r="T1408" s="2" t="s">
        <v>218</v>
      </c>
      <c r="U1408" s="2" t="s">
        <v>100</v>
      </c>
      <c r="V1408" s="2" t="s">
        <v>146</v>
      </c>
      <c r="W1408" s="2" t="s">
        <v>183</v>
      </c>
      <c r="X1408" s="2" t="s">
        <v>100</v>
      </c>
      <c r="Y1408" s="2" t="s">
        <v>240</v>
      </c>
      <c r="Z1408" s="4">
        <v>128</v>
      </c>
      <c r="AA1408" s="4">
        <f>=ROUNDDOWN(32,0)</f>
      </c>
      <c r="AB1408" s="5">
        <v>4</v>
      </c>
      <c r="AC1408" s="2" t="s">
        <v>241</v>
      </c>
      <c r="AD1408" s="4">
        <v>120</v>
      </c>
      <c r="AE1408" s="4">
        <v>120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>
        <v>1</v>
      </c>
      <c r="AQ1408" s="8">
        <v>28.88</v>
      </c>
      <c r="AR1408" s="4"/>
      <c r="AS1408" s="8"/>
      <c r="AT1408" s="7"/>
      <c r="AU1408" s="7"/>
      <c r="AV1408" s="4">
        <v>1</v>
      </c>
      <c r="AW1408" s="8">
        <v>28.88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1</v>
      </c>
      <c r="BC1408" s="4">
        <v>1</v>
      </c>
      <c r="BD1408" s="8">
        <v>28.88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1</v>
      </c>
      <c r="BJ1408" s="4">
        <v>46</v>
      </c>
      <c r="BK1408" s="8">
        <v>1224.02</v>
      </c>
      <c r="BL1408" s="2" t="s">
        <v>4805</v>
      </c>
      <c r="BM1408" s="7">
        <v>0.0217</v>
      </c>
      <c r="BN1408" s="7">
        <v>0.0236</v>
      </c>
      <c r="BO1408" s="4">
        <v>1</v>
      </c>
      <c r="BP1408" s="8">
        <v>28.88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243</v>
      </c>
      <c r="BX1408" s="2" t="s">
        <v>4806</v>
      </c>
      <c r="BY1408" s="2" t="s">
        <v>113</v>
      </c>
      <c r="BZ1408" s="2" t="s">
        <v>100</v>
      </c>
    </row>
    <row r="1409">
      <c r="A1409" s="2" t="s">
        <v>4807</v>
      </c>
      <c r="B1409" s="2" t="s">
        <v>4434</v>
      </c>
      <c r="C1409" s="2" t="s">
        <v>4637</v>
      </c>
      <c r="D1409" s="2" t="s">
        <v>803</v>
      </c>
      <c r="E1409" s="2" t="s">
        <v>4586</v>
      </c>
      <c r="F1409" s="2" t="s">
        <v>4801</v>
      </c>
      <c r="G1409" s="2" t="s">
        <v>4802</v>
      </c>
      <c r="H1409" s="2" t="s">
        <v>4802</v>
      </c>
      <c r="I1409" s="2" t="s">
        <v>4803</v>
      </c>
      <c r="J1409" s="2" t="s">
        <v>247</v>
      </c>
      <c r="K1409" s="2" t="s">
        <v>189</v>
      </c>
      <c r="L1409" s="3">
        <v>32.5</v>
      </c>
      <c r="M1409" s="3">
        <v>34.12</v>
      </c>
      <c r="N1409" s="3">
        <v>64.99</v>
      </c>
      <c r="O1409" s="2" t="s">
        <v>97</v>
      </c>
      <c r="P1409" s="2" t="s">
        <v>119</v>
      </c>
      <c r="Q1409" s="2" t="s">
        <v>99</v>
      </c>
      <c r="R1409" s="2" t="s">
        <v>100</v>
      </c>
      <c r="S1409" s="2" t="s">
        <v>4804</v>
      </c>
      <c r="T1409" s="2" t="s">
        <v>218</v>
      </c>
      <c r="U1409" s="2" t="s">
        <v>100</v>
      </c>
      <c r="V1409" s="2" t="s">
        <v>146</v>
      </c>
      <c r="W1409" s="2" t="s">
        <v>183</v>
      </c>
      <c r="X1409" s="2" t="s">
        <v>100</v>
      </c>
      <c r="Y1409" s="2" t="s">
        <v>240</v>
      </c>
      <c r="Z1409" s="4">
        <v>252</v>
      </c>
      <c r="AA1409" s="4">
        <f>=ROUNDDOWN(25.2,0)</f>
      </c>
      <c r="AB1409" s="5">
        <v>10</v>
      </c>
      <c r="AC1409" s="2" t="s">
        <v>241</v>
      </c>
      <c r="AD1409" s="4">
        <v>780</v>
      </c>
      <c r="AE1409" s="4">
        <v>780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191</v>
      </c>
      <c r="BK1409" s="8">
        <v>7142.31</v>
      </c>
      <c r="BL1409" s="2" t="s">
        <v>4808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243</v>
      </c>
      <c r="BX1409" s="2" t="s">
        <v>4809</v>
      </c>
      <c r="BY1409" s="2" t="s">
        <v>113</v>
      </c>
      <c r="BZ1409" s="2" t="s">
        <v>100</v>
      </c>
    </row>
    <row r="1410">
      <c r="A1410" s="2" t="s">
        <v>4810</v>
      </c>
      <c r="B1410" s="2" t="s">
        <v>4434</v>
      </c>
      <c r="C1410" s="2" t="s">
        <v>4637</v>
      </c>
      <c r="D1410" s="2" t="s">
        <v>803</v>
      </c>
      <c r="E1410" s="2" t="s">
        <v>4586</v>
      </c>
      <c r="F1410" s="2" t="s">
        <v>4801</v>
      </c>
      <c r="G1410" s="2" t="s">
        <v>4802</v>
      </c>
      <c r="H1410" s="2" t="s">
        <v>4802</v>
      </c>
      <c r="I1410" s="2" t="s">
        <v>4803</v>
      </c>
      <c r="J1410" s="2" t="s">
        <v>270</v>
      </c>
      <c r="K1410" s="2" t="s">
        <v>189</v>
      </c>
      <c r="L1410" s="3">
        <v>37.5</v>
      </c>
      <c r="M1410" s="3">
        <v>39.38</v>
      </c>
      <c r="N1410" s="3">
        <v>74.99</v>
      </c>
      <c r="O1410" s="2" t="s">
        <v>97</v>
      </c>
      <c r="P1410" s="2" t="s">
        <v>119</v>
      </c>
      <c r="Q1410" s="2" t="s">
        <v>99</v>
      </c>
      <c r="R1410" s="2" t="s">
        <v>100</v>
      </c>
      <c r="S1410" s="2" t="s">
        <v>4804</v>
      </c>
      <c r="T1410" s="2" t="s">
        <v>218</v>
      </c>
      <c r="U1410" s="2" t="s">
        <v>100</v>
      </c>
      <c r="V1410" s="2" t="s">
        <v>146</v>
      </c>
      <c r="W1410" s="2" t="s">
        <v>183</v>
      </c>
      <c r="X1410" s="2" t="s">
        <v>100</v>
      </c>
      <c r="Y1410" s="2" t="s">
        <v>1041</v>
      </c>
      <c r="Z1410" s="4">
        <v>324</v>
      </c>
      <c r="AA1410" s="4">
        <f>=ROUNDDOWN(32.4,0)</f>
      </c>
      <c r="AB1410" s="5">
        <v>10</v>
      </c>
      <c r="AC1410" s="2" t="s">
        <v>241</v>
      </c>
      <c r="AD1410" s="4">
        <v>600</v>
      </c>
      <c r="AE1410" s="4">
        <v>600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169</v>
      </c>
      <c r="BK1410" s="8">
        <v>7236.26</v>
      </c>
      <c r="BL1410" s="2" t="s">
        <v>4811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243</v>
      </c>
      <c r="BX1410" s="2" t="s">
        <v>4812</v>
      </c>
      <c r="BY1410" s="2" t="s">
        <v>113</v>
      </c>
      <c r="BZ1410" s="2" t="s">
        <v>100</v>
      </c>
    </row>
    <row r="1411">
      <c r="A1411" s="2" t="s">
        <v>4813</v>
      </c>
      <c r="B1411" s="2" t="s">
        <v>4434</v>
      </c>
      <c r="C1411" s="2" t="s">
        <v>4637</v>
      </c>
      <c r="D1411" s="2" t="s">
        <v>803</v>
      </c>
      <c r="E1411" s="2" t="s">
        <v>4586</v>
      </c>
      <c r="F1411" s="2" t="s">
        <v>4814</v>
      </c>
      <c r="G1411" s="2" t="s">
        <v>4814</v>
      </c>
      <c r="H1411" s="2" t="s">
        <v>4814</v>
      </c>
      <c r="I1411" s="2" t="s">
        <v>4782</v>
      </c>
      <c r="J1411" s="2" t="s">
        <v>247</v>
      </c>
      <c r="K1411" s="2" t="s">
        <v>189</v>
      </c>
      <c r="L1411" s="3">
        <v>55</v>
      </c>
      <c r="M1411" s="3">
        <v>57.75</v>
      </c>
      <c r="N1411" s="3">
        <v>109.99</v>
      </c>
      <c r="O1411" s="2" t="s">
        <v>97</v>
      </c>
      <c r="P1411" s="2" t="s">
        <v>119</v>
      </c>
      <c r="Q1411" s="2" t="s">
        <v>99</v>
      </c>
      <c r="R1411" s="2" t="s">
        <v>100</v>
      </c>
      <c r="S1411" s="2" t="s">
        <v>4783</v>
      </c>
      <c r="T1411" s="2" t="s">
        <v>280</v>
      </c>
      <c r="U1411" s="2" t="s">
        <v>100</v>
      </c>
      <c r="V1411" s="2" t="s">
        <v>146</v>
      </c>
      <c r="W1411" s="2" t="s">
        <v>183</v>
      </c>
      <c r="X1411" s="2" t="s">
        <v>100</v>
      </c>
      <c r="Y1411" s="2" t="s">
        <v>240</v>
      </c>
      <c r="Z1411" s="4">
        <v>154</v>
      </c>
      <c r="AA1411" s="4">
        <f>=ROUNDDOWN(19.25,0)</f>
      </c>
      <c r="AB1411" s="5">
        <v>8</v>
      </c>
      <c r="AC1411" s="2" t="s">
        <v>107</v>
      </c>
      <c r="AD1411" s="4">
        <v>160</v>
      </c>
      <c r="AE1411" s="4">
        <v>160</v>
      </c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/>
      <c r="BJ1411" s="4">
        <v>139</v>
      </c>
      <c r="BK1411" s="8">
        <v>7905.55</v>
      </c>
      <c r="BL1411" s="2" t="s">
        <v>780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243</v>
      </c>
      <c r="BX1411" s="2" t="s">
        <v>4815</v>
      </c>
      <c r="BY1411" s="2" t="s">
        <v>113</v>
      </c>
      <c r="BZ1411" s="2" t="s">
        <v>100</v>
      </c>
    </row>
    <row r="1412">
      <c r="A1412" s="2" t="s">
        <v>4816</v>
      </c>
      <c r="B1412" s="2" t="s">
        <v>4434</v>
      </c>
      <c r="C1412" s="2" t="s">
        <v>4637</v>
      </c>
      <c r="D1412" s="2" t="s">
        <v>803</v>
      </c>
      <c r="E1412" s="2" t="s">
        <v>4586</v>
      </c>
      <c r="F1412" s="2" t="s">
        <v>4814</v>
      </c>
      <c r="G1412" s="2" t="s">
        <v>4814</v>
      </c>
      <c r="H1412" s="2" t="s">
        <v>4814</v>
      </c>
      <c r="I1412" s="2" t="s">
        <v>4782</v>
      </c>
      <c r="J1412" s="2" t="s">
        <v>714</v>
      </c>
      <c r="K1412" s="2" t="s">
        <v>189</v>
      </c>
      <c r="L1412" s="3">
        <v>65</v>
      </c>
      <c r="M1412" s="3">
        <v>68.25</v>
      </c>
      <c r="N1412" s="3">
        <v>129.99</v>
      </c>
      <c r="O1412" s="2" t="s">
        <v>97</v>
      </c>
      <c r="P1412" s="2" t="s">
        <v>119</v>
      </c>
      <c r="Q1412" s="2" t="s">
        <v>99</v>
      </c>
      <c r="R1412" s="2" t="s">
        <v>100</v>
      </c>
      <c r="S1412" s="2" t="s">
        <v>4783</v>
      </c>
      <c r="T1412" s="2" t="s">
        <v>280</v>
      </c>
      <c r="U1412" s="2" t="s">
        <v>100</v>
      </c>
      <c r="V1412" s="2" t="s">
        <v>146</v>
      </c>
      <c r="W1412" s="2" t="s">
        <v>183</v>
      </c>
      <c r="X1412" s="2" t="s">
        <v>100</v>
      </c>
      <c r="Y1412" s="2" t="s">
        <v>240</v>
      </c>
      <c r="Z1412" s="4">
        <v>165</v>
      </c>
      <c r="AA1412" s="4">
        <f>=ROUNDDOWN(23.5714285714286,0)</f>
      </c>
      <c r="AB1412" s="5">
        <v>7</v>
      </c>
      <c r="AC1412" s="2" t="s">
        <v>107</v>
      </c>
      <c r="AD1412" s="4">
        <v>110</v>
      </c>
      <c r="AE1412" s="4">
        <v>110</v>
      </c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/>
      <c r="BJ1412" s="4">
        <v>75</v>
      </c>
      <c r="BK1412" s="8">
        <v>5132.47</v>
      </c>
      <c r="BL1412" s="2" t="s">
        <v>553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243</v>
      </c>
      <c r="BX1412" s="2" t="s">
        <v>4817</v>
      </c>
      <c r="BY1412" s="2" t="s">
        <v>113</v>
      </c>
      <c r="BZ1412" s="2" t="s">
        <v>100</v>
      </c>
    </row>
    <row r="1413">
      <c r="A1413" s="2" t="s">
        <v>4818</v>
      </c>
      <c r="B1413" s="2" t="s">
        <v>4434</v>
      </c>
      <c r="C1413" s="2" t="s">
        <v>4637</v>
      </c>
      <c r="D1413" s="2" t="s">
        <v>803</v>
      </c>
      <c r="E1413" s="2" t="s">
        <v>4586</v>
      </c>
      <c r="F1413" s="2" t="s">
        <v>4819</v>
      </c>
      <c r="G1413" s="2" t="s">
        <v>4819</v>
      </c>
      <c r="H1413" s="2" t="s">
        <v>4819</v>
      </c>
      <c r="I1413" s="2" t="s">
        <v>4820</v>
      </c>
      <c r="J1413" s="2" t="s">
        <v>237</v>
      </c>
      <c r="K1413" s="2" t="s">
        <v>189</v>
      </c>
      <c r="L1413" s="3">
        <v>21.42</v>
      </c>
      <c r="M1413" s="3">
        <v>22.5</v>
      </c>
      <c r="N1413" s="3">
        <v>49.99</v>
      </c>
      <c r="O1413" s="2" t="s">
        <v>97</v>
      </c>
      <c r="P1413" s="2" t="s">
        <v>119</v>
      </c>
      <c r="Q1413" s="2" t="s">
        <v>99</v>
      </c>
      <c r="R1413" s="2" t="s">
        <v>100</v>
      </c>
      <c r="S1413" s="2" t="s">
        <v>4821</v>
      </c>
      <c r="T1413" s="2" t="s">
        <v>100</v>
      </c>
      <c r="U1413" s="2" t="s">
        <v>1847</v>
      </c>
      <c r="V1413" s="2" t="s">
        <v>146</v>
      </c>
      <c r="W1413" s="2" t="s">
        <v>183</v>
      </c>
      <c r="X1413" s="2" t="s">
        <v>100</v>
      </c>
      <c r="Y1413" s="2" t="s">
        <v>4822</v>
      </c>
      <c r="Z1413" s="4">
        <v>289</v>
      </c>
      <c r="AA1413" s="4">
        <f>=ROUNDDOWN(57.8,0)</f>
      </c>
      <c r="AB1413" s="5">
        <v>5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/>
      <c r="BJ1413" s="4">
        <v>212</v>
      </c>
      <c r="BK1413" s="8">
        <v>4971.47</v>
      </c>
      <c r="BL1413" s="2" t="s">
        <v>4823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207</v>
      </c>
      <c r="BV1413" s="2" t="s">
        <v>97</v>
      </c>
      <c r="BW1413" s="2" t="s">
        <v>100</v>
      </c>
      <c r="BX1413" s="2" t="s">
        <v>100</v>
      </c>
      <c r="BY1413" s="2" t="s">
        <v>113</v>
      </c>
      <c r="BZ1413" s="2" t="s">
        <v>100</v>
      </c>
    </row>
    <row r="1414">
      <c r="A1414" s="2" t="s">
        <v>4824</v>
      </c>
      <c r="B1414" s="2" t="s">
        <v>4434</v>
      </c>
      <c r="C1414" s="2" t="s">
        <v>4637</v>
      </c>
      <c r="D1414" s="2" t="s">
        <v>803</v>
      </c>
      <c r="E1414" s="2" t="s">
        <v>4586</v>
      </c>
      <c r="F1414" s="2" t="s">
        <v>4819</v>
      </c>
      <c r="G1414" s="2" t="s">
        <v>4819</v>
      </c>
      <c r="H1414" s="2" t="s">
        <v>4819</v>
      </c>
      <c r="I1414" s="2" t="s">
        <v>4820</v>
      </c>
      <c r="J1414" s="2" t="s">
        <v>247</v>
      </c>
      <c r="K1414" s="2" t="s">
        <v>189</v>
      </c>
      <c r="L1414" s="3">
        <v>25.14</v>
      </c>
      <c r="M1414" s="3">
        <v>26.4</v>
      </c>
      <c r="N1414" s="3">
        <v>54.99</v>
      </c>
      <c r="O1414" s="2" t="s">
        <v>97</v>
      </c>
      <c r="P1414" s="2" t="s">
        <v>119</v>
      </c>
      <c r="Q1414" s="2" t="s">
        <v>99</v>
      </c>
      <c r="R1414" s="2" t="s">
        <v>100</v>
      </c>
      <c r="S1414" s="2" t="s">
        <v>4821</v>
      </c>
      <c r="T1414" s="2" t="s">
        <v>100</v>
      </c>
      <c r="U1414" s="2" t="s">
        <v>1847</v>
      </c>
      <c r="V1414" s="2" t="s">
        <v>146</v>
      </c>
      <c r="W1414" s="2" t="s">
        <v>183</v>
      </c>
      <c r="X1414" s="2" t="s">
        <v>100</v>
      </c>
      <c r="Y1414" s="2" t="s">
        <v>4822</v>
      </c>
      <c r="Z1414" s="4">
        <v>715</v>
      </c>
      <c r="AA1414" s="4">
        <f>=ROUNDDOWN(51.0714285714286,0)</f>
      </c>
      <c r="AB1414" s="5">
        <v>14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/>
      <c r="BJ1414" s="4">
        <v>319</v>
      </c>
      <c r="BK1414" s="8">
        <v>8945.85</v>
      </c>
      <c r="BL1414" s="2" t="s">
        <v>4698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207</v>
      </c>
      <c r="BV1414" s="2" t="s">
        <v>97</v>
      </c>
      <c r="BW1414" s="2" t="s">
        <v>100</v>
      </c>
      <c r="BX1414" s="2" t="s">
        <v>100</v>
      </c>
      <c r="BY1414" s="2" t="s">
        <v>113</v>
      </c>
      <c r="BZ1414" s="2" t="s">
        <v>100</v>
      </c>
    </row>
    <row r="1415">
      <c r="A1415" s="2" t="s">
        <v>4825</v>
      </c>
      <c r="B1415" s="2" t="s">
        <v>4434</v>
      </c>
      <c r="C1415" s="2" t="s">
        <v>4637</v>
      </c>
      <c r="D1415" s="2" t="s">
        <v>803</v>
      </c>
      <c r="E1415" s="2" t="s">
        <v>4586</v>
      </c>
      <c r="F1415" s="2" t="s">
        <v>4819</v>
      </c>
      <c r="G1415" s="2" t="s">
        <v>4819</v>
      </c>
      <c r="H1415" s="2" t="s">
        <v>4819</v>
      </c>
      <c r="I1415" s="2" t="s">
        <v>4820</v>
      </c>
      <c r="J1415" s="2" t="s">
        <v>270</v>
      </c>
      <c r="K1415" s="2" t="s">
        <v>189</v>
      </c>
      <c r="L1415" s="3">
        <v>28.57</v>
      </c>
      <c r="M1415" s="3">
        <v>30</v>
      </c>
      <c r="N1415" s="3">
        <v>59.99</v>
      </c>
      <c r="O1415" s="2" t="s">
        <v>97</v>
      </c>
      <c r="P1415" s="2" t="s">
        <v>119</v>
      </c>
      <c r="Q1415" s="2" t="s">
        <v>99</v>
      </c>
      <c r="R1415" s="2" t="s">
        <v>100</v>
      </c>
      <c r="S1415" s="2" t="s">
        <v>4821</v>
      </c>
      <c r="T1415" s="2" t="s">
        <v>100</v>
      </c>
      <c r="U1415" s="2" t="s">
        <v>1847</v>
      </c>
      <c r="V1415" s="2" t="s">
        <v>146</v>
      </c>
      <c r="W1415" s="2" t="s">
        <v>183</v>
      </c>
      <c r="X1415" s="2" t="s">
        <v>100</v>
      </c>
      <c r="Y1415" s="2" t="s">
        <v>4822</v>
      </c>
      <c r="Z1415" s="4">
        <v>1084</v>
      </c>
      <c r="AA1415" s="4">
        <f>=ROUNDDOWN(54.2,0)</f>
      </c>
      <c r="AB1415" s="5">
        <v>20</v>
      </c>
      <c r="AC1415" s="2" t="s">
        <v>100</v>
      </c>
      <c r="AD1415" s="4"/>
      <c r="AE1415" s="4"/>
      <c r="AF1415" s="6">
        <v>65</v>
      </c>
      <c r="AG1415" s="6"/>
      <c r="AH1415" s="7">
        <v>0.7701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/>
      <c r="BJ1415" s="4">
        <v>351</v>
      </c>
      <c r="BK1415" s="8">
        <v>11108.45</v>
      </c>
      <c r="BL1415" s="2" t="s">
        <v>4826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207</v>
      </c>
      <c r="BV1415" s="2" t="s">
        <v>97</v>
      </c>
      <c r="BW1415" s="2" t="s">
        <v>100</v>
      </c>
      <c r="BX1415" s="2" t="s">
        <v>100</v>
      </c>
      <c r="BY1415" s="2" t="s">
        <v>113</v>
      </c>
      <c r="BZ1415" s="2" t="s">
        <v>100</v>
      </c>
    </row>
    <row r="1416">
      <c r="A1416" s="2" t="s">
        <v>4827</v>
      </c>
      <c r="B1416" s="2" t="s">
        <v>4434</v>
      </c>
      <c r="C1416" s="2" t="s">
        <v>4637</v>
      </c>
      <c r="D1416" s="2" t="s">
        <v>803</v>
      </c>
      <c r="E1416" s="2" t="s">
        <v>4828</v>
      </c>
      <c r="F1416" s="2" t="s">
        <v>4829</v>
      </c>
      <c r="G1416" s="2" t="s">
        <v>4829</v>
      </c>
      <c r="H1416" s="2" t="s">
        <v>4829</v>
      </c>
      <c r="I1416" s="2" t="s">
        <v>4830</v>
      </c>
      <c r="J1416" s="2" t="s">
        <v>714</v>
      </c>
      <c r="K1416" s="2" t="s">
        <v>189</v>
      </c>
      <c r="L1416" s="3">
        <v>21.6</v>
      </c>
      <c r="M1416" s="3">
        <v>22.68</v>
      </c>
      <c r="N1416" s="3">
        <v>44.99</v>
      </c>
      <c r="O1416" s="2" t="s">
        <v>97</v>
      </c>
      <c r="P1416" s="2" t="s">
        <v>119</v>
      </c>
      <c r="Q1416" s="2" t="s">
        <v>99</v>
      </c>
      <c r="R1416" s="2" t="s">
        <v>100</v>
      </c>
      <c r="S1416" s="2" t="s">
        <v>4831</v>
      </c>
      <c r="T1416" s="2" t="s">
        <v>218</v>
      </c>
      <c r="U1416" s="2" t="s">
        <v>100</v>
      </c>
      <c r="V1416" s="2" t="s">
        <v>146</v>
      </c>
      <c r="W1416" s="2" t="s">
        <v>183</v>
      </c>
      <c r="X1416" s="2" t="s">
        <v>100</v>
      </c>
      <c r="Y1416" s="2" t="s">
        <v>240</v>
      </c>
      <c r="Z1416" s="4">
        <v>408</v>
      </c>
      <c r="AA1416" s="4">
        <f>=ROUNDDOWN(21.4736842105263,0)</f>
      </c>
      <c r="AB1416" s="5">
        <v>19</v>
      </c>
      <c r="AC1416" s="2" t="s">
        <v>3297</v>
      </c>
      <c r="AD1416" s="4">
        <v>72</v>
      </c>
      <c r="AE1416" s="4">
        <v>502</v>
      </c>
      <c r="AF1416" s="6">
        <v>65</v>
      </c>
      <c r="AG1416" s="6">
        <v>48</v>
      </c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>
        <v>6</v>
      </c>
      <c r="AQ1416" s="8">
        <v>157.44</v>
      </c>
      <c r="AR1416" s="4"/>
      <c r="AS1416" s="8"/>
      <c r="AT1416" s="7"/>
      <c r="AU1416" s="7"/>
      <c r="AV1416" s="4">
        <v>6</v>
      </c>
      <c r="AW1416" s="8">
        <v>157.44</v>
      </c>
      <c r="AX1416" s="4"/>
      <c r="AY1416" s="8"/>
      <c r="AZ1416" s="7"/>
      <c r="BA1416" s="7"/>
      <c r="BB1416" s="7">
        <v>1</v>
      </c>
      <c r="BC1416" s="4">
        <v>6</v>
      </c>
      <c r="BD1416" s="8">
        <v>157.44</v>
      </c>
      <c r="BE1416" s="4"/>
      <c r="BF1416" s="8"/>
      <c r="BG1416" s="7"/>
      <c r="BH1416" s="7"/>
      <c r="BI1416" s="7">
        <v>1</v>
      </c>
      <c r="BJ1416" s="4">
        <v>535</v>
      </c>
      <c r="BK1416" s="8">
        <v>12799.86</v>
      </c>
      <c r="BL1416" s="2" t="s">
        <v>4832</v>
      </c>
      <c r="BM1416" s="7">
        <v>0.0112</v>
      </c>
      <c r="BN1416" s="7">
        <v>0.0123</v>
      </c>
      <c r="BO1416" s="4">
        <v>6</v>
      </c>
      <c r="BP1416" s="8">
        <v>157.44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243</v>
      </c>
      <c r="BX1416" s="2" t="s">
        <v>4833</v>
      </c>
      <c r="BY1416" s="2" t="s">
        <v>113</v>
      </c>
      <c r="BZ1416" s="2" t="s">
        <v>100</v>
      </c>
    </row>
    <row r="1417">
      <c r="A1417" s="2" t="s">
        <v>4834</v>
      </c>
      <c r="B1417" s="2" t="s">
        <v>4434</v>
      </c>
      <c r="C1417" s="2" t="s">
        <v>4637</v>
      </c>
      <c r="D1417" s="2" t="s">
        <v>4473</v>
      </c>
      <c r="E1417" s="2" t="s">
        <v>4474</v>
      </c>
      <c r="F1417" s="2" t="s">
        <v>4835</v>
      </c>
      <c r="G1417" s="2" t="s">
        <v>100</v>
      </c>
      <c r="H1417" s="2" t="s">
        <v>100</v>
      </c>
      <c r="I1417" s="2" t="s">
        <v>4836</v>
      </c>
      <c r="J1417" s="2" t="s">
        <v>1936</v>
      </c>
      <c r="K1417" s="2" t="s">
        <v>189</v>
      </c>
      <c r="L1417" s="3">
        <v>36.8</v>
      </c>
      <c r="M1417" s="3">
        <v>38.64</v>
      </c>
      <c r="N1417" s="3">
        <v>79.99</v>
      </c>
      <c r="O1417" s="2" t="s">
        <v>97</v>
      </c>
      <c r="P1417" s="2" t="s">
        <v>119</v>
      </c>
      <c r="Q1417" s="2" t="s">
        <v>99</v>
      </c>
      <c r="R1417" s="2" t="s">
        <v>100</v>
      </c>
      <c r="S1417" s="2" t="s">
        <v>4837</v>
      </c>
      <c r="T1417" s="2" t="s">
        <v>4838</v>
      </c>
      <c r="U1417" s="2" t="s">
        <v>100</v>
      </c>
      <c r="V1417" s="2" t="s">
        <v>146</v>
      </c>
      <c r="W1417" s="2" t="s">
        <v>183</v>
      </c>
      <c r="X1417" s="2" t="s">
        <v>100</v>
      </c>
      <c r="Y1417" s="2" t="s">
        <v>240</v>
      </c>
      <c r="Z1417" s="4">
        <v>136</v>
      </c>
      <c r="AA1417" s="4">
        <f>=ROUNDDOWN(17,0)</f>
      </c>
      <c r="AB1417" s="5">
        <v>8</v>
      </c>
      <c r="AC1417" s="2" t="s">
        <v>931</v>
      </c>
      <c r="AD1417" s="4">
        <v>100</v>
      </c>
      <c r="AE1417" s="4">
        <v>270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>
        <v>2</v>
      </c>
      <c r="AQ1417" s="8">
        <v>76.18</v>
      </c>
      <c r="AR1417" s="4"/>
      <c r="AS1417" s="8"/>
      <c r="AT1417" s="7"/>
      <c r="AU1417" s="7"/>
      <c r="AV1417" s="4">
        <v>4</v>
      </c>
      <c r="AW1417" s="8">
        <v>163.26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0.4666</v>
      </c>
      <c r="BC1417" s="4">
        <v>4</v>
      </c>
      <c r="BD1417" s="8">
        <v>163.26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1</v>
      </c>
      <c r="BJ1417" s="4">
        <v>145</v>
      </c>
      <c r="BK1417" s="8">
        <v>5686.19</v>
      </c>
      <c r="BL1417" s="2" t="s">
        <v>4839</v>
      </c>
      <c r="BM1417" s="7">
        <v>0.0138</v>
      </c>
      <c r="BN1417" s="7">
        <v>0.0134</v>
      </c>
      <c r="BO1417" s="4">
        <v>2</v>
      </c>
      <c r="BP1417" s="8">
        <v>76.18</v>
      </c>
      <c r="BQ1417" s="4"/>
      <c r="BR1417" s="8"/>
      <c r="BS1417" s="7"/>
      <c r="BT1417" s="7"/>
      <c r="BU1417" s="2" t="s">
        <v>109</v>
      </c>
      <c r="BV1417" s="2" t="s">
        <v>110</v>
      </c>
      <c r="BW1417" s="2" t="s">
        <v>4840</v>
      </c>
      <c r="BX1417" s="2" t="s">
        <v>2844</v>
      </c>
      <c r="BY1417" s="2" t="s">
        <v>113</v>
      </c>
      <c r="BZ1417" s="2" t="s">
        <v>100</v>
      </c>
    </row>
    <row r="1418">
      <c r="A1418" s="2" t="s">
        <v>4841</v>
      </c>
      <c r="B1418" s="2" t="s">
        <v>4434</v>
      </c>
      <c r="C1418" s="2" t="s">
        <v>4637</v>
      </c>
      <c r="D1418" s="2" t="s">
        <v>4473</v>
      </c>
      <c r="E1418" s="2" t="s">
        <v>4474</v>
      </c>
      <c r="F1418" s="2" t="s">
        <v>4835</v>
      </c>
      <c r="G1418" s="2" t="s">
        <v>100</v>
      </c>
      <c r="H1418" s="2" t="s">
        <v>100</v>
      </c>
      <c r="I1418" s="2" t="s">
        <v>4836</v>
      </c>
      <c r="J1418" s="2" t="s">
        <v>247</v>
      </c>
      <c r="K1418" s="2" t="s">
        <v>189</v>
      </c>
      <c r="L1418" s="3">
        <v>41.4</v>
      </c>
      <c r="M1418" s="3">
        <v>43.47</v>
      </c>
      <c r="N1418" s="3">
        <v>89.99</v>
      </c>
      <c r="O1418" s="2" t="s">
        <v>97</v>
      </c>
      <c r="P1418" s="2" t="s">
        <v>119</v>
      </c>
      <c r="Q1418" s="2" t="s">
        <v>99</v>
      </c>
      <c r="R1418" s="2" t="s">
        <v>100</v>
      </c>
      <c r="S1418" s="2" t="s">
        <v>4837</v>
      </c>
      <c r="T1418" s="2" t="s">
        <v>4838</v>
      </c>
      <c r="U1418" s="2" t="s">
        <v>100</v>
      </c>
      <c r="V1418" s="2" t="s">
        <v>146</v>
      </c>
      <c r="W1418" s="2" t="s">
        <v>183</v>
      </c>
      <c r="X1418" s="2" t="s">
        <v>100</v>
      </c>
      <c r="Y1418" s="2" t="s">
        <v>240</v>
      </c>
      <c r="Z1418" s="4">
        <v>300</v>
      </c>
      <c r="AA1418" s="4">
        <f>=ROUNDDOWN(30,0)</f>
      </c>
      <c r="AB1418" s="5">
        <v>10</v>
      </c>
      <c r="AC1418" s="2" t="s">
        <v>931</v>
      </c>
      <c r="AD1418" s="4">
        <v>140</v>
      </c>
      <c r="AE1418" s="4">
        <v>270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>
        <v>2</v>
      </c>
      <c r="AQ1418" s="8">
        <v>87.08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0.5334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254</v>
      </c>
      <c r="BK1418" s="8">
        <v>11501.8</v>
      </c>
      <c r="BL1418" s="2" t="s">
        <v>4842</v>
      </c>
      <c r="BM1418" s="7">
        <v>0.0079</v>
      </c>
      <c r="BN1418" s="7">
        <v>0.0076</v>
      </c>
      <c r="BO1418" s="4">
        <v>2</v>
      </c>
      <c r="BP1418" s="8">
        <v>87.08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4840</v>
      </c>
      <c r="BX1418" s="2" t="s">
        <v>2520</v>
      </c>
      <c r="BY1418" s="2" t="s">
        <v>113</v>
      </c>
      <c r="BZ1418" s="2" t="s">
        <v>100</v>
      </c>
    </row>
    <row r="1419">
      <c r="A1419" s="2" t="s">
        <v>4843</v>
      </c>
      <c r="B1419" s="2" t="s">
        <v>4434</v>
      </c>
      <c r="C1419" s="2" t="s">
        <v>4637</v>
      </c>
      <c r="D1419" s="2" t="s">
        <v>2503</v>
      </c>
      <c r="E1419" s="2" t="s">
        <v>4627</v>
      </c>
      <c r="F1419" s="2" t="s">
        <v>4844</v>
      </c>
      <c r="G1419" s="2" t="s">
        <v>4844</v>
      </c>
      <c r="H1419" s="2" t="s">
        <v>4844</v>
      </c>
      <c r="I1419" s="2" t="s">
        <v>4845</v>
      </c>
      <c r="J1419" s="2" t="s">
        <v>4631</v>
      </c>
      <c r="K1419" s="2" t="s">
        <v>189</v>
      </c>
      <c r="L1419" s="3">
        <v>10.8</v>
      </c>
      <c r="M1419" s="3">
        <v>11.34</v>
      </c>
      <c r="N1419" s="3">
        <v>23.99</v>
      </c>
      <c r="O1419" s="2" t="s">
        <v>97</v>
      </c>
      <c r="P1419" s="2" t="s">
        <v>119</v>
      </c>
      <c r="Q1419" s="2" t="s">
        <v>99</v>
      </c>
      <c r="R1419" s="2" t="s">
        <v>100</v>
      </c>
      <c r="S1419" s="2" t="s">
        <v>100</v>
      </c>
      <c r="T1419" s="2" t="s">
        <v>100</v>
      </c>
      <c r="U1419" s="2" t="s">
        <v>100</v>
      </c>
      <c r="V1419" s="2" t="s">
        <v>146</v>
      </c>
      <c r="W1419" s="2" t="s">
        <v>183</v>
      </c>
      <c r="X1419" s="2" t="s">
        <v>100</v>
      </c>
      <c r="Y1419" s="2" t="s">
        <v>1840</v>
      </c>
      <c r="Z1419" s="4">
        <v>1269</v>
      </c>
      <c r="AA1419" s="4">
        <f>=ROUNDDOWN(31.725,0)</f>
      </c>
      <c r="AB1419" s="5">
        <v>40</v>
      </c>
      <c r="AC1419" s="2" t="s">
        <v>768</v>
      </c>
      <c r="AD1419" s="4">
        <v>500</v>
      </c>
      <c r="AE1419" s="4">
        <v>500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>
        <v>9</v>
      </c>
      <c r="AQ1419" s="8">
        <v>102.06</v>
      </c>
      <c r="AR1419" s="4"/>
      <c r="AS1419" s="8"/>
      <c r="AT1419" s="7"/>
      <c r="AU1419" s="7"/>
      <c r="AV1419" s="4">
        <v>9</v>
      </c>
      <c r="AW1419" s="8">
        <v>102.06</v>
      </c>
      <c r="AX1419" s="4"/>
      <c r="AY1419" s="8"/>
      <c r="AZ1419" s="7"/>
      <c r="BA1419" s="7"/>
      <c r="BB1419" s="7">
        <v>1</v>
      </c>
      <c r="BC1419" s="4">
        <v>9</v>
      </c>
      <c r="BD1419" s="8">
        <v>102.06</v>
      </c>
      <c r="BE1419" s="4"/>
      <c r="BF1419" s="8"/>
      <c r="BG1419" s="7"/>
      <c r="BH1419" s="7"/>
      <c r="BI1419" s="7">
        <v>1</v>
      </c>
      <c r="BJ1419" s="4">
        <v>935</v>
      </c>
      <c r="BK1419" s="8">
        <v>10683.88</v>
      </c>
      <c r="BL1419" s="2" t="s">
        <v>4846</v>
      </c>
      <c r="BM1419" s="7">
        <v>0.0096</v>
      </c>
      <c r="BN1419" s="7">
        <v>0.0096</v>
      </c>
      <c r="BO1419" s="4">
        <v>9</v>
      </c>
      <c r="BP1419" s="8">
        <v>102.06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4483</v>
      </c>
      <c r="BX1419" s="2" t="s">
        <v>4847</v>
      </c>
      <c r="BY1419" s="2" t="s">
        <v>113</v>
      </c>
      <c r="BZ1419" s="2" t="s">
        <v>100</v>
      </c>
    </row>
    <row r="1420">
      <c r="A1420" s="2" t="s">
        <v>4848</v>
      </c>
      <c r="B1420" s="2" t="s">
        <v>4434</v>
      </c>
      <c r="C1420" s="2" t="s">
        <v>4637</v>
      </c>
      <c r="D1420" s="2" t="s">
        <v>2503</v>
      </c>
      <c r="E1420" s="2" t="s">
        <v>4627</v>
      </c>
      <c r="F1420" s="2" t="s">
        <v>4849</v>
      </c>
      <c r="G1420" s="2" t="s">
        <v>4849</v>
      </c>
      <c r="H1420" s="2" t="s">
        <v>4849</v>
      </c>
      <c r="I1420" s="2" t="s">
        <v>4850</v>
      </c>
      <c r="J1420" s="2" t="s">
        <v>706</v>
      </c>
      <c r="K1420" s="2" t="s">
        <v>1614</v>
      </c>
      <c r="L1420" s="3">
        <v>16.2</v>
      </c>
      <c r="M1420" s="3">
        <v>17.01</v>
      </c>
      <c r="N1420" s="3">
        <v>35.99</v>
      </c>
      <c r="O1420" s="2" t="s">
        <v>97</v>
      </c>
      <c r="P1420" s="2" t="s">
        <v>119</v>
      </c>
      <c r="Q1420" s="2" t="s">
        <v>99</v>
      </c>
      <c r="R1420" s="2" t="s">
        <v>100</v>
      </c>
      <c r="S1420" s="2" t="s">
        <v>4851</v>
      </c>
      <c r="T1420" s="2" t="s">
        <v>100</v>
      </c>
      <c r="U1420" s="2" t="s">
        <v>100</v>
      </c>
      <c r="V1420" s="2" t="s">
        <v>146</v>
      </c>
      <c r="W1420" s="2" t="s">
        <v>4852</v>
      </c>
      <c r="X1420" s="2" t="s">
        <v>100</v>
      </c>
      <c r="Y1420" s="2" t="s">
        <v>1840</v>
      </c>
      <c r="Z1420" s="4">
        <v>182</v>
      </c>
      <c r="AA1420" s="4">
        <f>=ROUNDDOWN(12.1333333333333,0)</f>
      </c>
      <c r="AB1420" s="5">
        <v>15</v>
      </c>
      <c r="AC1420" s="2" t="s">
        <v>356</v>
      </c>
      <c r="AD1420" s="4">
        <v>510</v>
      </c>
      <c r="AE1420" s="4">
        <v>880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351</v>
      </c>
      <c r="BK1420" s="8">
        <v>6352.95</v>
      </c>
      <c r="BL1420" s="2" t="s">
        <v>4853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1940</v>
      </c>
      <c r="BX1420" s="2" t="s">
        <v>4854</v>
      </c>
      <c r="BY1420" s="2" t="s">
        <v>113</v>
      </c>
      <c r="BZ1420" s="2" t="s">
        <v>100</v>
      </c>
    </row>
    <row r="1421">
      <c r="A1421" s="2" t="s">
        <v>4855</v>
      </c>
      <c r="B1421" s="2" t="s">
        <v>4434</v>
      </c>
      <c r="C1421" s="2" t="s">
        <v>4637</v>
      </c>
      <c r="D1421" s="2" t="s">
        <v>2503</v>
      </c>
      <c r="E1421" s="2" t="s">
        <v>4627</v>
      </c>
      <c r="F1421" s="2" t="s">
        <v>4849</v>
      </c>
      <c r="G1421" s="2" t="s">
        <v>4849</v>
      </c>
      <c r="H1421" s="2" t="s">
        <v>4849</v>
      </c>
      <c r="I1421" s="2" t="s">
        <v>4850</v>
      </c>
      <c r="J1421" s="2" t="s">
        <v>714</v>
      </c>
      <c r="K1421" s="2" t="s">
        <v>1614</v>
      </c>
      <c r="L1421" s="3">
        <v>18.4</v>
      </c>
      <c r="M1421" s="3">
        <v>19.32</v>
      </c>
      <c r="N1421" s="3">
        <v>39.99</v>
      </c>
      <c r="O1421" s="2" t="s">
        <v>97</v>
      </c>
      <c r="P1421" s="2" t="s">
        <v>119</v>
      </c>
      <c r="Q1421" s="2" t="s">
        <v>99</v>
      </c>
      <c r="R1421" s="2" t="s">
        <v>100</v>
      </c>
      <c r="S1421" s="2" t="s">
        <v>4851</v>
      </c>
      <c r="T1421" s="2" t="s">
        <v>100</v>
      </c>
      <c r="U1421" s="2" t="s">
        <v>100</v>
      </c>
      <c r="V1421" s="2" t="s">
        <v>146</v>
      </c>
      <c r="W1421" s="2" t="s">
        <v>4852</v>
      </c>
      <c r="X1421" s="2" t="s">
        <v>100</v>
      </c>
      <c r="Y1421" s="2" t="s">
        <v>1840</v>
      </c>
      <c r="Z1421" s="4">
        <v>167</v>
      </c>
      <c r="AA1421" s="4">
        <f>=ROUNDDOWN(8.35,0)</f>
      </c>
      <c r="AB1421" s="5">
        <v>20</v>
      </c>
      <c r="AC1421" s="2" t="s">
        <v>356</v>
      </c>
      <c r="AD1421" s="4">
        <v>390</v>
      </c>
      <c r="AE1421" s="4">
        <v>1020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354</v>
      </c>
      <c r="BK1421" s="8">
        <v>7010.23</v>
      </c>
      <c r="BL1421" s="2" t="s">
        <v>4856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1940</v>
      </c>
      <c r="BX1421" s="2" t="s">
        <v>2016</v>
      </c>
      <c r="BY1421" s="2" t="s">
        <v>113</v>
      </c>
      <c r="BZ1421" s="2" t="s">
        <v>100</v>
      </c>
    </row>
    <row r="1422">
      <c r="A1422" s="2" t="s">
        <v>4857</v>
      </c>
      <c r="B1422" s="2" t="s">
        <v>4434</v>
      </c>
      <c r="C1422" s="2" t="s">
        <v>4637</v>
      </c>
      <c r="D1422" s="2" t="s">
        <v>2503</v>
      </c>
      <c r="E1422" s="2" t="s">
        <v>4627</v>
      </c>
      <c r="F1422" s="2" t="s">
        <v>4849</v>
      </c>
      <c r="G1422" s="2" t="s">
        <v>4849</v>
      </c>
      <c r="H1422" s="2" t="s">
        <v>4849</v>
      </c>
      <c r="I1422" s="2" t="s">
        <v>4850</v>
      </c>
      <c r="J1422" s="2" t="s">
        <v>4858</v>
      </c>
      <c r="K1422" s="2" t="s">
        <v>1614</v>
      </c>
      <c r="L1422" s="3">
        <v>25.3</v>
      </c>
      <c r="M1422" s="3">
        <v>26.56</v>
      </c>
      <c r="N1422" s="3">
        <v>54.99</v>
      </c>
      <c r="O1422" s="2" t="s">
        <v>97</v>
      </c>
      <c r="P1422" s="2" t="s">
        <v>119</v>
      </c>
      <c r="Q1422" s="2" t="s">
        <v>99</v>
      </c>
      <c r="R1422" s="2" t="s">
        <v>100</v>
      </c>
      <c r="S1422" s="2" t="s">
        <v>4851</v>
      </c>
      <c r="T1422" s="2" t="s">
        <v>100</v>
      </c>
      <c r="U1422" s="2" t="s">
        <v>100</v>
      </c>
      <c r="V1422" s="2" t="s">
        <v>146</v>
      </c>
      <c r="W1422" s="2" t="s">
        <v>4852</v>
      </c>
      <c r="X1422" s="2" t="s">
        <v>100</v>
      </c>
      <c r="Y1422" s="2" t="s">
        <v>1840</v>
      </c>
      <c r="Z1422" s="4">
        <v>282</v>
      </c>
      <c r="AA1422" s="4">
        <f>=ROUNDDOWN(13.4285714285714,0)</f>
      </c>
      <c r="AB1422" s="5">
        <v>21</v>
      </c>
      <c r="AC1422" s="2" t="s">
        <v>356</v>
      </c>
      <c r="AD1422" s="4">
        <v>600</v>
      </c>
      <c r="AE1422" s="4">
        <v>1100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609</v>
      </c>
      <c r="BK1422" s="8">
        <v>16050.75</v>
      </c>
      <c r="BL1422" s="2" t="s">
        <v>4859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1940</v>
      </c>
      <c r="BX1422" s="2" t="s">
        <v>265</v>
      </c>
      <c r="BY1422" s="2" t="s">
        <v>113</v>
      </c>
      <c r="BZ1422" s="2" t="s">
        <v>100</v>
      </c>
    </row>
    <row r="1423">
      <c r="A1423" s="2" t="s">
        <v>4860</v>
      </c>
      <c r="B1423" s="2" t="s">
        <v>4434</v>
      </c>
      <c r="C1423" s="2" t="s">
        <v>4861</v>
      </c>
      <c r="D1423" s="2" t="s">
        <v>803</v>
      </c>
      <c r="E1423" s="2" t="s">
        <v>4862</v>
      </c>
      <c r="F1423" s="2" t="s">
        <v>4863</v>
      </c>
      <c r="G1423" s="2" t="s">
        <v>4863</v>
      </c>
      <c r="H1423" s="2" t="s">
        <v>4863</v>
      </c>
      <c r="I1423" s="2" t="s">
        <v>4864</v>
      </c>
      <c r="J1423" s="2" t="s">
        <v>247</v>
      </c>
      <c r="K1423" s="2" t="s">
        <v>189</v>
      </c>
      <c r="L1423" s="3">
        <v>70.79</v>
      </c>
      <c r="M1423" s="3">
        <v>74.33</v>
      </c>
      <c r="N1423" s="3">
        <v>147.99</v>
      </c>
      <c r="O1423" s="2" t="s">
        <v>97</v>
      </c>
      <c r="P1423" s="2" t="s">
        <v>98</v>
      </c>
      <c r="Q1423" s="2" t="s">
        <v>99</v>
      </c>
      <c r="R1423" s="2" t="s">
        <v>100</v>
      </c>
      <c r="S1423" s="2" t="s">
        <v>4865</v>
      </c>
      <c r="T1423" s="2" t="s">
        <v>100</v>
      </c>
      <c r="U1423" s="2" t="s">
        <v>100</v>
      </c>
      <c r="V1423" s="2" t="s">
        <v>146</v>
      </c>
      <c r="W1423" s="2" t="s">
        <v>4852</v>
      </c>
      <c r="X1423" s="2" t="s">
        <v>100</v>
      </c>
      <c r="Y1423" s="2" t="s">
        <v>4866</v>
      </c>
      <c r="Z1423" s="4">
        <v>345</v>
      </c>
      <c r="AA1423" s="4">
        <f>=ROUNDDOWN(43.125,0)</f>
      </c>
      <c r="AB1423" s="5">
        <v>8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>
        <v>2</v>
      </c>
      <c r="AQ1423" s="8">
        <v>161.6</v>
      </c>
      <c r="AR1423" s="4"/>
      <c r="AS1423" s="8"/>
      <c r="AT1423" s="7"/>
      <c r="AU1423" s="7"/>
      <c r="AV1423" s="4">
        <v>2</v>
      </c>
      <c r="AW1423" s="8">
        <v>161.6</v>
      </c>
      <c r="AX1423" s="4"/>
      <c r="AY1423" s="8"/>
      <c r="AZ1423" s="7"/>
      <c r="BA1423" s="7"/>
      <c r="BB1423" s="7">
        <v>1</v>
      </c>
      <c r="BC1423" s="4">
        <v>2</v>
      </c>
      <c r="BD1423" s="8">
        <v>161.6</v>
      </c>
      <c r="BE1423" s="4"/>
      <c r="BF1423" s="8"/>
      <c r="BG1423" s="7"/>
      <c r="BH1423" s="7"/>
      <c r="BI1423" s="7">
        <v>1</v>
      </c>
      <c r="BJ1423" s="4">
        <v>136</v>
      </c>
      <c r="BK1423" s="8">
        <v>10684.62</v>
      </c>
      <c r="BL1423" s="2" t="s">
        <v>4867</v>
      </c>
      <c r="BM1423" s="7">
        <v>0.0147</v>
      </c>
      <c r="BN1423" s="7">
        <v>0.0151</v>
      </c>
      <c r="BO1423" s="4">
        <v>2</v>
      </c>
      <c r="BP1423" s="8">
        <v>161.6</v>
      </c>
      <c r="BQ1423" s="4"/>
      <c r="BR1423" s="8"/>
      <c r="BS1423" s="7"/>
      <c r="BT1423" s="7"/>
      <c r="BU1423" s="2" t="s">
        <v>109</v>
      </c>
      <c r="BV1423" s="2" t="s">
        <v>110</v>
      </c>
      <c r="BW1423" s="2" t="s">
        <v>4483</v>
      </c>
      <c r="BX1423" s="2" t="s">
        <v>4868</v>
      </c>
      <c r="BY1423" s="2" t="s">
        <v>113</v>
      </c>
      <c r="BZ1423" s="2" t="s">
        <v>100</v>
      </c>
    </row>
    <row r="1424">
      <c r="A1424" s="2" t="s">
        <v>4869</v>
      </c>
      <c r="B1424" s="2" t="s">
        <v>4434</v>
      </c>
      <c r="C1424" s="2" t="s">
        <v>4861</v>
      </c>
      <c r="D1424" s="2" t="s">
        <v>803</v>
      </c>
      <c r="E1424" s="2" t="s">
        <v>4862</v>
      </c>
      <c r="F1424" s="2" t="s">
        <v>4870</v>
      </c>
      <c r="G1424" s="2" t="s">
        <v>4870</v>
      </c>
      <c r="H1424" s="2" t="s">
        <v>4870</v>
      </c>
      <c r="I1424" s="2" t="s">
        <v>4871</v>
      </c>
      <c r="J1424" s="2" t="s">
        <v>237</v>
      </c>
      <c r="K1424" s="2" t="s">
        <v>604</v>
      </c>
      <c r="L1424" s="3">
        <v>35.71</v>
      </c>
      <c r="M1424" s="3">
        <v>37.5</v>
      </c>
      <c r="N1424" s="3">
        <v>74.99</v>
      </c>
      <c r="O1424" s="2" t="s">
        <v>97</v>
      </c>
      <c r="P1424" s="2" t="s">
        <v>119</v>
      </c>
      <c r="Q1424" s="2" t="s">
        <v>99</v>
      </c>
      <c r="R1424" s="2" t="s">
        <v>100</v>
      </c>
      <c r="S1424" s="2" t="s">
        <v>4872</v>
      </c>
      <c r="T1424" s="2" t="s">
        <v>218</v>
      </c>
      <c r="U1424" s="2" t="s">
        <v>1847</v>
      </c>
      <c r="V1424" s="2" t="s">
        <v>146</v>
      </c>
      <c r="W1424" s="2" t="s">
        <v>183</v>
      </c>
      <c r="X1424" s="2" t="s">
        <v>100</v>
      </c>
      <c r="Y1424" s="2" t="s">
        <v>3523</v>
      </c>
      <c r="Z1424" s="4">
        <v>277</v>
      </c>
      <c r="AA1424" s="4">
        <f>=ROUNDDOWN(69.25,0)</f>
      </c>
      <c r="AB1424" s="5">
        <v>4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62</v>
      </c>
      <c r="BK1424" s="8">
        <v>2451.86</v>
      </c>
      <c r="BL1424" s="2" t="s">
        <v>4873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207</v>
      </c>
      <c r="BV1424" s="2" t="s">
        <v>97</v>
      </c>
      <c r="BW1424" s="2" t="s">
        <v>100</v>
      </c>
      <c r="BX1424" s="2" t="s">
        <v>100</v>
      </c>
      <c r="BY1424" s="2" t="s">
        <v>113</v>
      </c>
      <c r="BZ1424" s="2" t="s">
        <v>100</v>
      </c>
    </row>
    <row r="1425">
      <c r="A1425" s="2" t="s">
        <v>4874</v>
      </c>
      <c r="B1425" s="2" t="s">
        <v>4434</v>
      </c>
      <c r="C1425" s="2" t="s">
        <v>4861</v>
      </c>
      <c r="D1425" s="2" t="s">
        <v>803</v>
      </c>
      <c r="E1425" s="2" t="s">
        <v>4862</v>
      </c>
      <c r="F1425" s="2" t="s">
        <v>4870</v>
      </c>
      <c r="G1425" s="2" t="s">
        <v>4870</v>
      </c>
      <c r="H1425" s="2" t="s">
        <v>4870</v>
      </c>
      <c r="I1425" s="2" t="s">
        <v>4871</v>
      </c>
      <c r="J1425" s="2" t="s">
        <v>247</v>
      </c>
      <c r="K1425" s="2" t="s">
        <v>604</v>
      </c>
      <c r="L1425" s="3">
        <v>45.23</v>
      </c>
      <c r="M1425" s="3">
        <v>47.49</v>
      </c>
      <c r="N1425" s="3">
        <v>94.99</v>
      </c>
      <c r="O1425" s="2" t="s">
        <v>97</v>
      </c>
      <c r="P1425" s="2" t="s">
        <v>119</v>
      </c>
      <c r="Q1425" s="2" t="s">
        <v>99</v>
      </c>
      <c r="R1425" s="2" t="s">
        <v>100</v>
      </c>
      <c r="S1425" s="2" t="s">
        <v>4872</v>
      </c>
      <c r="T1425" s="2" t="s">
        <v>218</v>
      </c>
      <c r="U1425" s="2" t="s">
        <v>1847</v>
      </c>
      <c r="V1425" s="2" t="s">
        <v>146</v>
      </c>
      <c r="W1425" s="2" t="s">
        <v>183</v>
      </c>
      <c r="X1425" s="2" t="s">
        <v>100</v>
      </c>
      <c r="Y1425" s="2" t="s">
        <v>3523</v>
      </c>
      <c r="Z1425" s="4">
        <v>299</v>
      </c>
      <c r="AA1425" s="4">
        <f>=ROUNDDOWN(27.1818181818182,0)</f>
      </c>
      <c r="AB1425" s="5">
        <v>11</v>
      </c>
      <c r="AC1425" s="2" t="s">
        <v>1259</v>
      </c>
      <c r="AD1425" s="4">
        <v>320</v>
      </c>
      <c r="AE1425" s="4">
        <v>320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/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/>
      <c r="BJ1425" s="4">
        <v>119</v>
      </c>
      <c r="BK1425" s="8">
        <v>6140.06</v>
      </c>
      <c r="BL1425" s="2" t="s">
        <v>1619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207</v>
      </c>
      <c r="BV1425" s="2" t="s">
        <v>97</v>
      </c>
      <c r="BW1425" s="2" t="s">
        <v>100</v>
      </c>
      <c r="BX1425" s="2" t="s">
        <v>100</v>
      </c>
      <c r="BY1425" s="2" t="s">
        <v>113</v>
      </c>
      <c r="BZ1425" s="2" t="s">
        <v>100</v>
      </c>
    </row>
    <row r="1426">
      <c r="A1426" s="2" t="s">
        <v>4875</v>
      </c>
      <c r="B1426" s="2" t="s">
        <v>4434</v>
      </c>
      <c r="C1426" s="2" t="s">
        <v>4861</v>
      </c>
      <c r="D1426" s="2" t="s">
        <v>803</v>
      </c>
      <c r="E1426" s="2" t="s">
        <v>4862</v>
      </c>
      <c r="F1426" s="2" t="s">
        <v>4870</v>
      </c>
      <c r="G1426" s="2" t="s">
        <v>4870</v>
      </c>
      <c r="H1426" s="2" t="s">
        <v>4870</v>
      </c>
      <c r="I1426" s="2" t="s">
        <v>4871</v>
      </c>
      <c r="J1426" s="2" t="s">
        <v>270</v>
      </c>
      <c r="K1426" s="2" t="s">
        <v>604</v>
      </c>
      <c r="L1426" s="3">
        <v>52.38</v>
      </c>
      <c r="M1426" s="3">
        <v>55</v>
      </c>
      <c r="N1426" s="3">
        <v>109.99</v>
      </c>
      <c r="O1426" s="2" t="s">
        <v>97</v>
      </c>
      <c r="P1426" s="2" t="s">
        <v>119</v>
      </c>
      <c r="Q1426" s="2" t="s">
        <v>99</v>
      </c>
      <c r="R1426" s="2" t="s">
        <v>100</v>
      </c>
      <c r="S1426" s="2" t="s">
        <v>4872</v>
      </c>
      <c r="T1426" s="2" t="s">
        <v>218</v>
      </c>
      <c r="U1426" s="2" t="s">
        <v>1847</v>
      </c>
      <c r="V1426" s="2" t="s">
        <v>146</v>
      </c>
      <c r="W1426" s="2" t="s">
        <v>183</v>
      </c>
      <c r="X1426" s="2" t="s">
        <v>100</v>
      </c>
      <c r="Y1426" s="2" t="s">
        <v>3523</v>
      </c>
      <c r="Z1426" s="4">
        <v>256</v>
      </c>
      <c r="AA1426" s="4">
        <f>=ROUNDDOWN(23.2727272727273,0)</f>
      </c>
      <c r="AB1426" s="5">
        <v>11</v>
      </c>
      <c r="AC1426" s="2" t="s">
        <v>1259</v>
      </c>
      <c r="AD1426" s="4">
        <v>270</v>
      </c>
      <c r="AE1426" s="4">
        <v>270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119</v>
      </c>
      <c r="BK1426" s="8">
        <v>7113.8</v>
      </c>
      <c r="BL1426" s="2" t="s">
        <v>492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207</v>
      </c>
      <c r="BV1426" s="2" t="s">
        <v>97</v>
      </c>
      <c r="BW1426" s="2" t="s">
        <v>100</v>
      </c>
      <c r="BX1426" s="2" t="s">
        <v>100</v>
      </c>
      <c r="BY1426" s="2" t="s">
        <v>113</v>
      </c>
      <c r="BZ1426" s="2" t="s">
        <v>100</v>
      </c>
    </row>
    <row r="1427">
      <c r="A1427" s="2" t="s">
        <v>4876</v>
      </c>
      <c r="B1427" s="2" t="s">
        <v>4434</v>
      </c>
      <c r="C1427" s="2" t="s">
        <v>4861</v>
      </c>
      <c r="D1427" s="2" t="s">
        <v>803</v>
      </c>
      <c r="E1427" s="2" t="s">
        <v>4862</v>
      </c>
      <c r="F1427" s="2" t="s">
        <v>4870</v>
      </c>
      <c r="G1427" s="2" t="s">
        <v>4870</v>
      </c>
      <c r="H1427" s="2" t="s">
        <v>4870</v>
      </c>
      <c r="I1427" s="2" t="s">
        <v>4871</v>
      </c>
      <c r="J1427" s="2" t="s">
        <v>237</v>
      </c>
      <c r="K1427" s="2" t="s">
        <v>3515</v>
      </c>
      <c r="L1427" s="3">
        <v>35.71</v>
      </c>
      <c r="M1427" s="3">
        <v>37.5</v>
      </c>
      <c r="N1427" s="3">
        <v>74.99</v>
      </c>
      <c r="O1427" s="2" t="s">
        <v>97</v>
      </c>
      <c r="P1427" s="2" t="s">
        <v>119</v>
      </c>
      <c r="Q1427" s="2" t="s">
        <v>99</v>
      </c>
      <c r="R1427" s="2" t="s">
        <v>100</v>
      </c>
      <c r="S1427" s="2" t="s">
        <v>4877</v>
      </c>
      <c r="T1427" s="2" t="s">
        <v>218</v>
      </c>
      <c r="U1427" s="2" t="s">
        <v>1847</v>
      </c>
      <c r="V1427" s="2" t="s">
        <v>146</v>
      </c>
      <c r="W1427" s="2" t="s">
        <v>183</v>
      </c>
      <c r="X1427" s="2" t="s">
        <v>100</v>
      </c>
      <c r="Y1427" s="2" t="s">
        <v>3523</v>
      </c>
      <c r="Z1427" s="4">
        <v>231</v>
      </c>
      <c r="AA1427" s="4">
        <f>=ROUNDDOWN(38.5,0)</f>
      </c>
      <c r="AB1427" s="5">
        <v>6</v>
      </c>
      <c r="AC1427" s="2" t="s">
        <v>1259</v>
      </c>
      <c r="AD1427" s="4">
        <v>40</v>
      </c>
      <c r="AE1427" s="4">
        <v>40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121</v>
      </c>
      <c r="BK1427" s="8">
        <v>4852.81</v>
      </c>
      <c r="BL1427" s="2" t="s">
        <v>1839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207</v>
      </c>
      <c r="BV1427" s="2" t="s">
        <v>97</v>
      </c>
      <c r="BW1427" s="2" t="s">
        <v>100</v>
      </c>
      <c r="BX1427" s="2" t="s">
        <v>100</v>
      </c>
      <c r="BY1427" s="2" t="s">
        <v>113</v>
      </c>
      <c r="BZ1427" s="2" t="s">
        <v>100</v>
      </c>
    </row>
    <row r="1428">
      <c r="A1428" s="2" t="s">
        <v>4878</v>
      </c>
      <c r="B1428" s="2" t="s">
        <v>4434</v>
      </c>
      <c r="C1428" s="2" t="s">
        <v>4861</v>
      </c>
      <c r="D1428" s="2" t="s">
        <v>803</v>
      </c>
      <c r="E1428" s="2" t="s">
        <v>4862</v>
      </c>
      <c r="F1428" s="2" t="s">
        <v>4870</v>
      </c>
      <c r="G1428" s="2" t="s">
        <v>4870</v>
      </c>
      <c r="H1428" s="2" t="s">
        <v>4870</v>
      </c>
      <c r="I1428" s="2" t="s">
        <v>4871</v>
      </c>
      <c r="J1428" s="2" t="s">
        <v>247</v>
      </c>
      <c r="K1428" s="2" t="s">
        <v>3515</v>
      </c>
      <c r="L1428" s="3">
        <v>45.23</v>
      </c>
      <c r="M1428" s="3">
        <v>47.49</v>
      </c>
      <c r="N1428" s="3">
        <v>94.99</v>
      </c>
      <c r="O1428" s="2" t="s">
        <v>97</v>
      </c>
      <c r="P1428" s="2" t="s">
        <v>119</v>
      </c>
      <c r="Q1428" s="2" t="s">
        <v>99</v>
      </c>
      <c r="R1428" s="2" t="s">
        <v>100</v>
      </c>
      <c r="S1428" s="2" t="s">
        <v>4877</v>
      </c>
      <c r="T1428" s="2" t="s">
        <v>218</v>
      </c>
      <c r="U1428" s="2" t="s">
        <v>1847</v>
      </c>
      <c r="V1428" s="2" t="s">
        <v>146</v>
      </c>
      <c r="W1428" s="2" t="s">
        <v>183</v>
      </c>
      <c r="X1428" s="2" t="s">
        <v>100</v>
      </c>
      <c r="Y1428" s="2" t="s">
        <v>3523</v>
      </c>
      <c r="Z1428" s="4">
        <v>274</v>
      </c>
      <c r="AA1428" s="4">
        <f>=ROUNDDOWN(30.4444444444444,0)</f>
      </c>
      <c r="AB1428" s="5">
        <v>9</v>
      </c>
      <c r="AC1428" s="2" t="s">
        <v>1259</v>
      </c>
      <c r="AD1428" s="4">
        <v>140</v>
      </c>
      <c r="AE1428" s="4">
        <v>140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/>
      <c r="BJ1428" s="4">
        <v>130</v>
      </c>
      <c r="BK1428" s="8">
        <v>6557.17</v>
      </c>
      <c r="BL1428" s="2" t="s">
        <v>4879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207</v>
      </c>
      <c r="BV1428" s="2" t="s">
        <v>97</v>
      </c>
      <c r="BW1428" s="2" t="s">
        <v>100</v>
      </c>
      <c r="BX1428" s="2" t="s">
        <v>100</v>
      </c>
      <c r="BY1428" s="2" t="s">
        <v>113</v>
      </c>
      <c r="BZ1428" s="2" t="s">
        <v>100</v>
      </c>
    </row>
    <row r="1429">
      <c r="A1429" s="2" t="s">
        <v>4880</v>
      </c>
      <c r="B1429" s="2" t="s">
        <v>4434</v>
      </c>
      <c r="C1429" s="2" t="s">
        <v>4861</v>
      </c>
      <c r="D1429" s="2" t="s">
        <v>803</v>
      </c>
      <c r="E1429" s="2" t="s">
        <v>4862</v>
      </c>
      <c r="F1429" s="2" t="s">
        <v>4870</v>
      </c>
      <c r="G1429" s="2" t="s">
        <v>4870</v>
      </c>
      <c r="H1429" s="2" t="s">
        <v>4870</v>
      </c>
      <c r="I1429" s="2" t="s">
        <v>4871</v>
      </c>
      <c r="J1429" s="2" t="s">
        <v>270</v>
      </c>
      <c r="K1429" s="2" t="s">
        <v>3515</v>
      </c>
      <c r="L1429" s="3">
        <v>52.38</v>
      </c>
      <c r="M1429" s="3">
        <v>55</v>
      </c>
      <c r="N1429" s="3">
        <v>109.99</v>
      </c>
      <c r="O1429" s="2" t="s">
        <v>97</v>
      </c>
      <c r="P1429" s="2" t="s">
        <v>119</v>
      </c>
      <c r="Q1429" s="2" t="s">
        <v>99</v>
      </c>
      <c r="R1429" s="2" t="s">
        <v>100</v>
      </c>
      <c r="S1429" s="2" t="s">
        <v>4877</v>
      </c>
      <c r="T1429" s="2" t="s">
        <v>218</v>
      </c>
      <c r="U1429" s="2" t="s">
        <v>1847</v>
      </c>
      <c r="V1429" s="2" t="s">
        <v>146</v>
      </c>
      <c r="W1429" s="2" t="s">
        <v>183</v>
      </c>
      <c r="X1429" s="2" t="s">
        <v>100</v>
      </c>
      <c r="Y1429" s="2" t="s">
        <v>3523</v>
      </c>
      <c r="Z1429" s="4">
        <v>269</v>
      </c>
      <c r="AA1429" s="4">
        <f>=ROUNDDOWN(26.9,0)</f>
      </c>
      <c r="AB1429" s="5">
        <v>10</v>
      </c>
      <c r="AC1429" s="2" t="s">
        <v>1259</v>
      </c>
      <c r="AD1429" s="4">
        <v>160</v>
      </c>
      <c r="AE1429" s="4">
        <v>160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167</v>
      </c>
      <c r="BK1429" s="8">
        <v>9818.05</v>
      </c>
      <c r="BL1429" s="2" t="s">
        <v>492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207</v>
      </c>
      <c r="BV1429" s="2" t="s">
        <v>97</v>
      </c>
      <c r="BW1429" s="2" t="s">
        <v>100</v>
      </c>
      <c r="BX1429" s="2" t="s">
        <v>100</v>
      </c>
      <c r="BY1429" s="2" t="s">
        <v>113</v>
      </c>
      <c r="BZ1429" s="2" t="s">
        <v>100</v>
      </c>
    </row>
    <row r="1430">
      <c r="A1430" s="2" t="s">
        <v>4881</v>
      </c>
      <c r="B1430" s="2" t="s">
        <v>4434</v>
      </c>
      <c r="C1430" s="2" t="s">
        <v>4861</v>
      </c>
      <c r="D1430" s="2" t="s">
        <v>803</v>
      </c>
      <c r="E1430" s="2" t="s">
        <v>4862</v>
      </c>
      <c r="F1430" s="2" t="s">
        <v>4870</v>
      </c>
      <c r="G1430" s="2" t="s">
        <v>4870</v>
      </c>
      <c r="H1430" s="2" t="s">
        <v>4870</v>
      </c>
      <c r="I1430" s="2" t="s">
        <v>4871</v>
      </c>
      <c r="J1430" s="2" t="s">
        <v>237</v>
      </c>
      <c r="K1430" s="2" t="s">
        <v>189</v>
      </c>
      <c r="L1430" s="3">
        <v>35.71</v>
      </c>
      <c r="M1430" s="3">
        <v>37.5</v>
      </c>
      <c r="N1430" s="3">
        <v>74.99</v>
      </c>
      <c r="O1430" s="2" t="s">
        <v>97</v>
      </c>
      <c r="P1430" s="2" t="s">
        <v>119</v>
      </c>
      <c r="Q1430" s="2" t="s">
        <v>99</v>
      </c>
      <c r="R1430" s="2" t="s">
        <v>100</v>
      </c>
      <c r="S1430" s="2" t="s">
        <v>4882</v>
      </c>
      <c r="T1430" s="2" t="s">
        <v>100</v>
      </c>
      <c r="U1430" s="2" t="s">
        <v>100</v>
      </c>
      <c r="V1430" s="2" t="s">
        <v>146</v>
      </c>
      <c r="W1430" s="2" t="s">
        <v>183</v>
      </c>
      <c r="X1430" s="2" t="s">
        <v>100</v>
      </c>
      <c r="Y1430" s="2" t="s">
        <v>4883</v>
      </c>
      <c r="Z1430" s="4">
        <v>480</v>
      </c>
      <c r="AA1430" s="4">
        <f>=ROUNDDOWN(36.9230769230769,0)</f>
      </c>
      <c r="AB1430" s="5">
        <v>13</v>
      </c>
      <c r="AC1430" s="2" t="s">
        <v>1164</v>
      </c>
      <c r="AD1430" s="4">
        <v>110</v>
      </c>
      <c r="AE1430" s="4">
        <v>210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>
        <v>303</v>
      </c>
      <c r="BK1430" s="8">
        <v>12157.05</v>
      </c>
      <c r="BL1430" s="2" t="s">
        <v>1619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207</v>
      </c>
      <c r="BV1430" s="2" t="s">
        <v>97</v>
      </c>
      <c r="BW1430" s="2" t="s">
        <v>100</v>
      </c>
      <c r="BX1430" s="2" t="s">
        <v>100</v>
      </c>
      <c r="BY1430" s="2" t="s">
        <v>113</v>
      </c>
      <c r="BZ1430" s="2" t="s">
        <v>100</v>
      </c>
    </row>
    <row r="1431">
      <c r="A1431" s="2" t="s">
        <v>4884</v>
      </c>
      <c r="B1431" s="2" t="s">
        <v>4434</v>
      </c>
      <c r="C1431" s="2" t="s">
        <v>4861</v>
      </c>
      <c r="D1431" s="2" t="s">
        <v>803</v>
      </c>
      <c r="E1431" s="2" t="s">
        <v>4862</v>
      </c>
      <c r="F1431" s="2" t="s">
        <v>4870</v>
      </c>
      <c r="G1431" s="2" t="s">
        <v>4870</v>
      </c>
      <c r="H1431" s="2" t="s">
        <v>4870</v>
      </c>
      <c r="I1431" s="2" t="s">
        <v>4871</v>
      </c>
      <c r="J1431" s="2" t="s">
        <v>247</v>
      </c>
      <c r="K1431" s="2" t="s">
        <v>189</v>
      </c>
      <c r="L1431" s="3">
        <v>45.23</v>
      </c>
      <c r="M1431" s="3">
        <v>47.49</v>
      </c>
      <c r="N1431" s="3">
        <v>94.99</v>
      </c>
      <c r="O1431" s="2" t="s">
        <v>97</v>
      </c>
      <c r="P1431" s="2" t="s">
        <v>98</v>
      </c>
      <c r="Q1431" s="2" t="s">
        <v>99</v>
      </c>
      <c r="R1431" s="2" t="s">
        <v>100</v>
      </c>
      <c r="S1431" s="2" t="s">
        <v>4882</v>
      </c>
      <c r="T1431" s="2" t="s">
        <v>100</v>
      </c>
      <c r="U1431" s="2" t="s">
        <v>100</v>
      </c>
      <c r="V1431" s="2" t="s">
        <v>146</v>
      </c>
      <c r="W1431" s="2" t="s">
        <v>183</v>
      </c>
      <c r="X1431" s="2" t="s">
        <v>100</v>
      </c>
      <c r="Y1431" s="2" t="s">
        <v>4883</v>
      </c>
      <c r="Z1431" s="4">
        <v>525</v>
      </c>
      <c r="AA1431" s="4">
        <f>=ROUNDDOWN(32.8125,0)</f>
      </c>
      <c r="AB1431" s="5">
        <v>16</v>
      </c>
      <c r="AC1431" s="2" t="s">
        <v>1164</v>
      </c>
      <c r="AD1431" s="4">
        <v>180</v>
      </c>
      <c r="AE1431" s="4">
        <v>280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291</v>
      </c>
      <c r="BK1431" s="8">
        <v>14821.54</v>
      </c>
      <c r="BL1431" s="2" t="s">
        <v>272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207</v>
      </c>
      <c r="BV1431" s="2" t="s">
        <v>97</v>
      </c>
      <c r="BW1431" s="2" t="s">
        <v>100</v>
      </c>
      <c r="BX1431" s="2" t="s">
        <v>100</v>
      </c>
      <c r="BY1431" s="2" t="s">
        <v>113</v>
      </c>
      <c r="BZ1431" s="2" t="s">
        <v>100</v>
      </c>
    </row>
    <row r="1432">
      <c r="A1432" s="2" t="s">
        <v>4885</v>
      </c>
      <c r="B1432" s="2" t="s">
        <v>4434</v>
      </c>
      <c r="C1432" s="2" t="s">
        <v>4861</v>
      </c>
      <c r="D1432" s="2" t="s">
        <v>803</v>
      </c>
      <c r="E1432" s="2" t="s">
        <v>4862</v>
      </c>
      <c r="F1432" s="2" t="s">
        <v>4870</v>
      </c>
      <c r="G1432" s="2" t="s">
        <v>4870</v>
      </c>
      <c r="H1432" s="2" t="s">
        <v>4870</v>
      </c>
      <c r="I1432" s="2" t="s">
        <v>4871</v>
      </c>
      <c r="J1432" s="2" t="s">
        <v>270</v>
      </c>
      <c r="K1432" s="2" t="s">
        <v>189</v>
      </c>
      <c r="L1432" s="3">
        <v>52.38</v>
      </c>
      <c r="M1432" s="3">
        <v>55</v>
      </c>
      <c r="N1432" s="3">
        <v>109.99</v>
      </c>
      <c r="O1432" s="2" t="s">
        <v>97</v>
      </c>
      <c r="P1432" s="2" t="s">
        <v>950</v>
      </c>
      <c r="Q1432" s="2" t="s">
        <v>99</v>
      </c>
      <c r="R1432" s="2" t="s">
        <v>100</v>
      </c>
      <c r="S1432" s="2" t="s">
        <v>4882</v>
      </c>
      <c r="T1432" s="2" t="s">
        <v>100</v>
      </c>
      <c r="U1432" s="2" t="s">
        <v>100</v>
      </c>
      <c r="V1432" s="2" t="s">
        <v>146</v>
      </c>
      <c r="W1432" s="2" t="s">
        <v>183</v>
      </c>
      <c r="X1432" s="2" t="s">
        <v>100</v>
      </c>
      <c r="Y1432" s="2" t="s">
        <v>4883</v>
      </c>
      <c r="Z1432" s="4">
        <v>777</v>
      </c>
      <c r="AA1432" s="4">
        <f>=ROUNDDOWN(33.7826086956522,0)</f>
      </c>
      <c r="AB1432" s="5">
        <v>23</v>
      </c>
      <c r="AC1432" s="2" t="s">
        <v>1164</v>
      </c>
      <c r="AD1432" s="4">
        <v>160</v>
      </c>
      <c r="AE1432" s="4">
        <v>310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425</v>
      </c>
      <c r="BK1432" s="8">
        <v>25235.48</v>
      </c>
      <c r="BL1432" s="2" t="s">
        <v>1413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207</v>
      </c>
      <c r="BV1432" s="2" t="s">
        <v>97</v>
      </c>
      <c r="BW1432" s="2" t="s">
        <v>100</v>
      </c>
      <c r="BX1432" s="2" t="s">
        <v>100</v>
      </c>
      <c r="BY1432" s="2" t="s">
        <v>113</v>
      </c>
      <c r="BZ1432" s="2" t="s">
        <v>100</v>
      </c>
    </row>
    <row r="1433">
      <c r="A1433" s="2" t="s">
        <v>4886</v>
      </c>
      <c r="B1433" s="2" t="s">
        <v>4434</v>
      </c>
      <c r="C1433" s="2" t="s">
        <v>4861</v>
      </c>
      <c r="D1433" s="2" t="s">
        <v>1842</v>
      </c>
      <c r="E1433" s="2" t="s">
        <v>4474</v>
      </c>
      <c r="F1433" s="2" t="s">
        <v>4887</v>
      </c>
      <c r="G1433" s="2" t="s">
        <v>4887</v>
      </c>
      <c r="H1433" s="2" t="s">
        <v>4887</v>
      </c>
      <c r="I1433" s="2" t="s">
        <v>4888</v>
      </c>
      <c r="J1433" s="2" t="s">
        <v>4889</v>
      </c>
      <c r="K1433" s="2" t="s">
        <v>198</v>
      </c>
      <c r="L1433" s="3">
        <v>25.14</v>
      </c>
      <c r="M1433" s="3">
        <v>26.4</v>
      </c>
      <c r="N1433" s="3">
        <v>54.99</v>
      </c>
      <c r="O1433" s="2" t="s">
        <v>97</v>
      </c>
      <c r="P1433" s="2" t="s">
        <v>950</v>
      </c>
      <c r="Q1433" s="2" t="s">
        <v>99</v>
      </c>
      <c r="R1433" s="2" t="s">
        <v>100</v>
      </c>
      <c r="S1433" s="2" t="s">
        <v>4890</v>
      </c>
      <c r="T1433" s="2" t="s">
        <v>100</v>
      </c>
      <c r="U1433" s="2" t="s">
        <v>100</v>
      </c>
      <c r="V1433" s="2" t="s">
        <v>146</v>
      </c>
      <c r="W1433" s="2" t="s">
        <v>183</v>
      </c>
      <c r="X1433" s="2" t="s">
        <v>100</v>
      </c>
      <c r="Y1433" s="2" t="s">
        <v>4883</v>
      </c>
      <c r="Z1433" s="4">
        <v>724</v>
      </c>
      <c r="AA1433" s="4">
        <f>=ROUNDDOWN(65.8181818181818,0)</f>
      </c>
      <c r="AB1433" s="5">
        <v>11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73</v>
      </c>
      <c r="BK1433" s="8">
        <v>2171.59</v>
      </c>
      <c r="BL1433" s="2" t="s">
        <v>4891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207</v>
      </c>
      <c r="BV1433" s="2" t="s">
        <v>97</v>
      </c>
      <c r="BW1433" s="2" t="s">
        <v>100</v>
      </c>
      <c r="BX1433" s="2" t="s">
        <v>100</v>
      </c>
      <c r="BY1433" s="2" t="s">
        <v>113</v>
      </c>
      <c r="BZ1433" s="2" t="s">
        <v>100</v>
      </c>
    </row>
    <row r="1434">
      <c r="A1434" s="2" t="s">
        <v>4892</v>
      </c>
      <c r="B1434" s="2" t="s">
        <v>4434</v>
      </c>
      <c r="C1434" s="2" t="s">
        <v>4861</v>
      </c>
      <c r="D1434" s="2" t="s">
        <v>1842</v>
      </c>
      <c r="E1434" s="2" t="s">
        <v>4474</v>
      </c>
      <c r="F1434" s="2" t="s">
        <v>4887</v>
      </c>
      <c r="G1434" s="2" t="s">
        <v>4887</v>
      </c>
      <c r="H1434" s="2" t="s">
        <v>4887</v>
      </c>
      <c r="I1434" s="2" t="s">
        <v>4888</v>
      </c>
      <c r="J1434" s="2" t="s">
        <v>4889</v>
      </c>
      <c r="K1434" s="2" t="s">
        <v>496</v>
      </c>
      <c r="L1434" s="3">
        <v>25.14</v>
      </c>
      <c r="M1434" s="3">
        <v>26.4</v>
      </c>
      <c r="N1434" s="3">
        <v>54.99</v>
      </c>
      <c r="O1434" s="2" t="s">
        <v>97</v>
      </c>
      <c r="P1434" s="2" t="s">
        <v>119</v>
      </c>
      <c r="Q1434" s="2" t="s">
        <v>99</v>
      </c>
      <c r="R1434" s="2" t="s">
        <v>100</v>
      </c>
      <c r="S1434" s="2" t="s">
        <v>4893</v>
      </c>
      <c r="T1434" s="2" t="s">
        <v>100</v>
      </c>
      <c r="U1434" s="2" t="s">
        <v>100</v>
      </c>
      <c r="V1434" s="2" t="s">
        <v>146</v>
      </c>
      <c r="W1434" s="2" t="s">
        <v>183</v>
      </c>
      <c r="X1434" s="2" t="s">
        <v>100</v>
      </c>
      <c r="Y1434" s="2" t="s">
        <v>4883</v>
      </c>
      <c r="Z1434" s="4">
        <v>429</v>
      </c>
      <c r="AA1434" s="4">
        <f>=ROUNDDOWN(33,0)</f>
      </c>
      <c r="AB1434" s="5">
        <v>13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145</v>
      </c>
      <c r="BK1434" s="8">
        <v>4543.92</v>
      </c>
      <c r="BL1434" s="2" t="s">
        <v>4894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207</v>
      </c>
      <c r="BV1434" s="2" t="s">
        <v>97</v>
      </c>
      <c r="BW1434" s="2" t="s">
        <v>100</v>
      </c>
      <c r="BX1434" s="2" t="s">
        <v>100</v>
      </c>
      <c r="BY1434" s="2" t="s">
        <v>113</v>
      </c>
      <c r="BZ1434" s="2" t="s">
        <v>100</v>
      </c>
    </row>
    <row r="1435">
      <c r="A1435" s="2" t="s">
        <v>4895</v>
      </c>
      <c r="B1435" s="2" t="s">
        <v>4434</v>
      </c>
      <c r="C1435" s="2" t="s">
        <v>4861</v>
      </c>
      <c r="D1435" s="2" t="s">
        <v>1842</v>
      </c>
      <c r="E1435" s="2" t="s">
        <v>4474</v>
      </c>
      <c r="F1435" s="2" t="s">
        <v>4887</v>
      </c>
      <c r="G1435" s="2" t="s">
        <v>4887</v>
      </c>
      <c r="H1435" s="2" t="s">
        <v>4887</v>
      </c>
      <c r="I1435" s="2" t="s">
        <v>4888</v>
      </c>
      <c r="J1435" s="2" t="s">
        <v>4889</v>
      </c>
      <c r="K1435" s="2" t="s">
        <v>469</v>
      </c>
      <c r="L1435" s="3">
        <v>25.14</v>
      </c>
      <c r="M1435" s="3">
        <v>26.4</v>
      </c>
      <c r="N1435" s="3">
        <v>54.99</v>
      </c>
      <c r="O1435" s="2" t="s">
        <v>97</v>
      </c>
      <c r="P1435" s="2" t="s">
        <v>119</v>
      </c>
      <c r="Q1435" s="2" t="s">
        <v>99</v>
      </c>
      <c r="R1435" s="2" t="s">
        <v>100</v>
      </c>
      <c r="S1435" s="2" t="s">
        <v>4896</v>
      </c>
      <c r="T1435" s="2" t="s">
        <v>100</v>
      </c>
      <c r="U1435" s="2" t="s">
        <v>100</v>
      </c>
      <c r="V1435" s="2" t="s">
        <v>146</v>
      </c>
      <c r="W1435" s="2" t="s">
        <v>183</v>
      </c>
      <c r="X1435" s="2" t="s">
        <v>100</v>
      </c>
      <c r="Y1435" s="2" t="s">
        <v>4883</v>
      </c>
      <c r="Z1435" s="4">
        <v>757</v>
      </c>
      <c r="AA1435" s="4">
        <f>=ROUNDDOWN(126.166666666667,0)</f>
      </c>
      <c r="AB1435" s="5">
        <v>6</v>
      </c>
      <c r="AC1435" s="2" t="s">
        <v>100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28</v>
      </c>
      <c r="BK1435" s="8">
        <v>980.48</v>
      </c>
      <c r="BL1435" s="2" t="s">
        <v>4897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207</v>
      </c>
      <c r="BV1435" s="2" t="s">
        <v>97</v>
      </c>
      <c r="BW1435" s="2" t="s">
        <v>100</v>
      </c>
      <c r="BX1435" s="2" t="s">
        <v>100</v>
      </c>
      <c r="BY1435" s="2" t="s">
        <v>113</v>
      </c>
      <c r="BZ1435" s="2" t="s">
        <v>100</v>
      </c>
    </row>
    <row r="1436">
      <c r="A1436" s="2" t="s">
        <v>4898</v>
      </c>
      <c r="B1436" s="2" t="s">
        <v>4434</v>
      </c>
      <c r="C1436" s="2" t="s">
        <v>3934</v>
      </c>
      <c r="D1436" s="2" t="s">
        <v>803</v>
      </c>
      <c r="E1436" s="2" t="s">
        <v>1532</v>
      </c>
      <c r="F1436" s="2" t="s">
        <v>4899</v>
      </c>
      <c r="G1436" s="2" t="s">
        <v>4899</v>
      </c>
      <c r="H1436" s="2" t="s">
        <v>4899</v>
      </c>
      <c r="I1436" s="2" t="s">
        <v>4900</v>
      </c>
      <c r="J1436" s="2" t="s">
        <v>1936</v>
      </c>
      <c r="K1436" s="2" t="s">
        <v>198</v>
      </c>
      <c r="L1436" s="3">
        <v>33.33</v>
      </c>
      <c r="M1436" s="3">
        <v>35</v>
      </c>
      <c r="N1436" s="3">
        <v>69.99</v>
      </c>
      <c r="O1436" s="2" t="s">
        <v>97</v>
      </c>
      <c r="P1436" s="2" t="s">
        <v>225</v>
      </c>
      <c r="Q1436" s="2" t="s">
        <v>99</v>
      </c>
      <c r="R1436" s="2" t="s">
        <v>100</v>
      </c>
      <c r="S1436" s="2" t="s">
        <v>4901</v>
      </c>
      <c r="T1436" s="2" t="s">
        <v>218</v>
      </c>
      <c r="U1436" s="2" t="s">
        <v>514</v>
      </c>
      <c r="V1436" s="2" t="s">
        <v>146</v>
      </c>
      <c r="W1436" s="2" t="s">
        <v>183</v>
      </c>
      <c r="X1436" s="2" t="s">
        <v>100</v>
      </c>
      <c r="Y1436" s="2" t="s">
        <v>3584</v>
      </c>
      <c r="Z1436" s="4">
        <v>425</v>
      </c>
      <c r="AA1436" s="4">
        <f>=ROUNDDOWN(53.125,0)</f>
      </c>
      <c r="AB1436" s="5">
        <v>8</v>
      </c>
      <c r="AC1436" s="2" t="s">
        <v>100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15</v>
      </c>
      <c r="BK1436" s="8">
        <v>548.29</v>
      </c>
      <c r="BL1436" s="2" t="s">
        <v>4902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207</v>
      </c>
      <c r="BV1436" s="2" t="s">
        <v>97</v>
      </c>
      <c r="BW1436" s="2" t="s">
        <v>100</v>
      </c>
      <c r="BX1436" s="2" t="s">
        <v>100</v>
      </c>
      <c r="BY1436" s="2" t="s">
        <v>113</v>
      </c>
      <c r="BZ1436" s="2" t="s">
        <v>100</v>
      </c>
    </row>
    <row r="1437">
      <c r="A1437" s="2" t="s">
        <v>4903</v>
      </c>
      <c r="B1437" s="2" t="s">
        <v>4434</v>
      </c>
      <c r="C1437" s="2" t="s">
        <v>3934</v>
      </c>
      <c r="D1437" s="2" t="s">
        <v>803</v>
      </c>
      <c r="E1437" s="2" t="s">
        <v>1532</v>
      </c>
      <c r="F1437" s="2" t="s">
        <v>4899</v>
      </c>
      <c r="G1437" s="2" t="s">
        <v>4899</v>
      </c>
      <c r="H1437" s="2" t="s">
        <v>4899</v>
      </c>
      <c r="I1437" s="2" t="s">
        <v>4900</v>
      </c>
      <c r="J1437" s="2" t="s">
        <v>247</v>
      </c>
      <c r="K1437" s="2" t="s">
        <v>198</v>
      </c>
      <c r="L1437" s="3">
        <v>38.09</v>
      </c>
      <c r="M1437" s="3">
        <v>39.99</v>
      </c>
      <c r="N1437" s="3">
        <v>79.99</v>
      </c>
      <c r="O1437" s="2" t="s">
        <v>97</v>
      </c>
      <c r="P1437" s="2" t="s">
        <v>225</v>
      </c>
      <c r="Q1437" s="2" t="s">
        <v>99</v>
      </c>
      <c r="R1437" s="2" t="s">
        <v>100</v>
      </c>
      <c r="S1437" s="2" t="s">
        <v>4901</v>
      </c>
      <c r="T1437" s="2" t="s">
        <v>218</v>
      </c>
      <c r="U1437" s="2" t="s">
        <v>480</v>
      </c>
      <c r="V1437" s="2" t="s">
        <v>146</v>
      </c>
      <c r="W1437" s="2" t="s">
        <v>183</v>
      </c>
      <c r="X1437" s="2" t="s">
        <v>100</v>
      </c>
      <c r="Y1437" s="2" t="s">
        <v>3547</v>
      </c>
      <c r="Z1437" s="4">
        <v>727</v>
      </c>
      <c r="AA1437" s="4">
        <f>=ROUNDDOWN(48.4666666666667,0)</f>
      </c>
      <c r="AB1437" s="5">
        <v>15</v>
      </c>
      <c r="AC1437" s="2" t="s">
        <v>100</v>
      </c>
      <c r="AD1437" s="4"/>
      <c r="AE1437" s="4"/>
      <c r="AF1437" s="6">
        <v>65</v>
      </c>
      <c r="AG1437" s="6"/>
      <c r="AH1437" s="7">
        <v>0.8449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52</v>
      </c>
      <c r="BK1437" s="8">
        <v>2187.07</v>
      </c>
      <c r="BL1437" s="2" t="s">
        <v>4904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207</v>
      </c>
      <c r="BV1437" s="2" t="s">
        <v>97</v>
      </c>
      <c r="BW1437" s="2" t="s">
        <v>100</v>
      </c>
      <c r="BX1437" s="2" t="s">
        <v>100</v>
      </c>
      <c r="BY1437" s="2" t="s">
        <v>113</v>
      </c>
      <c r="BZ1437" s="2" t="s">
        <v>100</v>
      </c>
    </row>
    <row r="1438">
      <c r="A1438" s="2" t="s">
        <v>4905</v>
      </c>
      <c r="B1438" s="2" t="s">
        <v>4434</v>
      </c>
      <c r="C1438" s="2" t="s">
        <v>3934</v>
      </c>
      <c r="D1438" s="2" t="s">
        <v>803</v>
      </c>
      <c r="E1438" s="2" t="s">
        <v>1532</v>
      </c>
      <c r="F1438" s="2" t="s">
        <v>4899</v>
      </c>
      <c r="G1438" s="2" t="s">
        <v>4899</v>
      </c>
      <c r="H1438" s="2" t="s">
        <v>4899</v>
      </c>
      <c r="I1438" s="2" t="s">
        <v>4900</v>
      </c>
      <c r="J1438" s="2" t="s">
        <v>270</v>
      </c>
      <c r="K1438" s="2" t="s">
        <v>198</v>
      </c>
      <c r="L1438" s="3">
        <v>42.85</v>
      </c>
      <c r="M1438" s="3">
        <v>44.99</v>
      </c>
      <c r="N1438" s="3">
        <v>89.99</v>
      </c>
      <c r="O1438" s="2" t="s">
        <v>97</v>
      </c>
      <c r="P1438" s="2" t="s">
        <v>225</v>
      </c>
      <c r="Q1438" s="2" t="s">
        <v>99</v>
      </c>
      <c r="R1438" s="2" t="s">
        <v>100</v>
      </c>
      <c r="S1438" s="2" t="s">
        <v>4901</v>
      </c>
      <c r="T1438" s="2" t="s">
        <v>218</v>
      </c>
      <c r="U1438" s="2" t="s">
        <v>480</v>
      </c>
      <c r="V1438" s="2" t="s">
        <v>146</v>
      </c>
      <c r="W1438" s="2" t="s">
        <v>183</v>
      </c>
      <c r="X1438" s="2" t="s">
        <v>100</v>
      </c>
      <c r="Y1438" s="2" t="s">
        <v>3584</v>
      </c>
      <c r="Z1438" s="4">
        <v>386</v>
      </c>
      <c r="AA1438" s="4">
        <f>=ROUNDDOWN(48.25,0)</f>
      </c>
      <c r="AB1438" s="5">
        <v>8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>
        <v>26</v>
      </c>
      <c r="BK1438" s="8">
        <v>1253.92</v>
      </c>
      <c r="BL1438" s="2" t="s">
        <v>3090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207</v>
      </c>
      <c r="BV1438" s="2" t="s">
        <v>97</v>
      </c>
      <c r="BW1438" s="2" t="s">
        <v>100</v>
      </c>
      <c r="BX1438" s="2" t="s">
        <v>100</v>
      </c>
      <c r="BY1438" s="2" t="s">
        <v>113</v>
      </c>
      <c r="BZ1438" s="2" t="s">
        <v>100</v>
      </c>
    </row>
    <row r="1439">
      <c r="A1439" s="2" t="s">
        <v>4906</v>
      </c>
      <c r="B1439" s="2" t="s">
        <v>4434</v>
      </c>
      <c r="C1439" s="2" t="s">
        <v>3934</v>
      </c>
      <c r="D1439" s="2" t="s">
        <v>803</v>
      </c>
      <c r="E1439" s="2" t="s">
        <v>1532</v>
      </c>
      <c r="F1439" s="2" t="s">
        <v>4899</v>
      </c>
      <c r="G1439" s="2" t="s">
        <v>4899</v>
      </c>
      <c r="H1439" s="2" t="s">
        <v>4899</v>
      </c>
      <c r="I1439" s="2" t="s">
        <v>4900</v>
      </c>
      <c r="J1439" s="2" t="s">
        <v>1936</v>
      </c>
      <c r="K1439" s="2" t="s">
        <v>360</v>
      </c>
      <c r="L1439" s="3">
        <v>33.33</v>
      </c>
      <c r="M1439" s="3">
        <v>35</v>
      </c>
      <c r="N1439" s="3">
        <v>69.99</v>
      </c>
      <c r="O1439" s="2" t="s">
        <v>97</v>
      </c>
      <c r="P1439" s="2" t="s">
        <v>225</v>
      </c>
      <c r="Q1439" s="2" t="s">
        <v>99</v>
      </c>
      <c r="R1439" s="2" t="s">
        <v>100</v>
      </c>
      <c r="S1439" s="2" t="s">
        <v>4907</v>
      </c>
      <c r="T1439" s="2" t="s">
        <v>218</v>
      </c>
      <c r="U1439" s="2" t="s">
        <v>514</v>
      </c>
      <c r="V1439" s="2" t="s">
        <v>146</v>
      </c>
      <c r="W1439" s="2" t="s">
        <v>183</v>
      </c>
      <c r="X1439" s="2" t="s">
        <v>100</v>
      </c>
      <c r="Y1439" s="2" t="s">
        <v>3584</v>
      </c>
      <c r="Z1439" s="4">
        <v>381</v>
      </c>
      <c r="AA1439" s="4">
        <f>=ROUNDDOWN(47.625,0)</f>
      </c>
      <c r="AB1439" s="5">
        <v>8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27</v>
      </c>
      <c r="BK1439" s="8">
        <v>994.02</v>
      </c>
      <c r="BL1439" s="2" t="s">
        <v>4908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207</v>
      </c>
      <c r="BV1439" s="2" t="s">
        <v>97</v>
      </c>
      <c r="BW1439" s="2" t="s">
        <v>100</v>
      </c>
      <c r="BX1439" s="2" t="s">
        <v>100</v>
      </c>
      <c r="BY1439" s="2" t="s">
        <v>113</v>
      </c>
      <c r="BZ1439" s="2" t="s">
        <v>100</v>
      </c>
    </row>
    <row r="1440">
      <c r="A1440" s="2" t="s">
        <v>4909</v>
      </c>
      <c r="B1440" s="2" t="s">
        <v>4434</v>
      </c>
      <c r="C1440" s="2" t="s">
        <v>3934</v>
      </c>
      <c r="D1440" s="2" t="s">
        <v>803</v>
      </c>
      <c r="E1440" s="2" t="s">
        <v>1532</v>
      </c>
      <c r="F1440" s="2" t="s">
        <v>4899</v>
      </c>
      <c r="G1440" s="2" t="s">
        <v>4899</v>
      </c>
      <c r="H1440" s="2" t="s">
        <v>4899</v>
      </c>
      <c r="I1440" s="2" t="s">
        <v>4900</v>
      </c>
      <c r="J1440" s="2" t="s">
        <v>247</v>
      </c>
      <c r="K1440" s="2" t="s">
        <v>360</v>
      </c>
      <c r="L1440" s="3">
        <v>38.09</v>
      </c>
      <c r="M1440" s="3">
        <v>39.99</v>
      </c>
      <c r="N1440" s="3">
        <v>79.99</v>
      </c>
      <c r="O1440" s="2" t="s">
        <v>97</v>
      </c>
      <c r="P1440" s="2" t="s">
        <v>225</v>
      </c>
      <c r="Q1440" s="2" t="s">
        <v>99</v>
      </c>
      <c r="R1440" s="2" t="s">
        <v>100</v>
      </c>
      <c r="S1440" s="2" t="s">
        <v>4907</v>
      </c>
      <c r="T1440" s="2" t="s">
        <v>218</v>
      </c>
      <c r="U1440" s="2" t="s">
        <v>480</v>
      </c>
      <c r="V1440" s="2" t="s">
        <v>146</v>
      </c>
      <c r="W1440" s="2" t="s">
        <v>183</v>
      </c>
      <c r="X1440" s="2" t="s">
        <v>100</v>
      </c>
      <c r="Y1440" s="2" t="s">
        <v>3547</v>
      </c>
      <c r="Z1440" s="4">
        <v>723</v>
      </c>
      <c r="AA1440" s="4">
        <f>=ROUNDDOWN(55.6153846153846,0)</f>
      </c>
      <c r="AB1440" s="5">
        <v>13</v>
      </c>
      <c r="AC1440" s="2" t="s">
        <v>100</v>
      </c>
      <c r="AD1440" s="4"/>
      <c r="AE1440" s="4"/>
      <c r="AF1440" s="6">
        <v>65</v>
      </c>
      <c r="AG1440" s="6"/>
      <c r="AH1440" s="7">
        <v>0.8449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40</v>
      </c>
      <c r="BK1440" s="8">
        <v>1696.04</v>
      </c>
      <c r="BL1440" s="2" t="s">
        <v>4910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207</v>
      </c>
      <c r="BV1440" s="2" t="s">
        <v>97</v>
      </c>
      <c r="BW1440" s="2" t="s">
        <v>100</v>
      </c>
      <c r="BX1440" s="2" t="s">
        <v>100</v>
      </c>
      <c r="BY1440" s="2" t="s">
        <v>113</v>
      </c>
      <c r="BZ1440" s="2" t="s">
        <v>100</v>
      </c>
    </row>
    <row r="1441">
      <c r="A1441" s="2" t="s">
        <v>4911</v>
      </c>
      <c r="B1441" s="2" t="s">
        <v>4434</v>
      </c>
      <c r="C1441" s="2" t="s">
        <v>3934</v>
      </c>
      <c r="D1441" s="2" t="s">
        <v>803</v>
      </c>
      <c r="E1441" s="2" t="s">
        <v>1532</v>
      </c>
      <c r="F1441" s="2" t="s">
        <v>4899</v>
      </c>
      <c r="G1441" s="2" t="s">
        <v>4899</v>
      </c>
      <c r="H1441" s="2" t="s">
        <v>4899</v>
      </c>
      <c r="I1441" s="2" t="s">
        <v>4900</v>
      </c>
      <c r="J1441" s="2" t="s">
        <v>270</v>
      </c>
      <c r="K1441" s="2" t="s">
        <v>360</v>
      </c>
      <c r="L1441" s="3">
        <v>42.85</v>
      </c>
      <c r="M1441" s="3">
        <v>44.99</v>
      </c>
      <c r="N1441" s="3">
        <v>89.99</v>
      </c>
      <c r="O1441" s="2" t="s">
        <v>97</v>
      </c>
      <c r="P1441" s="2" t="s">
        <v>225</v>
      </c>
      <c r="Q1441" s="2" t="s">
        <v>99</v>
      </c>
      <c r="R1441" s="2" t="s">
        <v>100</v>
      </c>
      <c r="S1441" s="2" t="s">
        <v>4907</v>
      </c>
      <c r="T1441" s="2" t="s">
        <v>218</v>
      </c>
      <c r="U1441" s="2" t="s">
        <v>480</v>
      </c>
      <c r="V1441" s="2" t="s">
        <v>146</v>
      </c>
      <c r="W1441" s="2" t="s">
        <v>183</v>
      </c>
      <c r="X1441" s="2" t="s">
        <v>100</v>
      </c>
      <c r="Y1441" s="2" t="s">
        <v>3584</v>
      </c>
      <c r="Z1441" s="4">
        <v>392</v>
      </c>
      <c r="AA1441" s="4">
        <f>=ROUNDDOWN(49,0)</f>
      </c>
      <c r="AB1441" s="5">
        <v>8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16</v>
      </c>
      <c r="BK1441" s="8">
        <v>768.02</v>
      </c>
      <c r="BL1441" s="2" t="s">
        <v>4912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207</v>
      </c>
      <c r="BV1441" s="2" t="s">
        <v>97</v>
      </c>
      <c r="BW1441" s="2" t="s">
        <v>100</v>
      </c>
      <c r="BX1441" s="2" t="s">
        <v>100</v>
      </c>
      <c r="BY1441" s="2" t="s">
        <v>113</v>
      </c>
      <c r="BZ1441" s="2" t="s">
        <v>100</v>
      </c>
    </row>
    <row r="1442">
      <c r="A1442" s="2" t="s">
        <v>4913</v>
      </c>
      <c r="B1442" s="2" t="s">
        <v>4434</v>
      </c>
      <c r="C1442" s="2" t="s">
        <v>3934</v>
      </c>
      <c r="D1442" s="2" t="s">
        <v>803</v>
      </c>
      <c r="E1442" s="2" t="s">
        <v>1532</v>
      </c>
      <c r="F1442" s="2" t="s">
        <v>4899</v>
      </c>
      <c r="G1442" s="2" t="s">
        <v>4899</v>
      </c>
      <c r="H1442" s="2" t="s">
        <v>4899</v>
      </c>
      <c r="I1442" s="2" t="s">
        <v>4900</v>
      </c>
      <c r="J1442" s="2" t="s">
        <v>1936</v>
      </c>
      <c r="K1442" s="2" t="s">
        <v>4914</v>
      </c>
      <c r="L1442" s="3">
        <v>33.33</v>
      </c>
      <c r="M1442" s="3">
        <v>35</v>
      </c>
      <c r="N1442" s="3">
        <v>69.99</v>
      </c>
      <c r="O1442" s="2" t="s">
        <v>97</v>
      </c>
      <c r="P1442" s="2" t="s">
        <v>225</v>
      </c>
      <c r="Q1442" s="2" t="s">
        <v>99</v>
      </c>
      <c r="R1442" s="2" t="s">
        <v>100</v>
      </c>
      <c r="S1442" s="2" t="s">
        <v>4915</v>
      </c>
      <c r="T1442" s="2" t="s">
        <v>218</v>
      </c>
      <c r="U1442" s="2" t="s">
        <v>514</v>
      </c>
      <c r="V1442" s="2" t="s">
        <v>146</v>
      </c>
      <c r="W1442" s="2" t="s">
        <v>183</v>
      </c>
      <c r="X1442" s="2" t="s">
        <v>100</v>
      </c>
      <c r="Y1442" s="2" t="s">
        <v>3584</v>
      </c>
      <c r="Z1442" s="4">
        <v>373</v>
      </c>
      <c r="AA1442" s="4">
        <f>=ROUNDDOWN(53.2857142857143,0)</f>
      </c>
      <c r="AB1442" s="5">
        <v>7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13</v>
      </c>
      <c r="BK1442" s="8">
        <v>491.42</v>
      </c>
      <c r="BL1442" s="2" t="s">
        <v>4916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207</v>
      </c>
      <c r="BV1442" s="2" t="s">
        <v>97</v>
      </c>
      <c r="BW1442" s="2" t="s">
        <v>100</v>
      </c>
      <c r="BX1442" s="2" t="s">
        <v>100</v>
      </c>
      <c r="BY1442" s="2" t="s">
        <v>113</v>
      </c>
      <c r="BZ1442" s="2" t="s">
        <v>100</v>
      </c>
    </row>
    <row r="1443">
      <c r="A1443" s="2" t="s">
        <v>4917</v>
      </c>
      <c r="B1443" s="2" t="s">
        <v>4434</v>
      </c>
      <c r="C1443" s="2" t="s">
        <v>3934</v>
      </c>
      <c r="D1443" s="2" t="s">
        <v>803</v>
      </c>
      <c r="E1443" s="2" t="s">
        <v>1532</v>
      </c>
      <c r="F1443" s="2" t="s">
        <v>4899</v>
      </c>
      <c r="G1443" s="2" t="s">
        <v>4899</v>
      </c>
      <c r="H1443" s="2" t="s">
        <v>4899</v>
      </c>
      <c r="I1443" s="2" t="s">
        <v>4900</v>
      </c>
      <c r="J1443" s="2" t="s">
        <v>247</v>
      </c>
      <c r="K1443" s="2" t="s">
        <v>4914</v>
      </c>
      <c r="L1443" s="3">
        <v>38.09</v>
      </c>
      <c r="M1443" s="3">
        <v>39.99</v>
      </c>
      <c r="N1443" s="3">
        <v>79.99</v>
      </c>
      <c r="O1443" s="2" t="s">
        <v>97</v>
      </c>
      <c r="P1443" s="2" t="s">
        <v>225</v>
      </c>
      <c r="Q1443" s="2" t="s">
        <v>99</v>
      </c>
      <c r="R1443" s="2" t="s">
        <v>100</v>
      </c>
      <c r="S1443" s="2" t="s">
        <v>4915</v>
      </c>
      <c r="T1443" s="2" t="s">
        <v>218</v>
      </c>
      <c r="U1443" s="2" t="s">
        <v>480</v>
      </c>
      <c r="V1443" s="2" t="s">
        <v>146</v>
      </c>
      <c r="W1443" s="2" t="s">
        <v>183</v>
      </c>
      <c r="X1443" s="2" t="s">
        <v>100</v>
      </c>
      <c r="Y1443" s="2" t="s">
        <v>3547</v>
      </c>
      <c r="Z1443" s="4">
        <v>634</v>
      </c>
      <c r="AA1443" s="4">
        <f>=ROUNDDOWN(57.6363636363636,0)</f>
      </c>
      <c r="AB1443" s="5">
        <v>11</v>
      </c>
      <c r="AC1443" s="2" t="s">
        <v>100</v>
      </c>
      <c r="AD1443" s="4"/>
      <c r="AE1443" s="4"/>
      <c r="AF1443" s="6">
        <v>65</v>
      </c>
      <c r="AG1443" s="6"/>
      <c r="AH1443" s="7">
        <v>0.8449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34</v>
      </c>
      <c r="BK1443" s="8">
        <v>1443.91</v>
      </c>
      <c r="BL1443" s="2" t="s">
        <v>4918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207</v>
      </c>
      <c r="BV1443" s="2" t="s">
        <v>97</v>
      </c>
      <c r="BW1443" s="2" t="s">
        <v>100</v>
      </c>
      <c r="BX1443" s="2" t="s">
        <v>100</v>
      </c>
      <c r="BY1443" s="2" t="s">
        <v>113</v>
      </c>
      <c r="BZ1443" s="2" t="s">
        <v>100</v>
      </c>
    </row>
    <row r="1444">
      <c r="A1444" s="2" t="s">
        <v>4919</v>
      </c>
      <c r="B1444" s="2" t="s">
        <v>4434</v>
      </c>
      <c r="C1444" s="2" t="s">
        <v>3934</v>
      </c>
      <c r="D1444" s="2" t="s">
        <v>803</v>
      </c>
      <c r="E1444" s="2" t="s">
        <v>1532</v>
      </c>
      <c r="F1444" s="2" t="s">
        <v>4899</v>
      </c>
      <c r="G1444" s="2" t="s">
        <v>4899</v>
      </c>
      <c r="H1444" s="2" t="s">
        <v>4899</v>
      </c>
      <c r="I1444" s="2" t="s">
        <v>4900</v>
      </c>
      <c r="J1444" s="2" t="s">
        <v>270</v>
      </c>
      <c r="K1444" s="2" t="s">
        <v>4914</v>
      </c>
      <c r="L1444" s="3">
        <v>42.85</v>
      </c>
      <c r="M1444" s="3">
        <v>44.99</v>
      </c>
      <c r="N1444" s="3">
        <v>89.99</v>
      </c>
      <c r="O1444" s="2" t="s">
        <v>97</v>
      </c>
      <c r="P1444" s="2" t="s">
        <v>225</v>
      </c>
      <c r="Q1444" s="2" t="s">
        <v>99</v>
      </c>
      <c r="R1444" s="2" t="s">
        <v>100</v>
      </c>
      <c r="S1444" s="2" t="s">
        <v>4915</v>
      </c>
      <c r="T1444" s="2" t="s">
        <v>218</v>
      </c>
      <c r="U1444" s="2" t="s">
        <v>480</v>
      </c>
      <c r="V1444" s="2" t="s">
        <v>146</v>
      </c>
      <c r="W1444" s="2" t="s">
        <v>183</v>
      </c>
      <c r="X1444" s="2" t="s">
        <v>100</v>
      </c>
      <c r="Y1444" s="2" t="s">
        <v>3584</v>
      </c>
      <c r="Z1444" s="4">
        <v>369</v>
      </c>
      <c r="AA1444" s="4">
        <f>=ROUNDDOWN(52.7142857142857,0)</f>
      </c>
      <c r="AB1444" s="5">
        <v>7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27</v>
      </c>
      <c r="BK1444" s="8">
        <v>1299.18</v>
      </c>
      <c r="BL1444" s="2" t="s">
        <v>3090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207</v>
      </c>
      <c r="BV1444" s="2" t="s">
        <v>97</v>
      </c>
      <c r="BW1444" s="2" t="s">
        <v>100</v>
      </c>
      <c r="BX1444" s="2" t="s">
        <v>100</v>
      </c>
      <c r="BY1444" s="2" t="s">
        <v>113</v>
      </c>
      <c r="BZ1444" s="2" t="s">
        <v>100</v>
      </c>
    </row>
    <row r="1445">
      <c r="A1445" s="2" t="s">
        <v>4920</v>
      </c>
      <c r="B1445" s="2" t="s">
        <v>4434</v>
      </c>
      <c r="C1445" s="2" t="s">
        <v>3934</v>
      </c>
      <c r="D1445" s="2" t="s">
        <v>803</v>
      </c>
      <c r="E1445" s="2" t="s">
        <v>1532</v>
      </c>
      <c r="F1445" s="2" t="s">
        <v>4899</v>
      </c>
      <c r="G1445" s="2" t="s">
        <v>4899</v>
      </c>
      <c r="H1445" s="2" t="s">
        <v>4899</v>
      </c>
      <c r="I1445" s="2" t="s">
        <v>4900</v>
      </c>
      <c r="J1445" s="2" t="s">
        <v>1936</v>
      </c>
      <c r="K1445" s="2" t="s">
        <v>3038</v>
      </c>
      <c r="L1445" s="3">
        <v>33.33</v>
      </c>
      <c r="M1445" s="3">
        <v>35</v>
      </c>
      <c r="N1445" s="3">
        <v>69.99</v>
      </c>
      <c r="O1445" s="2" t="s">
        <v>97</v>
      </c>
      <c r="P1445" s="2" t="s">
        <v>225</v>
      </c>
      <c r="Q1445" s="2" t="s">
        <v>99</v>
      </c>
      <c r="R1445" s="2" t="s">
        <v>100</v>
      </c>
      <c r="S1445" s="2" t="s">
        <v>4921</v>
      </c>
      <c r="T1445" s="2" t="s">
        <v>218</v>
      </c>
      <c r="U1445" s="2" t="s">
        <v>514</v>
      </c>
      <c r="V1445" s="2" t="s">
        <v>146</v>
      </c>
      <c r="W1445" s="2" t="s">
        <v>183</v>
      </c>
      <c r="X1445" s="2" t="s">
        <v>100</v>
      </c>
      <c r="Y1445" s="2" t="s">
        <v>3584</v>
      </c>
      <c r="Z1445" s="4">
        <v>345</v>
      </c>
      <c r="AA1445" s="4">
        <f>=ROUNDDOWN(57.5,0)</f>
      </c>
      <c r="AB1445" s="5">
        <v>6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>
        <v>19</v>
      </c>
      <c r="BK1445" s="8">
        <v>705.09</v>
      </c>
      <c r="BL1445" s="2" t="s">
        <v>4922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207</v>
      </c>
      <c r="BV1445" s="2" t="s">
        <v>97</v>
      </c>
      <c r="BW1445" s="2" t="s">
        <v>100</v>
      </c>
      <c r="BX1445" s="2" t="s">
        <v>100</v>
      </c>
      <c r="BY1445" s="2" t="s">
        <v>113</v>
      </c>
      <c r="BZ1445" s="2" t="s">
        <v>100</v>
      </c>
    </row>
    <row r="1446">
      <c r="A1446" s="2" t="s">
        <v>4923</v>
      </c>
      <c r="B1446" s="2" t="s">
        <v>4434</v>
      </c>
      <c r="C1446" s="2" t="s">
        <v>3934</v>
      </c>
      <c r="D1446" s="2" t="s">
        <v>803</v>
      </c>
      <c r="E1446" s="2" t="s">
        <v>1532</v>
      </c>
      <c r="F1446" s="2" t="s">
        <v>4899</v>
      </c>
      <c r="G1446" s="2" t="s">
        <v>4899</v>
      </c>
      <c r="H1446" s="2" t="s">
        <v>4899</v>
      </c>
      <c r="I1446" s="2" t="s">
        <v>4900</v>
      </c>
      <c r="J1446" s="2" t="s">
        <v>247</v>
      </c>
      <c r="K1446" s="2" t="s">
        <v>3038</v>
      </c>
      <c r="L1446" s="3">
        <v>38.09</v>
      </c>
      <c r="M1446" s="3">
        <v>39.99</v>
      </c>
      <c r="N1446" s="3">
        <v>79.99</v>
      </c>
      <c r="O1446" s="2" t="s">
        <v>97</v>
      </c>
      <c r="P1446" s="2" t="s">
        <v>225</v>
      </c>
      <c r="Q1446" s="2" t="s">
        <v>99</v>
      </c>
      <c r="R1446" s="2" t="s">
        <v>100</v>
      </c>
      <c r="S1446" s="2" t="s">
        <v>4921</v>
      </c>
      <c r="T1446" s="2" t="s">
        <v>218</v>
      </c>
      <c r="U1446" s="2" t="s">
        <v>480</v>
      </c>
      <c r="V1446" s="2" t="s">
        <v>146</v>
      </c>
      <c r="W1446" s="2" t="s">
        <v>183</v>
      </c>
      <c r="X1446" s="2" t="s">
        <v>100</v>
      </c>
      <c r="Y1446" s="2" t="s">
        <v>3547</v>
      </c>
      <c r="Z1446" s="4">
        <v>718</v>
      </c>
      <c r="AA1446" s="4">
        <f>=ROUNDDOWN(59.8333333333333,0)</f>
      </c>
      <c r="AB1446" s="5">
        <v>12</v>
      </c>
      <c r="AC1446" s="2" t="s">
        <v>100</v>
      </c>
      <c r="AD1446" s="4"/>
      <c r="AE1446" s="4"/>
      <c r="AF1446" s="6">
        <v>65</v>
      </c>
      <c r="AG1446" s="6"/>
      <c r="AH1446" s="7">
        <v>0.8449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51</v>
      </c>
      <c r="BK1446" s="8">
        <v>2167.93</v>
      </c>
      <c r="BL1446" s="2" t="s">
        <v>4922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207</v>
      </c>
      <c r="BV1446" s="2" t="s">
        <v>97</v>
      </c>
      <c r="BW1446" s="2" t="s">
        <v>100</v>
      </c>
      <c r="BX1446" s="2" t="s">
        <v>100</v>
      </c>
      <c r="BY1446" s="2" t="s">
        <v>113</v>
      </c>
      <c r="BZ1446" s="2" t="s">
        <v>100</v>
      </c>
    </row>
    <row r="1447">
      <c r="A1447" s="2" t="s">
        <v>4924</v>
      </c>
      <c r="B1447" s="2" t="s">
        <v>4434</v>
      </c>
      <c r="C1447" s="2" t="s">
        <v>3934</v>
      </c>
      <c r="D1447" s="2" t="s">
        <v>803</v>
      </c>
      <c r="E1447" s="2" t="s">
        <v>1532</v>
      </c>
      <c r="F1447" s="2" t="s">
        <v>4899</v>
      </c>
      <c r="G1447" s="2" t="s">
        <v>4899</v>
      </c>
      <c r="H1447" s="2" t="s">
        <v>4899</v>
      </c>
      <c r="I1447" s="2" t="s">
        <v>4900</v>
      </c>
      <c r="J1447" s="2" t="s">
        <v>270</v>
      </c>
      <c r="K1447" s="2" t="s">
        <v>3038</v>
      </c>
      <c r="L1447" s="3">
        <v>42.85</v>
      </c>
      <c r="M1447" s="3">
        <v>44.99</v>
      </c>
      <c r="N1447" s="3">
        <v>89.99</v>
      </c>
      <c r="O1447" s="2" t="s">
        <v>97</v>
      </c>
      <c r="P1447" s="2" t="s">
        <v>225</v>
      </c>
      <c r="Q1447" s="2" t="s">
        <v>99</v>
      </c>
      <c r="R1447" s="2" t="s">
        <v>100</v>
      </c>
      <c r="S1447" s="2" t="s">
        <v>4921</v>
      </c>
      <c r="T1447" s="2" t="s">
        <v>218</v>
      </c>
      <c r="U1447" s="2" t="s">
        <v>480</v>
      </c>
      <c r="V1447" s="2" t="s">
        <v>146</v>
      </c>
      <c r="W1447" s="2" t="s">
        <v>183</v>
      </c>
      <c r="X1447" s="2" t="s">
        <v>100</v>
      </c>
      <c r="Y1447" s="2" t="s">
        <v>3584</v>
      </c>
      <c r="Z1447" s="4">
        <v>344</v>
      </c>
      <c r="AA1447" s="4">
        <f>=ROUNDDOWN(57.3333333333333,0)</f>
      </c>
      <c r="AB1447" s="5">
        <v>6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>
        <v>30</v>
      </c>
      <c r="BK1447" s="8">
        <v>1463.13</v>
      </c>
      <c r="BL1447" s="2" t="s">
        <v>4925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207</v>
      </c>
      <c r="BV1447" s="2" t="s">
        <v>97</v>
      </c>
      <c r="BW1447" s="2" t="s">
        <v>100</v>
      </c>
      <c r="BX1447" s="2" t="s">
        <v>100</v>
      </c>
      <c r="BY1447" s="2" t="s">
        <v>113</v>
      </c>
      <c r="BZ1447" s="2" t="s">
        <v>100</v>
      </c>
    </row>
    <row r="1448">
      <c r="A1448" s="2" t="s">
        <v>4926</v>
      </c>
      <c r="B1448" s="2" t="s">
        <v>4434</v>
      </c>
      <c r="C1448" s="2" t="s">
        <v>3934</v>
      </c>
      <c r="D1448" s="2" t="s">
        <v>4435</v>
      </c>
      <c r="E1448" s="2" t="s">
        <v>4436</v>
      </c>
      <c r="F1448" s="2" t="s">
        <v>4899</v>
      </c>
      <c r="G1448" s="2" t="s">
        <v>4899</v>
      </c>
      <c r="H1448" s="2" t="s">
        <v>4899</v>
      </c>
      <c r="I1448" s="2" t="s">
        <v>4927</v>
      </c>
      <c r="J1448" s="2" t="s">
        <v>1936</v>
      </c>
      <c r="K1448" s="2" t="s">
        <v>189</v>
      </c>
      <c r="L1448" s="3">
        <v>20.57</v>
      </c>
      <c r="M1448" s="3">
        <v>21.6</v>
      </c>
      <c r="N1448" s="3">
        <v>44.99</v>
      </c>
      <c r="O1448" s="2" t="s">
        <v>97</v>
      </c>
      <c r="P1448" s="2" t="s">
        <v>225</v>
      </c>
      <c r="Q1448" s="2" t="s">
        <v>99</v>
      </c>
      <c r="R1448" s="2" t="s">
        <v>100</v>
      </c>
      <c r="S1448" s="2" t="s">
        <v>4928</v>
      </c>
      <c r="T1448" s="2" t="s">
        <v>200</v>
      </c>
      <c r="U1448" s="2" t="s">
        <v>1847</v>
      </c>
      <c r="V1448" s="2" t="s">
        <v>146</v>
      </c>
      <c r="W1448" s="2" t="s">
        <v>183</v>
      </c>
      <c r="X1448" s="2" t="s">
        <v>100</v>
      </c>
      <c r="Y1448" s="2" t="s">
        <v>4929</v>
      </c>
      <c r="Z1448" s="4">
        <v>10</v>
      </c>
      <c r="AA1448" s="4">
        <f>=ROUNDDOWN(0.588235294117647,0)</f>
      </c>
      <c r="AB1448" s="5">
        <v>17</v>
      </c>
      <c r="AC1448" s="2" t="s">
        <v>542</v>
      </c>
      <c r="AD1448" s="4">
        <v>200</v>
      </c>
      <c r="AE1448" s="4">
        <v>800</v>
      </c>
      <c r="AF1448" s="6">
        <v>65</v>
      </c>
      <c r="AG1448" s="6"/>
      <c r="AH1448" s="7">
        <v>0.9626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>
        <v>354</v>
      </c>
      <c r="BK1448" s="8">
        <v>9431.05</v>
      </c>
      <c r="BL1448" s="2" t="s">
        <v>4930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207</v>
      </c>
      <c r="BV1448" s="2" t="s">
        <v>97</v>
      </c>
      <c r="BW1448" s="2" t="s">
        <v>100</v>
      </c>
      <c r="BX1448" s="2" t="s">
        <v>100</v>
      </c>
      <c r="BY1448" s="2" t="s">
        <v>113</v>
      </c>
      <c r="BZ1448" s="2" t="s">
        <v>100</v>
      </c>
    </row>
    <row r="1449">
      <c r="A1449" s="2" t="s">
        <v>4931</v>
      </c>
      <c r="B1449" s="2" t="s">
        <v>4434</v>
      </c>
      <c r="C1449" s="2" t="s">
        <v>3934</v>
      </c>
      <c r="D1449" s="2" t="s">
        <v>4435</v>
      </c>
      <c r="E1449" s="2" t="s">
        <v>4436</v>
      </c>
      <c r="F1449" s="2" t="s">
        <v>4899</v>
      </c>
      <c r="G1449" s="2" t="s">
        <v>4899</v>
      </c>
      <c r="H1449" s="2" t="s">
        <v>4899</v>
      </c>
      <c r="I1449" s="2" t="s">
        <v>4927</v>
      </c>
      <c r="J1449" s="2" t="s">
        <v>717</v>
      </c>
      <c r="K1449" s="2" t="s">
        <v>189</v>
      </c>
      <c r="L1449" s="3">
        <v>23.8</v>
      </c>
      <c r="M1449" s="3">
        <v>24.99</v>
      </c>
      <c r="N1449" s="3">
        <v>49.99</v>
      </c>
      <c r="O1449" s="2" t="s">
        <v>97</v>
      </c>
      <c r="P1449" s="2" t="s">
        <v>225</v>
      </c>
      <c r="Q1449" s="2" t="s">
        <v>99</v>
      </c>
      <c r="R1449" s="2" t="s">
        <v>100</v>
      </c>
      <c r="S1449" s="2" t="s">
        <v>4928</v>
      </c>
      <c r="T1449" s="2" t="s">
        <v>200</v>
      </c>
      <c r="U1449" s="2" t="s">
        <v>1847</v>
      </c>
      <c r="V1449" s="2" t="s">
        <v>146</v>
      </c>
      <c r="W1449" s="2" t="s">
        <v>183</v>
      </c>
      <c r="X1449" s="2" t="s">
        <v>100</v>
      </c>
      <c r="Y1449" s="2" t="s">
        <v>4929</v>
      </c>
      <c r="Z1449" s="4">
        <v>78</v>
      </c>
      <c r="AA1449" s="4">
        <f>=ROUNDDOWN(3.9,0)</f>
      </c>
      <c r="AB1449" s="5">
        <v>20</v>
      </c>
      <c r="AC1449" s="2" t="s">
        <v>542</v>
      </c>
      <c r="AD1449" s="4">
        <v>200</v>
      </c>
      <c r="AE1449" s="4">
        <v>890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336</v>
      </c>
      <c r="BK1449" s="8">
        <v>10841.4</v>
      </c>
      <c r="BL1449" s="2" t="s">
        <v>4932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207</v>
      </c>
      <c r="BV1449" s="2" t="s">
        <v>97</v>
      </c>
      <c r="BW1449" s="2" t="s">
        <v>100</v>
      </c>
      <c r="BX1449" s="2" t="s">
        <v>100</v>
      </c>
      <c r="BY1449" s="2" t="s">
        <v>113</v>
      </c>
      <c r="BZ1449" s="2" t="s">
        <v>100</v>
      </c>
    </row>
    <row r="1450">
      <c r="A1450" s="2" t="s">
        <v>4933</v>
      </c>
      <c r="B1450" s="2" t="s">
        <v>4434</v>
      </c>
      <c r="C1450" s="2" t="s">
        <v>3934</v>
      </c>
      <c r="D1450" s="2" t="s">
        <v>4435</v>
      </c>
      <c r="E1450" s="2" t="s">
        <v>4436</v>
      </c>
      <c r="F1450" s="2" t="s">
        <v>4899</v>
      </c>
      <c r="G1450" s="2" t="s">
        <v>4899</v>
      </c>
      <c r="H1450" s="2" t="s">
        <v>4899</v>
      </c>
      <c r="I1450" s="2" t="s">
        <v>4927</v>
      </c>
      <c r="J1450" s="2" t="s">
        <v>706</v>
      </c>
      <c r="K1450" s="2" t="s">
        <v>189</v>
      </c>
      <c r="L1450" s="3">
        <v>26.19</v>
      </c>
      <c r="M1450" s="3">
        <v>27.5</v>
      </c>
      <c r="N1450" s="3">
        <v>54.99</v>
      </c>
      <c r="O1450" s="2" t="s">
        <v>97</v>
      </c>
      <c r="P1450" s="2" t="s">
        <v>225</v>
      </c>
      <c r="Q1450" s="2" t="s">
        <v>99</v>
      </c>
      <c r="R1450" s="2" t="s">
        <v>100</v>
      </c>
      <c r="S1450" s="2" t="s">
        <v>4928</v>
      </c>
      <c r="T1450" s="2" t="s">
        <v>200</v>
      </c>
      <c r="U1450" s="2" t="s">
        <v>1847</v>
      </c>
      <c r="V1450" s="2" t="s">
        <v>146</v>
      </c>
      <c r="W1450" s="2" t="s">
        <v>183</v>
      </c>
      <c r="X1450" s="2" t="s">
        <v>100</v>
      </c>
      <c r="Y1450" s="2" t="s">
        <v>4929</v>
      </c>
      <c r="Z1450" s="4">
        <v>33</v>
      </c>
      <c r="AA1450" s="4">
        <f>=ROUNDDOWN(1.06451612903226,0)</f>
      </c>
      <c r="AB1450" s="5">
        <v>31</v>
      </c>
      <c r="AC1450" s="2" t="s">
        <v>542</v>
      </c>
      <c r="AD1450" s="4">
        <v>200</v>
      </c>
      <c r="AE1450" s="4">
        <v>1260</v>
      </c>
      <c r="AF1450" s="6">
        <v>65</v>
      </c>
      <c r="AG1450" s="6"/>
      <c r="AH1450" s="7">
        <v>0.984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720</v>
      </c>
      <c r="BK1450" s="8">
        <v>23351.75</v>
      </c>
      <c r="BL1450" s="2" t="s">
        <v>4934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207</v>
      </c>
      <c r="BV1450" s="2" t="s">
        <v>97</v>
      </c>
      <c r="BW1450" s="2" t="s">
        <v>100</v>
      </c>
      <c r="BX1450" s="2" t="s">
        <v>100</v>
      </c>
      <c r="BY1450" s="2" t="s">
        <v>113</v>
      </c>
      <c r="BZ1450" s="2" t="s">
        <v>100</v>
      </c>
    </row>
    <row r="1451">
      <c r="A1451" s="2" t="s">
        <v>4935</v>
      </c>
      <c r="B1451" s="2" t="s">
        <v>4434</v>
      </c>
      <c r="C1451" s="2" t="s">
        <v>3934</v>
      </c>
      <c r="D1451" s="2" t="s">
        <v>4435</v>
      </c>
      <c r="E1451" s="2" t="s">
        <v>4436</v>
      </c>
      <c r="F1451" s="2" t="s">
        <v>4899</v>
      </c>
      <c r="G1451" s="2" t="s">
        <v>4899</v>
      </c>
      <c r="H1451" s="2" t="s">
        <v>4899</v>
      </c>
      <c r="I1451" s="2" t="s">
        <v>4927</v>
      </c>
      <c r="J1451" s="2" t="s">
        <v>714</v>
      </c>
      <c r="K1451" s="2" t="s">
        <v>189</v>
      </c>
      <c r="L1451" s="3">
        <v>28.57</v>
      </c>
      <c r="M1451" s="3">
        <v>30</v>
      </c>
      <c r="N1451" s="3">
        <v>59.99</v>
      </c>
      <c r="O1451" s="2" t="s">
        <v>97</v>
      </c>
      <c r="P1451" s="2" t="s">
        <v>225</v>
      </c>
      <c r="Q1451" s="2" t="s">
        <v>99</v>
      </c>
      <c r="R1451" s="2" t="s">
        <v>100</v>
      </c>
      <c r="S1451" s="2" t="s">
        <v>4928</v>
      </c>
      <c r="T1451" s="2" t="s">
        <v>200</v>
      </c>
      <c r="U1451" s="2" t="s">
        <v>1847</v>
      </c>
      <c r="V1451" s="2" t="s">
        <v>146</v>
      </c>
      <c r="W1451" s="2" t="s">
        <v>183</v>
      </c>
      <c r="X1451" s="2" t="s">
        <v>100</v>
      </c>
      <c r="Y1451" s="2" t="s">
        <v>4929</v>
      </c>
      <c r="Z1451" s="4">
        <v>120</v>
      </c>
      <c r="AA1451" s="4">
        <f>=ROUNDDOWN(5.71428571428571,0)</f>
      </c>
      <c r="AB1451" s="5">
        <v>21</v>
      </c>
      <c r="AC1451" s="2" t="s">
        <v>542</v>
      </c>
      <c r="AD1451" s="4">
        <v>200</v>
      </c>
      <c r="AE1451" s="4">
        <v>850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315</v>
      </c>
      <c r="BK1451" s="8">
        <v>10901.85</v>
      </c>
      <c r="BL1451" s="2" t="s">
        <v>4936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207</v>
      </c>
      <c r="BV1451" s="2" t="s">
        <v>97</v>
      </c>
      <c r="BW1451" s="2" t="s">
        <v>100</v>
      </c>
      <c r="BX1451" s="2" t="s">
        <v>100</v>
      </c>
      <c r="BY1451" s="2" t="s">
        <v>113</v>
      </c>
      <c r="BZ1451" s="2" t="s">
        <v>100</v>
      </c>
    </row>
    <row r="1452">
      <c r="A1452" s="2" t="s">
        <v>4937</v>
      </c>
      <c r="B1452" s="2" t="s">
        <v>4434</v>
      </c>
      <c r="C1452" s="2" t="s">
        <v>1867</v>
      </c>
      <c r="D1452" s="2" t="s">
        <v>803</v>
      </c>
      <c r="E1452" s="2" t="s">
        <v>804</v>
      </c>
      <c r="F1452" s="2" t="s">
        <v>4938</v>
      </c>
      <c r="G1452" s="2" t="s">
        <v>4938</v>
      </c>
      <c r="H1452" s="2" t="s">
        <v>4938</v>
      </c>
      <c r="I1452" s="2" t="s">
        <v>2559</v>
      </c>
      <c r="J1452" s="2" t="s">
        <v>247</v>
      </c>
      <c r="K1452" s="2" t="s">
        <v>335</v>
      </c>
      <c r="L1452" s="3">
        <v>33.33</v>
      </c>
      <c r="M1452" s="3">
        <v>35</v>
      </c>
      <c r="N1452" s="3">
        <v>69.99</v>
      </c>
      <c r="O1452" s="2" t="s">
        <v>97</v>
      </c>
      <c r="P1452" s="2" t="s">
        <v>225</v>
      </c>
      <c r="Q1452" s="2" t="s">
        <v>99</v>
      </c>
      <c r="R1452" s="2" t="s">
        <v>100</v>
      </c>
      <c r="S1452" s="2" t="s">
        <v>4939</v>
      </c>
      <c r="T1452" s="2" t="s">
        <v>4940</v>
      </c>
      <c r="U1452" s="2" t="s">
        <v>402</v>
      </c>
      <c r="V1452" s="2" t="s">
        <v>146</v>
      </c>
      <c r="W1452" s="2" t="s">
        <v>673</v>
      </c>
      <c r="X1452" s="2" t="s">
        <v>100</v>
      </c>
      <c r="Y1452" s="2" t="s">
        <v>4941</v>
      </c>
      <c r="Z1452" s="4">
        <v>282</v>
      </c>
      <c r="AA1452" s="4">
        <f>=ROUNDDOWN(35.25,0)</f>
      </c>
      <c r="AB1452" s="5">
        <v>8</v>
      </c>
      <c r="AC1452" s="2" t="s">
        <v>100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139</v>
      </c>
      <c r="BK1452" s="8">
        <v>5155.59</v>
      </c>
      <c r="BL1452" s="2" t="s">
        <v>4942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207</v>
      </c>
      <c r="BV1452" s="2" t="s">
        <v>97</v>
      </c>
      <c r="BW1452" s="2" t="s">
        <v>100</v>
      </c>
      <c r="BX1452" s="2" t="s">
        <v>100</v>
      </c>
      <c r="BY1452" s="2" t="s">
        <v>113</v>
      </c>
      <c r="BZ1452" s="2" t="s">
        <v>100</v>
      </c>
    </row>
    <row r="1453">
      <c r="A1453" s="2" t="s">
        <v>4943</v>
      </c>
      <c r="B1453" s="2" t="s">
        <v>4434</v>
      </c>
      <c r="C1453" s="2" t="s">
        <v>1867</v>
      </c>
      <c r="D1453" s="2" t="s">
        <v>803</v>
      </c>
      <c r="E1453" s="2" t="s">
        <v>804</v>
      </c>
      <c r="F1453" s="2" t="s">
        <v>4938</v>
      </c>
      <c r="G1453" s="2" t="s">
        <v>4938</v>
      </c>
      <c r="H1453" s="2" t="s">
        <v>4938</v>
      </c>
      <c r="I1453" s="2" t="s">
        <v>2559</v>
      </c>
      <c r="J1453" s="2" t="s">
        <v>270</v>
      </c>
      <c r="K1453" s="2" t="s">
        <v>335</v>
      </c>
      <c r="L1453" s="3">
        <v>38.09</v>
      </c>
      <c r="M1453" s="3">
        <v>39.99</v>
      </c>
      <c r="N1453" s="3">
        <v>79.99</v>
      </c>
      <c r="O1453" s="2" t="s">
        <v>97</v>
      </c>
      <c r="P1453" s="2" t="s">
        <v>225</v>
      </c>
      <c r="Q1453" s="2" t="s">
        <v>99</v>
      </c>
      <c r="R1453" s="2" t="s">
        <v>100</v>
      </c>
      <c r="S1453" s="2" t="s">
        <v>4939</v>
      </c>
      <c r="T1453" s="2" t="s">
        <v>4940</v>
      </c>
      <c r="U1453" s="2" t="s">
        <v>402</v>
      </c>
      <c r="V1453" s="2" t="s">
        <v>146</v>
      </c>
      <c r="W1453" s="2" t="s">
        <v>673</v>
      </c>
      <c r="X1453" s="2" t="s">
        <v>100</v>
      </c>
      <c r="Y1453" s="2" t="s">
        <v>4941</v>
      </c>
      <c r="Z1453" s="4">
        <v>270</v>
      </c>
      <c r="AA1453" s="4">
        <f>=ROUNDDOWN(33.75,0)</f>
      </c>
      <c r="AB1453" s="5">
        <v>8</v>
      </c>
      <c r="AC1453" s="2" t="s">
        <v>100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93</v>
      </c>
      <c r="BK1453" s="8">
        <v>3954.07</v>
      </c>
      <c r="BL1453" s="2" t="s">
        <v>3168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207</v>
      </c>
      <c r="BV1453" s="2" t="s">
        <v>97</v>
      </c>
      <c r="BW1453" s="2" t="s">
        <v>100</v>
      </c>
      <c r="BX1453" s="2" t="s">
        <v>100</v>
      </c>
      <c r="BY1453" s="2" t="s">
        <v>113</v>
      </c>
      <c r="BZ1453" s="2" t="s">
        <v>100</v>
      </c>
    </row>
    <row r="1454">
      <c r="A1454" s="2" t="s">
        <v>4944</v>
      </c>
      <c r="B1454" s="2" t="s">
        <v>4434</v>
      </c>
      <c r="C1454" s="2" t="s">
        <v>1867</v>
      </c>
      <c r="D1454" s="2" t="s">
        <v>803</v>
      </c>
      <c r="E1454" s="2" t="s">
        <v>804</v>
      </c>
      <c r="F1454" s="2" t="s">
        <v>4938</v>
      </c>
      <c r="G1454" s="2" t="s">
        <v>4938</v>
      </c>
      <c r="H1454" s="2" t="s">
        <v>4938</v>
      </c>
      <c r="I1454" s="2" t="s">
        <v>2559</v>
      </c>
      <c r="J1454" s="2" t="s">
        <v>247</v>
      </c>
      <c r="K1454" s="2" t="s">
        <v>198</v>
      </c>
      <c r="L1454" s="3">
        <v>33.33</v>
      </c>
      <c r="M1454" s="3">
        <v>35</v>
      </c>
      <c r="N1454" s="3">
        <v>69.99</v>
      </c>
      <c r="O1454" s="2" t="s">
        <v>97</v>
      </c>
      <c r="P1454" s="2" t="s">
        <v>225</v>
      </c>
      <c r="Q1454" s="2" t="s">
        <v>99</v>
      </c>
      <c r="R1454" s="2" t="s">
        <v>100</v>
      </c>
      <c r="S1454" s="2" t="s">
        <v>4945</v>
      </c>
      <c r="T1454" s="2" t="s">
        <v>4940</v>
      </c>
      <c r="U1454" s="2" t="s">
        <v>402</v>
      </c>
      <c r="V1454" s="2" t="s">
        <v>146</v>
      </c>
      <c r="W1454" s="2" t="s">
        <v>673</v>
      </c>
      <c r="X1454" s="2" t="s">
        <v>100</v>
      </c>
      <c r="Y1454" s="2" t="s">
        <v>4941</v>
      </c>
      <c r="Z1454" s="4">
        <v>328</v>
      </c>
      <c r="AA1454" s="4">
        <f>=ROUNDDOWN(41,0)</f>
      </c>
      <c r="AB1454" s="5">
        <v>8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>
        <v>99</v>
      </c>
      <c r="BK1454" s="8">
        <v>3688.75</v>
      </c>
      <c r="BL1454" s="2" t="s">
        <v>4942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207</v>
      </c>
      <c r="BV1454" s="2" t="s">
        <v>97</v>
      </c>
      <c r="BW1454" s="2" t="s">
        <v>100</v>
      </c>
      <c r="BX1454" s="2" t="s">
        <v>100</v>
      </c>
      <c r="BY1454" s="2" t="s">
        <v>113</v>
      </c>
      <c r="BZ1454" s="2" t="s">
        <v>100</v>
      </c>
    </row>
    <row r="1455">
      <c r="A1455" s="2" t="s">
        <v>4946</v>
      </c>
      <c r="B1455" s="2" t="s">
        <v>4434</v>
      </c>
      <c r="C1455" s="2" t="s">
        <v>1867</v>
      </c>
      <c r="D1455" s="2" t="s">
        <v>803</v>
      </c>
      <c r="E1455" s="2" t="s">
        <v>804</v>
      </c>
      <c r="F1455" s="2" t="s">
        <v>4938</v>
      </c>
      <c r="G1455" s="2" t="s">
        <v>4938</v>
      </c>
      <c r="H1455" s="2" t="s">
        <v>4938</v>
      </c>
      <c r="I1455" s="2" t="s">
        <v>2559</v>
      </c>
      <c r="J1455" s="2" t="s">
        <v>270</v>
      </c>
      <c r="K1455" s="2" t="s">
        <v>198</v>
      </c>
      <c r="L1455" s="3">
        <v>38.09</v>
      </c>
      <c r="M1455" s="3">
        <v>39.99</v>
      </c>
      <c r="N1455" s="3">
        <v>79.99</v>
      </c>
      <c r="O1455" s="2" t="s">
        <v>97</v>
      </c>
      <c r="P1455" s="2" t="s">
        <v>225</v>
      </c>
      <c r="Q1455" s="2" t="s">
        <v>99</v>
      </c>
      <c r="R1455" s="2" t="s">
        <v>100</v>
      </c>
      <c r="S1455" s="2" t="s">
        <v>4945</v>
      </c>
      <c r="T1455" s="2" t="s">
        <v>4940</v>
      </c>
      <c r="U1455" s="2" t="s">
        <v>402</v>
      </c>
      <c r="V1455" s="2" t="s">
        <v>146</v>
      </c>
      <c r="W1455" s="2" t="s">
        <v>673</v>
      </c>
      <c r="X1455" s="2" t="s">
        <v>100</v>
      </c>
      <c r="Y1455" s="2" t="s">
        <v>4941</v>
      </c>
      <c r="Z1455" s="4">
        <v>283</v>
      </c>
      <c r="AA1455" s="4">
        <f>=ROUNDDOWN(35.375,0)</f>
      </c>
      <c r="AB1455" s="5">
        <v>8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>
        <v>80</v>
      </c>
      <c r="BK1455" s="8">
        <v>3413.27</v>
      </c>
      <c r="BL1455" s="2" t="s">
        <v>229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207</v>
      </c>
      <c r="BV1455" s="2" t="s">
        <v>97</v>
      </c>
      <c r="BW1455" s="2" t="s">
        <v>100</v>
      </c>
      <c r="BX1455" s="2" t="s">
        <v>100</v>
      </c>
      <c r="BY1455" s="2" t="s">
        <v>113</v>
      </c>
      <c r="BZ1455" s="2" t="s">
        <v>100</v>
      </c>
    </row>
    <row r="1456">
      <c r="A1456" s="2" t="s">
        <v>4947</v>
      </c>
      <c r="B1456" s="2" t="s">
        <v>4434</v>
      </c>
      <c r="C1456" s="2" t="s">
        <v>1867</v>
      </c>
      <c r="D1456" s="2" t="s">
        <v>803</v>
      </c>
      <c r="E1456" s="2" t="s">
        <v>804</v>
      </c>
      <c r="F1456" s="2" t="s">
        <v>4938</v>
      </c>
      <c r="G1456" s="2" t="s">
        <v>4938</v>
      </c>
      <c r="H1456" s="2" t="s">
        <v>4938</v>
      </c>
      <c r="I1456" s="2" t="s">
        <v>2559</v>
      </c>
      <c r="J1456" s="2" t="s">
        <v>247</v>
      </c>
      <c r="K1456" s="2" t="s">
        <v>1614</v>
      </c>
      <c r="L1456" s="3">
        <v>33.33</v>
      </c>
      <c r="M1456" s="3">
        <v>35</v>
      </c>
      <c r="N1456" s="3">
        <v>69.99</v>
      </c>
      <c r="O1456" s="2" t="s">
        <v>97</v>
      </c>
      <c r="P1456" s="2" t="s">
        <v>225</v>
      </c>
      <c r="Q1456" s="2" t="s">
        <v>99</v>
      </c>
      <c r="R1456" s="2" t="s">
        <v>100</v>
      </c>
      <c r="S1456" s="2" t="s">
        <v>4948</v>
      </c>
      <c r="T1456" s="2" t="s">
        <v>4940</v>
      </c>
      <c r="U1456" s="2" t="s">
        <v>402</v>
      </c>
      <c r="V1456" s="2" t="s">
        <v>146</v>
      </c>
      <c r="W1456" s="2" t="s">
        <v>673</v>
      </c>
      <c r="X1456" s="2" t="s">
        <v>100</v>
      </c>
      <c r="Y1456" s="2" t="s">
        <v>4941</v>
      </c>
      <c r="Z1456" s="4">
        <v>290</v>
      </c>
      <c r="AA1456" s="4">
        <f>=ROUNDDOWN(36.25,0)</f>
      </c>
      <c r="AB1456" s="5">
        <v>8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134</v>
      </c>
      <c r="BK1456" s="8">
        <v>4988.09</v>
      </c>
      <c r="BL1456" s="2" t="s">
        <v>3168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207</v>
      </c>
      <c r="BV1456" s="2" t="s">
        <v>97</v>
      </c>
      <c r="BW1456" s="2" t="s">
        <v>100</v>
      </c>
      <c r="BX1456" s="2" t="s">
        <v>100</v>
      </c>
      <c r="BY1456" s="2" t="s">
        <v>113</v>
      </c>
      <c r="BZ1456" s="2" t="s">
        <v>100</v>
      </c>
    </row>
    <row r="1457">
      <c r="A1457" s="2" t="s">
        <v>4949</v>
      </c>
      <c r="B1457" s="2" t="s">
        <v>4434</v>
      </c>
      <c r="C1457" s="2" t="s">
        <v>1867</v>
      </c>
      <c r="D1457" s="2" t="s">
        <v>803</v>
      </c>
      <c r="E1457" s="2" t="s">
        <v>804</v>
      </c>
      <c r="F1457" s="2" t="s">
        <v>4938</v>
      </c>
      <c r="G1457" s="2" t="s">
        <v>4938</v>
      </c>
      <c r="H1457" s="2" t="s">
        <v>4938</v>
      </c>
      <c r="I1457" s="2" t="s">
        <v>2559</v>
      </c>
      <c r="J1457" s="2" t="s">
        <v>270</v>
      </c>
      <c r="K1457" s="2" t="s">
        <v>1614</v>
      </c>
      <c r="L1457" s="3">
        <v>38.09</v>
      </c>
      <c r="M1457" s="3">
        <v>39.99</v>
      </c>
      <c r="N1457" s="3">
        <v>79.99</v>
      </c>
      <c r="O1457" s="2" t="s">
        <v>97</v>
      </c>
      <c r="P1457" s="2" t="s">
        <v>225</v>
      </c>
      <c r="Q1457" s="2" t="s">
        <v>99</v>
      </c>
      <c r="R1457" s="2" t="s">
        <v>100</v>
      </c>
      <c r="S1457" s="2" t="s">
        <v>4948</v>
      </c>
      <c r="T1457" s="2" t="s">
        <v>4940</v>
      </c>
      <c r="U1457" s="2" t="s">
        <v>402</v>
      </c>
      <c r="V1457" s="2" t="s">
        <v>146</v>
      </c>
      <c r="W1457" s="2" t="s">
        <v>673</v>
      </c>
      <c r="X1457" s="2" t="s">
        <v>100</v>
      </c>
      <c r="Y1457" s="2" t="s">
        <v>655</v>
      </c>
      <c r="Z1457" s="4">
        <v>245</v>
      </c>
      <c r="AA1457" s="4">
        <f>=ROUNDDOWN(30.625,0)</f>
      </c>
      <c r="AB1457" s="5">
        <v>8</v>
      </c>
      <c r="AC1457" s="2" t="s">
        <v>100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113</v>
      </c>
      <c r="BK1457" s="8">
        <v>4809.34</v>
      </c>
      <c r="BL1457" s="2" t="s">
        <v>4602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207</v>
      </c>
      <c r="BV1457" s="2" t="s">
        <v>97</v>
      </c>
      <c r="BW1457" s="2" t="s">
        <v>100</v>
      </c>
      <c r="BX1457" s="2" t="s">
        <v>100</v>
      </c>
      <c r="BY1457" s="2" t="s">
        <v>113</v>
      </c>
      <c r="BZ1457" s="2" t="s">
        <v>100</v>
      </c>
    </row>
    <row r="1458">
      <c r="A1458" s="2" t="s">
        <v>4950</v>
      </c>
      <c r="B1458" s="2" t="s">
        <v>4434</v>
      </c>
      <c r="C1458" s="2" t="s">
        <v>3178</v>
      </c>
      <c r="D1458" s="2" t="s">
        <v>803</v>
      </c>
      <c r="E1458" s="2" t="s">
        <v>804</v>
      </c>
      <c r="F1458" s="2" t="s">
        <v>4951</v>
      </c>
      <c r="G1458" s="2" t="s">
        <v>4951</v>
      </c>
      <c r="H1458" s="2" t="s">
        <v>4951</v>
      </c>
      <c r="I1458" s="2" t="s">
        <v>4952</v>
      </c>
      <c r="J1458" s="2" t="s">
        <v>247</v>
      </c>
      <c r="K1458" s="2" t="s">
        <v>2720</v>
      </c>
      <c r="L1458" s="3">
        <v>80.95</v>
      </c>
      <c r="M1458" s="3">
        <v>85</v>
      </c>
      <c r="N1458" s="3">
        <v>169.99</v>
      </c>
      <c r="O1458" s="2" t="s">
        <v>97</v>
      </c>
      <c r="P1458" s="2" t="s">
        <v>119</v>
      </c>
      <c r="Q1458" s="2" t="s">
        <v>99</v>
      </c>
      <c r="R1458" s="2" t="s">
        <v>100</v>
      </c>
      <c r="S1458" s="2" t="s">
        <v>4953</v>
      </c>
      <c r="T1458" s="2" t="s">
        <v>280</v>
      </c>
      <c r="U1458" s="2" t="s">
        <v>171</v>
      </c>
      <c r="V1458" s="2" t="s">
        <v>3188</v>
      </c>
      <c r="W1458" s="2" t="s">
        <v>673</v>
      </c>
      <c r="X1458" s="2" t="s">
        <v>183</v>
      </c>
      <c r="Y1458" s="2" t="s">
        <v>4954</v>
      </c>
      <c r="Z1458" s="4">
        <v>132</v>
      </c>
      <c r="AA1458" s="4">
        <f>=ROUNDDOWN(44,0)</f>
      </c>
      <c r="AB1458" s="5">
        <v>3</v>
      </c>
      <c r="AC1458" s="2" t="s">
        <v>3371</v>
      </c>
      <c r="AD1458" s="4">
        <v>110</v>
      </c>
      <c r="AE1458" s="4">
        <v>110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/>
      <c r="BJ1458" s="4">
        <v>56</v>
      </c>
      <c r="BK1458" s="8">
        <v>5227.73</v>
      </c>
      <c r="BL1458" s="2" t="s">
        <v>4955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207</v>
      </c>
      <c r="BV1458" s="2" t="s">
        <v>97</v>
      </c>
      <c r="BW1458" s="2" t="s">
        <v>100</v>
      </c>
      <c r="BX1458" s="2" t="s">
        <v>100</v>
      </c>
      <c r="BY1458" s="2" t="s">
        <v>113</v>
      </c>
      <c r="BZ1458" s="2" t="s">
        <v>100</v>
      </c>
    </row>
    <row r="1459">
      <c r="A1459" s="2" t="s">
        <v>4956</v>
      </c>
      <c r="B1459" s="2" t="s">
        <v>4434</v>
      </c>
      <c r="C1459" s="2" t="s">
        <v>3178</v>
      </c>
      <c r="D1459" s="2" t="s">
        <v>803</v>
      </c>
      <c r="E1459" s="2" t="s">
        <v>804</v>
      </c>
      <c r="F1459" s="2" t="s">
        <v>4951</v>
      </c>
      <c r="G1459" s="2" t="s">
        <v>4951</v>
      </c>
      <c r="H1459" s="2" t="s">
        <v>4951</v>
      </c>
      <c r="I1459" s="2" t="s">
        <v>4952</v>
      </c>
      <c r="J1459" s="2" t="s">
        <v>270</v>
      </c>
      <c r="K1459" s="2" t="s">
        <v>2720</v>
      </c>
      <c r="L1459" s="3">
        <v>95.23</v>
      </c>
      <c r="M1459" s="3">
        <v>99.99</v>
      </c>
      <c r="N1459" s="3">
        <v>199.99</v>
      </c>
      <c r="O1459" s="2" t="s">
        <v>97</v>
      </c>
      <c r="P1459" s="2" t="s">
        <v>119</v>
      </c>
      <c r="Q1459" s="2" t="s">
        <v>99</v>
      </c>
      <c r="R1459" s="2" t="s">
        <v>100</v>
      </c>
      <c r="S1459" s="2" t="s">
        <v>4953</v>
      </c>
      <c r="T1459" s="2" t="s">
        <v>280</v>
      </c>
      <c r="U1459" s="2" t="s">
        <v>171</v>
      </c>
      <c r="V1459" s="2" t="s">
        <v>3188</v>
      </c>
      <c r="W1459" s="2" t="s">
        <v>673</v>
      </c>
      <c r="X1459" s="2" t="s">
        <v>183</v>
      </c>
      <c r="Y1459" s="2" t="s">
        <v>4954</v>
      </c>
      <c r="Z1459" s="4">
        <v>94</v>
      </c>
      <c r="AA1459" s="4">
        <f>=ROUNDDOWN(13.4285714285714,0)</f>
      </c>
      <c r="AB1459" s="5">
        <v>7</v>
      </c>
      <c r="AC1459" s="2" t="s">
        <v>107</v>
      </c>
      <c r="AD1459" s="4">
        <v>150</v>
      </c>
      <c r="AE1459" s="4">
        <v>270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/>
      <c r="BJ1459" s="4">
        <v>121</v>
      </c>
      <c r="BK1459" s="8">
        <v>12894.78</v>
      </c>
      <c r="BL1459" s="2" t="s">
        <v>4957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207</v>
      </c>
      <c r="BV1459" s="2" t="s">
        <v>97</v>
      </c>
      <c r="BW1459" s="2" t="s">
        <v>100</v>
      </c>
      <c r="BX1459" s="2" t="s">
        <v>100</v>
      </c>
      <c r="BY1459" s="2" t="s">
        <v>113</v>
      </c>
      <c r="BZ1459" s="2" t="s">
        <v>100</v>
      </c>
    </row>
    <row r="1460">
      <c r="A1460" s="2" t="s">
        <v>4958</v>
      </c>
      <c r="B1460" s="2" t="s">
        <v>4434</v>
      </c>
      <c r="C1460" s="2" t="s">
        <v>3178</v>
      </c>
      <c r="D1460" s="2" t="s">
        <v>803</v>
      </c>
      <c r="E1460" s="2" t="s">
        <v>804</v>
      </c>
      <c r="F1460" s="2" t="s">
        <v>4951</v>
      </c>
      <c r="G1460" s="2" t="s">
        <v>4951</v>
      </c>
      <c r="H1460" s="2" t="s">
        <v>4951</v>
      </c>
      <c r="I1460" s="2" t="s">
        <v>4952</v>
      </c>
      <c r="J1460" s="2" t="s">
        <v>247</v>
      </c>
      <c r="K1460" s="2" t="s">
        <v>2951</v>
      </c>
      <c r="L1460" s="3">
        <v>80.95</v>
      </c>
      <c r="M1460" s="3">
        <v>85</v>
      </c>
      <c r="N1460" s="3">
        <v>169.99</v>
      </c>
      <c r="O1460" s="2" t="s">
        <v>97</v>
      </c>
      <c r="P1460" s="2" t="s">
        <v>119</v>
      </c>
      <c r="Q1460" s="2" t="s">
        <v>99</v>
      </c>
      <c r="R1460" s="2" t="s">
        <v>100</v>
      </c>
      <c r="S1460" s="2" t="s">
        <v>4959</v>
      </c>
      <c r="T1460" s="2" t="s">
        <v>280</v>
      </c>
      <c r="U1460" s="2" t="s">
        <v>171</v>
      </c>
      <c r="V1460" s="2" t="s">
        <v>3188</v>
      </c>
      <c r="W1460" s="2" t="s">
        <v>673</v>
      </c>
      <c r="X1460" s="2" t="s">
        <v>183</v>
      </c>
      <c r="Y1460" s="2" t="s">
        <v>4954</v>
      </c>
      <c r="Z1460" s="4">
        <v>53</v>
      </c>
      <c r="AA1460" s="4">
        <f>=ROUNDDOWN(53,0)</f>
      </c>
      <c r="AB1460" s="5">
        <v>1</v>
      </c>
      <c r="AC1460" s="2" t="s">
        <v>174</v>
      </c>
      <c r="AD1460" s="4">
        <v>30</v>
      </c>
      <c r="AE1460" s="4">
        <v>30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28</v>
      </c>
      <c r="BK1460" s="8">
        <v>2436.6</v>
      </c>
      <c r="BL1460" s="2" t="s">
        <v>4960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207</v>
      </c>
      <c r="BV1460" s="2" t="s">
        <v>97</v>
      </c>
      <c r="BW1460" s="2" t="s">
        <v>100</v>
      </c>
      <c r="BX1460" s="2" t="s">
        <v>100</v>
      </c>
      <c r="BY1460" s="2" t="s">
        <v>113</v>
      </c>
      <c r="BZ1460" s="2" t="s">
        <v>100</v>
      </c>
    </row>
    <row r="1461">
      <c r="A1461" s="2" t="s">
        <v>4961</v>
      </c>
      <c r="B1461" s="2" t="s">
        <v>4434</v>
      </c>
      <c r="C1461" s="2" t="s">
        <v>3178</v>
      </c>
      <c r="D1461" s="2" t="s">
        <v>803</v>
      </c>
      <c r="E1461" s="2" t="s">
        <v>804</v>
      </c>
      <c r="F1461" s="2" t="s">
        <v>4951</v>
      </c>
      <c r="G1461" s="2" t="s">
        <v>4951</v>
      </c>
      <c r="H1461" s="2" t="s">
        <v>4951</v>
      </c>
      <c r="I1461" s="2" t="s">
        <v>4952</v>
      </c>
      <c r="J1461" s="2" t="s">
        <v>270</v>
      </c>
      <c r="K1461" s="2" t="s">
        <v>2951</v>
      </c>
      <c r="L1461" s="3">
        <v>95.23</v>
      </c>
      <c r="M1461" s="3">
        <v>99.99</v>
      </c>
      <c r="N1461" s="3">
        <v>199.99</v>
      </c>
      <c r="O1461" s="2" t="s">
        <v>97</v>
      </c>
      <c r="P1461" s="2" t="s">
        <v>119</v>
      </c>
      <c r="Q1461" s="2" t="s">
        <v>99</v>
      </c>
      <c r="R1461" s="2" t="s">
        <v>100</v>
      </c>
      <c r="S1461" s="2" t="s">
        <v>4959</v>
      </c>
      <c r="T1461" s="2" t="s">
        <v>280</v>
      </c>
      <c r="U1461" s="2" t="s">
        <v>171</v>
      </c>
      <c r="V1461" s="2" t="s">
        <v>3188</v>
      </c>
      <c r="W1461" s="2" t="s">
        <v>673</v>
      </c>
      <c r="X1461" s="2" t="s">
        <v>183</v>
      </c>
      <c r="Y1461" s="2" t="s">
        <v>4954</v>
      </c>
      <c r="Z1461" s="4">
        <v>104</v>
      </c>
      <c r="AA1461" s="4">
        <f>=ROUNDDOWN(34.6666666666667,0)</f>
      </c>
      <c r="AB1461" s="5">
        <v>3</v>
      </c>
      <c r="AC1461" s="2" t="s">
        <v>174</v>
      </c>
      <c r="AD1461" s="4">
        <v>70</v>
      </c>
      <c r="AE1461" s="4">
        <v>70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45</v>
      </c>
      <c r="BK1461" s="8">
        <v>4700.39</v>
      </c>
      <c r="BL1461" s="2" t="s">
        <v>4962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207</v>
      </c>
      <c r="BV1461" s="2" t="s">
        <v>97</v>
      </c>
      <c r="BW1461" s="2" t="s">
        <v>100</v>
      </c>
      <c r="BX1461" s="2" t="s">
        <v>100</v>
      </c>
      <c r="BY1461" s="2" t="s">
        <v>113</v>
      </c>
      <c r="BZ1461" s="2" t="s">
        <v>100</v>
      </c>
    </row>
    <row r="1462">
      <c r="A1462" s="2" t="s">
        <v>4963</v>
      </c>
      <c r="B1462" s="2" t="s">
        <v>4434</v>
      </c>
      <c r="C1462" s="2" t="s">
        <v>3178</v>
      </c>
      <c r="D1462" s="2" t="s">
        <v>803</v>
      </c>
      <c r="E1462" s="2" t="s">
        <v>804</v>
      </c>
      <c r="F1462" s="2" t="s">
        <v>4951</v>
      </c>
      <c r="G1462" s="2" t="s">
        <v>4951</v>
      </c>
      <c r="H1462" s="2" t="s">
        <v>4951</v>
      </c>
      <c r="I1462" s="2" t="s">
        <v>4952</v>
      </c>
      <c r="J1462" s="2" t="s">
        <v>247</v>
      </c>
      <c r="K1462" s="2" t="s">
        <v>4964</v>
      </c>
      <c r="L1462" s="3">
        <v>80.95</v>
      </c>
      <c r="M1462" s="3">
        <v>85</v>
      </c>
      <c r="N1462" s="3">
        <v>169.99</v>
      </c>
      <c r="O1462" s="2" t="s">
        <v>97</v>
      </c>
      <c r="P1462" s="2" t="s">
        <v>119</v>
      </c>
      <c r="Q1462" s="2" t="s">
        <v>99</v>
      </c>
      <c r="R1462" s="2" t="s">
        <v>100</v>
      </c>
      <c r="S1462" s="2" t="s">
        <v>4965</v>
      </c>
      <c r="T1462" s="2" t="s">
        <v>280</v>
      </c>
      <c r="U1462" s="2" t="s">
        <v>171</v>
      </c>
      <c r="V1462" s="2" t="s">
        <v>3188</v>
      </c>
      <c r="W1462" s="2" t="s">
        <v>673</v>
      </c>
      <c r="X1462" s="2" t="s">
        <v>183</v>
      </c>
      <c r="Y1462" s="2" t="s">
        <v>4954</v>
      </c>
      <c r="Z1462" s="4">
        <v>210</v>
      </c>
      <c r="AA1462" s="4">
        <f>=ROUNDDOWN(26.25,0)</f>
      </c>
      <c r="AB1462" s="5">
        <v>8</v>
      </c>
      <c r="AC1462" s="2" t="s">
        <v>107</v>
      </c>
      <c r="AD1462" s="4">
        <v>60</v>
      </c>
      <c r="AE1462" s="4">
        <v>350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182</v>
      </c>
      <c r="BK1462" s="8">
        <v>16217.5</v>
      </c>
      <c r="BL1462" s="2" t="s">
        <v>3234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207</v>
      </c>
      <c r="BV1462" s="2" t="s">
        <v>97</v>
      </c>
      <c r="BW1462" s="2" t="s">
        <v>100</v>
      </c>
      <c r="BX1462" s="2" t="s">
        <v>100</v>
      </c>
      <c r="BY1462" s="2" t="s">
        <v>113</v>
      </c>
      <c r="BZ1462" s="2" t="s">
        <v>100</v>
      </c>
    </row>
    <row r="1463">
      <c r="A1463" s="2" t="s">
        <v>4966</v>
      </c>
      <c r="B1463" s="2" t="s">
        <v>4434</v>
      </c>
      <c r="C1463" s="2" t="s">
        <v>3178</v>
      </c>
      <c r="D1463" s="2" t="s">
        <v>803</v>
      </c>
      <c r="E1463" s="2" t="s">
        <v>804</v>
      </c>
      <c r="F1463" s="2" t="s">
        <v>4951</v>
      </c>
      <c r="G1463" s="2" t="s">
        <v>4951</v>
      </c>
      <c r="H1463" s="2" t="s">
        <v>4951</v>
      </c>
      <c r="I1463" s="2" t="s">
        <v>4952</v>
      </c>
      <c r="J1463" s="2" t="s">
        <v>270</v>
      </c>
      <c r="K1463" s="2" t="s">
        <v>4964</v>
      </c>
      <c r="L1463" s="3">
        <v>95.23</v>
      </c>
      <c r="M1463" s="3">
        <v>99.99</v>
      </c>
      <c r="N1463" s="3">
        <v>199.99</v>
      </c>
      <c r="O1463" s="2" t="s">
        <v>97</v>
      </c>
      <c r="P1463" s="2" t="s">
        <v>119</v>
      </c>
      <c r="Q1463" s="2" t="s">
        <v>99</v>
      </c>
      <c r="R1463" s="2" t="s">
        <v>100</v>
      </c>
      <c r="S1463" s="2" t="s">
        <v>4965</v>
      </c>
      <c r="T1463" s="2" t="s">
        <v>280</v>
      </c>
      <c r="U1463" s="2" t="s">
        <v>171</v>
      </c>
      <c r="V1463" s="2" t="s">
        <v>3188</v>
      </c>
      <c r="W1463" s="2" t="s">
        <v>673</v>
      </c>
      <c r="X1463" s="2" t="s">
        <v>183</v>
      </c>
      <c r="Y1463" s="2" t="s">
        <v>4954</v>
      </c>
      <c r="Z1463" s="4">
        <v>224</v>
      </c>
      <c r="AA1463" s="4">
        <f>=ROUNDDOWN(22.4,0)</f>
      </c>
      <c r="AB1463" s="5">
        <v>10</v>
      </c>
      <c r="AC1463" s="2" t="s">
        <v>107</v>
      </c>
      <c r="AD1463" s="4">
        <v>180</v>
      </c>
      <c r="AE1463" s="4">
        <v>330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206</v>
      </c>
      <c r="BK1463" s="8">
        <v>21125.99</v>
      </c>
      <c r="BL1463" s="2" t="s">
        <v>4967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207</v>
      </c>
      <c r="BV1463" s="2" t="s">
        <v>97</v>
      </c>
      <c r="BW1463" s="2" t="s">
        <v>100</v>
      </c>
      <c r="BX1463" s="2" t="s">
        <v>100</v>
      </c>
      <c r="BY1463" s="2" t="s">
        <v>113</v>
      </c>
      <c r="BZ1463" s="2" t="s">
        <v>100</v>
      </c>
    </row>
    <row r="1464">
      <c r="A1464" s="2" t="s">
        <v>4968</v>
      </c>
      <c r="B1464" s="2" t="s">
        <v>4434</v>
      </c>
      <c r="C1464" s="2" t="s">
        <v>3178</v>
      </c>
      <c r="D1464" s="2" t="s">
        <v>803</v>
      </c>
      <c r="E1464" s="2" t="s">
        <v>4586</v>
      </c>
      <c r="F1464" s="2" t="s">
        <v>4969</v>
      </c>
      <c r="G1464" s="2" t="s">
        <v>4969</v>
      </c>
      <c r="H1464" s="2" t="s">
        <v>4969</v>
      </c>
      <c r="I1464" s="2" t="s">
        <v>4970</v>
      </c>
      <c r="J1464" s="2" t="s">
        <v>247</v>
      </c>
      <c r="K1464" s="2" t="s">
        <v>189</v>
      </c>
      <c r="L1464" s="3">
        <v>40.75</v>
      </c>
      <c r="M1464" s="3">
        <v>42.79</v>
      </c>
      <c r="N1464" s="3">
        <v>79.99</v>
      </c>
      <c r="O1464" s="2" t="s">
        <v>97</v>
      </c>
      <c r="P1464" s="2" t="s">
        <v>119</v>
      </c>
      <c r="Q1464" s="2" t="s">
        <v>99</v>
      </c>
      <c r="R1464" s="2" t="s">
        <v>100</v>
      </c>
      <c r="S1464" s="2" t="s">
        <v>4971</v>
      </c>
      <c r="T1464" s="2" t="s">
        <v>4972</v>
      </c>
      <c r="U1464" s="2" t="s">
        <v>100</v>
      </c>
      <c r="V1464" s="2" t="s">
        <v>146</v>
      </c>
      <c r="W1464" s="2" t="s">
        <v>183</v>
      </c>
      <c r="X1464" s="2" t="s">
        <v>100</v>
      </c>
      <c r="Y1464" s="2" t="s">
        <v>240</v>
      </c>
      <c r="Z1464" s="4">
        <v>378</v>
      </c>
      <c r="AA1464" s="4">
        <f>=ROUNDDOWN(37.8,0)</f>
      </c>
      <c r="AB1464" s="5">
        <v>10</v>
      </c>
      <c r="AC1464" s="2" t="s">
        <v>2681</v>
      </c>
      <c r="AD1464" s="4">
        <v>280</v>
      </c>
      <c r="AE1464" s="4">
        <v>280</v>
      </c>
      <c r="AF1464" s="6">
        <v>67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230</v>
      </c>
      <c r="BK1464" s="8">
        <v>10097.77</v>
      </c>
      <c r="BL1464" s="2" t="s">
        <v>4973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207</v>
      </c>
      <c r="BV1464" s="2" t="s">
        <v>97</v>
      </c>
      <c r="BW1464" s="2" t="s">
        <v>100</v>
      </c>
      <c r="BX1464" s="2" t="s">
        <v>100</v>
      </c>
      <c r="BY1464" s="2" t="s">
        <v>113</v>
      </c>
      <c r="BZ1464" s="2" t="s">
        <v>100</v>
      </c>
    </row>
    <row r="1465">
      <c r="A1465" s="2" t="s">
        <v>4974</v>
      </c>
      <c r="B1465" s="2" t="s">
        <v>4434</v>
      </c>
      <c r="C1465" s="2" t="s">
        <v>3178</v>
      </c>
      <c r="D1465" s="2" t="s">
        <v>803</v>
      </c>
      <c r="E1465" s="2" t="s">
        <v>4586</v>
      </c>
      <c r="F1465" s="2" t="s">
        <v>4969</v>
      </c>
      <c r="G1465" s="2" t="s">
        <v>4969</v>
      </c>
      <c r="H1465" s="2" t="s">
        <v>4969</v>
      </c>
      <c r="I1465" s="2" t="s">
        <v>4970</v>
      </c>
      <c r="J1465" s="2" t="s">
        <v>270</v>
      </c>
      <c r="K1465" s="2" t="s">
        <v>189</v>
      </c>
      <c r="L1465" s="3">
        <v>47.21</v>
      </c>
      <c r="M1465" s="3">
        <v>49.57</v>
      </c>
      <c r="N1465" s="3">
        <v>89.99</v>
      </c>
      <c r="O1465" s="2" t="s">
        <v>97</v>
      </c>
      <c r="P1465" s="2" t="s">
        <v>119</v>
      </c>
      <c r="Q1465" s="2" t="s">
        <v>99</v>
      </c>
      <c r="R1465" s="2" t="s">
        <v>100</v>
      </c>
      <c r="S1465" s="2" t="s">
        <v>4971</v>
      </c>
      <c r="T1465" s="2" t="s">
        <v>4972</v>
      </c>
      <c r="U1465" s="2" t="s">
        <v>100</v>
      </c>
      <c r="V1465" s="2" t="s">
        <v>146</v>
      </c>
      <c r="W1465" s="2" t="s">
        <v>183</v>
      </c>
      <c r="X1465" s="2" t="s">
        <v>100</v>
      </c>
      <c r="Y1465" s="2" t="s">
        <v>240</v>
      </c>
      <c r="Z1465" s="4">
        <v>493</v>
      </c>
      <c r="AA1465" s="4">
        <f>=ROUNDDOWN(37.9230769230769,0)</f>
      </c>
      <c r="AB1465" s="5">
        <v>13</v>
      </c>
      <c r="AC1465" s="2" t="s">
        <v>2681</v>
      </c>
      <c r="AD1465" s="4">
        <v>320</v>
      </c>
      <c r="AE1465" s="4">
        <v>320</v>
      </c>
      <c r="AF1465" s="6">
        <v>67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268</v>
      </c>
      <c r="BK1465" s="8">
        <v>13669.43</v>
      </c>
      <c r="BL1465" s="2" t="s">
        <v>4975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207</v>
      </c>
      <c r="BV1465" s="2" t="s">
        <v>97</v>
      </c>
      <c r="BW1465" s="2" t="s">
        <v>100</v>
      </c>
      <c r="BX1465" s="2" t="s">
        <v>100</v>
      </c>
      <c r="BY1465" s="2" t="s">
        <v>113</v>
      </c>
      <c r="BZ1465" s="2" t="s">
        <v>100</v>
      </c>
    </row>
    <row r="1466">
      <c r="A1466" s="2" t="s">
        <v>4976</v>
      </c>
      <c r="B1466" s="2" t="s">
        <v>4434</v>
      </c>
      <c r="C1466" s="2" t="s">
        <v>3178</v>
      </c>
      <c r="D1466" s="2" t="s">
        <v>1638</v>
      </c>
      <c r="E1466" s="2" t="s">
        <v>1759</v>
      </c>
      <c r="F1466" s="2" t="s">
        <v>4951</v>
      </c>
      <c r="G1466" s="2" t="s">
        <v>4951</v>
      </c>
      <c r="H1466" s="2" t="s">
        <v>4951</v>
      </c>
      <c r="I1466" s="2" t="s">
        <v>4977</v>
      </c>
      <c r="J1466" s="2" t="s">
        <v>247</v>
      </c>
      <c r="K1466" s="2" t="s">
        <v>2720</v>
      </c>
      <c r="L1466" s="3">
        <v>66.66</v>
      </c>
      <c r="M1466" s="3">
        <v>69.99</v>
      </c>
      <c r="N1466" s="3">
        <v>139.99</v>
      </c>
      <c r="O1466" s="2" t="s">
        <v>97</v>
      </c>
      <c r="P1466" s="2" t="s">
        <v>119</v>
      </c>
      <c r="Q1466" s="2" t="s">
        <v>99</v>
      </c>
      <c r="R1466" s="2" t="s">
        <v>100</v>
      </c>
      <c r="S1466" s="2" t="s">
        <v>4978</v>
      </c>
      <c r="T1466" s="2" t="s">
        <v>280</v>
      </c>
      <c r="U1466" s="2" t="s">
        <v>402</v>
      </c>
      <c r="V1466" s="2" t="s">
        <v>3188</v>
      </c>
      <c r="W1466" s="2" t="s">
        <v>673</v>
      </c>
      <c r="X1466" s="2" t="s">
        <v>183</v>
      </c>
      <c r="Y1466" s="2" t="s">
        <v>4954</v>
      </c>
      <c r="Z1466" s="4">
        <v>274</v>
      </c>
      <c r="AA1466" s="4">
        <f>=ROUNDDOWN(68.5,0)</f>
      </c>
      <c r="AB1466" s="5">
        <v>4</v>
      </c>
      <c r="AC1466" s="2" t="s">
        <v>107</v>
      </c>
      <c r="AD1466" s="4">
        <v>70</v>
      </c>
      <c r="AE1466" s="4">
        <v>100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203</v>
      </c>
      <c r="BK1466" s="8">
        <v>13872.11</v>
      </c>
      <c r="BL1466" s="2" t="s">
        <v>4979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207</v>
      </c>
      <c r="BV1466" s="2" t="s">
        <v>97</v>
      </c>
      <c r="BW1466" s="2" t="s">
        <v>100</v>
      </c>
      <c r="BX1466" s="2" t="s">
        <v>100</v>
      </c>
      <c r="BY1466" s="2" t="s">
        <v>113</v>
      </c>
      <c r="BZ1466" s="2" t="s">
        <v>100</v>
      </c>
    </row>
    <row r="1467">
      <c r="A1467" s="2" t="s">
        <v>4980</v>
      </c>
      <c r="B1467" s="2" t="s">
        <v>4434</v>
      </c>
      <c r="C1467" s="2" t="s">
        <v>3178</v>
      </c>
      <c r="D1467" s="2" t="s">
        <v>1638</v>
      </c>
      <c r="E1467" s="2" t="s">
        <v>1759</v>
      </c>
      <c r="F1467" s="2" t="s">
        <v>4951</v>
      </c>
      <c r="G1467" s="2" t="s">
        <v>4951</v>
      </c>
      <c r="H1467" s="2" t="s">
        <v>4951</v>
      </c>
      <c r="I1467" s="2" t="s">
        <v>4977</v>
      </c>
      <c r="J1467" s="2" t="s">
        <v>270</v>
      </c>
      <c r="K1467" s="2" t="s">
        <v>2720</v>
      </c>
      <c r="L1467" s="3">
        <v>76.19</v>
      </c>
      <c r="M1467" s="3">
        <v>80</v>
      </c>
      <c r="N1467" s="3">
        <v>159.99</v>
      </c>
      <c r="O1467" s="2" t="s">
        <v>97</v>
      </c>
      <c r="P1467" s="2" t="s">
        <v>119</v>
      </c>
      <c r="Q1467" s="2" t="s">
        <v>99</v>
      </c>
      <c r="R1467" s="2" t="s">
        <v>100</v>
      </c>
      <c r="S1467" s="2" t="s">
        <v>4978</v>
      </c>
      <c r="T1467" s="2" t="s">
        <v>280</v>
      </c>
      <c r="U1467" s="2" t="s">
        <v>402</v>
      </c>
      <c r="V1467" s="2" t="s">
        <v>3188</v>
      </c>
      <c r="W1467" s="2" t="s">
        <v>673</v>
      </c>
      <c r="X1467" s="2" t="s">
        <v>183</v>
      </c>
      <c r="Y1467" s="2" t="s">
        <v>4954</v>
      </c>
      <c r="Z1467" s="4">
        <v>249</v>
      </c>
      <c r="AA1467" s="4">
        <f>=ROUNDDOWN(24.9,0)</f>
      </c>
      <c r="AB1467" s="5">
        <v>10</v>
      </c>
      <c r="AC1467" s="2" t="s">
        <v>107</v>
      </c>
      <c r="AD1467" s="4">
        <v>90</v>
      </c>
      <c r="AE1467" s="4">
        <v>400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259</v>
      </c>
      <c r="BK1467" s="8">
        <v>20025.7</v>
      </c>
      <c r="BL1467" s="2" t="s">
        <v>4979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207</v>
      </c>
      <c r="BV1467" s="2" t="s">
        <v>97</v>
      </c>
      <c r="BW1467" s="2" t="s">
        <v>100</v>
      </c>
      <c r="BX1467" s="2" t="s">
        <v>100</v>
      </c>
      <c r="BY1467" s="2" t="s">
        <v>113</v>
      </c>
      <c r="BZ1467" s="2" t="s">
        <v>100</v>
      </c>
    </row>
    <row r="1468">
      <c r="A1468" s="2" t="s">
        <v>4981</v>
      </c>
      <c r="B1468" s="2" t="s">
        <v>4434</v>
      </c>
      <c r="C1468" s="2" t="s">
        <v>3178</v>
      </c>
      <c r="D1468" s="2" t="s">
        <v>1638</v>
      </c>
      <c r="E1468" s="2" t="s">
        <v>1759</v>
      </c>
      <c r="F1468" s="2" t="s">
        <v>4951</v>
      </c>
      <c r="G1468" s="2" t="s">
        <v>4951</v>
      </c>
      <c r="H1468" s="2" t="s">
        <v>4951</v>
      </c>
      <c r="I1468" s="2" t="s">
        <v>4977</v>
      </c>
      <c r="J1468" s="2" t="s">
        <v>247</v>
      </c>
      <c r="K1468" s="2" t="s">
        <v>2951</v>
      </c>
      <c r="L1468" s="3">
        <v>66.66</v>
      </c>
      <c r="M1468" s="3">
        <v>69.99</v>
      </c>
      <c r="N1468" s="3">
        <v>139.99</v>
      </c>
      <c r="O1468" s="2" t="s">
        <v>97</v>
      </c>
      <c r="P1468" s="2" t="s">
        <v>119</v>
      </c>
      <c r="Q1468" s="2" t="s">
        <v>99</v>
      </c>
      <c r="R1468" s="2" t="s">
        <v>100</v>
      </c>
      <c r="S1468" s="2" t="s">
        <v>4982</v>
      </c>
      <c r="T1468" s="2" t="s">
        <v>280</v>
      </c>
      <c r="U1468" s="2" t="s">
        <v>402</v>
      </c>
      <c r="V1468" s="2" t="s">
        <v>3188</v>
      </c>
      <c r="W1468" s="2" t="s">
        <v>673</v>
      </c>
      <c r="X1468" s="2" t="s">
        <v>183</v>
      </c>
      <c r="Y1468" s="2" t="s">
        <v>4954</v>
      </c>
      <c r="Z1468" s="4">
        <v>108</v>
      </c>
      <c r="AA1468" s="4">
        <f>=ROUNDDOWN(54,0)</f>
      </c>
      <c r="AB1468" s="5">
        <v>2</v>
      </c>
      <c r="AC1468" s="2" t="s">
        <v>107</v>
      </c>
      <c r="AD1468" s="4">
        <v>50</v>
      </c>
      <c r="AE1468" s="4">
        <v>140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135</v>
      </c>
      <c r="BK1468" s="8">
        <v>9136.88</v>
      </c>
      <c r="BL1468" s="2" t="s">
        <v>4983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207</v>
      </c>
      <c r="BV1468" s="2" t="s">
        <v>97</v>
      </c>
      <c r="BW1468" s="2" t="s">
        <v>100</v>
      </c>
      <c r="BX1468" s="2" t="s">
        <v>100</v>
      </c>
      <c r="BY1468" s="2" t="s">
        <v>113</v>
      </c>
      <c r="BZ1468" s="2" t="s">
        <v>100</v>
      </c>
    </row>
    <row r="1469">
      <c r="A1469" s="2" t="s">
        <v>4984</v>
      </c>
      <c r="B1469" s="2" t="s">
        <v>4434</v>
      </c>
      <c r="C1469" s="2" t="s">
        <v>3178</v>
      </c>
      <c r="D1469" s="2" t="s">
        <v>1638</v>
      </c>
      <c r="E1469" s="2" t="s">
        <v>1759</v>
      </c>
      <c r="F1469" s="2" t="s">
        <v>4951</v>
      </c>
      <c r="G1469" s="2" t="s">
        <v>4951</v>
      </c>
      <c r="H1469" s="2" t="s">
        <v>4951</v>
      </c>
      <c r="I1469" s="2" t="s">
        <v>4977</v>
      </c>
      <c r="J1469" s="2" t="s">
        <v>270</v>
      </c>
      <c r="K1469" s="2" t="s">
        <v>2951</v>
      </c>
      <c r="L1469" s="3">
        <v>76.19</v>
      </c>
      <c r="M1469" s="3">
        <v>80</v>
      </c>
      <c r="N1469" s="3">
        <v>159.99</v>
      </c>
      <c r="O1469" s="2" t="s">
        <v>97</v>
      </c>
      <c r="P1469" s="2" t="s">
        <v>119</v>
      </c>
      <c r="Q1469" s="2" t="s">
        <v>99</v>
      </c>
      <c r="R1469" s="2" t="s">
        <v>100</v>
      </c>
      <c r="S1469" s="2" t="s">
        <v>4982</v>
      </c>
      <c r="T1469" s="2" t="s">
        <v>280</v>
      </c>
      <c r="U1469" s="2" t="s">
        <v>402</v>
      </c>
      <c r="V1469" s="2" t="s">
        <v>3188</v>
      </c>
      <c r="W1469" s="2" t="s">
        <v>673</v>
      </c>
      <c r="X1469" s="2" t="s">
        <v>183</v>
      </c>
      <c r="Y1469" s="2" t="s">
        <v>4954</v>
      </c>
      <c r="Z1469" s="4">
        <v>245</v>
      </c>
      <c r="AA1469" s="4">
        <f>=ROUNDDOWN(40.8333333333333,0)</f>
      </c>
      <c r="AB1469" s="5">
        <v>6</v>
      </c>
      <c r="AC1469" s="2" t="s">
        <v>174</v>
      </c>
      <c r="AD1469" s="4">
        <v>110</v>
      </c>
      <c r="AE1469" s="4">
        <v>140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>
        <v>122</v>
      </c>
      <c r="BK1469" s="8">
        <v>9348.22</v>
      </c>
      <c r="BL1469" s="2" t="s">
        <v>4985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207</v>
      </c>
      <c r="BV1469" s="2" t="s">
        <v>97</v>
      </c>
      <c r="BW1469" s="2" t="s">
        <v>100</v>
      </c>
      <c r="BX1469" s="2" t="s">
        <v>100</v>
      </c>
      <c r="BY1469" s="2" t="s">
        <v>113</v>
      </c>
      <c r="BZ1469" s="2" t="s">
        <v>100</v>
      </c>
    </row>
    <row r="1470">
      <c r="A1470" s="2" t="s">
        <v>4986</v>
      </c>
      <c r="B1470" s="2" t="s">
        <v>4434</v>
      </c>
      <c r="C1470" s="2" t="s">
        <v>3178</v>
      </c>
      <c r="D1470" s="2" t="s">
        <v>1638</v>
      </c>
      <c r="E1470" s="2" t="s">
        <v>1759</v>
      </c>
      <c r="F1470" s="2" t="s">
        <v>4951</v>
      </c>
      <c r="G1470" s="2" t="s">
        <v>4951</v>
      </c>
      <c r="H1470" s="2" t="s">
        <v>4951</v>
      </c>
      <c r="I1470" s="2" t="s">
        <v>4977</v>
      </c>
      <c r="J1470" s="2" t="s">
        <v>247</v>
      </c>
      <c r="K1470" s="2" t="s">
        <v>4964</v>
      </c>
      <c r="L1470" s="3">
        <v>66.66</v>
      </c>
      <c r="M1470" s="3">
        <v>69.99</v>
      </c>
      <c r="N1470" s="3">
        <v>139.99</v>
      </c>
      <c r="O1470" s="2" t="s">
        <v>97</v>
      </c>
      <c r="P1470" s="2" t="s">
        <v>119</v>
      </c>
      <c r="Q1470" s="2" t="s">
        <v>99</v>
      </c>
      <c r="R1470" s="2" t="s">
        <v>100</v>
      </c>
      <c r="S1470" s="2" t="s">
        <v>4987</v>
      </c>
      <c r="T1470" s="2" t="s">
        <v>280</v>
      </c>
      <c r="U1470" s="2" t="s">
        <v>402</v>
      </c>
      <c r="V1470" s="2" t="s">
        <v>3188</v>
      </c>
      <c r="W1470" s="2" t="s">
        <v>673</v>
      </c>
      <c r="X1470" s="2" t="s">
        <v>183</v>
      </c>
      <c r="Y1470" s="2" t="s">
        <v>4954</v>
      </c>
      <c r="Z1470" s="4">
        <v>286</v>
      </c>
      <c r="AA1470" s="4">
        <f>=ROUNDDOWN(47.6666666666667,0)</f>
      </c>
      <c r="AB1470" s="5">
        <v>6</v>
      </c>
      <c r="AC1470" s="2" t="s">
        <v>107</v>
      </c>
      <c r="AD1470" s="4">
        <v>80</v>
      </c>
      <c r="AE1470" s="4">
        <v>170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>
        <v>190</v>
      </c>
      <c r="BK1470" s="8">
        <v>13263.97</v>
      </c>
      <c r="BL1470" s="2" t="s">
        <v>4979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207</v>
      </c>
      <c r="BV1470" s="2" t="s">
        <v>97</v>
      </c>
      <c r="BW1470" s="2" t="s">
        <v>100</v>
      </c>
      <c r="BX1470" s="2" t="s">
        <v>100</v>
      </c>
      <c r="BY1470" s="2" t="s">
        <v>113</v>
      </c>
      <c r="BZ1470" s="2" t="s">
        <v>100</v>
      </c>
    </row>
    <row r="1471">
      <c r="A1471" s="2" t="s">
        <v>4988</v>
      </c>
      <c r="B1471" s="2" t="s">
        <v>4434</v>
      </c>
      <c r="C1471" s="2" t="s">
        <v>3178</v>
      </c>
      <c r="D1471" s="2" t="s">
        <v>1638</v>
      </c>
      <c r="E1471" s="2" t="s">
        <v>1759</v>
      </c>
      <c r="F1471" s="2" t="s">
        <v>4951</v>
      </c>
      <c r="G1471" s="2" t="s">
        <v>4951</v>
      </c>
      <c r="H1471" s="2" t="s">
        <v>4951</v>
      </c>
      <c r="I1471" s="2" t="s">
        <v>4977</v>
      </c>
      <c r="J1471" s="2" t="s">
        <v>270</v>
      </c>
      <c r="K1471" s="2" t="s">
        <v>4964</v>
      </c>
      <c r="L1471" s="3">
        <v>76.19</v>
      </c>
      <c r="M1471" s="3">
        <v>80</v>
      </c>
      <c r="N1471" s="3">
        <v>159.99</v>
      </c>
      <c r="O1471" s="2" t="s">
        <v>97</v>
      </c>
      <c r="P1471" s="2" t="s">
        <v>119</v>
      </c>
      <c r="Q1471" s="2" t="s">
        <v>99</v>
      </c>
      <c r="R1471" s="2" t="s">
        <v>100</v>
      </c>
      <c r="S1471" s="2" t="s">
        <v>4987</v>
      </c>
      <c r="T1471" s="2" t="s">
        <v>280</v>
      </c>
      <c r="U1471" s="2" t="s">
        <v>402</v>
      </c>
      <c r="V1471" s="2" t="s">
        <v>3188</v>
      </c>
      <c r="W1471" s="2" t="s">
        <v>673</v>
      </c>
      <c r="X1471" s="2" t="s">
        <v>183</v>
      </c>
      <c r="Y1471" s="2" t="s">
        <v>4954</v>
      </c>
      <c r="Z1471" s="4">
        <v>223</v>
      </c>
      <c r="AA1471" s="4">
        <f>=ROUNDDOWN(24.7777777777778,0)</f>
      </c>
      <c r="AB1471" s="5">
        <v>9</v>
      </c>
      <c r="AC1471" s="2" t="s">
        <v>107</v>
      </c>
      <c r="AD1471" s="4">
        <v>120</v>
      </c>
      <c r="AE1471" s="4">
        <v>440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>
        <v>249</v>
      </c>
      <c r="BK1471" s="8">
        <v>19908.41</v>
      </c>
      <c r="BL1471" s="2" t="s">
        <v>4983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207</v>
      </c>
      <c r="BV1471" s="2" t="s">
        <v>97</v>
      </c>
      <c r="BW1471" s="2" t="s">
        <v>100</v>
      </c>
      <c r="BX1471" s="2" t="s">
        <v>100</v>
      </c>
      <c r="BY1471" s="2" t="s">
        <v>113</v>
      </c>
      <c r="BZ1471" s="2" t="s">
        <v>100</v>
      </c>
    </row>
    <row r="1472">
      <c r="A1472" s="2" t="s">
        <v>4989</v>
      </c>
      <c r="B1472" s="2" t="s">
        <v>4434</v>
      </c>
      <c r="C1472" s="2" t="s">
        <v>3178</v>
      </c>
      <c r="D1472" s="2" t="s">
        <v>2503</v>
      </c>
      <c r="E1472" s="2" t="s">
        <v>4627</v>
      </c>
      <c r="F1472" s="2" t="s">
        <v>4990</v>
      </c>
      <c r="G1472" s="2" t="s">
        <v>100</v>
      </c>
      <c r="H1472" s="2" t="s">
        <v>100</v>
      </c>
      <c r="I1472" s="2" t="s">
        <v>4991</v>
      </c>
      <c r="J1472" s="2" t="s">
        <v>3338</v>
      </c>
      <c r="K1472" s="2" t="s">
        <v>189</v>
      </c>
      <c r="L1472" s="3">
        <v>17.48</v>
      </c>
      <c r="M1472" s="3">
        <v>18.35</v>
      </c>
      <c r="N1472" s="3">
        <v>40.99</v>
      </c>
      <c r="O1472" s="2" t="s">
        <v>97</v>
      </c>
      <c r="P1472" s="2" t="s">
        <v>119</v>
      </c>
      <c r="Q1472" s="2" t="s">
        <v>99</v>
      </c>
      <c r="R1472" s="2" t="s">
        <v>100</v>
      </c>
      <c r="S1472" s="2" t="s">
        <v>4992</v>
      </c>
      <c r="T1472" s="2" t="s">
        <v>280</v>
      </c>
      <c r="U1472" s="2" t="s">
        <v>100</v>
      </c>
      <c r="V1472" s="2" t="s">
        <v>146</v>
      </c>
      <c r="W1472" s="2" t="s">
        <v>561</v>
      </c>
      <c r="X1472" s="2" t="s">
        <v>100</v>
      </c>
      <c r="Y1472" s="2" t="s">
        <v>4993</v>
      </c>
      <c r="Z1472" s="4">
        <v>588</v>
      </c>
      <c r="AA1472" s="4">
        <f>=ROUNDDOWN(16.8,0)</f>
      </c>
      <c r="AB1472" s="5">
        <v>35</v>
      </c>
      <c r="AC1472" s="2" t="s">
        <v>107</v>
      </c>
      <c r="AD1472" s="4">
        <v>300</v>
      </c>
      <c r="AE1472" s="4">
        <v>300</v>
      </c>
      <c r="AF1472" s="6">
        <v>65</v>
      </c>
      <c r="AG1472" s="6"/>
      <c r="AH1472" s="7">
        <v>0.8289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/>
      <c r="BD1472" s="8"/>
      <c r="BE1472" s="4"/>
      <c r="BF1472" s="8"/>
      <c r="BG1472" s="7"/>
      <c r="BH1472" s="7"/>
      <c r="BI1472" s="7"/>
      <c r="BJ1472" s="4">
        <v>737</v>
      </c>
      <c r="BK1472" s="8">
        <v>13539.71</v>
      </c>
      <c r="BL1472" s="2" t="s">
        <v>1165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207</v>
      </c>
      <c r="BV1472" s="2" t="s">
        <v>97</v>
      </c>
      <c r="BW1472" s="2" t="s">
        <v>100</v>
      </c>
      <c r="BX1472" s="2" t="s">
        <v>100</v>
      </c>
      <c r="BY1472" s="2" t="s">
        <v>113</v>
      </c>
      <c r="BZ1472" s="2" t="s">
        <v>100</v>
      </c>
    </row>
    <row r="1473">
      <c r="A1473" s="2" t="s">
        <v>4994</v>
      </c>
      <c r="B1473" s="2" t="s">
        <v>4434</v>
      </c>
      <c r="C1473" s="2" t="s">
        <v>4995</v>
      </c>
      <c r="D1473" s="2" t="s">
        <v>4473</v>
      </c>
      <c r="E1473" s="2" t="s">
        <v>4474</v>
      </c>
      <c r="F1473" s="2" t="s">
        <v>4996</v>
      </c>
      <c r="G1473" s="2" t="s">
        <v>4996</v>
      </c>
      <c r="H1473" s="2" t="s">
        <v>4996</v>
      </c>
      <c r="I1473" s="2" t="s">
        <v>4997</v>
      </c>
      <c r="J1473" s="2" t="s">
        <v>1936</v>
      </c>
      <c r="K1473" s="2" t="s">
        <v>189</v>
      </c>
      <c r="L1473" s="3">
        <v>22.85</v>
      </c>
      <c r="M1473" s="3">
        <v>23.99</v>
      </c>
      <c r="N1473" s="3">
        <v>49.99</v>
      </c>
      <c r="O1473" s="2" t="s">
        <v>97</v>
      </c>
      <c r="P1473" s="2" t="s">
        <v>225</v>
      </c>
      <c r="Q1473" s="2" t="s">
        <v>99</v>
      </c>
      <c r="R1473" s="2" t="s">
        <v>100</v>
      </c>
      <c r="S1473" s="2" t="s">
        <v>4998</v>
      </c>
      <c r="T1473" s="2" t="s">
        <v>4999</v>
      </c>
      <c r="U1473" s="2" t="s">
        <v>1847</v>
      </c>
      <c r="V1473" s="2" t="s">
        <v>146</v>
      </c>
      <c r="W1473" s="2" t="s">
        <v>183</v>
      </c>
      <c r="X1473" s="2" t="s">
        <v>100</v>
      </c>
      <c r="Y1473" s="2" t="s">
        <v>5000</v>
      </c>
      <c r="Z1473" s="4">
        <v>410</v>
      </c>
      <c r="AA1473" s="4">
        <f>=ROUNDDOWN(68.3333333333333,0)</f>
      </c>
      <c r="AB1473" s="5">
        <v>6</v>
      </c>
      <c r="AC1473" s="2" t="s">
        <v>3031</v>
      </c>
      <c r="AD1473" s="4">
        <v>90</v>
      </c>
      <c r="AE1473" s="4">
        <v>90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54</v>
      </c>
      <c r="BK1473" s="8">
        <v>1330.81</v>
      </c>
      <c r="BL1473" s="2" t="s">
        <v>5001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207</v>
      </c>
      <c r="BV1473" s="2" t="s">
        <v>97</v>
      </c>
      <c r="BW1473" s="2" t="s">
        <v>100</v>
      </c>
      <c r="BX1473" s="2" t="s">
        <v>100</v>
      </c>
      <c r="BY1473" s="2" t="s">
        <v>113</v>
      </c>
      <c r="BZ1473" s="2" t="s">
        <v>100</v>
      </c>
    </row>
    <row r="1474">
      <c r="A1474" s="2" t="s">
        <v>5002</v>
      </c>
      <c r="B1474" s="2" t="s">
        <v>4434</v>
      </c>
      <c r="C1474" s="2" t="s">
        <v>4995</v>
      </c>
      <c r="D1474" s="2" t="s">
        <v>4473</v>
      </c>
      <c r="E1474" s="2" t="s">
        <v>4474</v>
      </c>
      <c r="F1474" s="2" t="s">
        <v>4996</v>
      </c>
      <c r="G1474" s="2" t="s">
        <v>4996</v>
      </c>
      <c r="H1474" s="2" t="s">
        <v>4996</v>
      </c>
      <c r="I1474" s="2" t="s">
        <v>4997</v>
      </c>
      <c r="J1474" s="2" t="s">
        <v>247</v>
      </c>
      <c r="K1474" s="2" t="s">
        <v>189</v>
      </c>
      <c r="L1474" s="3">
        <v>26.19</v>
      </c>
      <c r="M1474" s="3">
        <v>27.5</v>
      </c>
      <c r="N1474" s="3">
        <v>54.99</v>
      </c>
      <c r="O1474" s="2" t="s">
        <v>97</v>
      </c>
      <c r="P1474" s="2" t="s">
        <v>225</v>
      </c>
      <c r="Q1474" s="2" t="s">
        <v>99</v>
      </c>
      <c r="R1474" s="2" t="s">
        <v>100</v>
      </c>
      <c r="S1474" s="2" t="s">
        <v>4998</v>
      </c>
      <c r="T1474" s="2" t="s">
        <v>4999</v>
      </c>
      <c r="U1474" s="2" t="s">
        <v>1847</v>
      </c>
      <c r="V1474" s="2" t="s">
        <v>146</v>
      </c>
      <c r="W1474" s="2" t="s">
        <v>183</v>
      </c>
      <c r="X1474" s="2" t="s">
        <v>100</v>
      </c>
      <c r="Y1474" s="2" t="s">
        <v>2162</v>
      </c>
      <c r="Z1474" s="4">
        <v>882</v>
      </c>
      <c r="AA1474" s="4">
        <f>=ROUNDDOWN(63,0)</f>
      </c>
      <c r="AB1474" s="5">
        <v>14</v>
      </c>
      <c r="AC1474" s="2" t="s">
        <v>3031</v>
      </c>
      <c r="AD1474" s="4">
        <v>190</v>
      </c>
      <c r="AE1474" s="4">
        <v>190</v>
      </c>
      <c r="AF1474" s="6">
        <v>65</v>
      </c>
      <c r="AG1474" s="6"/>
      <c r="AH1474" s="7">
        <v>0.7647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151</v>
      </c>
      <c r="BK1474" s="8">
        <v>4377.23</v>
      </c>
      <c r="BL1474" s="2" t="s">
        <v>5003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207</v>
      </c>
      <c r="BV1474" s="2" t="s">
        <v>97</v>
      </c>
      <c r="BW1474" s="2" t="s">
        <v>100</v>
      </c>
      <c r="BX1474" s="2" t="s">
        <v>100</v>
      </c>
      <c r="BY1474" s="2" t="s">
        <v>113</v>
      </c>
      <c r="BZ1474" s="2" t="s">
        <v>100</v>
      </c>
    </row>
    <row r="1475">
      <c r="A1475" s="2" t="s">
        <v>5004</v>
      </c>
      <c r="B1475" s="2" t="s">
        <v>4434</v>
      </c>
      <c r="C1475" s="2" t="s">
        <v>4995</v>
      </c>
      <c r="D1475" s="2" t="s">
        <v>4473</v>
      </c>
      <c r="E1475" s="2" t="s">
        <v>4474</v>
      </c>
      <c r="F1475" s="2" t="s">
        <v>4996</v>
      </c>
      <c r="G1475" s="2" t="s">
        <v>4996</v>
      </c>
      <c r="H1475" s="2" t="s">
        <v>4996</v>
      </c>
      <c r="I1475" s="2" t="s">
        <v>4997</v>
      </c>
      <c r="J1475" s="2" t="s">
        <v>714</v>
      </c>
      <c r="K1475" s="2" t="s">
        <v>189</v>
      </c>
      <c r="L1475" s="3">
        <v>30.95</v>
      </c>
      <c r="M1475" s="3">
        <v>32.5</v>
      </c>
      <c r="N1475" s="3">
        <v>64.99</v>
      </c>
      <c r="O1475" s="2" t="s">
        <v>97</v>
      </c>
      <c r="P1475" s="2" t="s">
        <v>225</v>
      </c>
      <c r="Q1475" s="2" t="s">
        <v>99</v>
      </c>
      <c r="R1475" s="2" t="s">
        <v>100</v>
      </c>
      <c r="S1475" s="2" t="s">
        <v>4998</v>
      </c>
      <c r="T1475" s="2" t="s">
        <v>4999</v>
      </c>
      <c r="U1475" s="2" t="s">
        <v>1847</v>
      </c>
      <c r="V1475" s="2" t="s">
        <v>146</v>
      </c>
      <c r="W1475" s="2" t="s">
        <v>183</v>
      </c>
      <c r="X1475" s="2" t="s">
        <v>100</v>
      </c>
      <c r="Y1475" s="2" t="s">
        <v>2162</v>
      </c>
      <c r="Z1475" s="4">
        <v>686</v>
      </c>
      <c r="AA1475" s="4">
        <f>=ROUNDDOWN(49,0)</f>
      </c>
      <c r="AB1475" s="5">
        <v>14</v>
      </c>
      <c r="AC1475" s="2" t="s">
        <v>3031</v>
      </c>
      <c r="AD1475" s="4">
        <v>320</v>
      </c>
      <c r="AE1475" s="4">
        <v>320</v>
      </c>
      <c r="AF1475" s="6">
        <v>65</v>
      </c>
      <c r="AG1475" s="6"/>
      <c r="AH1475" s="7">
        <v>0.7516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195</v>
      </c>
      <c r="BK1475" s="8">
        <v>6574.1</v>
      </c>
      <c r="BL1475" s="2" t="s">
        <v>548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207</v>
      </c>
      <c r="BV1475" s="2" t="s">
        <v>97</v>
      </c>
      <c r="BW1475" s="2" t="s">
        <v>100</v>
      </c>
      <c r="BX1475" s="2" t="s">
        <v>100</v>
      </c>
      <c r="BY1475" s="2" t="s">
        <v>113</v>
      </c>
      <c r="BZ1475" s="2" t="s">
        <v>100</v>
      </c>
    </row>
    <row r="1476">
      <c r="A1476" s="2" t="s">
        <v>5005</v>
      </c>
      <c r="B1476" s="2" t="s">
        <v>4434</v>
      </c>
      <c r="C1476" s="2" t="s">
        <v>4995</v>
      </c>
      <c r="D1476" s="2" t="s">
        <v>803</v>
      </c>
      <c r="E1476" s="2" t="s">
        <v>4586</v>
      </c>
      <c r="F1476" s="2" t="s">
        <v>4996</v>
      </c>
      <c r="G1476" s="2" t="s">
        <v>4996</v>
      </c>
      <c r="H1476" s="2" t="s">
        <v>4996</v>
      </c>
      <c r="I1476" s="2" t="s">
        <v>4607</v>
      </c>
      <c r="J1476" s="2" t="s">
        <v>237</v>
      </c>
      <c r="K1476" s="2" t="s">
        <v>189</v>
      </c>
      <c r="L1476" s="3">
        <v>30.95</v>
      </c>
      <c r="M1476" s="3">
        <v>32.5</v>
      </c>
      <c r="N1476" s="3">
        <v>64.99</v>
      </c>
      <c r="O1476" s="2" t="s">
        <v>97</v>
      </c>
      <c r="P1476" s="2" t="s">
        <v>225</v>
      </c>
      <c r="Q1476" s="2" t="s">
        <v>99</v>
      </c>
      <c r="R1476" s="2" t="s">
        <v>100</v>
      </c>
      <c r="S1476" s="2" t="s">
        <v>5006</v>
      </c>
      <c r="T1476" s="2" t="s">
        <v>4999</v>
      </c>
      <c r="U1476" s="2" t="s">
        <v>1847</v>
      </c>
      <c r="V1476" s="2" t="s">
        <v>146</v>
      </c>
      <c r="W1476" s="2" t="s">
        <v>183</v>
      </c>
      <c r="X1476" s="2" t="s">
        <v>100</v>
      </c>
      <c r="Y1476" s="2" t="s">
        <v>5007</v>
      </c>
      <c r="Z1476" s="4">
        <v>425</v>
      </c>
      <c r="AA1476" s="4">
        <f>=ROUNDDOWN(47.2222222222222,0)</f>
      </c>
      <c r="AB1476" s="5">
        <v>9</v>
      </c>
      <c r="AC1476" s="2" t="s">
        <v>123</v>
      </c>
      <c r="AD1476" s="4">
        <v>150</v>
      </c>
      <c r="AE1476" s="4">
        <v>250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79</v>
      </c>
      <c r="BK1476" s="8">
        <v>2584.93</v>
      </c>
      <c r="BL1476" s="2" t="s">
        <v>5008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207</v>
      </c>
      <c r="BV1476" s="2" t="s">
        <v>97</v>
      </c>
      <c r="BW1476" s="2" t="s">
        <v>100</v>
      </c>
      <c r="BX1476" s="2" t="s">
        <v>100</v>
      </c>
      <c r="BY1476" s="2" t="s">
        <v>113</v>
      </c>
      <c r="BZ1476" s="2" t="s">
        <v>100</v>
      </c>
    </row>
    <row r="1477">
      <c r="A1477" s="2" t="s">
        <v>5009</v>
      </c>
      <c r="B1477" s="2" t="s">
        <v>4434</v>
      </c>
      <c r="C1477" s="2" t="s">
        <v>4995</v>
      </c>
      <c r="D1477" s="2" t="s">
        <v>803</v>
      </c>
      <c r="E1477" s="2" t="s">
        <v>4586</v>
      </c>
      <c r="F1477" s="2" t="s">
        <v>4996</v>
      </c>
      <c r="G1477" s="2" t="s">
        <v>4996</v>
      </c>
      <c r="H1477" s="2" t="s">
        <v>4996</v>
      </c>
      <c r="I1477" s="2" t="s">
        <v>4607</v>
      </c>
      <c r="J1477" s="2" t="s">
        <v>247</v>
      </c>
      <c r="K1477" s="2" t="s">
        <v>189</v>
      </c>
      <c r="L1477" s="3">
        <v>35.71</v>
      </c>
      <c r="M1477" s="3">
        <v>37.5</v>
      </c>
      <c r="N1477" s="3">
        <v>74.99</v>
      </c>
      <c r="O1477" s="2" t="s">
        <v>97</v>
      </c>
      <c r="P1477" s="2" t="s">
        <v>225</v>
      </c>
      <c r="Q1477" s="2" t="s">
        <v>99</v>
      </c>
      <c r="R1477" s="2" t="s">
        <v>100</v>
      </c>
      <c r="S1477" s="2" t="s">
        <v>5006</v>
      </c>
      <c r="T1477" s="2" t="s">
        <v>4999</v>
      </c>
      <c r="U1477" s="2" t="s">
        <v>1847</v>
      </c>
      <c r="V1477" s="2" t="s">
        <v>146</v>
      </c>
      <c r="W1477" s="2" t="s">
        <v>183</v>
      </c>
      <c r="X1477" s="2" t="s">
        <v>100</v>
      </c>
      <c r="Y1477" s="2" t="s">
        <v>2162</v>
      </c>
      <c r="Z1477" s="4">
        <v>529</v>
      </c>
      <c r="AA1477" s="4">
        <f>=ROUNDDOWN(26.45,0)</f>
      </c>
      <c r="AB1477" s="5">
        <v>20</v>
      </c>
      <c r="AC1477" s="2" t="s">
        <v>123</v>
      </c>
      <c r="AD1477" s="4">
        <v>250</v>
      </c>
      <c r="AE1477" s="4">
        <v>650</v>
      </c>
      <c r="AF1477" s="6">
        <v>65</v>
      </c>
      <c r="AG1477" s="6"/>
      <c r="AH1477" s="7">
        <v>0.8235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/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/>
      <c r="BJ1477" s="4">
        <v>222</v>
      </c>
      <c r="BK1477" s="8">
        <v>8812.03</v>
      </c>
      <c r="BL1477" s="2" t="s">
        <v>548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207</v>
      </c>
      <c r="BV1477" s="2" t="s">
        <v>97</v>
      </c>
      <c r="BW1477" s="2" t="s">
        <v>100</v>
      </c>
      <c r="BX1477" s="2" t="s">
        <v>100</v>
      </c>
      <c r="BY1477" s="2" t="s">
        <v>113</v>
      </c>
      <c r="BZ1477" s="2" t="s">
        <v>100</v>
      </c>
    </row>
    <row r="1478">
      <c r="A1478" s="2" t="s">
        <v>5010</v>
      </c>
      <c r="B1478" s="2" t="s">
        <v>4434</v>
      </c>
      <c r="C1478" s="2" t="s">
        <v>4995</v>
      </c>
      <c r="D1478" s="2" t="s">
        <v>803</v>
      </c>
      <c r="E1478" s="2" t="s">
        <v>4586</v>
      </c>
      <c r="F1478" s="2" t="s">
        <v>4996</v>
      </c>
      <c r="G1478" s="2" t="s">
        <v>4996</v>
      </c>
      <c r="H1478" s="2" t="s">
        <v>4996</v>
      </c>
      <c r="I1478" s="2" t="s">
        <v>4607</v>
      </c>
      <c r="J1478" s="2" t="s">
        <v>270</v>
      </c>
      <c r="K1478" s="2" t="s">
        <v>189</v>
      </c>
      <c r="L1478" s="3">
        <v>40.47</v>
      </c>
      <c r="M1478" s="3">
        <v>42.49</v>
      </c>
      <c r="N1478" s="3">
        <v>84.99</v>
      </c>
      <c r="O1478" s="2" t="s">
        <v>97</v>
      </c>
      <c r="P1478" s="2" t="s">
        <v>225</v>
      </c>
      <c r="Q1478" s="2" t="s">
        <v>99</v>
      </c>
      <c r="R1478" s="2" t="s">
        <v>100</v>
      </c>
      <c r="S1478" s="2" t="s">
        <v>5006</v>
      </c>
      <c r="T1478" s="2" t="s">
        <v>4999</v>
      </c>
      <c r="U1478" s="2" t="s">
        <v>1847</v>
      </c>
      <c r="V1478" s="2" t="s">
        <v>146</v>
      </c>
      <c r="W1478" s="2" t="s">
        <v>183</v>
      </c>
      <c r="X1478" s="2" t="s">
        <v>100</v>
      </c>
      <c r="Y1478" s="2" t="s">
        <v>5007</v>
      </c>
      <c r="Z1478" s="4">
        <v>297</v>
      </c>
      <c r="AA1478" s="4">
        <f>=ROUNDDOWN(10.6071428571429,0)</f>
      </c>
      <c r="AB1478" s="5">
        <v>28</v>
      </c>
      <c r="AC1478" s="2" t="s">
        <v>123</v>
      </c>
      <c r="AD1478" s="4">
        <v>300</v>
      </c>
      <c r="AE1478" s="4">
        <v>1100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/>
      <c r="BJ1478" s="4">
        <v>454</v>
      </c>
      <c r="BK1478" s="8">
        <v>20399.45</v>
      </c>
      <c r="BL1478" s="2" t="s">
        <v>5011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207</v>
      </c>
      <c r="BV1478" s="2" t="s">
        <v>97</v>
      </c>
      <c r="BW1478" s="2" t="s">
        <v>100</v>
      </c>
      <c r="BX1478" s="2" t="s">
        <v>100</v>
      </c>
      <c r="BY1478" s="2" t="s">
        <v>113</v>
      </c>
      <c r="BZ1478" s="2" t="s">
        <v>100</v>
      </c>
    </row>
    <row r="1479">
      <c r="A1479" s="2" t="s">
        <v>5012</v>
      </c>
      <c r="B1479" s="2" t="s">
        <v>4434</v>
      </c>
      <c r="C1479" s="2" t="s">
        <v>4995</v>
      </c>
      <c r="D1479" s="2" t="s">
        <v>4435</v>
      </c>
      <c r="E1479" s="2" t="s">
        <v>4436</v>
      </c>
      <c r="F1479" s="2" t="s">
        <v>4996</v>
      </c>
      <c r="G1479" s="2" t="s">
        <v>4996</v>
      </c>
      <c r="H1479" s="2" t="s">
        <v>4996</v>
      </c>
      <c r="I1479" s="2" t="s">
        <v>5013</v>
      </c>
      <c r="J1479" s="2" t="s">
        <v>1936</v>
      </c>
      <c r="K1479" s="2" t="s">
        <v>189</v>
      </c>
      <c r="L1479" s="3">
        <v>20.57</v>
      </c>
      <c r="M1479" s="3">
        <v>21.6</v>
      </c>
      <c r="N1479" s="3">
        <v>44.99</v>
      </c>
      <c r="O1479" s="2" t="s">
        <v>97</v>
      </c>
      <c r="P1479" s="2" t="s">
        <v>225</v>
      </c>
      <c r="Q1479" s="2" t="s">
        <v>99</v>
      </c>
      <c r="R1479" s="2" t="s">
        <v>100</v>
      </c>
      <c r="S1479" s="2" t="s">
        <v>5014</v>
      </c>
      <c r="T1479" s="2" t="s">
        <v>4999</v>
      </c>
      <c r="U1479" s="2" t="s">
        <v>1847</v>
      </c>
      <c r="V1479" s="2" t="s">
        <v>146</v>
      </c>
      <c r="W1479" s="2" t="s">
        <v>183</v>
      </c>
      <c r="X1479" s="2" t="s">
        <v>100</v>
      </c>
      <c r="Y1479" s="2" t="s">
        <v>5015</v>
      </c>
      <c r="Z1479" s="4">
        <v>214</v>
      </c>
      <c r="AA1479" s="4">
        <f>=ROUNDDOWN(23.7777777777778,0)</f>
      </c>
      <c r="AB1479" s="5">
        <v>9</v>
      </c>
      <c r="AC1479" s="2" t="s">
        <v>123</v>
      </c>
      <c r="AD1479" s="4">
        <v>80</v>
      </c>
      <c r="AE1479" s="4">
        <v>130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>
        <v>42</v>
      </c>
      <c r="BK1479" s="8">
        <v>954.84</v>
      </c>
      <c r="BL1479" s="2" t="s">
        <v>5016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207</v>
      </c>
      <c r="BV1479" s="2" t="s">
        <v>97</v>
      </c>
      <c r="BW1479" s="2" t="s">
        <v>100</v>
      </c>
      <c r="BX1479" s="2" t="s">
        <v>100</v>
      </c>
      <c r="BY1479" s="2" t="s">
        <v>113</v>
      </c>
      <c r="BZ1479" s="2" t="s">
        <v>100</v>
      </c>
    </row>
    <row r="1480">
      <c r="A1480" s="2" t="s">
        <v>5017</v>
      </c>
      <c r="B1480" s="2" t="s">
        <v>4434</v>
      </c>
      <c r="C1480" s="2" t="s">
        <v>4995</v>
      </c>
      <c r="D1480" s="2" t="s">
        <v>4435</v>
      </c>
      <c r="E1480" s="2" t="s">
        <v>4436</v>
      </c>
      <c r="F1480" s="2" t="s">
        <v>4996</v>
      </c>
      <c r="G1480" s="2" t="s">
        <v>4996</v>
      </c>
      <c r="H1480" s="2" t="s">
        <v>4996</v>
      </c>
      <c r="I1480" s="2" t="s">
        <v>5013</v>
      </c>
      <c r="J1480" s="2" t="s">
        <v>717</v>
      </c>
      <c r="K1480" s="2" t="s">
        <v>189</v>
      </c>
      <c r="L1480" s="3">
        <v>26.19</v>
      </c>
      <c r="M1480" s="3">
        <v>27.5</v>
      </c>
      <c r="N1480" s="3">
        <v>54.99</v>
      </c>
      <c r="O1480" s="2" t="s">
        <v>97</v>
      </c>
      <c r="P1480" s="2" t="s">
        <v>225</v>
      </c>
      <c r="Q1480" s="2" t="s">
        <v>99</v>
      </c>
      <c r="R1480" s="2" t="s">
        <v>100</v>
      </c>
      <c r="S1480" s="2" t="s">
        <v>5014</v>
      </c>
      <c r="T1480" s="2" t="s">
        <v>4999</v>
      </c>
      <c r="U1480" s="2" t="s">
        <v>1847</v>
      </c>
      <c r="V1480" s="2" t="s">
        <v>146</v>
      </c>
      <c r="W1480" s="2" t="s">
        <v>183</v>
      </c>
      <c r="X1480" s="2" t="s">
        <v>100</v>
      </c>
      <c r="Y1480" s="2" t="s">
        <v>2162</v>
      </c>
      <c r="Z1480" s="4">
        <v>221</v>
      </c>
      <c r="AA1480" s="4">
        <f>=ROUNDDOWN(18.4166666666667,0)</f>
      </c>
      <c r="AB1480" s="5">
        <v>12</v>
      </c>
      <c r="AC1480" s="2" t="s">
        <v>123</v>
      </c>
      <c r="AD1480" s="4">
        <v>170</v>
      </c>
      <c r="AE1480" s="4">
        <v>260</v>
      </c>
      <c r="AF1480" s="6">
        <v>65</v>
      </c>
      <c r="AG1480" s="6"/>
      <c r="AH1480" s="7">
        <v>0.817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55</v>
      </c>
      <c r="BK1480" s="8">
        <v>1551.98</v>
      </c>
      <c r="BL1480" s="2" t="s">
        <v>5018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207</v>
      </c>
      <c r="BV1480" s="2" t="s">
        <v>97</v>
      </c>
      <c r="BW1480" s="2" t="s">
        <v>100</v>
      </c>
      <c r="BX1480" s="2" t="s">
        <v>100</v>
      </c>
      <c r="BY1480" s="2" t="s">
        <v>113</v>
      </c>
      <c r="BZ1480" s="2" t="s">
        <v>100</v>
      </c>
    </row>
    <row r="1481">
      <c r="A1481" s="2" t="s">
        <v>5019</v>
      </c>
      <c r="B1481" s="2" t="s">
        <v>4434</v>
      </c>
      <c r="C1481" s="2" t="s">
        <v>4995</v>
      </c>
      <c r="D1481" s="2" t="s">
        <v>4435</v>
      </c>
      <c r="E1481" s="2" t="s">
        <v>4436</v>
      </c>
      <c r="F1481" s="2" t="s">
        <v>4996</v>
      </c>
      <c r="G1481" s="2" t="s">
        <v>4996</v>
      </c>
      <c r="H1481" s="2" t="s">
        <v>4996</v>
      </c>
      <c r="I1481" s="2" t="s">
        <v>5013</v>
      </c>
      <c r="J1481" s="2" t="s">
        <v>706</v>
      </c>
      <c r="K1481" s="2" t="s">
        <v>189</v>
      </c>
      <c r="L1481" s="3">
        <v>28.57</v>
      </c>
      <c r="M1481" s="3">
        <v>30</v>
      </c>
      <c r="N1481" s="3">
        <v>59.99</v>
      </c>
      <c r="O1481" s="2" t="s">
        <v>97</v>
      </c>
      <c r="P1481" s="2" t="s">
        <v>225</v>
      </c>
      <c r="Q1481" s="2" t="s">
        <v>99</v>
      </c>
      <c r="R1481" s="2" t="s">
        <v>100</v>
      </c>
      <c r="S1481" s="2" t="s">
        <v>5014</v>
      </c>
      <c r="T1481" s="2" t="s">
        <v>4999</v>
      </c>
      <c r="U1481" s="2" t="s">
        <v>1847</v>
      </c>
      <c r="V1481" s="2" t="s">
        <v>146</v>
      </c>
      <c r="W1481" s="2" t="s">
        <v>183</v>
      </c>
      <c r="X1481" s="2" t="s">
        <v>100</v>
      </c>
      <c r="Y1481" s="2" t="s">
        <v>2162</v>
      </c>
      <c r="Z1481" s="4">
        <v>434</v>
      </c>
      <c r="AA1481" s="4">
        <f>=ROUNDDOWN(21.7,0)</f>
      </c>
      <c r="AB1481" s="5">
        <v>20</v>
      </c>
      <c r="AC1481" s="2" t="s">
        <v>123</v>
      </c>
      <c r="AD1481" s="4">
        <v>180</v>
      </c>
      <c r="AE1481" s="4">
        <v>340</v>
      </c>
      <c r="AF1481" s="6">
        <v>65</v>
      </c>
      <c r="AG1481" s="6"/>
      <c r="AH1481" s="7">
        <v>0.817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142</v>
      </c>
      <c r="BK1481" s="8">
        <v>4482.92</v>
      </c>
      <c r="BL1481" s="2" t="s">
        <v>2355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207</v>
      </c>
      <c r="BV1481" s="2" t="s">
        <v>97</v>
      </c>
      <c r="BW1481" s="2" t="s">
        <v>100</v>
      </c>
      <c r="BX1481" s="2" t="s">
        <v>100</v>
      </c>
      <c r="BY1481" s="2" t="s">
        <v>113</v>
      </c>
      <c r="BZ1481" s="2" t="s">
        <v>100</v>
      </c>
    </row>
    <row r="1482">
      <c r="A1482" s="2" t="s">
        <v>5020</v>
      </c>
      <c r="B1482" s="2" t="s">
        <v>4434</v>
      </c>
      <c r="C1482" s="2" t="s">
        <v>4995</v>
      </c>
      <c r="D1482" s="2" t="s">
        <v>4435</v>
      </c>
      <c r="E1482" s="2" t="s">
        <v>4436</v>
      </c>
      <c r="F1482" s="2" t="s">
        <v>4996</v>
      </c>
      <c r="G1482" s="2" t="s">
        <v>4996</v>
      </c>
      <c r="H1482" s="2" t="s">
        <v>4996</v>
      </c>
      <c r="I1482" s="2" t="s">
        <v>5013</v>
      </c>
      <c r="J1482" s="2" t="s">
        <v>714</v>
      </c>
      <c r="K1482" s="2" t="s">
        <v>189</v>
      </c>
      <c r="L1482" s="3">
        <v>33.33</v>
      </c>
      <c r="M1482" s="3">
        <v>35</v>
      </c>
      <c r="N1482" s="3">
        <v>69.99</v>
      </c>
      <c r="O1482" s="2" t="s">
        <v>97</v>
      </c>
      <c r="P1482" s="2" t="s">
        <v>225</v>
      </c>
      <c r="Q1482" s="2" t="s">
        <v>99</v>
      </c>
      <c r="R1482" s="2" t="s">
        <v>100</v>
      </c>
      <c r="S1482" s="2" t="s">
        <v>5014</v>
      </c>
      <c r="T1482" s="2" t="s">
        <v>4999</v>
      </c>
      <c r="U1482" s="2" t="s">
        <v>1847</v>
      </c>
      <c r="V1482" s="2" t="s">
        <v>146</v>
      </c>
      <c r="W1482" s="2" t="s">
        <v>183</v>
      </c>
      <c r="X1482" s="2" t="s">
        <v>100</v>
      </c>
      <c r="Y1482" s="2" t="s">
        <v>5007</v>
      </c>
      <c r="Z1482" s="4">
        <v>147</v>
      </c>
      <c r="AA1482" s="4">
        <f>=ROUNDDOWN(12.25,0)</f>
      </c>
      <c r="AB1482" s="5">
        <v>12</v>
      </c>
      <c r="AC1482" s="2" t="s">
        <v>123</v>
      </c>
      <c r="AD1482" s="4">
        <v>170</v>
      </c>
      <c r="AE1482" s="4">
        <v>270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96</v>
      </c>
      <c r="BK1482" s="8">
        <v>3537.64</v>
      </c>
      <c r="BL1482" s="2" t="s">
        <v>5021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207</v>
      </c>
      <c r="BV1482" s="2" t="s">
        <v>97</v>
      </c>
      <c r="BW1482" s="2" t="s">
        <v>100</v>
      </c>
      <c r="BX1482" s="2" t="s">
        <v>100</v>
      </c>
      <c r="BY1482" s="2" t="s">
        <v>113</v>
      </c>
      <c r="BZ1482" s="2" t="s">
        <v>100</v>
      </c>
    </row>
    <row r="1483">
      <c r="A1483" s="2" t="s">
        <v>5022</v>
      </c>
      <c r="B1483" s="2" t="s">
        <v>4434</v>
      </c>
      <c r="C1483" s="2" t="s">
        <v>4995</v>
      </c>
      <c r="D1483" s="2" t="s">
        <v>1842</v>
      </c>
      <c r="E1483" s="2" t="s">
        <v>1843</v>
      </c>
      <c r="F1483" s="2" t="s">
        <v>4996</v>
      </c>
      <c r="G1483" s="2" t="s">
        <v>4996</v>
      </c>
      <c r="H1483" s="2" t="s">
        <v>4996</v>
      </c>
      <c r="I1483" s="2" t="s">
        <v>5023</v>
      </c>
      <c r="J1483" s="2" t="s">
        <v>5024</v>
      </c>
      <c r="K1483" s="2" t="s">
        <v>198</v>
      </c>
      <c r="L1483" s="3">
        <v>15.33</v>
      </c>
      <c r="M1483" s="3">
        <v>16.1</v>
      </c>
      <c r="N1483" s="3">
        <v>34.99</v>
      </c>
      <c r="O1483" s="2" t="s">
        <v>97</v>
      </c>
      <c r="P1483" s="2" t="s">
        <v>225</v>
      </c>
      <c r="Q1483" s="2" t="s">
        <v>99</v>
      </c>
      <c r="R1483" s="2" t="s">
        <v>100</v>
      </c>
      <c r="S1483" s="2" t="s">
        <v>5025</v>
      </c>
      <c r="T1483" s="2" t="s">
        <v>4999</v>
      </c>
      <c r="U1483" s="2" t="s">
        <v>1847</v>
      </c>
      <c r="V1483" s="2" t="s">
        <v>146</v>
      </c>
      <c r="W1483" s="2" t="s">
        <v>183</v>
      </c>
      <c r="X1483" s="2" t="s">
        <v>100</v>
      </c>
      <c r="Y1483" s="2" t="s">
        <v>2162</v>
      </c>
      <c r="Z1483" s="4">
        <v>498</v>
      </c>
      <c r="AA1483" s="4">
        <f>=ROUNDDOWN(19.92,0)</f>
      </c>
      <c r="AB1483" s="5">
        <v>25</v>
      </c>
      <c r="AC1483" s="2" t="s">
        <v>123</v>
      </c>
      <c r="AD1483" s="4">
        <v>1200</v>
      </c>
      <c r="AE1483" s="4">
        <v>1200</v>
      </c>
      <c r="AF1483" s="6">
        <v>65</v>
      </c>
      <c r="AG1483" s="6"/>
      <c r="AH1483" s="7">
        <v>0.7516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241</v>
      </c>
      <c r="BK1483" s="8">
        <v>4031.37</v>
      </c>
      <c r="BL1483" s="2" t="s">
        <v>5026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207</v>
      </c>
      <c r="BV1483" s="2" t="s">
        <v>97</v>
      </c>
      <c r="BW1483" s="2" t="s">
        <v>100</v>
      </c>
      <c r="BX1483" s="2" t="s">
        <v>100</v>
      </c>
      <c r="BY1483" s="2" t="s">
        <v>113</v>
      </c>
      <c r="BZ1483" s="2" t="s">
        <v>100</v>
      </c>
    </row>
    <row r="1484">
      <c r="A1484" s="2" t="s">
        <v>5027</v>
      </c>
      <c r="B1484" s="2" t="s">
        <v>4434</v>
      </c>
      <c r="C1484" s="2" t="s">
        <v>4995</v>
      </c>
      <c r="D1484" s="2" t="s">
        <v>1842</v>
      </c>
      <c r="E1484" s="2" t="s">
        <v>1843</v>
      </c>
      <c r="F1484" s="2" t="s">
        <v>4996</v>
      </c>
      <c r="G1484" s="2" t="s">
        <v>4996</v>
      </c>
      <c r="H1484" s="2" t="s">
        <v>4996</v>
      </c>
      <c r="I1484" s="2" t="s">
        <v>5023</v>
      </c>
      <c r="J1484" s="2" t="s">
        <v>5024</v>
      </c>
      <c r="K1484" s="2" t="s">
        <v>1614</v>
      </c>
      <c r="L1484" s="3">
        <v>15.33</v>
      </c>
      <c r="M1484" s="3">
        <v>16.1</v>
      </c>
      <c r="N1484" s="3">
        <v>34.99</v>
      </c>
      <c r="O1484" s="2" t="s">
        <v>97</v>
      </c>
      <c r="P1484" s="2" t="s">
        <v>225</v>
      </c>
      <c r="Q1484" s="2" t="s">
        <v>99</v>
      </c>
      <c r="R1484" s="2" t="s">
        <v>100</v>
      </c>
      <c r="S1484" s="2" t="s">
        <v>5028</v>
      </c>
      <c r="T1484" s="2" t="s">
        <v>4999</v>
      </c>
      <c r="U1484" s="2" t="s">
        <v>1847</v>
      </c>
      <c r="V1484" s="2" t="s">
        <v>146</v>
      </c>
      <c r="W1484" s="2" t="s">
        <v>183</v>
      </c>
      <c r="X1484" s="2" t="s">
        <v>100</v>
      </c>
      <c r="Y1484" s="2" t="s">
        <v>2162</v>
      </c>
      <c r="Z1484" s="4">
        <v>563</v>
      </c>
      <c r="AA1484" s="4">
        <f>=ROUNDDOWN(33.1176470588235,0)</f>
      </c>
      <c r="AB1484" s="5">
        <v>17</v>
      </c>
      <c r="AC1484" s="2" t="s">
        <v>123</v>
      </c>
      <c r="AD1484" s="4">
        <v>800</v>
      </c>
      <c r="AE1484" s="4">
        <v>800</v>
      </c>
      <c r="AF1484" s="6">
        <v>65</v>
      </c>
      <c r="AG1484" s="6"/>
      <c r="AH1484" s="7">
        <v>0.7516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177</v>
      </c>
      <c r="BK1484" s="8">
        <v>3048.8</v>
      </c>
      <c r="BL1484" s="2" t="s">
        <v>5029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207</v>
      </c>
      <c r="BV1484" s="2" t="s">
        <v>97</v>
      </c>
      <c r="BW1484" s="2" t="s">
        <v>100</v>
      </c>
      <c r="BX1484" s="2" t="s">
        <v>100</v>
      </c>
      <c r="BY1484" s="2" t="s">
        <v>113</v>
      </c>
      <c r="BZ1484" s="2" t="s">
        <v>100</v>
      </c>
    </row>
    <row r="1485">
      <c r="A1485" s="2" t="s">
        <v>5030</v>
      </c>
      <c r="B1485" s="2" t="s">
        <v>4434</v>
      </c>
      <c r="C1485" s="2" t="s">
        <v>4995</v>
      </c>
      <c r="D1485" s="2" t="s">
        <v>1842</v>
      </c>
      <c r="E1485" s="2" t="s">
        <v>1843</v>
      </c>
      <c r="F1485" s="2" t="s">
        <v>4996</v>
      </c>
      <c r="G1485" s="2" t="s">
        <v>4996</v>
      </c>
      <c r="H1485" s="2" t="s">
        <v>4996</v>
      </c>
      <c r="I1485" s="2" t="s">
        <v>5023</v>
      </c>
      <c r="J1485" s="2" t="s">
        <v>5024</v>
      </c>
      <c r="K1485" s="2" t="s">
        <v>360</v>
      </c>
      <c r="L1485" s="3">
        <v>15.33</v>
      </c>
      <c r="M1485" s="3">
        <v>16.1</v>
      </c>
      <c r="N1485" s="3">
        <v>34.99</v>
      </c>
      <c r="O1485" s="2" t="s">
        <v>97</v>
      </c>
      <c r="P1485" s="2" t="s">
        <v>225</v>
      </c>
      <c r="Q1485" s="2" t="s">
        <v>99</v>
      </c>
      <c r="R1485" s="2" t="s">
        <v>100</v>
      </c>
      <c r="S1485" s="2" t="s">
        <v>5031</v>
      </c>
      <c r="T1485" s="2" t="s">
        <v>4999</v>
      </c>
      <c r="U1485" s="2" t="s">
        <v>1847</v>
      </c>
      <c r="V1485" s="2" t="s">
        <v>146</v>
      </c>
      <c r="W1485" s="2" t="s">
        <v>183</v>
      </c>
      <c r="X1485" s="2" t="s">
        <v>100</v>
      </c>
      <c r="Y1485" s="2" t="s">
        <v>2162</v>
      </c>
      <c r="Z1485" s="4">
        <v>529</v>
      </c>
      <c r="AA1485" s="4">
        <f>=ROUNDDOWN(24.0454545454545,0)</f>
      </c>
      <c r="AB1485" s="5">
        <v>22</v>
      </c>
      <c r="AC1485" s="2" t="s">
        <v>123</v>
      </c>
      <c r="AD1485" s="4">
        <v>1000</v>
      </c>
      <c r="AE1485" s="4">
        <v>1000</v>
      </c>
      <c r="AF1485" s="6">
        <v>65</v>
      </c>
      <c r="AG1485" s="6"/>
      <c r="AH1485" s="7">
        <v>0.7516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209</v>
      </c>
      <c r="BK1485" s="8">
        <v>3530.61</v>
      </c>
      <c r="BL1485" s="2" t="s">
        <v>5032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207</v>
      </c>
      <c r="BV1485" s="2" t="s">
        <v>97</v>
      </c>
      <c r="BW1485" s="2" t="s">
        <v>100</v>
      </c>
      <c r="BX1485" s="2" t="s">
        <v>100</v>
      </c>
      <c r="BY1485" s="2" t="s">
        <v>113</v>
      </c>
      <c r="BZ1485" s="2" t="s">
        <v>100</v>
      </c>
    </row>
    <row r="1486">
      <c r="A1486" s="2" t="s">
        <v>5033</v>
      </c>
      <c r="B1486" s="2" t="s">
        <v>4434</v>
      </c>
      <c r="C1486" s="2" t="s">
        <v>4995</v>
      </c>
      <c r="D1486" s="2" t="s">
        <v>1842</v>
      </c>
      <c r="E1486" s="2" t="s">
        <v>1843</v>
      </c>
      <c r="F1486" s="2" t="s">
        <v>4996</v>
      </c>
      <c r="G1486" s="2" t="s">
        <v>4996</v>
      </c>
      <c r="H1486" s="2" t="s">
        <v>4996</v>
      </c>
      <c r="I1486" s="2" t="s">
        <v>5023</v>
      </c>
      <c r="J1486" s="2" t="s">
        <v>5024</v>
      </c>
      <c r="K1486" s="2" t="s">
        <v>1172</v>
      </c>
      <c r="L1486" s="3">
        <v>15.33</v>
      </c>
      <c r="M1486" s="3">
        <v>16.1</v>
      </c>
      <c r="N1486" s="3">
        <v>34.99</v>
      </c>
      <c r="O1486" s="2" t="s">
        <v>97</v>
      </c>
      <c r="P1486" s="2" t="s">
        <v>225</v>
      </c>
      <c r="Q1486" s="2" t="s">
        <v>99</v>
      </c>
      <c r="R1486" s="2" t="s">
        <v>100</v>
      </c>
      <c r="S1486" s="2" t="s">
        <v>5034</v>
      </c>
      <c r="T1486" s="2" t="s">
        <v>4999</v>
      </c>
      <c r="U1486" s="2" t="s">
        <v>1847</v>
      </c>
      <c r="V1486" s="2" t="s">
        <v>146</v>
      </c>
      <c r="W1486" s="2" t="s">
        <v>183</v>
      </c>
      <c r="X1486" s="2" t="s">
        <v>100</v>
      </c>
      <c r="Y1486" s="2" t="s">
        <v>2162</v>
      </c>
      <c r="Z1486" s="4">
        <v>656</v>
      </c>
      <c r="AA1486" s="4">
        <f>=ROUNDDOWN(32.8,0)</f>
      </c>
      <c r="AB1486" s="5">
        <v>20</v>
      </c>
      <c r="AC1486" s="2" t="s">
        <v>123</v>
      </c>
      <c r="AD1486" s="4">
        <v>800</v>
      </c>
      <c r="AE1486" s="4">
        <v>800</v>
      </c>
      <c r="AF1486" s="6">
        <v>65</v>
      </c>
      <c r="AG1486" s="6"/>
      <c r="AH1486" s="7">
        <v>0.7516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97</v>
      </c>
      <c r="BK1486" s="8">
        <v>1647.46</v>
      </c>
      <c r="BL1486" s="2" t="s">
        <v>5029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207</v>
      </c>
      <c r="BV1486" s="2" t="s">
        <v>97</v>
      </c>
      <c r="BW1486" s="2" t="s">
        <v>100</v>
      </c>
      <c r="BX1486" s="2" t="s">
        <v>100</v>
      </c>
      <c r="BY1486" s="2" t="s">
        <v>113</v>
      </c>
      <c r="BZ1486" s="2" t="s">
        <v>100</v>
      </c>
    </row>
    <row r="1487">
      <c r="A1487" s="2" t="s">
        <v>5035</v>
      </c>
      <c r="B1487" s="2" t="s">
        <v>4434</v>
      </c>
      <c r="C1487" s="2" t="s">
        <v>5036</v>
      </c>
      <c r="D1487" s="2" t="s">
        <v>803</v>
      </c>
      <c r="E1487" s="2" t="s">
        <v>4586</v>
      </c>
      <c r="F1487" s="2" t="s">
        <v>5037</v>
      </c>
      <c r="G1487" s="2" t="s">
        <v>5037</v>
      </c>
      <c r="H1487" s="2" t="s">
        <v>5037</v>
      </c>
      <c r="I1487" s="2" t="s">
        <v>4607</v>
      </c>
      <c r="J1487" s="2" t="s">
        <v>237</v>
      </c>
      <c r="K1487" s="2" t="s">
        <v>335</v>
      </c>
      <c r="L1487" s="3">
        <v>21.42</v>
      </c>
      <c r="M1487" s="3">
        <v>22.49</v>
      </c>
      <c r="N1487" s="3">
        <v>49.99</v>
      </c>
      <c r="O1487" s="2" t="s">
        <v>97</v>
      </c>
      <c r="P1487" s="2" t="s">
        <v>119</v>
      </c>
      <c r="Q1487" s="2" t="s">
        <v>99</v>
      </c>
      <c r="R1487" s="2" t="s">
        <v>100</v>
      </c>
      <c r="S1487" s="2" t="s">
        <v>5038</v>
      </c>
      <c r="T1487" s="2" t="s">
        <v>5039</v>
      </c>
      <c r="U1487" s="2" t="s">
        <v>1847</v>
      </c>
      <c r="V1487" s="2" t="s">
        <v>146</v>
      </c>
      <c r="W1487" s="2" t="s">
        <v>183</v>
      </c>
      <c r="X1487" s="2" t="s">
        <v>100</v>
      </c>
      <c r="Y1487" s="2" t="s">
        <v>5040</v>
      </c>
      <c r="Z1487" s="4">
        <v>268</v>
      </c>
      <c r="AA1487" s="4">
        <f>=ROUNDDOWN(29.7777777777778,0)</f>
      </c>
      <c r="AB1487" s="5">
        <v>9</v>
      </c>
      <c r="AC1487" s="2" t="s">
        <v>768</v>
      </c>
      <c r="AD1487" s="4">
        <v>150</v>
      </c>
      <c r="AE1487" s="4">
        <v>150</v>
      </c>
      <c r="AF1487" s="6">
        <v>65</v>
      </c>
      <c r="AG1487" s="6"/>
      <c r="AH1487" s="7">
        <v>0.7754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225</v>
      </c>
      <c r="BK1487" s="8">
        <v>5448.68</v>
      </c>
      <c r="BL1487" s="2" t="s">
        <v>4908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207</v>
      </c>
      <c r="BV1487" s="2" t="s">
        <v>97</v>
      </c>
      <c r="BW1487" s="2" t="s">
        <v>100</v>
      </c>
      <c r="BX1487" s="2" t="s">
        <v>100</v>
      </c>
      <c r="BY1487" s="2" t="s">
        <v>113</v>
      </c>
      <c r="BZ1487" s="2" t="s">
        <v>100</v>
      </c>
    </row>
    <row r="1488">
      <c r="A1488" s="2" t="s">
        <v>5041</v>
      </c>
      <c r="B1488" s="2" t="s">
        <v>4434</v>
      </c>
      <c r="C1488" s="2" t="s">
        <v>5036</v>
      </c>
      <c r="D1488" s="2" t="s">
        <v>803</v>
      </c>
      <c r="E1488" s="2" t="s">
        <v>4586</v>
      </c>
      <c r="F1488" s="2" t="s">
        <v>5037</v>
      </c>
      <c r="G1488" s="2" t="s">
        <v>5037</v>
      </c>
      <c r="H1488" s="2" t="s">
        <v>5037</v>
      </c>
      <c r="I1488" s="2" t="s">
        <v>4607</v>
      </c>
      <c r="J1488" s="2" t="s">
        <v>247</v>
      </c>
      <c r="K1488" s="2" t="s">
        <v>335</v>
      </c>
      <c r="L1488" s="3">
        <v>25.14</v>
      </c>
      <c r="M1488" s="3">
        <v>26.4</v>
      </c>
      <c r="N1488" s="3">
        <v>54.99</v>
      </c>
      <c r="O1488" s="2" t="s">
        <v>97</v>
      </c>
      <c r="P1488" s="2" t="s">
        <v>119</v>
      </c>
      <c r="Q1488" s="2" t="s">
        <v>99</v>
      </c>
      <c r="R1488" s="2" t="s">
        <v>100</v>
      </c>
      <c r="S1488" s="2" t="s">
        <v>5038</v>
      </c>
      <c r="T1488" s="2" t="s">
        <v>5039</v>
      </c>
      <c r="U1488" s="2" t="s">
        <v>1847</v>
      </c>
      <c r="V1488" s="2" t="s">
        <v>146</v>
      </c>
      <c r="W1488" s="2" t="s">
        <v>183</v>
      </c>
      <c r="X1488" s="2" t="s">
        <v>100</v>
      </c>
      <c r="Y1488" s="2" t="s">
        <v>5042</v>
      </c>
      <c r="Z1488" s="4">
        <v>332</v>
      </c>
      <c r="AA1488" s="4">
        <f>=ROUNDDOWN(30.1818181818182,0)</f>
      </c>
      <c r="AB1488" s="5">
        <v>11</v>
      </c>
      <c r="AC1488" s="2" t="s">
        <v>768</v>
      </c>
      <c r="AD1488" s="4">
        <v>80</v>
      </c>
      <c r="AE1488" s="4">
        <v>150</v>
      </c>
      <c r="AF1488" s="6">
        <v>65</v>
      </c>
      <c r="AG1488" s="6"/>
      <c r="AH1488" s="7">
        <v>0.7166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213</v>
      </c>
      <c r="BK1488" s="8">
        <v>6057.17</v>
      </c>
      <c r="BL1488" s="2" t="s">
        <v>1827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207</v>
      </c>
      <c r="BV1488" s="2" t="s">
        <v>97</v>
      </c>
      <c r="BW1488" s="2" t="s">
        <v>100</v>
      </c>
      <c r="BX1488" s="2" t="s">
        <v>100</v>
      </c>
      <c r="BY1488" s="2" t="s">
        <v>113</v>
      </c>
      <c r="BZ1488" s="2" t="s">
        <v>100</v>
      </c>
    </row>
    <row r="1489">
      <c r="A1489" s="2" t="s">
        <v>5043</v>
      </c>
      <c r="B1489" s="2" t="s">
        <v>4434</v>
      </c>
      <c r="C1489" s="2" t="s">
        <v>5036</v>
      </c>
      <c r="D1489" s="2" t="s">
        <v>803</v>
      </c>
      <c r="E1489" s="2" t="s">
        <v>4586</v>
      </c>
      <c r="F1489" s="2" t="s">
        <v>5037</v>
      </c>
      <c r="G1489" s="2" t="s">
        <v>5037</v>
      </c>
      <c r="H1489" s="2" t="s">
        <v>5037</v>
      </c>
      <c r="I1489" s="2" t="s">
        <v>4607</v>
      </c>
      <c r="J1489" s="2" t="s">
        <v>270</v>
      </c>
      <c r="K1489" s="2" t="s">
        <v>335</v>
      </c>
      <c r="L1489" s="3">
        <v>28.57</v>
      </c>
      <c r="M1489" s="3">
        <v>30</v>
      </c>
      <c r="N1489" s="3">
        <v>59.99</v>
      </c>
      <c r="O1489" s="2" t="s">
        <v>97</v>
      </c>
      <c r="P1489" s="2" t="s">
        <v>119</v>
      </c>
      <c r="Q1489" s="2" t="s">
        <v>99</v>
      </c>
      <c r="R1489" s="2" t="s">
        <v>100</v>
      </c>
      <c r="S1489" s="2" t="s">
        <v>5038</v>
      </c>
      <c r="T1489" s="2" t="s">
        <v>5039</v>
      </c>
      <c r="U1489" s="2" t="s">
        <v>1847</v>
      </c>
      <c r="V1489" s="2" t="s">
        <v>146</v>
      </c>
      <c r="W1489" s="2" t="s">
        <v>183</v>
      </c>
      <c r="X1489" s="2" t="s">
        <v>100</v>
      </c>
      <c r="Y1489" s="2" t="s">
        <v>5042</v>
      </c>
      <c r="Z1489" s="4">
        <v>486</v>
      </c>
      <c r="AA1489" s="4">
        <f>=ROUNDDOWN(44.1818181818182,0)</f>
      </c>
      <c r="AB1489" s="5">
        <v>11</v>
      </c>
      <c r="AC1489" s="2" t="s">
        <v>768</v>
      </c>
      <c r="AD1489" s="4">
        <v>30</v>
      </c>
      <c r="AE1489" s="4">
        <v>30</v>
      </c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231</v>
      </c>
      <c r="BK1489" s="8">
        <v>7535.59</v>
      </c>
      <c r="BL1489" s="2" t="s">
        <v>223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207</v>
      </c>
      <c r="BV1489" s="2" t="s">
        <v>97</v>
      </c>
      <c r="BW1489" s="2" t="s">
        <v>100</v>
      </c>
      <c r="BX1489" s="2" t="s">
        <v>100</v>
      </c>
      <c r="BY1489" s="2" t="s">
        <v>113</v>
      </c>
      <c r="BZ1489" s="2" t="s">
        <v>100</v>
      </c>
    </row>
    <row r="1490">
      <c r="A1490" s="2" t="s">
        <v>5044</v>
      </c>
      <c r="B1490" s="2" t="s">
        <v>4434</v>
      </c>
      <c r="C1490" s="2" t="s">
        <v>5036</v>
      </c>
      <c r="D1490" s="2" t="s">
        <v>803</v>
      </c>
      <c r="E1490" s="2" t="s">
        <v>4586</v>
      </c>
      <c r="F1490" s="2" t="s">
        <v>5037</v>
      </c>
      <c r="G1490" s="2" t="s">
        <v>5037</v>
      </c>
      <c r="H1490" s="2" t="s">
        <v>5037</v>
      </c>
      <c r="I1490" s="2" t="s">
        <v>4607</v>
      </c>
      <c r="J1490" s="2" t="s">
        <v>237</v>
      </c>
      <c r="K1490" s="2" t="s">
        <v>198</v>
      </c>
      <c r="L1490" s="3">
        <v>21.42</v>
      </c>
      <c r="M1490" s="3">
        <v>22.49</v>
      </c>
      <c r="N1490" s="3">
        <v>49.99</v>
      </c>
      <c r="O1490" s="2" t="s">
        <v>97</v>
      </c>
      <c r="P1490" s="2" t="s">
        <v>119</v>
      </c>
      <c r="Q1490" s="2" t="s">
        <v>99</v>
      </c>
      <c r="R1490" s="2" t="s">
        <v>100</v>
      </c>
      <c r="S1490" s="2" t="s">
        <v>5045</v>
      </c>
      <c r="T1490" s="2" t="s">
        <v>5039</v>
      </c>
      <c r="U1490" s="2" t="s">
        <v>1847</v>
      </c>
      <c r="V1490" s="2" t="s">
        <v>146</v>
      </c>
      <c r="W1490" s="2" t="s">
        <v>183</v>
      </c>
      <c r="X1490" s="2" t="s">
        <v>100</v>
      </c>
      <c r="Y1490" s="2" t="s">
        <v>5042</v>
      </c>
      <c r="Z1490" s="4">
        <v>252</v>
      </c>
      <c r="AA1490" s="4">
        <f>=ROUNDDOWN(25.2,0)</f>
      </c>
      <c r="AB1490" s="5">
        <v>10</v>
      </c>
      <c r="AC1490" s="2" t="s">
        <v>768</v>
      </c>
      <c r="AD1490" s="4">
        <v>130</v>
      </c>
      <c r="AE1490" s="4">
        <v>180</v>
      </c>
      <c r="AF1490" s="6">
        <v>65</v>
      </c>
      <c r="AG1490" s="6"/>
      <c r="AH1490" s="7">
        <v>0.7166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/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/>
      <c r="BJ1490" s="4">
        <v>202</v>
      </c>
      <c r="BK1490" s="8">
        <v>4907.74</v>
      </c>
      <c r="BL1490" s="2" t="s">
        <v>4908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207</v>
      </c>
      <c r="BV1490" s="2" t="s">
        <v>97</v>
      </c>
      <c r="BW1490" s="2" t="s">
        <v>100</v>
      </c>
      <c r="BX1490" s="2" t="s">
        <v>100</v>
      </c>
      <c r="BY1490" s="2" t="s">
        <v>113</v>
      </c>
      <c r="BZ1490" s="2" t="s">
        <v>100</v>
      </c>
    </row>
    <row r="1491">
      <c r="A1491" s="2" t="s">
        <v>5046</v>
      </c>
      <c r="B1491" s="2" t="s">
        <v>4434</v>
      </c>
      <c r="C1491" s="2" t="s">
        <v>5036</v>
      </c>
      <c r="D1491" s="2" t="s">
        <v>803</v>
      </c>
      <c r="E1491" s="2" t="s">
        <v>4586</v>
      </c>
      <c r="F1491" s="2" t="s">
        <v>5037</v>
      </c>
      <c r="G1491" s="2" t="s">
        <v>5037</v>
      </c>
      <c r="H1491" s="2" t="s">
        <v>5037</v>
      </c>
      <c r="I1491" s="2" t="s">
        <v>4607</v>
      </c>
      <c r="J1491" s="2" t="s">
        <v>247</v>
      </c>
      <c r="K1491" s="2" t="s">
        <v>198</v>
      </c>
      <c r="L1491" s="3">
        <v>25.14</v>
      </c>
      <c r="M1491" s="3">
        <v>26.4</v>
      </c>
      <c r="N1491" s="3">
        <v>54.99</v>
      </c>
      <c r="O1491" s="2" t="s">
        <v>97</v>
      </c>
      <c r="P1491" s="2" t="s">
        <v>119</v>
      </c>
      <c r="Q1491" s="2" t="s">
        <v>99</v>
      </c>
      <c r="R1491" s="2" t="s">
        <v>100</v>
      </c>
      <c r="S1491" s="2" t="s">
        <v>5045</v>
      </c>
      <c r="T1491" s="2" t="s">
        <v>5039</v>
      </c>
      <c r="U1491" s="2" t="s">
        <v>1847</v>
      </c>
      <c r="V1491" s="2" t="s">
        <v>146</v>
      </c>
      <c r="W1491" s="2" t="s">
        <v>183</v>
      </c>
      <c r="X1491" s="2" t="s">
        <v>100</v>
      </c>
      <c r="Y1491" s="2" t="s">
        <v>5042</v>
      </c>
      <c r="Z1491" s="4">
        <v>276</v>
      </c>
      <c r="AA1491" s="4">
        <f>=ROUNDDOWN(23,0)</f>
      </c>
      <c r="AB1491" s="5">
        <v>12</v>
      </c>
      <c r="AC1491" s="2" t="s">
        <v>768</v>
      </c>
      <c r="AD1491" s="4">
        <v>190</v>
      </c>
      <c r="AE1491" s="4">
        <v>300</v>
      </c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306</v>
      </c>
      <c r="BK1491" s="8">
        <v>8731.98</v>
      </c>
      <c r="BL1491" s="2" t="s">
        <v>223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207</v>
      </c>
      <c r="BV1491" s="2" t="s">
        <v>97</v>
      </c>
      <c r="BW1491" s="2" t="s">
        <v>100</v>
      </c>
      <c r="BX1491" s="2" t="s">
        <v>100</v>
      </c>
      <c r="BY1491" s="2" t="s">
        <v>113</v>
      </c>
      <c r="BZ1491" s="2" t="s">
        <v>100</v>
      </c>
    </row>
    <row r="1492">
      <c r="A1492" s="2" t="s">
        <v>5047</v>
      </c>
      <c r="B1492" s="2" t="s">
        <v>4434</v>
      </c>
      <c r="C1492" s="2" t="s">
        <v>5036</v>
      </c>
      <c r="D1492" s="2" t="s">
        <v>803</v>
      </c>
      <c r="E1492" s="2" t="s">
        <v>4586</v>
      </c>
      <c r="F1492" s="2" t="s">
        <v>5037</v>
      </c>
      <c r="G1492" s="2" t="s">
        <v>5037</v>
      </c>
      <c r="H1492" s="2" t="s">
        <v>5037</v>
      </c>
      <c r="I1492" s="2" t="s">
        <v>4607</v>
      </c>
      <c r="J1492" s="2" t="s">
        <v>270</v>
      </c>
      <c r="K1492" s="2" t="s">
        <v>198</v>
      </c>
      <c r="L1492" s="3">
        <v>28.57</v>
      </c>
      <c r="M1492" s="3">
        <v>30</v>
      </c>
      <c r="N1492" s="3">
        <v>59.99</v>
      </c>
      <c r="O1492" s="2" t="s">
        <v>97</v>
      </c>
      <c r="P1492" s="2" t="s">
        <v>119</v>
      </c>
      <c r="Q1492" s="2" t="s">
        <v>99</v>
      </c>
      <c r="R1492" s="2" t="s">
        <v>100</v>
      </c>
      <c r="S1492" s="2" t="s">
        <v>5045</v>
      </c>
      <c r="T1492" s="2" t="s">
        <v>5039</v>
      </c>
      <c r="U1492" s="2" t="s">
        <v>1847</v>
      </c>
      <c r="V1492" s="2" t="s">
        <v>146</v>
      </c>
      <c r="W1492" s="2" t="s">
        <v>183</v>
      </c>
      <c r="X1492" s="2" t="s">
        <v>100</v>
      </c>
      <c r="Y1492" s="2" t="s">
        <v>5042</v>
      </c>
      <c r="Z1492" s="4">
        <v>400</v>
      </c>
      <c r="AA1492" s="4">
        <f>=ROUNDDOWN(36.3636363636364,0)</f>
      </c>
      <c r="AB1492" s="5">
        <v>11</v>
      </c>
      <c r="AC1492" s="2" t="s">
        <v>872</v>
      </c>
      <c r="AD1492" s="4">
        <v>80</v>
      </c>
      <c r="AE1492" s="4">
        <v>80</v>
      </c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273</v>
      </c>
      <c r="BK1492" s="8">
        <v>8832.89</v>
      </c>
      <c r="BL1492" s="2" t="s">
        <v>223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207</v>
      </c>
      <c r="BV1492" s="2" t="s">
        <v>97</v>
      </c>
      <c r="BW1492" s="2" t="s">
        <v>100</v>
      </c>
      <c r="BX1492" s="2" t="s">
        <v>100</v>
      </c>
      <c r="BY1492" s="2" t="s">
        <v>113</v>
      </c>
      <c r="BZ1492" s="2" t="s">
        <v>100</v>
      </c>
    </row>
    <row r="1493">
      <c r="A1493" s="2" t="s">
        <v>5048</v>
      </c>
      <c r="B1493" s="2" t="s">
        <v>4434</v>
      </c>
      <c r="C1493" s="2" t="s">
        <v>5036</v>
      </c>
      <c r="D1493" s="2" t="s">
        <v>803</v>
      </c>
      <c r="E1493" s="2" t="s">
        <v>4586</v>
      </c>
      <c r="F1493" s="2" t="s">
        <v>5037</v>
      </c>
      <c r="G1493" s="2" t="s">
        <v>5037</v>
      </c>
      <c r="H1493" s="2" t="s">
        <v>5037</v>
      </c>
      <c r="I1493" s="2" t="s">
        <v>4607</v>
      </c>
      <c r="J1493" s="2" t="s">
        <v>237</v>
      </c>
      <c r="K1493" s="2" t="s">
        <v>360</v>
      </c>
      <c r="L1493" s="3">
        <v>21.42</v>
      </c>
      <c r="M1493" s="3">
        <v>22.49</v>
      </c>
      <c r="N1493" s="3">
        <v>49.99</v>
      </c>
      <c r="O1493" s="2" t="s">
        <v>97</v>
      </c>
      <c r="P1493" s="2" t="s">
        <v>119</v>
      </c>
      <c r="Q1493" s="2" t="s">
        <v>99</v>
      </c>
      <c r="R1493" s="2" t="s">
        <v>100</v>
      </c>
      <c r="S1493" s="2" t="s">
        <v>5049</v>
      </c>
      <c r="T1493" s="2" t="s">
        <v>5039</v>
      </c>
      <c r="U1493" s="2" t="s">
        <v>1847</v>
      </c>
      <c r="V1493" s="2" t="s">
        <v>146</v>
      </c>
      <c r="W1493" s="2" t="s">
        <v>183</v>
      </c>
      <c r="X1493" s="2" t="s">
        <v>100</v>
      </c>
      <c r="Y1493" s="2" t="s">
        <v>5042</v>
      </c>
      <c r="Z1493" s="4">
        <v>251</v>
      </c>
      <c r="AA1493" s="4">
        <f>=ROUNDDOWN(31.375,0)</f>
      </c>
      <c r="AB1493" s="5">
        <v>8</v>
      </c>
      <c r="AC1493" s="2" t="s">
        <v>768</v>
      </c>
      <c r="AD1493" s="4">
        <v>100</v>
      </c>
      <c r="AE1493" s="4">
        <v>100</v>
      </c>
      <c r="AF1493" s="6">
        <v>65</v>
      </c>
      <c r="AG1493" s="6"/>
      <c r="AH1493" s="7">
        <v>0.8021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223</v>
      </c>
      <c r="BK1493" s="8">
        <v>5393.18</v>
      </c>
      <c r="BL1493" s="2" t="s">
        <v>4908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207</v>
      </c>
      <c r="BV1493" s="2" t="s">
        <v>97</v>
      </c>
      <c r="BW1493" s="2" t="s">
        <v>100</v>
      </c>
      <c r="BX1493" s="2" t="s">
        <v>100</v>
      </c>
      <c r="BY1493" s="2" t="s">
        <v>113</v>
      </c>
      <c r="BZ1493" s="2" t="s">
        <v>100</v>
      </c>
    </row>
    <row r="1494">
      <c r="A1494" s="2" t="s">
        <v>5050</v>
      </c>
      <c r="B1494" s="2" t="s">
        <v>4434</v>
      </c>
      <c r="C1494" s="2" t="s">
        <v>5036</v>
      </c>
      <c r="D1494" s="2" t="s">
        <v>803</v>
      </c>
      <c r="E1494" s="2" t="s">
        <v>4586</v>
      </c>
      <c r="F1494" s="2" t="s">
        <v>5037</v>
      </c>
      <c r="G1494" s="2" t="s">
        <v>5037</v>
      </c>
      <c r="H1494" s="2" t="s">
        <v>5037</v>
      </c>
      <c r="I1494" s="2" t="s">
        <v>4607</v>
      </c>
      <c r="J1494" s="2" t="s">
        <v>247</v>
      </c>
      <c r="K1494" s="2" t="s">
        <v>360</v>
      </c>
      <c r="L1494" s="3">
        <v>25.14</v>
      </c>
      <c r="M1494" s="3">
        <v>26.4</v>
      </c>
      <c r="N1494" s="3">
        <v>54.99</v>
      </c>
      <c r="O1494" s="2" t="s">
        <v>97</v>
      </c>
      <c r="P1494" s="2" t="s">
        <v>119</v>
      </c>
      <c r="Q1494" s="2" t="s">
        <v>99</v>
      </c>
      <c r="R1494" s="2" t="s">
        <v>100</v>
      </c>
      <c r="S1494" s="2" t="s">
        <v>5049</v>
      </c>
      <c r="T1494" s="2" t="s">
        <v>5039</v>
      </c>
      <c r="U1494" s="2" t="s">
        <v>1847</v>
      </c>
      <c r="V1494" s="2" t="s">
        <v>146</v>
      </c>
      <c r="W1494" s="2" t="s">
        <v>183</v>
      </c>
      <c r="X1494" s="2" t="s">
        <v>100</v>
      </c>
      <c r="Y1494" s="2" t="s">
        <v>5042</v>
      </c>
      <c r="Z1494" s="4">
        <v>260</v>
      </c>
      <c r="AA1494" s="4">
        <f>=ROUNDDOWN(26,0)</f>
      </c>
      <c r="AB1494" s="5">
        <v>10</v>
      </c>
      <c r="AC1494" s="2" t="s">
        <v>768</v>
      </c>
      <c r="AD1494" s="4">
        <v>120</v>
      </c>
      <c r="AE1494" s="4">
        <v>210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257</v>
      </c>
      <c r="BK1494" s="8">
        <v>7296.81</v>
      </c>
      <c r="BL1494" s="2" t="s">
        <v>223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207</v>
      </c>
      <c r="BV1494" s="2" t="s">
        <v>97</v>
      </c>
      <c r="BW1494" s="2" t="s">
        <v>100</v>
      </c>
      <c r="BX1494" s="2" t="s">
        <v>100</v>
      </c>
      <c r="BY1494" s="2" t="s">
        <v>113</v>
      </c>
      <c r="BZ1494" s="2" t="s">
        <v>100</v>
      </c>
    </row>
    <row r="1495">
      <c r="A1495" s="2" t="s">
        <v>5051</v>
      </c>
      <c r="B1495" s="2" t="s">
        <v>4434</v>
      </c>
      <c r="C1495" s="2" t="s">
        <v>5036</v>
      </c>
      <c r="D1495" s="2" t="s">
        <v>803</v>
      </c>
      <c r="E1495" s="2" t="s">
        <v>4586</v>
      </c>
      <c r="F1495" s="2" t="s">
        <v>5037</v>
      </c>
      <c r="G1495" s="2" t="s">
        <v>5037</v>
      </c>
      <c r="H1495" s="2" t="s">
        <v>5037</v>
      </c>
      <c r="I1495" s="2" t="s">
        <v>4607</v>
      </c>
      <c r="J1495" s="2" t="s">
        <v>270</v>
      </c>
      <c r="K1495" s="2" t="s">
        <v>360</v>
      </c>
      <c r="L1495" s="3">
        <v>28.57</v>
      </c>
      <c r="M1495" s="3">
        <v>30</v>
      </c>
      <c r="N1495" s="3">
        <v>59.99</v>
      </c>
      <c r="O1495" s="2" t="s">
        <v>97</v>
      </c>
      <c r="P1495" s="2" t="s">
        <v>119</v>
      </c>
      <c r="Q1495" s="2" t="s">
        <v>99</v>
      </c>
      <c r="R1495" s="2" t="s">
        <v>100</v>
      </c>
      <c r="S1495" s="2" t="s">
        <v>5049</v>
      </c>
      <c r="T1495" s="2" t="s">
        <v>5039</v>
      </c>
      <c r="U1495" s="2" t="s">
        <v>1847</v>
      </c>
      <c r="V1495" s="2" t="s">
        <v>146</v>
      </c>
      <c r="W1495" s="2" t="s">
        <v>183</v>
      </c>
      <c r="X1495" s="2" t="s">
        <v>100</v>
      </c>
      <c r="Y1495" s="2" t="s">
        <v>5042</v>
      </c>
      <c r="Z1495" s="4">
        <v>411</v>
      </c>
      <c r="AA1495" s="4">
        <f>=ROUNDDOWN(37.3636363636364,0)</f>
      </c>
      <c r="AB1495" s="5">
        <v>11</v>
      </c>
      <c r="AC1495" s="2" t="s">
        <v>872</v>
      </c>
      <c r="AD1495" s="4">
        <v>80</v>
      </c>
      <c r="AE1495" s="4">
        <v>80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>
        <v>214</v>
      </c>
      <c r="BK1495" s="8">
        <v>6909.51</v>
      </c>
      <c r="BL1495" s="2" t="s">
        <v>223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207</v>
      </c>
      <c r="BV1495" s="2" t="s">
        <v>97</v>
      </c>
      <c r="BW1495" s="2" t="s">
        <v>100</v>
      </c>
      <c r="BX1495" s="2" t="s">
        <v>100</v>
      </c>
      <c r="BY1495" s="2" t="s">
        <v>113</v>
      </c>
      <c r="BZ1495" s="2" t="s">
        <v>100</v>
      </c>
    </row>
    <row r="1496">
      <c r="A1496" s="2" t="s">
        <v>5052</v>
      </c>
      <c r="B1496" s="2" t="s">
        <v>5053</v>
      </c>
      <c r="C1496" s="2" t="s">
        <v>88</v>
      </c>
      <c r="D1496" s="2" t="s">
        <v>5054</v>
      </c>
      <c r="E1496" s="2" t="s">
        <v>5055</v>
      </c>
      <c r="F1496" s="2" t="s">
        <v>5056</v>
      </c>
      <c r="G1496" s="2" t="s">
        <v>5057</v>
      </c>
      <c r="H1496" s="2" t="s">
        <v>5058</v>
      </c>
      <c r="I1496" s="2" t="s">
        <v>5059</v>
      </c>
      <c r="J1496" s="2" t="s">
        <v>5060</v>
      </c>
      <c r="K1496" s="2" t="s">
        <v>96</v>
      </c>
      <c r="L1496" s="3">
        <v>13.2</v>
      </c>
      <c r="M1496" s="3">
        <v>13.86</v>
      </c>
      <c r="N1496" s="3">
        <v>29.99</v>
      </c>
      <c r="O1496" s="2" t="s">
        <v>97</v>
      </c>
      <c r="P1496" s="2" t="s">
        <v>372</v>
      </c>
      <c r="Q1496" s="2" t="s">
        <v>99</v>
      </c>
      <c r="R1496" s="2" t="s">
        <v>100</v>
      </c>
      <c r="S1496" s="2" t="s">
        <v>5061</v>
      </c>
      <c r="T1496" s="2" t="s">
        <v>100</v>
      </c>
      <c r="U1496" s="2" t="s">
        <v>100</v>
      </c>
      <c r="V1496" s="2" t="s">
        <v>434</v>
      </c>
      <c r="W1496" s="2" t="s">
        <v>104</v>
      </c>
      <c r="X1496" s="2" t="s">
        <v>100</v>
      </c>
      <c r="Y1496" s="2" t="s">
        <v>3313</v>
      </c>
      <c r="Z1496" s="4">
        <v>4137</v>
      </c>
      <c r="AA1496" s="4">
        <f>=ROUNDDOWN(28.1428571428571,0)</f>
      </c>
      <c r="AB1496" s="5">
        <v>147</v>
      </c>
      <c r="AC1496" s="2" t="s">
        <v>768</v>
      </c>
      <c r="AD1496" s="4">
        <v>1352</v>
      </c>
      <c r="AE1496" s="4">
        <v>2552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>
        <v>71</v>
      </c>
      <c r="AQ1496" s="8">
        <v>1024.53</v>
      </c>
      <c r="AR1496" s="4"/>
      <c r="AS1496" s="8"/>
      <c r="AT1496" s="7"/>
      <c r="AU1496" s="7"/>
      <c r="AV1496" s="4">
        <v>71</v>
      </c>
      <c r="AW1496" s="8">
        <v>1024.53</v>
      </c>
      <c r="AX1496" s="4"/>
      <c r="AY1496" s="8"/>
      <c r="AZ1496" s="7"/>
      <c r="BA1496" s="7"/>
      <c r="BB1496" s="7">
        <v>1</v>
      </c>
      <c r="BC1496" s="4">
        <v>71</v>
      </c>
      <c r="BD1496" s="8">
        <v>1024.53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1</v>
      </c>
      <c r="BJ1496" s="4">
        <v>4348</v>
      </c>
      <c r="BK1496" s="8">
        <v>64629.1</v>
      </c>
      <c r="BL1496" s="2" t="s">
        <v>5062</v>
      </c>
      <c r="BM1496" s="7">
        <v>0.0163</v>
      </c>
      <c r="BN1496" s="7">
        <v>0.0159</v>
      </c>
      <c r="BO1496" s="4">
        <v>71</v>
      </c>
      <c r="BP1496" s="8">
        <v>1024.53</v>
      </c>
      <c r="BQ1496" s="4"/>
      <c r="BR1496" s="8"/>
      <c r="BS1496" s="7"/>
      <c r="BT1496" s="7"/>
      <c r="BU1496" s="2" t="s">
        <v>109</v>
      </c>
      <c r="BV1496" s="2" t="s">
        <v>110</v>
      </c>
      <c r="BW1496" s="2" t="s">
        <v>5063</v>
      </c>
      <c r="BX1496" s="2" t="s">
        <v>523</v>
      </c>
      <c r="BY1496" s="2" t="s">
        <v>113</v>
      </c>
      <c r="BZ1496" s="2" t="s">
        <v>100</v>
      </c>
    </row>
    <row r="1497">
      <c r="A1497" s="2" t="s">
        <v>5064</v>
      </c>
      <c r="B1497" s="2" t="s">
        <v>5053</v>
      </c>
      <c r="C1497" s="2" t="s">
        <v>88</v>
      </c>
      <c r="D1497" s="2" t="s">
        <v>5054</v>
      </c>
      <c r="E1497" s="2" t="s">
        <v>5055</v>
      </c>
      <c r="F1497" s="2" t="s">
        <v>5056</v>
      </c>
      <c r="G1497" s="2" t="s">
        <v>5057</v>
      </c>
      <c r="H1497" s="2" t="s">
        <v>5058</v>
      </c>
      <c r="I1497" s="2" t="s">
        <v>5059</v>
      </c>
      <c r="J1497" s="2" t="s">
        <v>5060</v>
      </c>
      <c r="K1497" s="2" t="s">
        <v>469</v>
      </c>
      <c r="L1497" s="3">
        <v>13.2</v>
      </c>
      <c r="M1497" s="3">
        <v>13.86</v>
      </c>
      <c r="N1497" s="3">
        <v>29.99</v>
      </c>
      <c r="O1497" s="2" t="s">
        <v>97</v>
      </c>
      <c r="P1497" s="2" t="s">
        <v>119</v>
      </c>
      <c r="Q1497" s="2" t="s">
        <v>99</v>
      </c>
      <c r="R1497" s="2" t="s">
        <v>100</v>
      </c>
      <c r="S1497" s="2" t="s">
        <v>5065</v>
      </c>
      <c r="T1497" s="2" t="s">
        <v>100</v>
      </c>
      <c r="U1497" s="2" t="s">
        <v>100</v>
      </c>
      <c r="V1497" s="2" t="s">
        <v>434</v>
      </c>
      <c r="W1497" s="2" t="s">
        <v>104</v>
      </c>
      <c r="X1497" s="2" t="s">
        <v>100</v>
      </c>
      <c r="Y1497" s="2" t="s">
        <v>240</v>
      </c>
      <c r="Z1497" s="4">
        <v>159</v>
      </c>
      <c r="AA1497" s="4">
        <f>=ROUNDDOWN(8.83333333333333,0)</f>
      </c>
      <c r="AB1497" s="5">
        <v>18</v>
      </c>
      <c r="AC1497" s="2" t="s">
        <v>931</v>
      </c>
      <c r="AD1497" s="4">
        <v>200</v>
      </c>
      <c r="AE1497" s="4">
        <v>420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618</v>
      </c>
      <c r="BK1497" s="8">
        <v>9235.95</v>
      </c>
      <c r="BL1497" s="2" t="s">
        <v>5066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243</v>
      </c>
      <c r="BX1497" s="2" t="s">
        <v>5067</v>
      </c>
      <c r="BY1497" s="2" t="s">
        <v>113</v>
      </c>
      <c r="BZ1497" s="2" t="s">
        <v>245</v>
      </c>
    </row>
    <row r="1498">
      <c r="A1498" s="2" t="s">
        <v>5068</v>
      </c>
      <c r="B1498" s="2" t="s">
        <v>5053</v>
      </c>
      <c r="C1498" s="2" t="s">
        <v>88</v>
      </c>
      <c r="D1498" s="2" t="s">
        <v>5054</v>
      </c>
      <c r="E1498" s="2" t="s">
        <v>5055</v>
      </c>
      <c r="F1498" s="2" t="s">
        <v>5069</v>
      </c>
      <c r="G1498" s="2" t="s">
        <v>1120</v>
      </c>
      <c r="H1498" s="2" t="s">
        <v>5070</v>
      </c>
      <c r="I1498" s="2" t="s">
        <v>5071</v>
      </c>
      <c r="J1498" s="2" t="s">
        <v>5060</v>
      </c>
      <c r="K1498" s="2" t="s">
        <v>878</v>
      </c>
      <c r="L1498" s="3">
        <v>16.28</v>
      </c>
      <c r="M1498" s="3">
        <v>17.09</v>
      </c>
      <c r="N1498" s="3">
        <v>36.99</v>
      </c>
      <c r="O1498" s="2" t="s">
        <v>97</v>
      </c>
      <c r="P1498" s="2" t="s">
        <v>119</v>
      </c>
      <c r="Q1498" s="2" t="s">
        <v>99</v>
      </c>
      <c r="R1498" s="2" t="s">
        <v>100</v>
      </c>
      <c r="S1498" s="2" t="s">
        <v>5072</v>
      </c>
      <c r="T1498" s="2" t="s">
        <v>100</v>
      </c>
      <c r="U1498" s="2" t="s">
        <v>100</v>
      </c>
      <c r="V1498" s="2" t="s">
        <v>256</v>
      </c>
      <c r="W1498" s="2" t="s">
        <v>561</v>
      </c>
      <c r="X1498" s="2" t="s">
        <v>100</v>
      </c>
      <c r="Y1498" s="2" t="s">
        <v>240</v>
      </c>
      <c r="Z1498" s="4">
        <v>527</v>
      </c>
      <c r="AA1498" s="4">
        <f>=ROUNDDOWN(10.54,0)</f>
      </c>
      <c r="AB1498" s="5">
        <v>50</v>
      </c>
      <c r="AC1498" s="2" t="s">
        <v>5073</v>
      </c>
      <c r="AD1498" s="4">
        <v>420</v>
      </c>
      <c r="AE1498" s="4">
        <v>1340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>
        <v>31</v>
      </c>
      <c r="AQ1498" s="8">
        <v>551.49</v>
      </c>
      <c r="AR1498" s="4"/>
      <c r="AS1498" s="8"/>
      <c r="AT1498" s="7"/>
      <c r="AU1498" s="7"/>
      <c r="AV1498" s="4">
        <v>31</v>
      </c>
      <c r="AW1498" s="8">
        <v>551.49</v>
      </c>
      <c r="AX1498" s="4"/>
      <c r="AY1498" s="8"/>
      <c r="AZ1498" s="7"/>
      <c r="BA1498" s="7"/>
      <c r="BB1498" s="7">
        <v>1</v>
      </c>
      <c r="BC1498" s="4">
        <v>31</v>
      </c>
      <c r="BD1498" s="8">
        <v>551.49</v>
      </c>
      <c r="BE1498" s="4"/>
      <c r="BF1498" s="8"/>
      <c r="BG1498" s="7"/>
      <c r="BH1498" s="7"/>
      <c r="BI1498" s="7">
        <v>1</v>
      </c>
      <c r="BJ1498" s="4">
        <v>1497</v>
      </c>
      <c r="BK1498" s="8">
        <v>26577.37</v>
      </c>
      <c r="BL1498" s="2" t="s">
        <v>4839</v>
      </c>
      <c r="BM1498" s="7">
        <v>0.0207</v>
      </c>
      <c r="BN1498" s="7">
        <v>0.0208</v>
      </c>
      <c r="BO1498" s="4">
        <v>31</v>
      </c>
      <c r="BP1498" s="8">
        <v>551.49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5074</v>
      </c>
      <c r="BX1498" s="2" t="s">
        <v>812</v>
      </c>
      <c r="BY1498" s="2" t="s">
        <v>113</v>
      </c>
      <c r="BZ1498" s="2" t="s">
        <v>100</v>
      </c>
    </row>
    <row r="1499">
      <c r="A1499" s="2" t="s">
        <v>5075</v>
      </c>
      <c r="B1499" s="2" t="s">
        <v>5053</v>
      </c>
      <c r="C1499" s="2" t="s">
        <v>88</v>
      </c>
      <c r="D1499" s="2" t="s">
        <v>5054</v>
      </c>
      <c r="E1499" s="2" t="s">
        <v>5055</v>
      </c>
      <c r="F1499" s="2" t="s">
        <v>5076</v>
      </c>
      <c r="G1499" s="2" t="s">
        <v>5076</v>
      </c>
      <c r="H1499" s="2" t="s">
        <v>5076</v>
      </c>
      <c r="I1499" s="2" t="s">
        <v>5077</v>
      </c>
      <c r="J1499" s="2" t="s">
        <v>5078</v>
      </c>
      <c r="K1499" s="2" t="s">
        <v>198</v>
      </c>
      <c r="L1499" s="3">
        <v>19.01</v>
      </c>
      <c r="M1499" s="3">
        <v>19.96</v>
      </c>
      <c r="N1499" s="3">
        <v>42.99</v>
      </c>
      <c r="O1499" s="2" t="s">
        <v>97</v>
      </c>
      <c r="P1499" s="2" t="s">
        <v>950</v>
      </c>
      <c r="Q1499" s="2" t="s">
        <v>99</v>
      </c>
      <c r="R1499" s="2" t="s">
        <v>100</v>
      </c>
      <c r="S1499" s="2" t="s">
        <v>100</v>
      </c>
      <c r="T1499" s="2" t="s">
        <v>100</v>
      </c>
      <c r="U1499" s="2" t="s">
        <v>1847</v>
      </c>
      <c r="V1499" s="2" t="s">
        <v>350</v>
      </c>
      <c r="W1499" s="2" t="s">
        <v>4852</v>
      </c>
      <c r="X1499" s="2" t="s">
        <v>100</v>
      </c>
      <c r="Y1499" s="2" t="s">
        <v>5079</v>
      </c>
      <c r="Z1499" s="4">
        <v>357</v>
      </c>
      <c r="AA1499" s="4">
        <f>=ROUNDDOWN(13.7307692307692,0)</f>
      </c>
      <c r="AB1499" s="5">
        <v>26</v>
      </c>
      <c r="AC1499" s="2" t="s">
        <v>5080</v>
      </c>
      <c r="AD1499" s="4">
        <v>200</v>
      </c>
      <c r="AE1499" s="4">
        <v>660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>
        <v>3</v>
      </c>
      <c r="AQ1499" s="8">
        <v>66.54</v>
      </c>
      <c r="AR1499" s="4"/>
      <c r="AS1499" s="8"/>
      <c r="AT1499" s="7"/>
      <c r="AU1499" s="7"/>
      <c r="AV1499" s="4">
        <v>27</v>
      </c>
      <c r="AW1499" s="8">
        <v>399.18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>
        <v>0.1667</v>
      </c>
      <c r="BC1499" s="4">
        <v>27</v>
      </c>
      <c r="BD1499" s="8">
        <v>399.18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1</v>
      </c>
      <c r="BJ1499" s="4">
        <v>679</v>
      </c>
      <c r="BK1499" s="8">
        <v>14717.21</v>
      </c>
      <c r="BL1499" s="2" t="s">
        <v>5081</v>
      </c>
      <c r="BM1499" s="7">
        <v>0.0044</v>
      </c>
      <c r="BN1499" s="7">
        <v>0.0045</v>
      </c>
      <c r="BO1499" s="4">
        <v>3</v>
      </c>
      <c r="BP1499" s="8">
        <v>66.54</v>
      </c>
      <c r="BQ1499" s="4"/>
      <c r="BR1499" s="8"/>
      <c r="BS1499" s="7"/>
      <c r="BT1499" s="7"/>
      <c r="BU1499" s="2" t="s">
        <v>109</v>
      </c>
      <c r="BV1499" s="2" t="s">
        <v>110</v>
      </c>
      <c r="BW1499" s="2" t="s">
        <v>4696</v>
      </c>
      <c r="BX1499" s="2" t="s">
        <v>1863</v>
      </c>
      <c r="BY1499" s="2" t="s">
        <v>113</v>
      </c>
      <c r="BZ1499" s="2" t="s">
        <v>100</v>
      </c>
    </row>
    <row r="1500">
      <c r="A1500" s="2" t="s">
        <v>5082</v>
      </c>
      <c r="B1500" s="2" t="s">
        <v>5053</v>
      </c>
      <c r="C1500" s="2" t="s">
        <v>88</v>
      </c>
      <c r="D1500" s="2" t="s">
        <v>5054</v>
      </c>
      <c r="E1500" s="2" t="s">
        <v>5055</v>
      </c>
      <c r="F1500" s="2" t="s">
        <v>5076</v>
      </c>
      <c r="G1500" s="2" t="s">
        <v>5076</v>
      </c>
      <c r="H1500" s="2" t="s">
        <v>5076</v>
      </c>
      <c r="I1500" s="2" t="s">
        <v>5077</v>
      </c>
      <c r="J1500" s="2" t="s">
        <v>5083</v>
      </c>
      <c r="K1500" s="2" t="s">
        <v>198</v>
      </c>
      <c r="L1500" s="3">
        <v>11.88</v>
      </c>
      <c r="M1500" s="3">
        <v>12.47</v>
      </c>
      <c r="N1500" s="3">
        <v>24.99</v>
      </c>
      <c r="O1500" s="2" t="s">
        <v>97</v>
      </c>
      <c r="P1500" s="2" t="s">
        <v>950</v>
      </c>
      <c r="Q1500" s="2" t="s">
        <v>99</v>
      </c>
      <c r="R1500" s="2" t="s">
        <v>100</v>
      </c>
      <c r="S1500" s="2" t="s">
        <v>100</v>
      </c>
      <c r="T1500" s="2" t="s">
        <v>100</v>
      </c>
      <c r="U1500" s="2" t="s">
        <v>1847</v>
      </c>
      <c r="V1500" s="2" t="s">
        <v>350</v>
      </c>
      <c r="W1500" s="2" t="s">
        <v>4852</v>
      </c>
      <c r="X1500" s="2" t="s">
        <v>100</v>
      </c>
      <c r="Y1500" s="2" t="s">
        <v>5079</v>
      </c>
      <c r="Z1500" s="4">
        <v>1020</v>
      </c>
      <c r="AA1500" s="4">
        <f>=ROUNDDOWN(12,0)</f>
      </c>
      <c r="AB1500" s="5">
        <v>85</v>
      </c>
      <c r="AC1500" s="2" t="s">
        <v>417</v>
      </c>
      <c r="AD1500" s="4">
        <v>240</v>
      </c>
      <c r="AE1500" s="4">
        <v>2240</v>
      </c>
      <c r="AF1500" s="6">
        <v>65</v>
      </c>
      <c r="AG1500" s="6"/>
      <c r="AH1500" s="7">
        <v>0.8235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>
        <v>24</v>
      </c>
      <c r="AQ1500" s="8">
        <v>332.64</v>
      </c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>
        <v>0.8333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 t="s">
        <v>100</v>
      </c>
      <c r="BJ1500" s="4">
        <v>2397</v>
      </c>
      <c r="BK1500" s="8">
        <v>32666.9</v>
      </c>
      <c r="BL1500" s="2" t="s">
        <v>5084</v>
      </c>
      <c r="BM1500" s="7">
        <v>0.01</v>
      </c>
      <c r="BN1500" s="7">
        <v>0.0102</v>
      </c>
      <c r="BO1500" s="4">
        <v>24</v>
      </c>
      <c r="BP1500" s="8">
        <v>332.64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4696</v>
      </c>
      <c r="BX1500" s="2" t="s">
        <v>5085</v>
      </c>
      <c r="BY1500" s="2" t="s">
        <v>113</v>
      </c>
      <c r="BZ1500" s="2" t="s">
        <v>100</v>
      </c>
    </row>
    <row r="1501">
      <c r="A1501" s="2" t="s">
        <v>5086</v>
      </c>
      <c r="B1501" s="2" t="s">
        <v>5053</v>
      </c>
      <c r="C1501" s="2" t="s">
        <v>88</v>
      </c>
      <c r="D1501" s="2" t="s">
        <v>5054</v>
      </c>
      <c r="E1501" s="2" t="s">
        <v>5055</v>
      </c>
      <c r="F1501" s="2" t="s">
        <v>5076</v>
      </c>
      <c r="G1501" s="2" t="s">
        <v>5076</v>
      </c>
      <c r="H1501" s="2" t="s">
        <v>5076</v>
      </c>
      <c r="I1501" s="2" t="s">
        <v>5077</v>
      </c>
      <c r="J1501" s="2" t="s">
        <v>5087</v>
      </c>
      <c r="K1501" s="2" t="s">
        <v>198</v>
      </c>
      <c r="L1501" s="3">
        <v>9.8</v>
      </c>
      <c r="M1501" s="3">
        <v>10.29</v>
      </c>
      <c r="N1501" s="3">
        <v>21.99</v>
      </c>
      <c r="O1501" s="2" t="s">
        <v>97</v>
      </c>
      <c r="P1501" s="2" t="s">
        <v>225</v>
      </c>
      <c r="Q1501" s="2" t="s">
        <v>99</v>
      </c>
      <c r="R1501" s="2" t="s">
        <v>100</v>
      </c>
      <c r="S1501" s="2" t="s">
        <v>100</v>
      </c>
      <c r="T1501" s="2" t="s">
        <v>100</v>
      </c>
      <c r="U1501" s="2" t="s">
        <v>1847</v>
      </c>
      <c r="V1501" s="2" t="s">
        <v>350</v>
      </c>
      <c r="W1501" s="2" t="s">
        <v>183</v>
      </c>
      <c r="X1501" s="2" t="s">
        <v>100</v>
      </c>
      <c r="Y1501" s="2" t="s">
        <v>417</v>
      </c>
      <c r="Z1501" s="4">
        <v>320</v>
      </c>
      <c r="AA1501" s="4">
        <f>=ROUNDDOWN(5.16129032258065,0)</f>
      </c>
      <c r="AB1501" s="5">
        <v>62</v>
      </c>
      <c r="AC1501" s="2" t="s">
        <v>5080</v>
      </c>
      <c r="AD1501" s="4">
        <v>1600</v>
      </c>
      <c r="AE1501" s="4">
        <v>1600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/>
      <c r="BK1501" s="8"/>
      <c r="BL1501" s="2" t="s">
        <v>100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207</v>
      </c>
      <c r="BV1501" s="2" t="s">
        <v>97</v>
      </c>
      <c r="BW1501" s="2" t="s">
        <v>100</v>
      </c>
      <c r="BX1501" s="2" t="s">
        <v>100</v>
      </c>
      <c r="BY1501" s="2" t="s">
        <v>113</v>
      </c>
      <c r="BZ1501" s="2" t="s">
        <v>100</v>
      </c>
    </row>
    <row r="1502">
      <c r="A1502" s="2" t="s">
        <v>5088</v>
      </c>
      <c r="B1502" s="2" t="s">
        <v>5053</v>
      </c>
      <c r="C1502" s="2" t="s">
        <v>88</v>
      </c>
      <c r="D1502" s="2" t="s">
        <v>5054</v>
      </c>
      <c r="E1502" s="2" t="s">
        <v>5055</v>
      </c>
      <c r="F1502" s="2" t="s">
        <v>5076</v>
      </c>
      <c r="G1502" s="2" t="s">
        <v>5076</v>
      </c>
      <c r="H1502" s="2" t="s">
        <v>5076</v>
      </c>
      <c r="I1502" s="2" t="s">
        <v>5077</v>
      </c>
      <c r="J1502" s="2" t="s">
        <v>5089</v>
      </c>
      <c r="K1502" s="2" t="s">
        <v>198</v>
      </c>
      <c r="L1502" s="3">
        <v>14.85</v>
      </c>
      <c r="M1502" s="3">
        <v>15.59</v>
      </c>
      <c r="N1502" s="3">
        <v>32.99</v>
      </c>
      <c r="O1502" s="2" t="s">
        <v>97</v>
      </c>
      <c r="P1502" s="2" t="s">
        <v>225</v>
      </c>
      <c r="Q1502" s="2" t="s">
        <v>99</v>
      </c>
      <c r="R1502" s="2" t="s">
        <v>100</v>
      </c>
      <c r="S1502" s="2" t="s">
        <v>100</v>
      </c>
      <c r="T1502" s="2" t="s">
        <v>100</v>
      </c>
      <c r="U1502" s="2" t="s">
        <v>1847</v>
      </c>
      <c r="V1502" s="2" t="s">
        <v>350</v>
      </c>
      <c r="W1502" s="2" t="s">
        <v>183</v>
      </c>
      <c r="X1502" s="2" t="s">
        <v>100</v>
      </c>
      <c r="Y1502" s="2" t="s">
        <v>417</v>
      </c>
      <c r="Z1502" s="4">
        <v>200</v>
      </c>
      <c r="AA1502" s="4">
        <f>=ROUNDDOWN(4.34782608695652,0)</f>
      </c>
      <c r="AB1502" s="5">
        <v>46</v>
      </c>
      <c r="AC1502" s="2" t="s">
        <v>5080</v>
      </c>
      <c r="AD1502" s="4">
        <v>1000</v>
      </c>
      <c r="AE1502" s="4">
        <v>1000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 t="s">
        <v>100</v>
      </c>
      <c r="BJ1502" s="4"/>
      <c r="BK1502" s="8"/>
      <c r="BL1502" s="2" t="s">
        <v>100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207</v>
      </c>
      <c r="BV1502" s="2" t="s">
        <v>97</v>
      </c>
      <c r="BW1502" s="2" t="s">
        <v>100</v>
      </c>
      <c r="BX1502" s="2" t="s">
        <v>100</v>
      </c>
      <c r="BY1502" s="2" t="s">
        <v>113</v>
      </c>
      <c r="BZ1502" s="2" t="s">
        <v>100</v>
      </c>
    </row>
    <row r="1503">
      <c r="A1503" s="2" t="s">
        <v>5090</v>
      </c>
      <c r="B1503" s="2" t="s">
        <v>5053</v>
      </c>
      <c r="C1503" s="2" t="s">
        <v>88</v>
      </c>
      <c r="D1503" s="2" t="s">
        <v>5054</v>
      </c>
      <c r="E1503" s="2" t="s">
        <v>5055</v>
      </c>
      <c r="F1503" s="2" t="s">
        <v>5076</v>
      </c>
      <c r="G1503" s="2" t="s">
        <v>5076</v>
      </c>
      <c r="H1503" s="2" t="s">
        <v>5076</v>
      </c>
      <c r="I1503" s="2" t="s">
        <v>5077</v>
      </c>
      <c r="J1503" s="2" t="s">
        <v>5091</v>
      </c>
      <c r="K1503" s="2" t="s">
        <v>118</v>
      </c>
      <c r="L1503" s="3">
        <v>15.84</v>
      </c>
      <c r="M1503" s="3">
        <v>16.63</v>
      </c>
      <c r="N1503" s="3">
        <v>34.99</v>
      </c>
      <c r="O1503" s="2" t="s">
        <v>97</v>
      </c>
      <c r="P1503" s="2" t="s">
        <v>950</v>
      </c>
      <c r="Q1503" s="2" t="s">
        <v>99</v>
      </c>
      <c r="R1503" s="2" t="s">
        <v>100</v>
      </c>
      <c r="S1503" s="2" t="s">
        <v>100</v>
      </c>
      <c r="T1503" s="2" t="s">
        <v>100</v>
      </c>
      <c r="U1503" s="2" t="s">
        <v>1847</v>
      </c>
      <c r="V1503" s="2" t="s">
        <v>350</v>
      </c>
      <c r="W1503" s="2" t="s">
        <v>4852</v>
      </c>
      <c r="X1503" s="2" t="s">
        <v>100</v>
      </c>
      <c r="Y1503" s="2" t="s">
        <v>5079</v>
      </c>
      <c r="Z1503" s="4">
        <v>1164</v>
      </c>
      <c r="AA1503" s="4">
        <f>=ROUNDDOWN(24.7659574468085,0)</f>
      </c>
      <c r="AB1503" s="5">
        <v>47</v>
      </c>
      <c r="AC1503" s="2" t="s">
        <v>5080</v>
      </c>
      <c r="AD1503" s="4">
        <v>600</v>
      </c>
      <c r="AE1503" s="4">
        <v>900</v>
      </c>
      <c r="AF1503" s="6">
        <v>65</v>
      </c>
      <c r="AG1503" s="6"/>
      <c r="AH1503" s="7">
        <v>0.8984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 t="s">
        <v>100</v>
      </c>
      <c r="BJ1503" s="4">
        <v>1264</v>
      </c>
      <c r="BK1503" s="8">
        <v>22188.23</v>
      </c>
      <c r="BL1503" s="2" t="s">
        <v>5092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4696</v>
      </c>
      <c r="BX1503" s="2" t="s">
        <v>2439</v>
      </c>
      <c r="BY1503" s="2" t="s">
        <v>113</v>
      </c>
      <c r="BZ1503" s="2" t="s">
        <v>245</v>
      </c>
    </row>
    <row r="1504">
      <c r="A1504" s="2" t="s">
        <v>5093</v>
      </c>
      <c r="B1504" s="2" t="s">
        <v>5053</v>
      </c>
      <c r="C1504" s="2" t="s">
        <v>88</v>
      </c>
      <c r="D1504" s="2" t="s">
        <v>5054</v>
      </c>
      <c r="E1504" s="2" t="s">
        <v>5055</v>
      </c>
      <c r="F1504" s="2" t="s">
        <v>5076</v>
      </c>
      <c r="G1504" s="2" t="s">
        <v>5076</v>
      </c>
      <c r="H1504" s="2" t="s">
        <v>5076</v>
      </c>
      <c r="I1504" s="2" t="s">
        <v>5077</v>
      </c>
      <c r="J1504" s="2" t="s">
        <v>5087</v>
      </c>
      <c r="K1504" s="2" t="s">
        <v>118</v>
      </c>
      <c r="L1504" s="3">
        <v>9.8</v>
      </c>
      <c r="M1504" s="3">
        <v>10.29</v>
      </c>
      <c r="N1504" s="3">
        <v>21.99</v>
      </c>
      <c r="O1504" s="2" t="s">
        <v>97</v>
      </c>
      <c r="P1504" s="2" t="s">
        <v>225</v>
      </c>
      <c r="Q1504" s="2" t="s">
        <v>99</v>
      </c>
      <c r="R1504" s="2" t="s">
        <v>100</v>
      </c>
      <c r="S1504" s="2" t="s">
        <v>100</v>
      </c>
      <c r="T1504" s="2" t="s">
        <v>100</v>
      </c>
      <c r="U1504" s="2" t="s">
        <v>1847</v>
      </c>
      <c r="V1504" s="2" t="s">
        <v>350</v>
      </c>
      <c r="W1504" s="2" t="s">
        <v>183</v>
      </c>
      <c r="X1504" s="2" t="s">
        <v>100</v>
      </c>
      <c r="Y1504" s="2" t="s">
        <v>417</v>
      </c>
      <c r="Z1504" s="4">
        <v>140</v>
      </c>
      <c r="AA1504" s="4">
        <f>=ROUNDDOWN(4.66666666666667,0)</f>
      </c>
      <c r="AB1504" s="5">
        <v>30</v>
      </c>
      <c r="AC1504" s="2" t="s">
        <v>5080</v>
      </c>
      <c r="AD1504" s="4">
        <v>660</v>
      </c>
      <c r="AE1504" s="4">
        <v>660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 t="s">
        <v>100</v>
      </c>
      <c r="BJ1504" s="4"/>
      <c r="BK1504" s="8"/>
      <c r="BL1504" s="2" t="s">
        <v>100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207</v>
      </c>
      <c r="BV1504" s="2" t="s">
        <v>97</v>
      </c>
      <c r="BW1504" s="2" t="s">
        <v>100</v>
      </c>
      <c r="BX1504" s="2" t="s">
        <v>100</v>
      </c>
      <c r="BY1504" s="2" t="s">
        <v>113</v>
      </c>
      <c r="BZ1504" s="2" t="s">
        <v>100</v>
      </c>
    </row>
    <row r="1505">
      <c r="A1505" s="2" t="s">
        <v>5094</v>
      </c>
      <c r="B1505" s="2" t="s">
        <v>5053</v>
      </c>
      <c r="C1505" s="2" t="s">
        <v>88</v>
      </c>
      <c r="D1505" s="2" t="s">
        <v>5054</v>
      </c>
      <c r="E1505" s="2" t="s">
        <v>5055</v>
      </c>
      <c r="F1505" s="2" t="s">
        <v>5076</v>
      </c>
      <c r="G1505" s="2" t="s">
        <v>5076</v>
      </c>
      <c r="H1505" s="2" t="s">
        <v>5076</v>
      </c>
      <c r="I1505" s="2" t="s">
        <v>5077</v>
      </c>
      <c r="J1505" s="2" t="s">
        <v>5089</v>
      </c>
      <c r="K1505" s="2" t="s">
        <v>118</v>
      </c>
      <c r="L1505" s="3">
        <v>14.85</v>
      </c>
      <c r="M1505" s="3">
        <v>15.59</v>
      </c>
      <c r="N1505" s="3">
        <v>32.99</v>
      </c>
      <c r="O1505" s="2" t="s">
        <v>97</v>
      </c>
      <c r="P1505" s="2" t="s">
        <v>225</v>
      </c>
      <c r="Q1505" s="2" t="s">
        <v>99</v>
      </c>
      <c r="R1505" s="2" t="s">
        <v>100</v>
      </c>
      <c r="S1505" s="2" t="s">
        <v>100</v>
      </c>
      <c r="T1505" s="2" t="s">
        <v>100</v>
      </c>
      <c r="U1505" s="2" t="s">
        <v>1847</v>
      </c>
      <c r="V1505" s="2" t="s">
        <v>350</v>
      </c>
      <c r="W1505" s="2" t="s">
        <v>183</v>
      </c>
      <c r="X1505" s="2" t="s">
        <v>100</v>
      </c>
      <c r="Y1505" s="2" t="s">
        <v>417</v>
      </c>
      <c r="Z1505" s="4">
        <v>80</v>
      </c>
      <c r="AA1505" s="4">
        <f>=ROUNDDOWN(4.44444444444444,0)</f>
      </c>
      <c r="AB1505" s="5">
        <v>18</v>
      </c>
      <c r="AC1505" s="2" t="s">
        <v>5080</v>
      </c>
      <c r="AD1505" s="4">
        <v>400</v>
      </c>
      <c r="AE1505" s="4">
        <v>400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/>
      <c r="BK1505" s="8"/>
      <c r="BL1505" s="2" t="s">
        <v>100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207</v>
      </c>
      <c r="BV1505" s="2" t="s">
        <v>97</v>
      </c>
      <c r="BW1505" s="2" t="s">
        <v>100</v>
      </c>
      <c r="BX1505" s="2" t="s">
        <v>100</v>
      </c>
      <c r="BY1505" s="2" t="s">
        <v>113</v>
      </c>
      <c r="BZ1505" s="2" t="s">
        <v>100</v>
      </c>
    </row>
    <row r="1506">
      <c r="A1506" s="2" t="s">
        <v>5095</v>
      </c>
      <c r="B1506" s="2" t="s">
        <v>5053</v>
      </c>
      <c r="C1506" s="2" t="s">
        <v>88</v>
      </c>
      <c r="D1506" s="2" t="s">
        <v>5054</v>
      </c>
      <c r="E1506" s="2" t="s">
        <v>5055</v>
      </c>
      <c r="F1506" s="2" t="s">
        <v>5076</v>
      </c>
      <c r="G1506" s="2" t="s">
        <v>5076</v>
      </c>
      <c r="H1506" s="2" t="s">
        <v>5076</v>
      </c>
      <c r="I1506" s="2" t="s">
        <v>5077</v>
      </c>
      <c r="J1506" s="2" t="s">
        <v>5091</v>
      </c>
      <c r="K1506" s="2" t="s">
        <v>2477</v>
      </c>
      <c r="L1506" s="3">
        <v>15.84</v>
      </c>
      <c r="M1506" s="3">
        <v>16.63</v>
      </c>
      <c r="N1506" s="3">
        <v>34.99</v>
      </c>
      <c r="O1506" s="2" t="s">
        <v>97</v>
      </c>
      <c r="P1506" s="2" t="s">
        <v>225</v>
      </c>
      <c r="Q1506" s="2" t="s">
        <v>99</v>
      </c>
      <c r="R1506" s="2" t="s">
        <v>100</v>
      </c>
      <c r="S1506" s="2" t="s">
        <v>5096</v>
      </c>
      <c r="T1506" s="2" t="s">
        <v>100</v>
      </c>
      <c r="U1506" s="2" t="s">
        <v>1847</v>
      </c>
      <c r="V1506" s="2" t="s">
        <v>350</v>
      </c>
      <c r="W1506" s="2" t="s">
        <v>183</v>
      </c>
      <c r="X1506" s="2" t="s">
        <v>100</v>
      </c>
      <c r="Y1506" s="2" t="s">
        <v>5097</v>
      </c>
      <c r="Z1506" s="4">
        <v>117</v>
      </c>
      <c r="AA1506" s="4">
        <f>=ROUNDDOWN(3.16216216216216,0)</f>
      </c>
      <c r="AB1506" s="5">
        <v>37</v>
      </c>
      <c r="AC1506" s="2" t="s">
        <v>872</v>
      </c>
      <c r="AD1506" s="4">
        <v>1060</v>
      </c>
      <c r="AE1506" s="4">
        <v>1060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 t="s">
        <v>100</v>
      </c>
      <c r="BJ1506" s="4">
        <v>598</v>
      </c>
      <c r="BK1506" s="8">
        <v>10760.26</v>
      </c>
      <c r="BL1506" s="2" t="s">
        <v>5098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207</v>
      </c>
      <c r="BV1506" s="2" t="s">
        <v>97</v>
      </c>
      <c r="BW1506" s="2" t="s">
        <v>100</v>
      </c>
      <c r="BX1506" s="2" t="s">
        <v>100</v>
      </c>
      <c r="BY1506" s="2" t="s">
        <v>113</v>
      </c>
      <c r="BZ1506" s="2" t="s">
        <v>100</v>
      </c>
    </row>
    <row r="1507">
      <c r="A1507" s="2" t="s">
        <v>5099</v>
      </c>
      <c r="B1507" s="2" t="s">
        <v>5053</v>
      </c>
      <c r="C1507" s="2" t="s">
        <v>88</v>
      </c>
      <c r="D1507" s="2" t="s">
        <v>5054</v>
      </c>
      <c r="E1507" s="2" t="s">
        <v>5055</v>
      </c>
      <c r="F1507" s="2" t="s">
        <v>5076</v>
      </c>
      <c r="G1507" s="2" t="s">
        <v>5076</v>
      </c>
      <c r="H1507" s="2" t="s">
        <v>5076</v>
      </c>
      <c r="I1507" s="2" t="s">
        <v>5077</v>
      </c>
      <c r="J1507" s="2" t="s">
        <v>5078</v>
      </c>
      <c r="K1507" s="2" t="s">
        <v>2477</v>
      </c>
      <c r="L1507" s="3">
        <v>19.01</v>
      </c>
      <c r="M1507" s="3">
        <v>19.96</v>
      </c>
      <c r="N1507" s="3">
        <v>42.99</v>
      </c>
      <c r="O1507" s="2" t="s">
        <v>97</v>
      </c>
      <c r="P1507" s="2" t="s">
        <v>225</v>
      </c>
      <c r="Q1507" s="2" t="s">
        <v>99</v>
      </c>
      <c r="R1507" s="2" t="s">
        <v>100</v>
      </c>
      <c r="S1507" s="2" t="s">
        <v>100</v>
      </c>
      <c r="T1507" s="2" t="s">
        <v>100</v>
      </c>
      <c r="U1507" s="2" t="s">
        <v>1847</v>
      </c>
      <c r="V1507" s="2" t="s">
        <v>350</v>
      </c>
      <c r="W1507" s="2" t="s">
        <v>183</v>
      </c>
      <c r="X1507" s="2" t="s">
        <v>100</v>
      </c>
      <c r="Y1507" s="2" t="s">
        <v>100</v>
      </c>
      <c r="Z1507" s="4"/>
      <c r="AA1507" s="4">
        <f>=ROUNDDOWN({0},0)</f>
      </c>
      <c r="AB1507" s="5">
        <v>7</v>
      </c>
      <c r="AC1507" s="2" t="s">
        <v>5100</v>
      </c>
      <c r="AD1507" s="4">
        <v>180</v>
      </c>
      <c r="AE1507" s="4">
        <v>180</v>
      </c>
      <c r="AF1507" s="6">
        <v>65</v>
      </c>
      <c r="AG1507" s="6"/>
      <c r="AH1507" s="7"/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/>
      <c r="BK1507" s="8"/>
      <c r="BL1507" s="2" t="s">
        <v>100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2480</v>
      </c>
      <c r="BV1507" s="2" t="s">
        <v>97</v>
      </c>
      <c r="BW1507" s="2" t="s">
        <v>100</v>
      </c>
      <c r="BX1507" s="2" t="s">
        <v>100</v>
      </c>
      <c r="BY1507" s="2" t="s">
        <v>113</v>
      </c>
      <c r="BZ1507" s="2" t="s">
        <v>100</v>
      </c>
    </row>
    <row r="1508">
      <c r="A1508" s="2" t="s">
        <v>5101</v>
      </c>
      <c r="B1508" s="2" t="s">
        <v>5053</v>
      </c>
      <c r="C1508" s="2" t="s">
        <v>88</v>
      </c>
      <c r="D1508" s="2" t="s">
        <v>5054</v>
      </c>
      <c r="E1508" s="2" t="s">
        <v>5055</v>
      </c>
      <c r="F1508" s="2" t="s">
        <v>5076</v>
      </c>
      <c r="G1508" s="2" t="s">
        <v>5076</v>
      </c>
      <c r="H1508" s="2" t="s">
        <v>5076</v>
      </c>
      <c r="I1508" s="2" t="s">
        <v>5077</v>
      </c>
      <c r="J1508" s="2" t="s">
        <v>5087</v>
      </c>
      <c r="K1508" s="2" t="s">
        <v>2477</v>
      </c>
      <c r="L1508" s="3">
        <v>9.8</v>
      </c>
      <c r="M1508" s="3">
        <v>10.29</v>
      </c>
      <c r="N1508" s="3">
        <v>21.99</v>
      </c>
      <c r="O1508" s="2" t="s">
        <v>97</v>
      </c>
      <c r="P1508" s="2" t="s">
        <v>225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1847</v>
      </c>
      <c r="V1508" s="2" t="s">
        <v>350</v>
      </c>
      <c r="W1508" s="2" t="s">
        <v>183</v>
      </c>
      <c r="X1508" s="2" t="s">
        <v>100</v>
      </c>
      <c r="Y1508" s="2" t="s">
        <v>100</v>
      </c>
      <c r="Z1508" s="4"/>
      <c r="AA1508" s="4">
        <f>=ROUNDDOWN({0},0)</f>
      </c>
      <c r="AB1508" s="5">
        <v>39</v>
      </c>
      <c r="AC1508" s="2" t="s">
        <v>5100</v>
      </c>
      <c r="AD1508" s="4">
        <v>1020</v>
      </c>
      <c r="AE1508" s="4">
        <v>1020</v>
      </c>
      <c r="AF1508" s="6">
        <v>65</v>
      </c>
      <c r="AG1508" s="6"/>
      <c r="AH1508" s="7"/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 t="s">
        <v>100</v>
      </c>
      <c r="BJ1508" s="4"/>
      <c r="BK1508" s="8"/>
      <c r="BL1508" s="2" t="s">
        <v>100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2480</v>
      </c>
      <c r="BV1508" s="2" t="s">
        <v>97</v>
      </c>
      <c r="BW1508" s="2" t="s">
        <v>100</v>
      </c>
      <c r="BX1508" s="2" t="s">
        <v>100</v>
      </c>
      <c r="BY1508" s="2" t="s">
        <v>113</v>
      </c>
      <c r="BZ1508" s="2" t="s">
        <v>100</v>
      </c>
    </row>
    <row r="1509">
      <c r="A1509" s="2" t="s">
        <v>5102</v>
      </c>
      <c r="B1509" s="2" t="s">
        <v>5053</v>
      </c>
      <c r="C1509" s="2" t="s">
        <v>88</v>
      </c>
      <c r="D1509" s="2" t="s">
        <v>5054</v>
      </c>
      <c r="E1509" s="2" t="s">
        <v>5055</v>
      </c>
      <c r="F1509" s="2" t="s">
        <v>5076</v>
      </c>
      <c r="G1509" s="2" t="s">
        <v>5076</v>
      </c>
      <c r="H1509" s="2" t="s">
        <v>5076</v>
      </c>
      <c r="I1509" s="2" t="s">
        <v>5077</v>
      </c>
      <c r="J1509" s="2" t="s">
        <v>5089</v>
      </c>
      <c r="K1509" s="2" t="s">
        <v>2477</v>
      </c>
      <c r="L1509" s="3">
        <v>14.85</v>
      </c>
      <c r="M1509" s="3">
        <v>15.59</v>
      </c>
      <c r="N1509" s="3">
        <v>32.99</v>
      </c>
      <c r="O1509" s="2" t="s">
        <v>97</v>
      </c>
      <c r="P1509" s="2" t="s">
        <v>225</v>
      </c>
      <c r="Q1509" s="2" t="s">
        <v>99</v>
      </c>
      <c r="R1509" s="2" t="s">
        <v>100</v>
      </c>
      <c r="S1509" s="2" t="s">
        <v>100</v>
      </c>
      <c r="T1509" s="2" t="s">
        <v>100</v>
      </c>
      <c r="U1509" s="2" t="s">
        <v>1847</v>
      </c>
      <c r="V1509" s="2" t="s">
        <v>350</v>
      </c>
      <c r="W1509" s="2" t="s">
        <v>183</v>
      </c>
      <c r="X1509" s="2" t="s">
        <v>100</v>
      </c>
      <c r="Y1509" s="2" t="s">
        <v>100</v>
      </c>
      <c r="Z1509" s="4"/>
      <c r="AA1509" s="4">
        <f>=ROUNDDOWN({0},0)</f>
      </c>
      <c r="AB1509" s="5">
        <v>25</v>
      </c>
      <c r="AC1509" s="2" t="s">
        <v>5100</v>
      </c>
      <c r="AD1509" s="4">
        <v>660</v>
      </c>
      <c r="AE1509" s="4">
        <v>660</v>
      </c>
      <c r="AF1509" s="6">
        <v>65</v>
      </c>
      <c r="AG1509" s="6"/>
      <c r="AH1509" s="7"/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 t="s">
        <v>100</v>
      </c>
      <c r="BJ1509" s="4"/>
      <c r="BK1509" s="8"/>
      <c r="BL1509" s="2" t="s">
        <v>100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2480</v>
      </c>
      <c r="BV1509" s="2" t="s">
        <v>97</v>
      </c>
      <c r="BW1509" s="2" t="s">
        <v>100</v>
      </c>
      <c r="BX1509" s="2" t="s">
        <v>100</v>
      </c>
      <c r="BY1509" s="2" t="s">
        <v>113</v>
      </c>
      <c r="BZ1509" s="2" t="s">
        <v>100</v>
      </c>
    </row>
    <row r="1510">
      <c r="A1510" s="2" t="s">
        <v>5103</v>
      </c>
      <c r="B1510" s="2" t="s">
        <v>5053</v>
      </c>
      <c r="C1510" s="2" t="s">
        <v>88</v>
      </c>
      <c r="D1510" s="2" t="s">
        <v>5054</v>
      </c>
      <c r="E1510" s="2" t="s">
        <v>5055</v>
      </c>
      <c r="F1510" s="2" t="s">
        <v>5076</v>
      </c>
      <c r="G1510" s="2" t="s">
        <v>5076</v>
      </c>
      <c r="H1510" s="2" t="s">
        <v>5076</v>
      </c>
      <c r="I1510" s="2" t="s">
        <v>5077</v>
      </c>
      <c r="J1510" s="2" t="s">
        <v>5091</v>
      </c>
      <c r="K1510" s="2" t="s">
        <v>604</v>
      </c>
      <c r="L1510" s="3">
        <v>15.84</v>
      </c>
      <c r="M1510" s="3">
        <v>16.63</v>
      </c>
      <c r="N1510" s="3">
        <v>34.99</v>
      </c>
      <c r="O1510" s="2" t="s">
        <v>97</v>
      </c>
      <c r="P1510" s="2" t="s">
        <v>225</v>
      </c>
      <c r="Q1510" s="2" t="s">
        <v>99</v>
      </c>
      <c r="R1510" s="2" t="s">
        <v>100</v>
      </c>
      <c r="S1510" s="2" t="s">
        <v>100</v>
      </c>
      <c r="T1510" s="2" t="s">
        <v>100</v>
      </c>
      <c r="U1510" s="2" t="s">
        <v>1847</v>
      </c>
      <c r="V1510" s="2" t="s">
        <v>350</v>
      </c>
      <c r="W1510" s="2" t="s">
        <v>183</v>
      </c>
      <c r="X1510" s="2" t="s">
        <v>100</v>
      </c>
      <c r="Y1510" s="2" t="s">
        <v>100</v>
      </c>
      <c r="Z1510" s="4"/>
      <c r="AA1510" s="4">
        <f>=ROUNDDOWN({0},0)</f>
      </c>
      <c r="AB1510" s="5">
        <v>12</v>
      </c>
      <c r="AC1510" s="2" t="s">
        <v>562</v>
      </c>
      <c r="AD1510" s="4">
        <v>60</v>
      </c>
      <c r="AE1510" s="4">
        <v>340</v>
      </c>
      <c r="AF1510" s="6">
        <v>65</v>
      </c>
      <c r="AG1510" s="6"/>
      <c r="AH1510" s="7"/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 t="s">
        <v>100</v>
      </c>
      <c r="BJ1510" s="4"/>
      <c r="BK1510" s="8"/>
      <c r="BL1510" s="2" t="s">
        <v>100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2480</v>
      </c>
      <c r="BV1510" s="2" t="s">
        <v>97</v>
      </c>
      <c r="BW1510" s="2" t="s">
        <v>100</v>
      </c>
      <c r="BX1510" s="2" t="s">
        <v>100</v>
      </c>
      <c r="BY1510" s="2" t="s">
        <v>113</v>
      </c>
      <c r="BZ1510" s="2" t="s">
        <v>100</v>
      </c>
    </row>
    <row r="1511">
      <c r="A1511" s="2" t="s">
        <v>5104</v>
      </c>
      <c r="B1511" s="2" t="s">
        <v>5053</v>
      </c>
      <c r="C1511" s="2" t="s">
        <v>88</v>
      </c>
      <c r="D1511" s="2" t="s">
        <v>5054</v>
      </c>
      <c r="E1511" s="2" t="s">
        <v>5055</v>
      </c>
      <c r="F1511" s="2" t="s">
        <v>5076</v>
      </c>
      <c r="G1511" s="2" t="s">
        <v>5076</v>
      </c>
      <c r="H1511" s="2" t="s">
        <v>5076</v>
      </c>
      <c r="I1511" s="2" t="s">
        <v>5077</v>
      </c>
      <c r="J1511" s="2" t="s">
        <v>5078</v>
      </c>
      <c r="K1511" s="2" t="s">
        <v>604</v>
      </c>
      <c r="L1511" s="3">
        <v>19.01</v>
      </c>
      <c r="M1511" s="3">
        <v>19.96</v>
      </c>
      <c r="N1511" s="3">
        <v>42.99</v>
      </c>
      <c r="O1511" s="2" t="s">
        <v>97</v>
      </c>
      <c r="P1511" s="2" t="s">
        <v>225</v>
      </c>
      <c r="Q1511" s="2" t="s">
        <v>99</v>
      </c>
      <c r="R1511" s="2" t="s">
        <v>100</v>
      </c>
      <c r="S1511" s="2" t="s">
        <v>100</v>
      </c>
      <c r="T1511" s="2" t="s">
        <v>100</v>
      </c>
      <c r="U1511" s="2" t="s">
        <v>1847</v>
      </c>
      <c r="V1511" s="2" t="s">
        <v>350</v>
      </c>
      <c r="W1511" s="2" t="s">
        <v>183</v>
      </c>
      <c r="X1511" s="2" t="s">
        <v>100</v>
      </c>
      <c r="Y1511" s="2" t="s">
        <v>100</v>
      </c>
      <c r="Z1511" s="4"/>
      <c r="AA1511" s="4">
        <f>=ROUNDDOWN({0},0)</f>
      </c>
      <c r="AB1511" s="5">
        <v>2</v>
      </c>
      <c r="AC1511" s="2" t="s">
        <v>562</v>
      </c>
      <c r="AD1511" s="4">
        <v>20</v>
      </c>
      <c r="AE1511" s="4">
        <v>40</v>
      </c>
      <c r="AF1511" s="6">
        <v>65</v>
      </c>
      <c r="AG1511" s="6"/>
      <c r="AH1511" s="7"/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 t="s">
        <v>100</v>
      </c>
      <c r="BJ1511" s="4"/>
      <c r="BK1511" s="8"/>
      <c r="BL1511" s="2" t="s">
        <v>100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2480</v>
      </c>
      <c r="BV1511" s="2" t="s">
        <v>97</v>
      </c>
      <c r="BW1511" s="2" t="s">
        <v>100</v>
      </c>
      <c r="BX1511" s="2" t="s">
        <v>100</v>
      </c>
      <c r="BY1511" s="2" t="s">
        <v>113</v>
      </c>
      <c r="BZ1511" s="2" t="s">
        <v>100</v>
      </c>
    </row>
    <row r="1512">
      <c r="A1512" s="2" t="s">
        <v>5105</v>
      </c>
      <c r="B1512" s="2" t="s">
        <v>5053</v>
      </c>
      <c r="C1512" s="2" t="s">
        <v>88</v>
      </c>
      <c r="D1512" s="2" t="s">
        <v>5054</v>
      </c>
      <c r="E1512" s="2" t="s">
        <v>5055</v>
      </c>
      <c r="F1512" s="2" t="s">
        <v>5076</v>
      </c>
      <c r="G1512" s="2" t="s">
        <v>5076</v>
      </c>
      <c r="H1512" s="2" t="s">
        <v>5076</v>
      </c>
      <c r="I1512" s="2" t="s">
        <v>5077</v>
      </c>
      <c r="J1512" s="2" t="s">
        <v>5060</v>
      </c>
      <c r="K1512" s="2" t="s">
        <v>604</v>
      </c>
      <c r="L1512" s="3">
        <v>14.65</v>
      </c>
      <c r="M1512" s="3">
        <v>15.38</v>
      </c>
      <c r="N1512" s="3">
        <v>31.99</v>
      </c>
      <c r="O1512" s="2" t="s">
        <v>97</v>
      </c>
      <c r="P1512" s="2" t="s">
        <v>225</v>
      </c>
      <c r="Q1512" s="2" t="s">
        <v>99</v>
      </c>
      <c r="R1512" s="2" t="s">
        <v>100</v>
      </c>
      <c r="S1512" s="2" t="s">
        <v>100</v>
      </c>
      <c r="T1512" s="2" t="s">
        <v>100</v>
      </c>
      <c r="U1512" s="2" t="s">
        <v>1847</v>
      </c>
      <c r="V1512" s="2" t="s">
        <v>350</v>
      </c>
      <c r="W1512" s="2" t="s">
        <v>183</v>
      </c>
      <c r="X1512" s="2" t="s">
        <v>100</v>
      </c>
      <c r="Y1512" s="2" t="s">
        <v>100</v>
      </c>
      <c r="Z1512" s="4"/>
      <c r="AA1512" s="4">
        <f>=ROUNDDOWN({0},0)</f>
      </c>
      <c r="AB1512" s="5">
        <v>106</v>
      </c>
      <c r="AC1512" s="2" t="s">
        <v>562</v>
      </c>
      <c r="AD1512" s="4">
        <v>460</v>
      </c>
      <c r="AE1512" s="4">
        <v>2760</v>
      </c>
      <c r="AF1512" s="6">
        <v>65</v>
      </c>
      <c r="AG1512" s="6"/>
      <c r="AH1512" s="7"/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 t="s">
        <v>100</v>
      </c>
      <c r="BJ1512" s="4"/>
      <c r="BK1512" s="8"/>
      <c r="BL1512" s="2" t="s">
        <v>100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2480</v>
      </c>
      <c r="BV1512" s="2" t="s">
        <v>97</v>
      </c>
      <c r="BW1512" s="2" t="s">
        <v>100</v>
      </c>
      <c r="BX1512" s="2" t="s">
        <v>100</v>
      </c>
      <c r="BY1512" s="2" t="s">
        <v>113</v>
      </c>
      <c r="BZ1512" s="2" t="s">
        <v>100</v>
      </c>
    </row>
    <row r="1513">
      <c r="A1513" s="2" t="s">
        <v>5106</v>
      </c>
      <c r="B1513" s="2" t="s">
        <v>5053</v>
      </c>
      <c r="C1513" s="2" t="s">
        <v>88</v>
      </c>
      <c r="D1513" s="2" t="s">
        <v>5054</v>
      </c>
      <c r="E1513" s="2" t="s">
        <v>5055</v>
      </c>
      <c r="F1513" s="2" t="s">
        <v>5076</v>
      </c>
      <c r="G1513" s="2" t="s">
        <v>5076</v>
      </c>
      <c r="H1513" s="2" t="s">
        <v>5076</v>
      </c>
      <c r="I1513" s="2" t="s">
        <v>5077</v>
      </c>
      <c r="J1513" s="2" t="s">
        <v>5087</v>
      </c>
      <c r="K1513" s="2" t="s">
        <v>604</v>
      </c>
      <c r="L1513" s="3">
        <v>9.8</v>
      </c>
      <c r="M1513" s="3">
        <v>10.29</v>
      </c>
      <c r="N1513" s="3">
        <v>21.99</v>
      </c>
      <c r="O1513" s="2" t="s">
        <v>97</v>
      </c>
      <c r="P1513" s="2" t="s">
        <v>225</v>
      </c>
      <c r="Q1513" s="2" t="s">
        <v>99</v>
      </c>
      <c r="R1513" s="2" t="s">
        <v>100</v>
      </c>
      <c r="S1513" s="2" t="s">
        <v>100</v>
      </c>
      <c r="T1513" s="2" t="s">
        <v>100</v>
      </c>
      <c r="U1513" s="2" t="s">
        <v>1847</v>
      </c>
      <c r="V1513" s="2" t="s">
        <v>350</v>
      </c>
      <c r="W1513" s="2" t="s">
        <v>183</v>
      </c>
      <c r="X1513" s="2" t="s">
        <v>100</v>
      </c>
      <c r="Y1513" s="2" t="s">
        <v>100</v>
      </c>
      <c r="Z1513" s="4"/>
      <c r="AA1513" s="4">
        <f>=ROUNDDOWN({0},0)</f>
      </c>
      <c r="AB1513" s="5">
        <v>10</v>
      </c>
      <c r="AC1513" s="2" t="s">
        <v>562</v>
      </c>
      <c r="AD1513" s="4">
        <v>60</v>
      </c>
      <c r="AE1513" s="4">
        <v>300</v>
      </c>
      <c r="AF1513" s="6">
        <v>65</v>
      </c>
      <c r="AG1513" s="6"/>
      <c r="AH1513" s="7"/>
      <c r="AI1513" s="4"/>
      <c r="AJ1513" s="4">
        <f>=ROUNDDOWN({0},0)</f>
      </c>
      <c r="AK1513" s="5"/>
      <c r="AL1513" s="2" t="s">
        <v>100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 t="s">
        <v>100</v>
      </c>
      <c r="BJ1513" s="4"/>
      <c r="BK1513" s="8"/>
      <c r="BL1513" s="2" t="s">
        <v>100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2480</v>
      </c>
      <c r="BV1513" s="2" t="s">
        <v>97</v>
      </c>
      <c r="BW1513" s="2" t="s">
        <v>100</v>
      </c>
      <c r="BX1513" s="2" t="s">
        <v>100</v>
      </c>
      <c r="BY1513" s="2" t="s">
        <v>113</v>
      </c>
      <c r="BZ1513" s="2" t="s">
        <v>100</v>
      </c>
    </row>
    <row r="1514">
      <c r="A1514" s="2" t="s">
        <v>5107</v>
      </c>
      <c r="B1514" s="2" t="s">
        <v>5053</v>
      </c>
      <c r="C1514" s="2" t="s">
        <v>88</v>
      </c>
      <c r="D1514" s="2" t="s">
        <v>5054</v>
      </c>
      <c r="E1514" s="2" t="s">
        <v>5055</v>
      </c>
      <c r="F1514" s="2" t="s">
        <v>5076</v>
      </c>
      <c r="G1514" s="2" t="s">
        <v>5076</v>
      </c>
      <c r="H1514" s="2" t="s">
        <v>5076</v>
      </c>
      <c r="I1514" s="2" t="s">
        <v>5077</v>
      </c>
      <c r="J1514" s="2" t="s">
        <v>5089</v>
      </c>
      <c r="K1514" s="2" t="s">
        <v>604</v>
      </c>
      <c r="L1514" s="3">
        <v>14.85</v>
      </c>
      <c r="M1514" s="3">
        <v>15.59</v>
      </c>
      <c r="N1514" s="3">
        <v>32.99</v>
      </c>
      <c r="O1514" s="2" t="s">
        <v>97</v>
      </c>
      <c r="P1514" s="2" t="s">
        <v>225</v>
      </c>
      <c r="Q1514" s="2" t="s">
        <v>99</v>
      </c>
      <c r="R1514" s="2" t="s">
        <v>100</v>
      </c>
      <c r="S1514" s="2" t="s">
        <v>100</v>
      </c>
      <c r="T1514" s="2" t="s">
        <v>100</v>
      </c>
      <c r="U1514" s="2" t="s">
        <v>1847</v>
      </c>
      <c r="V1514" s="2" t="s">
        <v>350</v>
      </c>
      <c r="W1514" s="2" t="s">
        <v>183</v>
      </c>
      <c r="X1514" s="2" t="s">
        <v>100</v>
      </c>
      <c r="Y1514" s="2" t="s">
        <v>100</v>
      </c>
      <c r="Z1514" s="4"/>
      <c r="AA1514" s="4">
        <f>=ROUNDDOWN({0},0)</f>
      </c>
      <c r="AB1514" s="5">
        <v>6</v>
      </c>
      <c r="AC1514" s="2" t="s">
        <v>562</v>
      </c>
      <c r="AD1514" s="4">
        <v>40</v>
      </c>
      <c r="AE1514" s="4">
        <v>180</v>
      </c>
      <c r="AF1514" s="6">
        <v>65</v>
      </c>
      <c r="AG1514" s="6"/>
      <c r="AH1514" s="7"/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 t="s">
        <v>100</v>
      </c>
      <c r="BJ1514" s="4"/>
      <c r="BK1514" s="8"/>
      <c r="BL1514" s="2" t="s">
        <v>100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2480</v>
      </c>
      <c r="BV1514" s="2" t="s">
        <v>97</v>
      </c>
      <c r="BW1514" s="2" t="s">
        <v>100</v>
      </c>
      <c r="BX1514" s="2" t="s">
        <v>100</v>
      </c>
      <c r="BY1514" s="2" t="s">
        <v>113</v>
      </c>
      <c r="BZ1514" s="2" t="s">
        <v>100</v>
      </c>
    </row>
    <row r="1515">
      <c r="A1515" s="2" t="s">
        <v>5108</v>
      </c>
      <c r="B1515" s="2" t="s">
        <v>5053</v>
      </c>
      <c r="C1515" s="2" t="s">
        <v>88</v>
      </c>
      <c r="D1515" s="2" t="s">
        <v>5054</v>
      </c>
      <c r="E1515" s="2" t="s">
        <v>5055</v>
      </c>
      <c r="F1515" s="2" t="s">
        <v>5076</v>
      </c>
      <c r="G1515" s="2" t="s">
        <v>5076</v>
      </c>
      <c r="H1515" s="2" t="s">
        <v>5076</v>
      </c>
      <c r="I1515" s="2" t="s">
        <v>5077</v>
      </c>
      <c r="J1515" s="2" t="s">
        <v>5091</v>
      </c>
      <c r="K1515" s="2" t="s">
        <v>5109</v>
      </c>
      <c r="L1515" s="3">
        <v>15.84</v>
      </c>
      <c r="M1515" s="3">
        <v>16.63</v>
      </c>
      <c r="N1515" s="3">
        <v>34.99</v>
      </c>
      <c r="O1515" s="2" t="s">
        <v>97</v>
      </c>
      <c r="P1515" s="2" t="s">
        <v>225</v>
      </c>
      <c r="Q1515" s="2" t="s">
        <v>99</v>
      </c>
      <c r="R1515" s="2" t="s">
        <v>100</v>
      </c>
      <c r="S1515" s="2" t="s">
        <v>5110</v>
      </c>
      <c r="T1515" s="2" t="s">
        <v>100</v>
      </c>
      <c r="U1515" s="2" t="s">
        <v>1847</v>
      </c>
      <c r="V1515" s="2" t="s">
        <v>350</v>
      </c>
      <c r="W1515" s="2" t="s">
        <v>183</v>
      </c>
      <c r="X1515" s="2" t="s">
        <v>100</v>
      </c>
      <c r="Y1515" s="2" t="s">
        <v>1364</v>
      </c>
      <c r="Z1515" s="4"/>
      <c r="AA1515" s="4">
        <f>=ROUNDDOWN({0},0)</f>
      </c>
      <c r="AB1515" s="5">
        <v>32</v>
      </c>
      <c r="AC1515" s="2" t="s">
        <v>872</v>
      </c>
      <c r="AD1515" s="4">
        <v>720</v>
      </c>
      <c r="AE1515" s="4">
        <v>1020</v>
      </c>
      <c r="AF1515" s="6">
        <v>65</v>
      </c>
      <c r="AG1515" s="6"/>
      <c r="AH1515" s="7">
        <v>0.66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 t="s">
        <v>100</v>
      </c>
      <c r="BJ1515" s="4">
        <v>352</v>
      </c>
      <c r="BK1515" s="8">
        <v>6390.97</v>
      </c>
      <c r="BL1515" s="2" t="s">
        <v>658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207</v>
      </c>
      <c r="BV1515" s="2" t="s">
        <v>97</v>
      </c>
      <c r="BW1515" s="2" t="s">
        <v>100</v>
      </c>
      <c r="BX1515" s="2" t="s">
        <v>100</v>
      </c>
      <c r="BY1515" s="2" t="s">
        <v>113</v>
      </c>
      <c r="BZ1515" s="2" t="s">
        <v>100</v>
      </c>
    </row>
    <row r="1516">
      <c r="A1516" s="2" t="s">
        <v>5111</v>
      </c>
      <c r="B1516" s="2" t="s">
        <v>5053</v>
      </c>
      <c r="C1516" s="2" t="s">
        <v>88</v>
      </c>
      <c r="D1516" s="2" t="s">
        <v>5054</v>
      </c>
      <c r="E1516" s="2" t="s">
        <v>5055</v>
      </c>
      <c r="F1516" s="2" t="s">
        <v>5076</v>
      </c>
      <c r="G1516" s="2" t="s">
        <v>5076</v>
      </c>
      <c r="H1516" s="2" t="s">
        <v>5076</v>
      </c>
      <c r="I1516" s="2" t="s">
        <v>5077</v>
      </c>
      <c r="J1516" s="2" t="s">
        <v>5078</v>
      </c>
      <c r="K1516" s="2" t="s">
        <v>5109</v>
      </c>
      <c r="L1516" s="3">
        <v>19.01</v>
      </c>
      <c r="M1516" s="3">
        <v>19.96</v>
      </c>
      <c r="N1516" s="3">
        <v>42.99</v>
      </c>
      <c r="O1516" s="2" t="s">
        <v>97</v>
      </c>
      <c r="P1516" s="2" t="s">
        <v>225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1847</v>
      </c>
      <c r="V1516" s="2" t="s">
        <v>350</v>
      </c>
      <c r="W1516" s="2" t="s">
        <v>183</v>
      </c>
      <c r="X1516" s="2" t="s">
        <v>100</v>
      </c>
      <c r="Y1516" s="2" t="s">
        <v>100</v>
      </c>
      <c r="Z1516" s="4"/>
      <c r="AA1516" s="4">
        <f>=ROUNDDOWN({0},0)</f>
      </c>
      <c r="AB1516" s="5">
        <v>5</v>
      </c>
      <c r="AC1516" s="2" t="s">
        <v>5100</v>
      </c>
      <c r="AD1516" s="4">
        <v>140</v>
      </c>
      <c r="AE1516" s="4">
        <v>140</v>
      </c>
      <c r="AF1516" s="6">
        <v>65</v>
      </c>
      <c r="AG1516" s="6"/>
      <c r="AH1516" s="7"/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 t="s">
        <v>100</v>
      </c>
      <c r="BJ1516" s="4"/>
      <c r="BK1516" s="8"/>
      <c r="BL1516" s="2" t="s">
        <v>100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2480</v>
      </c>
      <c r="BV1516" s="2" t="s">
        <v>97</v>
      </c>
      <c r="BW1516" s="2" t="s">
        <v>100</v>
      </c>
      <c r="BX1516" s="2" t="s">
        <v>100</v>
      </c>
      <c r="BY1516" s="2" t="s">
        <v>113</v>
      </c>
      <c r="BZ1516" s="2" t="s">
        <v>100</v>
      </c>
    </row>
    <row r="1517">
      <c r="A1517" s="2" t="s">
        <v>5112</v>
      </c>
      <c r="B1517" s="2" t="s">
        <v>5053</v>
      </c>
      <c r="C1517" s="2" t="s">
        <v>88</v>
      </c>
      <c r="D1517" s="2" t="s">
        <v>5054</v>
      </c>
      <c r="E1517" s="2" t="s">
        <v>5055</v>
      </c>
      <c r="F1517" s="2" t="s">
        <v>5076</v>
      </c>
      <c r="G1517" s="2" t="s">
        <v>5076</v>
      </c>
      <c r="H1517" s="2" t="s">
        <v>5076</v>
      </c>
      <c r="I1517" s="2" t="s">
        <v>5077</v>
      </c>
      <c r="J1517" s="2" t="s">
        <v>5060</v>
      </c>
      <c r="K1517" s="2" t="s">
        <v>5109</v>
      </c>
      <c r="L1517" s="3">
        <v>14.65</v>
      </c>
      <c r="M1517" s="3">
        <v>15.38</v>
      </c>
      <c r="N1517" s="3">
        <v>31.99</v>
      </c>
      <c r="O1517" s="2" t="s">
        <v>97</v>
      </c>
      <c r="P1517" s="2" t="s">
        <v>225</v>
      </c>
      <c r="Q1517" s="2" t="s">
        <v>99</v>
      </c>
      <c r="R1517" s="2" t="s">
        <v>100</v>
      </c>
      <c r="S1517" s="2" t="s">
        <v>5110</v>
      </c>
      <c r="T1517" s="2" t="s">
        <v>100</v>
      </c>
      <c r="U1517" s="2" t="s">
        <v>1847</v>
      </c>
      <c r="V1517" s="2" t="s">
        <v>350</v>
      </c>
      <c r="W1517" s="2" t="s">
        <v>183</v>
      </c>
      <c r="X1517" s="2" t="s">
        <v>100</v>
      </c>
      <c r="Y1517" s="2" t="s">
        <v>5097</v>
      </c>
      <c r="Z1517" s="4">
        <v>115</v>
      </c>
      <c r="AA1517" s="4">
        <f>=ROUNDDOWN(1.49350649350649,0)</f>
      </c>
      <c r="AB1517" s="5">
        <v>77</v>
      </c>
      <c r="AC1517" s="2" t="s">
        <v>872</v>
      </c>
      <c r="AD1517" s="4">
        <v>1200</v>
      </c>
      <c r="AE1517" s="4">
        <v>2400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 t="s">
        <v>100</v>
      </c>
      <c r="BJ1517" s="4">
        <v>1284</v>
      </c>
      <c r="BK1517" s="8">
        <v>21316.39</v>
      </c>
      <c r="BL1517" s="2" t="s">
        <v>2675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207</v>
      </c>
      <c r="BV1517" s="2" t="s">
        <v>97</v>
      </c>
      <c r="BW1517" s="2" t="s">
        <v>100</v>
      </c>
      <c r="BX1517" s="2" t="s">
        <v>100</v>
      </c>
      <c r="BY1517" s="2" t="s">
        <v>113</v>
      </c>
      <c r="BZ1517" s="2" t="s">
        <v>100</v>
      </c>
    </row>
    <row r="1518">
      <c r="A1518" s="2" t="s">
        <v>5113</v>
      </c>
      <c r="B1518" s="2" t="s">
        <v>5053</v>
      </c>
      <c r="C1518" s="2" t="s">
        <v>88</v>
      </c>
      <c r="D1518" s="2" t="s">
        <v>5054</v>
      </c>
      <c r="E1518" s="2" t="s">
        <v>5055</v>
      </c>
      <c r="F1518" s="2" t="s">
        <v>5076</v>
      </c>
      <c r="G1518" s="2" t="s">
        <v>5076</v>
      </c>
      <c r="H1518" s="2" t="s">
        <v>5076</v>
      </c>
      <c r="I1518" s="2" t="s">
        <v>5077</v>
      </c>
      <c r="J1518" s="2" t="s">
        <v>5087</v>
      </c>
      <c r="K1518" s="2" t="s">
        <v>5109</v>
      </c>
      <c r="L1518" s="3">
        <v>9.8</v>
      </c>
      <c r="M1518" s="3">
        <v>10.29</v>
      </c>
      <c r="N1518" s="3">
        <v>21.99</v>
      </c>
      <c r="O1518" s="2" t="s">
        <v>97</v>
      </c>
      <c r="P1518" s="2" t="s">
        <v>225</v>
      </c>
      <c r="Q1518" s="2" t="s">
        <v>99</v>
      </c>
      <c r="R1518" s="2" t="s">
        <v>100</v>
      </c>
      <c r="S1518" s="2" t="s">
        <v>100</v>
      </c>
      <c r="T1518" s="2" t="s">
        <v>100</v>
      </c>
      <c r="U1518" s="2" t="s">
        <v>1847</v>
      </c>
      <c r="V1518" s="2" t="s">
        <v>350</v>
      </c>
      <c r="W1518" s="2" t="s">
        <v>183</v>
      </c>
      <c r="X1518" s="2" t="s">
        <v>100</v>
      </c>
      <c r="Y1518" s="2" t="s">
        <v>100</v>
      </c>
      <c r="Z1518" s="4"/>
      <c r="AA1518" s="4">
        <f>=ROUNDDOWN({0},0)</f>
      </c>
      <c r="AB1518" s="5">
        <v>29</v>
      </c>
      <c r="AC1518" s="2" t="s">
        <v>5100</v>
      </c>
      <c r="AD1518" s="4">
        <v>760</v>
      </c>
      <c r="AE1518" s="4">
        <v>760</v>
      </c>
      <c r="AF1518" s="6">
        <v>65</v>
      </c>
      <c r="AG1518" s="6"/>
      <c r="AH1518" s="7"/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 t="s">
        <v>100</v>
      </c>
      <c r="BJ1518" s="4"/>
      <c r="BK1518" s="8"/>
      <c r="BL1518" s="2" t="s">
        <v>100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2480</v>
      </c>
      <c r="BV1518" s="2" t="s">
        <v>97</v>
      </c>
      <c r="BW1518" s="2" t="s">
        <v>100</v>
      </c>
      <c r="BX1518" s="2" t="s">
        <v>100</v>
      </c>
      <c r="BY1518" s="2" t="s">
        <v>113</v>
      </c>
      <c r="BZ1518" s="2" t="s">
        <v>100</v>
      </c>
    </row>
    <row r="1519">
      <c r="A1519" s="2" t="s">
        <v>5114</v>
      </c>
      <c r="B1519" s="2" t="s">
        <v>5053</v>
      </c>
      <c r="C1519" s="2" t="s">
        <v>88</v>
      </c>
      <c r="D1519" s="2" t="s">
        <v>5054</v>
      </c>
      <c r="E1519" s="2" t="s">
        <v>5055</v>
      </c>
      <c r="F1519" s="2" t="s">
        <v>5076</v>
      </c>
      <c r="G1519" s="2" t="s">
        <v>5076</v>
      </c>
      <c r="H1519" s="2" t="s">
        <v>5076</v>
      </c>
      <c r="I1519" s="2" t="s">
        <v>5077</v>
      </c>
      <c r="J1519" s="2" t="s">
        <v>5089</v>
      </c>
      <c r="K1519" s="2" t="s">
        <v>5109</v>
      </c>
      <c r="L1519" s="3">
        <v>14.85</v>
      </c>
      <c r="M1519" s="3">
        <v>15.59</v>
      </c>
      <c r="N1519" s="3">
        <v>32.99</v>
      </c>
      <c r="O1519" s="2" t="s">
        <v>97</v>
      </c>
      <c r="P1519" s="2" t="s">
        <v>225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1847</v>
      </c>
      <c r="V1519" s="2" t="s">
        <v>350</v>
      </c>
      <c r="W1519" s="2" t="s">
        <v>183</v>
      </c>
      <c r="X1519" s="2" t="s">
        <v>100</v>
      </c>
      <c r="Y1519" s="2" t="s">
        <v>100</v>
      </c>
      <c r="Z1519" s="4"/>
      <c r="AA1519" s="4">
        <f>=ROUNDDOWN({0},0)</f>
      </c>
      <c r="AB1519" s="5">
        <v>19</v>
      </c>
      <c r="AC1519" s="2" t="s">
        <v>5100</v>
      </c>
      <c r="AD1519" s="4">
        <v>500</v>
      </c>
      <c r="AE1519" s="4">
        <v>500</v>
      </c>
      <c r="AF1519" s="6">
        <v>65</v>
      </c>
      <c r="AG1519" s="6"/>
      <c r="AH1519" s="7"/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 t="s">
        <v>100</v>
      </c>
      <c r="BJ1519" s="4"/>
      <c r="BK1519" s="8"/>
      <c r="BL1519" s="2" t="s">
        <v>100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2480</v>
      </c>
      <c r="BV1519" s="2" t="s">
        <v>97</v>
      </c>
      <c r="BW1519" s="2" t="s">
        <v>100</v>
      </c>
      <c r="BX1519" s="2" t="s">
        <v>100</v>
      </c>
      <c r="BY1519" s="2" t="s">
        <v>113</v>
      </c>
      <c r="BZ1519" s="2" t="s">
        <v>100</v>
      </c>
    </row>
    <row r="1520">
      <c r="A1520" s="2" t="s">
        <v>5115</v>
      </c>
      <c r="B1520" s="2" t="s">
        <v>5053</v>
      </c>
      <c r="C1520" s="2" t="s">
        <v>88</v>
      </c>
      <c r="D1520" s="2" t="s">
        <v>5054</v>
      </c>
      <c r="E1520" s="2" t="s">
        <v>5055</v>
      </c>
      <c r="F1520" s="2" t="s">
        <v>5076</v>
      </c>
      <c r="G1520" s="2" t="s">
        <v>5076</v>
      </c>
      <c r="H1520" s="2" t="s">
        <v>5076</v>
      </c>
      <c r="I1520" s="2" t="s">
        <v>5077</v>
      </c>
      <c r="J1520" s="2" t="s">
        <v>5091</v>
      </c>
      <c r="K1520" s="2" t="s">
        <v>440</v>
      </c>
      <c r="L1520" s="3">
        <v>15.84</v>
      </c>
      <c r="M1520" s="3">
        <v>16.63</v>
      </c>
      <c r="N1520" s="3">
        <v>34.99</v>
      </c>
      <c r="O1520" s="2" t="s">
        <v>97</v>
      </c>
      <c r="P1520" s="2" t="s">
        <v>225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1847</v>
      </c>
      <c r="V1520" s="2" t="s">
        <v>350</v>
      </c>
      <c r="W1520" s="2" t="s">
        <v>183</v>
      </c>
      <c r="X1520" s="2" t="s">
        <v>100</v>
      </c>
      <c r="Y1520" s="2" t="s">
        <v>417</v>
      </c>
      <c r="Z1520" s="4">
        <v>60</v>
      </c>
      <c r="AA1520" s="4">
        <f>=ROUNDDOWN(5,0)</f>
      </c>
      <c r="AB1520" s="5">
        <v>12</v>
      </c>
      <c r="AC1520" s="2" t="s">
        <v>5080</v>
      </c>
      <c r="AD1520" s="4">
        <v>300</v>
      </c>
      <c r="AE1520" s="4">
        <v>300</v>
      </c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/>
      <c r="BK1520" s="8"/>
      <c r="BL1520" s="2" t="s">
        <v>100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207</v>
      </c>
      <c r="BV1520" s="2" t="s">
        <v>97</v>
      </c>
      <c r="BW1520" s="2" t="s">
        <v>100</v>
      </c>
      <c r="BX1520" s="2" t="s">
        <v>100</v>
      </c>
      <c r="BY1520" s="2" t="s">
        <v>113</v>
      </c>
      <c r="BZ1520" s="2" t="s">
        <v>100</v>
      </c>
    </row>
    <row r="1521">
      <c r="A1521" s="2" t="s">
        <v>5116</v>
      </c>
      <c r="B1521" s="2" t="s">
        <v>5053</v>
      </c>
      <c r="C1521" s="2" t="s">
        <v>88</v>
      </c>
      <c r="D1521" s="2" t="s">
        <v>5054</v>
      </c>
      <c r="E1521" s="2" t="s">
        <v>5055</v>
      </c>
      <c r="F1521" s="2" t="s">
        <v>5076</v>
      </c>
      <c r="G1521" s="2" t="s">
        <v>5076</v>
      </c>
      <c r="H1521" s="2" t="s">
        <v>5076</v>
      </c>
      <c r="I1521" s="2" t="s">
        <v>5077</v>
      </c>
      <c r="J1521" s="2" t="s">
        <v>5078</v>
      </c>
      <c r="K1521" s="2" t="s">
        <v>440</v>
      </c>
      <c r="L1521" s="3">
        <v>19.01</v>
      </c>
      <c r="M1521" s="3">
        <v>19.96</v>
      </c>
      <c r="N1521" s="3">
        <v>42.99</v>
      </c>
      <c r="O1521" s="2" t="s">
        <v>97</v>
      </c>
      <c r="P1521" s="2" t="s">
        <v>225</v>
      </c>
      <c r="Q1521" s="2" t="s">
        <v>99</v>
      </c>
      <c r="R1521" s="2" t="s">
        <v>100</v>
      </c>
      <c r="S1521" s="2" t="s">
        <v>100</v>
      </c>
      <c r="T1521" s="2" t="s">
        <v>100</v>
      </c>
      <c r="U1521" s="2" t="s">
        <v>1847</v>
      </c>
      <c r="V1521" s="2" t="s">
        <v>350</v>
      </c>
      <c r="W1521" s="2" t="s">
        <v>183</v>
      </c>
      <c r="X1521" s="2" t="s">
        <v>100</v>
      </c>
      <c r="Y1521" s="2" t="s">
        <v>417</v>
      </c>
      <c r="Z1521" s="4">
        <v>20</v>
      </c>
      <c r="AA1521" s="4">
        <f>=ROUNDDOWN(10,0)</f>
      </c>
      <c r="AB1521" s="5">
        <v>2</v>
      </c>
      <c r="AC1521" s="2" t="s">
        <v>5080</v>
      </c>
      <c r="AD1521" s="4">
        <v>20</v>
      </c>
      <c r="AE1521" s="4">
        <v>20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 t="s">
        <v>100</v>
      </c>
      <c r="BJ1521" s="4"/>
      <c r="BK1521" s="8"/>
      <c r="BL1521" s="2" t="s">
        <v>100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207</v>
      </c>
      <c r="BV1521" s="2" t="s">
        <v>97</v>
      </c>
      <c r="BW1521" s="2" t="s">
        <v>100</v>
      </c>
      <c r="BX1521" s="2" t="s">
        <v>100</v>
      </c>
      <c r="BY1521" s="2" t="s">
        <v>113</v>
      </c>
      <c r="BZ1521" s="2" t="s">
        <v>100</v>
      </c>
    </row>
    <row r="1522">
      <c r="A1522" s="2" t="s">
        <v>5117</v>
      </c>
      <c r="B1522" s="2" t="s">
        <v>5053</v>
      </c>
      <c r="C1522" s="2" t="s">
        <v>88</v>
      </c>
      <c r="D1522" s="2" t="s">
        <v>5054</v>
      </c>
      <c r="E1522" s="2" t="s">
        <v>5055</v>
      </c>
      <c r="F1522" s="2" t="s">
        <v>5076</v>
      </c>
      <c r="G1522" s="2" t="s">
        <v>5076</v>
      </c>
      <c r="H1522" s="2" t="s">
        <v>5076</v>
      </c>
      <c r="I1522" s="2" t="s">
        <v>5077</v>
      </c>
      <c r="J1522" s="2" t="s">
        <v>5060</v>
      </c>
      <c r="K1522" s="2" t="s">
        <v>440</v>
      </c>
      <c r="L1522" s="3">
        <v>14.65</v>
      </c>
      <c r="M1522" s="3">
        <v>15.38</v>
      </c>
      <c r="N1522" s="3">
        <v>31.99</v>
      </c>
      <c r="O1522" s="2" t="s">
        <v>97</v>
      </c>
      <c r="P1522" s="2" t="s">
        <v>225</v>
      </c>
      <c r="Q1522" s="2" t="s">
        <v>99</v>
      </c>
      <c r="R1522" s="2" t="s">
        <v>100</v>
      </c>
      <c r="S1522" s="2" t="s">
        <v>100</v>
      </c>
      <c r="T1522" s="2" t="s">
        <v>100</v>
      </c>
      <c r="U1522" s="2" t="s">
        <v>1847</v>
      </c>
      <c r="V1522" s="2" t="s">
        <v>350</v>
      </c>
      <c r="W1522" s="2" t="s">
        <v>183</v>
      </c>
      <c r="X1522" s="2" t="s">
        <v>100</v>
      </c>
      <c r="Y1522" s="2" t="s">
        <v>417</v>
      </c>
      <c r="Z1522" s="4">
        <v>520</v>
      </c>
      <c r="AA1522" s="4">
        <f>=ROUNDDOWN(4.40677966101695,0)</f>
      </c>
      <c r="AB1522" s="5">
        <v>118</v>
      </c>
      <c r="AC1522" s="2" t="s">
        <v>5080</v>
      </c>
      <c r="AD1522" s="4">
        <v>2560</v>
      </c>
      <c r="AE1522" s="4">
        <v>2560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 t="s">
        <v>100</v>
      </c>
      <c r="BJ1522" s="4"/>
      <c r="BK1522" s="8"/>
      <c r="BL1522" s="2" t="s">
        <v>100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207</v>
      </c>
      <c r="BV1522" s="2" t="s">
        <v>97</v>
      </c>
      <c r="BW1522" s="2" t="s">
        <v>100</v>
      </c>
      <c r="BX1522" s="2" t="s">
        <v>100</v>
      </c>
      <c r="BY1522" s="2" t="s">
        <v>113</v>
      </c>
      <c r="BZ1522" s="2" t="s">
        <v>100</v>
      </c>
    </row>
    <row r="1523">
      <c r="A1523" s="2" t="s">
        <v>5118</v>
      </c>
      <c r="B1523" s="2" t="s">
        <v>5053</v>
      </c>
      <c r="C1523" s="2" t="s">
        <v>88</v>
      </c>
      <c r="D1523" s="2" t="s">
        <v>5054</v>
      </c>
      <c r="E1523" s="2" t="s">
        <v>5055</v>
      </c>
      <c r="F1523" s="2" t="s">
        <v>5076</v>
      </c>
      <c r="G1523" s="2" t="s">
        <v>5076</v>
      </c>
      <c r="H1523" s="2" t="s">
        <v>5076</v>
      </c>
      <c r="I1523" s="2" t="s">
        <v>5077</v>
      </c>
      <c r="J1523" s="2" t="s">
        <v>5087</v>
      </c>
      <c r="K1523" s="2" t="s">
        <v>440</v>
      </c>
      <c r="L1523" s="3">
        <v>9.8</v>
      </c>
      <c r="M1523" s="3">
        <v>10.29</v>
      </c>
      <c r="N1523" s="3">
        <v>21.99</v>
      </c>
      <c r="O1523" s="2" t="s">
        <v>97</v>
      </c>
      <c r="P1523" s="2" t="s">
        <v>225</v>
      </c>
      <c r="Q1523" s="2" t="s">
        <v>99</v>
      </c>
      <c r="R1523" s="2" t="s">
        <v>100</v>
      </c>
      <c r="S1523" s="2" t="s">
        <v>100</v>
      </c>
      <c r="T1523" s="2" t="s">
        <v>100</v>
      </c>
      <c r="U1523" s="2" t="s">
        <v>1847</v>
      </c>
      <c r="V1523" s="2" t="s">
        <v>350</v>
      </c>
      <c r="W1523" s="2" t="s">
        <v>183</v>
      </c>
      <c r="X1523" s="2" t="s">
        <v>100</v>
      </c>
      <c r="Y1523" s="2" t="s">
        <v>417</v>
      </c>
      <c r="Z1523" s="4">
        <v>60</v>
      </c>
      <c r="AA1523" s="4">
        <f>=ROUNDDOWN(5,0)</f>
      </c>
      <c r="AB1523" s="5">
        <v>12</v>
      </c>
      <c r="AC1523" s="2" t="s">
        <v>5080</v>
      </c>
      <c r="AD1523" s="4">
        <v>260</v>
      </c>
      <c r="AE1523" s="4">
        <v>260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 t="s">
        <v>100</v>
      </c>
      <c r="BJ1523" s="4"/>
      <c r="BK1523" s="8"/>
      <c r="BL1523" s="2" t="s">
        <v>100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207</v>
      </c>
      <c r="BV1523" s="2" t="s">
        <v>97</v>
      </c>
      <c r="BW1523" s="2" t="s">
        <v>100</v>
      </c>
      <c r="BX1523" s="2" t="s">
        <v>100</v>
      </c>
      <c r="BY1523" s="2" t="s">
        <v>113</v>
      </c>
      <c r="BZ1523" s="2" t="s">
        <v>100</v>
      </c>
    </row>
    <row r="1524">
      <c r="A1524" s="2" t="s">
        <v>5119</v>
      </c>
      <c r="B1524" s="2" t="s">
        <v>5053</v>
      </c>
      <c r="C1524" s="2" t="s">
        <v>88</v>
      </c>
      <c r="D1524" s="2" t="s">
        <v>5054</v>
      </c>
      <c r="E1524" s="2" t="s">
        <v>5055</v>
      </c>
      <c r="F1524" s="2" t="s">
        <v>5076</v>
      </c>
      <c r="G1524" s="2" t="s">
        <v>5076</v>
      </c>
      <c r="H1524" s="2" t="s">
        <v>5076</v>
      </c>
      <c r="I1524" s="2" t="s">
        <v>5077</v>
      </c>
      <c r="J1524" s="2" t="s">
        <v>5089</v>
      </c>
      <c r="K1524" s="2" t="s">
        <v>440</v>
      </c>
      <c r="L1524" s="3">
        <v>14.85</v>
      </c>
      <c r="M1524" s="3">
        <v>15.59</v>
      </c>
      <c r="N1524" s="3">
        <v>32.99</v>
      </c>
      <c r="O1524" s="2" t="s">
        <v>97</v>
      </c>
      <c r="P1524" s="2" t="s">
        <v>225</v>
      </c>
      <c r="Q1524" s="2" t="s">
        <v>99</v>
      </c>
      <c r="R1524" s="2" t="s">
        <v>100</v>
      </c>
      <c r="S1524" s="2" t="s">
        <v>100</v>
      </c>
      <c r="T1524" s="2" t="s">
        <v>100</v>
      </c>
      <c r="U1524" s="2" t="s">
        <v>1847</v>
      </c>
      <c r="V1524" s="2" t="s">
        <v>350</v>
      </c>
      <c r="W1524" s="2" t="s">
        <v>183</v>
      </c>
      <c r="X1524" s="2" t="s">
        <v>100</v>
      </c>
      <c r="Y1524" s="2" t="s">
        <v>417</v>
      </c>
      <c r="Z1524" s="4">
        <v>40</v>
      </c>
      <c r="AA1524" s="4">
        <f>=ROUNDDOWN(6.66666666666667,0)</f>
      </c>
      <c r="AB1524" s="5">
        <v>6</v>
      </c>
      <c r="AC1524" s="2" t="s">
        <v>5080</v>
      </c>
      <c r="AD1524" s="4">
        <v>160</v>
      </c>
      <c r="AE1524" s="4">
        <v>160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 t="s">
        <v>100</v>
      </c>
      <c r="BJ1524" s="4"/>
      <c r="BK1524" s="8"/>
      <c r="BL1524" s="2" t="s">
        <v>100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207</v>
      </c>
      <c r="BV1524" s="2" t="s">
        <v>97</v>
      </c>
      <c r="BW1524" s="2" t="s">
        <v>100</v>
      </c>
      <c r="BX1524" s="2" t="s">
        <v>100</v>
      </c>
      <c r="BY1524" s="2" t="s">
        <v>113</v>
      </c>
      <c r="BZ1524" s="2" t="s">
        <v>100</v>
      </c>
    </row>
    <row r="1525">
      <c r="A1525" s="2" t="s">
        <v>5120</v>
      </c>
      <c r="B1525" s="2" t="s">
        <v>5053</v>
      </c>
      <c r="C1525" s="2" t="s">
        <v>88</v>
      </c>
      <c r="D1525" s="2" t="s">
        <v>5054</v>
      </c>
      <c r="E1525" s="2" t="s">
        <v>5055</v>
      </c>
      <c r="F1525" s="2" t="s">
        <v>5076</v>
      </c>
      <c r="G1525" s="2" t="s">
        <v>5076</v>
      </c>
      <c r="H1525" s="2" t="s">
        <v>5076</v>
      </c>
      <c r="I1525" s="2" t="s">
        <v>5077</v>
      </c>
      <c r="J1525" s="2" t="s">
        <v>5083</v>
      </c>
      <c r="K1525" s="2" t="s">
        <v>629</v>
      </c>
      <c r="L1525" s="3">
        <v>11.88</v>
      </c>
      <c r="M1525" s="3">
        <v>12.47</v>
      </c>
      <c r="N1525" s="3">
        <v>24.99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100</v>
      </c>
      <c r="T1525" s="2" t="s">
        <v>100</v>
      </c>
      <c r="U1525" s="2" t="s">
        <v>1847</v>
      </c>
      <c r="V1525" s="2" t="s">
        <v>350</v>
      </c>
      <c r="W1525" s="2" t="s">
        <v>4852</v>
      </c>
      <c r="X1525" s="2" t="s">
        <v>100</v>
      </c>
      <c r="Y1525" s="2" t="s">
        <v>5079</v>
      </c>
      <c r="Z1525" s="4">
        <v>614</v>
      </c>
      <c r="AA1525" s="4">
        <f>=ROUNDDOWN(8.07894736842105,0)</f>
      </c>
      <c r="AB1525" s="5">
        <v>76</v>
      </c>
      <c r="AC1525" s="2" t="s">
        <v>872</v>
      </c>
      <c r="AD1525" s="4">
        <v>1000</v>
      </c>
      <c r="AE1525" s="4">
        <v>1600</v>
      </c>
      <c r="AF1525" s="6">
        <v>65</v>
      </c>
      <c r="AG1525" s="6"/>
      <c r="AH1525" s="7">
        <v>0.984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2549</v>
      </c>
      <c r="BK1525" s="8">
        <v>34443.22</v>
      </c>
      <c r="BL1525" s="2" t="s">
        <v>5121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4696</v>
      </c>
      <c r="BX1525" s="2" t="s">
        <v>750</v>
      </c>
      <c r="BY1525" s="2" t="s">
        <v>113</v>
      </c>
      <c r="BZ1525" s="2" t="s">
        <v>245</v>
      </c>
    </row>
    <row r="1526">
      <c r="A1526" s="2" t="s">
        <v>5122</v>
      </c>
      <c r="B1526" s="2" t="s">
        <v>5053</v>
      </c>
      <c r="C1526" s="2" t="s">
        <v>88</v>
      </c>
      <c r="D1526" s="2" t="s">
        <v>5054</v>
      </c>
      <c r="E1526" s="2" t="s">
        <v>5055</v>
      </c>
      <c r="F1526" s="2" t="s">
        <v>5076</v>
      </c>
      <c r="G1526" s="2" t="s">
        <v>5076</v>
      </c>
      <c r="H1526" s="2" t="s">
        <v>5076</v>
      </c>
      <c r="I1526" s="2" t="s">
        <v>5077</v>
      </c>
      <c r="J1526" s="2" t="s">
        <v>5087</v>
      </c>
      <c r="K1526" s="2" t="s">
        <v>629</v>
      </c>
      <c r="L1526" s="3">
        <v>9.8</v>
      </c>
      <c r="M1526" s="3">
        <v>10.29</v>
      </c>
      <c r="N1526" s="3">
        <v>21.99</v>
      </c>
      <c r="O1526" s="2" t="s">
        <v>97</v>
      </c>
      <c r="P1526" s="2" t="s">
        <v>225</v>
      </c>
      <c r="Q1526" s="2" t="s">
        <v>99</v>
      </c>
      <c r="R1526" s="2" t="s">
        <v>100</v>
      </c>
      <c r="S1526" s="2" t="s">
        <v>100</v>
      </c>
      <c r="T1526" s="2" t="s">
        <v>100</v>
      </c>
      <c r="U1526" s="2" t="s">
        <v>1847</v>
      </c>
      <c r="V1526" s="2" t="s">
        <v>350</v>
      </c>
      <c r="W1526" s="2" t="s">
        <v>183</v>
      </c>
      <c r="X1526" s="2" t="s">
        <v>100</v>
      </c>
      <c r="Y1526" s="2" t="s">
        <v>417</v>
      </c>
      <c r="Z1526" s="4">
        <v>280</v>
      </c>
      <c r="AA1526" s="4">
        <f>=ROUNDDOWN(4.51612903225806,0)</f>
      </c>
      <c r="AB1526" s="5">
        <v>62</v>
      </c>
      <c r="AC1526" s="2" t="s">
        <v>5080</v>
      </c>
      <c r="AD1526" s="4">
        <v>1320</v>
      </c>
      <c r="AE1526" s="4">
        <v>1320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 t="s">
        <v>100</v>
      </c>
      <c r="BJ1526" s="4"/>
      <c r="BK1526" s="8"/>
      <c r="BL1526" s="2" t="s">
        <v>100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207</v>
      </c>
      <c r="BV1526" s="2" t="s">
        <v>97</v>
      </c>
      <c r="BW1526" s="2" t="s">
        <v>100</v>
      </c>
      <c r="BX1526" s="2" t="s">
        <v>100</v>
      </c>
      <c r="BY1526" s="2" t="s">
        <v>113</v>
      </c>
      <c r="BZ1526" s="2" t="s">
        <v>100</v>
      </c>
    </row>
    <row r="1527">
      <c r="A1527" s="2" t="s">
        <v>5123</v>
      </c>
      <c r="B1527" s="2" t="s">
        <v>5053</v>
      </c>
      <c r="C1527" s="2" t="s">
        <v>88</v>
      </c>
      <c r="D1527" s="2" t="s">
        <v>5054</v>
      </c>
      <c r="E1527" s="2" t="s">
        <v>5055</v>
      </c>
      <c r="F1527" s="2" t="s">
        <v>5076</v>
      </c>
      <c r="G1527" s="2" t="s">
        <v>5076</v>
      </c>
      <c r="H1527" s="2" t="s">
        <v>5076</v>
      </c>
      <c r="I1527" s="2" t="s">
        <v>5077</v>
      </c>
      <c r="J1527" s="2" t="s">
        <v>5089</v>
      </c>
      <c r="K1527" s="2" t="s">
        <v>629</v>
      </c>
      <c r="L1527" s="3">
        <v>14.85</v>
      </c>
      <c r="M1527" s="3">
        <v>15.59</v>
      </c>
      <c r="N1527" s="3">
        <v>32.99</v>
      </c>
      <c r="O1527" s="2" t="s">
        <v>97</v>
      </c>
      <c r="P1527" s="2" t="s">
        <v>225</v>
      </c>
      <c r="Q1527" s="2" t="s">
        <v>99</v>
      </c>
      <c r="R1527" s="2" t="s">
        <v>100</v>
      </c>
      <c r="S1527" s="2" t="s">
        <v>100</v>
      </c>
      <c r="T1527" s="2" t="s">
        <v>100</v>
      </c>
      <c r="U1527" s="2" t="s">
        <v>1847</v>
      </c>
      <c r="V1527" s="2" t="s">
        <v>350</v>
      </c>
      <c r="W1527" s="2" t="s">
        <v>183</v>
      </c>
      <c r="X1527" s="2" t="s">
        <v>100</v>
      </c>
      <c r="Y1527" s="2" t="s">
        <v>417</v>
      </c>
      <c r="Z1527" s="4">
        <v>180</v>
      </c>
      <c r="AA1527" s="4">
        <f>=ROUNDDOWN(4.5,0)</f>
      </c>
      <c r="AB1527" s="5">
        <v>40</v>
      </c>
      <c r="AC1527" s="2" t="s">
        <v>5080</v>
      </c>
      <c r="AD1527" s="4">
        <v>860</v>
      </c>
      <c r="AE1527" s="4">
        <v>860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 t="s">
        <v>100</v>
      </c>
      <c r="BJ1527" s="4"/>
      <c r="BK1527" s="8"/>
      <c r="BL1527" s="2" t="s">
        <v>100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207</v>
      </c>
      <c r="BV1527" s="2" t="s">
        <v>97</v>
      </c>
      <c r="BW1527" s="2" t="s">
        <v>100</v>
      </c>
      <c r="BX1527" s="2" t="s">
        <v>100</v>
      </c>
      <c r="BY1527" s="2" t="s">
        <v>113</v>
      </c>
      <c r="BZ1527" s="2" t="s">
        <v>100</v>
      </c>
    </row>
    <row r="1528">
      <c r="A1528" s="2" t="s">
        <v>5124</v>
      </c>
      <c r="B1528" s="2" t="s">
        <v>5053</v>
      </c>
      <c r="C1528" s="2" t="s">
        <v>88</v>
      </c>
      <c r="D1528" s="2" t="s">
        <v>5054</v>
      </c>
      <c r="E1528" s="2" t="s">
        <v>5055</v>
      </c>
      <c r="F1528" s="2" t="s">
        <v>389</v>
      </c>
      <c r="G1528" s="2" t="s">
        <v>390</v>
      </c>
      <c r="H1528" s="2" t="s">
        <v>391</v>
      </c>
      <c r="I1528" s="2" t="s">
        <v>5125</v>
      </c>
      <c r="J1528" s="2" t="s">
        <v>5060</v>
      </c>
      <c r="K1528" s="2" t="s">
        <v>335</v>
      </c>
      <c r="L1528" s="3">
        <v>13.2</v>
      </c>
      <c r="M1528" s="3">
        <v>13.86</v>
      </c>
      <c r="N1528" s="3">
        <v>29.99</v>
      </c>
      <c r="O1528" s="2" t="s">
        <v>97</v>
      </c>
      <c r="P1528" s="2" t="s">
        <v>950</v>
      </c>
      <c r="Q1528" s="2" t="s">
        <v>99</v>
      </c>
      <c r="R1528" s="2" t="s">
        <v>100</v>
      </c>
      <c r="S1528" s="2" t="s">
        <v>1488</v>
      </c>
      <c r="T1528" s="2" t="s">
        <v>100</v>
      </c>
      <c r="U1528" s="2" t="s">
        <v>100</v>
      </c>
      <c r="V1528" s="2" t="s">
        <v>393</v>
      </c>
      <c r="W1528" s="2" t="s">
        <v>309</v>
      </c>
      <c r="X1528" s="2" t="s">
        <v>100</v>
      </c>
      <c r="Y1528" s="2" t="s">
        <v>240</v>
      </c>
      <c r="Z1528" s="4">
        <v>507</v>
      </c>
      <c r="AA1528" s="4">
        <f>=ROUNDDOWN(8.89473684210526,0)</f>
      </c>
      <c r="AB1528" s="5">
        <v>57</v>
      </c>
      <c r="AC1528" s="2" t="s">
        <v>5126</v>
      </c>
      <c r="AD1528" s="4">
        <v>756</v>
      </c>
      <c r="AE1528" s="4">
        <v>1236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>
        <v>13</v>
      </c>
      <c r="AQ1528" s="8">
        <v>187.59</v>
      </c>
      <c r="AR1528" s="4"/>
      <c r="AS1528" s="8"/>
      <c r="AT1528" s="7"/>
      <c r="AU1528" s="7"/>
      <c r="AV1528" s="4">
        <v>13</v>
      </c>
      <c r="AW1528" s="8">
        <v>187.59</v>
      </c>
      <c r="AX1528" s="4"/>
      <c r="AY1528" s="8"/>
      <c r="AZ1528" s="7"/>
      <c r="BA1528" s="7"/>
      <c r="BB1528" s="7">
        <v>1</v>
      </c>
      <c r="BC1528" s="4">
        <v>25</v>
      </c>
      <c r="BD1528" s="8">
        <v>360.75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0.52</v>
      </c>
      <c r="BJ1528" s="4">
        <v>1674</v>
      </c>
      <c r="BK1528" s="8">
        <v>25084.93</v>
      </c>
      <c r="BL1528" s="2" t="s">
        <v>5127</v>
      </c>
      <c r="BM1528" s="7">
        <v>0.0078</v>
      </c>
      <c r="BN1528" s="7">
        <v>0.0075</v>
      </c>
      <c r="BO1528" s="4">
        <v>13</v>
      </c>
      <c r="BP1528" s="8">
        <v>187.59</v>
      </c>
      <c r="BQ1528" s="4"/>
      <c r="BR1528" s="8"/>
      <c r="BS1528" s="7"/>
      <c r="BT1528" s="7"/>
      <c r="BU1528" s="2" t="s">
        <v>109</v>
      </c>
      <c r="BV1528" s="2" t="s">
        <v>110</v>
      </c>
      <c r="BW1528" s="2" t="s">
        <v>5063</v>
      </c>
      <c r="BX1528" s="2" t="s">
        <v>329</v>
      </c>
      <c r="BY1528" s="2" t="s">
        <v>113</v>
      </c>
      <c r="BZ1528" s="2" t="s">
        <v>100</v>
      </c>
    </row>
    <row r="1529">
      <c r="A1529" s="2" t="s">
        <v>5128</v>
      </c>
      <c r="B1529" s="2" t="s">
        <v>5053</v>
      </c>
      <c r="C1529" s="2" t="s">
        <v>88</v>
      </c>
      <c r="D1529" s="2" t="s">
        <v>5054</v>
      </c>
      <c r="E1529" s="2" t="s">
        <v>5055</v>
      </c>
      <c r="F1529" s="2" t="s">
        <v>389</v>
      </c>
      <c r="G1529" s="2" t="s">
        <v>390</v>
      </c>
      <c r="H1529" s="2" t="s">
        <v>391</v>
      </c>
      <c r="I1529" s="2" t="s">
        <v>5125</v>
      </c>
      <c r="J1529" s="2" t="s">
        <v>5060</v>
      </c>
      <c r="K1529" s="2" t="s">
        <v>765</v>
      </c>
      <c r="L1529" s="3">
        <v>13.2</v>
      </c>
      <c r="M1529" s="3">
        <v>13.86</v>
      </c>
      <c r="N1529" s="3">
        <v>29.99</v>
      </c>
      <c r="O1529" s="2" t="s">
        <v>97</v>
      </c>
      <c r="P1529" s="2" t="s">
        <v>119</v>
      </c>
      <c r="Q1529" s="2" t="s">
        <v>99</v>
      </c>
      <c r="R1529" s="2" t="s">
        <v>100</v>
      </c>
      <c r="S1529" s="2" t="s">
        <v>5129</v>
      </c>
      <c r="T1529" s="2" t="s">
        <v>100</v>
      </c>
      <c r="U1529" s="2" t="s">
        <v>100</v>
      </c>
      <c r="V1529" s="2" t="s">
        <v>393</v>
      </c>
      <c r="W1529" s="2" t="s">
        <v>309</v>
      </c>
      <c r="X1529" s="2" t="s">
        <v>100</v>
      </c>
      <c r="Y1529" s="2" t="s">
        <v>240</v>
      </c>
      <c r="Z1529" s="4">
        <v>170</v>
      </c>
      <c r="AA1529" s="4">
        <f>=ROUNDDOWN(5.48387096774194,0)</f>
      </c>
      <c r="AB1529" s="5">
        <v>31</v>
      </c>
      <c r="AC1529" s="2" t="s">
        <v>768</v>
      </c>
      <c r="AD1529" s="4">
        <v>600</v>
      </c>
      <c r="AE1529" s="4">
        <v>1140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>
        <v>9</v>
      </c>
      <c r="AQ1529" s="8">
        <v>129.87</v>
      </c>
      <c r="AR1529" s="4"/>
      <c r="AS1529" s="8"/>
      <c r="AT1529" s="7"/>
      <c r="AU1529" s="7"/>
      <c r="AV1529" s="4">
        <v>9</v>
      </c>
      <c r="AW1529" s="8">
        <v>129.87</v>
      </c>
      <c r="AX1529" s="4"/>
      <c r="AY1529" s="8"/>
      <c r="AZ1529" s="7"/>
      <c r="BA1529" s="7"/>
      <c r="BB1529" s="7">
        <v>1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0.36</v>
      </c>
      <c r="BJ1529" s="4">
        <v>918</v>
      </c>
      <c r="BK1529" s="8">
        <v>13698.44</v>
      </c>
      <c r="BL1529" s="2" t="s">
        <v>5130</v>
      </c>
      <c r="BM1529" s="7">
        <v>0.0098</v>
      </c>
      <c r="BN1529" s="7">
        <v>0.0095</v>
      </c>
      <c r="BO1529" s="4">
        <v>9</v>
      </c>
      <c r="BP1529" s="8">
        <v>129.87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5063</v>
      </c>
      <c r="BX1529" s="2" t="s">
        <v>1829</v>
      </c>
      <c r="BY1529" s="2" t="s">
        <v>113</v>
      </c>
      <c r="BZ1529" s="2" t="s">
        <v>100</v>
      </c>
    </row>
    <row r="1530">
      <c r="A1530" s="2" t="s">
        <v>5131</v>
      </c>
      <c r="B1530" s="2" t="s">
        <v>5053</v>
      </c>
      <c r="C1530" s="2" t="s">
        <v>88</v>
      </c>
      <c r="D1530" s="2" t="s">
        <v>5054</v>
      </c>
      <c r="E1530" s="2" t="s">
        <v>5055</v>
      </c>
      <c r="F1530" s="2" t="s">
        <v>389</v>
      </c>
      <c r="G1530" s="2" t="s">
        <v>390</v>
      </c>
      <c r="H1530" s="2" t="s">
        <v>391</v>
      </c>
      <c r="I1530" s="2" t="s">
        <v>5125</v>
      </c>
      <c r="J1530" s="2" t="s">
        <v>5060</v>
      </c>
      <c r="K1530" s="2" t="s">
        <v>5132</v>
      </c>
      <c r="L1530" s="3">
        <v>13.2</v>
      </c>
      <c r="M1530" s="3">
        <v>13.86</v>
      </c>
      <c r="N1530" s="3">
        <v>29.99</v>
      </c>
      <c r="O1530" s="2" t="s">
        <v>97</v>
      </c>
      <c r="P1530" s="2" t="s">
        <v>119</v>
      </c>
      <c r="Q1530" s="2" t="s">
        <v>99</v>
      </c>
      <c r="R1530" s="2" t="s">
        <v>100</v>
      </c>
      <c r="S1530" s="2" t="s">
        <v>5133</v>
      </c>
      <c r="T1530" s="2" t="s">
        <v>100</v>
      </c>
      <c r="U1530" s="2" t="s">
        <v>100</v>
      </c>
      <c r="V1530" s="2" t="s">
        <v>393</v>
      </c>
      <c r="W1530" s="2" t="s">
        <v>309</v>
      </c>
      <c r="X1530" s="2" t="s">
        <v>100</v>
      </c>
      <c r="Y1530" s="2" t="s">
        <v>240</v>
      </c>
      <c r="Z1530" s="4">
        <v>665</v>
      </c>
      <c r="AA1530" s="4">
        <f>=ROUNDDOWN(24.6296296296296,0)</f>
      </c>
      <c r="AB1530" s="5">
        <v>27</v>
      </c>
      <c r="AC1530" s="2" t="s">
        <v>3031</v>
      </c>
      <c r="AD1530" s="4">
        <v>360</v>
      </c>
      <c r="AE1530" s="4">
        <v>360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>
        <v>3</v>
      </c>
      <c r="AQ1530" s="8">
        <v>43.29</v>
      </c>
      <c r="AR1530" s="4"/>
      <c r="AS1530" s="8"/>
      <c r="AT1530" s="7"/>
      <c r="AU1530" s="7"/>
      <c r="AV1530" s="4">
        <v>3</v>
      </c>
      <c r="AW1530" s="8">
        <v>43.29</v>
      </c>
      <c r="AX1530" s="4"/>
      <c r="AY1530" s="8"/>
      <c r="AZ1530" s="7"/>
      <c r="BA1530" s="7"/>
      <c r="BB1530" s="7">
        <v>1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0.12</v>
      </c>
      <c r="BJ1530" s="4">
        <v>709</v>
      </c>
      <c r="BK1530" s="8">
        <v>10462.97</v>
      </c>
      <c r="BL1530" s="2" t="s">
        <v>5134</v>
      </c>
      <c r="BM1530" s="7">
        <v>0.0042</v>
      </c>
      <c r="BN1530" s="7">
        <v>0.0041</v>
      </c>
      <c r="BO1530" s="4">
        <v>3</v>
      </c>
      <c r="BP1530" s="8">
        <v>43.29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5063</v>
      </c>
      <c r="BX1530" s="2" t="s">
        <v>5135</v>
      </c>
      <c r="BY1530" s="2" t="s">
        <v>113</v>
      </c>
      <c r="BZ1530" s="2" t="s">
        <v>100</v>
      </c>
    </row>
    <row r="1531">
      <c r="A1531" s="2" t="s">
        <v>5136</v>
      </c>
      <c r="B1531" s="2" t="s">
        <v>5053</v>
      </c>
      <c r="C1531" s="2" t="s">
        <v>88</v>
      </c>
      <c r="D1531" s="2" t="s">
        <v>5054</v>
      </c>
      <c r="E1531" s="2" t="s">
        <v>5055</v>
      </c>
      <c r="F1531" s="2" t="s">
        <v>389</v>
      </c>
      <c r="G1531" s="2" t="s">
        <v>390</v>
      </c>
      <c r="H1531" s="2" t="s">
        <v>391</v>
      </c>
      <c r="I1531" s="2" t="s">
        <v>5125</v>
      </c>
      <c r="J1531" s="2" t="s">
        <v>5060</v>
      </c>
      <c r="K1531" s="2" t="s">
        <v>578</v>
      </c>
      <c r="L1531" s="3">
        <v>13.2</v>
      </c>
      <c r="M1531" s="3">
        <v>13.86</v>
      </c>
      <c r="N1531" s="3">
        <v>29.99</v>
      </c>
      <c r="O1531" s="2" t="s">
        <v>97</v>
      </c>
      <c r="P1531" s="2" t="s">
        <v>225</v>
      </c>
      <c r="Q1531" s="2" t="s">
        <v>99</v>
      </c>
      <c r="R1531" s="2" t="s">
        <v>100</v>
      </c>
      <c r="S1531" s="2" t="s">
        <v>5137</v>
      </c>
      <c r="T1531" s="2" t="s">
        <v>100</v>
      </c>
      <c r="U1531" s="2" t="s">
        <v>1847</v>
      </c>
      <c r="V1531" s="2" t="s">
        <v>393</v>
      </c>
      <c r="W1531" s="2" t="s">
        <v>309</v>
      </c>
      <c r="X1531" s="2" t="s">
        <v>100</v>
      </c>
      <c r="Y1531" s="2" t="s">
        <v>5138</v>
      </c>
      <c r="Z1531" s="4"/>
      <c r="AA1531" s="4">
        <f>=ROUNDDOWN({0},0)</f>
      </c>
      <c r="AB1531" s="5">
        <v>17</v>
      </c>
      <c r="AC1531" s="2" t="s">
        <v>205</v>
      </c>
      <c r="AD1531" s="4">
        <v>260</v>
      </c>
      <c r="AE1531" s="4">
        <v>260</v>
      </c>
      <c r="AF1531" s="6">
        <v>65</v>
      </c>
      <c r="AG1531" s="6"/>
      <c r="AH1531" s="7">
        <v>0.8021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206</v>
      </c>
      <c r="BK1531" s="8">
        <v>3118.43</v>
      </c>
      <c r="BL1531" s="2" t="s">
        <v>5139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207</v>
      </c>
      <c r="BV1531" s="2" t="s">
        <v>97</v>
      </c>
      <c r="BW1531" s="2" t="s">
        <v>100</v>
      </c>
      <c r="BX1531" s="2" t="s">
        <v>100</v>
      </c>
      <c r="BY1531" s="2" t="s">
        <v>113</v>
      </c>
      <c r="BZ1531" s="2" t="s">
        <v>245</v>
      </c>
    </row>
    <row r="1532">
      <c r="A1532" s="2" t="s">
        <v>5140</v>
      </c>
      <c r="B1532" s="2" t="s">
        <v>5053</v>
      </c>
      <c r="C1532" s="2" t="s">
        <v>88</v>
      </c>
      <c r="D1532" s="2" t="s">
        <v>5054</v>
      </c>
      <c r="E1532" s="2" t="s">
        <v>5055</v>
      </c>
      <c r="F1532" s="2" t="s">
        <v>1093</v>
      </c>
      <c r="G1532" s="2" t="s">
        <v>1094</v>
      </c>
      <c r="H1532" s="2" t="s">
        <v>1095</v>
      </c>
      <c r="I1532" s="2" t="s">
        <v>5141</v>
      </c>
      <c r="J1532" s="2" t="s">
        <v>5060</v>
      </c>
      <c r="K1532" s="2" t="s">
        <v>469</v>
      </c>
      <c r="L1532" s="3">
        <v>15.84</v>
      </c>
      <c r="M1532" s="3">
        <v>16.63</v>
      </c>
      <c r="N1532" s="3">
        <v>34.99</v>
      </c>
      <c r="O1532" s="2" t="s">
        <v>97</v>
      </c>
      <c r="P1532" s="2" t="s">
        <v>372</v>
      </c>
      <c r="Q1532" s="2" t="s">
        <v>99</v>
      </c>
      <c r="R1532" s="2" t="s">
        <v>100</v>
      </c>
      <c r="S1532" s="2" t="s">
        <v>1101</v>
      </c>
      <c r="T1532" s="2" t="s">
        <v>100</v>
      </c>
      <c r="U1532" s="2" t="s">
        <v>100</v>
      </c>
      <c r="V1532" s="2" t="s">
        <v>434</v>
      </c>
      <c r="W1532" s="2" t="s">
        <v>104</v>
      </c>
      <c r="X1532" s="2" t="s">
        <v>100</v>
      </c>
      <c r="Y1532" s="2" t="s">
        <v>240</v>
      </c>
      <c r="Z1532" s="4">
        <v>1190</v>
      </c>
      <c r="AA1532" s="4">
        <f>=ROUNDDOWN(20.5172413793103,0)</f>
      </c>
      <c r="AB1532" s="5">
        <v>58</v>
      </c>
      <c r="AC1532" s="2" t="s">
        <v>542</v>
      </c>
      <c r="AD1532" s="4">
        <v>264</v>
      </c>
      <c r="AE1532" s="4">
        <v>768</v>
      </c>
      <c r="AF1532" s="6">
        <v>64</v>
      </c>
      <c r="AG1532" s="6">
        <v>47</v>
      </c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>
        <v>8</v>
      </c>
      <c r="AQ1532" s="8">
        <v>152.48</v>
      </c>
      <c r="AR1532" s="4"/>
      <c r="AS1532" s="8"/>
      <c r="AT1532" s="7"/>
      <c r="AU1532" s="7"/>
      <c r="AV1532" s="4">
        <v>8</v>
      </c>
      <c r="AW1532" s="8">
        <v>152.48</v>
      </c>
      <c r="AX1532" s="4"/>
      <c r="AY1532" s="8"/>
      <c r="AZ1532" s="7"/>
      <c r="BA1532" s="7"/>
      <c r="BB1532" s="7">
        <v>1</v>
      </c>
      <c r="BC1532" s="4">
        <v>17</v>
      </c>
      <c r="BD1532" s="8">
        <v>323.97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0.4707</v>
      </c>
      <c r="BJ1532" s="4">
        <v>1401</v>
      </c>
      <c r="BK1532" s="8">
        <v>26838.34</v>
      </c>
      <c r="BL1532" s="2" t="s">
        <v>5142</v>
      </c>
      <c r="BM1532" s="7">
        <v>0.0057</v>
      </c>
      <c r="BN1532" s="7">
        <v>0.0057</v>
      </c>
      <c r="BO1532" s="4">
        <v>8</v>
      </c>
      <c r="BP1532" s="8">
        <v>152.48</v>
      </c>
      <c r="BQ1532" s="4"/>
      <c r="BR1532" s="8"/>
      <c r="BS1532" s="7"/>
      <c r="BT1532" s="7"/>
      <c r="BU1532" s="2" t="s">
        <v>109</v>
      </c>
      <c r="BV1532" s="2" t="s">
        <v>110</v>
      </c>
      <c r="BW1532" s="2" t="s">
        <v>243</v>
      </c>
      <c r="BX1532" s="2" t="s">
        <v>312</v>
      </c>
      <c r="BY1532" s="2" t="s">
        <v>113</v>
      </c>
      <c r="BZ1532" s="2" t="s">
        <v>100</v>
      </c>
    </row>
    <row r="1533">
      <c r="A1533" s="2" t="s">
        <v>5143</v>
      </c>
      <c r="B1533" s="2" t="s">
        <v>5053</v>
      </c>
      <c r="C1533" s="2" t="s">
        <v>88</v>
      </c>
      <c r="D1533" s="2" t="s">
        <v>5054</v>
      </c>
      <c r="E1533" s="2" t="s">
        <v>5055</v>
      </c>
      <c r="F1533" s="2" t="s">
        <v>1093</v>
      </c>
      <c r="G1533" s="2" t="s">
        <v>1094</v>
      </c>
      <c r="H1533" s="2" t="s">
        <v>1095</v>
      </c>
      <c r="I1533" s="2" t="s">
        <v>5141</v>
      </c>
      <c r="J1533" s="2" t="s">
        <v>5060</v>
      </c>
      <c r="K1533" s="2" t="s">
        <v>878</v>
      </c>
      <c r="L1533" s="3">
        <v>15.84</v>
      </c>
      <c r="M1533" s="3">
        <v>16.63</v>
      </c>
      <c r="N1533" s="3">
        <v>34.99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5144</v>
      </c>
      <c r="T1533" s="2" t="s">
        <v>100</v>
      </c>
      <c r="U1533" s="2" t="s">
        <v>100</v>
      </c>
      <c r="V1533" s="2" t="s">
        <v>434</v>
      </c>
      <c r="W1533" s="2" t="s">
        <v>104</v>
      </c>
      <c r="X1533" s="2" t="s">
        <v>100</v>
      </c>
      <c r="Y1533" s="2" t="s">
        <v>240</v>
      </c>
      <c r="Z1533" s="4">
        <v>790</v>
      </c>
      <c r="AA1533" s="4">
        <f>=ROUNDDOWN(23.9393939393939,0)</f>
      </c>
      <c r="AB1533" s="5">
        <v>33</v>
      </c>
      <c r="AC1533" s="2" t="s">
        <v>100</v>
      </c>
      <c r="AD1533" s="4"/>
      <c r="AE1533" s="4"/>
      <c r="AF1533" s="6">
        <v>64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>
        <v>5</v>
      </c>
      <c r="AQ1533" s="8">
        <v>95.25</v>
      </c>
      <c r="AR1533" s="4"/>
      <c r="AS1533" s="8"/>
      <c r="AT1533" s="7"/>
      <c r="AU1533" s="7"/>
      <c r="AV1533" s="4">
        <v>5</v>
      </c>
      <c r="AW1533" s="8">
        <v>95.25</v>
      </c>
      <c r="AX1533" s="4"/>
      <c r="AY1533" s="8"/>
      <c r="AZ1533" s="7"/>
      <c r="BA1533" s="7"/>
      <c r="BB1533" s="7">
        <v>1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0.294</v>
      </c>
      <c r="BJ1533" s="4">
        <v>921</v>
      </c>
      <c r="BK1533" s="8">
        <v>17889.06</v>
      </c>
      <c r="BL1533" s="2" t="s">
        <v>5145</v>
      </c>
      <c r="BM1533" s="7">
        <v>0.0054</v>
      </c>
      <c r="BN1533" s="7">
        <v>0.0053</v>
      </c>
      <c r="BO1533" s="4">
        <v>5</v>
      </c>
      <c r="BP1533" s="8">
        <v>95.25</v>
      </c>
      <c r="BQ1533" s="4"/>
      <c r="BR1533" s="8"/>
      <c r="BS1533" s="7"/>
      <c r="BT1533" s="7"/>
      <c r="BU1533" s="2" t="s">
        <v>109</v>
      </c>
      <c r="BV1533" s="2" t="s">
        <v>110</v>
      </c>
      <c r="BW1533" s="2" t="s">
        <v>5063</v>
      </c>
      <c r="BX1533" s="2" t="s">
        <v>1993</v>
      </c>
      <c r="BY1533" s="2" t="s">
        <v>113</v>
      </c>
      <c r="BZ1533" s="2" t="s">
        <v>100</v>
      </c>
    </row>
    <row r="1534">
      <c r="A1534" s="2" t="s">
        <v>5146</v>
      </c>
      <c r="B1534" s="2" t="s">
        <v>5053</v>
      </c>
      <c r="C1534" s="2" t="s">
        <v>88</v>
      </c>
      <c r="D1534" s="2" t="s">
        <v>5054</v>
      </c>
      <c r="E1534" s="2" t="s">
        <v>5055</v>
      </c>
      <c r="F1534" s="2" t="s">
        <v>1093</v>
      </c>
      <c r="G1534" s="2" t="s">
        <v>1094</v>
      </c>
      <c r="H1534" s="2" t="s">
        <v>1095</v>
      </c>
      <c r="I1534" s="2" t="s">
        <v>5141</v>
      </c>
      <c r="J1534" s="2" t="s">
        <v>5060</v>
      </c>
      <c r="K1534" s="2" t="s">
        <v>278</v>
      </c>
      <c r="L1534" s="3">
        <v>15.84</v>
      </c>
      <c r="M1534" s="3">
        <v>16.63</v>
      </c>
      <c r="N1534" s="3">
        <v>34.99</v>
      </c>
      <c r="O1534" s="2" t="s">
        <v>97</v>
      </c>
      <c r="P1534" s="2" t="s">
        <v>98</v>
      </c>
      <c r="Q1534" s="2" t="s">
        <v>99</v>
      </c>
      <c r="R1534" s="2" t="s">
        <v>100</v>
      </c>
      <c r="S1534" s="2" t="s">
        <v>1097</v>
      </c>
      <c r="T1534" s="2" t="s">
        <v>100</v>
      </c>
      <c r="U1534" s="2" t="s">
        <v>100</v>
      </c>
      <c r="V1534" s="2" t="s">
        <v>434</v>
      </c>
      <c r="W1534" s="2" t="s">
        <v>104</v>
      </c>
      <c r="X1534" s="2" t="s">
        <v>100</v>
      </c>
      <c r="Y1534" s="2" t="s">
        <v>240</v>
      </c>
      <c r="Z1534" s="4">
        <v>456</v>
      </c>
      <c r="AA1534" s="4">
        <f>=ROUNDDOWN(16.8888888888889,0)</f>
      </c>
      <c r="AB1534" s="5">
        <v>27</v>
      </c>
      <c r="AC1534" s="2" t="s">
        <v>1292</v>
      </c>
      <c r="AD1534" s="4">
        <v>500</v>
      </c>
      <c r="AE1534" s="4">
        <v>800</v>
      </c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>
        <v>2</v>
      </c>
      <c r="AQ1534" s="8">
        <v>38.12</v>
      </c>
      <c r="AR1534" s="4"/>
      <c r="AS1534" s="8"/>
      <c r="AT1534" s="7"/>
      <c r="AU1534" s="7"/>
      <c r="AV1534" s="4">
        <v>2</v>
      </c>
      <c r="AW1534" s="8">
        <v>38.12</v>
      </c>
      <c r="AX1534" s="4"/>
      <c r="AY1534" s="8"/>
      <c r="AZ1534" s="7"/>
      <c r="BA1534" s="7"/>
      <c r="BB1534" s="7">
        <v>1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0.1177</v>
      </c>
      <c r="BJ1534" s="4">
        <v>707</v>
      </c>
      <c r="BK1534" s="8">
        <v>13740.72</v>
      </c>
      <c r="BL1534" s="2" t="s">
        <v>843</v>
      </c>
      <c r="BM1534" s="7">
        <v>0.0028</v>
      </c>
      <c r="BN1534" s="7">
        <v>0.0028</v>
      </c>
      <c r="BO1534" s="4">
        <v>2</v>
      </c>
      <c r="BP1534" s="8">
        <v>38.12</v>
      </c>
      <c r="BQ1534" s="4"/>
      <c r="BR1534" s="8"/>
      <c r="BS1534" s="7"/>
      <c r="BT1534" s="7"/>
      <c r="BU1534" s="2" t="s">
        <v>109</v>
      </c>
      <c r="BV1534" s="2" t="s">
        <v>110</v>
      </c>
      <c r="BW1534" s="2" t="s">
        <v>243</v>
      </c>
      <c r="BX1534" s="2" t="s">
        <v>4765</v>
      </c>
      <c r="BY1534" s="2" t="s">
        <v>113</v>
      </c>
      <c r="BZ1534" s="2" t="s">
        <v>100</v>
      </c>
    </row>
    <row r="1535">
      <c r="A1535" s="2" t="s">
        <v>5147</v>
      </c>
      <c r="B1535" s="2" t="s">
        <v>5053</v>
      </c>
      <c r="C1535" s="2" t="s">
        <v>88</v>
      </c>
      <c r="D1535" s="2" t="s">
        <v>5054</v>
      </c>
      <c r="E1535" s="2" t="s">
        <v>5055</v>
      </c>
      <c r="F1535" s="2" t="s">
        <v>1093</v>
      </c>
      <c r="G1535" s="2" t="s">
        <v>1094</v>
      </c>
      <c r="H1535" s="2" t="s">
        <v>1095</v>
      </c>
      <c r="I1535" s="2" t="s">
        <v>5141</v>
      </c>
      <c r="J1535" s="2" t="s">
        <v>5060</v>
      </c>
      <c r="K1535" s="2" t="s">
        <v>297</v>
      </c>
      <c r="L1535" s="3">
        <v>15.84</v>
      </c>
      <c r="M1535" s="3">
        <v>16.63</v>
      </c>
      <c r="N1535" s="3">
        <v>34.99</v>
      </c>
      <c r="O1535" s="2" t="s">
        <v>97</v>
      </c>
      <c r="P1535" s="2" t="s">
        <v>119</v>
      </c>
      <c r="Q1535" s="2" t="s">
        <v>99</v>
      </c>
      <c r="R1535" s="2" t="s">
        <v>100</v>
      </c>
      <c r="S1535" s="2" t="s">
        <v>5148</v>
      </c>
      <c r="T1535" s="2" t="s">
        <v>100</v>
      </c>
      <c r="U1535" s="2" t="s">
        <v>100</v>
      </c>
      <c r="V1535" s="2" t="s">
        <v>434</v>
      </c>
      <c r="W1535" s="2" t="s">
        <v>104</v>
      </c>
      <c r="X1535" s="2" t="s">
        <v>100</v>
      </c>
      <c r="Y1535" s="2" t="s">
        <v>2439</v>
      </c>
      <c r="Z1535" s="4">
        <v>367</v>
      </c>
      <c r="AA1535" s="4">
        <f>=ROUNDDOWN(26.2142857142857,0)</f>
      </c>
      <c r="AB1535" s="5">
        <v>14</v>
      </c>
      <c r="AC1535" s="2" t="s">
        <v>768</v>
      </c>
      <c r="AD1535" s="4">
        <v>120</v>
      </c>
      <c r="AE1535" s="4">
        <v>120</v>
      </c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>
        <v>2</v>
      </c>
      <c r="AQ1535" s="8">
        <v>38.12</v>
      </c>
      <c r="AR1535" s="4"/>
      <c r="AS1535" s="8"/>
      <c r="AT1535" s="7"/>
      <c r="AU1535" s="7"/>
      <c r="AV1535" s="4">
        <v>2</v>
      </c>
      <c r="AW1535" s="8">
        <v>38.12</v>
      </c>
      <c r="AX1535" s="4"/>
      <c r="AY1535" s="8"/>
      <c r="AZ1535" s="7"/>
      <c r="BA1535" s="7"/>
      <c r="BB1535" s="7">
        <v>1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>
        <v>0.1177</v>
      </c>
      <c r="BJ1535" s="4">
        <v>369</v>
      </c>
      <c r="BK1535" s="8">
        <v>7186.31</v>
      </c>
      <c r="BL1535" s="2" t="s">
        <v>5149</v>
      </c>
      <c r="BM1535" s="7">
        <v>0.0054</v>
      </c>
      <c r="BN1535" s="7">
        <v>0.0053</v>
      </c>
      <c r="BO1535" s="4">
        <v>2</v>
      </c>
      <c r="BP1535" s="8">
        <v>38.12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5150</v>
      </c>
      <c r="BX1535" s="2" t="s">
        <v>5151</v>
      </c>
      <c r="BY1535" s="2" t="s">
        <v>113</v>
      </c>
      <c r="BZ1535" s="2" t="s">
        <v>100</v>
      </c>
    </row>
    <row r="1536">
      <c r="A1536" s="2" t="s">
        <v>5152</v>
      </c>
      <c r="B1536" s="2" t="s">
        <v>5053</v>
      </c>
      <c r="C1536" s="2" t="s">
        <v>88</v>
      </c>
      <c r="D1536" s="2" t="s">
        <v>5054</v>
      </c>
      <c r="E1536" s="2" t="s">
        <v>5055</v>
      </c>
      <c r="F1536" s="2" t="s">
        <v>1093</v>
      </c>
      <c r="G1536" s="2" t="s">
        <v>1094</v>
      </c>
      <c r="H1536" s="2" t="s">
        <v>1095</v>
      </c>
      <c r="I1536" s="2" t="s">
        <v>5141</v>
      </c>
      <c r="J1536" s="2" t="s">
        <v>5060</v>
      </c>
      <c r="K1536" s="2" t="s">
        <v>360</v>
      </c>
      <c r="L1536" s="3">
        <v>15.84</v>
      </c>
      <c r="M1536" s="3">
        <v>16.63</v>
      </c>
      <c r="N1536" s="3">
        <v>34.99</v>
      </c>
      <c r="O1536" s="2" t="s">
        <v>97</v>
      </c>
      <c r="P1536" s="2" t="s">
        <v>119</v>
      </c>
      <c r="Q1536" s="2" t="s">
        <v>99</v>
      </c>
      <c r="R1536" s="2" t="s">
        <v>100</v>
      </c>
      <c r="S1536" s="2" t="s">
        <v>5153</v>
      </c>
      <c r="T1536" s="2" t="s">
        <v>100</v>
      </c>
      <c r="U1536" s="2" t="s">
        <v>100</v>
      </c>
      <c r="V1536" s="2" t="s">
        <v>434</v>
      </c>
      <c r="W1536" s="2" t="s">
        <v>104</v>
      </c>
      <c r="X1536" s="2" t="s">
        <v>100</v>
      </c>
      <c r="Y1536" s="2" t="s">
        <v>240</v>
      </c>
      <c r="Z1536" s="4">
        <v>607</v>
      </c>
      <c r="AA1536" s="4">
        <f>=ROUNDDOWN(23.3461538461538,0)</f>
      </c>
      <c r="AB1536" s="5">
        <v>26</v>
      </c>
      <c r="AC1536" s="2" t="s">
        <v>100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635</v>
      </c>
      <c r="BK1536" s="8">
        <v>12071.05</v>
      </c>
      <c r="BL1536" s="2" t="s">
        <v>5154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5063</v>
      </c>
      <c r="BX1536" s="2" t="s">
        <v>868</v>
      </c>
      <c r="BY1536" s="2" t="s">
        <v>113</v>
      </c>
      <c r="BZ1536" s="2" t="s">
        <v>100</v>
      </c>
    </row>
    <row r="1537">
      <c r="A1537" s="2" t="s">
        <v>5155</v>
      </c>
      <c r="B1537" s="2" t="s">
        <v>5053</v>
      </c>
      <c r="C1537" s="2" t="s">
        <v>88</v>
      </c>
      <c r="D1537" s="2" t="s">
        <v>5054</v>
      </c>
      <c r="E1537" s="2" t="s">
        <v>5055</v>
      </c>
      <c r="F1537" s="2" t="s">
        <v>743</v>
      </c>
      <c r="G1537" s="2" t="s">
        <v>744</v>
      </c>
      <c r="H1537" s="2" t="s">
        <v>745</v>
      </c>
      <c r="I1537" s="2" t="s">
        <v>5125</v>
      </c>
      <c r="J1537" s="2" t="s">
        <v>5060</v>
      </c>
      <c r="K1537" s="2" t="s">
        <v>118</v>
      </c>
      <c r="L1537" s="3">
        <v>14.52</v>
      </c>
      <c r="M1537" s="3">
        <v>15.25</v>
      </c>
      <c r="N1537" s="3">
        <v>32.99</v>
      </c>
      <c r="O1537" s="2" t="s">
        <v>97</v>
      </c>
      <c r="P1537" s="2" t="s">
        <v>119</v>
      </c>
      <c r="Q1537" s="2" t="s">
        <v>99</v>
      </c>
      <c r="R1537" s="2" t="s">
        <v>100</v>
      </c>
      <c r="S1537" s="2" t="s">
        <v>5156</v>
      </c>
      <c r="T1537" s="2" t="s">
        <v>100</v>
      </c>
      <c r="U1537" s="2" t="s">
        <v>100</v>
      </c>
      <c r="V1537" s="2" t="s">
        <v>489</v>
      </c>
      <c r="W1537" s="2" t="s">
        <v>309</v>
      </c>
      <c r="X1537" s="2" t="s">
        <v>100</v>
      </c>
      <c r="Y1537" s="2" t="s">
        <v>5157</v>
      </c>
      <c r="Z1537" s="4">
        <v>331</v>
      </c>
      <c r="AA1537" s="4">
        <f>=ROUNDDOWN(10.030303030303,0)</f>
      </c>
      <c r="AB1537" s="5">
        <v>33</v>
      </c>
      <c r="AC1537" s="2" t="s">
        <v>417</v>
      </c>
      <c r="AD1537" s="4">
        <v>300</v>
      </c>
      <c r="AE1537" s="4">
        <v>900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>
        <v>9</v>
      </c>
      <c r="AQ1537" s="8">
        <v>140.4</v>
      </c>
      <c r="AR1537" s="4"/>
      <c r="AS1537" s="8"/>
      <c r="AT1537" s="7"/>
      <c r="AU1537" s="7"/>
      <c r="AV1537" s="4">
        <v>9</v>
      </c>
      <c r="AW1537" s="8">
        <v>140.4</v>
      </c>
      <c r="AX1537" s="4"/>
      <c r="AY1537" s="8"/>
      <c r="AZ1537" s="7"/>
      <c r="BA1537" s="7"/>
      <c r="BB1537" s="7">
        <v>1</v>
      </c>
      <c r="BC1537" s="4">
        <v>16</v>
      </c>
      <c r="BD1537" s="8">
        <v>249.6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0.5625</v>
      </c>
      <c r="BJ1537" s="4">
        <v>838</v>
      </c>
      <c r="BK1537" s="8">
        <v>13149.48</v>
      </c>
      <c r="BL1537" s="2" t="s">
        <v>5149</v>
      </c>
      <c r="BM1537" s="7">
        <v>0.0107</v>
      </c>
      <c r="BN1537" s="7">
        <v>0.0107</v>
      </c>
      <c r="BO1537" s="4">
        <v>9</v>
      </c>
      <c r="BP1537" s="8">
        <v>140.4</v>
      </c>
      <c r="BQ1537" s="4"/>
      <c r="BR1537" s="8"/>
      <c r="BS1537" s="7"/>
      <c r="BT1537" s="7"/>
      <c r="BU1537" s="2" t="s">
        <v>109</v>
      </c>
      <c r="BV1537" s="2" t="s">
        <v>110</v>
      </c>
      <c r="BW1537" s="2" t="s">
        <v>5063</v>
      </c>
      <c r="BX1537" s="2" t="s">
        <v>5158</v>
      </c>
      <c r="BY1537" s="2" t="s">
        <v>113</v>
      </c>
      <c r="BZ1537" s="2" t="s">
        <v>100</v>
      </c>
    </row>
    <row r="1538">
      <c r="A1538" s="2" t="s">
        <v>5159</v>
      </c>
      <c r="B1538" s="2" t="s">
        <v>5053</v>
      </c>
      <c r="C1538" s="2" t="s">
        <v>88</v>
      </c>
      <c r="D1538" s="2" t="s">
        <v>5054</v>
      </c>
      <c r="E1538" s="2" t="s">
        <v>5055</v>
      </c>
      <c r="F1538" s="2" t="s">
        <v>743</v>
      </c>
      <c r="G1538" s="2" t="s">
        <v>744</v>
      </c>
      <c r="H1538" s="2" t="s">
        <v>745</v>
      </c>
      <c r="I1538" s="2" t="s">
        <v>5125</v>
      </c>
      <c r="J1538" s="2" t="s">
        <v>5060</v>
      </c>
      <c r="K1538" s="2" t="s">
        <v>469</v>
      </c>
      <c r="L1538" s="3">
        <v>14.52</v>
      </c>
      <c r="M1538" s="3">
        <v>15.25</v>
      </c>
      <c r="N1538" s="3">
        <v>32.99</v>
      </c>
      <c r="O1538" s="2" t="s">
        <v>97</v>
      </c>
      <c r="P1538" s="2" t="s">
        <v>119</v>
      </c>
      <c r="Q1538" s="2" t="s">
        <v>99</v>
      </c>
      <c r="R1538" s="2" t="s">
        <v>100</v>
      </c>
      <c r="S1538" s="2" t="s">
        <v>5156</v>
      </c>
      <c r="T1538" s="2" t="s">
        <v>100</v>
      </c>
      <c r="U1538" s="2" t="s">
        <v>100</v>
      </c>
      <c r="V1538" s="2" t="s">
        <v>489</v>
      </c>
      <c r="W1538" s="2" t="s">
        <v>309</v>
      </c>
      <c r="X1538" s="2" t="s">
        <v>100</v>
      </c>
      <c r="Y1538" s="2" t="s">
        <v>240</v>
      </c>
      <c r="Z1538" s="4">
        <v>357</v>
      </c>
      <c r="AA1538" s="4">
        <f>=ROUNDDOWN(19.8333333333333,0)</f>
      </c>
      <c r="AB1538" s="5">
        <v>18</v>
      </c>
      <c r="AC1538" s="2" t="s">
        <v>608</v>
      </c>
      <c r="AD1538" s="4">
        <v>300</v>
      </c>
      <c r="AE1538" s="4">
        <v>600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>
        <v>7</v>
      </c>
      <c r="AQ1538" s="8">
        <v>109.2</v>
      </c>
      <c r="AR1538" s="4"/>
      <c r="AS1538" s="8"/>
      <c r="AT1538" s="7"/>
      <c r="AU1538" s="7"/>
      <c r="AV1538" s="4">
        <v>7</v>
      </c>
      <c r="AW1538" s="8">
        <v>109.2</v>
      </c>
      <c r="AX1538" s="4"/>
      <c r="AY1538" s="8"/>
      <c r="AZ1538" s="7"/>
      <c r="BA1538" s="7"/>
      <c r="BB1538" s="7">
        <v>1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0.4375</v>
      </c>
      <c r="BJ1538" s="4">
        <v>447</v>
      </c>
      <c r="BK1538" s="8">
        <v>7112.41</v>
      </c>
      <c r="BL1538" s="2" t="s">
        <v>5160</v>
      </c>
      <c r="BM1538" s="7">
        <v>0.0157</v>
      </c>
      <c r="BN1538" s="7">
        <v>0.0154</v>
      </c>
      <c r="BO1538" s="4">
        <v>7</v>
      </c>
      <c r="BP1538" s="8">
        <v>109.2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5063</v>
      </c>
      <c r="BX1538" s="2" t="s">
        <v>2520</v>
      </c>
      <c r="BY1538" s="2" t="s">
        <v>113</v>
      </c>
      <c r="BZ1538" s="2" t="s">
        <v>100</v>
      </c>
    </row>
    <row r="1539">
      <c r="A1539" s="2" t="s">
        <v>5161</v>
      </c>
      <c r="B1539" s="2" t="s">
        <v>5053</v>
      </c>
      <c r="C1539" s="2" t="s">
        <v>88</v>
      </c>
      <c r="D1539" s="2" t="s">
        <v>5054</v>
      </c>
      <c r="E1539" s="2" t="s">
        <v>5055</v>
      </c>
      <c r="F1539" s="2" t="s">
        <v>616</v>
      </c>
      <c r="G1539" s="2" t="s">
        <v>5162</v>
      </c>
      <c r="H1539" s="2" t="s">
        <v>4076</v>
      </c>
      <c r="I1539" s="2" t="s">
        <v>5163</v>
      </c>
      <c r="J1539" s="2" t="s">
        <v>5060</v>
      </c>
      <c r="K1539" s="2" t="s">
        <v>512</v>
      </c>
      <c r="L1539" s="3">
        <v>18.92</v>
      </c>
      <c r="M1539" s="3">
        <v>19.87</v>
      </c>
      <c r="N1539" s="3">
        <v>42.99</v>
      </c>
      <c r="O1539" s="2" t="s">
        <v>97</v>
      </c>
      <c r="P1539" s="2" t="s">
        <v>119</v>
      </c>
      <c r="Q1539" s="2" t="s">
        <v>99</v>
      </c>
      <c r="R1539" s="2" t="s">
        <v>100</v>
      </c>
      <c r="S1539" s="2" t="s">
        <v>5164</v>
      </c>
      <c r="T1539" s="2" t="s">
        <v>100</v>
      </c>
      <c r="U1539" s="2" t="s">
        <v>1847</v>
      </c>
      <c r="V1539" s="2" t="s">
        <v>292</v>
      </c>
      <c r="W1539" s="2" t="s">
        <v>561</v>
      </c>
      <c r="X1539" s="2" t="s">
        <v>104</v>
      </c>
      <c r="Y1539" s="2" t="s">
        <v>5165</v>
      </c>
      <c r="Z1539" s="4">
        <v>756</v>
      </c>
      <c r="AA1539" s="4">
        <f>=ROUNDDOWN(21.6,0)</f>
      </c>
      <c r="AB1539" s="5">
        <v>35</v>
      </c>
      <c r="AC1539" s="2" t="s">
        <v>5100</v>
      </c>
      <c r="AD1539" s="4">
        <v>400</v>
      </c>
      <c r="AE1539" s="4">
        <v>800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>
        <v>8</v>
      </c>
      <c r="AQ1539" s="8">
        <v>158.96</v>
      </c>
      <c r="AR1539" s="4"/>
      <c r="AS1539" s="8"/>
      <c r="AT1539" s="7"/>
      <c r="AU1539" s="7"/>
      <c r="AV1539" s="4">
        <v>8</v>
      </c>
      <c r="AW1539" s="8">
        <v>158.96</v>
      </c>
      <c r="AX1539" s="4"/>
      <c r="AY1539" s="8"/>
      <c r="AZ1539" s="7"/>
      <c r="BA1539" s="7"/>
      <c r="BB1539" s="7">
        <v>1</v>
      </c>
      <c r="BC1539" s="4">
        <v>8</v>
      </c>
      <c r="BD1539" s="8">
        <v>158.96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1</v>
      </c>
      <c r="BJ1539" s="4">
        <v>1013</v>
      </c>
      <c r="BK1539" s="8">
        <v>19925.61</v>
      </c>
      <c r="BL1539" s="2" t="s">
        <v>5166</v>
      </c>
      <c r="BM1539" s="7">
        <v>0.0079</v>
      </c>
      <c r="BN1539" s="7">
        <v>0.008</v>
      </c>
      <c r="BO1539" s="4">
        <v>8</v>
      </c>
      <c r="BP1539" s="8">
        <v>158.96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5167</v>
      </c>
      <c r="BX1539" s="2" t="s">
        <v>5168</v>
      </c>
      <c r="BY1539" s="2" t="s">
        <v>113</v>
      </c>
      <c r="BZ1539" s="2" t="s">
        <v>100</v>
      </c>
    </row>
    <row r="1540">
      <c r="A1540" s="2" t="s">
        <v>5169</v>
      </c>
      <c r="B1540" s="2" t="s">
        <v>5053</v>
      </c>
      <c r="C1540" s="2" t="s">
        <v>88</v>
      </c>
      <c r="D1540" s="2" t="s">
        <v>5054</v>
      </c>
      <c r="E1540" s="2" t="s">
        <v>5055</v>
      </c>
      <c r="F1540" s="2" t="s">
        <v>616</v>
      </c>
      <c r="G1540" s="2" t="s">
        <v>5162</v>
      </c>
      <c r="H1540" s="2" t="s">
        <v>4076</v>
      </c>
      <c r="I1540" s="2" t="s">
        <v>5163</v>
      </c>
      <c r="J1540" s="2" t="s">
        <v>5060</v>
      </c>
      <c r="K1540" s="2" t="s">
        <v>2089</v>
      </c>
      <c r="L1540" s="3">
        <v>18.92</v>
      </c>
      <c r="M1540" s="3">
        <v>19.87</v>
      </c>
      <c r="N1540" s="3">
        <v>42.99</v>
      </c>
      <c r="O1540" s="2" t="s">
        <v>97</v>
      </c>
      <c r="P1540" s="2" t="s">
        <v>119</v>
      </c>
      <c r="Q1540" s="2" t="s">
        <v>99</v>
      </c>
      <c r="R1540" s="2" t="s">
        <v>100</v>
      </c>
      <c r="S1540" s="2" t="s">
        <v>5170</v>
      </c>
      <c r="T1540" s="2" t="s">
        <v>100</v>
      </c>
      <c r="U1540" s="2" t="s">
        <v>1847</v>
      </c>
      <c r="V1540" s="2" t="s">
        <v>292</v>
      </c>
      <c r="W1540" s="2" t="s">
        <v>561</v>
      </c>
      <c r="X1540" s="2" t="s">
        <v>104</v>
      </c>
      <c r="Y1540" s="2" t="s">
        <v>986</v>
      </c>
      <c r="Z1540" s="4">
        <v>306</v>
      </c>
      <c r="AA1540" s="4">
        <f>=ROUNDDOWN(17,0)</f>
      </c>
      <c r="AB1540" s="5">
        <v>18</v>
      </c>
      <c r="AC1540" s="2" t="s">
        <v>174</v>
      </c>
      <c r="AD1540" s="4">
        <v>80</v>
      </c>
      <c r="AE1540" s="4">
        <v>180</v>
      </c>
      <c r="AF1540" s="6">
        <v>65</v>
      </c>
      <c r="AG1540" s="6"/>
      <c r="AH1540" s="7">
        <v>0.5936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321</v>
      </c>
      <c r="BK1540" s="8">
        <v>6501.34</v>
      </c>
      <c r="BL1540" s="2" t="s">
        <v>3149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5167</v>
      </c>
      <c r="BX1540" s="2" t="s">
        <v>5171</v>
      </c>
      <c r="BY1540" s="2" t="s">
        <v>113</v>
      </c>
      <c r="BZ1540" s="2" t="s">
        <v>100</v>
      </c>
    </row>
    <row r="1541">
      <c r="A1541" s="2" t="s">
        <v>5172</v>
      </c>
      <c r="B1541" s="2" t="s">
        <v>5053</v>
      </c>
      <c r="C1541" s="2" t="s">
        <v>88</v>
      </c>
      <c r="D1541" s="2" t="s">
        <v>5054</v>
      </c>
      <c r="E1541" s="2" t="s">
        <v>5055</v>
      </c>
      <c r="F1541" s="2" t="s">
        <v>250</v>
      </c>
      <c r="G1541" s="2" t="s">
        <v>251</v>
      </c>
      <c r="H1541" s="2" t="s">
        <v>5173</v>
      </c>
      <c r="I1541" s="2" t="s">
        <v>5174</v>
      </c>
      <c r="J1541" s="2" t="s">
        <v>5060</v>
      </c>
      <c r="K1541" s="2" t="s">
        <v>263</v>
      </c>
      <c r="L1541" s="3">
        <v>17.6</v>
      </c>
      <c r="M1541" s="3">
        <v>18.48</v>
      </c>
      <c r="N1541" s="3">
        <v>39.99</v>
      </c>
      <c r="O1541" s="2" t="s">
        <v>97</v>
      </c>
      <c r="P1541" s="2" t="s">
        <v>119</v>
      </c>
      <c r="Q1541" s="2" t="s">
        <v>99</v>
      </c>
      <c r="R1541" s="2" t="s">
        <v>100</v>
      </c>
      <c r="S1541" s="2" t="s">
        <v>264</v>
      </c>
      <c r="T1541" s="2" t="s">
        <v>280</v>
      </c>
      <c r="U1541" s="2" t="s">
        <v>100</v>
      </c>
      <c r="V1541" s="2" t="s">
        <v>256</v>
      </c>
      <c r="W1541" s="2" t="s">
        <v>183</v>
      </c>
      <c r="X1541" s="2" t="s">
        <v>100</v>
      </c>
      <c r="Y1541" s="2" t="s">
        <v>5175</v>
      </c>
      <c r="Z1541" s="4">
        <v>273</v>
      </c>
      <c r="AA1541" s="4">
        <f>=ROUNDDOWN(9.41379310344828,0)</f>
      </c>
      <c r="AB1541" s="5">
        <v>29</v>
      </c>
      <c r="AC1541" s="2" t="s">
        <v>135</v>
      </c>
      <c r="AD1541" s="4">
        <v>200</v>
      </c>
      <c r="AE1541" s="4">
        <v>940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>
        <v>8</v>
      </c>
      <c r="AQ1541" s="8">
        <v>151.68</v>
      </c>
      <c r="AR1541" s="4"/>
      <c r="AS1541" s="8"/>
      <c r="AT1541" s="7"/>
      <c r="AU1541" s="7"/>
      <c r="AV1541" s="4">
        <v>8</v>
      </c>
      <c r="AW1541" s="8">
        <v>151.68</v>
      </c>
      <c r="AX1541" s="4"/>
      <c r="AY1541" s="8"/>
      <c r="AZ1541" s="7"/>
      <c r="BA1541" s="7"/>
      <c r="BB1541" s="7">
        <v>1</v>
      </c>
      <c r="BC1541" s="4">
        <v>8</v>
      </c>
      <c r="BD1541" s="8">
        <v>151.68</v>
      </c>
      <c r="BE1541" s="4"/>
      <c r="BF1541" s="8"/>
      <c r="BG1541" s="7"/>
      <c r="BH1541" s="7"/>
      <c r="BI1541" s="7">
        <v>1</v>
      </c>
      <c r="BJ1541" s="4">
        <v>640</v>
      </c>
      <c r="BK1541" s="8">
        <v>12412.43</v>
      </c>
      <c r="BL1541" s="2" t="s">
        <v>5176</v>
      </c>
      <c r="BM1541" s="7">
        <v>0.0125</v>
      </c>
      <c r="BN1541" s="7">
        <v>0.0122</v>
      </c>
      <c r="BO1541" s="4">
        <v>8</v>
      </c>
      <c r="BP1541" s="8">
        <v>151.68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5177</v>
      </c>
      <c r="BX1541" s="2" t="s">
        <v>1902</v>
      </c>
      <c r="BY1541" s="2" t="s">
        <v>113</v>
      </c>
      <c r="BZ1541" s="2" t="s">
        <v>100</v>
      </c>
    </row>
    <row r="1542">
      <c r="A1542" s="2" t="s">
        <v>5178</v>
      </c>
      <c r="B1542" s="2" t="s">
        <v>5053</v>
      </c>
      <c r="C1542" s="2" t="s">
        <v>88</v>
      </c>
      <c r="D1542" s="2" t="s">
        <v>5054</v>
      </c>
      <c r="E1542" s="2" t="s">
        <v>5055</v>
      </c>
      <c r="F1542" s="2" t="s">
        <v>5179</v>
      </c>
      <c r="G1542" s="2" t="s">
        <v>5180</v>
      </c>
      <c r="H1542" s="2" t="s">
        <v>5181</v>
      </c>
      <c r="I1542" s="2" t="s">
        <v>5182</v>
      </c>
      <c r="J1542" s="2" t="s">
        <v>5060</v>
      </c>
      <c r="K1542" s="2" t="s">
        <v>198</v>
      </c>
      <c r="L1542" s="3">
        <v>16.28</v>
      </c>
      <c r="M1542" s="3">
        <v>17.09</v>
      </c>
      <c r="N1542" s="3">
        <v>36.99</v>
      </c>
      <c r="O1542" s="2" t="s">
        <v>97</v>
      </c>
      <c r="P1542" s="2" t="s">
        <v>119</v>
      </c>
      <c r="Q1542" s="2" t="s">
        <v>99</v>
      </c>
      <c r="R1542" s="2" t="s">
        <v>100</v>
      </c>
      <c r="S1542" s="2" t="s">
        <v>5183</v>
      </c>
      <c r="T1542" s="2" t="s">
        <v>100</v>
      </c>
      <c r="U1542" s="2" t="s">
        <v>100</v>
      </c>
      <c r="V1542" s="2" t="s">
        <v>146</v>
      </c>
      <c r="W1542" s="2" t="s">
        <v>183</v>
      </c>
      <c r="X1542" s="2" t="s">
        <v>100</v>
      </c>
      <c r="Y1542" s="2" t="s">
        <v>240</v>
      </c>
      <c r="Z1542" s="4">
        <v>590</v>
      </c>
      <c r="AA1542" s="4">
        <f>=ROUNDDOWN(20.3448275862069,0)</f>
      </c>
      <c r="AB1542" s="5">
        <v>29</v>
      </c>
      <c r="AC1542" s="2" t="s">
        <v>174</v>
      </c>
      <c r="AD1542" s="4">
        <v>600</v>
      </c>
      <c r="AE1542" s="4">
        <v>600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>
        <v>9</v>
      </c>
      <c r="AQ1542" s="8">
        <v>149.67</v>
      </c>
      <c r="AR1542" s="4"/>
      <c r="AS1542" s="8"/>
      <c r="AT1542" s="7"/>
      <c r="AU1542" s="7"/>
      <c r="AV1542" s="4">
        <v>9</v>
      </c>
      <c r="AW1542" s="8">
        <v>149.67</v>
      </c>
      <c r="AX1542" s="4"/>
      <c r="AY1542" s="8"/>
      <c r="AZ1542" s="7"/>
      <c r="BA1542" s="7"/>
      <c r="BB1542" s="7">
        <v>1</v>
      </c>
      <c r="BC1542" s="4">
        <v>9</v>
      </c>
      <c r="BD1542" s="8">
        <v>149.67</v>
      </c>
      <c r="BE1542" s="4"/>
      <c r="BF1542" s="8"/>
      <c r="BG1542" s="7"/>
      <c r="BH1542" s="7"/>
      <c r="BI1542" s="7">
        <v>1</v>
      </c>
      <c r="BJ1542" s="4">
        <v>773</v>
      </c>
      <c r="BK1542" s="8">
        <v>13504.87</v>
      </c>
      <c r="BL1542" s="2" t="s">
        <v>5184</v>
      </c>
      <c r="BM1542" s="7">
        <v>0.0116</v>
      </c>
      <c r="BN1542" s="7">
        <v>0.0111</v>
      </c>
      <c r="BO1542" s="4">
        <v>9</v>
      </c>
      <c r="BP1542" s="8">
        <v>149.67</v>
      </c>
      <c r="BQ1542" s="4"/>
      <c r="BR1542" s="8"/>
      <c r="BS1542" s="7"/>
      <c r="BT1542" s="7"/>
      <c r="BU1542" s="2" t="s">
        <v>109</v>
      </c>
      <c r="BV1542" s="2" t="s">
        <v>110</v>
      </c>
      <c r="BW1542" s="2" t="s">
        <v>5063</v>
      </c>
      <c r="BX1542" s="2" t="s">
        <v>868</v>
      </c>
      <c r="BY1542" s="2" t="s">
        <v>113</v>
      </c>
      <c r="BZ1542" s="2" t="s">
        <v>100</v>
      </c>
    </row>
    <row r="1543">
      <c r="A1543" s="2" t="s">
        <v>5185</v>
      </c>
      <c r="B1543" s="2" t="s">
        <v>5053</v>
      </c>
      <c r="C1543" s="2" t="s">
        <v>88</v>
      </c>
      <c r="D1543" s="2" t="s">
        <v>5054</v>
      </c>
      <c r="E1543" s="2" t="s">
        <v>5055</v>
      </c>
      <c r="F1543" s="2" t="s">
        <v>2525</v>
      </c>
      <c r="G1543" s="2" t="s">
        <v>5186</v>
      </c>
      <c r="H1543" s="2" t="s">
        <v>5187</v>
      </c>
      <c r="I1543" s="2" t="s">
        <v>5188</v>
      </c>
      <c r="J1543" s="2" t="s">
        <v>5060</v>
      </c>
      <c r="K1543" s="2" t="s">
        <v>189</v>
      </c>
      <c r="L1543" s="3">
        <v>20.68</v>
      </c>
      <c r="M1543" s="3">
        <v>21.71</v>
      </c>
      <c r="N1543" s="3">
        <v>46.99</v>
      </c>
      <c r="O1543" s="2" t="s">
        <v>97</v>
      </c>
      <c r="P1543" s="2" t="s">
        <v>98</v>
      </c>
      <c r="Q1543" s="2" t="s">
        <v>99</v>
      </c>
      <c r="R1543" s="2" t="s">
        <v>100</v>
      </c>
      <c r="S1543" s="2" t="s">
        <v>5189</v>
      </c>
      <c r="T1543" s="2" t="s">
        <v>280</v>
      </c>
      <c r="U1543" s="2" t="s">
        <v>1847</v>
      </c>
      <c r="V1543" s="2" t="s">
        <v>146</v>
      </c>
      <c r="W1543" s="2" t="s">
        <v>561</v>
      </c>
      <c r="X1543" s="2" t="s">
        <v>183</v>
      </c>
      <c r="Y1543" s="2" t="s">
        <v>2974</v>
      </c>
      <c r="Z1543" s="4">
        <v>1686</v>
      </c>
      <c r="AA1543" s="4">
        <f>=ROUNDDOWN(15.9056603773585,0)</f>
      </c>
      <c r="AB1543" s="5">
        <v>106</v>
      </c>
      <c r="AC1543" s="2" t="s">
        <v>4334</v>
      </c>
      <c r="AD1543" s="4">
        <v>1100</v>
      </c>
      <c r="AE1543" s="4">
        <v>1900</v>
      </c>
      <c r="AF1543" s="6">
        <v>65</v>
      </c>
      <c r="AG1543" s="6"/>
      <c r="AH1543" s="7">
        <v>0.9412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>
        <v>7</v>
      </c>
      <c r="AQ1543" s="8">
        <v>147</v>
      </c>
      <c r="AR1543" s="4"/>
      <c r="AS1543" s="8"/>
      <c r="AT1543" s="7"/>
      <c r="AU1543" s="7"/>
      <c r="AV1543" s="4">
        <v>7</v>
      </c>
      <c r="AW1543" s="8">
        <v>147</v>
      </c>
      <c r="AX1543" s="4"/>
      <c r="AY1543" s="8"/>
      <c r="AZ1543" s="7"/>
      <c r="BA1543" s="7"/>
      <c r="BB1543" s="7">
        <v>1</v>
      </c>
      <c r="BC1543" s="4">
        <v>7</v>
      </c>
      <c r="BD1543" s="8">
        <v>147</v>
      </c>
      <c r="BE1543" s="4"/>
      <c r="BF1543" s="8"/>
      <c r="BG1543" s="7"/>
      <c r="BH1543" s="7"/>
      <c r="BI1543" s="7">
        <v>1</v>
      </c>
      <c r="BJ1543" s="4">
        <v>3019</v>
      </c>
      <c r="BK1543" s="8">
        <v>70293.9</v>
      </c>
      <c r="BL1543" s="2" t="s">
        <v>5190</v>
      </c>
      <c r="BM1543" s="7">
        <v>0.0023</v>
      </c>
      <c r="BN1543" s="7">
        <v>0.0021</v>
      </c>
      <c r="BO1543" s="4">
        <v>7</v>
      </c>
      <c r="BP1543" s="8">
        <v>147</v>
      </c>
      <c r="BQ1543" s="4"/>
      <c r="BR1543" s="8"/>
      <c r="BS1543" s="7"/>
      <c r="BT1543" s="7"/>
      <c r="BU1543" s="2" t="s">
        <v>109</v>
      </c>
      <c r="BV1543" s="2" t="s">
        <v>110</v>
      </c>
      <c r="BW1543" s="2" t="s">
        <v>5167</v>
      </c>
      <c r="BX1543" s="2" t="s">
        <v>5191</v>
      </c>
      <c r="BY1543" s="2" t="s">
        <v>113</v>
      </c>
      <c r="BZ1543" s="2" t="s">
        <v>100</v>
      </c>
    </row>
    <row r="1544">
      <c r="A1544" s="2" t="s">
        <v>5192</v>
      </c>
      <c r="B1544" s="2" t="s">
        <v>5053</v>
      </c>
      <c r="C1544" s="2" t="s">
        <v>88</v>
      </c>
      <c r="D1544" s="2" t="s">
        <v>5054</v>
      </c>
      <c r="E1544" s="2" t="s">
        <v>5055</v>
      </c>
      <c r="F1544" s="2" t="s">
        <v>981</v>
      </c>
      <c r="G1544" s="2" t="s">
        <v>982</v>
      </c>
      <c r="H1544" s="2" t="s">
        <v>983</v>
      </c>
      <c r="I1544" s="2" t="s">
        <v>5193</v>
      </c>
      <c r="J1544" s="2" t="s">
        <v>5060</v>
      </c>
      <c r="K1544" s="2" t="s">
        <v>1614</v>
      </c>
      <c r="L1544" s="3">
        <v>13.11</v>
      </c>
      <c r="M1544" s="3">
        <v>13.77</v>
      </c>
      <c r="N1544" s="3">
        <v>26.99</v>
      </c>
      <c r="O1544" s="2" t="s">
        <v>97</v>
      </c>
      <c r="P1544" s="2" t="s">
        <v>119</v>
      </c>
      <c r="Q1544" s="2" t="s">
        <v>99</v>
      </c>
      <c r="R1544" s="2" t="s">
        <v>100</v>
      </c>
      <c r="S1544" s="2" t="s">
        <v>5194</v>
      </c>
      <c r="T1544" s="2" t="s">
        <v>100</v>
      </c>
      <c r="U1544" s="2" t="s">
        <v>100</v>
      </c>
      <c r="V1544" s="2" t="s">
        <v>434</v>
      </c>
      <c r="W1544" s="2" t="s">
        <v>104</v>
      </c>
      <c r="X1544" s="2" t="s">
        <v>100</v>
      </c>
      <c r="Y1544" s="2" t="s">
        <v>240</v>
      </c>
      <c r="Z1544" s="4">
        <v>271</v>
      </c>
      <c r="AA1544" s="4">
        <f>=ROUNDDOWN(7.13157894736842,0)</f>
      </c>
      <c r="AB1544" s="5">
        <v>38</v>
      </c>
      <c r="AC1544" s="2" t="s">
        <v>542</v>
      </c>
      <c r="AD1544" s="4">
        <v>340</v>
      </c>
      <c r="AE1544" s="4">
        <v>1240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>
        <v>6</v>
      </c>
      <c r="AQ1544" s="8">
        <v>86.22</v>
      </c>
      <c r="AR1544" s="4"/>
      <c r="AS1544" s="8"/>
      <c r="AT1544" s="7"/>
      <c r="AU1544" s="7"/>
      <c r="AV1544" s="4">
        <v>6</v>
      </c>
      <c r="AW1544" s="8">
        <v>86.22</v>
      </c>
      <c r="AX1544" s="4"/>
      <c r="AY1544" s="8"/>
      <c r="AZ1544" s="7"/>
      <c r="BA1544" s="7"/>
      <c r="BB1544" s="7">
        <v>1</v>
      </c>
      <c r="BC1544" s="4">
        <v>6</v>
      </c>
      <c r="BD1544" s="8">
        <v>86.22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1</v>
      </c>
      <c r="BJ1544" s="4">
        <v>866</v>
      </c>
      <c r="BK1544" s="8">
        <v>12724.7</v>
      </c>
      <c r="BL1544" s="2" t="s">
        <v>5195</v>
      </c>
      <c r="BM1544" s="7">
        <v>0.0069</v>
      </c>
      <c r="BN1544" s="7">
        <v>0.0068</v>
      </c>
      <c r="BO1544" s="4">
        <v>6</v>
      </c>
      <c r="BP1544" s="8">
        <v>86.22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1529</v>
      </c>
      <c r="BX1544" s="2" t="s">
        <v>5196</v>
      </c>
      <c r="BY1544" s="2" t="s">
        <v>113</v>
      </c>
      <c r="BZ1544" s="2" t="s">
        <v>100</v>
      </c>
    </row>
    <row r="1545">
      <c r="A1545" s="2" t="s">
        <v>5197</v>
      </c>
      <c r="B1545" s="2" t="s">
        <v>5053</v>
      </c>
      <c r="C1545" s="2" t="s">
        <v>88</v>
      </c>
      <c r="D1545" s="2" t="s">
        <v>5054</v>
      </c>
      <c r="E1545" s="2" t="s">
        <v>5055</v>
      </c>
      <c r="F1545" s="2" t="s">
        <v>981</v>
      </c>
      <c r="G1545" s="2" t="s">
        <v>982</v>
      </c>
      <c r="H1545" s="2" t="s">
        <v>983</v>
      </c>
      <c r="I1545" s="2" t="s">
        <v>5193</v>
      </c>
      <c r="J1545" s="2" t="s">
        <v>5060</v>
      </c>
      <c r="K1545" s="2" t="s">
        <v>993</v>
      </c>
      <c r="L1545" s="3">
        <v>13.11</v>
      </c>
      <c r="M1545" s="3">
        <v>13.77</v>
      </c>
      <c r="N1545" s="3">
        <v>26.99</v>
      </c>
      <c r="O1545" s="2" t="s">
        <v>97</v>
      </c>
      <c r="P1545" s="2" t="s">
        <v>119</v>
      </c>
      <c r="Q1545" s="2" t="s">
        <v>99</v>
      </c>
      <c r="R1545" s="2" t="s">
        <v>100</v>
      </c>
      <c r="S1545" s="2" t="s">
        <v>994</v>
      </c>
      <c r="T1545" s="2" t="s">
        <v>100</v>
      </c>
      <c r="U1545" s="2" t="s">
        <v>100</v>
      </c>
      <c r="V1545" s="2" t="s">
        <v>434</v>
      </c>
      <c r="W1545" s="2" t="s">
        <v>104</v>
      </c>
      <c r="X1545" s="2" t="s">
        <v>100</v>
      </c>
      <c r="Y1545" s="2" t="s">
        <v>240</v>
      </c>
      <c r="Z1545" s="4">
        <v>431</v>
      </c>
      <c r="AA1545" s="4">
        <f>=ROUNDDOWN(13.0606060606061,0)</f>
      </c>
      <c r="AB1545" s="5">
        <v>33</v>
      </c>
      <c r="AC1545" s="2" t="s">
        <v>542</v>
      </c>
      <c r="AD1545" s="4">
        <v>100</v>
      </c>
      <c r="AE1545" s="4">
        <v>880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826</v>
      </c>
      <c r="BK1545" s="8">
        <v>12180.43</v>
      </c>
      <c r="BL1545" s="2" t="s">
        <v>5198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1529</v>
      </c>
      <c r="BX1545" s="2" t="s">
        <v>5196</v>
      </c>
      <c r="BY1545" s="2" t="s">
        <v>113</v>
      </c>
      <c r="BZ1545" s="2" t="s">
        <v>245</v>
      </c>
    </row>
    <row r="1546">
      <c r="A1546" s="2" t="s">
        <v>5199</v>
      </c>
      <c r="B1546" s="2" t="s">
        <v>5053</v>
      </c>
      <c r="C1546" s="2" t="s">
        <v>88</v>
      </c>
      <c r="D1546" s="2" t="s">
        <v>5054</v>
      </c>
      <c r="E1546" s="2" t="s">
        <v>5055</v>
      </c>
      <c r="F1546" s="2" t="s">
        <v>981</v>
      </c>
      <c r="G1546" s="2" t="s">
        <v>982</v>
      </c>
      <c r="H1546" s="2" t="s">
        <v>983</v>
      </c>
      <c r="I1546" s="2" t="s">
        <v>5193</v>
      </c>
      <c r="J1546" s="2" t="s">
        <v>5060</v>
      </c>
      <c r="K1546" s="2" t="s">
        <v>629</v>
      </c>
      <c r="L1546" s="3">
        <v>13.11</v>
      </c>
      <c r="M1546" s="3">
        <v>13.77</v>
      </c>
      <c r="N1546" s="3">
        <v>26.99</v>
      </c>
      <c r="O1546" s="2" t="s">
        <v>97</v>
      </c>
      <c r="P1546" s="2" t="s">
        <v>98</v>
      </c>
      <c r="Q1546" s="2" t="s">
        <v>99</v>
      </c>
      <c r="R1546" s="2" t="s">
        <v>100</v>
      </c>
      <c r="S1546" s="2" t="s">
        <v>5200</v>
      </c>
      <c r="T1546" s="2" t="s">
        <v>100</v>
      </c>
      <c r="U1546" s="2" t="s">
        <v>100</v>
      </c>
      <c r="V1546" s="2" t="s">
        <v>434</v>
      </c>
      <c r="W1546" s="2" t="s">
        <v>104</v>
      </c>
      <c r="X1546" s="2" t="s">
        <v>100</v>
      </c>
      <c r="Y1546" s="2" t="s">
        <v>240</v>
      </c>
      <c r="Z1546" s="4">
        <v>655</v>
      </c>
      <c r="AA1546" s="4">
        <f>=ROUNDDOWN(10.5645161290323,0)</f>
      </c>
      <c r="AB1546" s="5">
        <v>62</v>
      </c>
      <c r="AC1546" s="2" t="s">
        <v>542</v>
      </c>
      <c r="AD1546" s="4">
        <v>520</v>
      </c>
      <c r="AE1546" s="4">
        <v>1740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1477</v>
      </c>
      <c r="BK1546" s="8">
        <v>21754.04</v>
      </c>
      <c r="BL1546" s="2" t="s">
        <v>5201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1529</v>
      </c>
      <c r="BX1546" s="2" t="s">
        <v>5196</v>
      </c>
      <c r="BY1546" s="2" t="s">
        <v>113</v>
      </c>
      <c r="BZ1546" s="2" t="s">
        <v>100</v>
      </c>
    </row>
    <row r="1547">
      <c r="A1547" s="2" t="s">
        <v>5202</v>
      </c>
      <c r="B1547" s="2" t="s">
        <v>5053</v>
      </c>
      <c r="C1547" s="2" t="s">
        <v>88</v>
      </c>
      <c r="D1547" s="2" t="s">
        <v>5054</v>
      </c>
      <c r="E1547" s="2" t="s">
        <v>5055</v>
      </c>
      <c r="F1547" s="2" t="s">
        <v>1005</v>
      </c>
      <c r="G1547" s="2" t="s">
        <v>1006</v>
      </c>
      <c r="H1547" s="2" t="s">
        <v>1007</v>
      </c>
      <c r="I1547" s="2" t="s">
        <v>5125</v>
      </c>
      <c r="J1547" s="2" t="s">
        <v>5060</v>
      </c>
      <c r="K1547" s="2" t="s">
        <v>1016</v>
      </c>
      <c r="L1547" s="3">
        <v>23</v>
      </c>
      <c r="M1547" s="3">
        <v>24.15</v>
      </c>
      <c r="N1547" s="3">
        <v>49.99</v>
      </c>
      <c r="O1547" s="2" t="s">
        <v>97</v>
      </c>
      <c r="P1547" s="2" t="s">
        <v>119</v>
      </c>
      <c r="Q1547" s="2" t="s">
        <v>99</v>
      </c>
      <c r="R1547" s="2" t="s">
        <v>100</v>
      </c>
      <c r="S1547" s="2" t="s">
        <v>1017</v>
      </c>
      <c r="T1547" s="2" t="s">
        <v>100</v>
      </c>
      <c r="U1547" s="2" t="s">
        <v>1847</v>
      </c>
      <c r="V1547" s="2" t="s">
        <v>489</v>
      </c>
      <c r="W1547" s="2" t="s">
        <v>309</v>
      </c>
      <c r="X1547" s="2" t="s">
        <v>100</v>
      </c>
      <c r="Y1547" s="2" t="s">
        <v>1662</v>
      </c>
      <c r="Z1547" s="4">
        <v>544</v>
      </c>
      <c r="AA1547" s="4">
        <f>=ROUNDDOWN(30.2222222222222,0)</f>
      </c>
      <c r="AB1547" s="5">
        <v>18</v>
      </c>
      <c r="AC1547" s="2" t="s">
        <v>100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>
        <v>3</v>
      </c>
      <c r="AQ1547" s="8">
        <v>77.94</v>
      </c>
      <c r="AR1547" s="4"/>
      <c r="AS1547" s="8"/>
      <c r="AT1547" s="7"/>
      <c r="AU1547" s="7"/>
      <c r="AV1547" s="4">
        <v>3</v>
      </c>
      <c r="AW1547" s="8">
        <v>77.94</v>
      </c>
      <c r="AX1547" s="4"/>
      <c r="AY1547" s="8"/>
      <c r="AZ1547" s="7"/>
      <c r="BA1547" s="7"/>
      <c r="BB1547" s="7">
        <v>1</v>
      </c>
      <c r="BC1547" s="4">
        <v>3</v>
      </c>
      <c r="BD1547" s="8">
        <v>77.94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1</v>
      </c>
      <c r="BJ1547" s="4">
        <v>579</v>
      </c>
      <c r="BK1547" s="8">
        <v>15493.32</v>
      </c>
      <c r="BL1547" s="2" t="s">
        <v>5203</v>
      </c>
      <c r="BM1547" s="7">
        <v>0.0052</v>
      </c>
      <c r="BN1547" s="7">
        <v>0.005</v>
      </c>
      <c r="BO1547" s="4">
        <v>3</v>
      </c>
      <c r="BP1547" s="8">
        <v>77.94</v>
      </c>
      <c r="BQ1547" s="4"/>
      <c r="BR1547" s="8"/>
      <c r="BS1547" s="7"/>
      <c r="BT1547" s="7"/>
      <c r="BU1547" s="2" t="s">
        <v>109</v>
      </c>
      <c r="BV1547" s="2" t="s">
        <v>110</v>
      </c>
      <c r="BW1547" s="2" t="s">
        <v>5204</v>
      </c>
      <c r="BX1547" s="2" t="s">
        <v>5205</v>
      </c>
      <c r="BY1547" s="2" t="s">
        <v>113</v>
      </c>
      <c r="BZ1547" s="2" t="s">
        <v>100</v>
      </c>
    </row>
    <row r="1548">
      <c r="A1548" s="2" t="s">
        <v>5206</v>
      </c>
      <c r="B1548" s="2" t="s">
        <v>5053</v>
      </c>
      <c r="C1548" s="2" t="s">
        <v>88</v>
      </c>
      <c r="D1548" s="2" t="s">
        <v>5054</v>
      </c>
      <c r="E1548" s="2" t="s">
        <v>5055</v>
      </c>
      <c r="F1548" s="2" t="s">
        <v>1005</v>
      </c>
      <c r="G1548" s="2" t="s">
        <v>1006</v>
      </c>
      <c r="H1548" s="2" t="s">
        <v>1007</v>
      </c>
      <c r="I1548" s="2" t="s">
        <v>5125</v>
      </c>
      <c r="J1548" s="2" t="s">
        <v>5060</v>
      </c>
      <c r="K1548" s="2" t="s">
        <v>1032</v>
      </c>
      <c r="L1548" s="3">
        <v>23</v>
      </c>
      <c r="M1548" s="3">
        <v>24.15</v>
      </c>
      <c r="N1548" s="3">
        <v>49.99</v>
      </c>
      <c r="O1548" s="2" t="s">
        <v>97</v>
      </c>
      <c r="P1548" s="2" t="s">
        <v>119</v>
      </c>
      <c r="Q1548" s="2" t="s">
        <v>99</v>
      </c>
      <c r="R1548" s="2" t="s">
        <v>100</v>
      </c>
      <c r="S1548" s="2" t="s">
        <v>1033</v>
      </c>
      <c r="T1548" s="2" t="s">
        <v>100</v>
      </c>
      <c r="U1548" s="2" t="s">
        <v>1847</v>
      </c>
      <c r="V1548" s="2" t="s">
        <v>489</v>
      </c>
      <c r="W1548" s="2" t="s">
        <v>309</v>
      </c>
      <c r="X1548" s="2" t="s">
        <v>100</v>
      </c>
      <c r="Y1548" s="2" t="s">
        <v>5207</v>
      </c>
      <c r="Z1548" s="4">
        <v>390</v>
      </c>
      <c r="AA1548" s="4">
        <f>=ROUNDDOWN(43.3333333333333,0)</f>
      </c>
      <c r="AB1548" s="5">
        <v>9</v>
      </c>
      <c r="AC1548" s="2" t="s">
        <v>100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>
        <v>178</v>
      </c>
      <c r="BK1548" s="8">
        <v>4610.31</v>
      </c>
      <c r="BL1548" s="2" t="s">
        <v>5208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207</v>
      </c>
      <c r="BV1548" s="2" t="s">
        <v>97</v>
      </c>
      <c r="BW1548" s="2" t="s">
        <v>100</v>
      </c>
      <c r="BX1548" s="2" t="s">
        <v>100</v>
      </c>
      <c r="BY1548" s="2" t="s">
        <v>113</v>
      </c>
      <c r="BZ1548" s="2" t="s">
        <v>245</v>
      </c>
    </row>
    <row r="1549">
      <c r="A1549" s="2" t="s">
        <v>5209</v>
      </c>
      <c r="B1549" s="2" t="s">
        <v>5053</v>
      </c>
      <c r="C1549" s="2" t="s">
        <v>88</v>
      </c>
      <c r="D1549" s="2" t="s">
        <v>5054</v>
      </c>
      <c r="E1549" s="2" t="s">
        <v>5055</v>
      </c>
      <c r="F1549" s="2" t="s">
        <v>1005</v>
      </c>
      <c r="G1549" s="2" t="s">
        <v>1006</v>
      </c>
      <c r="H1549" s="2" t="s">
        <v>1007</v>
      </c>
      <c r="I1549" s="2" t="s">
        <v>5125</v>
      </c>
      <c r="J1549" s="2" t="s">
        <v>5060</v>
      </c>
      <c r="K1549" s="2" t="s">
        <v>1009</v>
      </c>
      <c r="L1549" s="3">
        <v>23</v>
      </c>
      <c r="M1549" s="3">
        <v>24.15</v>
      </c>
      <c r="N1549" s="3">
        <v>49.99</v>
      </c>
      <c r="O1549" s="2" t="s">
        <v>97</v>
      </c>
      <c r="P1549" s="2" t="s">
        <v>119</v>
      </c>
      <c r="Q1549" s="2" t="s">
        <v>99</v>
      </c>
      <c r="R1549" s="2" t="s">
        <v>100</v>
      </c>
      <c r="S1549" s="2" t="s">
        <v>1010</v>
      </c>
      <c r="T1549" s="2" t="s">
        <v>100</v>
      </c>
      <c r="U1549" s="2" t="s">
        <v>1847</v>
      </c>
      <c r="V1549" s="2" t="s">
        <v>489</v>
      </c>
      <c r="W1549" s="2" t="s">
        <v>309</v>
      </c>
      <c r="X1549" s="2" t="s">
        <v>100</v>
      </c>
      <c r="Y1549" s="2" t="s">
        <v>5210</v>
      </c>
      <c r="Z1549" s="4">
        <v>560</v>
      </c>
      <c r="AA1549" s="4">
        <f>=ROUNDDOWN(32.9411764705882,0)</f>
      </c>
      <c r="AB1549" s="5">
        <v>17</v>
      </c>
      <c r="AC1549" s="2" t="s">
        <v>1259</v>
      </c>
      <c r="AD1549" s="4">
        <v>100</v>
      </c>
      <c r="AE1549" s="4">
        <v>100</v>
      </c>
      <c r="AF1549" s="6">
        <v>64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415</v>
      </c>
      <c r="BK1549" s="8">
        <v>10770.72</v>
      </c>
      <c r="BL1549" s="2" t="s">
        <v>5211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207</v>
      </c>
      <c r="BV1549" s="2" t="s">
        <v>97</v>
      </c>
      <c r="BW1549" s="2" t="s">
        <v>100</v>
      </c>
      <c r="BX1549" s="2" t="s">
        <v>100</v>
      </c>
      <c r="BY1549" s="2" t="s">
        <v>113</v>
      </c>
      <c r="BZ1549" s="2" t="s">
        <v>245</v>
      </c>
    </row>
    <row r="1550">
      <c r="A1550" s="2" t="s">
        <v>5212</v>
      </c>
      <c r="B1550" s="2" t="s">
        <v>5053</v>
      </c>
      <c r="C1550" s="2" t="s">
        <v>88</v>
      </c>
      <c r="D1550" s="2" t="s">
        <v>5054</v>
      </c>
      <c r="E1550" s="2" t="s">
        <v>5055</v>
      </c>
      <c r="F1550" s="2" t="s">
        <v>428</v>
      </c>
      <c r="G1550" s="2" t="s">
        <v>429</v>
      </c>
      <c r="H1550" s="2" t="s">
        <v>430</v>
      </c>
      <c r="I1550" s="2" t="s">
        <v>5071</v>
      </c>
      <c r="J1550" s="2" t="s">
        <v>5060</v>
      </c>
      <c r="K1550" s="2" t="s">
        <v>921</v>
      </c>
      <c r="L1550" s="3">
        <v>17.6</v>
      </c>
      <c r="M1550" s="3">
        <v>18.48</v>
      </c>
      <c r="N1550" s="3">
        <v>39.99</v>
      </c>
      <c r="O1550" s="2" t="s">
        <v>97</v>
      </c>
      <c r="P1550" s="2" t="s">
        <v>119</v>
      </c>
      <c r="Q1550" s="2" t="s">
        <v>99</v>
      </c>
      <c r="R1550" s="2" t="s">
        <v>100</v>
      </c>
      <c r="S1550" s="2" t="s">
        <v>5213</v>
      </c>
      <c r="T1550" s="2" t="s">
        <v>100</v>
      </c>
      <c r="U1550" s="2" t="s">
        <v>100</v>
      </c>
      <c r="V1550" s="2" t="s">
        <v>434</v>
      </c>
      <c r="W1550" s="2" t="s">
        <v>219</v>
      </c>
      <c r="X1550" s="2" t="s">
        <v>100</v>
      </c>
      <c r="Y1550" s="2" t="s">
        <v>4727</v>
      </c>
      <c r="Z1550" s="4">
        <v>406</v>
      </c>
      <c r="AA1550" s="4">
        <f>=ROUNDDOWN(17.6521739130435,0)</f>
      </c>
      <c r="AB1550" s="5">
        <v>23</v>
      </c>
      <c r="AC1550" s="2" t="s">
        <v>271</v>
      </c>
      <c r="AD1550" s="4">
        <v>200</v>
      </c>
      <c r="AE1550" s="4">
        <v>200</v>
      </c>
      <c r="AF1550" s="6">
        <v>65</v>
      </c>
      <c r="AG1550" s="6"/>
      <c r="AH1550" s="7">
        <v>0.9893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>
        <v>2</v>
      </c>
      <c r="AQ1550" s="8">
        <v>40.44</v>
      </c>
      <c r="AR1550" s="4"/>
      <c r="AS1550" s="8"/>
      <c r="AT1550" s="7"/>
      <c r="AU1550" s="7"/>
      <c r="AV1550" s="4">
        <v>2</v>
      </c>
      <c r="AW1550" s="8">
        <v>40.44</v>
      </c>
      <c r="AX1550" s="4"/>
      <c r="AY1550" s="8"/>
      <c r="AZ1550" s="7"/>
      <c r="BA1550" s="7"/>
      <c r="BB1550" s="7">
        <v>1</v>
      </c>
      <c r="BC1550" s="4">
        <v>3</v>
      </c>
      <c r="BD1550" s="8">
        <v>60.66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0.6667</v>
      </c>
      <c r="BJ1550" s="4">
        <v>643</v>
      </c>
      <c r="BK1550" s="8">
        <v>12583.96</v>
      </c>
      <c r="BL1550" s="2" t="s">
        <v>4839</v>
      </c>
      <c r="BM1550" s="7">
        <v>0.0031</v>
      </c>
      <c r="BN1550" s="7">
        <v>0.0032</v>
      </c>
      <c r="BO1550" s="4">
        <v>2</v>
      </c>
      <c r="BP1550" s="8">
        <v>40.44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5063</v>
      </c>
      <c r="BX1550" s="2" t="s">
        <v>284</v>
      </c>
      <c r="BY1550" s="2" t="s">
        <v>113</v>
      </c>
      <c r="BZ1550" s="2" t="s">
        <v>100</v>
      </c>
    </row>
    <row r="1551">
      <c r="A1551" s="2" t="s">
        <v>5214</v>
      </c>
      <c r="B1551" s="2" t="s">
        <v>5053</v>
      </c>
      <c r="C1551" s="2" t="s">
        <v>88</v>
      </c>
      <c r="D1551" s="2" t="s">
        <v>5054</v>
      </c>
      <c r="E1551" s="2" t="s">
        <v>5055</v>
      </c>
      <c r="F1551" s="2" t="s">
        <v>428</v>
      </c>
      <c r="G1551" s="2" t="s">
        <v>429</v>
      </c>
      <c r="H1551" s="2" t="s">
        <v>430</v>
      </c>
      <c r="I1551" s="2" t="s">
        <v>5071</v>
      </c>
      <c r="J1551" s="2" t="s">
        <v>5060</v>
      </c>
      <c r="K1551" s="2" t="s">
        <v>96</v>
      </c>
      <c r="L1551" s="3">
        <v>17.6</v>
      </c>
      <c r="M1551" s="3">
        <v>18.48</v>
      </c>
      <c r="N1551" s="3">
        <v>39.99</v>
      </c>
      <c r="O1551" s="2" t="s">
        <v>97</v>
      </c>
      <c r="P1551" s="2" t="s">
        <v>119</v>
      </c>
      <c r="Q1551" s="2" t="s">
        <v>99</v>
      </c>
      <c r="R1551" s="2" t="s">
        <v>100</v>
      </c>
      <c r="S1551" s="2" t="s">
        <v>5215</v>
      </c>
      <c r="T1551" s="2" t="s">
        <v>100</v>
      </c>
      <c r="U1551" s="2" t="s">
        <v>100</v>
      </c>
      <c r="V1551" s="2" t="s">
        <v>434</v>
      </c>
      <c r="W1551" s="2" t="s">
        <v>219</v>
      </c>
      <c r="X1551" s="2" t="s">
        <v>100</v>
      </c>
      <c r="Y1551" s="2" t="s">
        <v>240</v>
      </c>
      <c r="Z1551" s="4">
        <v>513</v>
      </c>
      <c r="AA1551" s="4">
        <f>=ROUNDDOWN(23.3181818181818,0)</f>
      </c>
      <c r="AB1551" s="5">
        <v>22</v>
      </c>
      <c r="AC1551" s="2" t="s">
        <v>997</v>
      </c>
      <c r="AD1551" s="4">
        <v>100</v>
      </c>
      <c r="AE1551" s="4">
        <v>420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>
        <v>1</v>
      </c>
      <c r="AQ1551" s="8">
        <v>20.22</v>
      </c>
      <c r="AR1551" s="4"/>
      <c r="AS1551" s="8"/>
      <c r="AT1551" s="7"/>
      <c r="AU1551" s="7"/>
      <c r="AV1551" s="4">
        <v>1</v>
      </c>
      <c r="AW1551" s="8">
        <v>20.22</v>
      </c>
      <c r="AX1551" s="4"/>
      <c r="AY1551" s="8"/>
      <c r="AZ1551" s="7"/>
      <c r="BA1551" s="7"/>
      <c r="BB1551" s="7">
        <v>1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0.3333</v>
      </c>
      <c r="BJ1551" s="4">
        <v>563</v>
      </c>
      <c r="BK1551" s="8">
        <v>11081.81</v>
      </c>
      <c r="BL1551" s="2" t="s">
        <v>4839</v>
      </c>
      <c r="BM1551" s="7">
        <v>0.0018</v>
      </c>
      <c r="BN1551" s="7">
        <v>0.0018</v>
      </c>
      <c r="BO1551" s="4">
        <v>1</v>
      </c>
      <c r="BP1551" s="8">
        <v>20.22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5063</v>
      </c>
      <c r="BX1551" s="2" t="s">
        <v>5216</v>
      </c>
      <c r="BY1551" s="2" t="s">
        <v>113</v>
      </c>
      <c r="BZ1551" s="2" t="s">
        <v>100</v>
      </c>
    </row>
    <row r="1552">
      <c r="A1552" s="2" t="s">
        <v>5217</v>
      </c>
      <c r="B1552" s="2" t="s">
        <v>5053</v>
      </c>
      <c r="C1552" s="2" t="s">
        <v>88</v>
      </c>
      <c r="D1552" s="2" t="s">
        <v>5054</v>
      </c>
      <c r="E1552" s="2" t="s">
        <v>5055</v>
      </c>
      <c r="F1552" s="2" t="s">
        <v>5218</v>
      </c>
      <c r="G1552" s="2" t="s">
        <v>5219</v>
      </c>
      <c r="H1552" s="2" t="s">
        <v>5220</v>
      </c>
      <c r="I1552" s="2" t="s">
        <v>5221</v>
      </c>
      <c r="J1552" s="2" t="s">
        <v>5060</v>
      </c>
      <c r="K1552" s="2" t="s">
        <v>198</v>
      </c>
      <c r="L1552" s="3">
        <v>13.07</v>
      </c>
      <c r="M1552" s="3">
        <v>13.72</v>
      </c>
      <c r="N1552" s="3">
        <v>27.99</v>
      </c>
      <c r="O1552" s="2" t="s">
        <v>97</v>
      </c>
      <c r="P1552" s="2" t="s">
        <v>119</v>
      </c>
      <c r="Q1552" s="2" t="s">
        <v>99</v>
      </c>
      <c r="R1552" s="2" t="s">
        <v>100</v>
      </c>
      <c r="S1552" s="2" t="s">
        <v>5222</v>
      </c>
      <c r="T1552" s="2" t="s">
        <v>100</v>
      </c>
      <c r="U1552" s="2" t="s">
        <v>1847</v>
      </c>
      <c r="V1552" s="2" t="s">
        <v>5223</v>
      </c>
      <c r="W1552" s="2" t="s">
        <v>561</v>
      </c>
      <c r="X1552" s="2" t="s">
        <v>183</v>
      </c>
      <c r="Y1552" s="2" t="s">
        <v>5224</v>
      </c>
      <c r="Z1552" s="4">
        <v>585</v>
      </c>
      <c r="AA1552" s="4">
        <f>=ROUNDDOWN(13,0)</f>
      </c>
      <c r="AB1552" s="5">
        <v>45</v>
      </c>
      <c r="AC1552" s="2" t="s">
        <v>872</v>
      </c>
      <c r="AD1552" s="4">
        <v>600</v>
      </c>
      <c r="AE1552" s="4">
        <v>1200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>
        <v>3</v>
      </c>
      <c r="AQ1552" s="8">
        <v>46.8</v>
      </c>
      <c r="AR1552" s="4"/>
      <c r="AS1552" s="8"/>
      <c r="AT1552" s="7"/>
      <c r="AU1552" s="7"/>
      <c r="AV1552" s="4">
        <v>3</v>
      </c>
      <c r="AW1552" s="8">
        <v>46.8</v>
      </c>
      <c r="AX1552" s="4"/>
      <c r="AY1552" s="8"/>
      <c r="AZ1552" s="7"/>
      <c r="BA1552" s="7"/>
      <c r="BB1552" s="7">
        <v>1</v>
      </c>
      <c r="BC1552" s="4">
        <v>3</v>
      </c>
      <c r="BD1552" s="8">
        <v>46.8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>
        <v>1</v>
      </c>
      <c r="BJ1552" s="4">
        <v>1156</v>
      </c>
      <c r="BK1552" s="8">
        <v>16657.04</v>
      </c>
      <c r="BL1552" s="2" t="s">
        <v>5225</v>
      </c>
      <c r="BM1552" s="7">
        <v>0.0026</v>
      </c>
      <c r="BN1552" s="7">
        <v>0.0028</v>
      </c>
      <c r="BO1552" s="4">
        <v>3</v>
      </c>
      <c r="BP1552" s="8">
        <v>46.8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5226</v>
      </c>
      <c r="BX1552" s="2" t="s">
        <v>5227</v>
      </c>
      <c r="BY1552" s="2" t="s">
        <v>113</v>
      </c>
      <c r="BZ1552" s="2" t="s">
        <v>100</v>
      </c>
    </row>
    <row r="1553">
      <c r="A1553" s="2" t="s">
        <v>5228</v>
      </c>
      <c r="B1553" s="2" t="s">
        <v>5053</v>
      </c>
      <c r="C1553" s="2" t="s">
        <v>88</v>
      </c>
      <c r="D1553" s="2" t="s">
        <v>5054</v>
      </c>
      <c r="E1553" s="2" t="s">
        <v>5055</v>
      </c>
      <c r="F1553" s="2" t="s">
        <v>5218</v>
      </c>
      <c r="G1553" s="2" t="s">
        <v>5219</v>
      </c>
      <c r="H1553" s="2" t="s">
        <v>5220</v>
      </c>
      <c r="I1553" s="2" t="s">
        <v>5221</v>
      </c>
      <c r="J1553" s="2" t="s">
        <v>5060</v>
      </c>
      <c r="K1553" s="2" t="s">
        <v>96</v>
      </c>
      <c r="L1553" s="3">
        <v>13.07</v>
      </c>
      <c r="M1553" s="3">
        <v>13.72</v>
      </c>
      <c r="N1553" s="3">
        <v>27.99</v>
      </c>
      <c r="O1553" s="2" t="s">
        <v>97</v>
      </c>
      <c r="P1553" s="2" t="s">
        <v>225</v>
      </c>
      <c r="Q1553" s="2" t="s">
        <v>99</v>
      </c>
      <c r="R1553" s="2" t="s">
        <v>100</v>
      </c>
      <c r="S1553" s="2" t="s">
        <v>5222</v>
      </c>
      <c r="T1553" s="2" t="s">
        <v>100</v>
      </c>
      <c r="U1553" s="2" t="s">
        <v>1847</v>
      </c>
      <c r="V1553" s="2" t="s">
        <v>5223</v>
      </c>
      <c r="W1553" s="2" t="s">
        <v>561</v>
      </c>
      <c r="X1553" s="2" t="s">
        <v>183</v>
      </c>
      <c r="Y1553" s="2" t="s">
        <v>5229</v>
      </c>
      <c r="Z1553" s="4">
        <v>329</v>
      </c>
      <c r="AA1553" s="4">
        <f>=ROUNDDOWN(9.96969696969697,0)</f>
      </c>
      <c r="AB1553" s="5">
        <v>33</v>
      </c>
      <c r="AC1553" s="2" t="s">
        <v>174</v>
      </c>
      <c r="AD1553" s="4">
        <v>600</v>
      </c>
      <c r="AE1553" s="4">
        <v>740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264</v>
      </c>
      <c r="BK1553" s="8">
        <v>3601.72</v>
      </c>
      <c r="BL1553" s="2" t="s">
        <v>5230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207</v>
      </c>
      <c r="BV1553" s="2" t="s">
        <v>97</v>
      </c>
      <c r="BW1553" s="2" t="s">
        <v>100</v>
      </c>
      <c r="BX1553" s="2" t="s">
        <v>100</v>
      </c>
      <c r="BY1553" s="2" t="s">
        <v>113</v>
      </c>
      <c r="BZ1553" s="2" t="s">
        <v>100</v>
      </c>
    </row>
    <row r="1554">
      <c r="A1554" s="2" t="s">
        <v>5231</v>
      </c>
      <c r="B1554" s="2" t="s">
        <v>5053</v>
      </c>
      <c r="C1554" s="2" t="s">
        <v>88</v>
      </c>
      <c r="D1554" s="2" t="s">
        <v>5054</v>
      </c>
      <c r="E1554" s="2" t="s">
        <v>5055</v>
      </c>
      <c r="F1554" s="2" t="s">
        <v>5218</v>
      </c>
      <c r="G1554" s="2" t="s">
        <v>5219</v>
      </c>
      <c r="H1554" s="2" t="s">
        <v>5220</v>
      </c>
      <c r="I1554" s="2" t="s">
        <v>5221</v>
      </c>
      <c r="J1554" s="2" t="s">
        <v>5060</v>
      </c>
      <c r="K1554" s="2" t="s">
        <v>629</v>
      </c>
      <c r="L1554" s="3">
        <v>13.07</v>
      </c>
      <c r="M1554" s="3">
        <v>13.72</v>
      </c>
      <c r="N1554" s="3">
        <v>27.99</v>
      </c>
      <c r="O1554" s="2" t="s">
        <v>97</v>
      </c>
      <c r="P1554" s="2" t="s">
        <v>98</v>
      </c>
      <c r="Q1554" s="2" t="s">
        <v>99</v>
      </c>
      <c r="R1554" s="2" t="s">
        <v>100</v>
      </c>
      <c r="S1554" s="2" t="s">
        <v>5232</v>
      </c>
      <c r="T1554" s="2" t="s">
        <v>100</v>
      </c>
      <c r="U1554" s="2" t="s">
        <v>1847</v>
      </c>
      <c r="V1554" s="2" t="s">
        <v>5223</v>
      </c>
      <c r="W1554" s="2" t="s">
        <v>561</v>
      </c>
      <c r="X1554" s="2" t="s">
        <v>183</v>
      </c>
      <c r="Y1554" s="2" t="s">
        <v>5233</v>
      </c>
      <c r="Z1554" s="4">
        <v>1197</v>
      </c>
      <c r="AA1554" s="4">
        <f>=ROUNDDOWN(15.96,0)</f>
      </c>
      <c r="AB1554" s="5">
        <v>75</v>
      </c>
      <c r="AC1554" s="2" t="s">
        <v>872</v>
      </c>
      <c r="AD1554" s="4">
        <v>600</v>
      </c>
      <c r="AE1554" s="4">
        <v>1500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1730</v>
      </c>
      <c r="BK1554" s="8">
        <v>26524.01</v>
      </c>
      <c r="BL1554" s="2" t="s">
        <v>5234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207</v>
      </c>
      <c r="BV1554" s="2" t="s">
        <v>97</v>
      </c>
      <c r="BW1554" s="2" t="s">
        <v>100</v>
      </c>
      <c r="BX1554" s="2" t="s">
        <v>100</v>
      </c>
      <c r="BY1554" s="2" t="s">
        <v>113</v>
      </c>
      <c r="BZ1554" s="2" t="s">
        <v>245</v>
      </c>
    </row>
    <row r="1555">
      <c r="A1555" s="2" t="s">
        <v>5235</v>
      </c>
      <c r="B1555" s="2" t="s">
        <v>5053</v>
      </c>
      <c r="C1555" s="2" t="s">
        <v>88</v>
      </c>
      <c r="D1555" s="2" t="s">
        <v>5054</v>
      </c>
      <c r="E1555" s="2" t="s">
        <v>5055</v>
      </c>
      <c r="F1555" s="2" t="s">
        <v>1505</v>
      </c>
      <c r="G1555" s="2" t="s">
        <v>5236</v>
      </c>
      <c r="H1555" s="2" t="s">
        <v>5237</v>
      </c>
      <c r="I1555" s="2" t="s">
        <v>5238</v>
      </c>
      <c r="J1555" s="2" t="s">
        <v>5060</v>
      </c>
      <c r="K1555" s="2" t="s">
        <v>189</v>
      </c>
      <c r="L1555" s="3">
        <v>13.2</v>
      </c>
      <c r="M1555" s="3">
        <v>13.86</v>
      </c>
      <c r="N1555" s="3">
        <v>29.99</v>
      </c>
      <c r="O1555" s="2" t="s">
        <v>97</v>
      </c>
      <c r="P1555" s="2" t="s">
        <v>119</v>
      </c>
      <c r="Q1555" s="2" t="s">
        <v>99</v>
      </c>
      <c r="R1555" s="2" t="s">
        <v>100</v>
      </c>
      <c r="S1555" s="2" t="s">
        <v>1123</v>
      </c>
      <c r="T1555" s="2" t="s">
        <v>100</v>
      </c>
      <c r="U1555" s="2" t="s">
        <v>100</v>
      </c>
      <c r="V1555" s="2" t="s">
        <v>146</v>
      </c>
      <c r="W1555" s="2" t="s">
        <v>219</v>
      </c>
      <c r="X1555" s="2" t="s">
        <v>100</v>
      </c>
      <c r="Y1555" s="2" t="s">
        <v>5239</v>
      </c>
      <c r="Z1555" s="4">
        <v>2050</v>
      </c>
      <c r="AA1555" s="4">
        <f>=ROUNDDOWN(25.625,0)</f>
      </c>
      <c r="AB1555" s="5">
        <v>80</v>
      </c>
      <c r="AC1555" s="2" t="s">
        <v>356</v>
      </c>
      <c r="AD1555" s="4">
        <v>600</v>
      </c>
      <c r="AE1555" s="4">
        <v>4000</v>
      </c>
      <c r="AF1555" s="6">
        <v>65</v>
      </c>
      <c r="AG1555" s="6"/>
      <c r="AH1555" s="7">
        <v>0.6257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>
        <v>3</v>
      </c>
      <c r="AQ1555" s="8">
        <v>43.29</v>
      </c>
      <c r="AR1555" s="4"/>
      <c r="AS1555" s="8"/>
      <c r="AT1555" s="7"/>
      <c r="AU1555" s="7"/>
      <c r="AV1555" s="4">
        <v>3</v>
      </c>
      <c r="AW1555" s="8">
        <v>43.29</v>
      </c>
      <c r="AX1555" s="4"/>
      <c r="AY1555" s="8"/>
      <c r="AZ1555" s="7"/>
      <c r="BA1555" s="7"/>
      <c r="BB1555" s="7">
        <v>1</v>
      </c>
      <c r="BC1555" s="4">
        <v>3</v>
      </c>
      <c r="BD1555" s="8">
        <v>43.29</v>
      </c>
      <c r="BE1555" s="4"/>
      <c r="BF1555" s="8"/>
      <c r="BG1555" s="7"/>
      <c r="BH1555" s="7"/>
      <c r="BI1555" s="7">
        <v>1</v>
      </c>
      <c r="BJ1555" s="4">
        <v>2680</v>
      </c>
      <c r="BK1555" s="8">
        <v>40654.11</v>
      </c>
      <c r="BL1555" s="2" t="s">
        <v>843</v>
      </c>
      <c r="BM1555" s="7">
        <v>0.0011</v>
      </c>
      <c r="BN1555" s="7">
        <v>0.0011</v>
      </c>
      <c r="BO1555" s="4">
        <v>3</v>
      </c>
      <c r="BP1555" s="8">
        <v>43.29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5063</v>
      </c>
      <c r="BX1555" s="2" t="s">
        <v>868</v>
      </c>
      <c r="BY1555" s="2" t="s">
        <v>113</v>
      </c>
      <c r="BZ1555" s="2" t="s">
        <v>100</v>
      </c>
    </row>
    <row r="1556">
      <c r="A1556" s="2" t="s">
        <v>5240</v>
      </c>
      <c r="B1556" s="2" t="s">
        <v>5053</v>
      </c>
      <c r="C1556" s="2" t="s">
        <v>88</v>
      </c>
      <c r="D1556" s="2" t="s">
        <v>5054</v>
      </c>
      <c r="E1556" s="2" t="s">
        <v>5055</v>
      </c>
      <c r="F1556" s="2" t="s">
        <v>5241</v>
      </c>
      <c r="G1556" s="2" t="s">
        <v>5242</v>
      </c>
      <c r="H1556" s="2" t="s">
        <v>5243</v>
      </c>
      <c r="I1556" s="2" t="s">
        <v>5055</v>
      </c>
      <c r="J1556" s="2" t="s">
        <v>5060</v>
      </c>
      <c r="K1556" s="2" t="s">
        <v>198</v>
      </c>
      <c r="L1556" s="3">
        <v>16.45</v>
      </c>
      <c r="M1556" s="3">
        <v>17.27</v>
      </c>
      <c r="N1556" s="3">
        <v>34.99</v>
      </c>
      <c r="O1556" s="2" t="s">
        <v>97</v>
      </c>
      <c r="P1556" s="2" t="s">
        <v>119</v>
      </c>
      <c r="Q1556" s="2" t="s">
        <v>99</v>
      </c>
      <c r="R1556" s="2" t="s">
        <v>100</v>
      </c>
      <c r="S1556" s="2" t="s">
        <v>5244</v>
      </c>
      <c r="T1556" s="2" t="s">
        <v>100</v>
      </c>
      <c r="U1556" s="2" t="s">
        <v>1847</v>
      </c>
      <c r="V1556" s="2" t="s">
        <v>5245</v>
      </c>
      <c r="W1556" s="2" t="s">
        <v>183</v>
      </c>
      <c r="X1556" s="2" t="s">
        <v>158</v>
      </c>
      <c r="Y1556" s="2" t="s">
        <v>5246</v>
      </c>
      <c r="Z1556" s="4">
        <v>297</v>
      </c>
      <c r="AA1556" s="4">
        <f>=ROUNDDOWN(17.4705882352941,0)</f>
      </c>
      <c r="AB1556" s="5">
        <v>17</v>
      </c>
      <c r="AC1556" s="2" t="s">
        <v>356</v>
      </c>
      <c r="AD1556" s="4">
        <v>360</v>
      </c>
      <c r="AE1556" s="4">
        <v>740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>
        <v>2</v>
      </c>
      <c r="AQ1556" s="8">
        <v>34.54</v>
      </c>
      <c r="AR1556" s="4"/>
      <c r="AS1556" s="8"/>
      <c r="AT1556" s="7"/>
      <c r="AU1556" s="7"/>
      <c r="AV1556" s="4">
        <v>2</v>
      </c>
      <c r="AW1556" s="8">
        <v>34.54</v>
      </c>
      <c r="AX1556" s="4"/>
      <c r="AY1556" s="8"/>
      <c r="AZ1556" s="7"/>
      <c r="BA1556" s="7"/>
      <c r="BB1556" s="7">
        <v>1</v>
      </c>
      <c r="BC1556" s="4">
        <v>2</v>
      </c>
      <c r="BD1556" s="8">
        <v>34.54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>
        <v>1</v>
      </c>
      <c r="BJ1556" s="4">
        <v>440</v>
      </c>
      <c r="BK1556" s="8">
        <v>7897.79</v>
      </c>
      <c r="BL1556" s="2" t="s">
        <v>5247</v>
      </c>
      <c r="BM1556" s="7">
        <v>0.0045</v>
      </c>
      <c r="BN1556" s="7">
        <v>0.0044</v>
      </c>
      <c r="BO1556" s="4">
        <v>2</v>
      </c>
      <c r="BP1556" s="8">
        <v>34.54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5167</v>
      </c>
      <c r="BX1556" s="2" t="s">
        <v>5248</v>
      </c>
      <c r="BY1556" s="2" t="s">
        <v>113</v>
      </c>
      <c r="BZ1556" s="2" t="s">
        <v>100</v>
      </c>
    </row>
    <row r="1557">
      <c r="A1557" s="2" t="s">
        <v>5249</v>
      </c>
      <c r="B1557" s="2" t="s">
        <v>5053</v>
      </c>
      <c r="C1557" s="2" t="s">
        <v>88</v>
      </c>
      <c r="D1557" s="2" t="s">
        <v>5054</v>
      </c>
      <c r="E1557" s="2" t="s">
        <v>5055</v>
      </c>
      <c r="F1557" s="2" t="s">
        <v>5241</v>
      </c>
      <c r="G1557" s="2" t="s">
        <v>5242</v>
      </c>
      <c r="H1557" s="2" t="s">
        <v>5243</v>
      </c>
      <c r="I1557" s="2" t="s">
        <v>5055</v>
      </c>
      <c r="J1557" s="2" t="s">
        <v>5060</v>
      </c>
      <c r="K1557" s="2" t="s">
        <v>432</v>
      </c>
      <c r="L1557" s="3">
        <v>16.45</v>
      </c>
      <c r="M1557" s="3">
        <v>17.27</v>
      </c>
      <c r="N1557" s="3">
        <v>34.99</v>
      </c>
      <c r="O1557" s="2" t="s">
        <v>97</v>
      </c>
      <c r="P1557" s="2" t="s">
        <v>119</v>
      </c>
      <c r="Q1557" s="2" t="s">
        <v>99</v>
      </c>
      <c r="R1557" s="2" t="s">
        <v>100</v>
      </c>
      <c r="S1557" s="2" t="s">
        <v>5250</v>
      </c>
      <c r="T1557" s="2" t="s">
        <v>100</v>
      </c>
      <c r="U1557" s="2" t="s">
        <v>1847</v>
      </c>
      <c r="V1557" s="2" t="s">
        <v>5245</v>
      </c>
      <c r="W1557" s="2" t="s">
        <v>183</v>
      </c>
      <c r="X1557" s="2" t="s">
        <v>158</v>
      </c>
      <c r="Y1557" s="2" t="s">
        <v>5251</v>
      </c>
      <c r="Z1557" s="4">
        <v>234</v>
      </c>
      <c r="AA1557" s="4">
        <f>=ROUNDDOWN(12.3157894736842,0)</f>
      </c>
      <c r="AB1557" s="5">
        <v>19</v>
      </c>
      <c r="AC1557" s="2" t="s">
        <v>356</v>
      </c>
      <c r="AD1557" s="4">
        <v>660</v>
      </c>
      <c r="AE1557" s="4">
        <v>940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/>
      <c r="BJ1557" s="4">
        <v>570</v>
      </c>
      <c r="BK1557" s="8">
        <v>10219.23</v>
      </c>
      <c r="BL1557" s="2" t="s">
        <v>5252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207</v>
      </c>
      <c r="BV1557" s="2" t="s">
        <v>97</v>
      </c>
      <c r="BW1557" s="2" t="s">
        <v>100</v>
      </c>
      <c r="BX1557" s="2" t="s">
        <v>100</v>
      </c>
      <c r="BY1557" s="2" t="s">
        <v>113</v>
      </c>
      <c r="BZ1557" s="2" t="s">
        <v>245</v>
      </c>
    </row>
    <row r="1558">
      <c r="A1558" s="2" t="s">
        <v>5253</v>
      </c>
      <c r="B1558" s="2" t="s">
        <v>5053</v>
      </c>
      <c r="C1558" s="2" t="s">
        <v>88</v>
      </c>
      <c r="D1558" s="2" t="s">
        <v>5054</v>
      </c>
      <c r="E1558" s="2" t="s">
        <v>5055</v>
      </c>
      <c r="F1558" s="2" t="s">
        <v>5254</v>
      </c>
      <c r="G1558" s="2" t="s">
        <v>5255</v>
      </c>
      <c r="H1558" s="2" t="s">
        <v>5256</v>
      </c>
      <c r="I1558" s="2" t="s">
        <v>5257</v>
      </c>
      <c r="J1558" s="2" t="s">
        <v>5060</v>
      </c>
      <c r="K1558" s="2" t="s">
        <v>96</v>
      </c>
      <c r="L1558" s="3">
        <v>20.16</v>
      </c>
      <c r="M1558" s="3">
        <v>21.17</v>
      </c>
      <c r="N1558" s="3">
        <v>47.99</v>
      </c>
      <c r="O1558" s="2" t="s">
        <v>97</v>
      </c>
      <c r="P1558" s="2" t="s">
        <v>119</v>
      </c>
      <c r="Q1558" s="2" t="s">
        <v>99</v>
      </c>
      <c r="R1558" s="2" t="s">
        <v>100</v>
      </c>
      <c r="S1558" s="2" t="s">
        <v>5258</v>
      </c>
      <c r="T1558" s="2" t="s">
        <v>100</v>
      </c>
      <c r="U1558" s="2" t="s">
        <v>1847</v>
      </c>
      <c r="V1558" s="2" t="s">
        <v>256</v>
      </c>
      <c r="W1558" s="2" t="s">
        <v>561</v>
      </c>
      <c r="X1558" s="2" t="s">
        <v>100</v>
      </c>
      <c r="Y1558" s="2" t="s">
        <v>4537</v>
      </c>
      <c r="Z1558" s="4">
        <v>257</v>
      </c>
      <c r="AA1558" s="4">
        <f>=ROUNDDOWN(11.1739130434783,0)</f>
      </c>
      <c r="AB1558" s="5">
        <v>23</v>
      </c>
      <c r="AC1558" s="2" t="s">
        <v>174</v>
      </c>
      <c r="AD1558" s="4">
        <v>600</v>
      </c>
      <c r="AE1558" s="4">
        <v>600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>
        <v>1</v>
      </c>
      <c r="AQ1558" s="8">
        <v>20.79</v>
      </c>
      <c r="AR1558" s="4"/>
      <c r="AS1558" s="8"/>
      <c r="AT1558" s="7"/>
      <c r="AU1558" s="7"/>
      <c r="AV1558" s="4">
        <v>1</v>
      </c>
      <c r="AW1558" s="8">
        <v>20.79</v>
      </c>
      <c r="AX1558" s="4"/>
      <c r="AY1558" s="8"/>
      <c r="AZ1558" s="7"/>
      <c r="BA1558" s="7"/>
      <c r="BB1558" s="7">
        <v>1</v>
      </c>
      <c r="BC1558" s="4">
        <v>1</v>
      </c>
      <c r="BD1558" s="8">
        <v>20.79</v>
      </c>
      <c r="BE1558" s="4"/>
      <c r="BF1558" s="8"/>
      <c r="BG1558" s="7"/>
      <c r="BH1558" s="7"/>
      <c r="BI1558" s="7">
        <v>1</v>
      </c>
      <c r="BJ1558" s="4">
        <v>575</v>
      </c>
      <c r="BK1558" s="8">
        <v>11725.46</v>
      </c>
      <c r="BL1558" s="2" t="s">
        <v>5259</v>
      </c>
      <c r="BM1558" s="7">
        <v>0.0017</v>
      </c>
      <c r="BN1558" s="7">
        <v>0.0018</v>
      </c>
      <c r="BO1558" s="4">
        <v>1</v>
      </c>
      <c r="BP1558" s="8">
        <v>20.79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5226</v>
      </c>
      <c r="BX1558" s="2" t="s">
        <v>5260</v>
      </c>
      <c r="BY1558" s="2" t="s">
        <v>113</v>
      </c>
      <c r="BZ1558" s="2" t="s">
        <v>100</v>
      </c>
    </row>
    <row r="1559">
      <c r="A1559" s="2" t="s">
        <v>5261</v>
      </c>
      <c r="B1559" s="2" t="s">
        <v>5053</v>
      </c>
      <c r="C1559" s="2" t="s">
        <v>88</v>
      </c>
      <c r="D1559" s="2" t="s">
        <v>5054</v>
      </c>
      <c r="E1559" s="2" t="s">
        <v>5055</v>
      </c>
      <c r="F1559" s="2" t="s">
        <v>233</v>
      </c>
      <c r="G1559" s="2" t="s">
        <v>234</v>
      </c>
      <c r="H1559" s="2" t="s">
        <v>235</v>
      </c>
      <c r="I1559" s="2" t="s">
        <v>5055</v>
      </c>
      <c r="J1559" s="2" t="s">
        <v>5060</v>
      </c>
      <c r="K1559" s="2" t="s">
        <v>118</v>
      </c>
      <c r="L1559" s="3">
        <v>17.6</v>
      </c>
      <c r="M1559" s="3">
        <v>18.48</v>
      </c>
      <c r="N1559" s="3">
        <v>39.99</v>
      </c>
      <c r="O1559" s="2" t="s">
        <v>97</v>
      </c>
      <c r="P1559" s="2" t="s">
        <v>119</v>
      </c>
      <c r="Q1559" s="2" t="s">
        <v>99</v>
      </c>
      <c r="R1559" s="2" t="s">
        <v>100</v>
      </c>
      <c r="S1559" s="2" t="s">
        <v>238</v>
      </c>
      <c r="T1559" s="2" t="s">
        <v>100</v>
      </c>
      <c r="U1559" s="2" t="s">
        <v>100</v>
      </c>
      <c r="V1559" s="2" t="s">
        <v>239</v>
      </c>
      <c r="W1559" s="2" t="s">
        <v>239</v>
      </c>
      <c r="X1559" s="2" t="s">
        <v>100</v>
      </c>
      <c r="Y1559" s="2" t="s">
        <v>240</v>
      </c>
      <c r="Z1559" s="4">
        <v>757</v>
      </c>
      <c r="AA1559" s="4">
        <f>=ROUNDDOWN(30.28,0)</f>
      </c>
      <c r="AB1559" s="5">
        <v>25</v>
      </c>
      <c r="AC1559" s="2" t="s">
        <v>356</v>
      </c>
      <c r="AD1559" s="4">
        <v>756</v>
      </c>
      <c r="AE1559" s="4">
        <v>1236</v>
      </c>
      <c r="AF1559" s="6">
        <v>65</v>
      </c>
      <c r="AG1559" s="6"/>
      <c r="AH1559" s="7">
        <v>0.6684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>
        <v>1</v>
      </c>
      <c r="AQ1559" s="8">
        <v>19.06</v>
      </c>
      <c r="AR1559" s="4"/>
      <c r="AS1559" s="8"/>
      <c r="AT1559" s="7"/>
      <c r="AU1559" s="7"/>
      <c r="AV1559" s="4">
        <v>1</v>
      </c>
      <c r="AW1559" s="8">
        <v>19.06</v>
      </c>
      <c r="AX1559" s="4"/>
      <c r="AY1559" s="8"/>
      <c r="AZ1559" s="7"/>
      <c r="BA1559" s="7"/>
      <c r="BB1559" s="7">
        <v>1</v>
      </c>
      <c r="BC1559" s="4">
        <v>1</v>
      </c>
      <c r="BD1559" s="8">
        <v>19.06</v>
      </c>
      <c r="BE1559" s="4"/>
      <c r="BF1559" s="8"/>
      <c r="BG1559" s="7"/>
      <c r="BH1559" s="7"/>
      <c r="BI1559" s="7">
        <v>1</v>
      </c>
      <c r="BJ1559" s="4">
        <v>408</v>
      </c>
      <c r="BK1559" s="8">
        <v>7715.25</v>
      </c>
      <c r="BL1559" s="2" t="s">
        <v>5262</v>
      </c>
      <c r="BM1559" s="7">
        <v>0.0025</v>
      </c>
      <c r="BN1559" s="7">
        <v>0.0025</v>
      </c>
      <c r="BO1559" s="4">
        <v>1</v>
      </c>
      <c r="BP1559" s="8">
        <v>19.06</v>
      </c>
      <c r="BQ1559" s="4"/>
      <c r="BR1559" s="8"/>
      <c r="BS1559" s="7"/>
      <c r="BT1559" s="7"/>
      <c r="BU1559" s="2" t="s">
        <v>109</v>
      </c>
      <c r="BV1559" s="2" t="s">
        <v>110</v>
      </c>
      <c r="BW1559" s="2" t="s">
        <v>243</v>
      </c>
      <c r="BX1559" s="2" t="s">
        <v>312</v>
      </c>
      <c r="BY1559" s="2" t="s">
        <v>113</v>
      </c>
      <c r="BZ1559" s="2" t="s">
        <v>100</v>
      </c>
    </row>
    <row r="1560">
      <c r="A1560" s="2" t="s">
        <v>5263</v>
      </c>
      <c r="B1560" s="2" t="s">
        <v>5053</v>
      </c>
      <c r="C1560" s="2" t="s">
        <v>88</v>
      </c>
      <c r="D1560" s="2" t="s">
        <v>5054</v>
      </c>
      <c r="E1560" s="2" t="s">
        <v>5055</v>
      </c>
      <c r="F1560" s="2" t="s">
        <v>5264</v>
      </c>
      <c r="G1560" s="2" t="s">
        <v>5265</v>
      </c>
      <c r="H1560" s="2" t="s">
        <v>5266</v>
      </c>
      <c r="I1560" s="2" t="s">
        <v>5267</v>
      </c>
      <c r="J1560" s="2" t="s">
        <v>5060</v>
      </c>
      <c r="K1560" s="2" t="s">
        <v>118</v>
      </c>
      <c r="L1560" s="3">
        <v>13.2</v>
      </c>
      <c r="M1560" s="3">
        <v>13.86</v>
      </c>
      <c r="N1560" s="3">
        <v>29.99</v>
      </c>
      <c r="O1560" s="2" t="s">
        <v>97</v>
      </c>
      <c r="P1560" s="2" t="s">
        <v>225</v>
      </c>
      <c r="Q1560" s="2" t="s">
        <v>99</v>
      </c>
      <c r="R1560" s="2" t="s">
        <v>100</v>
      </c>
      <c r="S1560" s="2" t="s">
        <v>5268</v>
      </c>
      <c r="T1560" s="2" t="s">
        <v>218</v>
      </c>
      <c r="U1560" s="2" t="s">
        <v>1847</v>
      </c>
      <c r="V1560" s="2" t="s">
        <v>2661</v>
      </c>
      <c r="W1560" s="2" t="s">
        <v>158</v>
      </c>
      <c r="X1560" s="2" t="s">
        <v>561</v>
      </c>
      <c r="Y1560" s="2" t="s">
        <v>5138</v>
      </c>
      <c r="Z1560" s="4"/>
      <c r="AA1560" s="4">
        <f>=ROUNDDOWN({0},0)</f>
      </c>
      <c r="AB1560" s="5">
        <v>14</v>
      </c>
      <c r="AC1560" s="2" t="s">
        <v>562</v>
      </c>
      <c r="AD1560" s="4">
        <v>1156</v>
      </c>
      <c r="AE1560" s="4">
        <v>1156</v>
      </c>
      <c r="AF1560" s="6">
        <v>65</v>
      </c>
      <c r="AG1560" s="6"/>
      <c r="AH1560" s="7">
        <v>0.3262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>
        <v>226</v>
      </c>
      <c r="BK1560" s="8">
        <v>3425.64</v>
      </c>
      <c r="BL1560" s="2" t="s">
        <v>5269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207</v>
      </c>
      <c r="BV1560" s="2" t="s">
        <v>97</v>
      </c>
      <c r="BW1560" s="2" t="s">
        <v>100</v>
      </c>
      <c r="BX1560" s="2" t="s">
        <v>100</v>
      </c>
      <c r="BY1560" s="2" t="s">
        <v>113</v>
      </c>
      <c r="BZ1560" s="2" t="s">
        <v>245</v>
      </c>
    </row>
    <row r="1561">
      <c r="A1561" s="2" t="s">
        <v>5270</v>
      </c>
      <c r="B1561" s="2" t="s">
        <v>5053</v>
      </c>
      <c r="C1561" s="2" t="s">
        <v>88</v>
      </c>
      <c r="D1561" s="2" t="s">
        <v>5054</v>
      </c>
      <c r="E1561" s="2" t="s">
        <v>5055</v>
      </c>
      <c r="F1561" s="2" t="s">
        <v>828</v>
      </c>
      <c r="G1561" s="2" t="s">
        <v>829</v>
      </c>
      <c r="H1561" s="2" t="s">
        <v>830</v>
      </c>
      <c r="I1561" s="2" t="s">
        <v>5271</v>
      </c>
      <c r="J1561" s="2" t="s">
        <v>5060</v>
      </c>
      <c r="K1561" s="2" t="s">
        <v>118</v>
      </c>
      <c r="L1561" s="3">
        <v>18.92</v>
      </c>
      <c r="M1561" s="3">
        <v>19.87</v>
      </c>
      <c r="N1561" s="3">
        <v>42.99</v>
      </c>
      <c r="O1561" s="2" t="s">
        <v>97</v>
      </c>
      <c r="P1561" s="2" t="s">
        <v>119</v>
      </c>
      <c r="Q1561" s="2" t="s">
        <v>99</v>
      </c>
      <c r="R1561" s="2" t="s">
        <v>100</v>
      </c>
      <c r="S1561" s="2" t="s">
        <v>846</v>
      </c>
      <c r="T1561" s="2" t="s">
        <v>280</v>
      </c>
      <c r="U1561" s="2" t="s">
        <v>1847</v>
      </c>
      <c r="V1561" s="2" t="s">
        <v>256</v>
      </c>
      <c r="W1561" s="2" t="s">
        <v>183</v>
      </c>
      <c r="X1561" s="2" t="s">
        <v>561</v>
      </c>
      <c r="Y1561" s="2" t="s">
        <v>1695</v>
      </c>
      <c r="Z1561" s="4">
        <v>126</v>
      </c>
      <c r="AA1561" s="4">
        <f>=ROUNDDOWN(7.875,0)</f>
      </c>
      <c r="AB1561" s="5">
        <v>16</v>
      </c>
      <c r="AC1561" s="2" t="s">
        <v>320</v>
      </c>
      <c r="AD1561" s="4">
        <v>228</v>
      </c>
      <c r="AE1561" s="4">
        <v>228</v>
      </c>
      <c r="AF1561" s="6">
        <v>65</v>
      </c>
      <c r="AG1561" s="6"/>
      <c r="AH1561" s="7">
        <v>0.9626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344</v>
      </c>
      <c r="BK1561" s="8">
        <v>7345.78</v>
      </c>
      <c r="BL1561" s="2" t="s">
        <v>2107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207</v>
      </c>
      <c r="BV1561" s="2" t="s">
        <v>97</v>
      </c>
      <c r="BW1561" s="2" t="s">
        <v>100</v>
      </c>
      <c r="BX1561" s="2" t="s">
        <v>100</v>
      </c>
      <c r="BY1561" s="2" t="s">
        <v>113</v>
      </c>
      <c r="BZ1561" s="2" t="s">
        <v>245</v>
      </c>
    </row>
    <row r="1562">
      <c r="A1562" s="2" t="s">
        <v>5272</v>
      </c>
      <c r="B1562" s="2" t="s">
        <v>5053</v>
      </c>
      <c r="C1562" s="2" t="s">
        <v>88</v>
      </c>
      <c r="D1562" s="2" t="s">
        <v>5054</v>
      </c>
      <c r="E1562" s="2" t="s">
        <v>5055</v>
      </c>
      <c r="F1562" s="2" t="s">
        <v>805</v>
      </c>
      <c r="G1562" s="2" t="s">
        <v>806</v>
      </c>
      <c r="H1562" s="2" t="s">
        <v>807</v>
      </c>
      <c r="I1562" s="2" t="s">
        <v>5273</v>
      </c>
      <c r="J1562" s="2" t="s">
        <v>5060</v>
      </c>
      <c r="K1562" s="2" t="s">
        <v>335</v>
      </c>
      <c r="L1562" s="3">
        <v>18.92</v>
      </c>
      <c r="M1562" s="3">
        <v>19.87</v>
      </c>
      <c r="N1562" s="3">
        <v>42.99</v>
      </c>
      <c r="O1562" s="2" t="s">
        <v>97</v>
      </c>
      <c r="P1562" s="2" t="s">
        <v>119</v>
      </c>
      <c r="Q1562" s="2" t="s">
        <v>99</v>
      </c>
      <c r="R1562" s="2" t="s">
        <v>100</v>
      </c>
      <c r="S1562" s="2" t="s">
        <v>5274</v>
      </c>
      <c r="T1562" s="2" t="s">
        <v>100</v>
      </c>
      <c r="U1562" s="2" t="s">
        <v>1847</v>
      </c>
      <c r="V1562" s="2" t="s">
        <v>103</v>
      </c>
      <c r="W1562" s="2" t="s">
        <v>309</v>
      </c>
      <c r="X1562" s="2" t="s">
        <v>100</v>
      </c>
      <c r="Y1562" s="2" t="s">
        <v>1195</v>
      </c>
      <c r="Z1562" s="4">
        <v>551</v>
      </c>
      <c r="AA1562" s="4">
        <f>=ROUNDDOWN(55.1,0)</f>
      </c>
      <c r="AB1562" s="5">
        <v>10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205</v>
      </c>
      <c r="BK1562" s="8">
        <v>4352.96</v>
      </c>
      <c r="BL1562" s="2" t="s">
        <v>5139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207</v>
      </c>
      <c r="BV1562" s="2" t="s">
        <v>97</v>
      </c>
      <c r="BW1562" s="2" t="s">
        <v>100</v>
      </c>
      <c r="BX1562" s="2" t="s">
        <v>100</v>
      </c>
      <c r="BY1562" s="2" t="s">
        <v>113</v>
      </c>
      <c r="BZ1562" s="2" t="s">
        <v>245</v>
      </c>
    </row>
    <row r="1563">
      <c r="A1563" s="2" t="s">
        <v>5275</v>
      </c>
      <c r="B1563" s="2" t="s">
        <v>5053</v>
      </c>
      <c r="C1563" s="2" t="s">
        <v>88</v>
      </c>
      <c r="D1563" s="2" t="s">
        <v>5054</v>
      </c>
      <c r="E1563" s="2" t="s">
        <v>5055</v>
      </c>
      <c r="F1563" s="2" t="s">
        <v>805</v>
      </c>
      <c r="G1563" s="2" t="s">
        <v>806</v>
      </c>
      <c r="H1563" s="2" t="s">
        <v>807</v>
      </c>
      <c r="I1563" s="2" t="s">
        <v>5273</v>
      </c>
      <c r="J1563" s="2" t="s">
        <v>5060</v>
      </c>
      <c r="K1563" s="2" t="s">
        <v>360</v>
      </c>
      <c r="L1563" s="3">
        <v>18.92</v>
      </c>
      <c r="M1563" s="3">
        <v>19.87</v>
      </c>
      <c r="N1563" s="3">
        <v>42.99</v>
      </c>
      <c r="O1563" s="2" t="s">
        <v>97</v>
      </c>
      <c r="P1563" s="2" t="s">
        <v>119</v>
      </c>
      <c r="Q1563" s="2" t="s">
        <v>99</v>
      </c>
      <c r="R1563" s="2" t="s">
        <v>100</v>
      </c>
      <c r="S1563" s="2" t="s">
        <v>5276</v>
      </c>
      <c r="T1563" s="2" t="s">
        <v>100</v>
      </c>
      <c r="U1563" s="2" t="s">
        <v>1847</v>
      </c>
      <c r="V1563" s="2" t="s">
        <v>103</v>
      </c>
      <c r="W1563" s="2" t="s">
        <v>309</v>
      </c>
      <c r="X1563" s="2" t="s">
        <v>100</v>
      </c>
      <c r="Y1563" s="2" t="s">
        <v>4486</v>
      </c>
      <c r="Z1563" s="4">
        <v>194</v>
      </c>
      <c r="AA1563" s="4">
        <f>=ROUNDDOWN(17.6363636363636,0)</f>
      </c>
      <c r="AB1563" s="5">
        <v>11</v>
      </c>
      <c r="AC1563" s="2" t="s">
        <v>1509</v>
      </c>
      <c r="AD1563" s="4">
        <v>100</v>
      </c>
      <c r="AE1563" s="4">
        <v>300</v>
      </c>
      <c r="AF1563" s="6">
        <v>65</v>
      </c>
      <c r="AG1563" s="6"/>
      <c r="AH1563" s="7">
        <v>0.9893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350</v>
      </c>
      <c r="BK1563" s="8">
        <v>7256.07</v>
      </c>
      <c r="BL1563" s="2" t="s">
        <v>5277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207</v>
      </c>
      <c r="BV1563" s="2" t="s">
        <v>97</v>
      </c>
      <c r="BW1563" s="2" t="s">
        <v>100</v>
      </c>
      <c r="BX1563" s="2" t="s">
        <v>100</v>
      </c>
      <c r="BY1563" s="2" t="s">
        <v>113</v>
      </c>
      <c r="BZ1563" s="2" t="s">
        <v>245</v>
      </c>
    </row>
    <row r="1564">
      <c r="A1564" s="2" t="s">
        <v>5278</v>
      </c>
      <c r="B1564" s="2" t="s">
        <v>5053</v>
      </c>
      <c r="C1564" s="2" t="s">
        <v>88</v>
      </c>
      <c r="D1564" s="2" t="s">
        <v>5054</v>
      </c>
      <c r="E1564" s="2" t="s">
        <v>5055</v>
      </c>
      <c r="F1564" s="2" t="s">
        <v>1711</v>
      </c>
      <c r="G1564" s="2" t="s">
        <v>1712</v>
      </c>
      <c r="H1564" s="2" t="s">
        <v>1713</v>
      </c>
      <c r="I1564" s="2" t="s">
        <v>5279</v>
      </c>
      <c r="J1564" s="2" t="s">
        <v>5060</v>
      </c>
      <c r="K1564" s="2" t="s">
        <v>189</v>
      </c>
      <c r="L1564" s="3">
        <v>18.92</v>
      </c>
      <c r="M1564" s="3">
        <v>19.87</v>
      </c>
      <c r="N1564" s="3">
        <v>42.99</v>
      </c>
      <c r="O1564" s="2" t="s">
        <v>97</v>
      </c>
      <c r="P1564" s="2" t="s">
        <v>119</v>
      </c>
      <c r="Q1564" s="2" t="s">
        <v>99</v>
      </c>
      <c r="R1564" s="2" t="s">
        <v>100</v>
      </c>
      <c r="S1564" s="2" t="s">
        <v>1715</v>
      </c>
      <c r="T1564" s="2" t="s">
        <v>100</v>
      </c>
      <c r="U1564" s="2" t="s">
        <v>1847</v>
      </c>
      <c r="V1564" s="2" t="s">
        <v>146</v>
      </c>
      <c r="W1564" s="2" t="s">
        <v>183</v>
      </c>
      <c r="X1564" s="2" t="s">
        <v>100</v>
      </c>
      <c r="Y1564" s="2" t="s">
        <v>1716</v>
      </c>
      <c r="Z1564" s="4">
        <v>399</v>
      </c>
      <c r="AA1564" s="4">
        <f>=ROUNDDOWN(30.6923076923077,0)</f>
      </c>
      <c r="AB1564" s="5">
        <v>13</v>
      </c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311</v>
      </c>
      <c r="BK1564" s="8">
        <v>6389.55</v>
      </c>
      <c r="BL1564" s="2" t="s">
        <v>5280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2261</v>
      </c>
      <c r="BX1564" s="2" t="s">
        <v>5281</v>
      </c>
      <c r="BY1564" s="2" t="s">
        <v>113</v>
      </c>
      <c r="BZ1564" s="2" t="s">
        <v>245</v>
      </c>
    </row>
    <row r="1565">
      <c r="A1565" s="2" t="s">
        <v>5282</v>
      </c>
      <c r="B1565" s="2" t="s">
        <v>5053</v>
      </c>
      <c r="C1565" s="2" t="s">
        <v>88</v>
      </c>
      <c r="D1565" s="2" t="s">
        <v>5054</v>
      </c>
      <c r="E1565" s="2" t="s">
        <v>5055</v>
      </c>
      <c r="F1565" s="2" t="s">
        <v>2869</v>
      </c>
      <c r="G1565" s="2" t="s">
        <v>5283</v>
      </c>
      <c r="H1565" s="2" t="s">
        <v>5284</v>
      </c>
      <c r="I1565" s="2" t="s">
        <v>5271</v>
      </c>
      <c r="J1565" s="2" t="s">
        <v>5060</v>
      </c>
      <c r="K1565" s="2" t="s">
        <v>297</v>
      </c>
      <c r="L1565" s="3">
        <v>15.47</v>
      </c>
      <c r="M1565" s="3">
        <v>16.24</v>
      </c>
      <c r="N1565" s="3">
        <v>33.99</v>
      </c>
      <c r="O1565" s="2" t="s">
        <v>97</v>
      </c>
      <c r="P1565" s="2" t="s">
        <v>119</v>
      </c>
      <c r="Q1565" s="2" t="s">
        <v>99</v>
      </c>
      <c r="R1565" s="2" t="s">
        <v>100</v>
      </c>
      <c r="S1565" s="2" t="s">
        <v>5285</v>
      </c>
      <c r="T1565" s="2" t="s">
        <v>280</v>
      </c>
      <c r="U1565" s="2" t="s">
        <v>1847</v>
      </c>
      <c r="V1565" s="2" t="s">
        <v>256</v>
      </c>
      <c r="W1565" s="2" t="s">
        <v>3013</v>
      </c>
      <c r="X1565" s="2" t="s">
        <v>158</v>
      </c>
      <c r="Y1565" s="2" t="s">
        <v>5286</v>
      </c>
      <c r="Z1565" s="4">
        <v>74</v>
      </c>
      <c r="AA1565" s="4">
        <f>=ROUNDDOWN(4.11111111111111,0)</f>
      </c>
      <c r="AB1565" s="5">
        <v>18</v>
      </c>
      <c r="AC1565" s="2" t="s">
        <v>135</v>
      </c>
      <c r="AD1565" s="4">
        <v>600</v>
      </c>
      <c r="AE1565" s="4">
        <v>600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378</v>
      </c>
      <c r="BK1565" s="8">
        <v>6937.01</v>
      </c>
      <c r="BL1565" s="2" t="s">
        <v>5287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207</v>
      </c>
      <c r="BV1565" s="2" t="s">
        <v>97</v>
      </c>
      <c r="BW1565" s="2" t="s">
        <v>100</v>
      </c>
      <c r="BX1565" s="2" t="s">
        <v>100</v>
      </c>
      <c r="BY1565" s="2" t="s">
        <v>113</v>
      </c>
      <c r="BZ1565" s="2" t="s">
        <v>245</v>
      </c>
    </row>
    <row r="1566">
      <c r="A1566" s="2" t="s">
        <v>5288</v>
      </c>
      <c r="B1566" s="2" t="s">
        <v>5053</v>
      </c>
      <c r="C1566" s="2" t="s">
        <v>88</v>
      </c>
      <c r="D1566" s="2" t="s">
        <v>5054</v>
      </c>
      <c r="E1566" s="2" t="s">
        <v>5055</v>
      </c>
      <c r="F1566" s="2" t="s">
        <v>5289</v>
      </c>
      <c r="G1566" s="2" t="s">
        <v>5290</v>
      </c>
      <c r="H1566" s="2" t="s">
        <v>5291</v>
      </c>
      <c r="I1566" s="2" t="s">
        <v>5292</v>
      </c>
      <c r="J1566" s="2" t="s">
        <v>5060</v>
      </c>
      <c r="K1566" s="2" t="s">
        <v>5293</v>
      </c>
      <c r="L1566" s="3">
        <v>16.28</v>
      </c>
      <c r="M1566" s="3">
        <v>17.09</v>
      </c>
      <c r="N1566" s="3">
        <v>36.99</v>
      </c>
      <c r="O1566" s="2" t="s">
        <v>97</v>
      </c>
      <c r="P1566" s="2" t="s">
        <v>119</v>
      </c>
      <c r="Q1566" s="2" t="s">
        <v>99</v>
      </c>
      <c r="R1566" s="2" t="s">
        <v>100</v>
      </c>
      <c r="S1566" s="2" t="s">
        <v>5294</v>
      </c>
      <c r="T1566" s="2" t="s">
        <v>100</v>
      </c>
      <c r="U1566" s="2" t="s">
        <v>1847</v>
      </c>
      <c r="V1566" s="2" t="s">
        <v>403</v>
      </c>
      <c r="W1566" s="2" t="s">
        <v>561</v>
      </c>
      <c r="X1566" s="2" t="s">
        <v>100</v>
      </c>
      <c r="Y1566" s="2" t="s">
        <v>5295</v>
      </c>
      <c r="Z1566" s="4">
        <v>503</v>
      </c>
      <c r="AA1566" s="4">
        <f>=ROUNDDOWN(16.7666666666667,0)</f>
      </c>
      <c r="AB1566" s="5">
        <v>30</v>
      </c>
      <c r="AC1566" s="2" t="s">
        <v>417</v>
      </c>
      <c r="AD1566" s="4">
        <v>300</v>
      </c>
      <c r="AE1566" s="4">
        <v>600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>
        <v>754</v>
      </c>
      <c r="BK1566" s="8">
        <v>13689.23</v>
      </c>
      <c r="BL1566" s="2" t="s">
        <v>5296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5226</v>
      </c>
      <c r="BX1566" s="2" t="s">
        <v>4399</v>
      </c>
      <c r="BY1566" s="2" t="s">
        <v>113</v>
      </c>
      <c r="BZ1566" s="2" t="s">
        <v>100</v>
      </c>
    </row>
    <row r="1567">
      <c r="A1567" s="2" t="s">
        <v>5297</v>
      </c>
      <c r="B1567" s="2" t="s">
        <v>5053</v>
      </c>
      <c r="C1567" s="2" t="s">
        <v>88</v>
      </c>
      <c r="D1567" s="2" t="s">
        <v>5054</v>
      </c>
      <c r="E1567" s="2" t="s">
        <v>5055</v>
      </c>
      <c r="F1567" s="2" t="s">
        <v>5289</v>
      </c>
      <c r="G1567" s="2" t="s">
        <v>5290</v>
      </c>
      <c r="H1567" s="2" t="s">
        <v>5291</v>
      </c>
      <c r="I1567" s="2" t="s">
        <v>5292</v>
      </c>
      <c r="J1567" s="2" t="s">
        <v>5060</v>
      </c>
      <c r="K1567" s="2" t="s">
        <v>189</v>
      </c>
      <c r="L1567" s="3">
        <v>16.28</v>
      </c>
      <c r="M1567" s="3">
        <v>17.09</v>
      </c>
      <c r="N1567" s="3">
        <v>36.99</v>
      </c>
      <c r="O1567" s="2" t="s">
        <v>97</v>
      </c>
      <c r="P1567" s="2" t="s">
        <v>119</v>
      </c>
      <c r="Q1567" s="2" t="s">
        <v>99</v>
      </c>
      <c r="R1567" s="2" t="s">
        <v>100</v>
      </c>
      <c r="S1567" s="2" t="s">
        <v>5294</v>
      </c>
      <c r="T1567" s="2" t="s">
        <v>100</v>
      </c>
      <c r="U1567" s="2" t="s">
        <v>1847</v>
      </c>
      <c r="V1567" s="2" t="s">
        <v>403</v>
      </c>
      <c r="W1567" s="2" t="s">
        <v>561</v>
      </c>
      <c r="X1567" s="2" t="s">
        <v>100</v>
      </c>
      <c r="Y1567" s="2" t="s">
        <v>5295</v>
      </c>
      <c r="Z1567" s="4">
        <v>675</v>
      </c>
      <c r="AA1567" s="4">
        <f>=ROUNDDOWN(19.2857142857143,0)</f>
      </c>
      <c r="AB1567" s="5">
        <v>35</v>
      </c>
      <c r="AC1567" s="2" t="s">
        <v>282</v>
      </c>
      <c r="AD1567" s="4">
        <v>300</v>
      </c>
      <c r="AE1567" s="4">
        <v>900</v>
      </c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>
        <v>870</v>
      </c>
      <c r="BK1567" s="8">
        <v>15713.14</v>
      </c>
      <c r="BL1567" s="2" t="s">
        <v>5298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5226</v>
      </c>
      <c r="BX1567" s="2" t="s">
        <v>844</v>
      </c>
      <c r="BY1567" s="2" t="s">
        <v>113</v>
      </c>
      <c r="BZ1567" s="2" t="s">
        <v>100</v>
      </c>
    </row>
    <row r="1568">
      <c r="A1568" s="2" t="s">
        <v>5299</v>
      </c>
      <c r="B1568" s="2" t="s">
        <v>5053</v>
      </c>
      <c r="C1568" s="2" t="s">
        <v>88</v>
      </c>
      <c r="D1568" s="2" t="s">
        <v>5054</v>
      </c>
      <c r="E1568" s="2" t="s">
        <v>5055</v>
      </c>
      <c r="F1568" s="2" t="s">
        <v>1599</v>
      </c>
      <c r="G1568" s="2" t="s">
        <v>1600</v>
      </c>
      <c r="H1568" s="2" t="s">
        <v>1601</v>
      </c>
      <c r="I1568" s="2" t="s">
        <v>5300</v>
      </c>
      <c r="J1568" s="2" t="s">
        <v>5060</v>
      </c>
      <c r="K1568" s="2" t="s">
        <v>1603</v>
      </c>
      <c r="L1568" s="3">
        <v>14.66</v>
      </c>
      <c r="M1568" s="3">
        <v>15.39</v>
      </c>
      <c r="N1568" s="3">
        <v>34.99</v>
      </c>
      <c r="O1568" s="2" t="s">
        <v>97</v>
      </c>
      <c r="P1568" s="2" t="s">
        <v>225</v>
      </c>
      <c r="Q1568" s="2" t="s">
        <v>99</v>
      </c>
      <c r="R1568" s="2" t="s">
        <v>100</v>
      </c>
      <c r="S1568" s="2" t="s">
        <v>1604</v>
      </c>
      <c r="T1568" s="2" t="s">
        <v>280</v>
      </c>
      <c r="U1568" s="2" t="s">
        <v>1847</v>
      </c>
      <c r="V1568" s="2" t="s">
        <v>2661</v>
      </c>
      <c r="W1568" s="2" t="s">
        <v>158</v>
      </c>
      <c r="X1568" s="2" t="s">
        <v>561</v>
      </c>
      <c r="Y1568" s="2" t="s">
        <v>1607</v>
      </c>
      <c r="Z1568" s="4">
        <v>18</v>
      </c>
      <c r="AA1568" s="4">
        <f>=ROUNDDOWN(1.8,0)</f>
      </c>
      <c r="AB1568" s="5">
        <v>10</v>
      </c>
      <c r="AC1568" s="2" t="s">
        <v>100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248</v>
      </c>
      <c r="BK1568" s="8">
        <v>4140.94</v>
      </c>
      <c r="BL1568" s="2" t="s">
        <v>5301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207</v>
      </c>
      <c r="BV1568" s="2" t="s">
        <v>97</v>
      </c>
      <c r="BW1568" s="2" t="s">
        <v>100</v>
      </c>
      <c r="BX1568" s="2" t="s">
        <v>100</v>
      </c>
      <c r="BY1568" s="2" t="s">
        <v>113</v>
      </c>
      <c r="BZ1568" s="2" t="s">
        <v>245</v>
      </c>
    </row>
    <row r="1569">
      <c r="A1569" s="2" t="s">
        <v>5302</v>
      </c>
      <c r="B1569" s="2" t="s">
        <v>5053</v>
      </c>
      <c r="C1569" s="2" t="s">
        <v>88</v>
      </c>
      <c r="D1569" s="2" t="s">
        <v>5054</v>
      </c>
      <c r="E1569" s="2" t="s">
        <v>5055</v>
      </c>
      <c r="F1569" s="2" t="s">
        <v>5303</v>
      </c>
      <c r="G1569" s="2" t="s">
        <v>5304</v>
      </c>
      <c r="H1569" s="2" t="s">
        <v>5305</v>
      </c>
      <c r="I1569" s="2" t="s">
        <v>5306</v>
      </c>
      <c r="J1569" s="2" t="s">
        <v>5060</v>
      </c>
      <c r="K1569" s="2" t="s">
        <v>198</v>
      </c>
      <c r="L1569" s="3">
        <v>17.16</v>
      </c>
      <c r="M1569" s="3">
        <v>18.02</v>
      </c>
      <c r="N1569" s="3">
        <v>38.99</v>
      </c>
      <c r="O1569" s="2" t="s">
        <v>97</v>
      </c>
      <c r="P1569" s="2" t="s">
        <v>119</v>
      </c>
      <c r="Q1569" s="2" t="s">
        <v>99</v>
      </c>
      <c r="R1569" s="2" t="s">
        <v>100</v>
      </c>
      <c r="S1569" s="2" t="s">
        <v>5307</v>
      </c>
      <c r="T1569" s="2" t="s">
        <v>100</v>
      </c>
      <c r="U1569" s="2" t="s">
        <v>1847</v>
      </c>
      <c r="V1569" s="2" t="s">
        <v>256</v>
      </c>
      <c r="W1569" s="2" t="s">
        <v>561</v>
      </c>
      <c r="X1569" s="2" t="s">
        <v>100</v>
      </c>
      <c r="Y1569" s="2" t="s">
        <v>363</v>
      </c>
      <c r="Z1569" s="4">
        <v>308</v>
      </c>
      <c r="AA1569" s="4">
        <f>=ROUNDDOWN(22,0)</f>
      </c>
      <c r="AB1569" s="5">
        <v>14</v>
      </c>
      <c r="AC1569" s="2" t="s">
        <v>5308</v>
      </c>
      <c r="AD1569" s="4">
        <v>300</v>
      </c>
      <c r="AE1569" s="4">
        <v>300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/>
      <c r="BD1569" s="8"/>
      <c r="BE1569" s="4"/>
      <c r="BF1569" s="8"/>
      <c r="BG1569" s="7"/>
      <c r="BH1569" s="7"/>
      <c r="BI1569" s="7"/>
      <c r="BJ1569" s="4">
        <v>342</v>
      </c>
      <c r="BK1569" s="8">
        <v>6483.84</v>
      </c>
      <c r="BL1569" s="2" t="s">
        <v>5309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207</v>
      </c>
      <c r="BV1569" s="2" t="s">
        <v>97</v>
      </c>
      <c r="BW1569" s="2" t="s">
        <v>100</v>
      </c>
      <c r="BX1569" s="2" t="s">
        <v>100</v>
      </c>
      <c r="BY1569" s="2" t="s">
        <v>113</v>
      </c>
      <c r="BZ1569" s="2" t="s">
        <v>245</v>
      </c>
    </row>
    <row r="1570">
      <c r="A1570" s="2" t="s">
        <v>5310</v>
      </c>
      <c r="B1570" s="2" t="s">
        <v>5053</v>
      </c>
      <c r="C1570" s="2" t="s">
        <v>88</v>
      </c>
      <c r="D1570" s="2" t="s">
        <v>5054</v>
      </c>
      <c r="E1570" s="2" t="s">
        <v>5055</v>
      </c>
      <c r="F1570" s="2" t="s">
        <v>5311</v>
      </c>
      <c r="G1570" s="2" t="s">
        <v>5312</v>
      </c>
      <c r="H1570" s="2" t="s">
        <v>2319</v>
      </c>
      <c r="I1570" s="2" t="s">
        <v>5271</v>
      </c>
      <c r="J1570" s="2" t="s">
        <v>5060</v>
      </c>
      <c r="K1570" s="2" t="s">
        <v>144</v>
      </c>
      <c r="L1570" s="3">
        <v>16.28</v>
      </c>
      <c r="M1570" s="3">
        <v>17.09</v>
      </c>
      <c r="N1570" s="3">
        <v>36.99</v>
      </c>
      <c r="O1570" s="2" t="s">
        <v>97</v>
      </c>
      <c r="P1570" s="2" t="s">
        <v>119</v>
      </c>
      <c r="Q1570" s="2" t="s">
        <v>99</v>
      </c>
      <c r="R1570" s="2" t="s">
        <v>100</v>
      </c>
      <c r="S1570" s="2" t="s">
        <v>5313</v>
      </c>
      <c r="T1570" s="2" t="s">
        <v>100</v>
      </c>
      <c r="U1570" s="2" t="s">
        <v>100</v>
      </c>
      <c r="V1570" s="2" t="s">
        <v>2661</v>
      </c>
      <c r="W1570" s="2" t="s">
        <v>104</v>
      </c>
      <c r="X1570" s="2" t="s">
        <v>100</v>
      </c>
      <c r="Y1570" s="2" t="s">
        <v>5157</v>
      </c>
      <c r="Z1570" s="4">
        <v>390</v>
      </c>
      <c r="AA1570" s="4">
        <f>=ROUNDDOWN(7.95918367346939,0)</f>
      </c>
      <c r="AB1570" s="5">
        <v>49</v>
      </c>
      <c r="AC1570" s="2" t="s">
        <v>174</v>
      </c>
      <c r="AD1570" s="4">
        <v>600</v>
      </c>
      <c r="AE1570" s="4">
        <v>600</v>
      </c>
      <c r="AF1570" s="6">
        <v>65</v>
      </c>
      <c r="AG1570" s="6"/>
      <c r="AH1570" s="7">
        <v>0.9037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/>
      <c r="BD1570" s="8"/>
      <c r="BE1570" s="4"/>
      <c r="BF1570" s="8"/>
      <c r="BG1570" s="7"/>
      <c r="BH1570" s="7"/>
      <c r="BI1570" s="7"/>
      <c r="BJ1570" s="4">
        <v>957</v>
      </c>
      <c r="BK1570" s="8">
        <v>16633.71</v>
      </c>
      <c r="BL1570" s="2" t="s">
        <v>5314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4710</v>
      </c>
      <c r="BX1570" s="2" t="s">
        <v>2258</v>
      </c>
      <c r="BY1570" s="2" t="s">
        <v>113</v>
      </c>
      <c r="BZ1570" s="2" t="s">
        <v>100</v>
      </c>
    </row>
    <row r="1571">
      <c r="A1571" s="2" t="s">
        <v>5315</v>
      </c>
      <c r="B1571" s="2" t="s">
        <v>5053</v>
      </c>
      <c r="C1571" s="2" t="s">
        <v>88</v>
      </c>
      <c r="D1571" s="2" t="s">
        <v>5316</v>
      </c>
      <c r="E1571" s="2" t="s">
        <v>5317</v>
      </c>
      <c r="F1571" s="2" t="s">
        <v>5318</v>
      </c>
      <c r="G1571" s="2" t="s">
        <v>5319</v>
      </c>
      <c r="H1571" s="2" t="s">
        <v>5320</v>
      </c>
      <c r="I1571" s="2" t="s">
        <v>5321</v>
      </c>
      <c r="J1571" s="2" t="s">
        <v>5322</v>
      </c>
      <c r="K1571" s="2" t="s">
        <v>118</v>
      </c>
      <c r="L1571" s="3">
        <v>13.39</v>
      </c>
      <c r="M1571" s="3">
        <v>14.06</v>
      </c>
      <c r="N1571" s="3">
        <v>27.99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5323</v>
      </c>
      <c r="T1571" s="2" t="s">
        <v>280</v>
      </c>
      <c r="U1571" s="2" t="s">
        <v>1847</v>
      </c>
      <c r="V1571" s="2" t="s">
        <v>338</v>
      </c>
      <c r="W1571" s="2" t="s">
        <v>104</v>
      </c>
      <c r="X1571" s="2" t="s">
        <v>100</v>
      </c>
      <c r="Y1571" s="2" t="s">
        <v>5324</v>
      </c>
      <c r="Z1571" s="4">
        <v>1421</v>
      </c>
      <c r="AA1571" s="4">
        <f>=ROUNDDOWN(16.1477272727273,0)</f>
      </c>
      <c r="AB1571" s="5">
        <v>88</v>
      </c>
      <c r="AC1571" s="2" t="s">
        <v>241</v>
      </c>
      <c r="AD1571" s="4">
        <v>740</v>
      </c>
      <c r="AE1571" s="4">
        <v>3660</v>
      </c>
      <c r="AF1571" s="6">
        <v>69</v>
      </c>
      <c r="AG1571" s="6"/>
      <c r="AH1571" s="7">
        <v>0.6952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>
        <v>5</v>
      </c>
      <c r="AQ1571" s="8">
        <v>72.15</v>
      </c>
      <c r="AR1571" s="4"/>
      <c r="AS1571" s="8"/>
      <c r="AT1571" s="7"/>
      <c r="AU1571" s="7"/>
      <c r="AV1571" s="4">
        <v>9</v>
      </c>
      <c r="AW1571" s="8">
        <v>210.75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>
        <v>0.3423</v>
      </c>
      <c r="BC1571" s="4">
        <v>25</v>
      </c>
      <c r="BD1571" s="8">
        <v>470.58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>
        <v>0.4479</v>
      </c>
      <c r="BJ1571" s="4">
        <v>2368</v>
      </c>
      <c r="BK1571" s="8">
        <v>35842.96</v>
      </c>
      <c r="BL1571" s="2" t="s">
        <v>5184</v>
      </c>
      <c r="BM1571" s="7">
        <v>0.0021</v>
      </c>
      <c r="BN1571" s="7">
        <v>0.002</v>
      </c>
      <c r="BO1571" s="4">
        <v>5</v>
      </c>
      <c r="BP1571" s="8">
        <v>72.15</v>
      </c>
      <c r="BQ1571" s="4"/>
      <c r="BR1571" s="8"/>
      <c r="BS1571" s="7"/>
      <c r="BT1571" s="7"/>
      <c r="BU1571" s="2" t="s">
        <v>109</v>
      </c>
      <c r="BV1571" s="2" t="s">
        <v>110</v>
      </c>
      <c r="BW1571" s="2" t="s">
        <v>709</v>
      </c>
      <c r="BX1571" s="2" t="s">
        <v>5325</v>
      </c>
      <c r="BY1571" s="2" t="s">
        <v>113</v>
      </c>
      <c r="BZ1571" s="2" t="s">
        <v>100</v>
      </c>
    </row>
    <row r="1572">
      <c r="A1572" s="2" t="s">
        <v>5326</v>
      </c>
      <c r="B1572" s="2" t="s">
        <v>5053</v>
      </c>
      <c r="C1572" s="2" t="s">
        <v>88</v>
      </c>
      <c r="D1572" s="2" t="s">
        <v>5316</v>
      </c>
      <c r="E1572" s="2" t="s">
        <v>5317</v>
      </c>
      <c r="F1572" s="2" t="s">
        <v>5318</v>
      </c>
      <c r="G1572" s="2" t="s">
        <v>5319</v>
      </c>
      <c r="H1572" s="2" t="s">
        <v>5320</v>
      </c>
      <c r="I1572" s="2" t="s">
        <v>5327</v>
      </c>
      <c r="J1572" s="2" t="s">
        <v>5328</v>
      </c>
      <c r="K1572" s="2" t="s">
        <v>118</v>
      </c>
      <c r="L1572" s="3">
        <v>30.26</v>
      </c>
      <c r="M1572" s="3">
        <v>31.77</v>
      </c>
      <c r="N1572" s="3">
        <v>62.99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5323</v>
      </c>
      <c r="T1572" s="2" t="s">
        <v>280</v>
      </c>
      <c r="U1572" s="2" t="s">
        <v>1847</v>
      </c>
      <c r="V1572" s="2" t="s">
        <v>338</v>
      </c>
      <c r="W1572" s="2" t="s">
        <v>104</v>
      </c>
      <c r="X1572" s="2" t="s">
        <v>100</v>
      </c>
      <c r="Y1572" s="2" t="s">
        <v>5324</v>
      </c>
      <c r="Z1572" s="4">
        <v>425</v>
      </c>
      <c r="AA1572" s="4">
        <f>=ROUNDDOWN(18.4782608695652,0)</f>
      </c>
      <c r="AB1572" s="5">
        <v>23</v>
      </c>
      <c r="AC1572" s="2" t="s">
        <v>241</v>
      </c>
      <c r="AD1572" s="4">
        <v>210</v>
      </c>
      <c r="AE1572" s="4">
        <v>630</v>
      </c>
      <c r="AF1572" s="6">
        <v>69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>
        <v>4</v>
      </c>
      <c r="AQ1572" s="8">
        <v>138.6</v>
      </c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>
        <v>0.6577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 t="s">
        <v>100</v>
      </c>
      <c r="BJ1572" s="4">
        <v>477</v>
      </c>
      <c r="BK1572" s="8">
        <v>16420.88</v>
      </c>
      <c r="BL1572" s="2" t="s">
        <v>5329</v>
      </c>
      <c r="BM1572" s="7">
        <v>0.0084</v>
      </c>
      <c r="BN1572" s="7">
        <v>0.0084</v>
      </c>
      <c r="BO1572" s="4">
        <v>4</v>
      </c>
      <c r="BP1572" s="8">
        <v>138.6</v>
      </c>
      <c r="BQ1572" s="4"/>
      <c r="BR1572" s="8"/>
      <c r="BS1572" s="7"/>
      <c r="BT1572" s="7"/>
      <c r="BU1572" s="2" t="s">
        <v>109</v>
      </c>
      <c r="BV1572" s="2" t="s">
        <v>110</v>
      </c>
      <c r="BW1572" s="2" t="s">
        <v>709</v>
      </c>
      <c r="BX1572" s="2" t="s">
        <v>1456</v>
      </c>
      <c r="BY1572" s="2" t="s">
        <v>113</v>
      </c>
      <c r="BZ1572" s="2" t="s">
        <v>100</v>
      </c>
    </row>
    <row r="1573">
      <c r="A1573" s="2" t="s">
        <v>5330</v>
      </c>
      <c r="B1573" s="2" t="s">
        <v>5053</v>
      </c>
      <c r="C1573" s="2" t="s">
        <v>88</v>
      </c>
      <c r="D1573" s="2" t="s">
        <v>5316</v>
      </c>
      <c r="E1573" s="2" t="s">
        <v>5317</v>
      </c>
      <c r="F1573" s="2" t="s">
        <v>5318</v>
      </c>
      <c r="G1573" s="2" t="s">
        <v>5319</v>
      </c>
      <c r="H1573" s="2" t="s">
        <v>5320</v>
      </c>
      <c r="I1573" s="2" t="s">
        <v>5321</v>
      </c>
      <c r="J1573" s="2" t="s">
        <v>5322</v>
      </c>
      <c r="K1573" s="2" t="s">
        <v>512</v>
      </c>
      <c r="L1573" s="3">
        <v>13.39</v>
      </c>
      <c r="M1573" s="3">
        <v>14.06</v>
      </c>
      <c r="N1573" s="3">
        <v>27.99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5331</v>
      </c>
      <c r="T1573" s="2" t="s">
        <v>280</v>
      </c>
      <c r="U1573" s="2" t="s">
        <v>1847</v>
      </c>
      <c r="V1573" s="2" t="s">
        <v>338</v>
      </c>
      <c r="W1573" s="2" t="s">
        <v>104</v>
      </c>
      <c r="X1573" s="2" t="s">
        <v>100</v>
      </c>
      <c r="Y1573" s="2" t="s">
        <v>240</v>
      </c>
      <c r="Z1573" s="4">
        <v>960</v>
      </c>
      <c r="AA1573" s="4">
        <f>=ROUNDDOWN(21.8181818181818,0)</f>
      </c>
      <c r="AB1573" s="5">
        <v>44</v>
      </c>
      <c r="AC1573" s="2" t="s">
        <v>241</v>
      </c>
      <c r="AD1573" s="4">
        <v>400</v>
      </c>
      <c r="AE1573" s="4">
        <v>650</v>
      </c>
      <c r="AF1573" s="6">
        <v>69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>
        <v>5</v>
      </c>
      <c r="AQ1573" s="8">
        <v>72.15</v>
      </c>
      <c r="AR1573" s="4"/>
      <c r="AS1573" s="8"/>
      <c r="AT1573" s="7"/>
      <c r="AU1573" s="7"/>
      <c r="AV1573" s="4">
        <v>9</v>
      </c>
      <c r="AW1573" s="8">
        <v>153.03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0.4715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0.3252</v>
      </c>
      <c r="BJ1573" s="4">
        <v>1228</v>
      </c>
      <c r="BK1573" s="8">
        <v>17825.27</v>
      </c>
      <c r="BL1573" s="2" t="s">
        <v>5332</v>
      </c>
      <c r="BM1573" s="7">
        <v>0.0041</v>
      </c>
      <c r="BN1573" s="7">
        <v>0.004</v>
      </c>
      <c r="BO1573" s="4">
        <v>5</v>
      </c>
      <c r="BP1573" s="8">
        <v>72.15</v>
      </c>
      <c r="BQ1573" s="4"/>
      <c r="BR1573" s="8"/>
      <c r="BS1573" s="7"/>
      <c r="BT1573" s="7"/>
      <c r="BU1573" s="2" t="s">
        <v>109</v>
      </c>
      <c r="BV1573" s="2" t="s">
        <v>110</v>
      </c>
      <c r="BW1573" s="2" t="s">
        <v>5333</v>
      </c>
      <c r="BX1573" s="2" t="s">
        <v>5334</v>
      </c>
      <c r="BY1573" s="2" t="s">
        <v>113</v>
      </c>
      <c r="BZ1573" s="2" t="s">
        <v>100</v>
      </c>
    </row>
    <row r="1574">
      <c r="A1574" s="2" t="s">
        <v>5335</v>
      </c>
      <c r="B1574" s="2" t="s">
        <v>5053</v>
      </c>
      <c r="C1574" s="2" t="s">
        <v>88</v>
      </c>
      <c r="D1574" s="2" t="s">
        <v>5316</v>
      </c>
      <c r="E1574" s="2" t="s">
        <v>5317</v>
      </c>
      <c r="F1574" s="2" t="s">
        <v>5318</v>
      </c>
      <c r="G1574" s="2" t="s">
        <v>5319</v>
      </c>
      <c r="H1574" s="2" t="s">
        <v>5320</v>
      </c>
      <c r="I1574" s="2" t="s">
        <v>5336</v>
      </c>
      <c r="J1574" s="2" t="s">
        <v>5337</v>
      </c>
      <c r="K1574" s="2" t="s">
        <v>512</v>
      </c>
      <c r="L1574" s="3">
        <v>17.85</v>
      </c>
      <c r="M1574" s="3">
        <v>18.74</v>
      </c>
      <c r="N1574" s="3">
        <v>37.99</v>
      </c>
      <c r="O1574" s="2" t="s">
        <v>97</v>
      </c>
      <c r="P1574" s="2" t="s">
        <v>98</v>
      </c>
      <c r="Q1574" s="2" t="s">
        <v>99</v>
      </c>
      <c r="R1574" s="2" t="s">
        <v>100</v>
      </c>
      <c r="S1574" s="2" t="s">
        <v>5331</v>
      </c>
      <c r="T1574" s="2" t="s">
        <v>280</v>
      </c>
      <c r="U1574" s="2" t="s">
        <v>1847</v>
      </c>
      <c r="V1574" s="2" t="s">
        <v>338</v>
      </c>
      <c r="W1574" s="2" t="s">
        <v>104</v>
      </c>
      <c r="X1574" s="2" t="s">
        <v>100</v>
      </c>
      <c r="Y1574" s="2" t="s">
        <v>240</v>
      </c>
      <c r="Z1574" s="4">
        <v>1012</v>
      </c>
      <c r="AA1574" s="4">
        <f>=ROUNDDOWN(33.7333333333333,0)</f>
      </c>
      <c r="AB1574" s="5">
        <v>30</v>
      </c>
      <c r="AC1574" s="2" t="s">
        <v>241</v>
      </c>
      <c r="AD1574" s="4">
        <v>420</v>
      </c>
      <c r="AE1574" s="4">
        <v>550</v>
      </c>
      <c r="AF1574" s="6">
        <v>69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>
        <v>4</v>
      </c>
      <c r="AQ1574" s="8">
        <v>80.88</v>
      </c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0.5285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703</v>
      </c>
      <c r="BK1574" s="8">
        <v>14039.3</v>
      </c>
      <c r="BL1574" s="2" t="s">
        <v>5338</v>
      </c>
      <c r="BM1574" s="7">
        <v>0.0057</v>
      </c>
      <c r="BN1574" s="7">
        <v>0.0058</v>
      </c>
      <c r="BO1574" s="4">
        <v>4</v>
      </c>
      <c r="BP1574" s="8">
        <v>80.88</v>
      </c>
      <c r="BQ1574" s="4"/>
      <c r="BR1574" s="8"/>
      <c r="BS1574" s="7"/>
      <c r="BT1574" s="7"/>
      <c r="BU1574" s="2" t="s">
        <v>109</v>
      </c>
      <c r="BV1574" s="2" t="s">
        <v>110</v>
      </c>
      <c r="BW1574" s="2" t="s">
        <v>5333</v>
      </c>
      <c r="BX1574" s="2" t="s">
        <v>5339</v>
      </c>
      <c r="BY1574" s="2" t="s">
        <v>113</v>
      </c>
      <c r="BZ1574" s="2" t="s">
        <v>100</v>
      </c>
    </row>
    <row r="1575">
      <c r="A1575" s="2" t="s">
        <v>5340</v>
      </c>
      <c r="B1575" s="2" t="s">
        <v>5053</v>
      </c>
      <c r="C1575" s="2" t="s">
        <v>88</v>
      </c>
      <c r="D1575" s="2" t="s">
        <v>5316</v>
      </c>
      <c r="E1575" s="2" t="s">
        <v>5317</v>
      </c>
      <c r="F1575" s="2" t="s">
        <v>5318</v>
      </c>
      <c r="G1575" s="2" t="s">
        <v>5319</v>
      </c>
      <c r="H1575" s="2" t="s">
        <v>5320</v>
      </c>
      <c r="I1575" s="2" t="s">
        <v>5321</v>
      </c>
      <c r="J1575" s="2" t="s">
        <v>5322</v>
      </c>
      <c r="K1575" s="2" t="s">
        <v>629</v>
      </c>
      <c r="L1575" s="3">
        <v>13.39</v>
      </c>
      <c r="M1575" s="3">
        <v>14.06</v>
      </c>
      <c r="N1575" s="3">
        <v>27.99</v>
      </c>
      <c r="O1575" s="2" t="s">
        <v>97</v>
      </c>
      <c r="P1575" s="2" t="s">
        <v>98</v>
      </c>
      <c r="Q1575" s="2" t="s">
        <v>99</v>
      </c>
      <c r="R1575" s="2" t="s">
        <v>100</v>
      </c>
      <c r="S1575" s="2" t="s">
        <v>5341</v>
      </c>
      <c r="T1575" s="2" t="s">
        <v>280</v>
      </c>
      <c r="U1575" s="2" t="s">
        <v>1847</v>
      </c>
      <c r="V1575" s="2" t="s">
        <v>338</v>
      </c>
      <c r="W1575" s="2" t="s">
        <v>104</v>
      </c>
      <c r="X1575" s="2" t="s">
        <v>100</v>
      </c>
      <c r="Y1575" s="2" t="s">
        <v>240</v>
      </c>
      <c r="Z1575" s="4">
        <v>925</v>
      </c>
      <c r="AA1575" s="4">
        <f>=ROUNDDOWN(22.0238095238095,0)</f>
      </c>
      <c r="AB1575" s="5">
        <v>42</v>
      </c>
      <c r="AC1575" s="2" t="s">
        <v>872</v>
      </c>
      <c r="AD1575" s="4">
        <v>240</v>
      </c>
      <c r="AE1575" s="4">
        <v>620</v>
      </c>
      <c r="AF1575" s="6">
        <v>69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>
        <v>6</v>
      </c>
      <c r="AQ1575" s="8">
        <v>86.58</v>
      </c>
      <c r="AR1575" s="4"/>
      <c r="AS1575" s="8"/>
      <c r="AT1575" s="7"/>
      <c r="AU1575" s="7"/>
      <c r="AV1575" s="4">
        <v>6</v>
      </c>
      <c r="AW1575" s="8">
        <v>86.58</v>
      </c>
      <c r="AX1575" s="4"/>
      <c r="AY1575" s="8"/>
      <c r="AZ1575" s="7"/>
      <c r="BA1575" s="7"/>
      <c r="BB1575" s="7">
        <v>1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0.184</v>
      </c>
      <c r="BJ1575" s="4">
        <v>1064</v>
      </c>
      <c r="BK1575" s="8">
        <v>15490.03</v>
      </c>
      <c r="BL1575" s="2" t="s">
        <v>5332</v>
      </c>
      <c r="BM1575" s="7">
        <v>0.0056</v>
      </c>
      <c r="BN1575" s="7">
        <v>0.0056</v>
      </c>
      <c r="BO1575" s="4">
        <v>6</v>
      </c>
      <c r="BP1575" s="8">
        <v>86.58</v>
      </c>
      <c r="BQ1575" s="4"/>
      <c r="BR1575" s="8"/>
      <c r="BS1575" s="7"/>
      <c r="BT1575" s="7"/>
      <c r="BU1575" s="2" t="s">
        <v>109</v>
      </c>
      <c r="BV1575" s="2" t="s">
        <v>110</v>
      </c>
      <c r="BW1575" s="2" t="s">
        <v>5333</v>
      </c>
      <c r="BX1575" s="2" t="s">
        <v>5342</v>
      </c>
      <c r="BY1575" s="2" t="s">
        <v>113</v>
      </c>
      <c r="BZ1575" s="2" t="s">
        <v>100</v>
      </c>
    </row>
    <row r="1576">
      <c r="A1576" s="2" t="s">
        <v>5343</v>
      </c>
      <c r="B1576" s="2" t="s">
        <v>5053</v>
      </c>
      <c r="C1576" s="2" t="s">
        <v>88</v>
      </c>
      <c r="D1576" s="2" t="s">
        <v>5316</v>
      </c>
      <c r="E1576" s="2" t="s">
        <v>5317</v>
      </c>
      <c r="F1576" s="2" t="s">
        <v>5318</v>
      </c>
      <c r="G1576" s="2" t="s">
        <v>5319</v>
      </c>
      <c r="H1576" s="2" t="s">
        <v>5320</v>
      </c>
      <c r="I1576" s="2" t="s">
        <v>5336</v>
      </c>
      <c r="J1576" s="2" t="s">
        <v>5337</v>
      </c>
      <c r="K1576" s="2" t="s">
        <v>198</v>
      </c>
      <c r="L1576" s="3">
        <v>17.85</v>
      </c>
      <c r="M1576" s="3">
        <v>18.74</v>
      </c>
      <c r="N1576" s="3">
        <v>37.99</v>
      </c>
      <c r="O1576" s="2" t="s">
        <v>97</v>
      </c>
      <c r="P1576" s="2" t="s">
        <v>372</v>
      </c>
      <c r="Q1576" s="2" t="s">
        <v>99</v>
      </c>
      <c r="R1576" s="2" t="s">
        <v>100</v>
      </c>
      <c r="S1576" s="2" t="s">
        <v>5344</v>
      </c>
      <c r="T1576" s="2" t="s">
        <v>280</v>
      </c>
      <c r="U1576" s="2" t="s">
        <v>1847</v>
      </c>
      <c r="V1576" s="2" t="s">
        <v>338</v>
      </c>
      <c r="W1576" s="2" t="s">
        <v>104</v>
      </c>
      <c r="X1576" s="2" t="s">
        <v>100</v>
      </c>
      <c r="Y1576" s="2" t="s">
        <v>5345</v>
      </c>
      <c r="Z1576" s="4">
        <v>1781</v>
      </c>
      <c r="AA1576" s="4">
        <f>=ROUNDDOWN(53.969696969697,0)</f>
      </c>
      <c r="AB1576" s="5">
        <v>33</v>
      </c>
      <c r="AC1576" s="2" t="s">
        <v>872</v>
      </c>
      <c r="AD1576" s="4">
        <v>240</v>
      </c>
      <c r="AE1576" s="4">
        <v>240</v>
      </c>
      <c r="AF1576" s="6">
        <v>69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>
        <v>1</v>
      </c>
      <c r="AQ1576" s="8">
        <v>20.22</v>
      </c>
      <c r="AR1576" s="4"/>
      <c r="AS1576" s="8"/>
      <c r="AT1576" s="7"/>
      <c r="AU1576" s="7"/>
      <c r="AV1576" s="4">
        <v>1</v>
      </c>
      <c r="AW1576" s="8">
        <v>20.22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0.043</v>
      </c>
      <c r="BJ1576" s="4">
        <v>952</v>
      </c>
      <c r="BK1576" s="8">
        <v>18880.8</v>
      </c>
      <c r="BL1576" s="2" t="s">
        <v>5329</v>
      </c>
      <c r="BM1576" s="7">
        <v>0.0011</v>
      </c>
      <c r="BN1576" s="7">
        <v>0.0011</v>
      </c>
      <c r="BO1576" s="4">
        <v>1</v>
      </c>
      <c r="BP1576" s="8">
        <v>20.22</v>
      </c>
      <c r="BQ1576" s="4"/>
      <c r="BR1576" s="8"/>
      <c r="BS1576" s="7"/>
      <c r="BT1576" s="7"/>
      <c r="BU1576" s="2" t="s">
        <v>109</v>
      </c>
      <c r="BV1576" s="2" t="s">
        <v>110</v>
      </c>
      <c r="BW1576" s="2" t="s">
        <v>5333</v>
      </c>
      <c r="BX1576" s="2" t="s">
        <v>137</v>
      </c>
      <c r="BY1576" s="2" t="s">
        <v>113</v>
      </c>
      <c r="BZ1576" s="2" t="s">
        <v>100</v>
      </c>
    </row>
    <row r="1577">
      <c r="A1577" s="2" t="s">
        <v>5346</v>
      </c>
      <c r="B1577" s="2" t="s">
        <v>5053</v>
      </c>
      <c r="C1577" s="2" t="s">
        <v>88</v>
      </c>
      <c r="D1577" s="2" t="s">
        <v>5316</v>
      </c>
      <c r="E1577" s="2" t="s">
        <v>5317</v>
      </c>
      <c r="F1577" s="2" t="s">
        <v>5318</v>
      </c>
      <c r="G1577" s="2" t="s">
        <v>5319</v>
      </c>
      <c r="H1577" s="2" t="s">
        <v>5320</v>
      </c>
      <c r="I1577" s="2" t="s">
        <v>5321</v>
      </c>
      <c r="J1577" s="2" t="s">
        <v>5322</v>
      </c>
      <c r="K1577" s="2" t="s">
        <v>189</v>
      </c>
      <c r="L1577" s="3">
        <v>13.39</v>
      </c>
      <c r="M1577" s="3">
        <v>14.06</v>
      </c>
      <c r="N1577" s="3">
        <v>27.99</v>
      </c>
      <c r="O1577" s="2" t="s">
        <v>97</v>
      </c>
      <c r="P1577" s="2" t="s">
        <v>119</v>
      </c>
      <c r="Q1577" s="2" t="s">
        <v>99</v>
      </c>
      <c r="R1577" s="2" t="s">
        <v>100</v>
      </c>
      <c r="S1577" s="2" t="s">
        <v>5347</v>
      </c>
      <c r="T1577" s="2" t="s">
        <v>280</v>
      </c>
      <c r="U1577" s="2" t="s">
        <v>1847</v>
      </c>
      <c r="V1577" s="2" t="s">
        <v>338</v>
      </c>
      <c r="W1577" s="2" t="s">
        <v>104</v>
      </c>
      <c r="X1577" s="2" t="s">
        <v>100</v>
      </c>
      <c r="Y1577" s="2" t="s">
        <v>5348</v>
      </c>
      <c r="Z1577" s="4">
        <v>666</v>
      </c>
      <c r="AA1577" s="4">
        <f>=ROUNDDOWN(28.9565217391304,0)</f>
      </c>
      <c r="AB1577" s="5">
        <v>23</v>
      </c>
      <c r="AC1577" s="2" t="s">
        <v>872</v>
      </c>
      <c r="AD1577" s="4">
        <v>330</v>
      </c>
      <c r="AE1577" s="4">
        <v>630</v>
      </c>
      <c r="AF1577" s="6">
        <v>69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 t="s">
        <v>100</v>
      </c>
      <c r="BJ1577" s="4">
        <v>679</v>
      </c>
      <c r="BK1577" s="8">
        <v>9933.82</v>
      </c>
      <c r="BL1577" s="2" t="s">
        <v>5211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207</v>
      </c>
      <c r="BV1577" s="2" t="s">
        <v>97</v>
      </c>
      <c r="BW1577" s="2" t="s">
        <v>100</v>
      </c>
      <c r="BX1577" s="2" t="s">
        <v>100</v>
      </c>
      <c r="BY1577" s="2" t="s">
        <v>113</v>
      </c>
      <c r="BZ1577" s="2" t="s">
        <v>245</v>
      </c>
    </row>
    <row r="1578">
      <c r="A1578" s="2" t="s">
        <v>5349</v>
      </c>
      <c r="B1578" s="2" t="s">
        <v>5053</v>
      </c>
      <c r="C1578" s="2" t="s">
        <v>88</v>
      </c>
      <c r="D1578" s="2" t="s">
        <v>5316</v>
      </c>
      <c r="E1578" s="2" t="s">
        <v>5317</v>
      </c>
      <c r="F1578" s="2" t="s">
        <v>5318</v>
      </c>
      <c r="G1578" s="2" t="s">
        <v>5319</v>
      </c>
      <c r="H1578" s="2" t="s">
        <v>5320</v>
      </c>
      <c r="I1578" s="2" t="s">
        <v>5336</v>
      </c>
      <c r="J1578" s="2" t="s">
        <v>5337</v>
      </c>
      <c r="K1578" s="2" t="s">
        <v>189</v>
      </c>
      <c r="L1578" s="3">
        <v>17.85</v>
      </c>
      <c r="M1578" s="3">
        <v>18.74</v>
      </c>
      <c r="N1578" s="3">
        <v>37.99</v>
      </c>
      <c r="O1578" s="2" t="s">
        <v>97</v>
      </c>
      <c r="P1578" s="2" t="s">
        <v>119</v>
      </c>
      <c r="Q1578" s="2" t="s">
        <v>99</v>
      </c>
      <c r="R1578" s="2" t="s">
        <v>100</v>
      </c>
      <c r="S1578" s="2" t="s">
        <v>5347</v>
      </c>
      <c r="T1578" s="2" t="s">
        <v>280</v>
      </c>
      <c r="U1578" s="2" t="s">
        <v>1847</v>
      </c>
      <c r="V1578" s="2" t="s">
        <v>338</v>
      </c>
      <c r="W1578" s="2" t="s">
        <v>104</v>
      </c>
      <c r="X1578" s="2" t="s">
        <v>100</v>
      </c>
      <c r="Y1578" s="2" t="s">
        <v>5348</v>
      </c>
      <c r="Z1578" s="4">
        <v>710</v>
      </c>
      <c r="AA1578" s="4">
        <f>=ROUNDDOWN(54.6153846153846,0)</f>
      </c>
      <c r="AB1578" s="5">
        <v>13</v>
      </c>
      <c r="AC1578" s="2" t="s">
        <v>872</v>
      </c>
      <c r="AD1578" s="4">
        <v>190</v>
      </c>
      <c r="AE1578" s="4">
        <v>340</v>
      </c>
      <c r="AF1578" s="6">
        <v>69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>
        <v>426</v>
      </c>
      <c r="BK1578" s="8">
        <v>8545.81</v>
      </c>
      <c r="BL1578" s="2" t="s">
        <v>5350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207</v>
      </c>
      <c r="BV1578" s="2" t="s">
        <v>97</v>
      </c>
      <c r="BW1578" s="2" t="s">
        <v>100</v>
      </c>
      <c r="BX1578" s="2" t="s">
        <v>100</v>
      </c>
      <c r="BY1578" s="2" t="s">
        <v>113</v>
      </c>
      <c r="BZ1578" s="2" t="s">
        <v>245</v>
      </c>
    </row>
    <row r="1579">
      <c r="A1579" s="2" t="s">
        <v>5351</v>
      </c>
      <c r="B1579" s="2" t="s">
        <v>5053</v>
      </c>
      <c r="C1579" s="2" t="s">
        <v>88</v>
      </c>
      <c r="D1579" s="2" t="s">
        <v>5316</v>
      </c>
      <c r="E1579" s="2" t="s">
        <v>5317</v>
      </c>
      <c r="F1579" s="2" t="s">
        <v>5318</v>
      </c>
      <c r="G1579" s="2" t="s">
        <v>5319</v>
      </c>
      <c r="H1579" s="2" t="s">
        <v>5320</v>
      </c>
      <c r="I1579" s="2" t="s">
        <v>5327</v>
      </c>
      <c r="J1579" s="2" t="s">
        <v>5328</v>
      </c>
      <c r="K1579" s="2" t="s">
        <v>189</v>
      </c>
      <c r="L1579" s="3">
        <v>30.26</v>
      </c>
      <c r="M1579" s="3">
        <v>31.77</v>
      </c>
      <c r="N1579" s="3">
        <v>62.99</v>
      </c>
      <c r="O1579" s="2" t="s">
        <v>97</v>
      </c>
      <c r="P1579" s="2" t="s">
        <v>119</v>
      </c>
      <c r="Q1579" s="2" t="s">
        <v>99</v>
      </c>
      <c r="R1579" s="2" t="s">
        <v>100</v>
      </c>
      <c r="S1579" s="2" t="s">
        <v>5347</v>
      </c>
      <c r="T1579" s="2" t="s">
        <v>280</v>
      </c>
      <c r="U1579" s="2" t="s">
        <v>1847</v>
      </c>
      <c r="V1579" s="2" t="s">
        <v>338</v>
      </c>
      <c r="W1579" s="2" t="s">
        <v>104</v>
      </c>
      <c r="X1579" s="2" t="s">
        <v>100</v>
      </c>
      <c r="Y1579" s="2" t="s">
        <v>5348</v>
      </c>
      <c r="Z1579" s="4">
        <v>400</v>
      </c>
      <c r="AA1579" s="4">
        <f>=ROUNDDOWN(44.4444444444444,0)</f>
      </c>
      <c r="AB1579" s="5">
        <v>9</v>
      </c>
      <c r="AC1579" s="2" t="s">
        <v>872</v>
      </c>
      <c r="AD1579" s="4">
        <v>90</v>
      </c>
      <c r="AE1579" s="4">
        <v>240</v>
      </c>
      <c r="AF1579" s="6">
        <v>69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 t="s">
        <v>100</v>
      </c>
      <c r="BJ1579" s="4">
        <v>327</v>
      </c>
      <c r="BK1579" s="8">
        <v>10988.47</v>
      </c>
      <c r="BL1579" s="2" t="s">
        <v>2355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207</v>
      </c>
      <c r="BV1579" s="2" t="s">
        <v>97</v>
      </c>
      <c r="BW1579" s="2" t="s">
        <v>100</v>
      </c>
      <c r="BX1579" s="2" t="s">
        <v>100</v>
      </c>
      <c r="BY1579" s="2" t="s">
        <v>113</v>
      </c>
      <c r="BZ1579" s="2" t="s">
        <v>245</v>
      </c>
    </row>
    <row r="1580">
      <c r="A1580" s="2" t="s">
        <v>5352</v>
      </c>
      <c r="B1580" s="2" t="s">
        <v>5053</v>
      </c>
      <c r="C1580" s="2" t="s">
        <v>88</v>
      </c>
      <c r="D1580" s="2" t="s">
        <v>5316</v>
      </c>
      <c r="E1580" s="2" t="s">
        <v>5317</v>
      </c>
      <c r="F1580" s="2" t="s">
        <v>5353</v>
      </c>
      <c r="G1580" s="2" t="s">
        <v>5353</v>
      </c>
      <c r="H1580" s="2" t="s">
        <v>5353</v>
      </c>
      <c r="I1580" s="2" t="s">
        <v>5354</v>
      </c>
      <c r="J1580" s="2" t="s">
        <v>5355</v>
      </c>
      <c r="K1580" s="2" t="s">
        <v>5356</v>
      </c>
      <c r="L1580" s="3">
        <v>13.11</v>
      </c>
      <c r="M1580" s="3">
        <v>13.77</v>
      </c>
      <c r="N1580" s="3">
        <v>26.99</v>
      </c>
      <c r="O1580" s="2" t="s">
        <v>97</v>
      </c>
      <c r="P1580" s="2" t="s">
        <v>950</v>
      </c>
      <c r="Q1580" s="2" t="s">
        <v>99</v>
      </c>
      <c r="R1580" s="2" t="s">
        <v>100</v>
      </c>
      <c r="S1580" s="2" t="s">
        <v>100</v>
      </c>
      <c r="T1580" s="2" t="s">
        <v>100</v>
      </c>
      <c r="U1580" s="2" t="s">
        <v>100</v>
      </c>
      <c r="V1580" s="2" t="s">
        <v>146</v>
      </c>
      <c r="W1580" s="2" t="s">
        <v>183</v>
      </c>
      <c r="X1580" s="2" t="s">
        <v>100</v>
      </c>
      <c r="Y1580" s="2" t="s">
        <v>5357</v>
      </c>
      <c r="Z1580" s="4">
        <v>989</v>
      </c>
      <c r="AA1580" s="4">
        <f>=ROUNDDOWN(41.2083333333333,0)</f>
      </c>
      <c r="AB1580" s="5">
        <v>24</v>
      </c>
      <c r="AC1580" s="2" t="s">
        <v>356</v>
      </c>
      <c r="AD1580" s="4">
        <v>4080</v>
      </c>
      <c r="AE1580" s="4">
        <v>4440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>
        <v>5</v>
      </c>
      <c r="AQ1580" s="8">
        <v>72.15</v>
      </c>
      <c r="AR1580" s="4"/>
      <c r="AS1580" s="8"/>
      <c r="AT1580" s="7"/>
      <c r="AU1580" s="7"/>
      <c r="AV1580" s="4">
        <v>7</v>
      </c>
      <c r="AW1580" s="8">
        <v>127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>
        <v>0.5681</v>
      </c>
      <c r="BC1580" s="4">
        <v>9</v>
      </c>
      <c r="BD1580" s="8">
        <v>167.42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0.7586</v>
      </c>
      <c r="BJ1580" s="4">
        <v>608</v>
      </c>
      <c r="BK1580" s="8">
        <v>8334.18</v>
      </c>
      <c r="BL1580" s="2" t="s">
        <v>5358</v>
      </c>
      <c r="BM1580" s="7">
        <v>0.0082</v>
      </c>
      <c r="BN1580" s="7">
        <v>0.0087</v>
      </c>
      <c r="BO1580" s="4">
        <v>5</v>
      </c>
      <c r="BP1580" s="8">
        <v>72.15</v>
      </c>
      <c r="BQ1580" s="4"/>
      <c r="BR1580" s="8"/>
      <c r="BS1580" s="7"/>
      <c r="BT1580" s="7"/>
      <c r="BU1580" s="2" t="s">
        <v>109</v>
      </c>
      <c r="BV1580" s="2" t="s">
        <v>110</v>
      </c>
      <c r="BW1580" s="2" t="s">
        <v>5359</v>
      </c>
      <c r="BX1580" s="2" t="s">
        <v>5360</v>
      </c>
      <c r="BY1580" s="2" t="s">
        <v>113</v>
      </c>
      <c r="BZ1580" s="2" t="s">
        <v>100</v>
      </c>
    </row>
    <row r="1581">
      <c r="A1581" s="2" t="s">
        <v>5361</v>
      </c>
      <c r="B1581" s="2" t="s">
        <v>5053</v>
      </c>
      <c r="C1581" s="2" t="s">
        <v>88</v>
      </c>
      <c r="D1581" s="2" t="s">
        <v>5316</v>
      </c>
      <c r="E1581" s="2" t="s">
        <v>5317</v>
      </c>
      <c r="F1581" s="2" t="s">
        <v>5353</v>
      </c>
      <c r="G1581" s="2" t="s">
        <v>5353</v>
      </c>
      <c r="H1581" s="2" t="s">
        <v>5353</v>
      </c>
      <c r="I1581" s="2" t="s">
        <v>5354</v>
      </c>
      <c r="J1581" s="2" t="s">
        <v>5362</v>
      </c>
      <c r="K1581" s="2" t="s">
        <v>5356</v>
      </c>
      <c r="L1581" s="3">
        <v>18.24</v>
      </c>
      <c r="M1581" s="3">
        <v>19.15</v>
      </c>
      <c r="N1581" s="3">
        <v>36.99</v>
      </c>
      <c r="O1581" s="2" t="s">
        <v>97</v>
      </c>
      <c r="P1581" s="2" t="s">
        <v>950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100</v>
      </c>
      <c r="V1581" s="2" t="s">
        <v>146</v>
      </c>
      <c r="W1581" s="2" t="s">
        <v>183</v>
      </c>
      <c r="X1581" s="2" t="s">
        <v>100</v>
      </c>
      <c r="Y1581" s="2" t="s">
        <v>5357</v>
      </c>
      <c r="Z1581" s="4">
        <v>619</v>
      </c>
      <c r="AA1581" s="4">
        <f>=ROUNDDOWN(28.1363636363636,0)</f>
      </c>
      <c r="AB1581" s="5">
        <v>22</v>
      </c>
      <c r="AC1581" s="2" t="s">
        <v>356</v>
      </c>
      <c r="AD1581" s="4">
        <v>2112</v>
      </c>
      <c r="AE1581" s="4">
        <v>2516</v>
      </c>
      <c r="AF1581" s="6">
        <v>65</v>
      </c>
      <c r="AG1581" s="6"/>
      <c r="AH1581" s="7">
        <v>0.9519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>
        <v>1</v>
      </c>
      <c r="AQ1581" s="8">
        <v>20.21</v>
      </c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>
        <v>0.1591</v>
      </c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 t="s">
        <v>100</v>
      </c>
      <c r="BJ1581" s="4">
        <v>494</v>
      </c>
      <c r="BK1581" s="8">
        <v>9783.59</v>
      </c>
      <c r="BL1581" s="2" t="s">
        <v>5363</v>
      </c>
      <c r="BM1581" s="7">
        <v>0.002</v>
      </c>
      <c r="BN1581" s="7">
        <v>0.0021</v>
      </c>
      <c r="BO1581" s="4">
        <v>1</v>
      </c>
      <c r="BP1581" s="8">
        <v>20.21</v>
      </c>
      <c r="BQ1581" s="4"/>
      <c r="BR1581" s="8"/>
      <c r="BS1581" s="7"/>
      <c r="BT1581" s="7"/>
      <c r="BU1581" s="2" t="s">
        <v>109</v>
      </c>
      <c r="BV1581" s="2" t="s">
        <v>110</v>
      </c>
      <c r="BW1581" s="2" t="s">
        <v>5359</v>
      </c>
      <c r="BX1581" s="2" t="s">
        <v>965</v>
      </c>
      <c r="BY1581" s="2" t="s">
        <v>113</v>
      </c>
      <c r="BZ1581" s="2" t="s">
        <v>100</v>
      </c>
    </row>
    <row r="1582">
      <c r="A1582" s="2" t="s">
        <v>5364</v>
      </c>
      <c r="B1582" s="2" t="s">
        <v>5053</v>
      </c>
      <c r="C1582" s="2" t="s">
        <v>88</v>
      </c>
      <c r="D1582" s="2" t="s">
        <v>5316</v>
      </c>
      <c r="E1582" s="2" t="s">
        <v>5317</v>
      </c>
      <c r="F1582" s="2" t="s">
        <v>5353</v>
      </c>
      <c r="G1582" s="2" t="s">
        <v>5353</v>
      </c>
      <c r="H1582" s="2" t="s">
        <v>5353</v>
      </c>
      <c r="I1582" s="2" t="s">
        <v>5354</v>
      </c>
      <c r="J1582" s="2" t="s">
        <v>5365</v>
      </c>
      <c r="K1582" s="2" t="s">
        <v>5356</v>
      </c>
      <c r="L1582" s="3">
        <v>29.64</v>
      </c>
      <c r="M1582" s="3">
        <v>31.12</v>
      </c>
      <c r="N1582" s="3">
        <v>61.99</v>
      </c>
      <c r="O1582" s="2" t="s">
        <v>97</v>
      </c>
      <c r="P1582" s="2" t="s">
        <v>950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100</v>
      </c>
      <c r="V1582" s="2" t="s">
        <v>146</v>
      </c>
      <c r="W1582" s="2" t="s">
        <v>183</v>
      </c>
      <c r="X1582" s="2" t="s">
        <v>100</v>
      </c>
      <c r="Y1582" s="2" t="s">
        <v>5357</v>
      </c>
      <c r="Z1582" s="4">
        <v>493</v>
      </c>
      <c r="AA1582" s="4">
        <f>=ROUNDDOWN(32.8666666666667,0)</f>
      </c>
      <c r="AB1582" s="5">
        <v>15</v>
      </c>
      <c r="AC1582" s="2" t="s">
        <v>356</v>
      </c>
      <c r="AD1582" s="4">
        <v>816</v>
      </c>
      <c r="AE1582" s="4">
        <v>1048</v>
      </c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>
        <v>1</v>
      </c>
      <c r="AQ1582" s="8">
        <v>34.64</v>
      </c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>
        <v>0.2728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 t="s">
        <v>100</v>
      </c>
      <c r="BJ1582" s="4">
        <v>366</v>
      </c>
      <c r="BK1582" s="8">
        <v>12013.33</v>
      </c>
      <c r="BL1582" s="2" t="s">
        <v>5366</v>
      </c>
      <c r="BM1582" s="7">
        <v>0.0027</v>
      </c>
      <c r="BN1582" s="7">
        <v>0.0029</v>
      </c>
      <c r="BO1582" s="4">
        <v>1</v>
      </c>
      <c r="BP1582" s="8">
        <v>34.64</v>
      </c>
      <c r="BQ1582" s="4"/>
      <c r="BR1582" s="8"/>
      <c r="BS1582" s="7"/>
      <c r="BT1582" s="7"/>
      <c r="BU1582" s="2" t="s">
        <v>109</v>
      </c>
      <c r="BV1582" s="2" t="s">
        <v>110</v>
      </c>
      <c r="BW1582" s="2" t="s">
        <v>5359</v>
      </c>
      <c r="BX1582" s="2" t="s">
        <v>4118</v>
      </c>
      <c r="BY1582" s="2" t="s">
        <v>113</v>
      </c>
      <c r="BZ1582" s="2" t="s">
        <v>100</v>
      </c>
    </row>
    <row r="1583">
      <c r="A1583" s="2" t="s">
        <v>5367</v>
      </c>
      <c r="B1583" s="2" t="s">
        <v>5053</v>
      </c>
      <c r="C1583" s="2" t="s">
        <v>88</v>
      </c>
      <c r="D1583" s="2" t="s">
        <v>5316</v>
      </c>
      <c r="E1583" s="2" t="s">
        <v>5317</v>
      </c>
      <c r="F1583" s="2" t="s">
        <v>5353</v>
      </c>
      <c r="G1583" s="2" t="s">
        <v>5353</v>
      </c>
      <c r="H1583" s="2" t="s">
        <v>5353</v>
      </c>
      <c r="I1583" s="2" t="s">
        <v>5354</v>
      </c>
      <c r="J1583" s="2" t="s">
        <v>5355</v>
      </c>
      <c r="K1583" s="2" t="s">
        <v>432</v>
      </c>
      <c r="L1583" s="3">
        <v>13.11</v>
      </c>
      <c r="M1583" s="3">
        <v>13.77</v>
      </c>
      <c r="N1583" s="3">
        <v>26.99</v>
      </c>
      <c r="O1583" s="2" t="s">
        <v>97</v>
      </c>
      <c r="P1583" s="2" t="s">
        <v>119</v>
      </c>
      <c r="Q1583" s="2" t="s">
        <v>99</v>
      </c>
      <c r="R1583" s="2" t="s">
        <v>100</v>
      </c>
      <c r="S1583" s="2" t="s">
        <v>100</v>
      </c>
      <c r="T1583" s="2" t="s">
        <v>100</v>
      </c>
      <c r="U1583" s="2" t="s">
        <v>100</v>
      </c>
      <c r="V1583" s="2" t="s">
        <v>146</v>
      </c>
      <c r="W1583" s="2" t="s">
        <v>183</v>
      </c>
      <c r="X1583" s="2" t="s">
        <v>100</v>
      </c>
      <c r="Y1583" s="2" t="s">
        <v>5357</v>
      </c>
      <c r="Z1583" s="4">
        <v>469</v>
      </c>
      <c r="AA1583" s="4">
        <f>=ROUNDDOWN(52.1111111111111,0)</f>
      </c>
      <c r="AB1583" s="5">
        <v>9</v>
      </c>
      <c r="AC1583" s="2" t="s">
        <v>356</v>
      </c>
      <c r="AD1583" s="4">
        <v>1536</v>
      </c>
      <c r="AE1583" s="4">
        <v>1536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>
        <v>1</v>
      </c>
      <c r="AW1583" s="8">
        <v>20.21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0.1207</v>
      </c>
      <c r="BJ1583" s="4">
        <v>182</v>
      </c>
      <c r="BK1583" s="8">
        <v>2531.54</v>
      </c>
      <c r="BL1583" s="2" t="s">
        <v>3563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5359</v>
      </c>
      <c r="BX1583" s="2" t="s">
        <v>5368</v>
      </c>
      <c r="BY1583" s="2" t="s">
        <v>113</v>
      </c>
      <c r="BZ1583" s="2" t="s">
        <v>100</v>
      </c>
    </row>
    <row r="1584">
      <c r="A1584" s="2" t="s">
        <v>5369</v>
      </c>
      <c r="B1584" s="2" t="s">
        <v>5053</v>
      </c>
      <c r="C1584" s="2" t="s">
        <v>88</v>
      </c>
      <c r="D1584" s="2" t="s">
        <v>5316</v>
      </c>
      <c r="E1584" s="2" t="s">
        <v>5317</v>
      </c>
      <c r="F1584" s="2" t="s">
        <v>5353</v>
      </c>
      <c r="G1584" s="2" t="s">
        <v>5353</v>
      </c>
      <c r="H1584" s="2" t="s">
        <v>5353</v>
      </c>
      <c r="I1584" s="2" t="s">
        <v>5354</v>
      </c>
      <c r="J1584" s="2" t="s">
        <v>5362</v>
      </c>
      <c r="K1584" s="2" t="s">
        <v>432</v>
      </c>
      <c r="L1584" s="3">
        <v>18.24</v>
      </c>
      <c r="M1584" s="3">
        <v>19.15</v>
      </c>
      <c r="N1584" s="3">
        <v>36.99</v>
      </c>
      <c r="O1584" s="2" t="s">
        <v>97</v>
      </c>
      <c r="P1584" s="2" t="s">
        <v>119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100</v>
      </c>
      <c r="V1584" s="2" t="s">
        <v>146</v>
      </c>
      <c r="W1584" s="2" t="s">
        <v>183</v>
      </c>
      <c r="X1584" s="2" t="s">
        <v>100</v>
      </c>
      <c r="Y1584" s="2" t="s">
        <v>5357</v>
      </c>
      <c r="Z1584" s="4">
        <v>404</v>
      </c>
      <c r="AA1584" s="4">
        <f>=ROUNDDOWN(44.8888888888889,0)</f>
      </c>
      <c r="AB1584" s="5">
        <v>9</v>
      </c>
      <c r="AC1584" s="2" t="s">
        <v>356</v>
      </c>
      <c r="AD1584" s="4">
        <v>1440</v>
      </c>
      <c r="AE1584" s="4">
        <v>1440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>
        <v>1</v>
      </c>
      <c r="AQ1584" s="8">
        <v>20.21</v>
      </c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>
        <v>1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 t="s">
        <v>100</v>
      </c>
      <c r="BJ1584" s="4">
        <v>219</v>
      </c>
      <c r="BK1584" s="8">
        <v>4374.79</v>
      </c>
      <c r="BL1584" s="2" t="s">
        <v>5370</v>
      </c>
      <c r="BM1584" s="7">
        <v>0.0046</v>
      </c>
      <c r="BN1584" s="7">
        <v>0.0046</v>
      </c>
      <c r="BO1584" s="4">
        <v>1</v>
      </c>
      <c r="BP1584" s="8">
        <v>20.21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5359</v>
      </c>
      <c r="BX1584" s="2" t="s">
        <v>965</v>
      </c>
      <c r="BY1584" s="2" t="s">
        <v>113</v>
      </c>
      <c r="BZ1584" s="2" t="s">
        <v>100</v>
      </c>
    </row>
    <row r="1585">
      <c r="A1585" s="2" t="s">
        <v>5371</v>
      </c>
      <c r="B1585" s="2" t="s">
        <v>5053</v>
      </c>
      <c r="C1585" s="2" t="s">
        <v>88</v>
      </c>
      <c r="D1585" s="2" t="s">
        <v>5316</v>
      </c>
      <c r="E1585" s="2" t="s">
        <v>5317</v>
      </c>
      <c r="F1585" s="2" t="s">
        <v>5353</v>
      </c>
      <c r="G1585" s="2" t="s">
        <v>5353</v>
      </c>
      <c r="H1585" s="2" t="s">
        <v>5353</v>
      </c>
      <c r="I1585" s="2" t="s">
        <v>5354</v>
      </c>
      <c r="J1585" s="2" t="s">
        <v>5365</v>
      </c>
      <c r="K1585" s="2" t="s">
        <v>432</v>
      </c>
      <c r="L1585" s="3">
        <v>29.64</v>
      </c>
      <c r="M1585" s="3">
        <v>31.12</v>
      </c>
      <c r="N1585" s="3">
        <v>61.99</v>
      </c>
      <c r="O1585" s="2" t="s">
        <v>97</v>
      </c>
      <c r="P1585" s="2" t="s">
        <v>119</v>
      </c>
      <c r="Q1585" s="2" t="s">
        <v>99</v>
      </c>
      <c r="R1585" s="2" t="s">
        <v>100</v>
      </c>
      <c r="S1585" s="2" t="s">
        <v>100</v>
      </c>
      <c r="T1585" s="2" t="s">
        <v>100</v>
      </c>
      <c r="U1585" s="2" t="s">
        <v>100</v>
      </c>
      <c r="V1585" s="2" t="s">
        <v>146</v>
      </c>
      <c r="W1585" s="2" t="s">
        <v>183</v>
      </c>
      <c r="X1585" s="2" t="s">
        <v>100</v>
      </c>
      <c r="Y1585" s="2" t="s">
        <v>5357</v>
      </c>
      <c r="Z1585" s="4">
        <v>178</v>
      </c>
      <c r="AA1585" s="4">
        <f>=ROUNDDOWN(25.4285714285714,0)</f>
      </c>
      <c r="AB1585" s="5">
        <v>7</v>
      </c>
      <c r="AC1585" s="2" t="s">
        <v>356</v>
      </c>
      <c r="AD1585" s="4">
        <v>720</v>
      </c>
      <c r="AE1585" s="4">
        <v>720</v>
      </c>
      <c r="AF1585" s="6">
        <v>65</v>
      </c>
      <c r="AG1585" s="6"/>
      <c r="AH1585" s="7">
        <v>0.3743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 t="s">
        <v>100</v>
      </c>
      <c r="BJ1585" s="4">
        <v>43</v>
      </c>
      <c r="BK1585" s="8">
        <v>1424.2</v>
      </c>
      <c r="BL1585" s="2" t="s">
        <v>5372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5359</v>
      </c>
      <c r="BX1585" s="2" t="s">
        <v>904</v>
      </c>
      <c r="BY1585" s="2" t="s">
        <v>113</v>
      </c>
      <c r="BZ1585" s="2" t="s">
        <v>100</v>
      </c>
    </row>
    <row r="1586">
      <c r="A1586" s="2" t="s">
        <v>5373</v>
      </c>
      <c r="B1586" s="2" t="s">
        <v>5053</v>
      </c>
      <c r="C1586" s="2" t="s">
        <v>88</v>
      </c>
      <c r="D1586" s="2" t="s">
        <v>5316</v>
      </c>
      <c r="E1586" s="2" t="s">
        <v>5317</v>
      </c>
      <c r="F1586" s="2" t="s">
        <v>5353</v>
      </c>
      <c r="G1586" s="2" t="s">
        <v>5353</v>
      </c>
      <c r="H1586" s="2" t="s">
        <v>5353</v>
      </c>
      <c r="I1586" s="2" t="s">
        <v>5354</v>
      </c>
      <c r="J1586" s="2" t="s">
        <v>5355</v>
      </c>
      <c r="K1586" s="2" t="s">
        <v>198</v>
      </c>
      <c r="L1586" s="3">
        <v>13.11</v>
      </c>
      <c r="M1586" s="3">
        <v>13.77</v>
      </c>
      <c r="N1586" s="3">
        <v>26.99</v>
      </c>
      <c r="O1586" s="2" t="s">
        <v>97</v>
      </c>
      <c r="P1586" s="2" t="s">
        <v>950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100</v>
      </c>
      <c r="V1586" s="2" t="s">
        <v>146</v>
      </c>
      <c r="W1586" s="2" t="s">
        <v>183</v>
      </c>
      <c r="X1586" s="2" t="s">
        <v>100</v>
      </c>
      <c r="Y1586" s="2" t="s">
        <v>5357</v>
      </c>
      <c r="Z1586" s="4">
        <v>718</v>
      </c>
      <c r="AA1586" s="4">
        <f>=ROUNDDOWN(47.8666666666667,0)</f>
      </c>
      <c r="AB1586" s="5">
        <v>15</v>
      </c>
      <c r="AC1586" s="2" t="s">
        <v>356</v>
      </c>
      <c r="AD1586" s="4">
        <v>2640</v>
      </c>
      <c r="AE1586" s="4">
        <v>2640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>
        <v>1</v>
      </c>
      <c r="AW1586" s="8">
        <v>20.21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>
        <v>0.1207</v>
      </c>
      <c r="BJ1586" s="4">
        <v>369</v>
      </c>
      <c r="BK1586" s="8">
        <v>5179.4</v>
      </c>
      <c r="BL1586" s="2" t="s">
        <v>5374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5359</v>
      </c>
      <c r="BX1586" s="2" t="s">
        <v>5375</v>
      </c>
      <c r="BY1586" s="2" t="s">
        <v>113</v>
      </c>
      <c r="BZ1586" s="2" t="s">
        <v>100</v>
      </c>
    </row>
    <row r="1587">
      <c r="A1587" s="2" t="s">
        <v>5376</v>
      </c>
      <c r="B1587" s="2" t="s">
        <v>5053</v>
      </c>
      <c r="C1587" s="2" t="s">
        <v>88</v>
      </c>
      <c r="D1587" s="2" t="s">
        <v>5316</v>
      </c>
      <c r="E1587" s="2" t="s">
        <v>5317</v>
      </c>
      <c r="F1587" s="2" t="s">
        <v>5353</v>
      </c>
      <c r="G1587" s="2" t="s">
        <v>5353</v>
      </c>
      <c r="H1587" s="2" t="s">
        <v>5353</v>
      </c>
      <c r="I1587" s="2" t="s">
        <v>5354</v>
      </c>
      <c r="J1587" s="2" t="s">
        <v>5362</v>
      </c>
      <c r="K1587" s="2" t="s">
        <v>198</v>
      </c>
      <c r="L1587" s="3">
        <v>18.24</v>
      </c>
      <c r="M1587" s="3">
        <v>19.15</v>
      </c>
      <c r="N1587" s="3">
        <v>36.99</v>
      </c>
      <c r="O1587" s="2" t="s">
        <v>97</v>
      </c>
      <c r="P1587" s="2" t="s">
        <v>950</v>
      </c>
      <c r="Q1587" s="2" t="s">
        <v>99</v>
      </c>
      <c r="R1587" s="2" t="s">
        <v>100</v>
      </c>
      <c r="S1587" s="2" t="s">
        <v>100</v>
      </c>
      <c r="T1587" s="2" t="s">
        <v>100</v>
      </c>
      <c r="U1587" s="2" t="s">
        <v>100</v>
      </c>
      <c r="V1587" s="2" t="s">
        <v>146</v>
      </c>
      <c r="W1587" s="2" t="s">
        <v>183</v>
      </c>
      <c r="X1587" s="2" t="s">
        <v>100</v>
      </c>
      <c r="Y1587" s="2" t="s">
        <v>5357</v>
      </c>
      <c r="Z1587" s="4">
        <v>791</v>
      </c>
      <c r="AA1587" s="4">
        <f>=ROUNDDOWN(49.4375,0)</f>
      </c>
      <c r="AB1587" s="5">
        <v>16</v>
      </c>
      <c r="AC1587" s="2" t="s">
        <v>356</v>
      </c>
      <c r="AD1587" s="4">
        <v>1728</v>
      </c>
      <c r="AE1587" s="4">
        <v>1728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>
        <v>1</v>
      </c>
      <c r="AQ1587" s="8">
        <v>20.21</v>
      </c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>
        <v>1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 t="s">
        <v>100</v>
      </c>
      <c r="BJ1587" s="4">
        <v>376</v>
      </c>
      <c r="BK1587" s="8">
        <v>7522.64</v>
      </c>
      <c r="BL1587" s="2" t="s">
        <v>5377</v>
      </c>
      <c r="BM1587" s="7">
        <v>0.0027</v>
      </c>
      <c r="BN1587" s="7">
        <v>0.0027</v>
      </c>
      <c r="BO1587" s="4">
        <v>1</v>
      </c>
      <c r="BP1587" s="8">
        <v>20.21</v>
      </c>
      <c r="BQ1587" s="4"/>
      <c r="BR1587" s="8"/>
      <c r="BS1587" s="7"/>
      <c r="BT1587" s="7"/>
      <c r="BU1587" s="2" t="s">
        <v>109</v>
      </c>
      <c r="BV1587" s="2" t="s">
        <v>110</v>
      </c>
      <c r="BW1587" s="2" t="s">
        <v>5359</v>
      </c>
      <c r="BX1587" s="2" t="s">
        <v>965</v>
      </c>
      <c r="BY1587" s="2" t="s">
        <v>113</v>
      </c>
      <c r="BZ1587" s="2" t="s">
        <v>100</v>
      </c>
    </row>
    <row r="1588">
      <c r="A1588" s="2" t="s">
        <v>5378</v>
      </c>
      <c r="B1588" s="2" t="s">
        <v>5053</v>
      </c>
      <c r="C1588" s="2" t="s">
        <v>88</v>
      </c>
      <c r="D1588" s="2" t="s">
        <v>5316</v>
      </c>
      <c r="E1588" s="2" t="s">
        <v>5317</v>
      </c>
      <c r="F1588" s="2" t="s">
        <v>5353</v>
      </c>
      <c r="G1588" s="2" t="s">
        <v>5353</v>
      </c>
      <c r="H1588" s="2" t="s">
        <v>5353</v>
      </c>
      <c r="I1588" s="2" t="s">
        <v>5354</v>
      </c>
      <c r="J1588" s="2" t="s">
        <v>5355</v>
      </c>
      <c r="K1588" s="2" t="s">
        <v>335</v>
      </c>
      <c r="L1588" s="3">
        <v>13.11</v>
      </c>
      <c r="M1588" s="3">
        <v>13.77</v>
      </c>
      <c r="N1588" s="3">
        <v>26.99</v>
      </c>
      <c r="O1588" s="2" t="s">
        <v>97</v>
      </c>
      <c r="P1588" s="2" t="s">
        <v>225</v>
      </c>
      <c r="Q1588" s="2" t="s">
        <v>99</v>
      </c>
      <c r="R1588" s="2" t="s">
        <v>100</v>
      </c>
      <c r="S1588" s="2" t="s">
        <v>100</v>
      </c>
      <c r="T1588" s="2" t="s">
        <v>100</v>
      </c>
      <c r="U1588" s="2" t="s">
        <v>1847</v>
      </c>
      <c r="V1588" s="2" t="s">
        <v>146</v>
      </c>
      <c r="W1588" s="2" t="s">
        <v>183</v>
      </c>
      <c r="X1588" s="2" t="s">
        <v>100</v>
      </c>
      <c r="Y1588" s="2" t="s">
        <v>5379</v>
      </c>
      <c r="Z1588" s="4">
        <v>89</v>
      </c>
      <c r="AA1588" s="4">
        <f>=ROUNDDOWN(6.84615384615385,0)</f>
      </c>
      <c r="AB1588" s="5">
        <v>13</v>
      </c>
      <c r="AC1588" s="2" t="s">
        <v>5126</v>
      </c>
      <c r="AD1588" s="4">
        <v>220</v>
      </c>
      <c r="AE1588" s="4">
        <v>400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 t="s">
        <v>100</v>
      </c>
      <c r="BJ1588" s="4">
        <v>95</v>
      </c>
      <c r="BK1588" s="8">
        <v>1418.13</v>
      </c>
      <c r="BL1588" s="2" t="s">
        <v>2634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207</v>
      </c>
      <c r="BV1588" s="2" t="s">
        <v>97</v>
      </c>
      <c r="BW1588" s="2" t="s">
        <v>100</v>
      </c>
      <c r="BX1588" s="2" t="s">
        <v>100</v>
      </c>
      <c r="BY1588" s="2" t="s">
        <v>113</v>
      </c>
      <c r="BZ1588" s="2" t="s">
        <v>100</v>
      </c>
    </row>
    <row r="1589">
      <c r="A1589" s="2" t="s">
        <v>5380</v>
      </c>
      <c r="B1589" s="2" t="s">
        <v>5053</v>
      </c>
      <c r="C1589" s="2" t="s">
        <v>88</v>
      </c>
      <c r="D1589" s="2" t="s">
        <v>5316</v>
      </c>
      <c r="E1589" s="2" t="s">
        <v>5317</v>
      </c>
      <c r="F1589" s="2" t="s">
        <v>5353</v>
      </c>
      <c r="G1589" s="2" t="s">
        <v>5353</v>
      </c>
      <c r="H1589" s="2" t="s">
        <v>5353</v>
      </c>
      <c r="I1589" s="2" t="s">
        <v>5354</v>
      </c>
      <c r="J1589" s="2" t="s">
        <v>5362</v>
      </c>
      <c r="K1589" s="2" t="s">
        <v>335</v>
      </c>
      <c r="L1589" s="3">
        <v>18.24</v>
      </c>
      <c r="M1589" s="3">
        <v>19.15</v>
      </c>
      <c r="N1589" s="3">
        <v>36.99</v>
      </c>
      <c r="O1589" s="2" t="s">
        <v>97</v>
      </c>
      <c r="P1589" s="2" t="s">
        <v>225</v>
      </c>
      <c r="Q1589" s="2" t="s">
        <v>99</v>
      </c>
      <c r="R1589" s="2" t="s">
        <v>100</v>
      </c>
      <c r="S1589" s="2" t="s">
        <v>100</v>
      </c>
      <c r="T1589" s="2" t="s">
        <v>100</v>
      </c>
      <c r="U1589" s="2" t="s">
        <v>1847</v>
      </c>
      <c r="V1589" s="2" t="s">
        <v>146</v>
      </c>
      <c r="W1589" s="2" t="s">
        <v>183</v>
      </c>
      <c r="X1589" s="2" t="s">
        <v>100</v>
      </c>
      <c r="Y1589" s="2" t="s">
        <v>5379</v>
      </c>
      <c r="Z1589" s="4">
        <v>57</v>
      </c>
      <c r="AA1589" s="4">
        <f>=ROUNDDOWN(2.28,0)</f>
      </c>
      <c r="AB1589" s="5">
        <v>25</v>
      </c>
      <c r="AC1589" s="2" t="s">
        <v>5126</v>
      </c>
      <c r="AD1589" s="4">
        <v>260</v>
      </c>
      <c r="AE1589" s="4">
        <v>760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 t="s">
        <v>100</v>
      </c>
      <c r="BJ1589" s="4">
        <v>131</v>
      </c>
      <c r="BK1589" s="8">
        <v>2711.99</v>
      </c>
      <c r="BL1589" s="2" t="s">
        <v>658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207</v>
      </c>
      <c r="BV1589" s="2" t="s">
        <v>97</v>
      </c>
      <c r="BW1589" s="2" t="s">
        <v>100</v>
      </c>
      <c r="BX1589" s="2" t="s">
        <v>100</v>
      </c>
      <c r="BY1589" s="2" t="s">
        <v>113</v>
      </c>
      <c r="BZ1589" s="2" t="s">
        <v>100</v>
      </c>
    </row>
    <row r="1590">
      <c r="A1590" s="2" t="s">
        <v>5381</v>
      </c>
      <c r="B1590" s="2" t="s">
        <v>5053</v>
      </c>
      <c r="C1590" s="2" t="s">
        <v>88</v>
      </c>
      <c r="D1590" s="2" t="s">
        <v>5316</v>
      </c>
      <c r="E1590" s="2" t="s">
        <v>5317</v>
      </c>
      <c r="F1590" s="2" t="s">
        <v>5353</v>
      </c>
      <c r="G1590" s="2" t="s">
        <v>5353</v>
      </c>
      <c r="H1590" s="2" t="s">
        <v>5353</v>
      </c>
      <c r="I1590" s="2" t="s">
        <v>5354</v>
      </c>
      <c r="J1590" s="2" t="s">
        <v>5365</v>
      </c>
      <c r="K1590" s="2" t="s">
        <v>335</v>
      </c>
      <c r="L1590" s="3">
        <v>29.64</v>
      </c>
      <c r="M1590" s="3">
        <v>31.12</v>
      </c>
      <c r="N1590" s="3">
        <v>61.99</v>
      </c>
      <c r="O1590" s="2" t="s">
        <v>97</v>
      </c>
      <c r="P1590" s="2" t="s">
        <v>225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1847</v>
      </c>
      <c r="V1590" s="2" t="s">
        <v>146</v>
      </c>
      <c r="W1590" s="2" t="s">
        <v>183</v>
      </c>
      <c r="X1590" s="2" t="s">
        <v>100</v>
      </c>
      <c r="Y1590" s="2" t="s">
        <v>5379</v>
      </c>
      <c r="Z1590" s="4">
        <v>24</v>
      </c>
      <c r="AA1590" s="4">
        <f>=ROUNDDOWN(1.6,0)</f>
      </c>
      <c r="AB1590" s="5">
        <v>15</v>
      </c>
      <c r="AC1590" s="2" t="s">
        <v>5126</v>
      </c>
      <c r="AD1590" s="4">
        <v>140</v>
      </c>
      <c r="AE1590" s="4">
        <v>440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 t="s">
        <v>100</v>
      </c>
      <c r="BJ1590" s="4">
        <v>74</v>
      </c>
      <c r="BK1590" s="8">
        <v>2531.21</v>
      </c>
      <c r="BL1590" s="2" t="s">
        <v>2640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207</v>
      </c>
      <c r="BV1590" s="2" t="s">
        <v>97</v>
      </c>
      <c r="BW1590" s="2" t="s">
        <v>100</v>
      </c>
      <c r="BX1590" s="2" t="s">
        <v>100</v>
      </c>
      <c r="BY1590" s="2" t="s">
        <v>113</v>
      </c>
      <c r="BZ1590" s="2" t="s">
        <v>100</v>
      </c>
    </row>
    <row r="1591">
      <c r="A1591" s="2" t="s">
        <v>5382</v>
      </c>
      <c r="B1591" s="2" t="s">
        <v>5053</v>
      </c>
      <c r="C1591" s="2" t="s">
        <v>88</v>
      </c>
      <c r="D1591" s="2" t="s">
        <v>5316</v>
      </c>
      <c r="E1591" s="2" t="s">
        <v>5317</v>
      </c>
      <c r="F1591" s="2" t="s">
        <v>5353</v>
      </c>
      <c r="G1591" s="2" t="s">
        <v>5353</v>
      </c>
      <c r="H1591" s="2" t="s">
        <v>5353</v>
      </c>
      <c r="I1591" s="2" t="s">
        <v>5354</v>
      </c>
      <c r="J1591" s="2" t="s">
        <v>5355</v>
      </c>
      <c r="K1591" s="2" t="s">
        <v>512</v>
      </c>
      <c r="L1591" s="3">
        <v>13.11</v>
      </c>
      <c r="M1591" s="3">
        <v>13.77</v>
      </c>
      <c r="N1591" s="3">
        <v>26.99</v>
      </c>
      <c r="O1591" s="2" t="s">
        <v>97</v>
      </c>
      <c r="P1591" s="2" t="s">
        <v>119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100</v>
      </c>
      <c r="V1591" s="2" t="s">
        <v>146</v>
      </c>
      <c r="W1591" s="2" t="s">
        <v>183</v>
      </c>
      <c r="X1591" s="2" t="s">
        <v>100</v>
      </c>
      <c r="Y1591" s="2" t="s">
        <v>5357</v>
      </c>
      <c r="Z1591" s="4">
        <v>559</v>
      </c>
      <c r="AA1591" s="4">
        <f>=ROUNDDOWN(43,0)</f>
      </c>
      <c r="AB1591" s="5">
        <v>13</v>
      </c>
      <c r="AC1591" s="2" t="s">
        <v>356</v>
      </c>
      <c r="AD1591" s="4">
        <v>2400</v>
      </c>
      <c r="AE1591" s="4">
        <v>2560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 t="s">
        <v>100</v>
      </c>
      <c r="BJ1591" s="4">
        <v>324</v>
      </c>
      <c r="BK1591" s="8">
        <v>4418.87</v>
      </c>
      <c r="BL1591" s="2" t="s">
        <v>5211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5359</v>
      </c>
      <c r="BX1591" s="2" t="s">
        <v>5383</v>
      </c>
      <c r="BY1591" s="2" t="s">
        <v>113</v>
      </c>
      <c r="BZ1591" s="2" t="s">
        <v>245</v>
      </c>
    </row>
    <row r="1592">
      <c r="A1592" s="2" t="s">
        <v>5384</v>
      </c>
      <c r="B1592" s="2" t="s">
        <v>5053</v>
      </c>
      <c r="C1592" s="2" t="s">
        <v>88</v>
      </c>
      <c r="D1592" s="2" t="s">
        <v>5316</v>
      </c>
      <c r="E1592" s="2" t="s">
        <v>5317</v>
      </c>
      <c r="F1592" s="2" t="s">
        <v>5353</v>
      </c>
      <c r="G1592" s="2" t="s">
        <v>5353</v>
      </c>
      <c r="H1592" s="2" t="s">
        <v>5353</v>
      </c>
      <c r="I1592" s="2" t="s">
        <v>5354</v>
      </c>
      <c r="J1592" s="2" t="s">
        <v>5362</v>
      </c>
      <c r="K1592" s="2" t="s">
        <v>512</v>
      </c>
      <c r="L1592" s="3">
        <v>18.24</v>
      </c>
      <c r="M1592" s="3">
        <v>19.15</v>
      </c>
      <c r="N1592" s="3">
        <v>36.99</v>
      </c>
      <c r="O1592" s="2" t="s">
        <v>97</v>
      </c>
      <c r="P1592" s="2" t="s">
        <v>119</v>
      </c>
      <c r="Q1592" s="2" t="s">
        <v>99</v>
      </c>
      <c r="R1592" s="2" t="s">
        <v>100</v>
      </c>
      <c r="S1592" s="2" t="s">
        <v>100</v>
      </c>
      <c r="T1592" s="2" t="s">
        <v>100</v>
      </c>
      <c r="U1592" s="2" t="s">
        <v>100</v>
      </c>
      <c r="V1592" s="2" t="s">
        <v>146</v>
      </c>
      <c r="W1592" s="2" t="s">
        <v>183</v>
      </c>
      <c r="X1592" s="2" t="s">
        <v>100</v>
      </c>
      <c r="Y1592" s="2" t="s">
        <v>5357</v>
      </c>
      <c r="Z1592" s="4">
        <v>465</v>
      </c>
      <c r="AA1592" s="4">
        <f>=ROUNDDOWN(33.2142857142857,0)</f>
      </c>
      <c r="AB1592" s="5">
        <v>14</v>
      </c>
      <c r="AC1592" s="2" t="s">
        <v>356</v>
      </c>
      <c r="AD1592" s="4">
        <v>2016</v>
      </c>
      <c r="AE1592" s="4">
        <v>2248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 t="s">
        <v>100</v>
      </c>
      <c r="BJ1592" s="4">
        <v>376</v>
      </c>
      <c r="BK1592" s="8">
        <v>7258.79</v>
      </c>
      <c r="BL1592" s="2" t="s">
        <v>3774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5359</v>
      </c>
      <c r="BX1592" s="2" t="s">
        <v>5385</v>
      </c>
      <c r="BY1592" s="2" t="s">
        <v>113</v>
      </c>
      <c r="BZ1592" s="2" t="s">
        <v>100</v>
      </c>
    </row>
    <row r="1593">
      <c r="A1593" s="2" t="s">
        <v>5386</v>
      </c>
      <c r="B1593" s="2" t="s">
        <v>5053</v>
      </c>
      <c r="C1593" s="2" t="s">
        <v>88</v>
      </c>
      <c r="D1593" s="2" t="s">
        <v>5316</v>
      </c>
      <c r="E1593" s="2" t="s">
        <v>5317</v>
      </c>
      <c r="F1593" s="2" t="s">
        <v>5353</v>
      </c>
      <c r="G1593" s="2" t="s">
        <v>5353</v>
      </c>
      <c r="H1593" s="2" t="s">
        <v>5353</v>
      </c>
      <c r="I1593" s="2" t="s">
        <v>5354</v>
      </c>
      <c r="J1593" s="2" t="s">
        <v>5365</v>
      </c>
      <c r="K1593" s="2" t="s">
        <v>512</v>
      </c>
      <c r="L1593" s="3">
        <v>29.64</v>
      </c>
      <c r="M1593" s="3">
        <v>31.12</v>
      </c>
      <c r="N1593" s="3">
        <v>61.99</v>
      </c>
      <c r="O1593" s="2" t="s">
        <v>97</v>
      </c>
      <c r="P1593" s="2" t="s">
        <v>119</v>
      </c>
      <c r="Q1593" s="2" t="s">
        <v>99</v>
      </c>
      <c r="R1593" s="2" t="s">
        <v>100</v>
      </c>
      <c r="S1593" s="2" t="s">
        <v>100</v>
      </c>
      <c r="T1593" s="2" t="s">
        <v>100</v>
      </c>
      <c r="U1593" s="2" t="s">
        <v>100</v>
      </c>
      <c r="V1593" s="2" t="s">
        <v>146</v>
      </c>
      <c r="W1593" s="2" t="s">
        <v>183</v>
      </c>
      <c r="X1593" s="2" t="s">
        <v>100</v>
      </c>
      <c r="Y1593" s="2" t="s">
        <v>5357</v>
      </c>
      <c r="Z1593" s="4">
        <v>220</v>
      </c>
      <c r="AA1593" s="4">
        <f>=ROUNDDOWN(27.5,0)</f>
      </c>
      <c r="AB1593" s="5">
        <v>8</v>
      </c>
      <c r="AC1593" s="2" t="s">
        <v>356</v>
      </c>
      <c r="AD1593" s="4">
        <v>288</v>
      </c>
      <c r="AE1593" s="4">
        <v>460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 t="s">
        <v>100</v>
      </c>
      <c r="BJ1593" s="4">
        <v>157</v>
      </c>
      <c r="BK1593" s="8">
        <v>5123.2</v>
      </c>
      <c r="BL1593" s="2" t="s">
        <v>5387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5359</v>
      </c>
      <c r="BX1593" s="2" t="s">
        <v>5388</v>
      </c>
      <c r="BY1593" s="2" t="s">
        <v>113</v>
      </c>
      <c r="BZ1593" s="2" t="s">
        <v>100</v>
      </c>
    </row>
    <row r="1594">
      <c r="A1594" s="2" t="s">
        <v>5389</v>
      </c>
      <c r="B1594" s="2" t="s">
        <v>5053</v>
      </c>
      <c r="C1594" s="2" t="s">
        <v>88</v>
      </c>
      <c r="D1594" s="2" t="s">
        <v>5316</v>
      </c>
      <c r="E1594" s="2" t="s">
        <v>5317</v>
      </c>
      <c r="F1594" s="2" t="s">
        <v>5390</v>
      </c>
      <c r="G1594" s="2" t="s">
        <v>5390</v>
      </c>
      <c r="H1594" s="2" t="s">
        <v>5390</v>
      </c>
      <c r="I1594" s="2" t="s">
        <v>5391</v>
      </c>
      <c r="J1594" s="2" t="s">
        <v>5322</v>
      </c>
      <c r="K1594" s="2" t="s">
        <v>198</v>
      </c>
      <c r="L1594" s="3">
        <v>11.25</v>
      </c>
      <c r="M1594" s="3">
        <v>11.81</v>
      </c>
      <c r="N1594" s="3">
        <v>24.99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5392</v>
      </c>
      <c r="T1594" s="2" t="s">
        <v>100</v>
      </c>
      <c r="U1594" s="2" t="s">
        <v>100</v>
      </c>
      <c r="V1594" s="2" t="s">
        <v>350</v>
      </c>
      <c r="W1594" s="2" t="s">
        <v>183</v>
      </c>
      <c r="X1594" s="2" t="s">
        <v>100</v>
      </c>
      <c r="Y1594" s="2" t="s">
        <v>240</v>
      </c>
      <c r="Z1594" s="4">
        <v>814</v>
      </c>
      <c r="AA1594" s="4">
        <f>=ROUNDDOWN(14.8,0)</f>
      </c>
      <c r="AB1594" s="5">
        <v>55</v>
      </c>
      <c r="AC1594" s="2" t="s">
        <v>241</v>
      </c>
      <c r="AD1594" s="4">
        <v>260</v>
      </c>
      <c r="AE1594" s="4">
        <v>2330</v>
      </c>
      <c r="AF1594" s="6">
        <v>67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>
        <v>1</v>
      </c>
      <c r="AQ1594" s="8">
        <v>11.55</v>
      </c>
      <c r="AR1594" s="4"/>
      <c r="AS1594" s="8"/>
      <c r="AT1594" s="7"/>
      <c r="AU1594" s="7"/>
      <c r="AV1594" s="4">
        <v>4</v>
      </c>
      <c r="AW1594" s="8">
        <v>72.21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>
        <v>0.16</v>
      </c>
      <c r="BC1594" s="4">
        <v>7</v>
      </c>
      <c r="BD1594" s="8">
        <v>121.29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0.5953</v>
      </c>
      <c r="BJ1594" s="4">
        <v>1520</v>
      </c>
      <c r="BK1594" s="8">
        <v>18839.54</v>
      </c>
      <c r="BL1594" s="2" t="s">
        <v>5393</v>
      </c>
      <c r="BM1594" s="7">
        <v>0.0007</v>
      </c>
      <c r="BN1594" s="7">
        <v>0.0006</v>
      </c>
      <c r="BO1594" s="4">
        <v>1</v>
      </c>
      <c r="BP1594" s="8">
        <v>11.55</v>
      </c>
      <c r="BQ1594" s="4"/>
      <c r="BR1594" s="8"/>
      <c r="BS1594" s="7"/>
      <c r="BT1594" s="7"/>
      <c r="BU1594" s="2" t="s">
        <v>109</v>
      </c>
      <c r="BV1594" s="2" t="s">
        <v>110</v>
      </c>
      <c r="BW1594" s="2" t="s">
        <v>5063</v>
      </c>
      <c r="BX1594" s="2" t="s">
        <v>4733</v>
      </c>
      <c r="BY1594" s="2" t="s">
        <v>113</v>
      </c>
      <c r="BZ1594" s="2" t="s">
        <v>100</v>
      </c>
    </row>
    <row r="1595">
      <c r="A1595" s="2" t="s">
        <v>5394</v>
      </c>
      <c r="B1595" s="2" t="s">
        <v>5053</v>
      </c>
      <c r="C1595" s="2" t="s">
        <v>88</v>
      </c>
      <c r="D1595" s="2" t="s">
        <v>5316</v>
      </c>
      <c r="E1595" s="2" t="s">
        <v>5317</v>
      </c>
      <c r="F1595" s="2" t="s">
        <v>5390</v>
      </c>
      <c r="G1595" s="2" t="s">
        <v>5390</v>
      </c>
      <c r="H1595" s="2" t="s">
        <v>5390</v>
      </c>
      <c r="I1595" s="2" t="s">
        <v>5391</v>
      </c>
      <c r="J1595" s="2" t="s">
        <v>5328</v>
      </c>
      <c r="K1595" s="2" t="s">
        <v>198</v>
      </c>
      <c r="L1595" s="3">
        <v>24</v>
      </c>
      <c r="M1595" s="3">
        <v>25.2</v>
      </c>
      <c r="N1595" s="3">
        <v>49.99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5395</v>
      </c>
      <c r="T1595" s="2" t="s">
        <v>100</v>
      </c>
      <c r="U1595" s="2" t="s">
        <v>100</v>
      </c>
      <c r="V1595" s="2" t="s">
        <v>350</v>
      </c>
      <c r="W1595" s="2" t="s">
        <v>183</v>
      </c>
      <c r="X1595" s="2" t="s">
        <v>100</v>
      </c>
      <c r="Y1595" s="2" t="s">
        <v>240</v>
      </c>
      <c r="Z1595" s="4">
        <v>314</v>
      </c>
      <c r="AA1595" s="4">
        <f>=ROUNDDOWN(26.1666666666667,0)</f>
      </c>
      <c r="AB1595" s="5">
        <v>12</v>
      </c>
      <c r="AC1595" s="2" t="s">
        <v>2746</v>
      </c>
      <c r="AD1595" s="4">
        <v>70</v>
      </c>
      <c r="AE1595" s="4">
        <v>270</v>
      </c>
      <c r="AF1595" s="6">
        <v>67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 t="s">
        <v>100</v>
      </c>
      <c r="BJ1595" s="4">
        <v>263</v>
      </c>
      <c r="BK1595" s="8">
        <v>7109.49</v>
      </c>
      <c r="BL1595" s="2" t="s">
        <v>5396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5063</v>
      </c>
      <c r="BX1595" s="2" t="s">
        <v>1529</v>
      </c>
      <c r="BY1595" s="2" t="s">
        <v>113</v>
      </c>
      <c r="BZ1595" s="2" t="s">
        <v>100</v>
      </c>
    </row>
    <row r="1596">
      <c r="A1596" s="2" t="s">
        <v>5397</v>
      </c>
      <c r="B1596" s="2" t="s">
        <v>5053</v>
      </c>
      <c r="C1596" s="2" t="s">
        <v>88</v>
      </c>
      <c r="D1596" s="2" t="s">
        <v>5316</v>
      </c>
      <c r="E1596" s="2" t="s">
        <v>5317</v>
      </c>
      <c r="F1596" s="2" t="s">
        <v>5390</v>
      </c>
      <c r="G1596" s="2" t="s">
        <v>5390</v>
      </c>
      <c r="H1596" s="2" t="s">
        <v>5390</v>
      </c>
      <c r="I1596" s="2" t="s">
        <v>5391</v>
      </c>
      <c r="J1596" s="2" t="s">
        <v>5398</v>
      </c>
      <c r="K1596" s="2" t="s">
        <v>198</v>
      </c>
      <c r="L1596" s="3">
        <v>19.2</v>
      </c>
      <c r="M1596" s="3">
        <v>20.16</v>
      </c>
      <c r="N1596" s="3">
        <v>39.99</v>
      </c>
      <c r="O1596" s="2" t="s">
        <v>97</v>
      </c>
      <c r="P1596" s="2" t="s">
        <v>98</v>
      </c>
      <c r="Q1596" s="2" t="s">
        <v>99</v>
      </c>
      <c r="R1596" s="2" t="s">
        <v>100</v>
      </c>
      <c r="S1596" s="2" t="s">
        <v>5395</v>
      </c>
      <c r="T1596" s="2" t="s">
        <v>100</v>
      </c>
      <c r="U1596" s="2" t="s">
        <v>100</v>
      </c>
      <c r="V1596" s="2" t="s">
        <v>350</v>
      </c>
      <c r="W1596" s="2" t="s">
        <v>183</v>
      </c>
      <c r="X1596" s="2" t="s">
        <v>100</v>
      </c>
      <c r="Y1596" s="2" t="s">
        <v>240</v>
      </c>
      <c r="Z1596" s="4">
        <v>319</v>
      </c>
      <c r="AA1596" s="4">
        <f>=ROUNDDOWN(15.1904761904762,0)</f>
      </c>
      <c r="AB1596" s="5">
        <v>21</v>
      </c>
      <c r="AC1596" s="2" t="s">
        <v>1728</v>
      </c>
      <c r="AD1596" s="4">
        <v>300</v>
      </c>
      <c r="AE1596" s="4">
        <v>760</v>
      </c>
      <c r="AF1596" s="6">
        <v>67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3</v>
      </c>
      <c r="AQ1596" s="8">
        <v>60.66</v>
      </c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>
        <v>0.84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 t="s">
        <v>100</v>
      </c>
      <c r="BJ1596" s="4">
        <v>461</v>
      </c>
      <c r="BK1596" s="8">
        <v>9369.78</v>
      </c>
      <c r="BL1596" s="2" t="s">
        <v>5399</v>
      </c>
      <c r="BM1596" s="7">
        <v>0.0065</v>
      </c>
      <c r="BN1596" s="7">
        <v>0.0065</v>
      </c>
      <c r="BO1596" s="4">
        <v>3</v>
      </c>
      <c r="BP1596" s="8">
        <v>60.66</v>
      </c>
      <c r="BQ1596" s="4"/>
      <c r="BR1596" s="8"/>
      <c r="BS1596" s="7"/>
      <c r="BT1596" s="7"/>
      <c r="BU1596" s="2" t="s">
        <v>109</v>
      </c>
      <c r="BV1596" s="2" t="s">
        <v>110</v>
      </c>
      <c r="BW1596" s="2" t="s">
        <v>5063</v>
      </c>
      <c r="BX1596" s="2" t="s">
        <v>4733</v>
      </c>
      <c r="BY1596" s="2" t="s">
        <v>113</v>
      </c>
      <c r="BZ1596" s="2" t="s">
        <v>100</v>
      </c>
    </row>
    <row r="1597">
      <c r="A1597" s="2" t="s">
        <v>5400</v>
      </c>
      <c r="B1597" s="2" t="s">
        <v>5053</v>
      </c>
      <c r="C1597" s="2" t="s">
        <v>88</v>
      </c>
      <c r="D1597" s="2" t="s">
        <v>5316</v>
      </c>
      <c r="E1597" s="2" t="s">
        <v>5317</v>
      </c>
      <c r="F1597" s="2" t="s">
        <v>5390</v>
      </c>
      <c r="G1597" s="2" t="s">
        <v>5390</v>
      </c>
      <c r="H1597" s="2" t="s">
        <v>5390</v>
      </c>
      <c r="I1597" s="2" t="s">
        <v>5391</v>
      </c>
      <c r="J1597" s="2" t="s">
        <v>5322</v>
      </c>
      <c r="K1597" s="2" t="s">
        <v>96</v>
      </c>
      <c r="L1597" s="3">
        <v>11.25</v>
      </c>
      <c r="M1597" s="3">
        <v>11.81</v>
      </c>
      <c r="N1597" s="3">
        <v>24.99</v>
      </c>
      <c r="O1597" s="2" t="s">
        <v>97</v>
      </c>
      <c r="P1597" s="2" t="s">
        <v>119</v>
      </c>
      <c r="Q1597" s="2" t="s">
        <v>99</v>
      </c>
      <c r="R1597" s="2" t="s">
        <v>100</v>
      </c>
      <c r="S1597" s="2" t="s">
        <v>5401</v>
      </c>
      <c r="T1597" s="2" t="s">
        <v>100</v>
      </c>
      <c r="U1597" s="2" t="s">
        <v>100</v>
      </c>
      <c r="V1597" s="2" t="s">
        <v>350</v>
      </c>
      <c r="W1597" s="2" t="s">
        <v>183</v>
      </c>
      <c r="X1597" s="2" t="s">
        <v>100</v>
      </c>
      <c r="Y1597" s="2" t="s">
        <v>240</v>
      </c>
      <c r="Z1597" s="4">
        <v>874</v>
      </c>
      <c r="AA1597" s="4">
        <f>=ROUNDDOWN(33.6153846153846,0)</f>
      </c>
      <c r="AB1597" s="5">
        <v>26</v>
      </c>
      <c r="AC1597" s="2" t="s">
        <v>241</v>
      </c>
      <c r="AD1597" s="4">
        <v>400</v>
      </c>
      <c r="AE1597" s="4">
        <v>1060</v>
      </c>
      <c r="AF1597" s="6">
        <v>67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>
        <v>2</v>
      </c>
      <c r="AQ1597" s="8">
        <v>23.1</v>
      </c>
      <c r="AR1597" s="4"/>
      <c r="AS1597" s="8"/>
      <c r="AT1597" s="7"/>
      <c r="AU1597" s="7"/>
      <c r="AV1597" s="4">
        <v>3</v>
      </c>
      <c r="AW1597" s="8">
        <v>49.08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>
        <v>0.4707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0.4047</v>
      </c>
      <c r="BJ1597" s="4">
        <v>1010</v>
      </c>
      <c r="BK1597" s="8">
        <v>11847.61</v>
      </c>
      <c r="BL1597" s="2" t="s">
        <v>5402</v>
      </c>
      <c r="BM1597" s="7">
        <v>0.002</v>
      </c>
      <c r="BN1597" s="7">
        <v>0.0019</v>
      </c>
      <c r="BO1597" s="4">
        <v>2</v>
      </c>
      <c r="BP1597" s="8">
        <v>23.1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5063</v>
      </c>
      <c r="BX1597" s="2" t="s">
        <v>1993</v>
      </c>
      <c r="BY1597" s="2" t="s">
        <v>113</v>
      </c>
      <c r="BZ1597" s="2" t="s">
        <v>100</v>
      </c>
    </row>
    <row r="1598">
      <c r="A1598" s="2" t="s">
        <v>5403</v>
      </c>
      <c r="B1598" s="2" t="s">
        <v>5053</v>
      </c>
      <c r="C1598" s="2" t="s">
        <v>88</v>
      </c>
      <c r="D1598" s="2" t="s">
        <v>5316</v>
      </c>
      <c r="E1598" s="2" t="s">
        <v>5317</v>
      </c>
      <c r="F1598" s="2" t="s">
        <v>5390</v>
      </c>
      <c r="G1598" s="2" t="s">
        <v>5390</v>
      </c>
      <c r="H1598" s="2" t="s">
        <v>5390</v>
      </c>
      <c r="I1598" s="2" t="s">
        <v>5391</v>
      </c>
      <c r="J1598" s="2" t="s">
        <v>5328</v>
      </c>
      <c r="K1598" s="2" t="s">
        <v>96</v>
      </c>
      <c r="L1598" s="3">
        <v>24</v>
      </c>
      <c r="M1598" s="3">
        <v>25.2</v>
      </c>
      <c r="N1598" s="3">
        <v>49.99</v>
      </c>
      <c r="O1598" s="2" t="s">
        <v>97</v>
      </c>
      <c r="P1598" s="2" t="s">
        <v>119</v>
      </c>
      <c r="Q1598" s="2" t="s">
        <v>99</v>
      </c>
      <c r="R1598" s="2" t="s">
        <v>100</v>
      </c>
      <c r="S1598" s="2" t="s">
        <v>5401</v>
      </c>
      <c r="T1598" s="2" t="s">
        <v>100</v>
      </c>
      <c r="U1598" s="2" t="s">
        <v>100</v>
      </c>
      <c r="V1598" s="2" t="s">
        <v>350</v>
      </c>
      <c r="W1598" s="2" t="s">
        <v>183</v>
      </c>
      <c r="X1598" s="2" t="s">
        <v>100</v>
      </c>
      <c r="Y1598" s="2" t="s">
        <v>240</v>
      </c>
      <c r="Z1598" s="4">
        <v>136</v>
      </c>
      <c r="AA1598" s="4">
        <f>=ROUNDDOWN(17,0)</f>
      </c>
      <c r="AB1598" s="5">
        <v>8</v>
      </c>
      <c r="AC1598" s="2" t="s">
        <v>241</v>
      </c>
      <c r="AD1598" s="4">
        <v>30</v>
      </c>
      <c r="AE1598" s="4">
        <v>170</v>
      </c>
      <c r="AF1598" s="6">
        <v>67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>
        <v>1</v>
      </c>
      <c r="AQ1598" s="8">
        <v>25.98</v>
      </c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>
        <v>0.5293</v>
      </c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 t="s">
        <v>100</v>
      </c>
      <c r="BJ1598" s="4">
        <v>198</v>
      </c>
      <c r="BK1598" s="8">
        <v>5280.26</v>
      </c>
      <c r="BL1598" s="2" t="s">
        <v>5404</v>
      </c>
      <c r="BM1598" s="7">
        <v>0.0051</v>
      </c>
      <c r="BN1598" s="7">
        <v>0.0049</v>
      </c>
      <c r="BO1598" s="4">
        <v>1</v>
      </c>
      <c r="BP1598" s="8">
        <v>25.98</v>
      </c>
      <c r="BQ1598" s="4"/>
      <c r="BR1598" s="8"/>
      <c r="BS1598" s="7"/>
      <c r="BT1598" s="7"/>
      <c r="BU1598" s="2" t="s">
        <v>109</v>
      </c>
      <c r="BV1598" s="2" t="s">
        <v>110</v>
      </c>
      <c r="BW1598" s="2" t="s">
        <v>5063</v>
      </c>
      <c r="BX1598" s="2" t="s">
        <v>4680</v>
      </c>
      <c r="BY1598" s="2" t="s">
        <v>113</v>
      </c>
      <c r="BZ1598" s="2" t="s">
        <v>100</v>
      </c>
    </row>
    <row r="1599">
      <c r="A1599" s="2" t="s">
        <v>5405</v>
      </c>
      <c r="B1599" s="2" t="s">
        <v>5053</v>
      </c>
      <c r="C1599" s="2" t="s">
        <v>88</v>
      </c>
      <c r="D1599" s="2" t="s">
        <v>5316</v>
      </c>
      <c r="E1599" s="2" t="s">
        <v>5317</v>
      </c>
      <c r="F1599" s="2" t="s">
        <v>5390</v>
      </c>
      <c r="G1599" s="2" t="s">
        <v>5390</v>
      </c>
      <c r="H1599" s="2" t="s">
        <v>5390</v>
      </c>
      <c r="I1599" s="2" t="s">
        <v>5391</v>
      </c>
      <c r="J1599" s="2" t="s">
        <v>5322</v>
      </c>
      <c r="K1599" s="2" t="s">
        <v>118</v>
      </c>
      <c r="L1599" s="3">
        <v>11.25</v>
      </c>
      <c r="M1599" s="3">
        <v>11.81</v>
      </c>
      <c r="N1599" s="3">
        <v>24.99</v>
      </c>
      <c r="O1599" s="2" t="s">
        <v>97</v>
      </c>
      <c r="P1599" s="2" t="s">
        <v>119</v>
      </c>
      <c r="Q1599" s="2" t="s">
        <v>99</v>
      </c>
      <c r="R1599" s="2" t="s">
        <v>100</v>
      </c>
      <c r="S1599" s="2" t="s">
        <v>5406</v>
      </c>
      <c r="T1599" s="2" t="s">
        <v>280</v>
      </c>
      <c r="U1599" s="2" t="s">
        <v>1847</v>
      </c>
      <c r="V1599" s="2" t="s">
        <v>350</v>
      </c>
      <c r="W1599" s="2" t="s">
        <v>183</v>
      </c>
      <c r="X1599" s="2" t="s">
        <v>100</v>
      </c>
      <c r="Y1599" s="2" t="s">
        <v>5407</v>
      </c>
      <c r="Z1599" s="4">
        <v>454</v>
      </c>
      <c r="AA1599" s="4">
        <f>=ROUNDDOWN(8.90196078431373,0)</f>
      </c>
      <c r="AB1599" s="5">
        <v>51</v>
      </c>
      <c r="AC1599" s="2" t="s">
        <v>241</v>
      </c>
      <c r="AD1599" s="4">
        <v>640</v>
      </c>
      <c r="AE1599" s="4">
        <v>2980</v>
      </c>
      <c r="AF1599" s="6">
        <v>67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1830</v>
      </c>
      <c r="BK1599" s="8">
        <v>22653</v>
      </c>
      <c r="BL1599" s="2" t="s">
        <v>5408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709</v>
      </c>
      <c r="BX1599" s="2" t="s">
        <v>5409</v>
      </c>
      <c r="BY1599" s="2" t="s">
        <v>113</v>
      </c>
      <c r="BZ1599" s="2" t="s">
        <v>100</v>
      </c>
    </row>
    <row r="1600">
      <c r="A1600" s="2" t="s">
        <v>5410</v>
      </c>
      <c r="B1600" s="2" t="s">
        <v>5053</v>
      </c>
      <c r="C1600" s="2" t="s">
        <v>88</v>
      </c>
      <c r="D1600" s="2" t="s">
        <v>5316</v>
      </c>
      <c r="E1600" s="2" t="s">
        <v>5317</v>
      </c>
      <c r="F1600" s="2" t="s">
        <v>5390</v>
      </c>
      <c r="G1600" s="2" t="s">
        <v>5390</v>
      </c>
      <c r="H1600" s="2" t="s">
        <v>5390</v>
      </c>
      <c r="I1600" s="2" t="s">
        <v>5391</v>
      </c>
      <c r="J1600" s="2" t="s">
        <v>5328</v>
      </c>
      <c r="K1600" s="2" t="s">
        <v>118</v>
      </c>
      <c r="L1600" s="3">
        <v>24</v>
      </c>
      <c r="M1600" s="3">
        <v>25.2</v>
      </c>
      <c r="N1600" s="3">
        <v>49.99</v>
      </c>
      <c r="O1600" s="2" t="s">
        <v>97</v>
      </c>
      <c r="P1600" s="2" t="s">
        <v>119</v>
      </c>
      <c r="Q1600" s="2" t="s">
        <v>99</v>
      </c>
      <c r="R1600" s="2" t="s">
        <v>100</v>
      </c>
      <c r="S1600" s="2" t="s">
        <v>5406</v>
      </c>
      <c r="T1600" s="2" t="s">
        <v>280</v>
      </c>
      <c r="U1600" s="2" t="s">
        <v>1847</v>
      </c>
      <c r="V1600" s="2" t="s">
        <v>350</v>
      </c>
      <c r="W1600" s="2" t="s">
        <v>183</v>
      </c>
      <c r="X1600" s="2" t="s">
        <v>100</v>
      </c>
      <c r="Y1600" s="2" t="s">
        <v>5407</v>
      </c>
      <c r="Z1600" s="4">
        <v>207</v>
      </c>
      <c r="AA1600" s="4">
        <f>=ROUNDDOWN(25.875,0)</f>
      </c>
      <c r="AB1600" s="5">
        <v>8</v>
      </c>
      <c r="AC1600" s="2" t="s">
        <v>241</v>
      </c>
      <c r="AD1600" s="4">
        <v>70</v>
      </c>
      <c r="AE1600" s="4">
        <v>290</v>
      </c>
      <c r="AF1600" s="6">
        <v>67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 t="s">
        <v>100</v>
      </c>
      <c r="BJ1600" s="4">
        <v>172</v>
      </c>
      <c r="BK1600" s="8">
        <v>4608.67</v>
      </c>
      <c r="BL1600" s="2" t="s">
        <v>5411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709</v>
      </c>
      <c r="BX1600" s="2" t="s">
        <v>5412</v>
      </c>
      <c r="BY1600" s="2" t="s">
        <v>113</v>
      </c>
      <c r="BZ1600" s="2" t="s">
        <v>100</v>
      </c>
    </row>
    <row r="1601">
      <c r="A1601" s="2" t="s">
        <v>5413</v>
      </c>
      <c r="B1601" s="2" t="s">
        <v>5053</v>
      </c>
      <c r="C1601" s="2" t="s">
        <v>88</v>
      </c>
      <c r="D1601" s="2" t="s">
        <v>5316</v>
      </c>
      <c r="E1601" s="2" t="s">
        <v>5317</v>
      </c>
      <c r="F1601" s="2" t="s">
        <v>5056</v>
      </c>
      <c r="G1601" s="2" t="s">
        <v>5057</v>
      </c>
      <c r="H1601" s="2" t="s">
        <v>5058</v>
      </c>
      <c r="I1601" s="2" t="s">
        <v>5414</v>
      </c>
      <c r="J1601" s="2" t="s">
        <v>5322</v>
      </c>
      <c r="K1601" s="2" t="s">
        <v>118</v>
      </c>
      <c r="L1601" s="3">
        <v>13.8</v>
      </c>
      <c r="M1601" s="3">
        <v>14.49</v>
      </c>
      <c r="N1601" s="3">
        <v>29.99</v>
      </c>
      <c r="O1601" s="2" t="s">
        <v>97</v>
      </c>
      <c r="P1601" s="2" t="s">
        <v>119</v>
      </c>
      <c r="Q1601" s="2" t="s">
        <v>99</v>
      </c>
      <c r="R1601" s="2" t="s">
        <v>100</v>
      </c>
      <c r="S1601" s="2" t="s">
        <v>5415</v>
      </c>
      <c r="T1601" s="2" t="s">
        <v>280</v>
      </c>
      <c r="U1601" s="2" t="s">
        <v>1847</v>
      </c>
      <c r="V1601" s="2" t="s">
        <v>3546</v>
      </c>
      <c r="W1601" s="2" t="s">
        <v>104</v>
      </c>
      <c r="X1601" s="2" t="s">
        <v>100</v>
      </c>
      <c r="Y1601" s="2" t="s">
        <v>240</v>
      </c>
      <c r="Z1601" s="4">
        <v>344</v>
      </c>
      <c r="AA1601" s="4">
        <f>=ROUNDDOWN(17.2,0)</f>
      </c>
      <c r="AB1601" s="5">
        <v>20</v>
      </c>
      <c r="AC1601" s="2" t="s">
        <v>2746</v>
      </c>
      <c r="AD1601" s="4">
        <v>300</v>
      </c>
      <c r="AE1601" s="4">
        <v>540</v>
      </c>
      <c r="AF1601" s="6">
        <v>67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>
        <v>4</v>
      </c>
      <c r="AW1601" s="8">
        <v>94.68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>
        <v>4</v>
      </c>
      <c r="BD1601" s="8">
        <v>94.68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>
        <v>1</v>
      </c>
      <c r="BJ1601" s="4">
        <v>671</v>
      </c>
      <c r="BK1601" s="8">
        <v>9660.87</v>
      </c>
      <c r="BL1601" s="2" t="s">
        <v>5416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5063</v>
      </c>
      <c r="BX1601" s="2" t="s">
        <v>5417</v>
      </c>
      <c r="BY1601" s="2" t="s">
        <v>113</v>
      </c>
      <c r="BZ1601" s="2" t="s">
        <v>100</v>
      </c>
    </row>
    <row r="1602">
      <c r="A1602" s="2" t="s">
        <v>5418</v>
      </c>
      <c r="B1602" s="2" t="s">
        <v>5053</v>
      </c>
      <c r="C1602" s="2" t="s">
        <v>88</v>
      </c>
      <c r="D1602" s="2" t="s">
        <v>5316</v>
      </c>
      <c r="E1602" s="2" t="s">
        <v>5317</v>
      </c>
      <c r="F1602" s="2" t="s">
        <v>5056</v>
      </c>
      <c r="G1602" s="2" t="s">
        <v>5057</v>
      </c>
      <c r="H1602" s="2" t="s">
        <v>5058</v>
      </c>
      <c r="I1602" s="2" t="s">
        <v>5414</v>
      </c>
      <c r="J1602" s="2" t="s">
        <v>5419</v>
      </c>
      <c r="K1602" s="2" t="s">
        <v>118</v>
      </c>
      <c r="L1602" s="3">
        <v>25.44</v>
      </c>
      <c r="M1602" s="3">
        <v>26.71</v>
      </c>
      <c r="N1602" s="3">
        <v>52.99</v>
      </c>
      <c r="O1602" s="2" t="s">
        <v>97</v>
      </c>
      <c r="P1602" s="2" t="s">
        <v>119</v>
      </c>
      <c r="Q1602" s="2" t="s">
        <v>99</v>
      </c>
      <c r="R1602" s="2" t="s">
        <v>100</v>
      </c>
      <c r="S1602" s="2" t="s">
        <v>100</v>
      </c>
      <c r="T1602" s="2" t="s">
        <v>100</v>
      </c>
      <c r="U1602" s="2" t="s">
        <v>100</v>
      </c>
      <c r="V1602" s="2" t="s">
        <v>3546</v>
      </c>
      <c r="W1602" s="2" t="s">
        <v>104</v>
      </c>
      <c r="X1602" s="2" t="s">
        <v>100</v>
      </c>
      <c r="Y1602" s="2" t="s">
        <v>2054</v>
      </c>
      <c r="Z1602" s="4">
        <v>131</v>
      </c>
      <c r="AA1602" s="4">
        <f>=ROUNDDOWN(21.8333333333333,0)</f>
      </c>
      <c r="AB1602" s="5">
        <v>6</v>
      </c>
      <c r="AC1602" s="2" t="s">
        <v>2746</v>
      </c>
      <c r="AD1602" s="4">
        <v>90</v>
      </c>
      <c r="AE1602" s="4">
        <v>180</v>
      </c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>
        <v>2</v>
      </c>
      <c r="AQ1602" s="8">
        <v>51.96</v>
      </c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>
        <v>0.5488</v>
      </c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 t="s">
        <v>100</v>
      </c>
      <c r="BJ1602" s="4">
        <v>173</v>
      </c>
      <c r="BK1602" s="8">
        <v>4689.58</v>
      </c>
      <c r="BL1602" s="2" t="s">
        <v>5420</v>
      </c>
      <c r="BM1602" s="7">
        <v>0.0116</v>
      </c>
      <c r="BN1602" s="7">
        <v>0.0111</v>
      </c>
      <c r="BO1602" s="4">
        <v>2</v>
      </c>
      <c r="BP1602" s="8">
        <v>51.96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5359</v>
      </c>
      <c r="BX1602" s="2" t="s">
        <v>5421</v>
      </c>
      <c r="BY1602" s="2" t="s">
        <v>113</v>
      </c>
      <c r="BZ1602" s="2" t="s">
        <v>100</v>
      </c>
    </row>
    <row r="1603">
      <c r="A1603" s="2" t="s">
        <v>5422</v>
      </c>
      <c r="B1603" s="2" t="s">
        <v>5053</v>
      </c>
      <c r="C1603" s="2" t="s">
        <v>88</v>
      </c>
      <c r="D1603" s="2" t="s">
        <v>5316</v>
      </c>
      <c r="E1603" s="2" t="s">
        <v>5317</v>
      </c>
      <c r="F1603" s="2" t="s">
        <v>5056</v>
      </c>
      <c r="G1603" s="2" t="s">
        <v>5057</v>
      </c>
      <c r="H1603" s="2" t="s">
        <v>5058</v>
      </c>
      <c r="I1603" s="2" t="s">
        <v>5414</v>
      </c>
      <c r="J1603" s="2" t="s">
        <v>5398</v>
      </c>
      <c r="K1603" s="2" t="s">
        <v>118</v>
      </c>
      <c r="L1603" s="3">
        <v>20.64</v>
      </c>
      <c r="M1603" s="3">
        <v>21.67</v>
      </c>
      <c r="N1603" s="3">
        <v>42.99</v>
      </c>
      <c r="O1603" s="2" t="s">
        <v>97</v>
      </c>
      <c r="P1603" s="2" t="s">
        <v>119</v>
      </c>
      <c r="Q1603" s="2" t="s">
        <v>99</v>
      </c>
      <c r="R1603" s="2" t="s">
        <v>100</v>
      </c>
      <c r="S1603" s="2" t="s">
        <v>5415</v>
      </c>
      <c r="T1603" s="2" t="s">
        <v>280</v>
      </c>
      <c r="U1603" s="2" t="s">
        <v>1847</v>
      </c>
      <c r="V1603" s="2" t="s">
        <v>3546</v>
      </c>
      <c r="W1603" s="2" t="s">
        <v>104</v>
      </c>
      <c r="X1603" s="2" t="s">
        <v>100</v>
      </c>
      <c r="Y1603" s="2" t="s">
        <v>576</v>
      </c>
      <c r="Z1603" s="4">
        <v>254</v>
      </c>
      <c r="AA1603" s="4">
        <f>=ROUNDDOWN(28.2222222222222,0)</f>
      </c>
      <c r="AB1603" s="5">
        <v>9</v>
      </c>
      <c r="AC1603" s="2" t="s">
        <v>608</v>
      </c>
      <c r="AD1603" s="4">
        <v>90</v>
      </c>
      <c r="AE1603" s="4">
        <v>90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>
        <v>2</v>
      </c>
      <c r="AQ1603" s="8">
        <v>42.72</v>
      </c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>
        <v>0.4512</v>
      </c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 t="s">
        <v>100</v>
      </c>
      <c r="BJ1603" s="4">
        <v>232</v>
      </c>
      <c r="BK1603" s="8">
        <v>5072.11</v>
      </c>
      <c r="BL1603" s="2" t="s">
        <v>5423</v>
      </c>
      <c r="BM1603" s="7">
        <v>0.0086</v>
      </c>
      <c r="BN1603" s="7">
        <v>0.0084</v>
      </c>
      <c r="BO1603" s="4">
        <v>2</v>
      </c>
      <c r="BP1603" s="8">
        <v>42.72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5063</v>
      </c>
      <c r="BX1603" s="2" t="s">
        <v>4727</v>
      </c>
      <c r="BY1603" s="2" t="s">
        <v>113</v>
      </c>
      <c r="BZ1603" s="2" t="s">
        <v>100</v>
      </c>
    </row>
    <row r="1604">
      <c r="A1604" s="2" t="s">
        <v>5424</v>
      </c>
      <c r="B1604" s="2" t="s">
        <v>5053</v>
      </c>
      <c r="C1604" s="2" t="s">
        <v>88</v>
      </c>
      <c r="D1604" s="2" t="s">
        <v>5316</v>
      </c>
      <c r="E1604" s="2" t="s">
        <v>5317</v>
      </c>
      <c r="F1604" s="2" t="s">
        <v>5056</v>
      </c>
      <c r="G1604" s="2" t="s">
        <v>5057</v>
      </c>
      <c r="H1604" s="2" t="s">
        <v>5058</v>
      </c>
      <c r="I1604" s="2" t="s">
        <v>5414</v>
      </c>
      <c r="J1604" s="2" t="s">
        <v>5322</v>
      </c>
      <c r="K1604" s="2" t="s">
        <v>335</v>
      </c>
      <c r="L1604" s="3">
        <v>13.8</v>
      </c>
      <c r="M1604" s="3">
        <v>14.49</v>
      </c>
      <c r="N1604" s="3">
        <v>29.99</v>
      </c>
      <c r="O1604" s="2" t="s">
        <v>97</v>
      </c>
      <c r="P1604" s="2" t="s">
        <v>119</v>
      </c>
      <c r="Q1604" s="2" t="s">
        <v>99</v>
      </c>
      <c r="R1604" s="2" t="s">
        <v>100</v>
      </c>
      <c r="S1604" s="2" t="s">
        <v>5425</v>
      </c>
      <c r="T1604" s="2" t="s">
        <v>280</v>
      </c>
      <c r="U1604" s="2" t="s">
        <v>1847</v>
      </c>
      <c r="V1604" s="2" t="s">
        <v>3546</v>
      </c>
      <c r="W1604" s="2" t="s">
        <v>104</v>
      </c>
      <c r="X1604" s="2" t="s">
        <v>100</v>
      </c>
      <c r="Y1604" s="2" t="s">
        <v>240</v>
      </c>
      <c r="Z1604" s="4">
        <v>344</v>
      </c>
      <c r="AA1604" s="4">
        <f>=ROUNDDOWN(24.5714285714286,0)</f>
      </c>
      <c r="AB1604" s="5">
        <v>14</v>
      </c>
      <c r="AC1604" s="2" t="s">
        <v>2618</v>
      </c>
      <c r="AD1604" s="4">
        <v>222</v>
      </c>
      <c r="AE1604" s="4">
        <v>570</v>
      </c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 t="s">
        <v>100</v>
      </c>
      <c r="BJ1604" s="4">
        <v>350</v>
      </c>
      <c r="BK1604" s="8">
        <v>5097.91</v>
      </c>
      <c r="BL1604" s="2" t="s">
        <v>5426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5063</v>
      </c>
      <c r="BX1604" s="2" t="s">
        <v>1829</v>
      </c>
      <c r="BY1604" s="2" t="s">
        <v>113</v>
      </c>
      <c r="BZ1604" s="2" t="s">
        <v>100</v>
      </c>
    </row>
    <row r="1605">
      <c r="A1605" s="2" t="s">
        <v>5427</v>
      </c>
      <c r="B1605" s="2" t="s">
        <v>5053</v>
      </c>
      <c r="C1605" s="2" t="s">
        <v>88</v>
      </c>
      <c r="D1605" s="2" t="s">
        <v>5316</v>
      </c>
      <c r="E1605" s="2" t="s">
        <v>5317</v>
      </c>
      <c r="F1605" s="2" t="s">
        <v>5056</v>
      </c>
      <c r="G1605" s="2" t="s">
        <v>5057</v>
      </c>
      <c r="H1605" s="2" t="s">
        <v>5058</v>
      </c>
      <c r="I1605" s="2" t="s">
        <v>5414</v>
      </c>
      <c r="J1605" s="2" t="s">
        <v>5398</v>
      </c>
      <c r="K1605" s="2" t="s">
        <v>335</v>
      </c>
      <c r="L1605" s="3">
        <v>20.64</v>
      </c>
      <c r="M1605" s="3">
        <v>21.67</v>
      </c>
      <c r="N1605" s="3">
        <v>42.99</v>
      </c>
      <c r="O1605" s="2" t="s">
        <v>97</v>
      </c>
      <c r="P1605" s="2" t="s">
        <v>119</v>
      </c>
      <c r="Q1605" s="2" t="s">
        <v>99</v>
      </c>
      <c r="R1605" s="2" t="s">
        <v>100</v>
      </c>
      <c r="S1605" s="2" t="s">
        <v>5425</v>
      </c>
      <c r="T1605" s="2" t="s">
        <v>280</v>
      </c>
      <c r="U1605" s="2" t="s">
        <v>1847</v>
      </c>
      <c r="V1605" s="2" t="s">
        <v>3546</v>
      </c>
      <c r="W1605" s="2" t="s">
        <v>104</v>
      </c>
      <c r="X1605" s="2" t="s">
        <v>100</v>
      </c>
      <c r="Y1605" s="2" t="s">
        <v>240</v>
      </c>
      <c r="Z1605" s="4">
        <v>358</v>
      </c>
      <c r="AA1605" s="4">
        <f>=ROUNDDOWN(44.75,0)</f>
      </c>
      <c r="AB1605" s="5">
        <v>8</v>
      </c>
      <c r="AC1605" s="2" t="s">
        <v>934</v>
      </c>
      <c r="AD1605" s="4">
        <v>228</v>
      </c>
      <c r="AE1605" s="4">
        <v>228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 t="s">
        <v>100</v>
      </c>
      <c r="BJ1605" s="4">
        <v>133</v>
      </c>
      <c r="BK1605" s="8">
        <v>2943.79</v>
      </c>
      <c r="BL1605" s="2" t="s">
        <v>5428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5063</v>
      </c>
      <c r="BX1605" s="2" t="s">
        <v>5429</v>
      </c>
      <c r="BY1605" s="2" t="s">
        <v>113</v>
      </c>
      <c r="BZ1605" s="2" t="s">
        <v>100</v>
      </c>
    </row>
    <row r="1606">
      <c r="A1606" s="2" t="s">
        <v>5430</v>
      </c>
      <c r="B1606" s="2" t="s">
        <v>5053</v>
      </c>
      <c r="C1606" s="2" t="s">
        <v>88</v>
      </c>
      <c r="D1606" s="2" t="s">
        <v>5316</v>
      </c>
      <c r="E1606" s="2" t="s">
        <v>5317</v>
      </c>
      <c r="F1606" s="2" t="s">
        <v>5056</v>
      </c>
      <c r="G1606" s="2" t="s">
        <v>5057</v>
      </c>
      <c r="H1606" s="2" t="s">
        <v>5058</v>
      </c>
      <c r="I1606" s="2" t="s">
        <v>5414</v>
      </c>
      <c r="J1606" s="2" t="s">
        <v>5322</v>
      </c>
      <c r="K1606" s="2" t="s">
        <v>360</v>
      </c>
      <c r="L1606" s="3">
        <v>13.8</v>
      </c>
      <c r="M1606" s="3">
        <v>14.49</v>
      </c>
      <c r="N1606" s="3">
        <v>29.99</v>
      </c>
      <c r="O1606" s="2" t="s">
        <v>97</v>
      </c>
      <c r="P1606" s="2" t="s">
        <v>119</v>
      </c>
      <c r="Q1606" s="2" t="s">
        <v>99</v>
      </c>
      <c r="R1606" s="2" t="s">
        <v>100</v>
      </c>
      <c r="S1606" s="2" t="s">
        <v>5431</v>
      </c>
      <c r="T1606" s="2" t="s">
        <v>280</v>
      </c>
      <c r="U1606" s="2" t="s">
        <v>1847</v>
      </c>
      <c r="V1606" s="2" t="s">
        <v>3546</v>
      </c>
      <c r="W1606" s="2" t="s">
        <v>104</v>
      </c>
      <c r="X1606" s="2" t="s">
        <v>100</v>
      </c>
      <c r="Y1606" s="2" t="s">
        <v>5407</v>
      </c>
      <c r="Z1606" s="4">
        <v>5</v>
      </c>
      <c r="AA1606" s="4">
        <f>=ROUNDDOWN(0.263157894736842,0)</f>
      </c>
      <c r="AB1606" s="5">
        <v>19</v>
      </c>
      <c r="AC1606" s="2" t="s">
        <v>1728</v>
      </c>
      <c r="AD1606" s="4">
        <v>378</v>
      </c>
      <c r="AE1606" s="4">
        <v>900</v>
      </c>
      <c r="AF1606" s="6">
        <v>67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459</v>
      </c>
      <c r="BK1606" s="8">
        <v>6842.11</v>
      </c>
      <c r="BL1606" s="2" t="s">
        <v>5432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709</v>
      </c>
      <c r="BX1606" s="2" t="s">
        <v>5433</v>
      </c>
      <c r="BY1606" s="2" t="s">
        <v>113</v>
      </c>
      <c r="BZ1606" s="2" t="s">
        <v>100</v>
      </c>
    </row>
    <row r="1607">
      <c r="A1607" s="2" t="s">
        <v>5434</v>
      </c>
      <c r="B1607" s="2" t="s">
        <v>5053</v>
      </c>
      <c r="C1607" s="2" t="s">
        <v>88</v>
      </c>
      <c r="D1607" s="2" t="s">
        <v>5316</v>
      </c>
      <c r="E1607" s="2" t="s">
        <v>5317</v>
      </c>
      <c r="F1607" s="2" t="s">
        <v>5435</v>
      </c>
      <c r="G1607" s="2" t="s">
        <v>5436</v>
      </c>
      <c r="H1607" s="2" t="s">
        <v>5437</v>
      </c>
      <c r="I1607" s="2" t="s">
        <v>5438</v>
      </c>
      <c r="J1607" s="2" t="s">
        <v>5322</v>
      </c>
      <c r="K1607" s="2" t="s">
        <v>629</v>
      </c>
      <c r="L1607" s="3">
        <v>13.39</v>
      </c>
      <c r="M1607" s="3">
        <v>14.06</v>
      </c>
      <c r="N1607" s="3">
        <v>27.99</v>
      </c>
      <c r="O1607" s="2" t="s">
        <v>97</v>
      </c>
      <c r="P1607" s="2" t="s">
        <v>98</v>
      </c>
      <c r="Q1607" s="2" t="s">
        <v>99</v>
      </c>
      <c r="R1607" s="2" t="s">
        <v>100</v>
      </c>
      <c r="S1607" s="2" t="s">
        <v>5439</v>
      </c>
      <c r="T1607" s="2" t="s">
        <v>280</v>
      </c>
      <c r="U1607" s="2" t="s">
        <v>1847</v>
      </c>
      <c r="V1607" s="2" t="s">
        <v>103</v>
      </c>
      <c r="W1607" s="2" t="s">
        <v>2897</v>
      </c>
      <c r="X1607" s="2" t="s">
        <v>100</v>
      </c>
      <c r="Y1607" s="2" t="s">
        <v>5440</v>
      </c>
      <c r="Z1607" s="4">
        <v>510</v>
      </c>
      <c r="AA1607" s="4">
        <f>=ROUNDDOWN(6.14457831325301,0)</f>
      </c>
      <c r="AB1607" s="5">
        <v>83</v>
      </c>
      <c r="AC1607" s="2" t="s">
        <v>1728</v>
      </c>
      <c r="AD1607" s="4">
        <v>270</v>
      </c>
      <c r="AE1607" s="4">
        <v>1812</v>
      </c>
      <c r="AF1607" s="6">
        <v>65</v>
      </c>
      <c r="AG1607" s="6"/>
      <c r="AH1607" s="7">
        <v>0.9626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>
        <v>3</v>
      </c>
      <c r="AQ1607" s="8">
        <v>43.29</v>
      </c>
      <c r="AR1607" s="4"/>
      <c r="AS1607" s="8"/>
      <c r="AT1607" s="7"/>
      <c r="AU1607" s="7"/>
      <c r="AV1607" s="4">
        <v>6</v>
      </c>
      <c r="AW1607" s="8">
        <v>86.58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>
        <v>0.5</v>
      </c>
      <c r="BC1607" s="4">
        <v>6</v>
      </c>
      <c r="BD1607" s="8">
        <v>86.58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1</v>
      </c>
      <c r="BJ1607" s="4">
        <v>2627</v>
      </c>
      <c r="BK1607" s="8">
        <v>40268.17</v>
      </c>
      <c r="BL1607" s="2" t="s">
        <v>5441</v>
      </c>
      <c r="BM1607" s="7">
        <v>0.0011</v>
      </c>
      <c r="BN1607" s="7">
        <v>0.0011</v>
      </c>
      <c r="BO1607" s="4">
        <v>3</v>
      </c>
      <c r="BP1607" s="8">
        <v>43.29</v>
      </c>
      <c r="BQ1607" s="4"/>
      <c r="BR1607" s="8"/>
      <c r="BS1607" s="7"/>
      <c r="BT1607" s="7"/>
      <c r="BU1607" s="2" t="s">
        <v>109</v>
      </c>
      <c r="BV1607" s="2" t="s">
        <v>110</v>
      </c>
      <c r="BW1607" s="2" t="s">
        <v>5359</v>
      </c>
      <c r="BX1607" s="2" t="s">
        <v>5442</v>
      </c>
      <c r="BY1607" s="2" t="s">
        <v>113</v>
      </c>
      <c r="BZ1607" s="2" t="s">
        <v>100</v>
      </c>
    </row>
    <row r="1608">
      <c r="A1608" s="2" t="s">
        <v>5443</v>
      </c>
      <c r="B1608" s="2" t="s">
        <v>5053</v>
      </c>
      <c r="C1608" s="2" t="s">
        <v>88</v>
      </c>
      <c r="D1608" s="2" t="s">
        <v>5316</v>
      </c>
      <c r="E1608" s="2" t="s">
        <v>5317</v>
      </c>
      <c r="F1608" s="2" t="s">
        <v>5435</v>
      </c>
      <c r="G1608" s="2" t="s">
        <v>5436</v>
      </c>
      <c r="H1608" s="2" t="s">
        <v>5437</v>
      </c>
      <c r="I1608" s="2" t="s">
        <v>5438</v>
      </c>
      <c r="J1608" s="2" t="s">
        <v>5444</v>
      </c>
      <c r="K1608" s="2" t="s">
        <v>629</v>
      </c>
      <c r="L1608" s="3">
        <v>13.39</v>
      </c>
      <c r="M1608" s="3">
        <v>14.06</v>
      </c>
      <c r="N1608" s="3">
        <v>27.99</v>
      </c>
      <c r="O1608" s="2" t="s">
        <v>97</v>
      </c>
      <c r="P1608" s="2" t="s">
        <v>372</v>
      </c>
      <c r="Q1608" s="2" t="s">
        <v>99</v>
      </c>
      <c r="R1608" s="2" t="s">
        <v>100</v>
      </c>
      <c r="S1608" s="2" t="s">
        <v>5439</v>
      </c>
      <c r="T1608" s="2" t="s">
        <v>280</v>
      </c>
      <c r="U1608" s="2" t="s">
        <v>1847</v>
      </c>
      <c r="V1608" s="2" t="s">
        <v>103</v>
      </c>
      <c r="W1608" s="2" t="s">
        <v>2897</v>
      </c>
      <c r="X1608" s="2" t="s">
        <v>100</v>
      </c>
      <c r="Y1608" s="2" t="s">
        <v>5440</v>
      </c>
      <c r="Z1608" s="4">
        <v>2931</v>
      </c>
      <c r="AA1608" s="4">
        <f>=ROUNDDOWN(31.5161290322581,0)</f>
      </c>
      <c r="AB1608" s="5">
        <v>93</v>
      </c>
      <c r="AC1608" s="2" t="s">
        <v>1728</v>
      </c>
      <c r="AD1608" s="4">
        <v>900</v>
      </c>
      <c r="AE1608" s="4">
        <v>1692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>
        <v>3</v>
      </c>
      <c r="AQ1608" s="8">
        <v>43.29</v>
      </c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>
        <v>0.5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2668</v>
      </c>
      <c r="BK1608" s="8">
        <v>39431.38</v>
      </c>
      <c r="BL1608" s="2" t="s">
        <v>5445</v>
      </c>
      <c r="BM1608" s="7">
        <v>0.0011</v>
      </c>
      <c r="BN1608" s="7">
        <v>0.0011</v>
      </c>
      <c r="BO1608" s="4">
        <v>3</v>
      </c>
      <c r="BP1608" s="8">
        <v>43.29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5359</v>
      </c>
      <c r="BX1608" s="2" t="s">
        <v>5446</v>
      </c>
      <c r="BY1608" s="2" t="s">
        <v>113</v>
      </c>
      <c r="BZ1608" s="2" t="s">
        <v>100</v>
      </c>
    </row>
    <row r="1609">
      <c r="A1609" s="2" t="s">
        <v>5447</v>
      </c>
      <c r="B1609" s="2" t="s">
        <v>5053</v>
      </c>
      <c r="C1609" s="2" t="s">
        <v>88</v>
      </c>
      <c r="D1609" s="2" t="s">
        <v>5316</v>
      </c>
      <c r="E1609" s="2" t="s">
        <v>5317</v>
      </c>
      <c r="F1609" s="2" t="s">
        <v>5435</v>
      </c>
      <c r="G1609" s="2" t="s">
        <v>5436</v>
      </c>
      <c r="H1609" s="2" t="s">
        <v>5437</v>
      </c>
      <c r="I1609" s="2" t="s">
        <v>5438</v>
      </c>
      <c r="J1609" s="2" t="s">
        <v>5322</v>
      </c>
      <c r="K1609" s="2" t="s">
        <v>3560</v>
      </c>
      <c r="L1609" s="3">
        <v>13.39</v>
      </c>
      <c r="M1609" s="3">
        <v>14.06</v>
      </c>
      <c r="N1609" s="3">
        <v>27.99</v>
      </c>
      <c r="O1609" s="2" t="s">
        <v>97</v>
      </c>
      <c r="P1609" s="2" t="s">
        <v>119</v>
      </c>
      <c r="Q1609" s="2" t="s">
        <v>99</v>
      </c>
      <c r="R1609" s="2" t="s">
        <v>100</v>
      </c>
      <c r="S1609" s="2" t="s">
        <v>5448</v>
      </c>
      <c r="T1609" s="2" t="s">
        <v>280</v>
      </c>
      <c r="U1609" s="2" t="s">
        <v>1847</v>
      </c>
      <c r="V1609" s="2" t="s">
        <v>103</v>
      </c>
      <c r="W1609" s="2" t="s">
        <v>2897</v>
      </c>
      <c r="X1609" s="2" t="s">
        <v>100</v>
      </c>
      <c r="Y1609" s="2" t="s">
        <v>5449</v>
      </c>
      <c r="Z1609" s="4">
        <v>1291</v>
      </c>
      <c r="AA1609" s="4">
        <f>=ROUNDDOWN(46.1071428571429,0)</f>
      </c>
      <c r="AB1609" s="5">
        <v>28</v>
      </c>
      <c r="AC1609" s="2" t="s">
        <v>100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694</v>
      </c>
      <c r="BK1609" s="8">
        <v>10679.77</v>
      </c>
      <c r="BL1609" s="2" t="s">
        <v>5411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709</v>
      </c>
      <c r="BX1609" s="2" t="s">
        <v>5450</v>
      </c>
      <c r="BY1609" s="2" t="s">
        <v>113</v>
      </c>
      <c r="BZ1609" s="2" t="s">
        <v>100</v>
      </c>
    </row>
    <row r="1610">
      <c r="A1610" s="2" t="s">
        <v>5451</v>
      </c>
      <c r="B1610" s="2" t="s">
        <v>5053</v>
      </c>
      <c r="C1610" s="2" t="s">
        <v>88</v>
      </c>
      <c r="D1610" s="2" t="s">
        <v>5316</v>
      </c>
      <c r="E1610" s="2" t="s">
        <v>5317</v>
      </c>
      <c r="F1610" s="2" t="s">
        <v>5452</v>
      </c>
      <c r="G1610" s="2" t="s">
        <v>5453</v>
      </c>
      <c r="H1610" s="2" t="s">
        <v>2525</v>
      </c>
      <c r="I1610" s="2" t="s">
        <v>5454</v>
      </c>
      <c r="J1610" s="2" t="s">
        <v>5362</v>
      </c>
      <c r="K1610" s="2" t="s">
        <v>96</v>
      </c>
      <c r="L1610" s="3">
        <v>15.18</v>
      </c>
      <c r="M1610" s="3">
        <v>15.94</v>
      </c>
      <c r="N1610" s="3">
        <v>32.99</v>
      </c>
      <c r="O1610" s="2" t="s">
        <v>97</v>
      </c>
      <c r="P1610" s="2" t="s">
        <v>119</v>
      </c>
      <c r="Q1610" s="2" t="s">
        <v>99</v>
      </c>
      <c r="R1610" s="2" t="s">
        <v>100</v>
      </c>
      <c r="S1610" s="2" t="s">
        <v>5455</v>
      </c>
      <c r="T1610" s="2" t="s">
        <v>100</v>
      </c>
      <c r="U1610" s="2" t="s">
        <v>1847</v>
      </c>
      <c r="V1610" s="2" t="s">
        <v>403</v>
      </c>
      <c r="W1610" s="2" t="s">
        <v>561</v>
      </c>
      <c r="X1610" s="2" t="s">
        <v>100</v>
      </c>
      <c r="Y1610" s="2" t="s">
        <v>1554</v>
      </c>
      <c r="Z1610" s="4">
        <v>726</v>
      </c>
      <c r="AA1610" s="4">
        <f>=ROUNDDOWN(80.6666666666667,0)</f>
      </c>
      <c r="AB1610" s="5">
        <v>9</v>
      </c>
      <c r="AC1610" s="2" t="s">
        <v>100</v>
      </c>
      <c r="AD1610" s="4"/>
      <c r="AE1610" s="4"/>
      <c r="AF1610" s="6">
        <v>69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>
        <v>2</v>
      </c>
      <c r="AW1610" s="8">
        <v>51.96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>
        <v>3</v>
      </c>
      <c r="BD1610" s="8">
        <v>67.56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>
        <v>0.7691</v>
      </c>
      <c r="BJ1610" s="4">
        <v>184</v>
      </c>
      <c r="BK1610" s="8">
        <v>3006.02</v>
      </c>
      <c r="BL1610" s="2" t="s">
        <v>5456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5457</v>
      </c>
      <c r="BX1610" s="2" t="s">
        <v>5458</v>
      </c>
      <c r="BY1610" s="2" t="s">
        <v>113</v>
      </c>
      <c r="BZ1610" s="2" t="s">
        <v>100</v>
      </c>
    </row>
    <row r="1611">
      <c r="A1611" s="2" t="s">
        <v>5459</v>
      </c>
      <c r="B1611" s="2" t="s">
        <v>5053</v>
      </c>
      <c r="C1611" s="2" t="s">
        <v>88</v>
      </c>
      <c r="D1611" s="2" t="s">
        <v>5316</v>
      </c>
      <c r="E1611" s="2" t="s">
        <v>5317</v>
      </c>
      <c r="F1611" s="2" t="s">
        <v>5452</v>
      </c>
      <c r="G1611" s="2" t="s">
        <v>5453</v>
      </c>
      <c r="H1611" s="2" t="s">
        <v>2525</v>
      </c>
      <c r="I1611" s="2" t="s">
        <v>5454</v>
      </c>
      <c r="J1611" s="2" t="s">
        <v>5419</v>
      </c>
      <c r="K1611" s="2" t="s">
        <v>96</v>
      </c>
      <c r="L1611" s="3">
        <v>25.3</v>
      </c>
      <c r="M1611" s="3">
        <v>26.56</v>
      </c>
      <c r="N1611" s="3">
        <v>54.99</v>
      </c>
      <c r="O1611" s="2" t="s">
        <v>97</v>
      </c>
      <c r="P1611" s="2" t="s">
        <v>119</v>
      </c>
      <c r="Q1611" s="2" t="s">
        <v>99</v>
      </c>
      <c r="R1611" s="2" t="s">
        <v>100</v>
      </c>
      <c r="S1611" s="2" t="s">
        <v>5455</v>
      </c>
      <c r="T1611" s="2" t="s">
        <v>100</v>
      </c>
      <c r="U1611" s="2" t="s">
        <v>1847</v>
      </c>
      <c r="V1611" s="2" t="s">
        <v>403</v>
      </c>
      <c r="W1611" s="2" t="s">
        <v>561</v>
      </c>
      <c r="X1611" s="2" t="s">
        <v>100</v>
      </c>
      <c r="Y1611" s="2" t="s">
        <v>1554</v>
      </c>
      <c r="Z1611" s="4">
        <v>498</v>
      </c>
      <c r="AA1611" s="4">
        <f>=ROUNDDOWN(99.6,0)</f>
      </c>
      <c r="AB1611" s="5">
        <v>5</v>
      </c>
      <c r="AC1611" s="2" t="s">
        <v>100</v>
      </c>
      <c r="AD1611" s="4"/>
      <c r="AE1611" s="4"/>
      <c r="AF1611" s="6">
        <v>69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>
        <v>2</v>
      </c>
      <c r="AQ1611" s="8">
        <v>51.96</v>
      </c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>
        <v>1</v>
      </c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 t="s">
        <v>100</v>
      </c>
      <c r="BJ1611" s="4">
        <v>98</v>
      </c>
      <c r="BK1611" s="8">
        <v>2694.62</v>
      </c>
      <c r="BL1611" s="2" t="s">
        <v>5460</v>
      </c>
      <c r="BM1611" s="7">
        <v>0.0204</v>
      </c>
      <c r="BN1611" s="7">
        <v>0.0193</v>
      </c>
      <c r="BO1611" s="4">
        <v>2</v>
      </c>
      <c r="BP1611" s="8">
        <v>51.96</v>
      </c>
      <c r="BQ1611" s="4"/>
      <c r="BR1611" s="8"/>
      <c r="BS1611" s="7"/>
      <c r="BT1611" s="7"/>
      <c r="BU1611" s="2" t="s">
        <v>109</v>
      </c>
      <c r="BV1611" s="2" t="s">
        <v>110</v>
      </c>
      <c r="BW1611" s="2" t="s">
        <v>709</v>
      </c>
      <c r="BX1611" s="2" t="s">
        <v>265</v>
      </c>
      <c r="BY1611" s="2" t="s">
        <v>113</v>
      </c>
      <c r="BZ1611" s="2" t="s">
        <v>100</v>
      </c>
    </row>
    <row r="1612">
      <c r="A1612" s="2" t="s">
        <v>5461</v>
      </c>
      <c r="B1612" s="2" t="s">
        <v>5053</v>
      </c>
      <c r="C1612" s="2" t="s">
        <v>88</v>
      </c>
      <c r="D1612" s="2" t="s">
        <v>5316</v>
      </c>
      <c r="E1612" s="2" t="s">
        <v>5317</v>
      </c>
      <c r="F1612" s="2" t="s">
        <v>5452</v>
      </c>
      <c r="G1612" s="2" t="s">
        <v>5453</v>
      </c>
      <c r="H1612" s="2" t="s">
        <v>2525</v>
      </c>
      <c r="I1612" s="2" t="s">
        <v>5454</v>
      </c>
      <c r="J1612" s="2" t="s">
        <v>5362</v>
      </c>
      <c r="K1612" s="2" t="s">
        <v>360</v>
      </c>
      <c r="L1612" s="3">
        <v>15.18</v>
      </c>
      <c r="M1612" s="3">
        <v>15.94</v>
      </c>
      <c r="N1612" s="3">
        <v>32.99</v>
      </c>
      <c r="O1612" s="2" t="s">
        <v>97</v>
      </c>
      <c r="P1612" s="2" t="s">
        <v>119</v>
      </c>
      <c r="Q1612" s="2" t="s">
        <v>99</v>
      </c>
      <c r="R1612" s="2" t="s">
        <v>100</v>
      </c>
      <c r="S1612" s="2" t="s">
        <v>5462</v>
      </c>
      <c r="T1612" s="2" t="s">
        <v>100</v>
      </c>
      <c r="U1612" s="2" t="s">
        <v>1847</v>
      </c>
      <c r="V1612" s="2" t="s">
        <v>403</v>
      </c>
      <c r="W1612" s="2" t="s">
        <v>561</v>
      </c>
      <c r="X1612" s="2" t="s">
        <v>100</v>
      </c>
      <c r="Y1612" s="2" t="s">
        <v>1554</v>
      </c>
      <c r="Z1612" s="4">
        <v>755</v>
      </c>
      <c r="AA1612" s="4">
        <f>=ROUNDDOWN(62.9166666666667,0)</f>
      </c>
      <c r="AB1612" s="5">
        <v>12</v>
      </c>
      <c r="AC1612" s="2" t="s">
        <v>100</v>
      </c>
      <c r="AD1612" s="4"/>
      <c r="AE1612" s="4"/>
      <c r="AF1612" s="6">
        <v>69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>
        <v>1</v>
      </c>
      <c r="AQ1612" s="8">
        <v>15.6</v>
      </c>
      <c r="AR1612" s="4"/>
      <c r="AS1612" s="8"/>
      <c r="AT1612" s="7"/>
      <c r="AU1612" s="7"/>
      <c r="AV1612" s="4">
        <v>1</v>
      </c>
      <c r="AW1612" s="8">
        <v>15.6</v>
      </c>
      <c r="AX1612" s="4"/>
      <c r="AY1612" s="8"/>
      <c r="AZ1612" s="7"/>
      <c r="BA1612" s="7"/>
      <c r="BB1612" s="7">
        <v>1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>
        <v>0.2309</v>
      </c>
      <c r="BJ1612" s="4">
        <v>313</v>
      </c>
      <c r="BK1612" s="8">
        <v>5084.07</v>
      </c>
      <c r="BL1612" s="2" t="s">
        <v>5463</v>
      </c>
      <c r="BM1612" s="7">
        <v>0.0032</v>
      </c>
      <c r="BN1612" s="7">
        <v>0.0031</v>
      </c>
      <c r="BO1612" s="4">
        <v>1</v>
      </c>
      <c r="BP1612" s="8">
        <v>15.6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709</v>
      </c>
      <c r="BX1612" s="2" t="s">
        <v>5464</v>
      </c>
      <c r="BY1612" s="2" t="s">
        <v>113</v>
      </c>
      <c r="BZ1612" s="2" t="s">
        <v>100</v>
      </c>
    </row>
    <row r="1613">
      <c r="A1613" s="2" t="s">
        <v>5465</v>
      </c>
      <c r="B1613" s="2" t="s">
        <v>5053</v>
      </c>
      <c r="C1613" s="2" t="s">
        <v>88</v>
      </c>
      <c r="D1613" s="2" t="s">
        <v>5316</v>
      </c>
      <c r="E1613" s="2" t="s">
        <v>5317</v>
      </c>
      <c r="F1613" s="2" t="s">
        <v>5452</v>
      </c>
      <c r="G1613" s="2" t="s">
        <v>5453</v>
      </c>
      <c r="H1613" s="2" t="s">
        <v>2525</v>
      </c>
      <c r="I1613" s="2" t="s">
        <v>5454</v>
      </c>
      <c r="J1613" s="2" t="s">
        <v>5362</v>
      </c>
      <c r="K1613" s="2" t="s">
        <v>198</v>
      </c>
      <c r="L1613" s="3">
        <v>15.18</v>
      </c>
      <c r="M1613" s="3">
        <v>15.94</v>
      </c>
      <c r="N1613" s="3">
        <v>32.99</v>
      </c>
      <c r="O1613" s="2" t="s">
        <v>97</v>
      </c>
      <c r="P1613" s="2" t="s">
        <v>119</v>
      </c>
      <c r="Q1613" s="2" t="s">
        <v>99</v>
      </c>
      <c r="R1613" s="2" t="s">
        <v>100</v>
      </c>
      <c r="S1613" s="2" t="s">
        <v>5466</v>
      </c>
      <c r="T1613" s="2" t="s">
        <v>100</v>
      </c>
      <c r="U1613" s="2" t="s">
        <v>1847</v>
      </c>
      <c r="V1613" s="2" t="s">
        <v>403</v>
      </c>
      <c r="W1613" s="2" t="s">
        <v>561</v>
      </c>
      <c r="X1613" s="2" t="s">
        <v>100</v>
      </c>
      <c r="Y1613" s="2" t="s">
        <v>1554</v>
      </c>
      <c r="Z1613" s="4">
        <v>390</v>
      </c>
      <c r="AA1613" s="4">
        <f>=ROUNDDOWN(30,0)</f>
      </c>
      <c r="AB1613" s="5">
        <v>13</v>
      </c>
      <c r="AC1613" s="2" t="s">
        <v>100</v>
      </c>
      <c r="AD1613" s="4"/>
      <c r="AE1613" s="4"/>
      <c r="AF1613" s="6">
        <v>69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316</v>
      </c>
      <c r="BK1613" s="8">
        <v>5202.78</v>
      </c>
      <c r="BL1613" s="2" t="s">
        <v>5467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5468</v>
      </c>
      <c r="BX1613" s="2" t="s">
        <v>265</v>
      </c>
      <c r="BY1613" s="2" t="s">
        <v>113</v>
      </c>
      <c r="BZ1613" s="2" t="s">
        <v>245</v>
      </c>
    </row>
    <row r="1614">
      <c r="A1614" s="2" t="s">
        <v>5469</v>
      </c>
      <c r="B1614" s="2" t="s">
        <v>5053</v>
      </c>
      <c r="C1614" s="2" t="s">
        <v>88</v>
      </c>
      <c r="D1614" s="2" t="s">
        <v>5316</v>
      </c>
      <c r="E1614" s="2" t="s">
        <v>5317</v>
      </c>
      <c r="F1614" s="2" t="s">
        <v>5470</v>
      </c>
      <c r="G1614" s="2" t="s">
        <v>5471</v>
      </c>
      <c r="H1614" s="2" t="s">
        <v>5472</v>
      </c>
      <c r="I1614" s="2" t="s">
        <v>5473</v>
      </c>
      <c r="J1614" s="2" t="s">
        <v>5355</v>
      </c>
      <c r="K1614" s="2" t="s">
        <v>189</v>
      </c>
      <c r="L1614" s="3">
        <v>13.29</v>
      </c>
      <c r="M1614" s="3">
        <v>13.95</v>
      </c>
      <c r="N1614" s="3">
        <v>26.99</v>
      </c>
      <c r="O1614" s="2" t="s">
        <v>97</v>
      </c>
      <c r="P1614" s="2" t="s">
        <v>119</v>
      </c>
      <c r="Q1614" s="2" t="s">
        <v>99</v>
      </c>
      <c r="R1614" s="2" t="s">
        <v>100</v>
      </c>
      <c r="S1614" s="2" t="s">
        <v>5474</v>
      </c>
      <c r="T1614" s="2" t="s">
        <v>100</v>
      </c>
      <c r="U1614" s="2" t="s">
        <v>1847</v>
      </c>
      <c r="V1614" s="2" t="s">
        <v>146</v>
      </c>
      <c r="W1614" s="2" t="s">
        <v>183</v>
      </c>
      <c r="X1614" s="2" t="s">
        <v>100</v>
      </c>
      <c r="Y1614" s="2" t="s">
        <v>5475</v>
      </c>
      <c r="Z1614" s="4">
        <v>445</v>
      </c>
      <c r="AA1614" s="4">
        <f>=ROUNDDOWN(37.0833333333333,0)</f>
      </c>
      <c r="AB1614" s="5">
        <v>12</v>
      </c>
      <c r="AC1614" s="2" t="s">
        <v>977</v>
      </c>
      <c r="AD1614" s="4">
        <v>30</v>
      </c>
      <c r="AE1614" s="4">
        <v>234</v>
      </c>
      <c r="AF1614" s="6">
        <v>69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>
        <v>3</v>
      </c>
      <c r="AQ1614" s="8">
        <v>41.85</v>
      </c>
      <c r="AR1614" s="4"/>
      <c r="AS1614" s="8"/>
      <c r="AT1614" s="7"/>
      <c r="AU1614" s="7"/>
      <c r="AV1614" s="4">
        <v>3</v>
      </c>
      <c r="AW1614" s="8">
        <v>41.85</v>
      </c>
      <c r="AX1614" s="4"/>
      <c r="AY1614" s="8"/>
      <c r="AZ1614" s="7"/>
      <c r="BA1614" s="7"/>
      <c r="BB1614" s="7">
        <v>1</v>
      </c>
      <c r="BC1614" s="4">
        <v>4</v>
      </c>
      <c r="BD1614" s="8">
        <v>58.9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>
        <v>0.7105</v>
      </c>
      <c r="BJ1614" s="4">
        <v>320</v>
      </c>
      <c r="BK1614" s="8">
        <v>4645.18</v>
      </c>
      <c r="BL1614" s="2" t="s">
        <v>5476</v>
      </c>
      <c r="BM1614" s="7">
        <v>0.0094</v>
      </c>
      <c r="BN1614" s="7">
        <v>0.009</v>
      </c>
      <c r="BO1614" s="4">
        <v>3</v>
      </c>
      <c r="BP1614" s="8">
        <v>41.85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5477</v>
      </c>
      <c r="BX1614" s="2" t="s">
        <v>5478</v>
      </c>
      <c r="BY1614" s="2" t="s">
        <v>113</v>
      </c>
      <c r="BZ1614" s="2" t="s">
        <v>100</v>
      </c>
    </row>
    <row r="1615">
      <c r="A1615" s="2" t="s">
        <v>5479</v>
      </c>
      <c r="B1615" s="2" t="s">
        <v>5053</v>
      </c>
      <c r="C1615" s="2" t="s">
        <v>88</v>
      </c>
      <c r="D1615" s="2" t="s">
        <v>5316</v>
      </c>
      <c r="E1615" s="2" t="s">
        <v>5317</v>
      </c>
      <c r="F1615" s="2" t="s">
        <v>5470</v>
      </c>
      <c r="G1615" s="2" t="s">
        <v>5471</v>
      </c>
      <c r="H1615" s="2" t="s">
        <v>5472</v>
      </c>
      <c r="I1615" s="2" t="s">
        <v>5473</v>
      </c>
      <c r="J1615" s="2" t="s">
        <v>5355</v>
      </c>
      <c r="K1615" s="2" t="s">
        <v>2477</v>
      </c>
      <c r="L1615" s="3">
        <v>13.29</v>
      </c>
      <c r="M1615" s="3">
        <v>13.95</v>
      </c>
      <c r="N1615" s="3">
        <v>26.99</v>
      </c>
      <c r="O1615" s="2" t="s">
        <v>97</v>
      </c>
      <c r="P1615" s="2" t="s">
        <v>119</v>
      </c>
      <c r="Q1615" s="2" t="s">
        <v>99</v>
      </c>
      <c r="R1615" s="2" t="s">
        <v>100</v>
      </c>
      <c r="S1615" s="2" t="s">
        <v>5480</v>
      </c>
      <c r="T1615" s="2" t="s">
        <v>100</v>
      </c>
      <c r="U1615" s="2" t="s">
        <v>1847</v>
      </c>
      <c r="V1615" s="2" t="s">
        <v>146</v>
      </c>
      <c r="W1615" s="2" t="s">
        <v>183</v>
      </c>
      <c r="X1615" s="2" t="s">
        <v>100</v>
      </c>
      <c r="Y1615" s="2" t="s">
        <v>5481</v>
      </c>
      <c r="Z1615" s="4">
        <v>383</v>
      </c>
      <c r="AA1615" s="4">
        <f>=ROUNDDOWN(38.3,0)</f>
      </c>
      <c r="AB1615" s="5">
        <v>10</v>
      </c>
      <c r="AC1615" s="2" t="s">
        <v>100</v>
      </c>
      <c r="AD1615" s="4"/>
      <c r="AE1615" s="4"/>
      <c r="AF1615" s="6">
        <v>69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>
        <v>1</v>
      </c>
      <c r="AW1615" s="8">
        <v>17.05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0.2895</v>
      </c>
      <c r="BJ1615" s="4">
        <v>264</v>
      </c>
      <c r="BK1615" s="8">
        <v>3827.75</v>
      </c>
      <c r="BL1615" s="2" t="s">
        <v>5211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5477</v>
      </c>
      <c r="BX1615" s="2" t="s">
        <v>5482</v>
      </c>
      <c r="BY1615" s="2" t="s">
        <v>113</v>
      </c>
      <c r="BZ1615" s="2" t="s">
        <v>245</v>
      </c>
    </row>
    <row r="1616">
      <c r="A1616" s="2" t="s">
        <v>5483</v>
      </c>
      <c r="B1616" s="2" t="s">
        <v>5053</v>
      </c>
      <c r="C1616" s="2" t="s">
        <v>88</v>
      </c>
      <c r="D1616" s="2" t="s">
        <v>5316</v>
      </c>
      <c r="E1616" s="2" t="s">
        <v>5317</v>
      </c>
      <c r="F1616" s="2" t="s">
        <v>5470</v>
      </c>
      <c r="G1616" s="2" t="s">
        <v>5471</v>
      </c>
      <c r="H1616" s="2" t="s">
        <v>5472</v>
      </c>
      <c r="I1616" s="2" t="s">
        <v>5473</v>
      </c>
      <c r="J1616" s="2" t="s">
        <v>5322</v>
      </c>
      <c r="K1616" s="2" t="s">
        <v>2477</v>
      </c>
      <c r="L1616" s="3">
        <v>16.24</v>
      </c>
      <c r="M1616" s="3">
        <v>17.05</v>
      </c>
      <c r="N1616" s="3">
        <v>32.99</v>
      </c>
      <c r="O1616" s="2" t="s">
        <v>97</v>
      </c>
      <c r="P1616" s="2" t="s">
        <v>119</v>
      </c>
      <c r="Q1616" s="2" t="s">
        <v>99</v>
      </c>
      <c r="R1616" s="2" t="s">
        <v>100</v>
      </c>
      <c r="S1616" s="2" t="s">
        <v>5480</v>
      </c>
      <c r="T1616" s="2" t="s">
        <v>100</v>
      </c>
      <c r="U1616" s="2" t="s">
        <v>1847</v>
      </c>
      <c r="V1616" s="2" t="s">
        <v>146</v>
      </c>
      <c r="W1616" s="2" t="s">
        <v>183</v>
      </c>
      <c r="X1616" s="2" t="s">
        <v>100</v>
      </c>
      <c r="Y1616" s="2" t="s">
        <v>5481</v>
      </c>
      <c r="Z1616" s="4">
        <v>478</v>
      </c>
      <c r="AA1616" s="4">
        <f>=ROUNDDOWN(47.8,0)</f>
      </c>
      <c r="AB1616" s="5">
        <v>10</v>
      </c>
      <c r="AC1616" s="2" t="s">
        <v>100</v>
      </c>
      <c r="AD1616" s="4"/>
      <c r="AE1616" s="4"/>
      <c r="AF1616" s="6">
        <v>69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>
        <v>1</v>
      </c>
      <c r="AQ1616" s="8">
        <v>17.05</v>
      </c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>
        <v>1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 t="s">
        <v>100</v>
      </c>
      <c r="BJ1616" s="4">
        <v>322</v>
      </c>
      <c r="BK1616" s="8">
        <v>5743.81</v>
      </c>
      <c r="BL1616" s="2" t="s">
        <v>5484</v>
      </c>
      <c r="BM1616" s="7">
        <v>0.0031</v>
      </c>
      <c r="BN1616" s="7">
        <v>0.003</v>
      </c>
      <c r="BO1616" s="4">
        <v>1</v>
      </c>
      <c r="BP1616" s="8">
        <v>17.05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5477</v>
      </c>
      <c r="BX1616" s="2" t="s">
        <v>5485</v>
      </c>
      <c r="BY1616" s="2" t="s">
        <v>113</v>
      </c>
      <c r="BZ1616" s="2" t="s">
        <v>100</v>
      </c>
    </row>
    <row r="1617">
      <c r="A1617" s="2" t="s">
        <v>5486</v>
      </c>
      <c r="B1617" s="2" t="s">
        <v>5053</v>
      </c>
      <c r="C1617" s="2" t="s">
        <v>88</v>
      </c>
      <c r="D1617" s="2" t="s">
        <v>5316</v>
      </c>
      <c r="E1617" s="2" t="s">
        <v>5317</v>
      </c>
      <c r="F1617" s="2" t="s">
        <v>233</v>
      </c>
      <c r="G1617" s="2" t="s">
        <v>234</v>
      </c>
      <c r="H1617" s="2" t="s">
        <v>235</v>
      </c>
      <c r="I1617" s="2" t="s">
        <v>5487</v>
      </c>
      <c r="J1617" s="2" t="s">
        <v>5419</v>
      </c>
      <c r="K1617" s="2" t="s">
        <v>118</v>
      </c>
      <c r="L1617" s="3">
        <v>26.91</v>
      </c>
      <c r="M1617" s="3">
        <v>28.26</v>
      </c>
      <c r="N1617" s="3">
        <v>59.99</v>
      </c>
      <c r="O1617" s="2" t="s">
        <v>97</v>
      </c>
      <c r="P1617" s="2" t="s">
        <v>950</v>
      </c>
      <c r="Q1617" s="2" t="s">
        <v>99</v>
      </c>
      <c r="R1617" s="2" t="s">
        <v>100</v>
      </c>
      <c r="S1617" s="2" t="s">
        <v>5488</v>
      </c>
      <c r="T1617" s="2" t="s">
        <v>100</v>
      </c>
      <c r="U1617" s="2" t="s">
        <v>100</v>
      </c>
      <c r="V1617" s="2" t="s">
        <v>239</v>
      </c>
      <c r="W1617" s="2" t="s">
        <v>239</v>
      </c>
      <c r="X1617" s="2" t="s">
        <v>100</v>
      </c>
      <c r="Y1617" s="2" t="s">
        <v>5489</v>
      </c>
      <c r="Z1617" s="4">
        <v>202</v>
      </c>
      <c r="AA1617" s="4">
        <f>=ROUNDDOWN(11.8823529411765,0)</f>
      </c>
      <c r="AB1617" s="5">
        <v>17</v>
      </c>
      <c r="AC1617" s="2" t="s">
        <v>241</v>
      </c>
      <c r="AD1617" s="4">
        <v>150</v>
      </c>
      <c r="AE1617" s="4">
        <v>450</v>
      </c>
      <c r="AF1617" s="6">
        <v>67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446</v>
      </c>
      <c r="BK1617" s="8">
        <v>13931.87</v>
      </c>
      <c r="BL1617" s="2" t="s">
        <v>5490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5477</v>
      </c>
      <c r="BX1617" s="2" t="s">
        <v>5491</v>
      </c>
      <c r="BY1617" s="2" t="s">
        <v>113</v>
      </c>
      <c r="BZ1617" s="2" t="s">
        <v>245</v>
      </c>
    </row>
    <row r="1618">
      <c r="A1618" s="2" t="s">
        <v>5492</v>
      </c>
      <c r="B1618" s="2" t="s">
        <v>5053</v>
      </c>
      <c r="C1618" s="2" t="s">
        <v>88</v>
      </c>
      <c r="D1618" s="2" t="s">
        <v>5316</v>
      </c>
      <c r="E1618" s="2" t="s">
        <v>5317</v>
      </c>
      <c r="F1618" s="2" t="s">
        <v>1093</v>
      </c>
      <c r="G1618" s="2" t="s">
        <v>1094</v>
      </c>
      <c r="H1618" s="2" t="s">
        <v>1095</v>
      </c>
      <c r="I1618" s="2" t="s">
        <v>5414</v>
      </c>
      <c r="J1618" s="2" t="s">
        <v>5362</v>
      </c>
      <c r="K1618" s="2" t="s">
        <v>629</v>
      </c>
      <c r="L1618" s="3">
        <v>15.18</v>
      </c>
      <c r="M1618" s="3">
        <v>15.94</v>
      </c>
      <c r="N1618" s="3">
        <v>32.99</v>
      </c>
      <c r="O1618" s="2" t="s">
        <v>97</v>
      </c>
      <c r="P1618" s="2" t="s">
        <v>225</v>
      </c>
      <c r="Q1618" s="2" t="s">
        <v>99</v>
      </c>
      <c r="R1618" s="2" t="s">
        <v>100</v>
      </c>
      <c r="S1618" s="2" t="s">
        <v>5493</v>
      </c>
      <c r="T1618" s="2" t="s">
        <v>280</v>
      </c>
      <c r="U1618" s="2" t="s">
        <v>1847</v>
      </c>
      <c r="V1618" s="2" t="s">
        <v>256</v>
      </c>
      <c r="W1618" s="2" t="s">
        <v>309</v>
      </c>
      <c r="X1618" s="2" t="s">
        <v>104</v>
      </c>
      <c r="Y1618" s="2" t="s">
        <v>1471</v>
      </c>
      <c r="Z1618" s="4">
        <v>442</v>
      </c>
      <c r="AA1618" s="4">
        <f>=ROUNDDOWN(10.780487804878,0)</f>
      </c>
      <c r="AB1618" s="5">
        <v>41</v>
      </c>
      <c r="AC1618" s="2" t="s">
        <v>356</v>
      </c>
      <c r="AD1618" s="4">
        <v>880</v>
      </c>
      <c r="AE1618" s="4">
        <v>2080</v>
      </c>
      <c r="AF1618" s="6">
        <v>67</v>
      </c>
      <c r="AG1618" s="6"/>
      <c r="AH1618" s="7">
        <v>0.385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442</v>
      </c>
      <c r="BK1618" s="8">
        <v>7711.07</v>
      </c>
      <c r="BL1618" s="2" t="s">
        <v>5494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207</v>
      </c>
      <c r="BV1618" s="2" t="s">
        <v>97</v>
      </c>
      <c r="BW1618" s="2" t="s">
        <v>100</v>
      </c>
      <c r="BX1618" s="2" t="s">
        <v>100</v>
      </c>
      <c r="BY1618" s="2" t="s">
        <v>113</v>
      </c>
      <c r="BZ1618" s="2" t="s">
        <v>245</v>
      </c>
    </row>
    <row r="1619">
      <c r="A1619" s="2" t="s">
        <v>5495</v>
      </c>
      <c r="B1619" s="2" t="s">
        <v>5053</v>
      </c>
      <c r="C1619" s="2" t="s">
        <v>88</v>
      </c>
      <c r="D1619" s="2" t="s">
        <v>5316</v>
      </c>
      <c r="E1619" s="2" t="s">
        <v>5317</v>
      </c>
      <c r="F1619" s="2" t="s">
        <v>1093</v>
      </c>
      <c r="G1619" s="2" t="s">
        <v>1094</v>
      </c>
      <c r="H1619" s="2" t="s">
        <v>1095</v>
      </c>
      <c r="I1619" s="2" t="s">
        <v>5414</v>
      </c>
      <c r="J1619" s="2" t="s">
        <v>5419</v>
      </c>
      <c r="K1619" s="2" t="s">
        <v>629</v>
      </c>
      <c r="L1619" s="3">
        <v>29.9</v>
      </c>
      <c r="M1619" s="3">
        <v>31.4</v>
      </c>
      <c r="N1619" s="3">
        <v>64.99</v>
      </c>
      <c r="O1619" s="2" t="s">
        <v>97</v>
      </c>
      <c r="P1619" s="2" t="s">
        <v>225</v>
      </c>
      <c r="Q1619" s="2" t="s">
        <v>99</v>
      </c>
      <c r="R1619" s="2" t="s">
        <v>100</v>
      </c>
      <c r="S1619" s="2" t="s">
        <v>5493</v>
      </c>
      <c r="T1619" s="2" t="s">
        <v>280</v>
      </c>
      <c r="U1619" s="2" t="s">
        <v>1847</v>
      </c>
      <c r="V1619" s="2" t="s">
        <v>256</v>
      </c>
      <c r="W1619" s="2" t="s">
        <v>309</v>
      </c>
      <c r="X1619" s="2" t="s">
        <v>104</v>
      </c>
      <c r="Y1619" s="2" t="s">
        <v>1471</v>
      </c>
      <c r="Z1619" s="4">
        <v>361</v>
      </c>
      <c r="AA1619" s="4">
        <f>=ROUNDDOWN(15.695652173913,0)</f>
      </c>
      <c r="AB1619" s="5">
        <v>23</v>
      </c>
      <c r="AC1619" s="2" t="s">
        <v>356</v>
      </c>
      <c r="AD1619" s="4">
        <v>720</v>
      </c>
      <c r="AE1619" s="4">
        <v>1160</v>
      </c>
      <c r="AF1619" s="6">
        <v>67</v>
      </c>
      <c r="AG1619" s="6"/>
      <c r="AH1619" s="7">
        <v>0.5668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298</v>
      </c>
      <c r="BK1619" s="8">
        <v>10117.29</v>
      </c>
      <c r="BL1619" s="2" t="s">
        <v>5496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207</v>
      </c>
      <c r="BV1619" s="2" t="s">
        <v>97</v>
      </c>
      <c r="BW1619" s="2" t="s">
        <v>100</v>
      </c>
      <c r="BX1619" s="2" t="s">
        <v>100</v>
      </c>
      <c r="BY1619" s="2" t="s">
        <v>113</v>
      </c>
      <c r="BZ1619" s="2" t="s">
        <v>245</v>
      </c>
    </row>
    <row r="1620">
      <c r="A1620" s="2" t="s">
        <v>5497</v>
      </c>
      <c r="B1620" s="2" t="s">
        <v>5053</v>
      </c>
      <c r="C1620" s="2" t="s">
        <v>88</v>
      </c>
      <c r="D1620" s="2" t="s">
        <v>5498</v>
      </c>
      <c r="E1620" s="2" t="s">
        <v>5499</v>
      </c>
      <c r="F1620" s="2" t="s">
        <v>5500</v>
      </c>
      <c r="G1620" s="2" t="s">
        <v>5500</v>
      </c>
      <c r="H1620" s="2" t="s">
        <v>5500</v>
      </c>
      <c r="I1620" s="2" t="s">
        <v>5501</v>
      </c>
      <c r="J1620" s="2" t="s">
        <v>3877</v>
      </c>
      <c r="K1620" s="2" t="s">
        <v>3199</v>
      </c>
      <c r="L1620" s="3">
        <v>21.6</v>
      </c>
      <c r="M1620" s="3">
        <v>22.68</v>
      </c>
      <c r="N1620" s="3">
        <v>44.99</v>
      </c>
      <c r="O1620" s="2" t="s">
        <v>97</v>
      </c>
      <c r="P1620" s="2" t="s">
        <v>119</v>
      </c>
      <c r="Q1620" s="2" t="s">
        <v>99</v>
      </c>
      <c r="R1620" s="2" t="s">
        <v>100</v>
      </c>
      <c r="S1620" s="2" t="s">
        <v>100</v>
      </c>
      <c r="T1620" s="2" t="s">
        <v>100</v>
      </c>
      <c r="U1620" s="2" t="s">
        <v>100</v>
      </c>
      <c r="V1620" s="2" t="s">
        <v>1150</v>
      </c>
      <c r="W1620" s="2" t="s">
        <v>561</v>
      </c>
      <c r="X1620" s="2" t="s">
        <v>100</v>
      </c>
      <c r="Y1620" s="2" t="s">
        <v>5502</v>
      </c>
      <c r="Z1620" s="4">
        <v>436</v>
      </c>
      <c r="AA1620" s="4">
        <f>=ROUNDDOWN(31.1428571428571,0)</f>
      </c>
      <c r="AB1620" s="5">
        <v>14</v>
      </c>
      <c r="AC1620" s="2" t="s">
        <v>356</v>
      </c>
      <c r="AD1620" s="4">
        <v>300</v>
      </c>
      <c r="AE1620" s="4">
        <v>680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>
        <v>2</v>
      </c>
      <c r="AQ1620" s="8">
        <v>42</v>
      </c>
      <c r="AR1620" s="4"/>
      <c r="AS1620" s="8"/>
      <c r="AT1620" s="7"/>
      <c r="AU1620" s="7"/>
      <c r="AV1620" s="4">
        <v>2</v>
      </c>
      <c r="AW1620" s="8">
        <v>42</v>
      </c>
      <c r="AX1620" s="4"/>
      <c r="AY1620" s="8"/>
      <c r="AZ1620" s="7"/>
      <c r="BA1620" s="7"/>
      <c r="BB1620" s="7">
        <v>1</v>
      </c>
      <c r="BC1620" s="4">
        <v>2</v>
      </c>
      <c r="BD1620" s="8">
        <v>42</v>
      </c>
      <c r="BE1620" s="4"/>
      <c r="BF1620" s="8"/>
      <c r="BG1620" s="7"/>
      <c r="BH1620" s="7"/>
      <c r="BI1620" s="7">
        <v>1</v>
      </c>
      <c r="BJ1620" s="4">
        <v>367</v>
      </c>
      <c r="BK1620" s="8">
        <v>9334.72</v>
      </c>
      <c r="BL1620" s="2" t="s">
        <v>5503</v>
      </c>
      <c r="BM1620" s="7">
        <v>0.0054</v>
      </c>
      <c r="BN1620" s="7">
        <v>0.0045</v>
      </c>
      <c r="BO1620" s="4">
        <v>2</v>
      </c>
      <c r="BP1620" s="8">
        <v>42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5504</v>
      </c>
      <c r="BX1620" s="2" t="s">
        <v>5505</v>
      </c>
      <c r="BY1620" s="2" t="s">
        <v>113</v>
      </c>
      <c r="BZ1620" s="2" t="s">
        <v>100</v>
      </c>
    </row>
    <row r="1621">
      <c r="A1621" s="2" t="s">
        <v>5506</v>
      </c>
      <c r="B1621" s="2" t="s">
        <v>5053</v>
      </c>
      <c r="C1621" s="2" t="s">
        <v>88</v>
      </c>
      <c r="D1621" s="2" t="s">
        <v>5507</v>
      </c>
      <c r="E1621" s="2" t="s">
        <v>5508</v>
      </c>
      <c r="F1621" s="2" t="s">
        <v>389</v>
      </c>
      <c r="G1621" s="2" t="s">
        <v>390</v>
      </c>
      <c r="H1621" s="2" t="s">
        <v>391</v>
      </c>
      <c r="I1621" s="2" t="s">
        <v>5509</v>
      </c>
      <c r="J1621" s="2" t="s">
        <v>5510</v>
      </c>
      <c r="K1621" s="2" t="s">
        <v>765</v>
      </c>
      <c r="L1621" s="3">
        <v>30.24</v>
      </c>
      <c r="M1621" s="3">
        <v>31.75</v>
      </c>
      <c r="N1621" s="3">
        <v>54.99</v>
      </c>
      <c r="O1621" s="2" t="s">
        <v>97</v>
      </c>
      <c r="P1621" s="2" t="s">
        <v>119</v>
      </c>
      <c r="Q1621" s="2" t="s">
        <v>99</v>
      </c>
      <c r="R1621" s="2" t="s">
        <v>100</v>
      </c>
      <c r="S1621" s="2" t="s">
        <v>5511</v>
      </c>
      <c r="T1621" s="2" t="s">
        <v>280</v>
      </c>
      <c r="U1621" s="2" t="s">
        <v>102</v>
      </c>
      <c r="V1621" s="2" t="s">
        <v>393</v>
      </c>
      <c r="W1621" s="2" t="s">
        <v>309</v>
      </c>
      <c r="X1621" s="2" t="s">
        <v>100</v>
      </c>
      <c r="Y1621" s="2" t="s">
        <v>703</v>
      </c>
      <c r="Z1621" s="4">
        <v>48</v>
      </c>
      <c r="AA1621" s="4">
        <f>=ROUNDDOWN(4.8,0)</f>
      </c>
      <c r="AB1621" s="5">
        <v>10</v>
      </c>
      <c r="AC1621" s="2" t="s">
        <v>123</v>
      </c>
      <c r="AD1621" s="4">
        <v>560</v>
      </c>
      <c r="AE1621" s="4">
        <v>560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249</v>
      </c>
      <c r="BK1621" s="8">
        <v>8562.15</v>
      </c>
      <c r="BL1621" s="2" t="s">
        <v>4511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207</v>
      </c>
      <c r="BV1621" s="2" t="s">
        <v>97</v>
      </c>
      <c r="BW1621" s="2" t="s">
        <v>100</v>
      </c>
      <c r="BX1621" s="2" t="s">
        <v>100</v>
      </c>
      <c r="BY1621" s="2" t="s">
        <v>113</v>
      </c>
      <c r="BZ1621" s="2" t="s">
        <v>245</v>
      </c>
    </row>
    <row r="1622">
      <c r="A1622" s="2" t="s">
        <v>5512</v>
      </c>
      <c r="B1622" s="2" t="s">
        <v>5053</v>
      </c>
      <c r="C1622" s="2" t="s">
        <v>88</v>
      </c>
      <c r="D1622" s="2" t="s">
        <v>5507</v>
      </c>
      <c r="E1622" s="2" t="s">
        <v>5508</v>
      </c>
      <c r="F1622" s="2" t="s">
        <v>389</v>
      </c>
      <c r="G1622" s="2" t="s">
        <v>390</v>
      </c>
      <c r="H1622" s="2" t="s">
        <v>391</v>
      </c>
      <c r="I1622" s="2" t="s">
        <v>5509</v>
      </c>
      <c r="J1622" s="2" t="s">
        <v>5510</v>
      </c>
      <c r="K1622" s="2" t="s">
        <v>360</v>
      </c>
      <c r="L1622" s="3">
        <v>30.24</v>
      </c>
      <c r="M1622" s="3">
        <v>31.75</v>
      </c>
      <c r="N1622" s="3">
        <v>54.99</v>
      </c>
      <c r="O1622" s="2" t="s">
        <v>97</v>
      </c>
      <c r="P1622" s="2" t="s">
        <v>119</v>
      </c>
      <c r="Q1622" s="2" t="s">
        <v>99</v>
      </c>
      <c r="R1622" s="2" t="s">
        <v>100</v>
      </c>
      <c r="S1622" s="2" t="s">
        <v>5513</v>
      </c>
      <c r="T1622" s="2" t="s">
        <v>280</v>
      </c>
      <c r="U1622" s="2" t="s">
        <v>102</v>
      </c>
      <c r="V1622" s="2" t="s">
        <v>393</v>
      </c>
      <c r="W1622" s="2" t="s">
        <v>309</v>
      </c>
      <c r="X1622" s="2" t="s">
        <v>100</v>
      </c>
      <c r="Y1622" s="2" t="s">
        <v>703</v>
      </c>
      <c r="Z1622" s="4">
        <v>194</v>
      </c>
      <c r="AA1622" s="4">
        <f>=ROUNDDOWN(8.81818181818182,0)</f>
      </c>
      <c r="AB1622" s="5">
        <v>22</v>
      </c>
      <c r="AC1622" s="2" t="s">
        <v>123</v>
      </c>
      <c r="AD1622" s="4">
        <v>250</v>
      </c>
      <c r="AE1622" s="4">
        <v>580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587</v>
      </c>
      <c r="BK1622" s="8">
        <v>20124.84</v>
      </c>
      <c r="BL1622" s="2" t="s">
        <v>1056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207</v>
      </c>
      <c r="BV1622" s="2" t="s">
        <v>97</v>
      </c>
      <c r="BW1622" s="2" t="s">
        <v>100</v>
      </c>
      <c r="BX1622" s="2" t="s">
        <v>100</v>
      </c>
      <c r="BY1622" s="2" t="s">
        <v>113</v>
      </c>
      <c r="BZ1622" s="2" t="s">
        <v>245</v>
      </c>
    </row>
    <row r="1623">
      <c r="A1623" s="2" t="s">
        <v>5514</v>
      </c>
      <c r="B1623" s="2" t="s">
        <v>5053</v>
      </c>
      <c r="C1623" s="2" t="s">
        <v>88</v>
      </c>
      <c r="D1623" s="2" t="s">
        <v>5507</v>
      </c>
      <c r="E1623" s="2" t="s">
        <v>5508</v>
      </c>
      <c r="F1623" s="2" t="s">
        <v>1093</v>
      </c>
      <c r="G1623" s="2" t="s">
        <v>1094</v>
      </c>
      <c r="H1623" s="2" t="s">
        <v>1095</v>
      </c>
      <c r="I1623" s="2" t="s">
        <v>5515</v>
      </c>
      <c r="J1623" s="2" t="s">
        <v>3877</v>
      </c>
      <c r="K1623" s="2" t="s">
        <v>278</v>
      </c>
      <c r="L1623" s="3">
        <v>33.6</v>
      </c>
      <c r="M1623" s="3">
        <v>35.28</v>
      </c>
      <c r="N1623" s="3">
        <v>69.99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5516</v>
      </c>
      <c r="T1623" s="2" t="s">
        <v>280</v>
      </c>
      <c r="U1623" s="2" t="s">
        <v>102</v>
      </c>
      <c r="V1623" s="2" t="s">
        <v>256</v>
      </c>
      <c r="W1623" s="2" t="s">
        <v>309</v>
      </c>
      <c r="X1623" s="2" t="s">
        <v>104</v>
      </c>
      <c r="Y1623" s="2" t="s">
        <v>2278</v>
      </c>
      <c r="Z1623" s="4">
        <v>2068</v>
      </c>
      <c r="AA1623" s="4">
        <f>=ROUNDDOWN(41.36,0)</f>
      </c>
      <c r="AB1623" s="5">
        <v>50</v>
      </c>
      <c r="AC1623" s="2" t="s">
        <v>356</v>
      </c>
      <c r="AD1623" s="4">
        <v>1000</v>
      </c>
      <c r="AE1623" s="4">
        <v>1000</v>
      </c>
      <c r="AF1623" s="6">
        <v>65</v>
      </c>
      <c r="AG1623" s="6">
        <v>48</v>
      </c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1307</v>
      </c>
      <c r="BK1623" s="8">
        <v>49403.17</v>
      </c>
      <c r="BL1623" s="2" t="s">
        <v>5517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207</v>
      </c>
      <c r="BV1623" s="2" t="s">
        <v>97</v>
      </c>
      <c r="BW1623" s="2" t="s">
        <v>100</v>
      </c>
      <c r="BX1623" s="2" t="s">
        <v>100</v>
      </c>
      <c r="BY1623" s="2" t="s">
        <v>113</v>
      </c>
      <c r="BZ1623" s="2" t="s">
        <v>245</v>
      </c>
    </row>
    <row r="1624">
      <c r="A1624" s="2" t="s">
        <v>5518</v>
      </c>
      <c r="B1624" s="2" t="s">
        <v>5053</v>
      </c>
      <c r="C1624" s="2" t="s">
        <v>88</v>
      </c>
      <c r="D1624" s="2" t="s">
        <v>5507</v>
      </c>
      <c r="E1624" s="2" t="s">
        <v>5508</v>
      </c>
      <c r="F1624" s="2" t="s">
        <v>1093</v>
      </c>
      <c r="G1624" s="2" t="s">
        <v>1094</v>
      </c>
      <c r="H1624" s="2" t="s">
        <v>1095</v>
      </c>
      <c r="I1624" s="2" t="s">
        <v>5515</v>
      </c>
      <c r="J1624" s="2" t="s">
        <v>3877</v>
      </c>
      <c r="K1624" s="2" t="s">
        <v>360</v>
      </c>
      <c r="L1624" s="3">
        <v>33.6</v>
      </c>
      <c r="M1624" s="3">
        <v>35.28</v>
      </c>
      <c r="N1624" s="3">
        <v>69.99</v>
      </c>
      <c r="O1624" s="2" t="s">
        <v>97</v>
      </c>
      <c r="P1624" s="2" t="s">
        <v>98</v>
      </c>
      <c r="Q1624" s="2" t="s">
        <v>99</v>
      </c>
      <c r="R1624" s="2" t="s">
        <v>100</v>
      </c>
      <c r="S1624" s="2" t="s">
        <v>5516</v>
      </c>
      <c r="T1624" s="2" t="s">
        <v>280</v>
      </c>
      <c r="U1624" s="2" t="s">
        <v>102</v>
      </c>
      <c r="V1624" s="2" t="s">
        <v>256</v>
      </c>
      <c r="W1624" s="2" t="s">
        <v>309</v>
      </c>
      <c r="X1624" s="2" t="s">
        <v>104</v>
      </c>
      <c r="Y1624" s="2" t="s">
        <v>5519</v>
      </c>
      <c r="Z1624" s="4">
        <v>1014</v>
      </c>
      <c r="AA1624" s="4">
        <f>=ROUNDDOWN(22.0434782608696,0)</f>
      </c>
      <c r="AB1624" s="5">
        <v>46</v>
      </c>
      <c r="AC1624" s="2" t="s">
        <v>3031</v>
      </c>
      <c r="AD1624" s="4">
        <v>600</v>
      </c>
      <c r="AE1624" s="4">
        <v>600</v>
      </c>
      <c r="AF1624" s="6">
        <v>65</v>
      </c>
      <c r="AG1624" s="6">
        <v>48</v>
      </c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1616</v>
      </c>
      <c r="BK1624" s="8">
        <v>59331.9</v>
      </c>
      <c r="BL1624" s="2" t="s">
        <v>5298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207</v>
      </c>
      <c r="BV1624" s="2" t="s">
        <v>97</v>
      </c>
      <c r="BW1624" s="2" t="s">
        <v>100</v>
      </c>
      <c r="BX1624" s="2" t="s">
        <v>100</v>
      </c>
      <c r="BY1624" s="2" t="s">
        <v>113</v>
      </c>
      <c r="BZ1624" s="2" t="s">
        <v>245</v>
      </c>
    </row>
    <row r="1625">
      <c r="A1625" s="2" t="s">
        <v>5520</v>
      </c>
      <c r="B1625" s="2" t="s">
        <v>5053</v>
      </c>
      <c r="C1625" s="2" t="s">
        <v>88</v>
      </c>
      <c r="D1625" s="2" t="s">
        <v>5507</v>
      </c>
      <c r="E1625" s="2" t="s">
        <v>5508</v>
      </c>
      <c r="F1625" s="2" t="s">
        <v>1093</v>
      </c>
      <c r="G1625" s="2" t="s">
        <v>1094</v>
      </c>
      <c r="H1625" s="2" t="s">
        <v>1095</v>
      </c>
      <c r="I1625" s="2" t="s">
        <v>5515</v>
      </c>
      <c r="J1625" s="2" t="s">
        <v>3877</v>
      </c>
      <c r="K1625" s="2" t="s">
        <v>878</v>
      </c>
      <c r="L1625" s="3">
        <v>33.6</v>
      </c>
      <c r="M1625" s="3">
        <v>35.28</v>
      </c>
      <c r="N1625" s="3">
        <v>69.99</v>
      </c>
      <c r="O1625" s="2" t="s">
        <v>97</v>
      </c>
      <c r="P1625" s="2" t="s">
        <v>98</v>
      </c>
      <c r="Q1625" s="2" t="s">
        <v>99</v>
      </c>
      <c r="R1625" s="2" t="s">
        <v>100</v>
      </c>
      <c r="S1625" s="2" t="s">
        <v>5516</v>
      </c>
      <c r="T1625" s="2" t="s">
        <v>280</v>
      </c>
      <c r="U1625" s="2" t="s">
        <v>102</v>
      </c>
      <c r="V1625" s="2" t="s">
        <v>256</v>
      </c>
      <c r="W1625" s="2" t="s">
        <v>309</v>
      </c>
      <c r="X1625" s="2" t="s">
        <v>104</v>
      </c>
      <c r="Y1625" s="2" t="s">
        <v>2278</v>
      </c>
      <c r="Z1625" s="4">
        <v>437</v>
      </c>
      <c r="AA1625" s="4">
        <f>=ROUNDDOWN(11.8108108108108,0)</f>
      </c>
      <c r="AB1625" s="5">
        <v>37</v>
      </c>
      <c r="AC1625" s="2" t="s">
        <v>174</v>
      </c>
      <c r="AD1625" s="4">
        <v>210</v>
      </c>
      <c r="AE1625" s="4">
        <v>790</v>
      </c>
      <c r="AF1625" s="6">
        <v>65</v>
      </c>
      <c r="AG1625" s="6">
        <v>48</v>
      </c>
      <c r="AH1625" s="7">
        <v>0.9893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1057</v>
      </c>
      <c r="BK1625" s="8">
        <v>39910.11</v>
      </c>
      <c r="BL1625" s="2" t="s">
        <v>633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207</v>
      </c>
      <c r="BV1625" s="2" t="s">
        <v>97</v>
      </c>
      <c r="BW1625" s="2" t="s">
        <v>100</v>
      </c>
      <c r="BX1625" s="2" t="s">
        <v>100</v>
      </c>
      <c r="BY1625" s="2" t="s">
        <v>113</v>
      </c>
      <c r="BZ1625" s="2" t="s">
        <v>245</v>
      </c>
    </row>
    <row r="1626">
      <c r="A1626" s="2" t="s">
        <v>5521</v>
      </c>
      <c r="B1626" s="2" t="s">
        <v>5053</v>
      </c>
      <c r="C1626" s="2" t="s">
        <v>1867</v>
      </c>
      <c r="D1626" s="2" t="s">
        <v>5054</v>
      </c>
      <c r="E1626" s="2" t="s">
        <v>5055</v>
      </c>
      <c r="F1626" s="2" t="s">
        <v>2005</v>
      </c>
      <c r="G1626" s="2" t="s">
        <v>2006</v>
      </c>
      <c r="H1626" s="2" t="s">
        <v>2007</v>
      </c>
      <c r="I1626" s="2" t="s">
        <v>5522</v>
      </c>
      <c r="J1626" s="2" t="s">
        <v>5060</v>
      </c>
      <c r="K1626" s="2" t="s">
        <v>118</v>
      </c>
      <c r="L1626" s="3">
        <v>12.6</v>
      </c>
      <c r="M1626" s="3">
        <v>13.23</v>
      </c>
      <c r="N1626" s="3">
        <v>29.99</v>
      </c>
      <c r="O1626" s="2" t="s">
        <v>97</v>
      </c>
      <c r="P1626" s="2" t="s">
        <v>119</v>
      </c>
      <c r="Q1626" s="2" t="s">
        <v>99</v>
      </c>
      <c r="R1626" s="2" t="s">
        <v>100</v>
      </c>
      <c r="S1626" s="2" t="s">
        <v>2009</v>
      </c>
      <c r="T1626" s="2" t="s">
        <v>100</v>
      </c>
      <c r="U1626" s="2" t="s">
        <v>1847</v>
      </c>
      <c r="V1626" s="2" t="s">
        <v>292</v>
      </c>
      <c r="W1626" s="2" t="s">
        <v>561</v>
      </c>
      <c r="X1626" s="2" t="s">
        <v>183</v>
      </c>
      <c r="Y1626" s="2" t="s">
        <v>2011</v>
      </c>
      <c r="Z1626" s="4">
        <v>1281</v>
      </c>
      <c r="AA1626" s="4">
        <f>=ROUNDDOWN(12.81,0)</f>
      </c>
      <c r="AB1626" s="5">
        <v>100</v>
      </c>
      <c r="AC1626" s="2" t="s">
        <v>5523</v>
      </c>
      <c r="AD1626" s="4">
        <v>1580</v>
      </c>
      <c r="AE1626" s="4">
        <v>1580</v>
      </c>
      <c r="AF1626" s="6">
        <v>65</v>
      </c>
      <c r="AG1626" s="6">
        <v>73</v>
      </c>
      <c r="AH1626" s="7">
        <v>0.6791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>
        <v>21</v>
      </c>
      <c r="AQ1626" s="8">
        <v>272.79</v>
      </c>
      <c r="AR1626" s="4"/>
      <c r="AS1626" s="8"/>
      <c r="AT1626" s="7"/>
      <c r="AU1626" s="7"/>
      <c r="AV1626" s="4">
        <v>21</v>
      </c>
      <c r="AW1626" s="8">
        <v>272.79</v>
      </c>
      <c r="AX1626" s="4"/>
      <c r="AY1626" s="8"/>
      <c r="AZ1626" s="7"/>
      <c r="BA1626" s="7"/>
      <c r="BB1626" s="7">
        <v>1</v>
      </c>
      <c r="BC1626" s="4">
        <v>21</v>
      </c>
      <c r="BD1626" s="8">
        <v>272.79</v>
      </c>
      <c r="BE1626" s="4"/>
      <c r="BF1626" s="8"/>
      <c r="BG1626" s="7"/>
      <c r="BH1626" s="7"/>
      <c r="BI1626" s="7">
        <v>1</v>
      </c>
      <c r="BJ1626" s="4">
        <v>1956</v>
      </c>
      <c r="BK1626" s="8">
        <v>26531.07</v>
      </c>
      <c r="BL1626" s="2" t="s">
        <v>5524</v>
      </c>
      <c r="BM1626" s="7">
        <v>0.0107</v>
      </c>
      <c r="BN1626" s="7">
        <v>0.0103</v>
      </c>
      <c r="BO1626" s="4">
        <v>21</v>
      </c>
      <c r="BP1626" s="8">
        <v>272.79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4201</v>
      </c>
      <c r="BX1626" s="2" t="s">
        <v>5525</v>
      </c>
      <c r="BY1626" s="2" t="s">
        <v>113</v>
      </c>
      <c r="BZ1626" s="2" t="s">
        <v>100</v>
      </c>
    </row>
    <row r="1627">
      <c r="A1627" s="2" t="s">
        <v>5526</v>
      </c>
      <c r="B1627" s="2" t="s">
        <v>5053</v>
      </c>
      <c r="C1627" s="2" t="s">
        <v>1867</v>
      </c>
      <c r="D1627" s="2" t="s">
        <v>5054</v>
      </c>
      <c r="E1627" s="2" t="s">
        <v>5055</v>
      </c>
      <c r="F1627" s="2" t="s">
        <v>1933</v>
      </c>
      <c r="G1627" s="2" t="s">
        <v>1221</v>
      </c>
      <c r="H1627" s="2" t="s">
        <v>1934</v>
      </c>
      <c r="I1627" s="2" t="s">
        <v>5527</v>
      </c>
      <c r="J1627" s="2" t="s">
        <v>5060</v>
      </c>
      <c r="K1627" s="2" t="s">
        <v>878</v>
      </c>
      <c r="L1627" s="3">
        <v>14.52</v>
      </c>
      <c r="M1627" s="3">
        <v>15.25</v>
      </c>
      <c r="N1627" s="3">
        <v>32.99</v>
      </c>
      <c r="O1627" s="2" t="s">
        <v>97</v>
      </c>
      <c r="P1627" s="2" t="s">
        <v>119</v>
      </c>
      <c r="Q1627" s="2" t="s">
        <v>99</v>
      </c>
      <c r="R1627" s="2" t="s">
        <v>100</v>
      </c>
      <c r="S1627" s="2" t="s">
        <v>1964</v>
      </c>
      <c r="T1627" s="2" t="s">
        <v>218</v>
      </c>
      <c r="U1627" s="2" t="s">
        <v>1847</v>
      </c>
      <c r="V1627" s="2" t="s">
        <v>256</v>
      </c>
      <c r="W1627" s="2" t="s">
        <v>104</v>
      </c>
      <c r="X1627" s="2" t="s">
        <v>378</v>
      </c>
      <c r="Y1627" s="2" t="s">
        <v>5528</v>
      </c>
      <c r="Z1627" s="4">
        <v>374</v>
      </c>
      <c r="AA1627" s="4">
        <f>=ROUNDDOWN(17.8095238095238,0)</f>
      </c>
      <c r="AB1627" s="5">
        <v>21</v>
      </c>
      <c r="AC1627" s="2" t="s">
        <v>107</v>
      </c>
      <c r="AD1627" s="4">
        <v>580</v>
      </c>
      <c r="AE1627" s="4">
        <v>580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>
        <v>2</v>
      </c>
      <c r="AQ1627" s="8">
        <v>28.86</v>
      </c>
      <c r="AR1627" s="4"/>
      <c r="AS1627" s="8"/>
      <c r="AT1627" s="7"/>
      <c r="AU1627" s="7"/>
      <c r="AV1627" s="4">
        <v>2</v>
      </c>
      <c r="AW1627" s="8">
        <v>28.86</v>
      </c>
      <c r="AX1627" s="4"/>
      <c r="AY1627" s="8"/>
      <c r="AZ1627" s="7"/>
      <c r="BA1627" s="7"/>
      <c r="BB1627" s="7">
        <v>1</v>
      </c>
      <c r="BC1627" s="4">
        <v>2</v>
      </c>
      <c r="BD1627" s="8">
        <v>28.86</v>
      </c>
      <c r="BE1627" s="4"/>
      <c r="BF1627" s="8"/>
      <c r="BG1627" s="7"/>
      <c r="BH1627" s="7"/>
      <c r="BI1627" s="7">
        <v>1</v>
      </c>
      <c r="BJ1627" s="4">
        <v>499</v>
      </c>
      <c r="BK1627" s="8">
        <v>7390.81</v>
      </c>
      <c r="BL1627" s="2" t="s">
        <v>5529</v>
      </c>
      <c r="BM1627" s="7">
        <v>0.004</v>
      </c>
      <c r="BN1627" s="7">
        <v>0.0039</v>
      </c>
      <c r="BO1627" s="4">
        <v>2</v>
      </c>
      <c r="BP1627" s="8">
        <v>28.86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5530</v>
      </c>
      <c r="BX1627" s="2" t="s">
        <v>5531</v>
      </c>
      <c r="BY1627" s="2" t="s">
        <v>113</v>
      </c>
      <c r="BZ1627" s="2" t="s">
        <v>100</v>
      </c>
    </row>
    <row r="1628">
      <c r="A1628" s="2" t="s">
        <v>5532</v>
      </c>
      <c r="B1628" s="2" t="s">
        <v>5053</v>
      </c>
      <c r="C1628" s="2" t="s">
        <v>1867</v>
      </c>
      <c r="D1628" s="2" t="s">
        <v>5054</v>
      </c>
      <c r="E1628" s="2" t="s">
        <v>5055</v>
      </c>
      <c r="F1628" s="2" t="s">
        <v>2050</v>
      </c>
      <c r="G1628" s="2" t="s">
        <v>2051</v>
      </c>
      <c r="H1628" s="2" t="s">
        <v>2052</v>
      </c>
      <c r="I1628" s="2" t="s">
        <v>5533</v>
      </c>
      <c r="J1628" s="2" t="s">
        <v>5060</v>
      </c>
      <c r="K1628" s="2" t="s">
        <v>2104</v>
      </c>
      <c r="L1628" s="3">
        <v>13.2</v>
      </c>
      <c r="M1628" s="3">
        <v>13.86</v>
      </c>
      <c r="N1628" s="3">
        <v>29.99</v>
      </c>
      <c r="O1628" s="2" t="s">
        <v>97</v>
      </c>
      <c r="P1628" s="2" t="s">
        <v>225</v>
      </c>
      <c r="Q1628" s="2" t="s">
        <v>99</v>
      </c>
      <c r="R1628" s="2" t="s">
        <v>100</v>
      </c>
      <c r="S1628" s="2" t="s">
        <v>2053</v>
      </c>
      <c r="T1628" s="2" t="s">
        <v>100</v>
      </c>
      <c r="U1628" s="2" t="s">
        <v>1847</v>
      </c>
      <c r="V1628" s="2" t="s">
        <v>2661</v>
      </c>
      <c r="W1628" s="2" t="s">
        <v>183</v>
      </c>
      <c r="X1628" s="2" t="s">
        <v>561</v>
      </c>
      <c r="Y1628" s="2" t="s">
        <v>3956</v>
      </c>
      <c r="Z1628" s="4">
        <v>142</v>
      </c>
      <c r="AA1628" s="4">
        <f>=ROUNDDOWN(4.58064516129032,0)</f>
      </c>
      <c r="AB1628" s="5">
        <v>31</v>
      </c>
      <c r="AC1628" s="2" t="s">
        <v>107</v>
      </c>
      <c r="AD1628" s="4">
        <v>60</v>
      </c>
      <c r="AE1628" s="4">
        <v>800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558</v>
      </c>
      <c r="BK1628" s="8">
        <v>8390.29</v>
      </c>
      <c r="BL1628" s="2" t="s">
        <v>5534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207</v>
      </c>
      <c r="BV1628" s="2" t="s">
        <v>97</v>
      </c>
      <c r="BW1628" s="2" t="s">
        <v>100</v>
      </c>
      <c r="BX1628" s="2" t="s">
        <v>100</v>
      </c>
      <c r="BY1628" s="2" t="s">
        <v>113</v>
      </c>
      <c r="BZ1628" s="2" t="s">
        <v>245</v>
      </c>
    </row>
    <row r="1629">
      <c r="A1629" s="2" t="s">
        <v>5535</v>
      </c>
      <c r="B1629" s="2" t="s">
        <v>5053</v>
      </c>
      <c r="C1629" s="2" t="s">
        <v>1867</v>
      </c>
      <c r="D1629" s="2" t="s">
        <v>5054</v>
      </c>
      <c r="E1629" s="2" t="s">
        <v>5055</v>
      </c>
      <c r="F1629" s="2" t="s">
        <v>2050</v>
      </c>
      <c r="G1629" s="2" t="s">
        <v>2051</v>
      </c>
      <c r="H1629" s="2" t="s">
        <v>2052</v>
      </c>
      <c r="I1629" s="2" t="s">
        <v>5533</v>
      </c>
      <c r="J1629" s="2" t="s">
        <v>5060</v>
      </c>
      <c r="K1629" s="2" t="s">
        <v>5536</v>
      </c>
      <c r="L1629" s="3">
        <v>13.2</v>
      </c>
      <c r="M1629" s="3">
        <v>13.86</v>
      </c>
      <c r="N1629" s="3">
        <v>29.99</v>
      </c>
      <c r="O1629" s="2" t="s">
        <v>97</v>
      </c>
      <c r="P1629" s="2" t="s">
        <v>225</v>
      </c>
      <c r="Q1629" s="2" t="s">
        <v>99</v>
      </c>
      <c r="R1629" s="2" t="s">
        <v>100</v>
      </c>
      <c r="S1629" s="2" t="s">
        <v>2177</v>
      </c>
      <c r="T1629" s="2" t="s">
        <v>100</v>
      </c>
      <c r="U1629" s="2" t="s">
        <v>1847</v>
      </c>
      <c r="V1629" s="2" t="s">
        <v>2661</v>
      </c>
      <c r="W1629" s="2" t="s">
        <v>183</v>
      </c>
      <c r="X1629" s="2" t="s">
        <v>561</v>
      </c>
      <c r="Y1629" s="2" t="s">
        <v>3956</v>
      </c>
      <c r="Z1629" s="4">
        <v>557</v>
      </c>
      <c r="AA1629" s="4">
        <f>=ROUNDDOWN(9.60344827586207,0)</f>
      </c>
      <c r="AB1629" s="5">
        <v>58</v>
      </c>
      <c r="AC1629" s="2" t="s">
        <v>3031</v>
      </c>
      <c r="AD1629" s="4">
        <v>1500</v>
      </c>
      <c r="AE1629" s="4">
        <v>1500</v>
      </c>
      <c r="AF1629" s="6">
        <v>65</v>
      </c>
      <c r="AG1629" s="6"/>
      <c r="AH1629" s="7">
        <v>0.6952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1027</v>
      </c>
      <c r="BK1629" s="8">
        <v>15532.62</v>
      </c>
      <c r="BL1629" s="2" t="s">
        <v>5537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207</v>
      </c>
      <c r="BV1629" s="2" t="s">
        <v>97</v>
      </c>
      <c r="BW1629" s="2" t="s">
        <v>100</v>
      </c>
      <c r="BX1629" s="2" t="s">
        <v>100</v>
      </c>
      <c r="BY1629" s="2" t="s">
        <v>113</v>
      </c>
      <c r="BZ1629" s="2" t="s">
        <v>245</v>
      </c>
    </row>
    <row r="1630">
      <c r="A1630" s="2" t="s">
        <v>5538</v>
      </c>
      <c r="B1630" s="2" t="s">
        <v>5053</v>
      </c>
      <c r="C1630" s="2" t="s">
        <v>3178</v>
      </c>
      <c r="D1630" s="2" t="s">
        <v>5316</v>
      </c>
      <c r="E1630" s="2" t="s">
        <v>5317</v>
      </c>
      <c r="F1630" s="2" t="s">
        <v>5539</v>
      </c>
      <c r="G1630" s="2" t="s">
        <v>5539</v>
      </c>
      <c r="H1630" s="2" t="s">
        <v>5539</v>
      </c>
      <c r="I1630" s="2" t="s">
        <v>5317</v>
      </c>
      <c r="J1630" s="2" t="s">
        <v>5322</v>
      </c>
      <c r="K1630" s="2" t="s">
        <v>1614</v>
      </c>
      <c r="L1630" s="3">
        <v>13.8</v>
      </c>
      <c r="M1630" s="3">
        <v>14.49</v>
      </c>
      <c r="N1630" s="3">
        <v>29.99</v>
      </c>
      <c r="O1630" s="2" t="s">
        <v>97</v>
      </c>
      <c r="P1630" s="2" t="s">
        <v>98</v>
      </c>
      <c r="Q1630" s="2" t="s">
        <v>99</v>
      </c>
      <c r="R1630" s="2" t="s">
        <v>100</v>
      </c>
      <c r="S1630" s="2" t="s">
        <v>5540</v>
      </c>
      <c r="T1630" s="2" t="s">
        <v>100</v>
      </c>
      <c r="U1630" s="2" t="s">
        <v>100</v>
      </c>
      <c r="V1630" s="2" t="s">
        <v>146</v>
      </c>
      <c r="W1630" s="2" t="s">
        <v>5541</v>
      </c>
      <c r="X1630" s="2" t="s">
        <v>100</v>
      </c>
      <c r="Y1630" s="2" t="s">
        <v>240</v>
      </c>
      <c r="Z1630" s="4">
        <v>1070</v>
      </c>
      <c r="AA1630" s="4">
        <f>=ROUNDDOWN(33.4375,0)</f>
      </c>
      <c r="AB1630" s="5">
        <v>32</v>
      </c>
      <c r="AC1630" s="2" t="s">
        <v>241</v>
      </c>
      <c r="AD1630" s="4">
        <v>330</v>
      </c>
      <c r="AE1630" s="4">
        <v>1550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>
        <v>1</v>
      </c>
      <c r="AQ1630" s="8">
        <v>14.43</v>
      </c>
      <c r="AR1630" s="4"/>
      <c r="AS1630" s="8"/>
      <c r="AT1630" s="7"/>
      <c r="AU1630" s="7"/>
      <c r="AV1630" s="4">
        <v>6</v>
      </c>
      <c r="AW1630" s="8">
        <v>164.58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>
        <v>0.0877</v>
      </c>
      <c r="BC1630" s="4">
        <v>11</v>
      </c>
      <c r="BD1630" s="8">
        <v>262.74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0.6264</v>
      </c>
      <c r="BJ1630" s="4">
        <v>806</v>
      </c>
      <c r="BK1630" s="8">
        <v>11913.51</v>
      </c>
      <c r="BL1630" s="2" t="s">
        <v>5542</v>
      </c>
      <c r="BM1630" s="7">
        <v>0.0012</v>
      </c>
      <c r="BN1630" s="7">
        <v>0.0012</v>
      </c>
      <c r="BO1630" s="4">
        <v>1</v>
      </c>
      <c r="BP1630" s="8">
        <v>14.43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5333</v>
      </c>
      <c r="BX1630" s="2" t="s">
        <v>5543</v>
      </c>
      <c r="BY1630" s="2" t="s">
        <v>113</v>
      </c>
      <c r="BZ1630" s="2" t="s">
        <v>100</v>
      </c>
    </row>
    <row r="1631">
      <c r="A1631" s="2" t="s">
        <v>5544</v>
      </c>
      <c r="B1631" s="2" t="s">
        <v>5053</v>
      </c>
      <c r="C1631" s="2" t="s">
        <v>3178</v>
      </c>
      <c r="D1631" s="2" t="s">
        <v>5316</v>
      </c>
      <c r="E1631" s="2" t="s">
        <v>5317</v>
      </c>
      <c r="F1631" s="2" t="s">
        <v>5539</v>
      </c>
      <c r="G1631" s="2" t="s">
        <v>5539</v>
      </c>
      <c r="H1631" s="2" t="s">
        <v>5539</v>
      </c>
      <c r="I1631" s="2" t="s">
        <v>5317</v>
      </c>
      <c r="J1631" s="2" t="s">
        <v>5337</v>
      </c>
      <c r="K1631" s="2" t="s">
        <v>1614</v>
      </c>
      <c r="L1631" s="3">
        <v>21.6</v>
      </c>
      <c r="M1631" s="3">
        <v>22.68</v>
      </c>
      <c r="N1631" s="3">
        <v>44.99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5540</v>
      </c>
      <c r="T1631" s="2" t="s">
        <v>100</v>
      </c>
      <c r="U1631" s="2" t="s">
        <v>100</v>
      </c>
      <c r="V1631" s="2" t="s">
        <v>146</v>
      </c>
      <c r="W1631" s="2" t="s">
        <v>5541</v>
      </c>
      <c r="X1631" s="2" t="s">
        <v>100</v>
      </c>
      <c r="Y1631" s="2" t="s">
        <v>240</v>
      </c>
      <c r="Z1631" s="4">
        <v>835</v>
      </c>
      <c r="AA1631" s="4">
        <f>=ROUNDDOWN(33.4,0)</f>
      </c>
      <c r="AB1631" s="5">
        <v>25</v>
      </c>
      <c r="AC1631" s="2" t="s">
        <v>241</v>
      </c>
      <c r="AD1631" s="4">
        <v>290</v>
      </c>
      <c r="AE1631" s="4">
        <v>420</v>
      </c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2</v>
      </c>
      <c r="AQ1631" s="8">
        <v>46.2</v>
      </c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>
        <v>0.2807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 t="s">
        <v>100</v>
      </c>
      <c r="BJ1631" s="4">
        <v>583</v>
      </c>
      <c r="BK1631" s="8">
        <v>13517.94</v>
      </c>
      <c r="BL1631" s="2" t="s">
        <v>5545</v>
      </c>
      <c r="BM1631" s="7">
        <v>0.0034</v>
      </c>
      <c r="BN1631" s="7">
        <v>0.0034</v>
      </c>
      <c r="BO1631" s="4">
        <v>2</v>
      </c>
      <c r="BP1631" s="8">
        <v>46.2</v>
      </c>
      <c r="BQ1631" s="4"/>
      <c r="BR1631" s="8"/>
      <c r="BS1631" s="7"/>
      <c r="BT1631" s="7"/>
      <c r="BU1631" s="2" t="s">
        <v>109</v>
      </c>
      <c r="BV1631" s="2" t="s">
        <v>110</v>
      </c>
      <c r="BW1631" s="2" t="s">
        <v>5333</v>
      </c>
      <c r="BX1631" s="2" t="s">
        <v>2250</v>
      </c>
      <c r="BY1631" s="2" t="s">
        <v>113</v>
      </c>
      <c r="BZ1631" s="2" t="s">
        <v>100</v>
      </c>
    </row>
    <row r="1632">
      <c r="A1632" s="2" t="s">
        <v>5546</v>
      </c>
      <c r="B1632" s="2" t="s">
        <v>5053</v>
      </c>
      <c r="C1632" s="2" t="s">
        <v>3178</v>
      </c>
      <c r="D1632" s="2" t="s">
        <v>5316</v>
      </c>
      <c r="E1632" s="2" t="s">
        <v>5317</v>
      </c>
      <c r="F1632" s="2" t="s">
        <v>5539</v>
      </c>
      <c r="G1632" s="2" t="s">
        <v>5539</v>
      </c>
      <c r="H1632" s="2" t="s">
        <v>5539</v>
      </c>
      <c r="I1632" s="2" t="s">
        <v>5317</v>
      </c>
      <c r="J1632" s="2" t="s">
        <v>5328</v>
      </c>
      <c r="K1632" s="2" t="s">
        <v>1614</v>
      </c>
      <c r="L1632" s="3">
        <v>31.2</v>
      </c>
      <c r="M1632" s="3">
        <v>32.76</v>
      </c>
      <c r="N1632" s="3">
        <v>64.99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5540</v>
      </c>
      <c r="T1632" s="2" t="s">
        <v>100</v>
      </c>
      <c r="U1632" s="2" t="s">
        <v>100</v>
      </c>
      <c r="V1632" s="2" t="s">
        <v>146</v>
      </c>
      <c r="W1632" s="2" t="s">
        <v>5541</v>
      </c>
      <c r="X1632" s="2" t="s">
        <v>100</v>
      </c>
      <c r="Y1632" s="2" t="s">
        <v>240</v>
      </c>
      <c r="Z1632" s="4">
        <v>528</v>
      </c>
      <c r="AA1632" s="4">
        <f>=ROUNDDOWN(31.0588235294118,0)</f>
      </c>
      <c r="AB1632" s="5">
        <v>17</v>
      </c>
      <c r="AC1632" s="2" t="s">
        <v>241</v>
      </c>
      <c r="AD1632" s="4">
        <v>60</v>
      </c>
      <c r="AE1632" s="4">
        <v>1170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>
        <v>3</v>
      </c>
      <c r="AQ1632" s="8">
        <v>103.95</v>
      </c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>
        <v>0.6316</v>
      </c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 t="s">
        <v>100</v>
      </c>
      <c r="BJ1632" s="4">
        <v>425</v>
      </c>
      <c r="BK1632" s="8">
        <v>14689.51</v>
      </c>
      <c r="BL1632" s="2" t="s">
        <v>5547</v>
      </c>
      <c r="BM1632" s="7">
        <v>0.0071</v>
      </c>
      <c r="BN1632" s="7">
        <v>0.0071</v>
      </c>
      <c r="BO1632" s="4">
        <v>3</v>
      </c>
      <c r="BP1632" s="8">
        <v>103.95</v>
      </c>
      <c r="BQ1632" s="4"/>
      <c r="BR1632" s="8"/>
      <c r="BS1632" s="7"/>
      <c r="BT1632" s="7"/>
      <c r="BU1632" s="2" t="s">
        <v>109</v>
      </c>
      <c r="BV1632" s="2" t="s">
        <v>110</v>
      </c>
      <c r="BW1632" s="2" t="s">
        <v>5333</v>
      </c>
      <c r="BX1632" s="2" t="s">
        <v>5548</v>
      </c>
      <c r="BY1632" s="2" t="s">
        <v>113</v>
      </c>
      <c r="BZ1632" s="2" t="s">
        <v>100</v>
      </c>
    </row>
    <row r="1633">
      <c r="A1633" s="2" t="s">
        <v>5549</v>
      </c>
      <c r="B1633" s="2" t="s">
        <v>5053</v>
      </c>
      <c r="C1633" s="2" t="s">
        <v>3178</v>
      </c>
      <c r="D1633" s="2" t="s">
        <v>5316</v>
      </c>
      <c r="E1633" s="2" t="s">
        <v>5317</v>
      </c>
      <c r="F1633" s="2" t="s">
        <v>5539</v>
      </c>
      <c r="G1633" s="2" t="s">
        <v>5539</v>
      </c>
      <c r="H1633" s="2" t="s">
        <v>5539</v>
      </c>
      <c r="I1633" s="2" t="s">
        <v>5317</v>
      </c>
      <c r="J1633" s="2" t="s">
        <v>5337</v>
      </c>
      <c r="K1633" s="2" t="s">
        <v>198</v>
      </c>
      <c r="L1633" s="3">
        <v>21.6</v>
      </c>
      <c r="M1633" s="3">
        <v>22.68</v>
      </c>
      <c r="N1633" s="3">
        <v>44.99</v>
      </c>
      <c r="O1633" s="2" t="s">
        <v>97</v>
      </c>
      <c r="P1633" s="2" t="s">
        <v>372</v>
      </c>
      <c r="Q1633" s="2" t="s">
        <v>99</v>
      </c>
      <c r="R1633" s="2" t="s">
        <v>100</v>
      </c>
      <c r="S1633" s="2" t="s">
        <v>5550</v>
      </c>
      <c r="T1633" s="2" t="s">
        <v>100</v>
      </c>
      <c r="U1633" s="2" t="s">
        <v>100</v>
      </c>
      <c r="V1633" s="2" t="s">
        <v>146</v>
      </c>
      <c r="W1633" s="2" t="s">
        <v>5541</v>
      </c>
      <c r="X1633" s="2" t="s">
        <v>100</v>
      </c>
      <c r="Y1633" s="2" t="s">
        <v>240</v>
      </c>
      <c r="Z1633" s="4">
        <v>905</v>
      </c>
      <c r="AA1633" s="4">
        <f>=ROUNDDOWN(29.1935483870968,0)</f>
      </c>
      <c r="AB1633" s="5">
        <v>31</v>
      </c>
      <c r="AC1633" s="2" t="s">
        <v>241</v>
      </c>
      <c r="AD1633" s="4">
        <v>320</v>
      </c>
      <c r="AE1633" s="4">
        <v>500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>
        <v>2</v>
      </c>
      <c r="AQ1633" s="8">
        <v>46.2</v>
      </c>
      <c r="AR1633" s="4"/>
      <c r="AS1633" s="8"/>
      <c r="AT1633" s="7"/>
      <c r="AU1633" s="7"/>
      <c r="AV1633" s="4">
        <v>3</v>
      </c>
      <c r="AW1633" s="8">
        <v>60.63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>
        <v>0.762</v>
      </c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0.2308</v>
      </c>
      <c r="BJ1633" s="4">
        <v>871</v>
      </c>
      <c r="BK1633" s="8">
        <v>20000.66</v>
      </c>
      <c r="BL1633" s="2" t="s">
        <v>5551</v>
      </c>
      <c r="BM1633" s="7">
        <v>0.0023</v>
      </c>
      <c r="BN1633" s="7">
        <v>0.0023</v>
      </c>
      <c r="BO1633" s="4">
        <v>2</v>
      </c>
      <c r="BP1633" s="8">
        <v>46.2</v>
      </c>
      <c r="BQ1633" s="4"/>
      <c r="BR1633" s="8"/>
      <c r="BS1633" s="7"/>
      <c r="BT1633" s="7"/>
      <c r="BU1633" s="2" t="s">
        <v>109</v>
      </c>
      <c r="BV1633" s="2" t="s">
        <v>110</v>
      </c>
      <c r="BW1633" s="2" t="s">
        <v>5333</v>
      </c>
      <c r="BX1633" s="2" t="s">
        <v>5552</v>
      </c>
      <c r="BY1633" s="2" t="s">
        <v>113</v>
      </c>
      <c r="BZ1633" s="2" t="s">
        <v>100</v>
      </c>
    </row>
    <row r="1634">
      <c r="A1634" s="2" t="s">
        <v>5553</v>
      </c>
      <c r="B1634" s="2" t="s">
        <v>5053</v>
      </c>
      <c r="C1634" s="2" t="s">
        <v>3178</v>
      </c>
      <c r="D1634" s="2" t="s">
        <v>5316</v>
      </c>
      <c r="E1634" s="2" t="s">
        <v>5317</v>
      </c>
      <c r="F1634" s="2" t="s">
        <v>5539</v>
      </c>
      <c r="G1634" s="2" t="s">
        <v>5539</v>
      </c>
      <c r="H1634" s="2" t="s">
        <v>5539</v>
      </c>
      <c r="I1634" s="2" t="s">
        <v>5317</v>
      </c>
      <c r="J1634" s="2" t="s">
        <v>5554</v>
      </c>
      <c r="K1634" s="2" t="s">
        <v>198</v>
      </c>
      <c r="L1634" s="3">
        <v>13.8</v>
      </c>
      <c r="M1634" s="3">
        <v>14.49</v>
      </c>
      <c r="N1634" s="3">
        <v>29.99</v>
      </c>
      <c r="O1634" s="2" t="s">
        <v>97</v>
      </c>
      <c r="P1634" s="2" t="s">
        <v>372</v>
      </c>
      <c r="Q1634" s="2" t="s">
        <v>99</v>
      </c>
      <c r="R1634" s="2" t="s">
        <v>100</v>
      </c>
      <c r="S1634" s="2" t="s">
        <v>5550</v>
      </c>
      <c r="T1634" s="2" t="s">
        <v>100</v>
      </c>
      <c r="U1634" s="2" t="s">
        <v>100</v>
      </c>
      <c r="V1634" s="2" t="s">
        <v>146</v>
      </c>
      <c r="W1634" s="2" t="s">
        <v>5541</v>
      </c>
      <c r="X1634" s="2" t="s">
        <v>100</v>
      </c>
      <c r="Y1634" s="2" t="s">
        <v>240</v>
      </c>
      <c r="Z1634" s="4">
        <v>875</v>
      </c>
      <c r="AA1634" s="4">
        <f>=ROUNDDOWN(27.34375,0)</f>
      </c>
      <c r="AB1634" s="5">
        <v>32</v>
      </c>
      <c r="AC1634" s="2" t="s">
        <v>241</v>
      </c>
      <c r="AD1634" s="4">
        <v>410</v>
      </c>
      <c r="AE1634" s="4">
        <v>510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>
        <v>1</v>
      </c>
      <c r="AQ1634" s="8">
        <v>14.43</v>
      </c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>
        <v>0.238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 t="s">
        <v>100</v>
      </c>
      <c r="BJ1634" s="4">
        <v>883</v>
      </c>
      <c r="BK1634" s="8">
        <v>13043.74</v>
      </c>
      <c r="BL1634" s="2" t="s">
        <v>5555</v>
      </c>
      <c r="BM1634" s="7">
        <v>0.0011</v>
      </c>
      <c r="BN1634" s="7">
        <v>0.0011</v>
      </c>
      <c r="BO1634" s="4">
        <v>1</v>
      </c>
      <c r="BP1634" s="8">
        <v>14.43</v>
      </c>
      <c r="BQ1634" s="4"/>
      <c r="BR1634" s="8"/>
      <c r="BS1634" s="7"/>
      <c r="BT1634" s="7"/>
      <c r="BU1634" s="2" t="s">
        <v>109</v>
      </c>
      <c r="BV1634" s="2" t="s">
        <v>110</v>
      </c>
      <c r="BW1634" s="2" t="s">
        <v>5333</v>
      </c>
      <c r="BX1634" s="2" t="s">
        <v>902</v>
      </c>
      <c r="BY1634" s="2" t="s">
        <v>113</v>
      </c>
      <c r="BZ1634" s="2" t="s">
        <v>100</v>
      </c>
    </row>
    <row r="1635">
      <c r="A1635" s="2" t="s">
        <v>5556</v>
      </c>
      <c r="B1635" s="2" t="s">
        <v>5053</v>
      </c>
      <c r="C1635" s="2" t="s">
        <v>3178</v>
      </c>
      <c r="D1635" s="2" t="s">
        <v>5316</v>
      </c>
      <c r="E1635" s="2" t="s">
        <v>5317</v>
      </c>
      <c r="F1635" s="2" t="s">
        <v>5539</v>
      </c>
      <c r="G1635" s="2" t="s">
        <v>5539</v>
      </c>
      <c r="H1635" s="2" t="s">
        <v>5539</v>
      </c>
      <c r="I1635" s="2" t="s">
        <v>5317</v>
      </c>
      <c r="J1635" s="2" t="s">
        <v>5322</v>
      </c>
      <c r="K1635" s="2" t="s">
        <v>629</v>
      </c>
      <c r="L1635" s="3">
        <v>13.8</v>
      </c>
      <c r="M1635" s="3">
        <v>14.49</v>
      </c>
      <c r="N1635" s="3">
        <v>29.99</v>
      </c>
      <c r="O1635" s="2" t="s">
        <v>97</v>
      </c>
      <c r="P1635" s="2" t="s">
        <v>372</v>
      </c>
      <c r="Q1635" s="2" t="s">
        <v>99</v>
      </c>
      <c r="R1635" s="2" t="s">
        <v>100</v>
      </c>
      <c r="S1635" s="2" t="s">
        <v>5557</v>
      </c>
      <c r="T1635" s="2" t="s">
        <v>100</v>
      </c>
      <c r="U1635" s="2" t="s">
        <v>1847</v>
      </c>
      <c r="V1635" s="2" t="s">
        <v>146</v>
      </c>
      <c r="W1635" s="2" t="s">
        <v>673</v>
      </c>
      <c r="X1635" s="2" t="s">
        <v>100</v>
      </c>
      <c r="Y1635" s="2" t="s">
        <v>5558</v>
      </c>
      <c r="Z1635" s="4">
        <v>1361</v>
      </c>
      <c r="AA1635" s="4">
        <f>=ROUNDDOWN(35.8157894736842,0)</f>
      </c>
      <c r="AB1635" s="5">
        <v>38</v>
      </c>
      <c r="AC1635" s="2" t="s">
        <v>241</v>
      </c>
      <c r="AD1635" s="4">
        <v>300</v>
      </c>
      <c r="AE1635" s="4">
        <v>300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>
        <v>1</v>
      </c>
      <c r="AQ1635" s="8">
        <v>14.43</v>
      </c>
      <c r="AR1635" s="4"/>
      <c r="AS1635" s="8"/>
      <c r="AT1635" s="7"/>
      <c r="AU1635" s="7"/>
      <c r="AV1635" s="4">
        <v>2</v>
      </c>
      <c r="AW1635" s="8">
        <v>37.53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>
        <v>0.3845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0.1428</v>
      </c>
      <c r="BJ1635" s="4">
        <v>1145</v>
      </c>
      <c r="BK1635" s="8">
        <v>17075.38</v>
      </c>
      <c r="BL1635" s="2" t="s">
        <v>5559</v>
      </c>
      <c r="BM1635" s="7">
        <v>0.0009</v>
      </c>
      <c r="BN1635" s="7">
        <v>0.0008</v>
      </c>
      <c r="BO1635" s="4">
        <v>1</v>
      </c>
      <c r="BP1635" s="8">
        <v>14.43</v>
      </c>
      <c r="BQ1635" s="4"/>
      <c r="BR1635" s="8"/>
      <c r="BS1635" s="7"/>
      <c r="BT1635" s="7"/>
      <c r="BU1635" s="2" t="s">
        <v>109</v>
      </c>
      <c r="BV1635" s="2" t="s">
        <v>110</v>
      </c>
      <c r="BW1635" s="2" t="s">
        <v>709</v>
      </c>
      <c r="BX1635" s="2" t="s">
        <v>2286</v>
      </c>
      <c r="BY1635" s="2" t="s">
        <v>113</v>
      </c>
      <c r="BZ1635" s="2" t="s">
        <v>100</v>
      </c>
    </row>
    <row r="1636">
      <c r="A1636" s="2" t="s">
        <v>5560</v>
      </c>
      <c r="B1636" s="2" t="s">
        <v>5053</v>
      </c>
      <c r="C1636" s="2" t="s">
        <v>3178</v>
      </c>
      <c r="D1636" s="2" t="s">
        <v>5316</v>
      </c>
      <c r="E1636" s="2" t="s">
        <v>5317</v>
      </c>
      <c r="F1636" s="2" t="s">
        <v>5539</v>
      </c>
      <c r="G1636" s="2" t="s">
        <v>5539</v>
      </c>
      <c r="H1636" s="2" t="s">
        <v>5539</v>
      </c>
      <c r="I1636" s="2" t="s">
        <v>5317</v>
      </c>
      <c r="J1636" s="2" t="s">
        <v>5337</v>
      </c>
      <c r="K1636" s="2" t="s">
        <v>629</v>
      </c>
      <c r="L1636" s="3">
        <v>21.6</v>
      </c>
      <c r="M1636" s="3">
        <v>22.68</v>
      </c>
      <c r="N1636" s="3">
        <v>44.99</v>
      </c>
      <c r="O1636" s="2" t="s">
        <v>97</v>
      </c>
      <c r="P1636" s="2" t="s">
        <v>372</v>
      </c>
      <c r="Q1636" s="2" t="s">
        <v>99</v>
      </c>
      <c r="R1636" s="2" t="s">
        <v>100</v>
      </c>
      <c r="S1636" s="2" t="s">
        <v>5557</v>
      </c>
      <c r="T1636" s="2" t="s">
        <v>100</v>
      </c>
      <c r="U1636" s="2" t="s">
        <v>1847</v>
      </c>
      <c r="V1636" s="2" t="s">
        <v>146</v>
      </c>
      <c r="W1636" s="2" t="s">
        <v>673</v>
      </c>
      <c r="X1636" s="2" t="s">
        <v>100</v>
      </c>
      <c r="Y1636" s="2" t="s">
        <v>5558</v>
      </c>
      <c r="Z1636" s="4">
        <v>1551</v>
      </c>
      <c r="AA1636" s="4">
        <f>=ROUNDDOWN(57.4444444444444,0)</f>
      </c>
      <c r="AB1636" s="5">
        <v>27</v>
      </c>
      <c r="AC1636" s="2" t="s">
        <v>241</v>
      </c>
      <c r="AD1636" s="4">
        <v>380</v>
      </c>
      <c r="AE1636" s="4">
        <v>380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>
        <v>1</v>
      </c>
      <c r="AQ1636" s="8">
        <v>23.1</v>
      </c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>
        <v>0.6155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 t="s">
        <v>100</v>
      </c>
      <c r="BJ1636" s="4">
        <v>757</v>
      </c>
      <c r="BK1636" s="8">
        <v>17634.53</v>
      </c>
      <c r="BL1636" s="2" t="s">
        <v>5561</v>
      </c>
      <c r="BM1636" s="7">
        <v>0.0013</v>
      </c>
      <c r="BN1636" s="7">
        <v>0.0013</v>
      </c>
      <c r="BO1636" s="4">
        <v>1</v>
      </c>
      <c r="BP1636" s="8">
        <v>23.1</v>
      </c>
      <c r="BQ1636" s="4"/>
      <c r="BR1636" s="8"/>
      <c r="BS1636" s="7"/>
      <c r="BT1636" s="7"/>
      <c r="BU1636" s="2" t="s">
        <v>109</v>
      </c>
      <c r="BV1636" s="2" t="s">
        <v>110</v>
      </c>
      <c r="BW1636" s="2" t="s">
        <v>709</v>
      </c>
      <c r="BX1636" s="2" t="s">
        <v>2286</v>
      </c>
      <c r="BY1636" s="2" t="s">
        <v>113</v>
      </c>
      <c r="BZ1636" s="2" t="s">
        <v>100</v>
      </c>
    </row>
    <row r="1637">
      <c r="A1637" s="2" t="s">
        <v>5562</v>
      </c>
      <c r="B1637" s="2" t="s">
        <v>5053</v>
      </c>
      <c r="C1637" s="2" t="s">
        <v>3178</v>
      </c>
      <c r="D1637" s="2" t="s">
        <v>5316</v>
      </c>
      <c r="E1637" s="2" t="s">
        <v>5317</v>
      </c>
      <c r="F1637" s="2" t="s">
        <v>5539</v>
      </c>
      <c r="G1637" s="2" t="s">
        <v>5539</v>
      </c>
      <c r="H1637" s="2" t="s">
        <v>5539</v>
      </c>
      <c r="I1637" s="2" t="s">
        <v>5317</v>
      </c>
      <c r="J1637" s="2" t="s">
        <v>5554</v>
      </c>
      <c r="K1637" s="2" t="s">
        <v>629</v>
      </c>
      <c r="L1637" s="3">
        <v>13.8</v>
      </c>
      <c r="M1637" s="3">
        <v>14.49</v>
      </c>
      <c r="N1637" s="3">
        <v>29.99</v>
      </c>
      <c r="O1637" s="2" t="s">
        <v>97</v>
      </c>
      <c r="P1637" s="2" t="s">
        <v>372</v>
      </c>
      <c r="Q1637" s="2" t="s">
        <v>99</v>
      </c>
      <c r="R1637" s="2" t="s">
        <v>100</v>
      </c>
      <c r="S1637" s="2" t="s">
        <v>5557</v>
      </c>
      <c r="T1637" s="2" t="s">
        <v>100</v>
      </c>
      <c r="U1637" s="2" t="s">
        <v>1847</v>
      </c>
      <c r="V1637" s="2" t="s">
        <v>146</v>
      </c>
      <c r="W1637" s="2" t="s">
        <v>673</v>
      </c>
      <c r="X1637" s="2" t="s">
        <v>100</v>
      </c>
      <c r="Y1637" s="2" t="s">
        <v>5558</v>
      </c>
      <c r="Z1637" s="4">
        <v>1631</v>
      </c>
      <c r="AA1637" s="4">
        <f>=ROUNDDOWN(62.7307692307692,0)</f>
      </c>
      <c r="AB1637" s="5">
        <v>26</v>
      </c>
      <c r="AC1637" s="2" t="s">
        <v>356</v>
      </c>
      <c r="AD1637" s="4">
        <v>580</v>
      </c>
      <c r="AE1637" s="4">
        <v>580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 t="s">
        <v>100</v>
      </c>
      <c r="BJ1637" s="4">
        <v>751</v>
      </c>
      <c r="BK1637" s="8">
        <v>11236.87</v>
      </c>
      <c r="BL1637" s="2" t="s">
        <v>5563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709</v>
      </c>
      <c r="BX1637" s="2" t="s">
        <v>5564</v>
      </c>
      <c r="BY1637" s="2" t="s">
        <v>113</v>
      </c>
      <c r="BZ1637" s="2" t="s">
        <v>245</v>
      </c>
    </row>
    <row r="1638">
      <c r="A1638" s="2" t="s">
        <v>5565</v>
      </c>
      <c r="B1638" s="2" t="s">
        <v>5053</v>
      </c>
      <c r="C1638" s="2" t="s">
        <v>3178</v>
      </c>
      <c r="D1638" s="2" t="s">
        <v>5316</v>
      </c>
      <c r="E1638" s="2" t="s">
        <v>5317</v>
      </c>
      <c r="F1638" s="2" t="s">
        <v>5539</v>
      </c>
      <c r="G1638" s="2" t="s">
        <v>5539</v>
      </c>
      <c r="H1638" s="2" t="s">
        <v>5539</v>
      </c>
      <c r="I1638" s="2" t="s">
        <v>5317</v>
      </c>
      <c r="J1638" s="2" t="s">
        <v>5322</v>
      </c>
      <c r="K1638" s="2" t="s">
        <v>118</v>
      </c>
      <c r="L1638" s="3">
        <v>13.8</v>
      </c>
      <c r="M1638" s="3">
        <v>14.49</v>
      </c>
      <c r="N1638" s="3">
        <v>29.99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5566</v>
      </c>
      <c r="T1638" s="2" t="s">
        <v>100</v>
      </c>
      <c r="U1638" s="2" t="s">
        <v>1847</v>
      </c>
      <c r="V1638" s="2" t="s">
        <v>146</v>
      </c>
      <c r="W1638" s="2" t="s">
        <v>673</v>
      </c>
      <c r="X1638" s="2" t="s">
        <v>100</v>
      </c>
      <c r="Y1638" s="2" t="s">
        <v>5567</v>
      </c>
      <c r="Z1638" s="4">
        <v>898</v>
      </c>
      <c r="AA1638" s="4">
        <f>=ROUNDDOWN(33.2592592592593,0)</f>
      </c>
      <c r="AB1638" s="5">
        <v>27</v>
      </c>
      <c r="AC1638" s="2" t="s">
        <v>241</v>
      </c>
      <c r="AD1638" s="4">
        <v>130</v>
      </c>
      <c r="AE1638" s="4">
        <v>890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 t="s">
        <v>100</v>
      </c>
      <c r="BJ1638" s="4">
        <v>700</v>
      </c>
      <c r="BK1638" s="8">
        <v>10276.34</v>
      </c>
      <c r="BL1638" s="2" t="s">
        <v>5568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207</v>
      </c>
      <c r="BV1638" s="2" t="s">
        <v>97</v>
      </c>
      <c r="BW1638" s="2" t="s">
        <v>100</v>
      </c>
      <c r="BX1638" s="2" t="s">
        <v>100</v>
      </c>
      <c r="BY1638" s="2" t="s">
        <v>113</v>
      </c>
      <c r="BZ1638" s="2" t="s">
        <v>100</v>
      </c>
    </row>
    <row r="1639">
      <c r="A1639" s="2" t="s">
        <v>5569</v>
      </c>
      <c r="B1639" s="2" t="s">
        <v>5053</v>
      </c>
      <c r="C1639" s="2" t="s">
        <v>3178</v>
      </c>
      <c r="D1639" s="2" t="s">
        <v>5316</v>
      </c>
      <c r="E1639" s="2" t="s">
        <v>5317</v>
      </c>
      <c r="F1639" s="2" t="s">
        <v>5539</v>
      </c>
      <c r="G1639" s="2" t="s">
        <v>5539</v>
      </c>
      <c r="H1639" s="2" t="s">
        <v>5539</v>
      </c>
      <c r="I1639" s="2" t="s">
        <v>5317</v>
      </c>
      <c r="J1639" s="2" t="s">
        <v>5337</v>
      </c>
      <c r="K1639" s="2" t="s">
        <v>118</v>
      </c>
      <c r="L1639" s="3">
        <v>21.6</v>
      </c>
      <c r="M1639" s="3">
        <v>22.68</v>
      </c>
      <c r="N1639" s="3">
        <v>44.99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5566</v>
      </c>
      <c r="T1639" s="2" t="s">
        <v>100</v>
      </c>
      <c r="U1639" s="2" t="s">
        <v>1847</v>
      </c>
      <c r="V1639" s="2" t="s">
        <v>146</v>
      </c>
      <c r="W1639" s="2" t="s">
        <v>673</v>
      </c>
      <c r="X1639" s="2" t="s">
        <v>100</v>
      </c>
      <c r="Y1639" s="2" t="s">
        <v>5567</v>
      </c>
      <c r="Z1639" s="4">
        <v>707</v>
      </c>
      <c r="AA1639" s="4">
        <f>=ROUNDDOWN(35.35,0)</f>
      </c>
      <c r="AB1639" s="5">
        <v>20</v>
      </c>
      <c r="AC1639" s="2" t="s">
        <v>3887</v>
      </c>
      <c r="AD1639" s="4">
        <v>210</v>
      </c>
      <c r="AE1639" s="4">
        <v>210</v>
      </c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 t="s">
        <v>100</v>
      </c>
      <c r="BJ1639" s="4">
        <v>534</v>
      </c>
      <c r="BK1639" s="8">
        <v>12387.97</v>
      </c>
      <c r="BL1639" s="2" t="s">
        <v>5408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207</v>
      </c>
      <c r="BV1639" s="2" t="s">
        <v>97</v>
      </c>
      <c r="BW1639" s="2" t="s">
        <v>100</v>
      </c>
      <c r="BX1639" s="2" t="s">
        <v>100</v>
      </c>
      <c r="BY1639" s="2" t="s">
        <v>113</v>
      </c>
      <c r="BZ1639" s="2" t="s">
        <v>245</v>
      </c>
    </row>
    <row r="1640">
      <c r="A1640" s="2" t="s">
        <v>5570</v>
      </c>
      <c r="B1640" s="2" t="s">
        <v>5053</v>
      </c>
      <c r="C1640" s="2" t="s">
        <v>3178</v>
      </c>
      <c r="D1640" s="2" t="s">
        <v>5316</v>
      </c>
      <c r="E1640" s="2" t="s">
        <v>5317</v>
      </c>
      <c r="F1640" s="2" t="s">
        <v>5539</v>
      </c>
      <c r="G1640" s="2" t="s">
        <v>5539</v>
      </c>
      <c r="H1640" s="2" t="s">
        <v>5539</v>
      </c>
      <c r="I1640" s="2" t="s">
        <v>5317</v>
      </c>
      <c r="J1640" s="2" t="s">
        <v>5328</v>
      </c>
      <c r="K1640" s="2" t="s">
        <v>118</v>
      </c>
      <c r="L1640" s="3">
        <v>31.2</v>
      </c>
      <c r="M1640" s="3">
        <v>32.76</v>
      </c>
      <c r="N1640" s="3">
        <v>64.99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5566</v>
      </c>
      <c r="T1640" s="2" t="s">
        <v>100</v>
      </c>
      <c r="U1640" s="2" t="s">
        <v>1847</v>
      </c>
      <c r="V1640" s="2" t="s">
        <v>146</v>
      </c>
      <c r="W1640" s="2" t="s">
        <v>673</v>
      </c>
      <c r="X1640" s="2" t="s">
        <v>100</v>
      </c>
      <c r="Y1640" s="2" t="s">
        <v>5567</v>
      </c>
      <c r="Z1640" s="4">
        <v>318</v>
      </c>
      <c r="AA1640" s="4">
        <f>=ROUNDDOWN(21.2,0)</f>
      </c>
      <c r="AB1640" s="5">
        <v>15</v>
      </c>
      <c r="AC1640" s="2" t="s">
        <v>241</v>
      </c>
      <c r="AD1640" s="4">
        <v>120</v>
      </c>
      <c r="AE1640" s="4">
        <v>310</v>
      </c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 t="s">
        <v>100</v>
      </c>
      <c r="BJ1640" s="4">
        <v>425</v>
      </c>
      <c r="BK1640" s="8">
        <v>14329.78</v>
      </c>
      <c r="BL1640" s="2" t="s">
        <v>5571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207</v>
      </c>
      <c r="BV1640" s="2" t="s">
        <v>97</v>
      </c>
      <c r="BW1640" s="2" t="s">
        <v>100</v>
      </c>
      <c r="BX1640" s="2" t="s">
        <v>100</v>
      </c>
      <c r="BY1640" s="2" t="s">
        <v>113</v>
      </c>
      <c r="BZ1640" s="2" t="s">
        <v>245</v>
      </c>
    </row>
    <row r="1641">
      <c r="A1641" s="2" t="s">
        <v>5572</v>
      </c>
      <c r="B1641" s="2" t="s">
        <v>5053</v>
      </c>
      <c r="C1641" s="2" t="s">
        <v>3178</v>
      </c>
      <c r="D1641" s="2" t="s">
        <v>5316</v>
      </c>
      <c r="E1641" s="2" t="s">
        <v>5317</v>
      </c>
      <c r="F1641" s="2" t="s">
        <v>5539</v>
      </c>
      <c r="G1641" s="2" t="s">
        <v>5539</v>
      </c>
      <c r="H1641" s="2" t="s">
        <v>5539</v>
      </c>
      <c r="I1641" s="2" t="s">
        <v>5317</v>
      </c>
      <c r="J1641" s="2" t="s">
        <v>5554</v>
      </c>
      <c r="K1641" s="2" t="s">
        <v>118</v>
      </c>
      <c r="L1641" s="3">
        <v>13.8</v>
      </c>
      <c r="M1641" s="3">
        <v>14.49</v>
      </c>
      <c r="N1641" s="3">
        <v>29.99</v>
      </c>
      <c r="O1641" s="2" t="s">
        <v>97</v>
      </c>
      <c r="P1641" s="2" t="s">
        <v>98</v>
      </c>
      <c r="Q1641" s="2" t="s">
        <v>99</v>
      </c>
      <c r="R1641" s="2" t="s">
        <v>100</v>
      </c>
      <c r="S1641" s="2" t="s">
        <v>5566</v>
      </c>
      <c r="T1641" s="2" t="s">
        <v>100</v>
      </c>
      <c r="U1641" s="2" t="s">
        <v>1847</v>
      </c>
      <c r="V1641" s="2" t="s">
        <v>146</v>
      </c>
      <c r="W1641" s="2" t="s">
        <v>673</v>
      </c>
      <c r="X1641" s="2" t="s">
        <v>100</v>
      </c>
      <c r="Y1641" s="2" t="s">
        <v>5567</v>
      </c>
      <c r="Z1641" s="4">
        <v>462</v>
      </c>
      <c r="AA1641" s="4">
        <f>=ROUNDDOWN(23.1,0)</f>
      </c>
      <c r="AB1641" s="5">
        <v>20</v>
      </c>
      <c r="AC1641" s="2" t="s">
        <v>241</v>
      </c>
      <c r="AD1641" s="4">
        <v>200</v>
      </c>
      <c r="AE1641" s="4">
        <v>350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 t="s">
        <v>100</v>
      </c>
      <c r="BJ1641" s="4">
        <v>561</v>
      </c>
      <c r="BK1641" s="8">
        <v>8293</v>
      </c>
      <c r="BL1641" s="2" t="s">
        <v>5573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207</v>
      </c>
      <c r="BV1641" s="2" t="s">
        <v>97</v>
      </c>
      <c r="BW1641" s="2" t="s">
        <v>100</v>
      </c>
      <c r="BX1641" s="2" t="s">
        <v>100</v>
      </c>
      <c r="BY1641" s="2" t="s">
        <v>113</v>
      </c>
      <c r="BZ1641" s="2" t="s">
        <v>100</v>
      </c>
    </row>
    <row r="1642">
      <c r="A1642" s="2" t="s">
        <v>5574</v>
      </c>
      <c r="B1642" s="2" t="s">
        <v>5053</v>
      </c>
      <c r="C1642" s="2" t="s">
        <v>3178</v>
      </c>
      <c r="D1642" s="2" t="s">
        <v>5316</v>
      </c>
      <c r="E1642" s="2" t="s">
        <v>5317</v>
      </c>
      <c r="F1642" s="2" t="s">
        <v>5539</v>
      </c>
      <c r="G1642" s="2" t="s">
        <v>5539</v>
      </c>
      <c r="H1642" s="2" t="s">
        <v>5539</v>
      </c>
      <c r="I1642" s="2" t="s">
        <v>5317</v>
      </c>
      <c r="J1642" s="2" t="s">
        <v>5328</v>
      </c>
      <c r="K1642" s="2" t="s">
        <v>189</v>
      </c>
      <c r="L1642" s="3">
        <v>31.2</v>
      </c>
      <c r="M1642" s="3">
        <v>32.76</v>
      </c>
      <c r="N1642" s="3">
        <v>64.99</v>
      </c>
      <c r="O1642" s="2" t="s">
        <v>97</v>
      </c>
      <c r="P1642" s="2" t="s">
        <v>307</v>
      </c>
      <c r="Q1642" s="2" t="s">
        <v>99</v>
      </c>
      <c r="R1642" s="2" t="s">
        <v>100</v>
      </c>
      <c r="S1642" s="2" t="s">
        <v>5575</v>
      </c>
      <c r="T1642" s="2" t="s">
        <v>100</v>
      </c>
      <c r="U1642" s="2" t="s">
        <v>100</v>
      </c>
      <c r="V1642" s="2" t="s">
        <v>146</v>
      </c>
      <c r="W1642" s="2" t="s">
        <v>5541</v>
      </c>
      <c r="X1642" s="2" t="s">
        <v>100</v>
      </c>
      <c r="Y1642" s="2" t="s">
        <v>240</v>
      </c>
      <c r="Z1642" s="4">
        <v>780</v>
      </c>
      <c r="AA1642" s="4">
        <f>=ROUNDDOWN(25.1612903225806,0)</f>
      </c>
      <c r="AB1642" s="5">
        <v>31</v>
      </c>
      <c r="AC1642" s="2" t="s">
        <v>241</v>
      </c>
      <c r="AD1642" s="4">
        <v>280</v>
      </c>
      <c r="AE1642" s="4">
        <v>1020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800</v>
      </c>
      <c r="BK1642" s="8">
        <v>27908.48</v>
      </c>
      <c r="BL1642" s="2" t="s">
        <v>5576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5333</v>
      </c>
      <c r="BX1642" s="2" t="s">
        <v>2250</v>
      </c>
      <c r="BY1642" s="2" t="s">
        <v>113</v>
      </c>
      <c r="BZ1642" s="2" t="s">
        <v>245</v>
      </c>
    </row>
    <row r="1643">
      <c r="A1643" s="2" t="s">
        <v>5577</v>
      </c>
      <c r="B1643" s="2" t="s">
        <v>5053</v>
      </c>
      <c r="C1643" s="2" t="s">
        <v>3178</v>
      </c>
      <c r="D1643" s="2" t="s">
        <v>5316</v>
      </c>
      <c r="E1643" s="2" t="s">
        <v>5317</v>
      </c>
      <c r="F1643" s="2" t="s">
        <v>5578</v>
      </c>
      <c r="G1643" s="2" t="s">
        <v>5578</v>
      </c>
      <c r="H1643" s="2" t="s">
        <v>5578</v>
      </c>
      <c r="I1643" s="2" t="s">
        <v>5579</v>
      </c>
      <c r="J1643" s="2" t="s">
        <v>5355</v>
      </c>
      <c r="K1643" s="2" t="s">
        <v>335</v>
      </c>
      <c r="L1643" s="3">
        <v>12</v>
      </c>
      <c r="M1643" s="3">
        <v>12.6</v>
      </c>
      <c r="N1643" s="3">
        <v>25.99</v>
      </c>
      <c r="O1643" s="2" t="s">
        <v>97</v>
      </c>
      <c r="P1643" s="2" t="s">
        <v>2478</v>
      </c>
      <c r="Q1643" s="2" t="s">
        <v>99</v>
      </c>
      <c r="R1643" s="2" t="s">
        <v>100</v>
      </c>
      <c r="S1643" s="2" t="s">
        <v>100</v>
      </c>
      <c r="T1643" s="2" t="s">
        <v>280</v>
      </c>
      <c r="U1643" s="2" t="s">
        <v>1847</v>
      </c>
      <c r="V1643" s="2" t="s">
        <v>146</v>
      </c>
      <c r="W1643" s="2" t="s">
        <v>183</v>
      </c>
      <c r="X1643" s="2" t="s">
        <v>100</v>
      </c>
      <c r="Y1643" s="2" t="s">
        <v>100</v>
      </c>
      <c r="Z1643" s="4"/>
      <c r="AA1643" s="4">
        <f>=ROUNDDOWN({0},0)</f>
      </c>
      <c r="AB1643" s="5"/>
      <c r="AC1643" s="2" t="s">
        <v>5580</v>
      </c>
      <c r="AD1643" s="4">
        <v>200</v>
      </c>
      <c r="AE1643" s="4">
        <v>200</v>
      </c>
      <c r="AF1643" s="6">
        <v>69</v>
      </c>
      <c r="AG1643" s="6"/>
      <c r="AH1643" s="7"/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/>
      <c r="BK1643" s="8"/>
      <c r="BL1643" s="2" t="s">
        <v>100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2480</v>
      </c>
      <c r="BV1643" s="2" t="s">
        <v>97</v>
      </c>
      <c r="BW1643" s="2" t="s">
        <v>100</v>
      </c>
      <c r="BX1643" s="2" t="s">
        <v>100</v>
      </c>
      <c r="BY1643" s="2" t="s">
        <v>113</v>
      </c>
      <c r="BZ1643" s="2" t="s">
        <v>100</v>
      </c>
    </row>
    <row r="1644">
      <c r="A1644" s="2" t="s">
        <v>5581</v>
      </c>
      <c r="B1644" s="2" t="s">
        <v>5053</v>
      </c>
      <c r="C1644" s="2" t="s">
        <v>3178</v>
      </c>
      <c r="D1644" s="2" t="s">
        <v>5316</v>
      </c>
      <c r="E1644" s="2" t="s">
        <v>5317</v>
      </c>
      <c r="F1644" s="2" t="s">
        <v>5578</v>
      </c>
      <c r="G1644" s="2" t="s">
        <v>5578</v>
      </c>
      <c r="H1644" s="2" t="s">
        <v>5578</v>
      </c>
      <c r="I1644" s="2" t="s">
        <v>5579</v>
      </c>
      <c r="J1644" s="2" t="s">
        <v>5322</v>
      </c>
      <c r="K1644" s="2" t="s">
        <v>335</v>
      </c>
      <c r="L1644" s="3">
        <v>21.3</v>
      </c>
      <c r="M1644" s="3">
        <v>22.37</v>
      </c>
      <c r="N1644" s="3">
        <v>45.99</v>
      </c>
      <c r="O1644" s="2" t="s">
        <v>97</v>
      </c>
      <c r="P1644" s="2" t="s">
        <v>2478</v>
      </c>
      <c r="Q1644" s="2" t="s">
        <v>99</v>
      </c>
      <c r="R1644" s="2" t="s">
        <v>100</v>
      </c>
      <c r="S1644" s="2" t="s">
        <v>100</v>
      </c>
      <c r="T1644" s="2" t="s">
        <v>280</v>
      </c>
      <c r="U1644" s="2" t="s">
        <v>1847</v>
      </c>
      <c r="V1644" s="2" t="s">
        <v>146</v>
      </c>
      <c r="W1644" s="2" t="s">
        <v>183</v>
      </c>
      <c r="X1644" s="2" t="s">
        <v>100</v>
      </c>
      <c r="Y1644" s="2" t="s">
        <v>100</v>
      </c>
      <c r="Z1644" s="4"/>
      <c r="AA1644" s="4">
        <f>=ROUNDDOWN({0},0)</f>
      </c>
      <c r="AB1644" s="5"/>
      <c r="AC1644" s="2" t="s">
        <v>5580</v>
      </c>
      <c r="AD1644" s="4">
        <v>196</v>
      </c>
      <c r="AE1644" s="4">
        <v>196</v>
      </c>
      <c r="AF1644" s="6">
        <v>69</v>
      </c>
      <c r="AG1644" s="6"/>
      <c r="AH1644" s="7"/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/>
      <c r="BK1644" s="8"/>
      <c r="BL1644" s="2" t="s">
        <v>100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2480</v>
      </c>
      <c r="BV1644" s="2" t="s">
        <v>97</v>
      </c>
      <c r="BW1644" s="2" t="s">
        <v>100</v>
      </c>
      <c r="BX1644" s="2" t="s">
        <v>100</v>
      </c>
      <c r="BY1644" s="2" t="s">
        <v>113</v>
      </c>
      <c r="BZ1644" s="2" t="s">
        <v>100</v>
      </c>
    </row>
    <row r="1645">
      <c r="A1645" s="2" t="s">
        <v>5582</v>
      </c>
      <c r="B1645" s="2" t="s">
        <v>5053</v>
      </c>
      <c r="C1645" s="2" t="s">
        <v>3178</v>
      </c>
      <c r="D1645" s="2" t="s">
        <v>5316</v>
      </c>
      <c r="E1645" s="2" t="s">
        <v>5317</v>
      </c>
      <c r="F1645" s="2" t="s">
        <v>5578</v>
      </c>
      <c r="G1645" s="2" t="s">
        <v>5578</v>
      </c>
      <c r="H1645" s="2" t="s">
        <v>5578</v>
      </c>
      <c r="I1645" s="2" t="s">
        <v>5579</v>
      </c>
      <c r="J1645" s="2" t="s">
        <v>5583</v>
      </c>
      <c r="K1645" s="2" t="s">
        <v>335</v>
      </c>
      <c r="L1645" s="3">
        <v>18.5</v>
      </c>
      <c r="M1645" s="3">
        <v>19.43</v>
      </c>
      <c r="N1645" s="3">
        <v>39.99</v>
      </c>
      <c r="O1645" s="2" t="s">
        <v>97</v>
      </c>
      <c r="P1645" s="2" t="s">
        <v>2478</v>
      </c>
      <c r="Q1645" s="2" t="s">
        <v>99</v>
      </c>
      <c r="R1645" s="2" t="s">
        <v>100</v>
      </c>
      <c r="S1645" s="2" t="s">
        <v>100</v>
      </c>
      <c r="T1645" s="2" t="s">
        <v>280</v>
      </c>
      <c r="U1645" s="2" t="s">
        <v>1847</v>
      </c>
      <c r="V1645" s="2" t="s">
        <v>146</v>
      </c>
      <c r="W1645" s="2" t="s">
        <v>183</v>
      </c>
      <c r="X1645" s="2" t="s">
        <v>100</v>
      </c>
      <c r="Y1645" s="2" t="s">
        <v>100</v>
      </c>
      <c r="Z1645" s="4"/>
      <c r="AA1645" s="4">
        <f>=ROUNDDOWN({0},0)</f>
      </c>
      <c r="AB1645" s="5"/>
      <c r="AC1645" s="2" t="s">
        <v>5580</v>
      </c>
      <c r="AD1645" s="4">
        <v>144</v>
      </c>
      <c r="AE1645" s="4">
        <v>144</v>
      </c>
      <c r="AF1645" s="6">
        <v>69</v>
      </c>
      <c r="AG1645" s="6"/>
      <c r="AH1645" s="7"/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/>
      <c r="BK1645" s="8"/>
      <c r="BL1645" s="2" t="s">
        <v>100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2480</v>
      </c>
      <c r="BV1645" s="2" t="s">
        <v>97</v>
      </c>
      <c r="BW1645" s="2" t="s">
        <v>100</v>
      </c>
      <c r="BX1645" s="2" t="s">
        <v>100</v>
      </c>
      <c r="BY1645" s="2" t="s">
        <v>113</v>
      </c>
      <c r="BZ1645" s="2" t="s">
        <v>100</v>
      </c>
    </row>
    <row r="1646">
      <c r="A1646" s="2" t="s">
        <v>5584</v>
      </c>
      <c r="B1646" s="2" t="s">
        <v>5053</v>
      </c>
      <c r="C1646" s="2" t="s">
        <v>3178</v>
      </c>
      <c r="D1646" s="2" t="s">
        <v>5316</v>
      </c>
      <c r="E1646" s="2" t="s">
        <v>5317</v>
      </c>
      <c r="F1646" s="2" t="s">
        <v>5578</v>
      </c>
      <c r="G1646" s="2" t="s">
        <v>5578</v>
      </c>
      <c r="H1646" s="2" t="s">
        <v>5578</v>
      </c>
      <c r="I1646" s="2" t="s">
        <v>5579</v>
      </c>
      <c r="J1646" s="2" t="s">
        <v>5419</v>
      </c>
      <c r="K1646" s="2" t="s">
        <v>335</v>
      </c>
      <c r="L1646" s="3">
        <v>27</v>
      </c>
      <c r="M1646" s="3">
        <v>28.35</v>
      </c>
      <c r="N1646" s="3">
        <v>56.99</v>
      </c>
      <c r="O1646" s="2" t="s">
        <v>97</v>
      </c>
      <c r="P1646" s="2" t="s">
        <v>2478</v>
      </c>
      <c r="Q1646" s="2" t="s">
        <v>99</v>
      </c>
      <c r="R1646" s="2" t="s">
        <v>100</v>
      </c>
      <c r="S1646" s="2" t="s">
        <v>100</v>
      </c>
      <c r="T1646" s="2" t="s">
        <v>280</v>
      </c>
      <c r="U1646" s="2" t="s">
        <v>1847</v>
      </c>
      <c r="V1646" s="2" t="s">
        <v>146</v>
      </c>
      <c r="W1646" s="2" t="s">
        <v>183</v>
      </c>
      <c r="X1646" s="2" t="s">
        <v>100</v>
      </c>
      <c r="Y1646" s="2" t="s">
        <v>100</v>
      </c>
      <c r="Z1646" s="4"/>
      <c r="AA1646" s="4">
        <f>=ROUNDDOWN({0},0)</f>
      </c>
      <c r="AB1646" s="5"/>
      <c r="AC1646" s="2" t="s">
        <v>5580</v>
      </c>
      <c r="AD1646" s="4">
        <v>100</v>
      </c>
      <c r="AE1646" s="4">
        <v>100</v>
      </c>
      <c r="AF1646" s="6">
        <v>69</v>
      </c>
      <c r="AG1646" s="6"/>
      <c r="AH1646" s="7"/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/>
      <c r="BK1646" s="8"/>
      <c r="BL1646" s="2" t="s">
        <v>100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2480</v>
      </c>
      <c r="BV1646" s="2" t="s">
        <v>97</v>
      </c>
      <c r="BW1646" s="2" t="s">
        <v>100</v>
      </c>
      <c r="BX1646" s="2" t="s">
        <v>100</v>
      </c>
      <c r="BY1646" s="2" t="s">
        <v>113</v>
      </c>
      <c r="BZ1646" s="2" t="s">
        <v>100</v>
      </c>
    </row>
    <row r="1647">
      <c r="A1647" s="2" t="s">
        <v>5585</v>
      </c>
      <c r="B1647" s="2" t="s">
        <v>5053</v>
      </c>
      <c r="C1647" s="2" t="s">
        <v>3178</v>
      </c>
      <c r="D1647" s="2" t="s">
        <v>5316</v>
      </c>
      <c r="E1647" s="2" t="s">
        <v>5317</v>
      </c>
      <c r="F1647" s="2" t="s">
        <v>5578</v>
      </c>
      <c r="G1647" s="2" t="s">
        <v>5578</v>
      </c>
      <c r="H1647" s="2" t="s">
        <v>5578</v>
      </c>
      <c r="I1647" s="2" t="s">
        <v>5579</v>
      </c>
      <c r="J1647" s="2" t="s">
        <v>5328</v>
      </c>
      <c r="K1647" s="2" t="s">
        <v>335</v>
      </c>
      <c r="L1647" s="3">
        <v>30.24</v>
      </c>
      <c r="M1647" s="3">
        <v>31.75</v>
      </c>
      <c r="N1647" s="3">
        <v>64.99</v>
      </c>
      <c r="O1647" s="2" t="s">
        <v>97</v>
      </c>
      <c r="P1647" s="2" t="s">
        <v>2478</v>
      </c>
      <c r="Q1647" s="2" t="s">
        <v>99</v>
      </c>
      <c r="R1647" s="2" t="s">
        <v>100</v>
      </c>
      <c r="S1647" s="2" t="s">
        <v>100</v>
      </c>
      <c r="T1647" s="2" t="s">
        <v>280</v>
      </c>
      <c r="U1647" s="2" t="s">
        <v>1847</v>
      </c>
      <c r="V1647" s="2" t="s">
        <v>146</v>
      </c>
      <c r="W1647" s="2" t="s">
        <v>183</v>
      </c>
      <c r="X1647" s="2" t="s">
        <v>100</v>
      </c>
      <c r="Y1647" s="2" t="s">
        <v>100</v>
      </c>
      <c r="Z1647" s="4"/>
      <c r="AA1647" s="4">
        <f>=ROUNDDOWN({0},0)</f>
      </c>
      <c r="AB1647" s="5"/>
      <c r="AC1647" s="2" t="s">
        <v>5580</v>
      </c>
      <c r="AD1647" s="4">
        <v>92</v>
      </c>
      <c r="AE1647" s="4">
        <v>92</v>
      </c>
      <c r="AF1647" s="6">
        <v>69</v>
      </c>
      <c r="AG1647" s="6"/>
      <c r="AH1647" s="7"/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/>
      <c r="BK1647" s="8"/>
      <c r="BL1647" s="2" t="s">
        <v>100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2480</v>
      </c>
      <c r="BV1647" s="2" t="s">
        <v>97</v>
      </c>
      <c r="BW1647" s="2" t="s">
        <v>100</v>
      </c>
      <c r="BX1647" s="2" t="s">
        <v>100</v>
      </c>
      <c r="BY1647" s="2" t="s">
        <v>113</v>
      </c>
      <c r="BZ1647" s="2" t="s">
        <v>100</v>
      </c>
    </row>
    <row r="1648">
      <c r="A1648" s="2" t="s">
        <v>5586</v>
      </c>
      <c r="B1648" s="2" t="s">
        <v>5053</v>
      </c>
      <c r="C1648" s="2" t="s">
        <v>3178</v>
      </c>
      <c r="D1648" s="2" t="s">
        <v>5316</v>
      </c>
      <c r="E1648" s="2" t="s">
        <v>5317</v>
      </c>
      <c r="F1648" s="2" t="s">
        <v>5578</v>
      </c>
      <c r="G1648" s="2" t="s">
        <v>5578</v>
      </c>
      <c r="H1648" s="2" t="s">
        <v>5578</v>
      </c>
      <c r="I1648" s="2" t="s">
        <v>5579</v>
      </c>
      <c r="J1648" s="2" t="s">
        <v>5587</v>
      </c>
      <c r="K1648" s="2" t="s">
        <v>335</v>
      </c>
      <c r="L1648" s="3">
        <v>14.8</v>
      </c>
      <c r="M1648" s="3">
        <v>15.54</v>
      </c>
      <c r="N1648" s="3">
        <v>31.99</v>
      </c>
      <c r="O1648" s="2" t="s">
        <v>97</v>
      </c>
      <c r="P1648" s="2" t="s">
        <v>2478</v>
      </c>
      <c r="Q1648" s="2" t="s">
        <v>99</v>
      </c>
      <c r="R1648" s="2" t="s">
        <v>100</v>
      </c>
      <c r="S1648" s="2" t="s">
        <v>100</v>
      </c>
      <c r="T1648" s="2" t="s">
        <v>280</v>
      </c>
      <c r="U1648" s="2" t="s">
        <v>1847</v>
      </c>
      <c r="V1648" s="2" t="s">
        <v>146</v>
      </c>
      <c r="W1648" s="2" t="s">
        <v>183</v>
      </c>
      <c r="X1648" s="2" t="s">
        <v>100</v>
      </c>
      <c r="Y1648" s="2" t="s">
        <v>100</v>
      </c>
      <c r="Z1648" s="4"/>
      <c r="AA1648" s="4">
        <f>=ROUNDDOWN({0},0)</f>
      </c>
      <c r="AB1648" s="5"/>
      <c r="AC1648" s="2" t="s">
        <v>5580</v>
      </c>
      <c r="AD1648" s="4">
        <v>332</v>
      </c>
      <c r="AE1648" s="4">
        <v>332</v>
      </c>
      <c r="AF1648" s="6">
        <v>69</v>
      </c>
      <c r="AG1648" s="6"/>
      <c r="AH1648" s="7"/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/>
      <c r="BK1648" s="8"/>
      <c r="BL1648" s="2" t="s">
        <v>100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2480</v>
      </c>
      <c r="BV1648" s="2" t="s">
        <v>97</v>
      </c>
      <c r="BW1648" s="2" t="s">
        <v>100</v>
      </c>
      <c r="BX1648" s="2" t="s">
        <v>100</v>
      </c>
      <c r="BY1648" s="2" t="s">
        <v>113</v>
      </c>
      <c r="BZ1648" s="2" t="s">
        <v>100</v>
      </c>
    </row>
    <row r="1649">
      <c r="A1649" s="2" t="s">
        <v>5588</v>
      </c>
      <c r="B1649" s="2" t="s">
        <v>5053</v>
      </c>
      <c r="C1649" s="2" t="s">
        <v>3178</v>
      </c>
      <c r="D1649" s="2" t="s">
        <v>5316</v>
      </c>
      <c r="E1649" s="2" t="s">
        <v>5317</v>
      </c>
      <c r="F1649" s="2" t="s">
        <v>5578</v>
      </c>
      <c r="G1649" s="2" t="s">
        <v>5578</v>
      </c>
      <c r="H1649" s="2" t="s">
        <v>5578</v>
      </c>
      <c r="I1649" s="2" t="s">
        <v>5579</v>
      </c>
      <c r="J1649" s="2" t="s">
        <v>5355</v>
      </c>
      <c r="K1649" s="2" t="s">
        <v>118</v>
      </c>
      <c r="L1649" s="3">
        <v>12</v>
      </c>
      <c r="M1649" s="3">
        <v>12.6</v>
      </c>
      <c r="N1649" s="3">
        <v>25.99</v>
      </c>
      <c r="O1649" s="2" t="s">
        <v>97</v>
      </c>
      <c r="P1649" s="2" t="s">
        <v>2478</v>
      </c>
      <c r="Q1649" s="2" t="s">
        <v>99</v>
      </c>
      <c r="R1649" s="2" t="s">
        <v>100</v>
      </c>
      <c r="S1649" s="2" t="s">
        <v>100</v>
      </c>
      <c r="T1649" s="2" t="s">
        <v>280</v>
      </c>
      <c r="U1649" s="2" t="s">
        <v>1847</v>
      </c>
      <c r="V1649" s="2" t="s">
        <v>146</v>
      </c>
      <c r="W1649" s="2" t="s">
        <v>183</v>
      </c>
      <c r="X1649" s="2" t="s">
        <v>100</v>
      </c>
      <c r="Y1649" s="2" t="s">
        <v>100</v>
      </c>
      <c r="Z1649" s="4"/>
      <c r="AA1649" s="4">
        <f>=ROUNDDOWN({0},0)</f>
      </c>
      <c r="AB1649" s="5"/>
      <c r="AC1649" s="2" t="s">
        <v>5580</v>
      </c>
      <c r="AD1649" s="4">
        <v>88</v>
      </c>
      <c r="AE1649" s="4">
        <v>88</v>
      </c>
      <c r="AF1649" s="6">
        <v>69</v>
      </c>
      <c r="AG1649" s="6"/>
      <c r="AH1649" s="7"/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/>
      <c r="BK1649" s="8"/>
      <c r="BL1649" s="2" t="s">
        <v>100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2480</v>
      </c>
      <c r="BV1649" s="2" t="s">
        <v>97</v>
      </c>
      <c r="BW1649" s="2" t="s">
        <v>100</v>
      </c>
      <c r="BX1649" s="2" t="s">
        <v>100</v>
      </c>
      <c r="BY1649" s="2" t="s">
        <v>113</v>
      </c>
      <c r="BZ1649" s="2" t="s">
        <v>100</v>
      </c>
    </row>
    <row r="1650">
      <c r="A1650" s="2" t="s">
        <v>5589</v>
      </c>
      <c r="B1650" s="2" t="s">
        <v>5053</v>
      </c>
      <c r="C1650" s="2" t="s">
        <v>3178</v>
      </c>
      <c r="D1650" s="2" t="s">
        <v>5316</v>
      </c>
      <c r="E1650" s="2" t="s">
        <v>5317</v>
      </c>
      <c r="F1650" s="2" t="s">
        <v>5578</v>
      </c>
      <c r="G1650" s="2" t="s">
        <v>5578</v>
      </c>
      <c r="H1650" s="2" t="s">
        <v>5578</v>
      </c>
      <c r="I1650" s="2" t="s">
        <v>5579</v>
      </c>
      <c r="J1650" s="2" t="s">
        <v>5322</v>
      </c>
      <c r="K1650" s="2" t="s">
        <v>118</v>
      </c>
      <c r="L1650" s="3">
        <v>21.3</v>
      </c>
      <c r="M1650" s="3">
        <v>22.37</v>
      </c>
      <c r="N1650" s="3">
        <v>45.99</v>
      </c>
      <c r="O1650" s="2" t="s">
        <v>97</v>
      </c>
      <c r="P1650" s="2" t="s">
        <v>2478</v>
      </c>
      <c r="Q1650" s="2" t="s">
        <v>99</v>
      </c>
      <c r="R1650" s="2" t="s">
        <v>100</v>
      </c>
      <c r="S1650" s="2" t="s">
        <v>100</v>
      </c>
      <c r="T1650" s="2" t="s">
        <v>280</v>
      </c>
      <c r="U1650" s="2" t="s">
        <v>1847</v>
      </c>
      <c r="V1650" s="2" t="s">
        <v>146</v>
      </c>
      <c r="W1650" s="2" t="s">
        <v>183</v>
      </c>
      <c r="X1650" s="2" t="s">
        <v>100</v>
      </c>
      <c r="Y1650" s="2" t="s">
        <v>100</v>
      </c>
      <c r="Z1650" s="4"/>
      <c r="AA1650" s="4">
        <f>=ROUNDDOWN({0},0)</f>
      </c>
      <c r="AB1650" s="5"/>
      <c r="AC1650" s="2" t="s">
        <v>5580</v>
      </c>
      <c r="AD1650" s="4">
        <v>76</v>
      </c>
      <c r="AE1650" s="4">
        <v>76</v>
      </c>
      <c r="AF1650" s="6">
        <v>69</v>
      </c>
      <c r="AG1650" s="6"/>
      <c r="AH1650" s="7"/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/>
      <c r="BK1650" s="8"/>
      <c r="BL1650" s="2" t="s">
        <v>100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2480</v>
      </c>
      <c r="BV1650" s="2" t="s">
        <v>97</v>
      </c>
      <c r="BW1650" s="2" t="s">
        <v>100</v>
      </c>
      <c r="BX1650" s="2" t="s">
        <v>100</v>
      </c>
      <c r="BY1650" s="2" t="s">
        <v>113</v>
      </c>
      <c r="BZ1650" s="2" t="s">
        <v>100</v>
      </c>
    </row>
    <row r="1651">
      <c r="A1651" s="2" t="s">
        <v>5590</v>
      </c>
      <c r="B1651" s="2" t="s">
        <v>5053</v>
      </c>
      <c r="C1651" s="2" t="s">
        <v>3178</v>
      </c>
      <c r="D1651" s="2" t="s">
        <v>5316</v>
      </c>
      <c r="E1651" s="2" t="s">
        <v>5317</v>
      </c>
      <c r="F1651" s="2" t="s">
        <v>5578</v>
      </c>
      <c r="G1651" s="2" t="s">
        <v>5578</v>
      </c>
      <c r="H1651" s="2" t="s">
        <v>5578</v>
      </c>
      <c r="I1651" s="2" t="s">
        <v>5579</v>
      </c>
      <c r="J1651" s="2" t="s">
        <v>5362</v>
      </c>
      <c r="K1651" s="2" t="s">
        <v>118</v>
      </c>
      <c r="L1651" s="3">
        <v>16.56</v>
      </c>
      <c r="M1651" s="3">
        <v>17.39</v>
      </c>
      <c r="N1651" s="3">
        <v>34.99</v>
      </c>
      <c r="O1651" s="2" t="s">
        <v>97</v>
      </c>
      <c r="P1651" s="2" t="s">
        <v>225</v>
      </c>
      <c r="Q1651" s="2" t="s">
        <v>99</v>
      </c>
      <c r="R1651" s="2" t="s">
        <v>100</v>
      </c>
      <c r="S1651" s="2" t="s">
        <v>5591</v>
      </c>
      <c r="T1651" s="2" t="s">
        <v>280</v>
      </c>
      <c r="U1651" s="2" t="s">
        <v>1847</v>
      </c>
      <c r="V1651" s="2" t="s">
        <v>146</v>
      </c>
      <c r="W1651" s="2" t="s">
        <v>183</v>
      </c>
      <c r="X1651" s="2" t="s">
        <v>104</v>
      </c>
      <c r="Y1651" s="2" t="s">
        <v>5592</v>
      </c>
      <c r="Z1651" s="4">
        <v>141</v>
      </c>
      <c r="AA1651" s="4">
        <f>=ROUNDDOWN(3.81081081081081,0)</f>
      </c>
      <c r="AB1651" s="5">
        <v>37</v>
      </c>
      <c r="AC1651" s="2" t="s">
        <v>320</v>
      </c>
      <c r="AD1651" s="4">
        <v>276</v>
      </c>
      <c r="AE1651" s="4">
        <v>1368</v>
      </c>
      <c r="AF1651" s="6">
        <v>69</v>
      </c>
      <c r="AG1651" s="6"/>
      <c r="AH1651" s="7">
        <v>0.6684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525</v>
      </c>
      <c r="BK1651" s="8">
        <v>9850.24</v>
      </c>
      <c r="BL1651" s="2" t="s">
        <v>5593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207</v>
      </c>
      <c r="BV1651" s="2" t="s">
        <v>97</v>
      </c>
      <c r="BW1651" s="2" t="s">
        <v>100</v>
      </c>
      <c r="BX1651" s="2" t="s">
        <v>100</v>
      </c>
      <c r="BY1651" s="2" t="s">
        <v>113</v>
      </c>
      <c r="BZ1651" s="2" t="s">
        <v>245</v>
      </c>
    </row>
    <row r="1652">
      <c r="A1652" s="2" t="s">
        <v>5594</v>
      </c>
      <c r="B1652" s="2" t="s">
        <v>5053</v>
      </c>
      <c r="C1652" s="2" t="s">
        <v>3178</v>
      </c>
      <c r="D1652" s="2" t="s">
        <v>5316</v>
      </c>
      <c r="E1652" s="2" t="s">
        <v>5317</v>
      </c>
      <c r="F1652" s="2" t="s">
        <v>5578</v>
      </c>
      <c r="G1652" s="2" t="s">
        <v>5578</v>
      </c>
      <c r="H1652" s="2" t="s">
        <v>5578</v>
      </c>
      <c r="I1652" s="2" t="s">
        <v>5579</v>
      </c>
      <c r="J1652" s="2" t="s">
        <v>5583</v>
      </c>
      <c r="K1652" s="2" t="s">
        <v>118</v>
      </c>
      <c r="L1652" s="3">
        <v>18.5</v>
      </c>
      <c r="M1652" s="3">
        <v>19.43</v>
      </c>
      <c r="N1652" s="3">
        <v>39.99</v>
      </c>
      <c r="O1652" s="2" t="s">
        <v>97</v>
      </c>
      <c r="P1652" s="2" t="s">
        <v>2478</v>
      </c>
      <c r="Q1652" s="2" t="s">
        <v>99</v>
      </c>
      <c r="R1652" s="2" t="s">
        <v>100</v>
      </c>
      <c r="S1652" s="2" t="s">
        <v>100</v>
      </c>
      <c r="T1652" s="2" t="s">
        <v>280</v>
      </c>
      <c r="U1652" s="2" t="s">
        <v>1847</v>
      </c>
      <c r="V1652" s="2" t="s">
        <v>146</v>
      </c>
      <c r="W1652" s="2" t="s">
        <v>183</v>
      </c>
      <c r="X1652" s="2" t="s">
        <v>100</v>
      </c>
      <c r="Y1652" s="2" t="s">
        <v>100</v>
      </c>
      <c r="Z1652" s="4"/>
      <c r="AA1652" s="4">
        <f>=ROUNDDOWN({0},0)</f>
      </c>
      <c r="AB1652" s="5"/>
      <c r="AC1652" s="2" t="s">
        <v>5580</v>
      </c>
      <c r="AD1652" s="4">
        <v>60</v>
      </c>
      <c r="AE1652" s="4">
        <v>60</v>
      </c>
      <c r="AF1652" s="6">
        <v>69</v>
      </c>
      <c r="AG1652" s="6"/>
      <c r="AH1652" s="7"/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/>
      <c r="BK1652" s="8"/>
      <c r="BL1652" s="2" t="s">
        <v>100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2480</v>
      </c>
      <c r="BV1652" s="2" t="s">
        <v>97</v>
      </c>
      <c r="BW1652" s="2" t="s">
        <v>100</v>
      </c>
      <c r="BX1652" s="2" t="s">
        <v>100</v>
      </c>
      <c r="BY1652" s="2" t="s">
        <v>113</v>
      </c>
      <c r="BZ1652" s="2" t="s">
        <v>100</v>
      </c>
    </row>
    <row r="1653">
      <c r="A1653" s="2" t="s">
        <v>5595</v>
      </c>
      <c r="B1653" s="2" t="s">
        <v>5053</v>
      </c>
      <c r="C1653" s="2" t="s">
        <v>3178</v>
      </c>
      <c r="D1653" s="2" t="s">
        <v>5316</v>
      </c>
      <c r="E1653" s="2" t="s">
        <v>5317</v>
      </c>
      <c r="F1653" s="2" t="s">
        <v>5578</v>
      </c>
      <c r="G1653" s="2" t="s">
        <v>5578</v>
      </c>
      <c r="H1653" s="2" t="s">
        <v>5578</v>
      </c>
      <c r="I1653" s="2" t="s">
        <v>5579</v>
      </c>
      <c r="J1653" s="2" t="s">
        <v>5419</v>
      </c>
      <c r="K1653" s="2" t="s">
        <v>118</v>
      </c>
      <c r="L1653" s="3">
        <v>27</v>
      </c>
      <c r="M1653" s="3">
        <v>28.35</v>
      </c>
      <c r="N1653" s="3">
        <v>56.99</v>
      </c>
      <c r="O1653" s="2" t="s">
        <v>97</v>
      </c>
      <c r="P1653" s="2" t="s">
        <v>2478</v>
      </c>
      <c r="Q1653" s="2" t="s">
        <v>99</v>
      </c>
      <c r="R1653" s="2" t="s">
        <v>100</v>
      </c>
      <c r="S1653" s="2" t="s">
        <v>100</v>
      </c>
      <c r="T1653" s="2" t="s">
        <v>280</v>
      </c>
      <c r="U1653" s="2" t="s">
        <v>1847</v>
      </c>
      <c r="V1653" s="2" t="s">
        <v>146</v>
      </c>
      <c r="W1653" s="2" t="s">
        <v>183</v>
      </c>
      <c r="X1653" s="2" t="s">
        <v>100</v>
      </c>
      <c r="Y1653" s="2" t="s">
        <v>100</v>
      </c>
      <c r="Z1653" s="4"/>
      <c r="AA1653" s="4">
        <f>=ROUNDDOWN({0},0)</f>
      </c>
      <c r="AB1653" s="5"/>
      <c r="AC1653" s="2" t="s">
        <v>5580</v>
      </c>
      <c r="AD1653" s="4">
        <v>36</v>
      </c>
      <c r="AE1653" s="4">
        <v>36</v>
      </c>
      <c r="AF1653" s="6">
        <v>69</v>
      </c>
      <c r="AG1653" s="6"/>
      <c r="AH1653" s="7"/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/>
      <c r="BK1653" s="8"/>
      <c r="BL1653" s="2" t="s">
        <v>100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2480</v>
      </c>
      <c r="BV1653" s="2" t="s">
        <v>97</v>
      </c>
      <c r="BW1653" s="2" t="s">
        <v>100</v>
      </c>
      <c r="BX1653" s="2" t="s">
        <v>100</v>
      </c>
      <c r="BY1653" s="2" t="s">
        <v>113</v>
      </c>
      <c r="BZ1653" s="2" t="s">
        <v>100</v>
      </c>
    </row>
    <row r="1654">
      <c r="A1654" s="2" t="s">
        <v>5596</v>
      </c>
      <c r="B1654" s="2" t="s">
        <v>5053</v>
      </c>
      <c r="C1654" s="2" t="s">
        <v>3178</v>
      </c>
      <c r="D1654" s="2" t="s">
        <v>5316</v>
      </c>
      <c r="E1654" s="2" t="s">
        <v>5317</v>
      </c>
      <c r="F1654" s="2" t="s">
        <v>5578</v>
      </c>
      <c r="G1654" s="2" t="s">
        <v>5578</v>
      </c>
      <c r="H1654" s="2" t="s">
        <v>5578</v>
      </c>
      <c r="I1654" s="2" t="s">
        <v>5579</v>
      </c>
      <c r="J1654" s="2" t="s">
        <v>5328</v>
      </c>
      <c r="K1654" s="2" t="s">
        <v>118</v>
      </c>
      <c r="L1654" s="3">
        <v>30.24</v>
      </c>
      <c r="M1654" s="3">
        <v>31.75</v>
      </c>
      <c r="N1654" s="3">
        <v>64.99</v>
      </c>
      <c r="O1654" s="2" t="s">
        <v>97</v>
      </c>
      <c r="P1654" s="2" t="s">
        <v>225</v>
      </c>
      <c r="Q1654" s="2" t="s">
        <v>99</v>
      </c>
      <c r="R1654" s="2" t="s">
        <v>100</v>
      </c>
      <c r="S1654" s="2" t="s">
        <v>5591</v>
      </c>
      <c r="T1654" s="2" t="s">
        <v>280</v>
      </c>
      <c r="U1654" s="2" t="s">
        <v>1847</v>
      </c>
      <c r="V1654" s="2" t="s">
        <v>146</v>
      </c>
      <c r="W1654" s="2" t="s">
        <v>183</v>
      </c>
      <c r="X1654" s="2" t="s">
        <v>104</v>
      </c>
      <c r="Y1654" s="2" t="s">
        <v>5592</v>
      </c>
      <c r="Z1654" s="4"/>
      <c r="AA1654" s="4">
        <f>=ROUNDDOWN({0},0)</f>
      </c>
      <c r="AB1654" s="5">
        <v>18</v>
      </c>
      <c r="AC1654" s="2" t="s">
        <v>320</v>
      </c>
      <c r="AD1654" s="4">
        <v>160</v>
      </c>
      <c r="AE1654" s="4">
        <v>672</v>
      </c>
      <c r="AF1654" s="6">
        <v>69</v>
      </c>
      <c r="AG1654" s="6"/>
      <c r="AH1654" s="7">
        <v>0.9519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335</v>
      </c>
      <c r="BK1654" s="8">
        <v>11564.09</v>
      </c>
      <c r="BL1654" s="2" t="s">
        <v>5597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207</v>
      </c>
      <c r="BV1654" s="2" t="s">
        <v>97</v>
      </c>
      <c r="BW1654" s="2" t="s">
        <v>100</v>
      </c>
      <c r="BX1654" s="2" t="s">
        <v>100</v>
      </c>
      <c r="BY1654" s="2" t="s">
        <v>113</v>
      </c>
      <c r="BZ1654" s="2" t="s">
        <v>245</v>
      </c>
    </row>
    <row r="1655">
      <c r="A1655" s="2" t="s">
        <v>5598</v>
      </c>
      <c r="B1655" s="2" t="s">
        <v>5053</v>
      </c>
      <c r="C1655" s="2" t="s">
        <v>3178</v>
      </c>
      <c r="D1655" s="2" t="s">
        <v>5316</v>
      </c>
      <c r="E1655" s="2" t="s">
        <v>5317</v>
      </c>
      <c r="F1655" s="2" t="s">
        <v>5578</v>
      </c>
      <c r="G1655" s="2" t="s">
        <v>5578</v>
      </c>
      <c r="H1655" s="2" t="s">
        <v>5578</v>
      </c>
      <c r="I1655" s="2" t="s">
        <v>5579</v>
      </c>
      <c r="J1655" s="2" t="s">
        <v>5587</v>
      </c>
      <c r="K1655" s="2" t="s">
        <v>118</v>
      </c>
      <c r="L1655" s="3">
        <v>14.8</v>
      </c>
      <c r="M1655" s="3">
        <v>15.54</v>
      </c>
      <c r="N1655" s="3">
        <v>31.99</v>
      </c>
      <c r="O1655" s="2" t="s">
        <v>97</v>
      </c>
      <c r="P1655" s="2" t="s">
        <v>2478</v>
      </c>
      <c r="Q1655" s="2" t="s">
        <v>99</v>
      </c>
      <c r="R1655" s="2" t="s">
        <v>100</v>
      </c>
      <c r="S1655" s="2" t="s">
        <v>100</v>
      </c>
      <c r="T1655" s="2" t="s">
        <v>280</v>
      </c>
      <c r="U1655" s="2" t="s">
        <v>1847</v>
      </c>
      <c r="V1655" s="2" t="s">
        <v>146</v>
      </c>
      <c r="W1655" s="2" t="s">
        <v>183</v>
      </c>
      <c r="X1655" s="2" t="s">
        <v>100</v>
      </c>
      <c r="Y1655" s="2" t="s">
        <v>100</v>
      </c>
      <c r="Z1655" s="4"/>
      <c r="AA1655" s="4">
        <f>=ROUNDDOWN({0},0)</f>
      </c>
      <c r="AB1655" s="5"/>
      <c r="AC1655" s="2" t="s">
        <v>5580</v>
      </c>
      <c r="AD1655" s="4">
        <v>148</v>
      </c>
      <c r="AE1655" s="4">
        <v>148</v>
      </c>
      <c r="AF1655" s="6">
        <v>69</v>
      </c>
      <c r="AG1655" s="6"/>
      <c r="AH1655" s="7"/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/>
      <c r="BK1655" s="8"/>
      <c r="BL1655" s="2" t="s">
        <v>100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2480</v>
      </c>
      <c r="BV1655" s="2" t="s">
        <v>97</v>
      </c>
      <c r="BW1655" s="2" t="s">
        <v>100</v>
      </c>
      <c r="BX1655" s="2" t="s">
        <v>100</v>
      </c>
      <c r="BY1655" s="2" t="s">
        <v>113</v>
      </c>
      <c r="BZ1655" s="2" t="s">
        <v>100</v>
      </c>
    </row>
    <row r="1656">
      <c r="A1656" s="2" t="s">
        <v>5599</v>
      </c>
      <c r="B1656" s="2" t="s">
        <v>5053</v>
      </c>
      <c r="C1656" s="2" t="s">
        <v>3178</v>
      </c>
      <c r="D1656" s="2" t="s">
        <v>5316</v>
      </c>
      <c r="E1656" s="2" t="s">
        <v>5317</v>
      </c>
      <c r="F1656" s="2" t="s">
        <v>5578</v>
      </c>
      <c r="G1656" s="2" t="s">
        <v>5578</v>
      </c>
      <c r="H1656" s="2" t="s">
        <v>5578</v>
      </c>
      <c r="I1656" s="2" t="s">
        <v>5579</v>
      </c>
      <c r="J1656" s="2" t="s">
        <v>5355</v>
      </c>
      <c r="K1656" s="2" t="s">
        <v>5600</v>
      </c>
      <c r="L1656" s="3">
        <v>12</v>
      </c>
      <c r="M1656" s="3">
        <v>12.6</v>
      </c>
      <c r="N1656" s="3">
        <v>25.99</v>
      </c>
      <c r="O1656" s="2" t="s">
        <v>97</v>
      </c>
      <c r="P1656" s="2" t="s">
        <v>2478</v>
      </c>
      <c r="Q1656" s="2" t="s">
        <v>99</v>
      </c>
      <c r="R1656" s="2" t="s">
        <v>100</v>
      </c>
      <c r="S1656" s="2" t="s">
        <v>100</v>
      </c>
      <c r="T1656" s="2" t="s">
        <v>280</v>
      </c>
      <c r="U1656" s="2" t="s">
        <v>1847</v>
      </c>
      <c r="V1656" s="2" t="s">
        <v>146</v>
      </c>
      <c r="W1656" s="2" t="s">
        <v>183</v>
      </c>
      <c r="X1656" s="2" t="s">
        <v>100</v>
      </c>
      <c r="Y1656" s="2" t="s">
        <v>100</v>
      </c>
      <c r="Z1656" s="4"/>
      <c r="AA1656" s="4">
        <f>=ROUNDDOWN({0},0)</f>
      </c>
      <c r="AB1656" s="5"/>
      <c r="AC1656" s="2" t="s">
        <v>5580</v>
      </c>
      <c r="AD1656" s="4">
        <v>644</v>
      </c>
      <c r="AE1656" s="4">
        <v>644</v>
      </c>
      <c r="AF1656" s="6">
        <v>69</v>
      </c>
      <c r="AG1656" s="6"/>
      <c r="AH1656" s="7"/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/>
      <c r="BK1656" s="8"/>
      <c r="BL1656" s="2" t="s">
        <v>100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2480</v>
      </c>
      <c r="BV1656" s="2" t="s">
        <v>97</v>
      </c>
      <c r="BW1656" s="2" t="s">
        <v>100</v>
      </c>
      <c r="BX1656" s="2" t="s">
        <v>100</v>
      </c>
      <c r="BY1656" s="2" t="s">
        <v>113</v>
      </c>
      <c r="BZ1656" s="2" t="s">
        <v>100</v>
      </c>
    </row>
    <row r="1657">
      <c r="A1657" s="2" t="s">
        <v>5601</v>
      </c>
      <c r="B1657" s="2" t="s">
        <v>5053</v>
      </c>
      <c r="C1657" s="2" t="s">
        <v>3178</v>
      </c>
      <c r="D1657" s="2" t="s">
        <v>5316</v>
      </c>
      <c r="E1657" s="2" t="s">
        <v>5317</v>
      </c>
      <c r="F1657" s="2" t="s">
        <v>5578</v>
      </c>
      <c r="G1657" s="2" t="s">
        <v>5578</v>
      </c>
      <c r="H1657" s="2" t="s">
        <v>5578</v>
      </c>
      <c r="I1657" s="2" t="s">
        <v>5579</v>
      </c>
      <c r="J1657" s="2" t="s">
        <v>5322</v>
      </c>
      <c r="K1657" s="2" t="s">
        <v>5600</v>
      </c>
      <c r="L1657" s="3">
        <v>21.3</v>
      </c>
      <c r="M1657" s="3">
        <v>22.37</v>
      </c>
      <c r="N1657" s="3">
        <v>45.99</v>
      </c>
      <c r="O1657" s="2" t="s">
        <v>97</v>
      </c>
      <c r="P1657" s="2" t="s">
        <v>2478</v>
      </c>
      <c r="Q1657" s="2" t="s">
        <v>99</v>
      </c>
      <c r="R1657" s="2" t="s">
        <v>100</v>
      </c>
      <c r="S1657" s="2" t="s">
        <v>100</v>
      </c>
      <c r="T1657" s="2" t="s">
        <v>280</v>
      </c>
      <c r="U1657" s="2" t="s">
        <v>1847</v>
      </c>
      <c r="V1657" s="2" t="s">
        <v>146</v>
      </c>
      <c r="W1657" s="2" t="s">
        <v>183</v>
      </c>
      <c r="X1657" s="2" t="s">
        <v>100</v>
      </c>
      <c r="Y1657" s="2" t="s">
        <v>100</v>
      </c>
      <c r="Z1657" s="4"/>
      <c r="AA1657" s="4">
        <f>=ROUNDDOWN({0},0)</f>
      </c>
      <c r="AB1657" s="5"/>
      <c r="AC1657" s="2" t="s">
        <v>5580</v>
      </c>
      <c r="AD1657" s="4">
        <v>500</v>
      </c>
      <c r="AE1657" s="4">
        <v>500</v>
      </c>
      <c r="AF1657" s="6">
        <v>69</v>
      </c>
      <c r="AG1657" s="6"/>
      <c r="AH1657" s="7"/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/>
      <c r="BK1657" s="8"/>
      <c r="BL1657" s="2" t="s">
        <v>100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2480</v>
      </c>
      <c r="BV1657" s="2" t="s">
        <v>97</v>
      </c>
      <c r="BW1657" s="2" t="s">
        <v>100</v>
      </c>
      <c r="BX1657" s="2" t="s">
        <v>100</v>
      </c>
      <c r="BY1657" s="2" t="s">
        <v>113</v>
      </c>
      <c r="BZ1657" s="2" t="s">
        <v>100</v>
      </c>
    </row>
    <row r="1658">
      <c r="A1658" s="2" t="s">
        <v>5602</v>
      </c>
      <c r="B1658" s="2" t="s">
        <v>5053</v>
      </c>
      <c r="C1658" s="2" t="s">
        <v>3178</v>
      </c>
      <c r="D1658" s="2" t="s">
        <v>5316</v>
      </c>
      <c r="E1658" s="2" t="s">
        <v>5317</v>
      </c>
      <c r="F1658" s="2" t="s">
        <v>5578</v>
      </c>
      <c r="G1658" s="2" t="s">
        <v>5578</v>
      </c>
      <c r="H1658" s="2" t="s">
        <v>5578</v>
      </c>
      <c r="I1658" s="2" t="s">
        <v>5579</v>
      </c>
      <c r="J1658" s="2" t="s">
        <v>5583</v>
      </c>
      <c r="K1658" s="2" t="s">
        <v>5600</v>
      </c>
      <c r="L1658" s="3">
        <v>18.5</v>
      </c>
      <c r="M1658" s="3">
        <v>19.43</v>
      </c>
      <c r="N1658" s="3">
        <v>39.99</v>
      </c>
      <c r="O1658" s="2" t="s">
        <v>97</v>
      </c>
      <c r="P1658" s="2" t="s">
        <v>2478</v>
      </c>
      <c r="Q1658" s="2" t="s">
        <v>99</v>
      </c>
      <c r="R1658" s="2" t="s">
        <v>100</v>
      </c>
      <c r="S1658" s="2" t="s">
        <v>100</v>
      </c>
      <c r="T1658" s="2" t="s">
        <v>280</v>
      </c>
      <c r="U1658" s="2" t="s">
        <v>1847</v>
      </c>
      <c r="V1658" s="2" t="s">
        <v>146</v>
      </c>
      <c r="W1658" s="2" t="s">
        <v>183</v>
      </c>
      <c r="X1658" s="2" t="s">
        <v>100</v>
      </c>
      <c r="Y1658" s="2" t="s">
        <v>100</v>
      </c>
      <c r="Z1658" s="4"/>
      <c r="AA1658" s="4">
        <f>=ROUNDDOWN({0},0)</f>
      </c>
      <c r="AB1658" s="5"/>
      <c r="AC1658" s="2" t="s">
        <v>5580</v>
      </c>
      <c r="AD1658" s="4">
        <v>464</v>
      </c>
      <c r="AE1658" s="4">
        <v>464</v>
      </c>
      <c r="AF1658" s="6">
        <v>69</v>
      </c>
      <c r="AG1658" s="6"/>
      <c r="AH1658" s="7"/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/>
      <c r="BK1658" s="8"/>
      <c r="BL1658" s="2" t="s">
        <v>100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2480</v>
      </c>
      <c r="BV1658" s="2" t="s">
        <v>97</v>
      </c>
      <c r="BW1658" s="2" t="s">
        <v>100</v>
      </c>
      <c r="BX1658" s="2" t="s">
        <v>100</v>
      </c>
      <c r="BY1658" s="2" t="s">
        <v>113</v>
      </c>
      <c r="BZ1658" s="2" t="s">
        <v>100</v>
      </c>
    </row>
    <row r="1659">
      <c r="A1659" s="2" t="s">
        <v>5603</v>
      </c>
      <c r="B1659" s="2" t="s">
        <v>5053</v>
      </c>
      <c r="C1659" s="2" t="s">
        <v>3178</v>
      </c>
      <c r="D1659" s="2" t="s">
        <v>5316</v>
      </c>
      <c r="E1659" s="2" t="s">
        <v>5317</v>
      </c>
      <c r="F1659" s="2" t="s">
        <v>5578</v>
      </c>
      <c r="G1659" s="2" t="s">
        <v>5578</v>
      </c>
      <c r="H1659" s="2" t="s">
        <v>5578</v>
      </c>
      <c r="I1659" s="2" t="s">
        <v>5579</v>
      </c>
      <c r="J1659" s="2" t="s">
        <v>5419</v>
      </c>
      <c r="K1659" s="2" t="s">
        <v>5600</v>
      </c>
      <c r="L1659" s="3">
        <v>27</v>
      </c>
      <c r="M1659" s="3">
        <v>28.35</v>
      </c>
      <c r="N1659" s="3">
        <v>56.99</v>
      </c>
      <c r="O1659" s="2" t="s">
        <v>97</v>
      </c>
      <c r="P1659" s="2" t="s">
        <v>2478</v>
      </c>
      <c r="Q1659" s="2" t="s">
        <v>99</v>
      </c>
      <c r="R1659" s="2" t="s">
        <v>100</v>
      </c>
      <c r="S1659" s="2" t="s">
        <v>100</v>
      </c>
      <c r="T1659" s="2" t="s">
        <v>280</v>
      </c>
      <c r="U1659" s="2" t="s">
        <v>1847</v>
      </c>
      <c r="V1659" s="2" t="s">
        <v>146</v>
      </c>
      <c r="W1659" s="2" t="s">
        <v>183</v>
      </c>
      <c r="X1659" s="2" t="s">
        <v>100</v>
      </c>
      <c r="Y1659" s="2" t="s">
        <v>100</v>
      </c>
      <c r="Z1659" s="4"/>
      <c r="AA1659" s="4">
        <f>=ROUNDDOWN({0},0)</f>
      </c>
      <c r="AB1659" s="5"/>
      <c r="AC1659" s="2" t="s">
        <v>5580</v>
      </c>
      <c r="AD1659" s="4">
        <v>308</v>
      </c>
      <c r="AE1659" s="4">
        <v>308</v>
      </c>
      <c r="AF1659" s="6">
        <v>69</v>
      </c>
      <c r="AG1659" s="6"/>
      <c r="AH1659" s="7"/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/>
      <c r="BK1659" s="8"/>
      <c r="BL1659" s="2" t="s">
        <v>100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2480</v>
      </c>
      <c r="BV1659" s="2" t="s">
        <v>97</v>
      </c>
      <c r="BW1659" s="2" t="s">
        <v>100</v>
      </c>
      <c r="BX1659" s="2" t="s">
        <v>100</v>
      </c>
      <c r="BY1659" s="2" t="s">
        <v>113</v>
      </c>
      <c r="BZ1659" s="2" t="s">
        <v>100</v>
      </c>
    </row>
    <row r="1660">
      <c r="A1660" s="2" t="s">
        <v>5604</v>
      </c>
      <c r="B1660" s="2" t="s">
        <v>5053</v>
      </c>
      <c r="C1660" s="2" t="s">
        <v>3178</v>
      </c>
      <c r="D1660" s="2" t="s">
        <v>5316</v>
      </c>
      <c r="E1660" s="2" t="s">
        <v>5317</v>
      </c>
      <c r="F1660" s="2" t="s">
        <v>5578</v>
      </c>
      <c r="G1660" s="2" t="s">
        <v>5578</v>
      </c>
      <c r="H1660" s="2" t="s">
        <v>5578</v>
      </c>
      <c r="I1660" s="2" t="s">
        <v>5579</v>
      </c>
      <c r="J1660" s="2" t="s">
        <v>5587</v>
      </c>
      <c r="K1660" s="2" t="s">
        <v>5600</v>
      </c>
      <c r="L1660" s="3">
        <v>14.8</v>
      </c>
      <c r="M1660" s="3">
        <v>15.54</v>
      </c>
      <c r="N1660" s="3">
        <v>31.99</v>
      </c>
      <c r="O1660" s="2" t="s">
        <v>97</v>
      </c>
      <c r="P1660" s="2" t="s">
        <v>2478</v>
      </c>
      <c r="Q1660" s="2" t="s">
        <v>99</v>
      </c>
      <c r="R1660" s="2" t="s">
        <v>100</v>
      </c>
      <c r="S1660" s="2" t="s">
        <v>100</v>
      </c>
      <c r="T1660" s="2" t="s">
        <v>280</v>
      </c>
      <c r="U1660" s="2" t="s">
        <v>1847</v>
      </c>
      <c r="V1660" s="2" t="s">
        <v>146</v>
      </c>
      <c r="W1660" s="2" t="s">
        <v>183</v>
      </c>
      <c r="X1660" s="2" t="s">
        <v>100</v>
      </c>
      <c r="Y1660" s="2" t="s">
        <v>100</v>
      </c>
      <c r="Z1660" s="4"/>
      <c r="AA1660" s="4">
        <f>=ROUNDDOWN({0},0)</f>
      </c>
      <c r="AB1660" s="5"/>
      <c r="AC1660" s="2" t="s">
        <v>5580</v>
      </c>
      <c r="AD1660" s="4">
        <v>1108</v>
      </c>
      <c r="AE1660" s="4">
        <v>1108</v>
      </c>
      <c r="AF1660" s="6">
        <v>69</v>
      </c>
      <c r="AG1660" s="6"/>
      <c r="AH1660" s="7"/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/>
      <c r="BK1660" s="8"/>
      <c r="BL1660" s="2" t="s">
        <v>100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2480</v>
      </c>
      <c r="BV1660" s="2" t="s">
        <v>97</v>
      </c>
      <c r="BW1660" s="2" t="s">
        <v>100</v>
      </c>
      <c r="BX1660" s="2" t="s">
        <v>100</v>
      </c>
      <c r="BY1660" s="2" t="s">
        <v>113</v>
      </c>
      <c r="BZ1660" s="2" t="s">
        <v>100</v>
      </c>
    </row>
    <row r="1661">
      <c r="A1661" s="2" t="s">
        <v>5605</v>
      </c>
      <c r="B1661" s="2" t="s">
        <v>5053</v>
      </c>
      <c r="C1661" s="2" t="s">
        <v>3178</v>
      </c>
      <c r="D1661" s="2" t="s">
        <v>5316</v>
      </c>
      <c r="E1661" s="2" t="s">
        <v>5317</v>
      </c>
      <c r="F1661" s="2" t="s">
        <v>5578</v>
      </c>
      <c r="G1661" s="2" t="s">
        <v>5578</v>
      </c>
      <c r="H1661" s="2" t="s">
        <v>5578</v>
      </c>
      <c r="I1661" s="2" t="s">
        <v>5579</v>
      </c>
      <c r="J1661" s="2" t="s">
        <v>5355</v>
      </c>
      <c r="K1661" s="2" t="s">
        <v>2477</v>
      </c>
      <c r="L1661" s="3">
        <v>12</v>
      </c>
      <c r="M1661" s="3">
        <v>12.6</v>
      </c>
      <c r="N1661" s="3">
        <v>25.99</v>
      </c>
      <c r="O1661" s="2" t="s">
        <v>97</v>
      </c>
      <c r="P1661" s="2" t="s">
        <v>2478</v>
      </c>
      <c r="Q1661" s="2" t="s">
        <v>99</v>
      </c>
      <c r="R1661" s="2" t="s">
        <v>100</v>
      </c>
      <c r="S1661" s="2" t="s">
        <v>100</v>
      </c>
      <c r="T1661" s="2" t="s">
        <v>280</v>
      </c>
      <c r="U1661" s="2" t="s">
        <v>1847</v>
      </c>
      <c r="V1661" s="2" t="s">
        <v>146</v>
      </c>
      <c r="W1661" s="2" t="s">
        <v>183</v>
      </c>
      <c r="X1661" s="2" t="s">
        <v>100</v>
      </c>
      <c r="Y1661" s="2" t="s">
        <v>100</v>
      </c>
      <c r="Z1661" s="4"/>
      <c r="AA1661" s="4">
        <f>=ROUNDDOWN({0},0)</f>
      </c>
      <c r="AB1661" s="5"/>
      <c r="AC1661" s="2" t="s">
        <v>5580</v>
      </c>
      <c r="AD1661" s="4">
        <v>140</v>
      </c>
      <c r="AE1661" s="4">
        <v>140</v>
      </c>
      <c r="AF1661" s="6">
        <v>69</v>
      </c>
      <c r="AG1661" s="6"/>
      <c r="AH1661" s="7"/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/>
      <c r="BK1661" s="8"/>
      <c r="BL1661" s="2" t="s">
        <v>100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2480</v>
      </c>
      <c r="BV1661" s="2" t="s">
        <v>97</v>
      </c>
      <c r="BW1661" s="2" t="s">
        <v>100</v>
      </c>
      <c r="BX1661" s="2" t="s">
        <v>100</v>
      </c>
      <c r="BY1661" s="2" t="s">
        <v>113</v>
      </c>
      <c r="BZ1661" s="2" t="s">
        <v>100</v>
      </c>
    </row>
    <row r="1662">
      <c r="A1662" s="2" t="s">
        <v>5606</v>
      </c>
      <c r="B1662" s="2" t="s">
        <v>5053</v>
      </c>
      <c r="C1662" s="2" t="s">
        <v>3178</v>
      </c>
      <c r="D1662" s="2" t="s">
        <v>5316</v>
      </c>
      <c r="E1662" s="2" t="s">
        <v>5317</v>
      </c>
      <c r="F1662" s="2" t="s">
        <v>5578</v>
      </c>
      <c r="G1662" s="2" t="s">
        <v>5578</v>
      </c>
      <c r="H1662" s="2" t="s">
        <v>5578</v>
      </c>
      <c r="I1662" s="2" t="s">
        <v>5579</v>
      </c>
      <c r="J1662" s="2" t="s">
        <v>5322</v>
      </c>
      <c r="K1662" s="2" t="s">
        <v>2477</v>
      </c>
      <c r="L1662" s="3">
        <v>21.3</v>
      </c>
      <c r="M1662" s="3">
        <v>22.37</v>
      </c>
      <c r="N1662" s="3">
        <v>45.99</v>
      </c>
      <c r="O1662" s="2" t="s">
        <v>97</v>
      </c>
      <c r="P1662" s="2" t="s">
        <v>2478</v>
      </c>
      <c r="Q1662" s="2" t="s">
        <v>99</v>
      </c>
      <c r="R1662" s="2" t="s">
        <v>100</v>
      </c>
      <c r="S1662" s="2" t="s">
        <v>100</v>
      </c>
      <c r="T1662" s="2" t="s">
        <v>280</v>
      </c>
      <c r="U1662" s="2" t="s">
        <v>1847</v>
      </c>
      <c r="V1662" s="2" t="s">
        <v>146</v>
      </c>
      <c r="W1662" s="2" t="s">
        <v>183</v>
      </c>
      <c r="X1662" s="2" t="s">
        <v>100</v>
      </c>
      <c r="Y1662" s="2" t="s">
        <v>100</v>
      </c>
      <c r="Z1662" s="4"/>
      <c r="AA1662" s="4">
        <f>=ROUNDDOWN({0},0)</f>
      </c>
      <c r="AB1662" s="5"/>
      <c r="AC1662" s="2" t="s">
        <v>5580</v>
      </c>
      <c r="AD1662" s="4">
        <v>128</v>
      </c>
      <c r="AE1662" s="4">
        <v>128</v>
      </c>
      <c r="AF1662" s="6">
        <v>69</v>
      </c>
      <c r="AG1662" s="6"/>
      <c r="AH1662" s="7"/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/>
      <c r="BK1662" s="8"/>
      <c r="BL1662" s="2" t="s">
        <v>100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2480</v>
      </c>
      <c r="BV1662" s="2" t="s">
        <v>97</v>
      </c>
      <c r="BW1662" s="2" t="s">
        <v>100</v>
      </c>
      <c r="BX1662" s="2" t="s">
        <v>100</v>
      </c>
      <c r="BY1662" s="2" t="s">
        <v>113</v>
      </c>
      <c r="BZ1662" s="2" t="s">
        <v>100</v>
      </c>
    </row>
    <row r="1663">
      <c r="A1663" s="2" t="s">
        <v>5607</v>
      </c>
      <c r="B1663" s="2" t="s">
        <v>5053</v>
      </c>
      <c r="C1663" s="2" t="s">
        <v>3178</v>
      </c>
      <c r="D1663" s="2" t="s">
        <v>5316</v>
      </c>
      <c r="E1663" s="2" t="s">
        <v>5317</v>
      </c>
      <c r="F1663" s="2" t="s">
        <v>5578</v>
      </c>
      <c r="G1663" s="2" t="s">
        <v>5578</v>
      </c>
      <c r="H1663" s="2" t="s">
        <v>5578</v>
      </c>
      <c r="I1663" s="2" t="s">
        <v>5579</v>
      </c>
      <c r="J1663" s="2" t="s">
        <v>5362</v>
      </c>
      <c r="K1663" s="2" t="s">
        <v>2477</v>
      </c>
      <c r="L1663" s="3">
        <v>16.56</v>
      </c>
      <c r="M1663" s="3">
        <v>17.39</v>
      </c>
      <c r="N1663" s="3">
        <v>34.99</v>
      </c>
      <c r="O1663" s="2" t="s">
        <v>97</v>
      </c>
      <c r="P1663" s="2" t="s">
        <v>225</v>
      </c>
      <c r="Q1663" s="2" t="s">
        <v>99</v>
      </c>
      <c r="R1663" s="2" t="s">
        <v>100</v>
      </c>
      <c r="S1663" s="2" t="s">
        <v>5608</v>
      </c>
      <c r="T1663" s="2" t="s">
        <v>280</v>
      </c>
      <c r="U1663" s="2" t="s">
        <v>1847</v>
      </c>
      <c r="V1663" s="2" t="s">
        <v>146</v>
      </c>
      <c r="W1663" s="2" t="s">
        <v>183</v>
      </c>
      <c r="X1663" s="2" t="s">
        <v>104</v>
      </c>
      <c r="Y1663" s="2" t="s">
        <v>5592</v>
      </c>
      <c r="Z1663" s="4">
        <v>241</v>
      </c>
      <c r="AA1663" s="4">
        <f>=ROUNDDOWN(5.47727272727273,0)</f>
      </c>
      <c r="AB1663" s="5">
        <v>44</v>
      </c>
      <c r="AC1663" s="2" t="s">
        <v>320</v>
      </c>
      <c r="AD1663" s="4">
        <v>260</v>
      </c>
      <c r="AE1663" s="4">
        <v>1820</v>
      </c>
      <c r="AF1663" s="6">
        <v>69</v>
      </c>
      <c r="AG1663" s="6"/>
      <c r="AH1663" s="7">
        <v>0.6952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1294</v>
      </c>
      <c r="BK1663" s="8">
        <v>24485</v>
      </c>
      <c r="BL1663" s="2" t="s">
        <v>5597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207</v>
      </c>
      <c r="BV1663" s="2" t="s">
        <v>97</v>
      </c>
      <c r="BW1663" s="2" t="s">
        <v>100</v>
      </c>
      <c r="BX1663" s="2" t="s">
        <v>100</v>
      </c>
      <c r="BY1663" s="2" t="s">
        <v>113</v>
      </c>
      <c r="BZ1663" s="2" t="s">
        <v>245</v>
      </c>
    </row>
    <row r="1664">
      <c r="A1664" s="2" t="s">
        <v>5609</v>
      </c>
      <c r="B1664" s="2" t="s">
        <v>5053</v>
      </c>
      <c r="C1664" s="2" t="s">
        <v>3178</v>
      </c>
      <c r="D1664" s="2" t="s">
        <v>5316</v>
      </c>
      <c r="E1664" s="2" t="s">
        <v>5317</v>
      </c>
      <c r="F1664" s="2" t="s">
        <v>5578</v>
      </c>
      <c r="G1664" s="2" t="s">
        <v>5578</v>
      </c>
      <c r="H1664" s="2" t="s">
        <v>5578</v>
      </c>
      <c r="I1664" s="2" t="s">
        <v>5579</v>
      </c>
      <c r="J1664" s="2" t="s">
        <v>5583</v>
      </c>
      <c r="K1664" s="2" t="s">
        <v>2477</v>
      </c>
      <c r="L1664" s="3">
        <v>18.5</v>
      </c>
      <c r="M1664" s="3">
        <v>19.43</v>
      </c>
      <c r="N1664" s="3">
        <v>39.99</v>
      </c>
      <c r="O1664" s="2" t="s">
        <v>97</v>
      </c>
      <c r="P1664" s="2" t="s">
        <v>2478</v>
      </c>
      <c r="Q1664" s="2" t="s">
        <v>99</v>
      </c>
      <c r="R1664" s="2" t="s">
        <v>100</v>
      </c>
      <c r="S1664" s="2" t="s">
        <v>100</v>
      </c>
      <c r="T1664" s="2" t="s">
        <v>280</v>
      </c>
      <c r="U1664" s="2" t="s">
        <v>1847</v>
      </c>
      <c r="V1664" s="2" t="s">
        <v>146</v>
      </c>
      <c r="W1664" s="2" t="s">
        <v>183</v>
      </c>
      <c r="X1664" s="2" t="s">
        <v>100</v>
      </c>
      <c r="Y1664" s="2" t="s">
        <v>100</v>
      </c>
      <c r="Z1664" s="4"/>
      <c r="AA1664" s="4">
        <f>=ROUNDDOWN({0},0)</f>
      </c>
      <c r="AB1664" s="5"/>
      <c r="AC1664" s="2" t="s">
        <v>5580</v>
      </c>
      <c r="AD1664" s="4">
        <v>100</v>
      </c>
      <c r="AE1664" s="4">
        <v>100</v>
      </c>
      <c r="AF1664" s="6">
        <v>69</v>
      </c>
      <c r="AG1664" s="6"/>
      <c r="AH1664" s="7"/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/>
      <c r="BK1664" s="8"/>
      <c r="BL1664" s="2" t="s">
        <v>100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2480</v>
      </c>
      <c r="BV1664" s="2" t="s">
        <v>97</v>
      </c>
      <c r="BW1664" s="2" t="s">
        <v>100</v>
      </c>
      <c r="BX1664" s="2" t="s">
        <v>100</v>
      </c>
      <c r="BY1664" s="2" t="s">
        <v>113</v>
      </c>
      <c r="BZ1664" s="2" t="s">
        <v>100</v>
      </c>
    </row>
    <row r="1665">
      <c r="A1665" s="2" t="s">
        <v>5610</v>
      </c>
      <c r="B1665" s="2" t="s">
        <v>5053</v>
      </c>
      <c r="C1665" s="2" t="s">
        <v>3178</v>
      </c>
      <c r="D1665" s="2" t="s">
        <v>5316</v>
      </c>
      <c r="E1665" s="2" t="s">
        <v>5317</v>
      </c>
      <c r="F1665" s="2" t="s">
        <v>5578</v>
      </c>
      <c r="G1665" s="2" t="s">
        <v>5578</v>
      </c>
      <c r="H1665" s="2" t="s">
        <v>5578</v>
      </c>
      <c r="I1665" s="2" t="s">
        <v>5579</v>
      </c>
      <c r="J1665" s="2" t="s">
        <v>5419</v>
      </c>
      <c r="K1665" s="2" t="s">
        <v>2477</v>
      </c>
      <c r="L1665" s="3">
        <v>27</v>
      </c>
      <c r="M1665" s="3">
        <v>28.35</v>
      </c>
      <c r="N1665" s="3">
        <v>56.99</v>
      </c>
      <c r="O1665" s="2" t="s">
        <v>97</v>
      </c>
      <c r="P1665" s="2" t="s">
        <v>2478</v>
      </c>
      <c r="Q1665" s="2" t="s">
        <v>99</v>
      </c>
      <c r="R1665" s="2" t="s">
        <v>100</v>
      </c>
      <c r="S1665" s="2" t="s">
        <v>100</v>
      </c>
      <c r="T1665" s="2" t="s">
        <v>280</v>
      </c>
      <c r="U1665" s="2" t="s">
        <v>1847</v>
      </c>
      <c r="V1665" s="2" t="s">
        <v>146</v>
      </c>
      <c r="W1665" s="2" t="s">
        <v>183</v>
      </c>
      <c r="X1665" s="2" t="s">
        <v>100</v>
      </c>
      <c r="Y1665" s="2" t="s">
        <v>100</v>
      </c>
      <c r="Z1665" s="4"/>
      <c r="AA1665" s="4">
        <f>=ROUNDDOWN({0},0)</f>
      </c>
      <c r="AB1665" s="5"/>
      <c r="AC1665" s="2" t="s">
        <v>5580</v>
      </c>
      <c r="AD1665" s="4">
        <v>60</v>
      </c>
      <c r="AE1665" s="4">
        <v>60</v>
      </c>
      <c r="AF1665" s="6">
        <v>69</v>
      </c>
      <c r="AG1665" s="6"/>
      <c r="AH1665" s="7"/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/>
      <c r="BK1665" s="8"/>
      <c r="BL1665" s="2" t="s">
        <v>100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2480</v>
      </c>
      <c r="BV1665" s="2" t="s">
        <v>97</v>
      </c>
      <c r="BW1665" s="2" t="s">
        <v>100</v>
      </c>
      <c r="BX1665" s="2" t="s">
        <v>100</v>
      </c>
      <c r="BY1665" s="2" t="s">
        <v>113</v>
      </c>
      <c r="BZ1665" s="2" t="s">
        <v>100</v>
      </c>
    </row>
    <row r="1666">
      <c r="A1666" s="2" t="s">
        <v>5611</v>
      </c>
      <c r="B1666" s="2" t="s">
        <v>5053</v>
      </c>
      <c r="C1666" s="2" t="s">
        <v>3178</v>
      </c>
      <c r="D1666" s="2" t="s">
        <v>5316</v>
      </c>
      <c r="E1666" s="2" t="s">
        <v>5317</v>
      </c>
      <c r="F1666" s="2" t="s">
        <v>5578</v>
      </c>
      <c r="G1666" s="2" t="s">
        <v>5578</v>
      </c>
      <c r="H1666" s="2" t="s">
        <v>5578</v>
      </c>
      <c r="I1666" s="2" t="s">
        <v>5579</v>
      </c>
      <c r="J1666" s="2" t="s">
        <v>5328</v>
      </c>
      <c r="K1666" s="2" t="s">
        <v>2477</v>
      </c>
      <c r="L1666" s="3">
        <v>30.24</v>
      </c>
      <c r="M1666" s="3">
        <v>31.75</v>
      </c>
      <c r="N1666" s="3">
        <v>64.99</v>
      </c>
      <c r="O1666" s="2" t="s">
        <v>97</v>
      </c>
      <c r="P1666" s="2" t="s">
        <v>225</v>
      </c>
      <c r="Q1666" s="2" t="s">
        <v>99</v>
      </c>
      <c r="R1666" s="2" t="s">
        <v>100</v>
      </c>
      <c r="S1666" s="2" t="s">
        <v>5608</v>
      </c>
      <c r="T1666" s="2" t="s">
        <v>280</v>
      </c>
      <c r="U1666" s="2" t="s">
        <v>1847</v>
      </c>
      <c r="V1666" s="2" t="s">
        <v>146</v>
      </c>
      <c r="W1666" s="2" t="s">
        <v>183</v>
      </c>
      <c r="X1666" s="2" t="s">
        <v>104</v>
      </c>
      <c r="Y1666" s="2" t="s">
        <v>5592</v>
      </c>
      <c r="Z1666" s="4">
        <v>179</v>
      </c>
      <c r="AA1666" s="4">
        <f>=ROUNDDOWN(6.39285714285714,0)</f>
      </c>
      <c r="AB1666" s="5">
        <v>28</v>
      </c>
      <c r="AC1666" s="2" t="s">
        <v>320</v>
      </c>
      <c r="AD1666" s="4">
        <v>200</v>
      </c>
      <c r="AE1666" s="4">
        <v>1040</v>
      </c>
      <c r="AF1666" s="6">
        <v>69</v>
      </c>
      <c r="AG1666" s="6"/>
      <c r="AH1666" s="7">
        <v>0.9519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653</v>
      </c>
      <c r="BK1666" s="8">
        <v>22586.64</v>
      </c>
      <c r="BL1666" s="2" t="s">
        <v>5597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207</v>
      </c>
      <c r="BV1666" s="2" t="s">
        <v>97</v>
      </c>
      <c r="BW1666" s="2" t="s">
        <v>100</v>
      </c>
      <c r="BX1666" s="2" t="s">
        <v>100</v>
      </c>
      <c r="BY1666" s="2" t="s">
        <v>113</v>
      </c>
      <c r="BZ1666" s="2" t="s">
        <v>245</v>
      </c>
    </row>
    <row r="1667">
      <c r="A1667" s="2" t="s">
        <v>5612</v>
      </c>
      <c r="B1667" s="2" t="s">
        <v>5053</v>
      </c>
      <c r="C1667" s="2" t="s">
        <v>3178</v>
      </c>
      <c r="D1667" s="2" t="s">
        <v>5316</v>
      </c>
      <c r="E1667" s="2" t="s">
        <v>5317</v>
      </c>
      <c r="F1667" s="2" t="s">
        <v>5578</v>
      </c>
      <c r="G1667" s="2" t="s">
        <v>5578</v>
      </c>
      <c r="H1667" s="2" t="s">
        <v>5578</v>
      </c>
      <c r="I1667" s="2" t="s">
        <v>5579</v>
      </c>
      <c r="J1667" s="2" t="s">
        <v>5587</v>
      </c>
      <c r="K1667" s="2" t="s">
        <v>2477</v>
      </c>
      <c r="L1667" s="3">
        <v>14.8</v>
      </c>
      <c r="M1667" s="3">
        <v>15.54</v>
      </c>
      <c r="N1667" s="3">
        <v>31.99</v>
      </c>
      <c r="O1667" s="2" t="s">
        <v>97</v>
      </c>
      <c r="P1667" s="2" t="s">
        <v>2478</v>
      </c>
      <c r="Q1667" s="2" t="s">
        <v>99</v>
      </c>
      <c r="R1667" s="2" t="s">
        <v>100</v>
      </c>
      <c r="S1667" s="2" t="s">
        <v>100</v>
      </c>
      <c r="T1667" s="2" t="s">
        <v>280</v>
      </c>
      <c r="U1667" s="2" t="s">
        <v>1847</v>
      </c>
      <c r="V1667" s="2" t="s">
        <v>146</v>
      </c>
      <c r="W1667" s="2" t="s">
        <v>183</v>
      </c>
      <c r="X1667" s="2" t="s">
        <v>100</v>
      </c>
      <c r="Y1667" s="2" t="s">
        <v>100</v>
      </c>
      <c r="Z1667" s="4"/>
      <c r="AA1667" s="4">
        <f>=ROUNDDOWN({0},0)</f>
      </c>
      <c r="AB1667" s="5"/>
      <c r="AC1667" s="2" t="s">
        <v>5580</v>
      </c>
      <c r="AD1667" s="4">
        <v>232</v>
      </c>
      <c r="AE1667" s="4">
        <v>232</v>
      </c>
      <c r="AF1667" s="6">
        <v>69</v>
      </c>
      <c r="AG1667" s="6"/>
      <c r="AH1667" s="7"/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/>
      <c r="BK1667" s="8"/>
      <c r="BL1667" s="2" t="s">
        <v>100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2480</v>
      </c>
      <c r="BV1667" s="2" t="s">
        <v>97</v>
      </c>
      <c r="BW1667" s="2" t="s">
        <v>100</v>
      </c>
      <c r="BX1667" s="2" t="s">
        <v>100</v>
      </c>
      <c r="BY1667" s="2" t="s">
        <v>113</v>
      </c>
      <c r="BZ1667" s="2" t="s">
        <v>100</v>
      </c>
    </row>
    <row r="1668">
      <c r="A1668" s="2" t="s">
        <v>5613</v>
      </c>
      <c r="B1668" s="2" t="s">
        <v>5053</v>
      </c>
      <c r="C1668" s="2" t="s">
        <v>3178</v>
      </c>
      <c r="D1668" s="2" t="s">
        <v>5316</v>
      </c>
      <c r="E1668" s="2" t="s">
        <v>5317</v>
      </c>
      <c r="F1668" s="2" t="s">
        <v>5578</v>
      </c>
      <c r="G1668" s="2" t="s">
        <v>5578</v>
      </c>
      <c r="H1668" s="2" t="s">
        <v>5578</v>
      </c>
      <c r="I1668" s="2" t="s">
        <v>5579</v>
      </c>
      <c r="J1668" s="2" t="s">
        <v>5355</v>
      </c>
      <c r="K1668" s="2" t="s">
        <v>278</v>
      </c>
      <c r="L1668" s="3">
        <v>12</v>
      </c>
      <c r="M1668" s="3">
        <v>12.6</v>
      </c>
      <c r="N1668" s="3">
        <v>25.99</v>
      </c>
      <c r="O1668" s="2" t="s">
        <v>97</v>
      </c>
      <c r="P1668" s="2" t="s">
        <v>2478</v>
      </c>
      <c r="Q1668" s="2" t="s">
        <v>99</v>
      </c>
      <c r="R1668" s="2" t="s">
        <v>100</v>
      </c>
      <c r="S1668" s="2" t="s">
        <v>100</v>
      </c>
      <c r="T1668" s="2" t="s">
        <v>280</v>
      </c>
      <c r="U1668" s="2" t="s">
        <v>1847</v>
      </c>
      <c r="V1668" s="2" t="s">
        <v>146</v>
      </c>
      <c r="W1668" s="2" t="s">
        <v>183</v>
      </c>
      <c r="X1668" s="2" t="s">
        <v>100</v>
      </c>
      <c r="Y1668" s="2" t="s">
        <v>100</v>
      </c>
      <c r="Z1668" s="4"/>
      <c r="AA1668" s="4">
        <f>=ROUNDDOWN({0},0)</f>
      </c>
      <c r="AB1668" s="5"/>
      <c r="AC1668" s="2" t="s">
        <v>5580</v>
      </c>
      <c r="AD1668" s="4">
        <v>312</v>
      </c>
      <c r="AE1668" s="4">
        <v>312</v>
      </c>
      <c r="AF1668" s="6">
        <v>69</v>
      </c>
      <c r="AG1668" s="6"/>
      <c r="AH1668" s="7"/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/>
      <c r="BK1668" s="8"/>
      <c r="BL1668" s="2" t="s">
        <v>100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2480</v>
      </c>
      <c r="BV1668" s="2" t="s">
        <v>97</v>
      </c>
      <c r="BW1668" s="2" t="s">
        <v>100</v>
      </c>
      <c r="BX1668" s="2" t="s">
        <v>100</v>
      </c>
      <c r="BY1668" s="2" t="s">
        <v>113</v>
      </c>
      <c r="BZ1668" s="2" t="s">
        <v>100</v>
      </c>
    </row>
    <row r="1669">
      <c r="A1669" s="2" t="s">
        <v>5614</v>
      </c>
      <c r="B1669" s="2" t="s">
        <v>5053</v>
      </c>
      <c r="C1669" s="2" t="s">
        <v>3178</v>
      </c>
      <c r="D1669" s="2" t="s">
        <v>5316</v>
      </c>
      <c r="E1669" s="2" t="s">
        <v>5317</v>
      </c>
      <c r="F1669" s="2" t="s">
        <v>5578</v>
      </c>
      <c r="G1669" s="2" t="s">
        <v>5578</v>
      </c>
      <c r="H1669" s="2" t="s">
        <v>5578</v>
      </c>
      <c r="I1669" s="2" t="s">
        <v>5579</v>
      </c>
      <c r="J1669" s="2" t="s">
        <v>5322</v>
      </c>
      <c r="K1669" s="2" t="s">
        <v>278</v>
      </c>
      <c r="L1669" s="3">
        <v>21.3</v>
      </c>
      <c r="M1669" s="3">
        <v>22.37</v>
      </c>
      <c r="N1669" s="3">
        <v>45.99</v>
      </c>
      <c r="O1669" s="2" t="s">
        <v>97</v>
      </c>
      <c r="P1669" s="2" t="s">
        <v>2478</v>
      </c>
      <c r="Q1669" s="2" t="s">
        <v>99</v>
      </c>
      <c r="R1669" s="2" t="s">
        <v>100</v>
      </c>
      <c r="S1669" s="2" t="s">
        <v>100</v>
      </c>
      <c r="T1669" s="2" t="s">
        <v>280</v>
      </c>
      <c r="U1669" s="2" t="s">
        <v>1847</v>
      </c>
      <c r="V1669" s="2" t="s">
        <v>146</v>
      </c>
      <c r="W1669" s="2" t="s">
        <v>183</v>
      </c>
      <c r="X1669" s="2" t="s">
        <v>100</v>
      </c>
      <c r="Y1669" s="2" t="s">
        <v>100</v>
      </c>
      <c r="Z1669" s="4"/>
      <c r="AA1669" s="4">
        <f>=ROUNDDOWN({0},0)</f>
      </c>
      <c r="AB1669" s="5"/>
      <c r="AC1669" s="2" t="s">
        <v>5580</v>
      </c>
      <c r="AD1669" s="4">
        <v>272</v>
      </c>
      <c r="AE1669" s="4">
        <v>272</v>
      </c>
      <c r="AF1669" s="6">
        <v>69</v>
      </c>
      <c r="AG1669" s="6"/>
      <c r="AH1669" s="7"/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/>
      <c r="BK1669" s="8"/>
      <c r="BL1669" s="2" t="s">
        <v>100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2480</v>
      </c>
      <c r="BV1669" s="2" t="s">
        <v>97</v>
      </c>
      <c r="BW1669" s="2" t="s">
        <v>100</v>
      </c>
      <c r="BX1669" s="2" t="s">
        <v>100</v>
      </c>
      <c r="BY1669" s="2" t="s">
        <v>113</v>
      </c>
      <c r="BZ1669" s="2" t="s">
        <v>100</v>
      </c>
    </row>
    <row r="1670">
      <c r="A1670" s="2" t="s">
        <v>5615</v>
      </c>
      <c r="B1670" s="2" t="s">
        <v>5053</v>
      </c>
      <c r="C1670" s="2" t="s">
        <v>3178</v>
      </c>
      <c r="D1670" s="2" t="s">
        <v>5316</v>
      </c>
      <c r="E1670" s="2" t="s">
        <v>5317</v>
      </c>
      <c r="F1670" s="2" t="s">
        <v>5578</v>
      </c>
      <c r="G1670" s="2" t="s">
        <v>5578</v>
      </c>
      <c r="H1670" s="2" t="s">
        <v>5578</v>
      </c>
      <c r="I1670" s="2" t="s">
        <v>5579</v>
      </c>
      <c r="J1670" s="2" t="s">
        <v>5583</v>
      </c>
      <c r="K1670" s="2" t="s">
        <v>278</v>
      </c>
      <c r="L1670" s="3">
        <v>18.5</v>
      </c>
      <c r="M1670" s="3">
        <v>19.43</v>
      </c>
      <c r="N1670" s="3">
        <v>39.99</v>
      </c>
      <c r="O1670" s="2" t="s">
        <v>97</v>
      </c>
      <c r="P1670" s="2" t="s">
        <v>2478</v>
      </c>
      <c r="Q1670" s="2" t="s">
        <v>99</v>
      </c>
      <c r="R1670" s="2" t="s">
        <v>100</v>
      </c>
      <c r="S1670" s="2" t="s">
        <v>100</v>
      </c>
      <c r="T1670" s="2" t="s">
        <v>280</v>
      </c>
      <c r="U1670" s="2" t="s">
        <v>1847</v>
      </c>
      <c r="V1670" s="2" t="s">
        <v>146</v>
      </c>
      <c r="W1670" s="2" t="s">
        <v>183</v>
      </c>
      <c r="X1670" s="2" t="s">
        <v>100</v>
      </c>
      <c r="Y1670" s="2" t="s">
        <v>100</v>
      </c>
      <c r="Z1670" s="4"/>
      <c r="AA1670" s="4">
        <f>=ROUNDDOWN({0},0)</f>
      </c>
      <c r="AB1670" s="5"/>
      <c r="AC1670" s="2" t="s">
        <v>5580</v>
      </c>
      <c r="AD1670" s="4">
        <v>224</v>
      </c>
      <c r="AE1670" s="4">
        <v>224</v>
      </c>
      <c r="AF1670" s="6">
        <v>69</v>
      </c>
      <c r="AG1670" s="6"/>
      <c r="AH1670" s="7"/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/>
      <c r="BK1670" s="8"/>
      <c r="BL1670" s="2" t="s">
        <v>100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2480</v>
      </c>
      <c r="BV1670" s="2" t="s">
        <v>97</v>
      </c>
      <c r="BW1670" s="2" t="s">
        <v>100</v>
      </c>
      <c r="BX1670" s="2" t="s">
        <v>100</v>
      </c>
      <c r="BY1670" s="2" t="s">
        <v>113</v>
      </c>
      <c r="BZ1670" s="2" t="s">
        <v>100</v>
      </c>
    </row>
    <row r="1671">
      <c r="A1671" s="2" t="s">
        <v>5616</v>
      </c>
      <c r="B1671" s="2" t="s">
        <v>5053</v>
      </c>
      <c r="C1671" s="2" t="s">
        <v>3178</v>
      </c>
      <c r="D1671" s="2" t="s">
        <v>5316</v>
      </c>
      <c r="E1671" s="2" t="s">
        <v>5317</v>
      </c>
      <c r="F1671" s="2" t="s">
        <v>5578</v>
      </c>
      <c r="G1671" s="2" t="s">
        <v>5578</v>
      </c>
      <c r="H1671" s="2" t="s">
        <v>5578</v>
      </c>
      <c r="I1671" s="2" t="s">
        <v>5579</v>
      </c>
      <c r="J1671" s="2" t="s">
        <v>5419</v>
      </c>
      <c r="K1671" s="2" t="s">
        <v>278</v>
      </c>
      <c r="L1671" s="3">
        <v>27</v>
      </c>
      <c r="M1671" s="3">
        <v>28.35</v>
      </c>
      <c r="N1671" s="3">
        <v>56.99</v>
      </c>
      <c r="O1671" s="2" t="s">
        <v>97</v>
      </c>
      <c r="P1671" s="2" t="s">
        <v>2478</v>
      </c>
      <c r="Q1671" s="2" t="s">
        <v>99</v>
      </c>
      <c r="R1671" s="2" t="s">
        <v>100</v>
      </c>
      <c r="S1671" s="2" t="s">
        <v>100</v>
      </c>
      <c r="T1671" s="2" t="s">
        <v>280</v>
      </c>
      <c r="U1671" s="2" t="s">
        <v>1847</v>
      </c>
      <c r="V1671" s="2" t="s">
        <v>146</v>
      </c>
      <c r="W1671" s="2" t="s">
        <v>183</v>
      </c>
      <c r="X1671" s="2" t="s">
        <v>100</v>
      </c>
      <c r="Y1671" s="2" t="s">
        <v>100</v>
      </c>
      <c r="Z1671" s="4"/>
      <c r="AA1671" s="4">
        <f>=ROUNDDOWN({0},0)</f>
      </c>
      <c r="AB1671" s="5"/>
      <c r="AC1671" s="2" t="s">
        <v>5580</v>
      </c>
      <c r="AD1671" s="4">
        <v>144</v>
      </c>
      <c r="AE1671" s="4">
        <v>144</v>
      </c>
      <c r="AF1671" s="6">
        <v>69</v>
      </c>
      <c r="AG1671" s="6"/>
      <c r="AH1671" s="7"/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/>
      <c r="BK1671" s="8"/>
      <c r="BL1671" s="2" t="s">
        <v>100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2480</v>
      </c>
      <c r="BV1671" s="2" t="s">
        <v>97</v>
      </c>
      <c r="BW1671" s="2" t="s">
        <v>100</v>
      </c>
      <c r="BX1671" s="2" t="s">
        <v>100</v>
      </c>
      <c r="BY1671" s="2" t="s">
        <v>113</v>
      </c>
      <c r="BZ1671" s="2" t="s">
        <v>100</v>
      </c>
    </row>
    <row r="1672">
      <c r="A1672" s="2" t="s">
        <v>5617</v>
      </c>
      <c r="B1672" s="2" t="s">
        <v>5053</v>
      </c>
      <c r="C1672" s="2" t="s">
        <v>3178</v>
      </c>
      <c r="D1672" s="2" t="s">
        <v>5316</v>
      </c>
      <c r="E1672" s="2" t="s">
        <v>5317</v>
      </c>
      <c r="F1672" s="2" t="s">
        <v>5578</v>
      </c>
      <c r="G1672" s="2" t="s">
        <v>5578</v>
      </c>
      <c r="H1672" s="2" t="s">
        <v>5578</v>
      </c>
      <c r="I1672" s="2" t="s">
        <v>5579</v>
      </c>
      <c r="J1672" s="2" t="s">
        <v>5328</v>
      </c>
      <c r="K1672" s="2" t="s">
        <v>278</v>
      </c>
      <c r="L1672" s="3">
        <v>30.24</v>
      </c>
      <c r="M1672" s="3">
        <v>31.75</v>
      </c>
      <c r="N1672" s="3">
        <v>64.99</v>
      </c>
      <c r="O1672" s="2" t="s">
        <v>97</v>
      </c>
      <c r="P1672" s="2" t="s">
        <v>2478</v>
      </c>
      <c r="Q1672" s="2" t="s">
        <v>99</v>
      </c>
      <c r="R1672" s="2" t="s">
        <v>100</v>
      </c>
      <c r="S1672" s="2" t="s">
        <v>100</v>
      </c>
      <c r="T1672" s="2" t="s">
        <v>280</v>
      </c>
      <c r="U1672" s="2" t="s">
        <v>1847</v>
      </c>
      <c r="V1672" s="2" t="s">
        <v>146</v>
      </c>
      <c r="W1672" s="2" t="s">
        <v>183</v>
      </c>
      <c r="X1672" s="2" t="s">
        <v>100</v>
      </c>
      <c r="Y1672" s="2" t="s">
        <v>100</v>
      </c>
      <c r="Z1672" s="4"/>
      <c r="AA1672" s="4">
        <f>=ROUNDDOWN({0},0)</f>
      </c>
      <c r="AB1672" s="5"/>
      <c r="AC1672" s="2" t="s">
        <v>5580</v>
      </c>
      <c r="AD1672" s="4">
        <v>120</v>
      </c>
      <c r="AE1672" s="4">
        <v>120</v>
      </c>
      <c r="AF1672" s="6">
        <v>69</v>
      </c>
      <c r="AG1672" s="6"/>
      <c r="AH1672" s="7"/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/>
      <c r="BK1672" s="8"/>
      <c r="BL1672" s="2" t="s">
        <v>100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2480</v>
      </c>
      <c r="BV1672" s="2" t="s">
        <v>97</v>
      </c>
      <c r="BW1672" s="2" t="s">
        <v>100</v>
      </c>
      <c r="BX1672" s="2" t="s">
        <v>100</v>
      </c>
      <c r="BY1672" s="2" t="s">
        <v>113</v>
      </c>
      <c r="BZ1672" s="2" t="s">
        <v>100</v>
      </c>
    </row>
    <row r="1673">
      <c r="A1673" s="2" t="s">
        <v>5618</v>
      </c>
      <c r="B1673" s="2" t="s">
        <v>5053</v>
      </c>
      <c r="C1673" s="2" t="s">
        <v>3178</v>
      </c>
      <c r="D1673" s="2" t="s">
        <v>5316</v>
      </c>
      <c r="E1673" s="2" t="s">
        <v>5317</v>
      </c>
      <c r="F1673" s="2" t="s">
        <v>5578</v>
      </c>
      <c r="G1673" s="2" t="s">
        <v>5578</v>
      </c>
      <c r="H1673" s="2" t="s">
        <v>5578</v>
      </c>
      <c r="I1673" s="2" t="s">
        <v>5579</v>
      </c>
      <c r="J1673" s="2" t="s">
        <v>5587</v>
      </c>
      <c r="K1673" s="2" t="s">
        <v>278</v>
      </c>
      <c r="L1673" s="3">
        <v>14.8</v>
      </c>
      <c r="M1673" s="3">
        <v>15.54</v>
      </c>
      <c r="N1673" s="3">
        <v>31.99</v>
      </c>
      <c r="O1673" s="2" t="s">
        <v>97</v>
      </c>
      <c r="P1673" s="2" t="s">
        <v>2478</v>
      </c>
      <c r="Q1673" s="2" t="s">
        <v>99</v>
      </c>
      <c r="R1673" s="2" t="s">
        <v>100</v>
      </c>
      <c r="S1673" s="2" t="s">
        <v>100</v>
      </c>
      <c r="T1673" s="2" t="s">
        <v>280</v>
      </c>
      <c r="U1673" s="2" t="s">
        <v>1847</v>
      </c>
      <c r="V1673" s="2" t="s">
        <v>146</v>
      </c>
      <c r="W1673" s="2" t="s">
        <v>183</v>
      </c>
      <c r="X1673" s="2" t="s">
        <v>100</v>
      </c>
      <c r="Y1673" s="2" t="s">
        <v>100</v>
      </c>
      <c r="Z1673" s="4"/>
      <c r="AA1673" s="4">
        <f>=ROUNDDOWN({0},0)</f>
      </c>
      <c r="AB1673" s="5"/>
      <c r="AC1673" s="2" t="s">
        <v>5580</v>
      </c>
      <c r="AD1673" s="4">
        <v>508</v>
      </c>
      <c r="AE1673" s="4">
        <v>508</v>
      </c>
      <c r="AF1673" s="6">
        <v>69</v>
      </c>
      <c r="AG1673" s="6"/>
      <c r="AH1673" s="7"/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/>
      <c r="BK1673" s="8"/>
      <c r="BL1673" s="2" t="s">
        <v>100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2480</v>
      </c>
      <c r="BV1673" s="2" t="s">
        <v>97</v>
      </c>
      <c r="BW1673" s="2" t="s">
        <v>100</v>
      </c>
      <c r="BX1673" s="2" t="s">
        <v>100</v>
      </c>
      <c r="BY1673" s="2" t="s">
        <v>113</v>
      </c>
      <c r="BZ1673" s="2" t="s">
        <v>100</v>
      </c>
    </row>
    <row r="1674">
      <c r="A1674" s="2" t="s">
        <v>5619</v>
      </c>
      <c r="B1674" s="2" t="s">
        <v>5053</v>
      </c>
      <c r="C1674" s="2" t="s">
        <v>3178</v>
      </c>
      <c r="D1674" s="2" t="s">
        <v>5316</v>
      </c>
      <c r="E1674" s="2" t="s">
        <v>5317</v>
      </c>
      <c r="F1674" s="2" t="s">
        <v>5578</v>
      </c>
      <c r="G1674" s="2" t="s">
        <v>5578</v>
      </c>
      <c r="H1674" s="2" t="s">
        <v>5578</v>
      </c>
      <c r="I1674" s="2" t="s">
        <v>5579</v>
      </c>
      <c r="J1674" s="2" t="s">
        <v>5355</v>
      </c>
      <c r="K1674" s="2" t="s">
        <v>198</v>
      </c>
      <c r="L1674" s="3">
        <v>12</v>
      </c>
      <c r="M1674" s="3">
        <v>12.6</v>
      </c>
      <c r="N1674" s="3">
        <v>25.99</v>
      </c>
      <c r="O1674" s="2" t="s">
        <v>97</v>
      </c>
      <c r="P1674" s="2" t="s">
        <v>2478</v>
      </c>
      <c r="Q1674" s="2" t="s">
        <v>99</v>
      </c>
      <c r="R1674" s="2" t="s">
        <v>100</v>
      </c>
      <c r="S1674" s="2" t="s">
        <v>100</v>
      </c>
      <c r="T1674" s="2" t="s">
        <v>280</v>
      </c>
      <c r="U1674" s="2" t="s">
        <v>1847</v>
      </c>
      <c r="V1674" s="2" t="s">
        <v>146</v>
      </c>
      <c r="W1674" s="2" t="s">
        <v>183</v>
      </c>
      <c r="X1674" s="2" t="s">
        <v>100</v>
      </c>
      <c r="Y1674" s="2" t="s">
        <v>100</v>
      </c>
      <c r="Z1674" s="4"/>
      <c r="AA1674" s="4">
        <f>=ROUNDDOWN({0},0)</f>
      </c>
      <c r="AB1674" s="5"/>
      <c r="AC1674" s="2" t="s">
        <v>5580</v>
      </c>
      <c r="AD1674" s="4">
        <v>268</v>
      </c>
      <c r="AE1674" s="4">
        <v>268</v>
      </c>
      <c r="AF1674" s="6">
        <v>69</v>
      </c>
      <c r="AG1674" s="6"/>
      <c r="AH1674" s="7"/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/>
      <c r="BK1674" s="8"/>
      <c r="BL1674" s="2" t="s">
        <v>100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2480</v>
      </c>
      <c r="BV1674" s="2" t="s">
        <v>97</v>
      </c>
      <c r="BW1674" s="2" t="s">
        <v>100</v>
      </c>
      <c r="BX1674" s="2" t="s">
        <v>100</v>
      </c>
      <c r="BY1674" s="2" t="s">
        <v>113</v>
      </c>
      <c r="BZ1674" s="2" t="s">
        <v>100</v>
      </c>
    </row>
    <row r="1675">
      <c r="A1675" s="2" t="s">
        <v>5620</v>
      </c>
      <c r="B1675" s="2" t="s">
        <v>5053</v>
      </c>
      <c r="C1675" s="2" t="s">
        <v>3178</v>
      </c>
      <c r="D1675" s="2" t="s">
        <v>5316</v>
      </c>
      <c r="E1675" s="2" t="s">
        <v>5317</v>
      </c>
      <c r="F1675" s="2" t="s">
        <v>5578</v>
      </c>
      <c r="G1675" s="2" t="s">
        <v>5578</v>
      </c>
      <c r="H1675" s="2" t="s">
        <v>5578</v>
      </c>
      <c r="I1675" s="2" t="s">
        <v>5579</v>
      </c>
      <c r="J1675" s="2" t="s">
        <v>5322</v>
      </c>
      <c r="K1675" s="2" t="s">
        <v>198</v>
      </c>
      <c r="L1675" s="3">
        <v>21.3</v>
      </c>
      <c r="M1675" s="3">
        <v>22.37</v>
      </c>
      <c r="N1675" s="3">
        <v>45.99</v>
      </c>
      <c r="O1675" s="2" t="s">
        <v>97</v>
      </c>
      <c r="P1675" s="2" t="s">
        <v>2478</v>
      </c>
      <c r="Q1675" s="2" t="s">
        <v>99</v>
      </c>
      <c r="R1675" s="2" t="s">
        <v>100</v>
      </c>
      <c r="S1675" s="2" t="s">
        <v>100</v>
      </c>
      <c r="T1675" s="2" t="s">
        <v>280</v>
      </c>
      <c r="U1675" s="2" t="s">
        <v>1847</v>
      </c>
      <c r="V1675" s="2" t="s">
        <v>146</v>
      </c>
      <c r="W1675" s="2" t="s">
        <v>183</v>
      </c>
      <c r="X1675" s="2" t="s">
        <v>100</v>
      </c>
      <c r="Y1675" s="2" t="s">
        <v>100</v>
      </c>
      <c r="Z1675" s="4"/>
      <c r="AA1675" s="4">
        <f>=ROUNDDOWN({0},0)</f>
      </c>
      <c r="AB1675" s="5"/>
      <c r="AC1675" s="2" t="s">
        <v>5580</v>
      </c>
      <c r="AD1675" s="4">
        <v>248</v>
      </c>
      <c r="AE1675" s="4">
        <v>248</v>
      </c>
      <c r="AF1675" s="6">
        <v>69</v>
      </c>
      <c r="AG1675" s="6"/>
      <c r="AH1675" s="7"/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/>
      <c r="BK1675" s="8"/>
      <c r="BL1675" s="2" t="s">
        <v>100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2480</v>
      </c>
      <c r="BV1675" s="2" t="s">
        <v>97</v>
      </c>
      <c r="BW1675" s="2" t="s">
        <v>100</v>
      </c>
      <c r="BX1675" s="2" t="s">
        <v>100</v>
      </c>
      <c r="BY1675" s="2" t="s">
        <v>113</v>
      </c>
      <c r="BZ1675" s="2" t="s">
        <v>100</v>
      </c>
    </row>
    <row r="1676">
      <c r="A1676" s="2" t="s">
        <v>5621</v>
      </c>
      <c r="B1676" s="2" t="s">
        <v>5053</v>
      </c>
      <c r="C1676" s="2" t="s">
        <v>3178</v>
      </c>
      <c r="D1676" s="2" t="s">
        <v>5316</v>
      </c>
      <c r="E1676" s="2" t="s">
        <v>5317</v>
      </c>
      <c r="F1676" s="2" t="s">
        <v>5578</v>
      </c>
      <c r="G1676" s="2" t="s">
        <v>5578</v>
      </c>
      <c r="H1676" s="2" t="s">
        <v>5578</v>
      </c>
      <c r="I1676" s="2" t="s">
        <v>5579</v>
      </c>
      <c r="J1676" s="2" t="s">
        <v>5583</v>
      </c>
      <c r="K1676" s="2" t="s">
        <v>198</v>
      </c>
      <c r="L1676" s="3">
        <v>18.5</v>
      </c>
      <c r="M1676" s="3">
        <v>19.43</v>
      </c>
      <c r="N1676" s="3">
        <v>39.99</v>
      </c>
      <c r="O1676" s="2" t="s">
        <v>97</v>
      </c>
      <c r="P1676" s="2" t="s">
        <v>2478</v>
      </c>
      <c r="Q1676" s="2" t="s">
        <v>99</v>
      </c>
      <c r="R1676" s="2" t="s">
        <v>100</v>
      </c>
      <c r="S1676" s="2" t="s">
        <v>100</v>
      </c>
      <c r="T1676" s="2" t="s">
        <v>280</v>
      </c>
      <c r="U1676" s="2" t="s">
        <v>1847</v>
      </c>
      <c r="V1676" s="2" t="s">
        <v>146</v>
      </c>
      <c r="W1676" s="2" t="s">
        <v>183</v>
      </c>
      <c r="X1676" s="2" t="s">
        <v>100</v>
      </c>
      <c r="Y1676" s="2" t="s">
        <v>100</v>
      </c>
      <c r="Z1676" s="4"/>
      <c r="AA1676" s="4">
        <f>=ROUNDDOWN({0},0)</f>
      </c>
      <c r="AB1676" s="5"/>
      <c r="AC1676" s="2" t="s">
        <v>5580</v>
      </c>
      <c r="AD1676" s="4">
        <v>188</v>
      </c>
      <c r="AE1676" s="4">
        <v>188</v>
      </c>
      <c r="AF1676" s="6">
        <v>69</v>
      </c>
      <c r="AG1676" s="6"/>
      <c r="AH1676" s="7"/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/>
      <c r="BK1676" s="8"/>
      <c r="BL1676" s="2" t="s">
        <v>100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2480</v>
      </c>
      <c r="BV1676" s="2" t="s">
        <v>97</v>
      </c>
      <c r="BW1676" s="2" t="s">
        <v>100</v>
      </c>
      <c r="BX1676" s="2" t="s">
        <v>100</v>
      </c>
      <c r="BY1676" s="2" t="s">
        <v>113</v>
      </c>
      <c r="BZ1676" s="2" t="s">
        <v>100</v>
      </c>
    </row>
    <row r="1677">
      <c r="A1677" s="2" t="s">
        <v>5622</v>
      </c>
      <c r="B1677" s="2" t="s">
        <v>5053</v>
      </c>
      <c r="C1677" s="2" t="s">
        <v>3178</v>
      </c>
      <c r="D1677" s="2" t="s">
        <v>5316</v>
      </c>
      <c r="E1677" s="2" t="s">
        <v>5317</v>
      </c>
      <c r="F1677" s="2" t="s">
        <v>5578</v>
      </c>
      <c r="G1677" s="2" t="s">
        <v>5578</v>
      </c>
      <c r="H1677" s="2" t="s">
        <v>5578</v>
      </c>
      <c r="I1677" s="2" t="s">
        <v>5579</v>
      </c>
      <c r="J1677" s="2" t="s">
        <v>5419</v>
      </c>
      <c r="K1677" s="2" t="s">
        <v>198</v>
      </c>
      <c r="L1677" s="3">
        <v>27</v>
      </c>
      <c r="M1677" s="3">
        <v>28.35</v>
      </c>
      <c r="N1677" s="3">
        <v>56.99</v>
      </c>
      <c r="O1677" s="2" t="s">
        <v>97</v>
      </c>
      <c r="P1677" s="2" t="s">
        <v>2478</v>
      </c>
      <c r="Q1677" s="2" t="s">
        <v>99</v>
      </c>
      <c r="R1677" s="2" t="s">
        <v>100</v>
      </c>
      <c r="S1677" s="2" t="s">
        <v>100</v>
      </c>
      <c r="T1677" s="2" t="s">
        <v>280</v>
      </c>
      <c r="U1677" s="2" t="s">
        <v>1847</v>
      </c>
      <c r="V1677" s="2" t="s">
        <v>146</v>
      </c>
      <c r="W1677" s="2" t="s">
        <v>183</v>
      </c>
      <c r="X1677" s="2" t="s">
        <v>100</v>
      </c>
      <c r="Y1677" s="2" t="s">
        <v>100</v>
      </c>
      <c r="Z1677" s="4"/>
      <c r="AA1677" s="4">
        <f>=ROUNDDOWN({0},0)</f>
      </c>
      <c r="AB1677" s="5"/>
      <c r="AC1677" s="2" t="s">
        <v>5580</v>
      </c>
      <c r="AD1677" s="4">
        <v>120</v>
      </c>
      <c r="AE1677" s="4">
        <v>120</v>
      </c>
      <c r="AF1677" s="6">
        <v>69</v>
      </c>
      <c r="AG1677" s="6"/>
      <c r="AH1677" s="7"/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/>
      <c r="BK1677" s="8"/>
      <c r="BL1677" s="2" t="s">
        <v>100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2480</v>
      </c>
      <c r="BV1677" s="2" t="s">
        <v>97</v>
      </c>
      <c r="BW1677" s="2" t="s">
        <v>100</v>
      </c>
      <c r="BX1677" s="2" t="s">
        <v>100</v>
      </c>
      <c r="BY1677" s="2" t="s">
        <v>113</v>
      </c>
      <c r="BZ1677" s="2" t="s">
        <v>100</v>
      </c>
    </row>
    <row r="1678">
      <c r="A1678" s="2" t="s">
        <v>5623</v>
      </c>
      <c r="B1678" s="2" t="s">
        <v>5053</v>
      </c>
      <c r="C1678" s="2" t="s">
        <v>3178</v>
      </c>
      <c r="D1678" s="2" t="s">
        <v>5316</v>
      </c>
      <c r="E1678" s="2" t="s">
        <v>5317</v>
      </c>
      <c r="F1678" s="2" t="s">
        <v>5578</v>
      </c>
      <c r="G1678" s="2" t="s">
        <v>5578</v>
      </c>
      <c r="H1678" s="2" t="s">
        <v>5578</v>
      </c>
      <c r="I1678" s="2" t="s">
        <v>5624</v>
      </c>
      <c r="J1678" s="2" t="s">
        <v>5328</v>
      </c>
      <c r="K1678" s="2" t="s">
        <v>198</v>
      </c>
      <c r="L1678" s="3">
        <v>30.24</v>
      </c>
      <c r="M1678" s="3">
        <v>31.75</v>
      </c>
      <c r="N1678" s="3">
        <v>64.99</v>
      </c>
      <c r="O1678" s="2" t="s">
        <v>97</v>
      </c>
      <c r="P1678" s="2" t="s">
        <v>372</v>
      </c>
      <c r="Q1678" s="2" t="s">
        <v>99</v>
      </c>
      <c r="R1678" s="2" t="s">
        <v>100</v>
      </c>
      <c r="S1678" s="2" t="s">
        <v>5625</v>
      </c>
      <c r="T1678" s="2" t="s">
        <v>280</v>
      </c>
      <c r="U1678" s="2" t="s">
        <v>1847</v>
      </c>
      <c r="V1678" s="2" t="s">
        <v>146</v>
      </c>
      <c r="W1678" s="2" t="s">
        <v>183</v>
      </c>
      <c r="X1678" s="2" t="s">
        <v>104</v>
      </c>
      <c r="Y1678" s="2" t="s">
        <v>5626</v>
      </c>
      <c r="Z1678" s="4">
        <v>634</v>
      </c>
      <c r="AA1678" s="4">
        <f>=ROUNDDOWN(16.6842105263158,0)</f>
      </c>
      <c r="AB1678" s="5">
        <v>38</v>
      </c>
      <c r="AC1678" s="2" t="s">
        <v>2739</v>
      </c>
      <c r="AD1678" s="4">
        <v>400</v>
      </c>
      <c r="AE1678" s="4">
        <v>800</v>
      </c>
      <c r="AF1678" s="6">
        <v>69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1158</v>
      </c>
      <c r="BK1678" s="8">
        <v>41263.62</v>
      </c>
      <c r="BL1678" s="2" t="s">
        <v>5627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207</v>
      </c>
      <c r="BV1678" s="2" t="s">
        <v>97</v>
      </c>
      <c r="BW1678" s="2" t="s">
        <v>100</v>
      </c>
      <c r="BX1678" s="2" t="s">
        <v>100</v>
      </c>
      <c r="BY1678" s="2" t="s">
        <v>113</v>
      </c>
      <c r="BZ1678" s="2" t="s">
        <v>245</v>
      </c>
    </row>
    <row r="1679">
      <c r="A1679" s="2" t="s">
        <v>5628</v>
      </c>
      <c r="B1679" s="2" t="s">
        <v>5053</v>
      </c>
      <c r="C1679" s="2" t="s">
        <v>3178</v>
      </c>
      <c r="D1679" s="2" t="s">
        <v>5316</v>
      </c>
      <c r="E1679" s="2" t="s">
        <v>5317</v>
      </c>
      <c r="F1679" s="2" t="s">
        <v>5578</v>
      </c>
      <c r="G1679" s="2" t="s">
        <v>5578</v>
      </c>
      <c r="H1679" s="2" t="s">
        <v>5578</v>
      </c>
      <c r="I1679" s="2" t="s">
        <v>5579</v>
      </c>
      <c r="J1679" s="2" t="s">
        <v>5587</v>
      </c>
      <c r="K1679" s="2" t="s">
        <v>198</v>
      </c>
      <c r="L1679" s="3">
        <v>14.8</v>
      </c>
      <c r="M1679" s="3">
        <v>15.54</v>
      </c>
      <c r="N1679" s="3">
        <v>31.99</v>
      </c>
      <c r="O1679" s="2" t="s">
        <v>97</v>
      </c>
      <c r="P1679" s="2" t="s">
        <v>2478</v>
      </c>
      <c r="Q1679" s="2" t="s">
        <v>99</v>
      </c>
      <c r="R1679" s="2" t="s">
        <v>100</v>
      </c>
      <c r="S1679" s="2" t="s">
        <v>100</v>
      </c>
      <c r="T1679" s="2" t="s">
        <v>280</v>
      </c>
      <c r="U1679" s="2" t="s">
        <v>1847</v>
      </c>
      <c r="V1679" s="2" t="s">
        <v>146</v>
      </c>
      <c r="W1679" s="2" t="s">
        <v>183</v>
      </c>
      <c r="X1679" s="2" t="s">
        <v>100</v>
      </c>
      <c r="Y1679" s="2" t="s">
        <v>100</v>
      </c>
      <c r="Z1679" s="4"/>
      <c r="AA1679" s="4">
        <f>=ROUNDDOWN({0},0)</f>
      </c>
      <c r="AB1679" s="5"/>
      <c r="AC1679" s="2" t="s">
        <v>5580</v>
      </c>
      <c r="AD1679" s="4">
        <v>452</v>
      </c>
      <c r="AE1679" s="4">
        <v>452</v>
      </c>
      <c r="AF1679" s="6">
        <v>69</v>
      </c>
      <c r="AG1679" s="6"/>
      <c r="AH1679" s="7"/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/>
      <c r="BK1679" s="8"/>
      <c r="BL1679" s="2" t="s">
        <v>100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2480</v>
      </c>
      <c r="BV1679" s="2" t="s">
        <v>97</v>
      </c>
      <c r="BW1679" s="2" t="s">
        <v>100</v>
      </c>
      <c r="BX1679" s="2" t="s">
        <v>100</v>
      </c>
      <c r="BY1679" s="2" t="s">
        <v>113</v>
      </c>
      <c r="BZ1679" s="2" t="s">
        <v>100</v>
      </c>
    </row>
    <row r="1680">
      <c r="A1680" s="2" t="s">
        <v>5629</v>
      </c>
      <c r="B1680" s="2" t="s">
        <v>5053</v>
      </c>
      <c r="C1680" s="2" t="s">
        <v>3178</v>
      </c>
      <c r="D1680" s="2" t="s">
        <v>5316</v>
      </c>
      <c r="E1680" s="2" t="s">
        <v>5317</v>
      </c>
      <c r="F1680" s="2" t="s">
        <v>5578</v>
      </c>
      <c r="G1680" s="2" t="s">
        <v>5578</v>
      </c>
      <c r="H1680" s="2" t="s">
        <v>5578</v>
      </c>
      <c r="I1680" s="2" t="s">
        <v>5579</v>
      </c>
      <c r="J1680" s="2" t="s">
        <v>5355</v>
      </c>
      <c r="K1680" s="2" t="s">
        <v>5630</v>
      </c>
      <c r="L1680" s="3">
        <v>12</v>
      </c>
      <c r="M1680" s="3">
        <v>12.6</v>
      </c>
      <c r="N1680" s="3">
        <v>25.99</v>
      </c>
      <c r="O1680" s="2" t="s">
        <v>97</v>
      </c>
      <c r="P1680" s="2" t="s">
        <v>2478</v>
      </c>
      <c r="Q1680" s="2" t="s">
        <v>99</v>
      </c>
      <c r="R1680" s="2" t="s">
        <v>100</v>
      </c>
      <c r="S1680" s="2" t="s">
        <v>100</v>
      </c>
      <c r="T1680" s="2" t="s">
        <v>280</v>
      </c>
      <c r="U1680" s="2" t="s">
        <v>1847</v>
      </c>
      <c r="V1680" s="2" t="s">
        <v>146</v>
      </c>
      <c r="W1680" s="2" t="s">
        <v>183</v>
      </c>
      <c r="X1680" s="2" t="s">
        <v>100</v>
      </c>
      <c r="Y1680" s="2" t="s">
        <v>100</v>
      </c>
      <c r="Z1680" s="4"/>
      <c r="AA1680" s="4">
        <f>=ROUNDDOWN({0},0)</f>
      </c>
      <c r="AB1680" s="5"/>
      <c r="AC1680" s="2" t="s">
        <v>5580</v>
      </c>
      <c r="AD1680" s="4">
        <v>404</v>
      </c>
      <c r="AE1680" s="4">
        <v>404</v>
      </c>
      <c r="AF1680" s="6">
        <v>69</v>
      </c>
      <c r="AG1680" s="6"/>
      <c r="AH1680" s="7"/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/>
      <c r="BK1680" s="8"/>
      <c r="BL1680" s="2" t="s">
        <v>100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2480</v>
      </c>
      <c r="BV1680" s="2" t="s">
        <v>97</v>
      </c>
      <c r="BW1680" s="2" t="s">
        <v>100</v>
      </c>
      <c r="BX1680" s="2" t="s">
        <v>100</v>
      </c>
      <c r="BY1680" s="2" t="s">
        <v>113</v>
      </c>
      <c r="BZ1680" s="2" t="s">
        <v>100</v>
      </c>
    </row>
    <row r="1681">
      <c r="A1681" s="2" t="s">
        <v>5631</v>
      </c>
      <c r="B1681" s="2" t="s">
        <v>5053</v>
      </c>
      <c r="C1681" s="2" t="s">
        <v>3178</v>
      </c>
      <c r="D1681" s="2" t="s">
        <v>5316</v>
      </c>
      <c r="E1681" s="2" t="s">
        <v>5317</v>
      </c>
      <c r="F1681" s="2" t="s">
        <v>5578</v>
      </c>
      <c r="G1681" s="2" t="s">
        <v>5578</v>
      </c>
      <c r="H1681" s="2" t="s">
        <v>5578</v>
      </c>
      <c r="I1681" s="2" t="s">
        <v>5579</v>
      </c>
      <c r="J1681" s="2" t="s">
        <v>5322</v>
      </c>
      <c r="K1681" s="2" t="s">
        <v>5630</v>
      </c>
      <c r="L1681" s="3">
        <v>21.3</v>
      </c>
      <c r="M1681" s="3">
        <v>22.37</v>
      </c>
      <c r="N1681" s="3">
        <v>45.99</v>
      </c>
      <c r="O1681" s="2" t="s">
        <v>97</v>
      </c>
      <c r="P1681" s="2" t="s">
        <v>2478</v>
      </c>
      <c r="Q1681" s="2" t="s">
        <v>99</v>
      </c>
      <c r="R1681" s="2" t="s">
        <v>100</v>
      </c>
      <c r="S1681" s="2" t="s">
        <v>100</v>
      </c>
      <c r="T1681" s="2" t="s">
        <v>280</v>
      </c>
      <c r="U1681" s="2" t="s">
        <v>1847</v>
      </c>
      <c r="V1681" s="2" t="s">
        <v>146</v>
      </c>
      <c r="W1681" s="2" t="s">
        <v>183</v>
      </c>
      <c r="X1681" s="2" t="s">
        <v>100</v>
      </c>
      <c r="Y1681" s="2" t="s">
        <v>100</v>
      </c>
      <c r="Z1681" s="4"/>
      <c r="AA1681" s="4">
        <f>=ROUNDDOWN({0},0)</f>
      </c>
      <c r="AB1681" s="5"/>
      <c r="AC1681" s="2" t="s">
        <v>5580</v>
      </c>
      <c r="AD1681" s="4">
        <v>332</v>
      </c>
      <c r="AE1681" s="4">
        <v>332</v>
      </c>
      <c r="AF1681" s="6">
        <v>69</v>
      </c>
      <c r="AG1681" s="6"/>
      <c r="AH1681" s="7"/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/>
      <c r="BK1681" s="8"/>
      <c r="BL1681" s="2" t="s">
        <v>100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2480</v>
      </c>
      <c r="BV1681" s="2" t="s">
        <v>97</v>
      </c>
      <c r="BW1681" s="2" t="s">
        <v>100</v>
      </c>
      <c r="BX1681" s="2" t="s">
        <v>100</v>
      </c>
      <c r="BY1681" s="2" t="s">
        <v>113</v>
      </c>
      <c r="BZ1681" s="2" t="s">
        <v>100</v>
      </c>
    </row>
    <row r="1682">
      <c r="A1682" s="2" t="s">
        <v>5632</v>
      </c>
      <c r="B1682" s="2" t="s">
        <v>5053</v>
      </c>
      <c r="C1682" s="2" t="s">
        <v>3178</v>
      </c>
      <c r="D1682" s="2" t="s">
        <v>5316</v>
      </c>
      <c r="E1682" s="2" t="s">
        <v>5317</v>
      </c>
      <c r="F1682" s="2" t="s">
        <v>5578</v>
      </c>
      <c r="G1682" s="2" t="s">
        <v>5578</v>
      </c>
      <c r="H1682" s="2" t="s">
        <v>5578</v>
      </c>
      <c r="I1682" s="2" t="s">
        <v>5579</v>
      </c>
      <c r="J1682" s="2" t="s">
        <v>5583</v>
      </c>
      <c r="K1682" s="2" t="s">
        <v>5630</v>
      </c>
      <c r="L1682" s="3">
        <v>18.5</v>
      </c>
      <c r="M1682" s="3">
        <v>19.43</v>
      </c>
      <c r="N1682" s="3">
        <v>39.99</v>
      </c>
      <c r="O1682" s="2" t="s">
        <v>97</v>
      </c>
      <c r="P1682" s="2" t="s">
        <v>2478</v>
      </c>
      <c r="Q1682" s="2" t="s">
        <v>99</v>
      </c>
      <c r="R1682" s="2" t="s">
        <v>100</v>
      </c>
      <c r="S1682" s="2" t="s">
        <v>100</v>
      </c>
      <c r="T1682" s="2" t="s">
        <v>280</v>
      </c>
      <c r="U1682" s="2" t="s">
        <v>1847</v>
      </c>
      <c r="V1682" s="2" t="s">
        <v>146</v>
      </c>
      <c r="W1682" s="2" t="s">
        <v>183</v>
      </c>
      <c r="X1682" s="2" t="s">
        <v>100</v>
      </c>
      <c r="Y1682" s="2" t="s">
        <v>100</v>
      </c>
      <c r="Z1682" s="4"/>
      <c r="AA1682" s="4">
        <f>=ROUNDDOWN({0},0)</f>
      </c>
      <c r="AB1682" s="5"/>
      <c r="AC1682" s="2" t="s">
        <v>5580</v>
      </c>
      <c r="AD1682" s="4">
        <v>288</v>
      </c>
      <c r="AE1682" s="4">
        <v>288</v>
      </c>
      <c r="AF1682" s="6">
        <v>69</v>
      </c>
      <c r="AG1682" s="6"/>
      <c r="AH1682" s="7"/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/>
      <c r="BK1682" s="8"/>
      <c r="BL1682" s="2" t="s">
        <v>100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2480</v>
      </c>
      <c r="BV1682" s="2" t="s">
        <v>97</v>
      </c>
      <c r="BW1682" s="2" t="s">
        <v>100</v>
      </c>
      <c r="BX1682" s="2" t="s">
        <v>100</v>
      </c>
      <c r="BY1682" s="2" t="s">
        <v>113</v>
      </c>
      <c r="BZ1682" s="2" t="s">
        <v>100</v>
      </c>
    </row>
    <row r="1683">
      <c r="A1683" s="2" t="s">
        <v>5633</v>
      </c>
      <c r="B1683" s="2" t="s">
        <v>5053</v>
      </c>
      <c r="C1683" s="2" t="s">
        <v>3178</v>
      </c>
      <c r="D1683" s="2" t="s">
        <v>5316</v>
      </c>
      <c r="E1683" s="2" t="s">
        <v>5317</v>
      </c>
      <c r="F1683" s="2" t="s">
        <v>5578</v>
      </c>
      <c r="G1683" s="2" t="s">
        <v>5578</v>
      </c>
      <c r="H1683" s="2" t="s">
        <v>5578</v>
      </c>
      <c r="I1683" s="2" t="s">
        <v>5579</v>
      </c>
      <c r="J1683" s="2" t="s">
        <v>5419</v>
      </c>
      <c r="K1683" s="2" t="s">
        <v>5630</v>
      </c>
      <c r="L1683" s="3">
        <v>27</v>
      </c>
      <c r="M1683" s="3">
        <v>28.35</v>
      </c>
      <c r="N1683" s="3">
        <v>56.99</v>
      </c>
      <c r="O1683" s="2" t="s">
        <v>97</v>
      </c>
      <c r="P1683" s="2" t="s">
        <v>2478</v>
      </c>
      <c r="Q1683" s="2" t="s">
        <v>99</v>
      </c>
      <c r="R1683" s="2" t="s">
        <v>100</v>
      </c>
      <c r="S1683" s="2" t="s">
        <v>100</v>
      </c>
      <c r="T1683" s="2" t="s">
        <v>280</v>
      </c>
      <c r="U1683" s="2" t="s">
        <v>1847</v>
      </c>
      <c r="V1683" s="2" t="s">
        <v>146</v>
      </c>
      <c r="W1683" s="2" t="s">
        <v>183</v>
      </c>
      <c r="X1683" s="2" t="s">
        <v>100</v>
      </c>
      <c r="Y1683" s="2" t="s">
        <v>100</v>
      </c>
      <c r="Z1683" s="4"/>
      <c r="AA1683" s="4">
        <f>=ROUNDDOWN({0},0)</f>
      </c>
      <c r="AB1683" s="5"/>
      <c r="AC1683" s="2" t="s">
        <v>5580</v>
      </c>
      <c r="AD1683" s="4">
        <v>188</v>
      </c>
      <c r="AE1683" s="4">
        <v>188</v>
      </c>
      <c r="AF1683" s="6">
        <v>69</v>
      </c>
      <c r="AG1683" s="6"/>
      <c r="AH1683" s="7"/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/>
      <c r="BK1683" s="8"/>
      <c r="BL1683" s="2" t="s">
        <v>100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2480</v>
      </c>
      <c r="BV1683" s="2" t="s">
        <v>97</v>
      </c>
      <c r="BW1683" s="2" t="s">
        <v>100</v>
      </c>
      <c r="BX1683" s="2" t="s">
        <v>100</v>
      </c>
      <c r="BY1683" s="2" t="s">
        <v>113</v>
      </c>
      <c r="BZ1683" s="2" t="s">
        <v>100</v>
      </c>
    </row>
    <row r="1684">
      <c r="A1684" s="2" t="s">
        <v>5634</v>
      </c>
      <c r="B1684" s="2" t="s">
        <v>5053</v>
      </c>
      <c r="C1684" s="2" t="s">
        <v>3178</v>
      </c>
      <c r="D1684" s="2" t="s">
        <v>5316</v>
      </c>
      <c r="E1684" s="2" t="s">
        <v>5317</v>
      </c>
      <c r="F1684" s="2" t="s">
        <v>5578</v>
      </c>
      <c r="G1684" s="2" t="s">
        <v>5578</v>
      </c>
      <c r="H1684" s="2" t="s">
        <v>5578</v>
      </c>
      <c r="I1684" s="2" t="s">
        <v>5579</v>
      </c>
      <c r="J1684" s="2" t="s">
        <v>5587</v>
      </c>
      <c r="K1684" s="2" t="s">
        <v>5630</v>
      </c>
      <c r="L1684" s="3">
        <v>14.8</v>
      </c>
      <c r="M1684" s="3">
        <v>15.54</v>
      </c>
      <c r="N1684" s="3">
        <v>31.99</v>
      </c>
      <c r="O1684" s="2" t="s">
        <v>97</v>
      </c>
      <c r="P1684" s="2" t="s">
        <v>2478</v>
      </c>
      <c r="Q1684" s="2" t="s">
        <v>99</v>
      </c>
      <c r="R1684" s="2" t="s">
        <v>100</v>
      </c>
      <c r="S1684" s="2" t="s">
        <v>100</v>
      </c>
      <c r="T1684" s="2" t="s">
        <v>280</v>
      </c>
      <c r="U1684" s="2" t="s">
        <v>1847</v>
      </c>
      <c r="V1684" s="2" t="s">
        <v>146</v>
      </c>
      <c r="W1684" s="2" t="s">
        <v>183</v>
      </c>
      <c r="X1684" s="2" t="s">
        <v>100</v>
      </c>
      <c r="Y1684" s="2" t="s">
        <v>100</v>
      </c>
      <c r="Z1684" s="4"/>
      <c r="AA1684" s="4">
        <f>=ROUNDDOWN({0},0)</f>
      </c>
      <c r="AB1684" s="5"/>
      <c r="AC1684" s="2" t="s">
        <v>5580</v>
      </c>
      <c r="AD1684" s="4">
        <v>692</v>
      </c>
      <c r="AE1684" s="4">
        <v>692</v>
      </c>
      <c r="AF1684" s="6">
        <v>69</v>
      </c>
      <c r="AG1684" s="6"/>
      <c r="AH1684" s="7"/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/>
      <c r="BK1684" s="8"/>
      <c r="BL1684" s="2" t="s">
        <v>100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2480</v>
      </c>
      <c r="BV1684" s="2" t="s">
        <v>97</v>
      </c>
      <c r="BW1684" s="2" t="s">
        <v>100</v>
      </c>
      <c r="BX1684" s="2" t="s">
        <v>100</v>
      </c>
      <c r="BY1684" s="2" t="s">
        <v>113</v>
      </c>
      <c r="BZ1684" s="2" t="s">
        <v>100</v>
      </c>
    </row>
    <row r="1685">
      <c r="A1685" s="2" t="s">
        <v>5635</v>
      </c>
      <c r="B1685" s="2" t="s">
        <v>5053</v>
      </c>
      <c r="C1685" s="2" t="s">
        <v>3178</v>
      </c>
      <c r="D1685" s="2" t="s">
        <v>5316</v>
      </c>
      <c r="E1685" s="2" t="s">
        <v>5317</v>
      </c>
      <c r="F1685" s="2" t="s">
        <v>5578</v>
      </c>
      <c r="G1685" s="2" t="s">
        <v>5578</v>
      </c>
      <c r="H1685" s="2" t="s">
        <v>5578</v>
      </c>
      <c r="I1685" s="2" t="s">
        <v>5579</v>
      </c>
      <c r="J1685" s="2" t="s">
        <v>5355</v>
      </c>
      <c r="K1685" s="2" t="s">
        <v>360</v>
      </c>
      <c r="L1685" s="3">
        <v>12</v>
      </c>
      <c r="M1685" s="3">
        <v>12.6</v>
      </c>
      <c r="N1685" s="3">
        <v>25.99</v>
      </c>
      <c r="O1685" s="2" t="s">
        <v>97</v>
      </c>
      <c r="P1685" s="2" t="s">
        <v>2478</v>
      </c>
      <c r="Q1685" s="2" t="s">
        <v>99</v>
      </c>
      <c r="R1685" s="2" t="s">
        <v>100</v>
      </c>
      <c r="S1685" s="2" t="s">
        <v>100</v>
      </c>
      <c r="T1685" s="2" t="s">
        <v>280</v>
      </c>
      <c r="U1685" s="2" t="s">
        <v>1847</v>
      </c>
      <c r="V1685" s="2" t="s">
        <v>146</v>
      </c>
      <c r="W1685" s="2" t="s">
        <v>183</v>
      </c>
      <c r="X1685" s="2" t="s">
        <v>100</v>
      </c>
      <c r="Y1685" s="2" t="s">
        <v>100</v>
      </c>
      <c r="Z1685" s="4"/>
      <c r="AA1685" s="4">
        <f>=ROUNDDOWN({0},0)</f>
      </c>
      <c r="AB1685" s="5"/>
      <c r="AC1685" s="2" t="s">
        <v>5580</v>
      </c>
      <c r="AD1685" s="4">
        <v>396</v>
      </c>
      <c r="AE1685" s="4">
        <v>396</v>
      </c>
      <c r="AF1685" s="6">
        <v>69</v>
      </c>
      <c r="AG1685" s="6"/>
      <c r="AH1685" s="7"/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/>
      <c r="BK1685" s="8"/>
      <c r="BL1685" s="2" t="s">
        <v>100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2480</v>
      </c>
      <c r="BV1685" s="2" t="s">
        <v>97</v>
      </c>
      <c r="BW1685" s="2" t="s">
        <v>100</v>
      </c>
      <c r="BX1685" s="2" t="s">
        <v>100</v>
      </c>
      <c r="BY1685" s="2" t="s">
        <v>113</v>
      </c>
      <c r="BZ1685" s="2" t="s">
        <v>100</v>
      </c>
    </row>
    <row r="1686">
      <c r="A1686" s="2" t="s">
        <v>5636</v>
      </c>
      <c r="B1686" s="2" t="s">
        <v>5053</v>
      </c>
      <c r="C1686" s="2" t="s">
        <v>3178</v>
      </c>
      <c r="D1686" s="2" t="s">
        <v>5316</v>
      </c>
      <c r="E1686" s="2" t="s">
        <v>5317</v>
      </c>
      <c r="F1686" s="2" t="s">
        <v>5578</v>
      </c>
      <c r="G1686" s="2" t="s">
        <v>5578</v>
      </c>
      <c r="H1686" s="2" t="s">
        <v>5578</v>
      </c>
      <c r="I1686" s="2" t="s">
        <v>5579</v>
      </c>
      <c r="J1686" s="2" t="s">
        <v>5322</v>
      </c>
      <c r="K1686" s="2" t="s">
        <v>360</v>
      </c>
      <c r="L1686" s="3">
        <v>21.3</v>
      </c>
      <c r="M1686" s="3">
        <v>22.37</v>
      </c>
      <c r="N1686" s="3">
        <v>45.99</v>
      </c>
      <c r="O1686" s="2" t="s">
        <v>97</v>
      </c>
      <c r="P1686" s="2" t="s">
        <v>2478</v>
      </c>
      <c r="Q1686" s="2" t="s">
        <v>99</v>
      </c>
      <c r="R1686" s="2" t="s">
        <v>100</v>
      </c>
      <c r="S1686" s="2" t="s">
        <v>100</v>
      </c>
      <c r="T1686" s="2" t="s">
        <v>280</v>
      </c>
      <c r="U1686" s="2" t="s">
        <v>1847</v>
      </c>
      <c r="V1686" s="2" t="s">
        <v>146</v>
      </c>
      <c r="W1686" s="2" t="s">
        <v>183</v>
      </c>
      <c r="X1686" s="2" t="s">
        <v>100</v>
      </c>
      <c r="Y1686" s="2" t="s">
        <v>100</v>
      </c>
      <c r="Z1686" s="4"/>
      <c r="AA1686" s="4">
        <f>=ROUNDDOWN({0},0)</f>
      </c>
      <c r="AB1686" s="5"/>
      <c r="AC1686" s="2" t="s">
        <v>5580</v>
      </c>
      <c r="AD1686" s="4">
        <v>344</v>
      </c>
      <c r="AE1686" s="4">
        <v>344</v>
      </c>
      <c r="AF1686" s="6">
        <v>69</v>
      </c>
      <c r="AG1686" s="6"/>
      <c r="AH1686" s="7"/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/>
      <c r="BK1686" s="8"/>
      <c r="BL1686" s="2" t="s">
        <v>100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2480</v>
      </c>
      <c r="BV1686" s="2" t="s">
        <v>97</v>
      </c>
      <c r="BW1686" s="2" t="s">
        <v>100</v>
      </c>
      <c r="BX1686" s="2" t="s">
        <v>100</v>
      </c>
      <c r="BY1686" s="2" t="s">
        <v>113</v>
      </c>
      <c r="BZ1686" s="2" t="s">
        <v>100</v>
      </c>
    </row>
    <row r="1687">
      <c r="A1687" s="2" t="s">
        <v>5637</v>
      </c>
      <c r="B1687" s="2" t="s">
        <v>5053</v>
      </c>
      <c r="C1687" s="2" t="s">
        <v>3178</v>
      </c>
      <c r="D1687" s="2" t="s">
        <v>5316</v>
      </c>
      <c r="E1687" s="2" t="s">
        <v>5317</v>
      </c>
      <c r="F1687" s="2" t="s">
        <v>5578</v>
      </c>
      <c r="G1687" s="2" t="s">
        <v>5578</v>
      </c>
      <c r="H1687" s="2" t="s">
        <v>5578</v>
      </c>
      <c r="I1687" s="2" t="s">
        <v>5579</v>
      </c>
      <c r="J1687" s="2" t="s">
        <v>5583</v>
      </c>
      <c r="K1687" s="2" t="s">
        <v>360</v>
      </c>
      <c r="L1687" s="3">
        <v>18.5</v>
      </c>
      <c r="M1687" s="3">
        <v>19.43</v>
      </c>
      <c r="N1687" s="3">
        <v>39.99</v>
      </c>
      <c r="O1687" s="2" t="s">
        <v>97</v>
      </c>
      <c r="P1687" s="2" t="s">
        <v>2478</v>
      </c>
      <c r="Q1687" s="2" t="s">
        <v>99</v>
      </c>
      <c r="R1687" s="2" t="s">
        <v>100</v>
      </c>
      <c r="S1687" s="2" t="s">
        <v>100</v>
      </c>
      <c r="T1687" s="2" t="s">
        <v>280</v>
      </c>
      <c r="U1687" s="2" t="s">
        <v>1847</v>
      </c>
      <c r="V1687" s="2" t="s">
        <v>146</v>
      </c>
      <c r="W1687" s="2" t="s">
        <v>183</v>
      </c>
      <c r="X1687" s="2" t="s">
        <v>100</v>
      </c>
      <c r="Y1687" s="2" t="s">
        <v>100</v>
      </c>
      <c r="Z1687" s="4"/>
      <c r="AA1687" s="4">
        <f>=ROUNDDOWN({0},0)</f>
      </c>
      <c r="AB1687" s="5"/>
      <c r="AC1687" s="2" t="s">
        <v>5580</v>
      </c>
      <c r="AD1687" s="4">
        <v>284</v>
      </c>
      <c r="AE1687" s="4">
        <v>284</v>
      </c>
      <c r="AF1687" s="6">
        <v>69</v>
      </c>
      <c r="AG1687" s="6"/>
      <c r="AH1687" s="7"/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/>
      <c r="BK1687" s="8"/>
      <c r="BL1687" s="2" t="s">
        <v>100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2480</v>
      </c>
      <c r="BV1687" s="2" t="s">
        <v>97</v>
      </c>
      <c r="BW1687" s="2" t="s">
        <v>100</v>
      </c>
      <c r="BX1687" s="2" t="s">
        <v>100</v>
      </c>
      <c r="BY1687" s="2" t="s">
        <v>113</v>
      </c>
      <c r="BZ1687" s="2" t="s">
        <v>100</v>
      </c>
    </row>
    <row r="1688">
      <c r="A1688" s="2" t="s">
        <v>5638</v>
      </c>
      <c r="B1688" s="2" t="s">
        <v>5053</v>
      </c>
      <c r="C1688" s="2" t="s">
        <v>3178</v>
      </c>
      <c r="D1688" s="2" t="s">
        <v>5316</v>
      </c>
      <c r="E1688" s="2" t="s">
        <v>5317</v>
      </c>
      <c r="F1688" s="2" t="s">
        <v>5578</v>
      </c>
      <c r="G1688" s="2" t="s">
        <v>5578</v>
      </c>
      <c r="H1688" s="2" t="s">
        <v>5578</v>
      </c>
      <c r="I1688" s="2" t="s">
        <v>5579</v>
      </c>
      <c r="J1688" s="2" t="s">
        <v>5419</v>
      </c>
      <c r="K1688" s="2" t="s">
        <v>360</v>
      </c>
      <c r="L1688" s="3">
        <v>27</v>
      </c>
      <c r="M1688" s="3">
        <v>28.35</v>
      </c>
      <c r="N1688" s="3">
        <v>56.99</v>
      </c>
      <c r="O1688" s="2" t="s">
        <v>97</v>
      </c>
      <c r="P1688" s="2" t="s">
        <v>2478</v>
      </c>
      <c r="Q1688" s="2" t="s">
        <v>99</v>
      </c>
      <c r="R1688" s="2" t="s">
        <v>100</v>
      </c>
      <c r="S1688" s="2" t="s">
        <v>100</v>
      </c>
      <c r="T1688" s="2" t="s">
        <v>280</v>
      </c>
      <c r="U1688" s="2" t="s">
        <v>1847</v>
      </c>
      <c r="V1688" s="2" t="s">
        <v>146</v>
      </c>
      <c r="W1688" s="2" t="s">
        <v>183</v>
      </c>
      <c r="X1688" s="2" t="s">
        <v>100</v>
      </c>
      <c r="Y1688" s="2" t="s">
        <v>100</v>
      </c>
      <c r="Z1688" s="4"/>
      <c r="AA1688" s="4">
        <f>=ROUNDDOWN({0},0)</f>
      </c>
      <c r="AB1688" s="5"/>
      <c r="AC1688" s="2" t="s">
        <v>5580</v>
      </c>
      <c r="AD1688" s="4">
        <v>184</v>
      </c>
      <c r="AE1688" s="4">
        <v>184</v>
      </c>
      <c r="AF1688" s="6">
        <v>69</v>
      </c>
      <c r="AG1688" s="6"/>
      <c r="AH1688" s="7"/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/>
      <c r="BK1688" s="8"/>
      <c r="BL1688" s="2" t="s">
        <v>100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2480</v>
      </c>
      <c r="BV1688" s="2" t="s">
        <v>97</v>
      </c>
      <c r="BW1688" s="2" t="s">
        <v>100</v>
      </c>
      <c r="BX1688" s="2" t="s">
        <v>100</v>
      </c>
      <c r="BY1688" s="2" t="s">
        <v>113</v>
      </c>
      <c r="BZ1688" s="2" t="s">
        <v>100</v>
      </c>
    </row>
    <row r="1689">
      <c r="A1689" s="2" t="s">
        <v>5639</v>
      </c>
      <c r="B1689" s="2" t="s">
        <v>5053</v>
      </c>
      <c r="C1689" s="2" t="s">
        <v>3178</v>
      </c>
      <c r="D1689" s="2" t="s">
        <v>5316</v>
      </c>
      <c r="E1689" s="2" t="s">
        <v>5317</v>
      </c>
      <c r="F1689" s="2" t="s">
        <v>5578</v>
      </c>
      <c r="G1689" s="2" t="s">
        <v>5578</v>
      </c>
      <c r="H1689" s="2" t="s">
        <v>5578</v>
      </c>
      <c r="I1689" s="2" t="s">
        <v>5579</v>
      </c>
      <c r="J1689" s="2" t="s">
        <v>5328</v>
      </c>
      <c r="K1689" s="2" t="s">
        <v>360</v>
      </c>
      <c r="L1689" s="3">
        <v>30.24</v>
      </c>
      <c r="M1689" s="3">
        <v>31.75</v>
      </c>
      <c r="N1689" s="3">
        <v>64.99</v>
      </c>
      <c r="O1689" s="2" t="s">
        <v>97</v>
      </c>
      <c r="P1689" s="2" t="s">
        <v>2478</v>
      </c>
      <c r="Q1689" s="2" t="s">
        <v>99</v>
      </c>
      <c r="R1689" s="2" t="s">
        <v>100</v>
      </c>
      <c r="S1689" s="2" t="s">
        <v>100</v>
      </c>
      <c r="T1689" s="2" t="s">
        <v>280</v>
      </c>
      <c r="U1689" s="2" t="s">
        <v>1847</v>
      </c>
      <c r="V1689" s="2" t="s">
        <v>146</v>
      </c>
      <c r="W1689" s="2" t="s">
        <v>183</v>
      </c>
      <c r="X1689" s="2" t="s">
        <v>100</v>
      </c>
      <c r="Y1689" s="2" t="s">
        <v>100</v>
      </c>
      <c r="Z1689" s="4"/>
      <c r="AA1689" s="4">
        <f>=ROUNDDOWN({0},0)</f>
      </c>
      <c r="AB1689" s="5"/>
      <c r="AC1689" s="2" t="s">
        <v>5580</v>
      </c>
      <c r="AD1689" s="4">
        <v>156</v>
      </c>
      <c r="AE1689" s="4">
        <v>156</v>
      </c>
      <c r="AF1689" s="6">
        <v>69</v>
      </c>
      <c r="AG1689" s="6"/>
      <c r="AH1689" s="7"/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/>
      <c r="BK1689" s="8"/>
      <c r="BL1689" s="2" t="s">
        <v>100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2480</v>
      </c>
      <c r="BV1689" s="2" t="s">
        <v>97</v>
      </c>
      <c r="BW1689" s="2" t="s">
        <v>100</v>
      </c>
      <c r="BX1689" s="2" t="s">
        <v>100</v>
      </c>
      <c r="BY1689" s="2" t="s">
        <v>113</v>
      </c>
      <c r="BZ1689" s="2" t="s">
        <v>100</v>
      </c>
    </row>
    <row r="1690">
      <c r="A1690" s="2" t="s">
        <v>5640</v>
      </c>
      <c r="B1690" s="2" t="s">
        <v>5053</v>
      </c>
      <c r="C1690" s="2" t="s">
        <v>3178</v>
      </c>
      <c r="D1690" s="2" t="s">
        <v>5316</v>
      </c>
      <c r="E1690" s="2" t="s">
        <v>5317</v>
      </c>
      <c r="F1690" s="2" t="s">
        <v>5578</v>
      </c>
      <c r="G1690" s="2" t="s">
        <v>5578</v>
      </c>
      <c r="H1690" s="2" t="s">
        <v>5578</v>
      </c>
      <c r="I1690" s="2" t="s">
        <v>5579</v>
      </c>
      <c r="J1690" s="2" t="s">
        <v>5587</v>
      </c>
      <c r="K1690" s="2" t="s">
        <v>360</v>
      </c>
      <c r="L1690" s="3">
        <v>14.8</v>
      </c>
      <c r="M1690" s="3">
        <v>15.54</v>
      </c>
      <c r="N1690" s="3">
        <v>31.99</v>
      </c>
      <c r="O1690" s="2" t="s">
        <v>97</v>
      </c>
      <c r="P1690" s="2" t="s">
        <v>2478</v>
      </c>
      <c r="Q1690" s="2" t="s">
        <v>99</v>
      </c>
      <c r="R1690" s="2" t="s">
        <v>100</v>
      </c>
      <c r="S1690" s="2" t="s">
        <v>100</v>
      </c>
      <c r="T1690" s="2" t="s">
        <v>280</v>
      </c>
      <c r="U1690" s="2" t="s">
        <v>1847</v>
      </c>
      <c r="V1690" s="2" t="s">
        <v>146</v>
      </c>
      <c r="W1690" s="2" t="s">
        <v>183</v>
      </c>
      <c r="X1690" s="2" t="s">
        <v>100</v>
      </c>
      <c r="Y1690" s="2" t="s">
        <v>100</v>
      </c>
      <c r="Z1690" s="4"/>
      <c r="AA1690" s="4">
        <f>=ROUNDDOWN({0},0)</f>
      </c>
      <c r="AB1690" s="5"/>
      <c r="AC1690" s="2" t="s">
        <v>5580</v>
      </c>
      <c r="AD1690" s="4">
        <v>640</v>
      </c>
      <c r="AE1690" s="4">
        <v>640</v>
      </c>
      <c r="AF1690" s="6">
        <v>69</v>
      </c>
      <c r="AG1690" s="6"/>
      <c r="AH1690" s="7"/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/>
      <c r="BK1690" s="8"/>
      <c r="BL1690" s="2" t="s">
        <v>100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2480</v>
      </c>
      <c r="BV1690" s="2" t="s">
        <v>97</v>
      </c>
      <c r="BW1690" s="2" t="s">
        <v>100</v>
      </c>
      <c r="BX1690" s="2" t="s">
        <v>100</v>
      </c>
      <c r="BY1690" s="2" t="s">
        <v>113</v>
      </c>
      <c r="BZ1690" s="2" t="s">
        <v>100</v>
      </c>
    </row>
    <row r="1691">
      <c r="A1691" s="2" t="s">
        <v>5641</v>
      </c>
      <c r="B1691" s="2" t="s">
        <v>5053</v>
      </c>
      <c r="C1691" s="2" t="s">
        <v>5036</v>
      </c>
      <c r="D1691" s="2" t="s">
        <v>5054</v>
      </c>
      <c r="E1691" s="2" t="s">
        <v>5055</v>
      </c>
      <c r="F1691" s="2" t="s">
        <v>5642</v>
      </c>
      <c r="G1691" s="2" t="s">
        <v>5643</v>
      </c>
      <c r="H1691" s="2" t="s">
        <v>5644</v>
      </c>
      <c r="I1691" s="2" t="s">
        <v>5645</v>
      </c>
      <c r="J1691" s="2" t="s">
        <v>5646</v>
      </c>
      <c r="K1691" s="2" t="s">
        <v>3560</v>
      </c>
      <c r="L1691" s="3">
        <v>19.8</v>
      </c>
      <c r="M1691" s="3">
        <v>20.79</v>
      </c>
      <c r="N1691" s="3">
        <v>44.99</v>
      </c>
      <c r="O1691" s="2" t="s">
        <v>97</v>
      </c>
      <c r="P1691" s="2" t="s">
        <v>119</v>
      </c>
      <c r="Q1691" s="2" t="s">
        <v>99</v>
      </c>
      <c r="R1691" s="2" t="s">
        <v>100</v>
      </c>
      <c r="S1691" s="2" t="s">
        <v>5647</v>
      </c>
      <c r="T1691" s="2" t="s">
        <v>280</v>
      </c>
      <c r="U1691" s="2" t="s">
        <v>1847</v>
      </c>
      <c r="V1691" s="2" t="s">
        <v>146</v>
      </c>
      <c r="W1691" s="2" t="s">
        <v>183</v>
      </c>
      <c r="X1691" s="2" t="s">
        <v>158</v>
      </c>
      <c r="Y1691" s="2" t="s">
        <v>5648</v>
      </c>
      <c r="Z1691" s="4">
        <v>216</v>
      </c>
      <c r="AA1691" s="4">
        <f>=ROUNDDOWN(13.5,0)</f>
      </c>
      <c r="AB1691" s="5">
        <v>16</v>
      </c>
      <c r="AC1691" s="2" t="s">
        <v>1035</v>
      </c>
      <c r="AD1691" s="4">
        <v>300</v>
      </c>
      <c r="AE1691" s="4">
        <v>600</v>
      </c>
      <c r="AF1691" s="6">
        <v>66</v>
      </c>
      <c r="AG1691" s="6"/>
      <c r="AH1691" s="7">
        <v>0.9679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>
        <v>5</v>
      </c>
      <c r="AQ1691" s="8">
        <v>103.95</v>
      </c>
      <c r="AR1691" s="4"/>
      <c r="AS1691" s="8"/>
      <c r="AT1691" s="7"/>
      <c r="AU1691" s="7"/>
      <c r="AV1691" s="4">
        <v>5</v>
      </c>
      <c r="AW1691" s="8">
        <v>103.95</v>
      </c>
      <c r="AX1691" s="4"/>
      <c r="AY1691" s="8"/>
      <c r="AZ1691" s="7"/>
      <c r="BA1691" s="7"/>
      <c r="BB1691" s="7">
        <v>1</v>
      </c>
      <c r="BC1691" s="4">
        <v>6</v>
      </c>
      <c r="BD1691" s="8">
        <v>124.74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0.8333</v>
      </c>
      <c r="BJ1691" s="4">
        <v>364</v>
      </c>
      <c r="BK1691" s="8">
        <v>8063.07</v>
      </c>
      <c r="BL1691" s="2" t="s">
        <v>5649</v>
      </c>
      <c r="BM1691" s="7">
        <v>0.0137</v>
      </c>
      <c r="BN1691" s="7">
        <v>0.0129</v>
      </c>
      <c r="BO1691" s="4">
        <v>5</v>
      </c>
      <c r="BP1691" s="8">
        <v>103.95</v>
      </c>
      <c r="BQ1691" s="4"/>
      <c r="BR1691" s="8"/>
      <c r="BS1691" s="7"/>
      <c r="BT1691" s="7"/>
      <c r="BU1691" s="2" t="s">
        <v>109</v>
      </c>
      <c r="BV1691" s="2" t="s">
        <v>110</v>
      </c>
      <c r="BW1691" s="2" t="s">
        <v>5530</v>
      </c>
      <c r="BX1691" s="2" t="s">
        <v>5650</v>
      </c>
      <c r="BY1691" s="2" t="s">
        <v>113</v>
      </c>
      <c r="BZ1691" s="2" t="s">
        <v>100</v>
      </c>
    </row>
    <row r="1692">
      <c r="A1692" s="2" t="s">
        <v>5651</v>
      </c>
      <c r="B1692" s="2" t="s">
        <v>5053</v>
      </c>
      <c r="C1692" s="2" t="s">
        <v>5036</v>
      </c>
      <c r="D1692" s="2" t="s">
        <v>5054</v>
      </c>
      <c r="E1692" s="2" t="s">
        <v>5055</v>
      </c>
      <c r="F1692" s="2" t="s">
        <v>5642</v>
      </c>
      <c r="G1692" s="2" t="s">
        <v>5643</v>
      </c>
      <c r="H1692" s="2" t="s">
        <v>5644</v>
      </c>
      <c r="I1692" s="2" t="s">
        <v>5652</v>
      </c>
      <c r="J1692" s="2" t="s">
        <v>5646</v>
      </c>
      <c r="K1692" s="2" t="s">
        <v>5653</v>
      </c>
      <c r="L1692" s="3">
        <v>19.8</v>
      </c>
      <c r="M1692" s="3">
        <v>20.79</v>
      </c>
      <c r="N1692" s="3">
        <v>44.99</v>
      </c>
      <c r="O1692" s="2" t="s">
        <v>97</v>
      </c>
      <c r="P1692" s="2" t="s">
        <v>119</v>
      </c>
      <c r="Q1692" s="2" t="s">
        <v>99</v>
      </c>
      <c r="R1692" s="2" t="s">
        <v>100</v>
      </c>
      <c r="S1692" s="2" t="s">
        <v>5654</v>
      </c>
      <c r="T1692" s="2" t="s">
        <v>100</v>
      </c>
      <c r="U1692" s="2" t="s">
        <v>1847</v>
      </c>
      <c r="V1692" s="2" t="s">
        <v>146</v>
      </c>
      <c r="W1692" s="2" t="s">
        <v>183</v>
      </c>
      <c r="X1692" s="2" t="s">
        <v>158</v>
      </c>
      <c r="Y1692" s="2" t="s">
        <v>4549</v>
      </c>
      <c r="Z1692" s="4">
        <v>289</v>
      </c>
      <c r="AA1692" s="4">
        <f>=ROUNDDOWN(41.2857142857143,0)</f>
      </c>
      <c r="AB1692" s="5">
        <v>7</v>
      </c>
      <c r="AC1692" s="2" t="s">
        <v>100</v>
      </c>
      <c r="AD1692" s="4"/>
      <c r="AE1692" s="4"/>
      <c r="AF1692" s="6">
        <v>66</v>
      </c>
      <c r="AG1692" s="6"/>
      <c r="AH1692" s="7">
        <v>0.984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>
        <v>1</v>
      </c>
      <c r="AQ1692" s="8">
        <v>20.79</v>
      </c>
      <c r="AR1692" s="4"/>
      <c r="AS1692" s="8"/>
      <c r="AT1692" s="7"/>
      <c r="AU1692" s="7"/>
      <c r="AV1692" s="4">
        <v>1</v>
      </c>
      <c r="AW1692" s="8">
        <v>20.79</v>
      </c>
      <c r="AX1692" s="4"/>
      <c r="AY1692" s="8"/>
      <c r="AZ1692" s="7"/>
      <c r="BA1692" s="7"/>
      <c r="BB1692" s="7">
        <v>1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>
        <v>0.1667</v>
      </c>
      <c r="BJ1692" s="4">
        <v>148</v>
      </c>
      <c r="BK1692" s="8">
        <v>3237.38</v>
      </c>
      <c r="BL1692" s="2" t="s">
        <v>5476</v>
      </c>
      <c r="BM1692" s="7">
        <v>0.0068</v>
      </c>
      <c r="BN1692" s="7">
        <v>0.0064</v>
      </c>
      <c r="BO1692" s="4">
        <v>1</v>
      </c>
      <c r="BP1692" s="8">
        <v>20.79</v>
      </c>
      <c r="BQ1692" s="4"/>
      <c r="BR1692" s="8"/>
      <c r="BS1692" s="7"/>
      <c r="BT1692" s="7"/>
      <c r="BU1692" s="2" t="s">
        <v>109</v>
      </c>
      <c r="BV1692" s="2" t="s">
        <v>110</v>
      </c>
      <c r="BW1692" s="2" t="s">
        <v>5167</v>
      </c>
      <c r="BX1692" s="2" t="s">
        <v>5655</v>
      </c>
      <c r="BY1692" s="2" t="s">
        <v>113</v>
      </c>
      <c r="BZ1692" s="2" t="s">
        <v>100</v>
      </c>
    </row>
    <row r="1693">
      <c r="A1693" s="2" t="s">
        <v>5656</v>
      </c>
      <c r="B1693" s="2" t="s">
        <v>5053</v>
      </c>
      <c r="C1693" s="2" t="s">
        <v>2331</v>
      </c>
      <c r="D1693" s="2" t="s">
        <v>5054</v>
      </c>
      <c r="E1693" s="2" t="s">
        <v>5055</v>
      </c>
      <c r="F1693" s="2" t="s">
        <v>2405</v>
      </c>
      <c r="G1693" s="2" t="s">
        <v>2405</v>
      </c>
      <c r="H1693" s="2" t="s">
        <v>2405</v>
      </c>
      <c r="I1693" s="2" t="s">
        <v>5657</v>
      </c>
      <c r="J1693" s="2" t="s">
        <v>5060</v>
      </c>
      <c r="K1693" s="2" t="s">
        <v>1172</v>
      </c>
      <c r="L1693" s="3">
        <v>20.5</v>
      </c>
      <c r="M1693" s="3">
        <v>21.52</v>
      </c>
      <c r="N1693" s="3">
        <v>42.99</v>
      </c>
      <c r="O1693" s="2" t="s">
        <v>97</v>
      </c>
      <c r="P1693" s="2" t="s">
        <v>119</v>
      </c>
      <c r="Q1693" s="2" t="s">
        <v>99</v>
      </c>
      <c r="R1693" s="2" t="s">
        <v>100</v>
      </c>
      <c r="S1693" s="2" t="s">
        <v>2383</v>
      </c>
      <c r="T1693" s="2" t="s">
        <v>100</v>
      </c>
      <c r="U1693" s="2" t="s">
        <v>100</v>
      </c>
      <c r="V1693" s="2" t="s">
        <v>201</v>
      </c>
      <c r="W1693" s="2" t="s">
        <v>202</v>
      </c>
      <c r="X1693" s="2" t="s">
        <v>100</v>
      </c>
      <c r="Y1693" s="2" t="s">
        <v>240</v>
      </c>
      <c r="Z1693" s="4">
        <v>300</v>
      </c>
      <c r="AA1693" s="4">
        <f>=ROUNDDOWN(17.6470588235294,0)</f>
      </c>
      <c r="AB1693" s="5">
        <v>17</v>
      </c>
      <c r="AC1693" s="2" t="s">
        <v>5658</v>
      </c>
      <c r="AD1693" s="4">
        <v>140</v>
      </c>
      <c r="AE1693" s="4">
        <v>540</v>
      </c>
      <c r="AF1693" s="6">
        <v>69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>
        <v>4</v>
      </c>
      <c r="AQ1693" s="8">
        <v>90.8</v>
      </c>
      <c r="AR1693" s="4"/>
      <c r="AS1693" s="8"/>
      <c r="AT1693" s="7"/>
      <c r="AU1693" s="7"/>
      <c r="AV1693" s="4">
        <v>4</v>
      </c>
      <c r="AW1693" s="8">
        <v>90.8</v>
      </c>
      <c r="AX1693" s="4"/>
      <c r="AY1693" s="8"/>
      <c r="AZ1693" s="7"/>
      <c r="BA1693" s="7"/>
      <c r="BB1693" s="7">
        <v>1</v>
      </c>
      <c r="BC1693" s="4">
        <v>4</v>
      </c>
      <c r="BD1693" s="8">
        <v>90.8</v>
      </c>
      <c r="BE1693" s="4"/>
      <c r="BF1693" s="8"/>
      <c r="BG1693" s="7"/>
      <c r="BH1693" s="7"/>
      <c r="BI1693" s="7">
        <v>1</v>
      </c>
      <c r="BJ1693" s="4">
        <v>716</v>
      </c>
      <c r="BK1693" s="8">
        <v>15451.03</v>
      </c>
      <c r="BL1693" s="2" t="s">
        <v>5659</v>
      </c>
      <c r="BM1693" s="7">
        <v>0.0056</v>
      </c>
      <c r="BN1693" s="7">
        <v>0.0059</v>
      </c>
      <c r="BO1693" s="4">
        <v>4</v>
      </c>
      <c r="BP1693" s="8">
        <v>90.8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5660</v>
      </c>
      <c r="BX1693" s="2" t="s">
        <v>5661</v>
      </c>
      <c r="BY1693" s="2" t="s">
        <v>113</v>
      </c>
      <c r="BZ1693" s="2" t="s">
        <v>100</v>
      </c>
    </row>
    <row r="1694">
      <c r="A1694" s="2" t="s">
        <v>5662</v>
      </c>
      <c r="B1694" s="2" t="s">
        <v>5053</v>
      </c>
      <c r="C1694" s="2" t="s">
        <v>2331</v>
      </c>
      <c r="D1694" s="2" t="s">
        <v>5054</v>
      </c>
      <c r="E1694" s="2" t="s">
        <v>5055</v>
      </c>
      <c r="F1694" s="2" t="s">
        <v>2350</v>
      </c>
      <c r="G1694" s="2" t="s">
        <v>2350</v>
      </c>
      <c r="H1694" s="2" t="s">
        <v>2350</v>
      </c>
      <c r="I1694" s="2" t="s">
        <v>5663</v>
      </c>
      <c r="J1694" s="2" t="s">
        <v>5060</v>
      </c>
      <c r="K1694" s="2" t="s">
        <v>278</v>
      </c>
      <c r="L1694" s="3">
        <v>20.5</v>
      </c>
      <c r="M1694" s="3">
        <v>21.53</v>
      </c>
      <c r="N1694" s="3">
        <v>42.99</v>
      </c>
      <c r="O1694" s="2" t="s">
        <v>97</v>
      </c>
      <c r="P1694" s="2" t="s">
        <v>119</v>
      </c>
      <c r="Q1694" s="2" t="s">
        <v>99</v>
      </c>
      <c r="R1694" s="2" t="s">
        <v>100</v>
      </c>
      <c r="S1694" s="2" t="s">
        <v>2352</v>
      </c>
      <c r="T1694" s="2" t="s">
        <v>280</v>
      </c>
      <c r="U1694" s="2" t="s">
        <v>1847</v>
      </c>
      <c r="V1694" s="2" t="s">
        <v>2353</v>
      </c>
      <c r="W1694" s="2" t="s">
        <v>202</v>
      </c>
      <c r="X1694" s="2" t="s">
        <v>219</v>
      </c>
      <c r="Y1694" s="2" t="s">
        <v>5664</v>
      </c>
      <c r="Z1694" s="4">
        <v>278</v>
      </c>
      <c r="AA1694" s="4">
        <f>=ROUNDDOWN(34.75,0)</f>
      </c>
      <c r="AB1694" s="5">
        <v>8</v>
      </c>
      <c r="AC1694" s="2" t="s">
        <v>5658</v>
      </c>
      <c r="AD1694" s="4">
        <v>100</v>
      </c>
      <c r="AE1694" s="4">
        <v>212</v>
      </c>
      <c r="AF1694" s="6">
        <v>69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227</v>
      </c>
      <c r="BK1694" s="8">
        <v>5254.54</v>
      </c>
      <c r="BL1694" s="2" t="s">
        <v>5665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207</v>
      </c>
      <c r="BV1694" s="2" t="s">
        <v>97</v>
      </c>
      <c r="BW1694" s="2" t="s">
        <v>100</v>
      </c>
      <c r="BX1694" s="2" t="s">
        <v>100</v>
      </c>
      <c r="BY1694" s="2" t="s">
        <v>113</v>
      </c>
      <c r="BZ1694" s="2" t="s">
        <v>100</v>
      </c>
    </row>
    <row r="1695">
      <c r="A1695" s="2" t="s">
        <v>5666</v>
      </c>
      <c r="B1695" s="2" t="s">
        <v>5053</v>
      </c>
      <c r="C1695" s="2" t="s">
        <v>3934</v>
      </c>
      <c r="D1695" s="2" t="s">
        <v>5054</v>
      </c>
      <c r="E1695" s="2" t="s">
        <v>5055</v>
      </c>
      <c r="F1695" s="2" t="s">
        <v>5667</v>
      </c>
      <c r="G1695" s="2" t="s">
        <v>5668</v>
      </c>
      <c r="H1695" s="2" t="s">
        <v>5669</v>
      </c>
      <c r="I1695" s="2" t="s">
        <v>5670</v>
      </c>
      <c r="J1695" s="2" t="s">
        <v>5060</v>
      </c>
      <c r="K1695" s="2" t="s">
        <v>1032</v>
      </c>
      <c r="L1695" s="3">
        <v>13.2</v>
      </c>
      <c r="M1695" s="3">
        <v>13.86</v>
      </c>
      <c r="N1695" s="3">
        <v>29.99</v>
      </c>
      <c r="O1695" s="2" t="s">
        <v>97</v>
      </c>
      <c r="P1695" s="2" t="s">
        <v>119</v>
      </c>
      <c r="Q1695" s="2" t="s">
        <v>99</v>
      </c>
      <c r="R1695" s="2" t="s">
        <v>100</v>
      </c>
      <c r="S1695" s="2" t="s">
        <v>5671</v>
      </c>
      <c r="T1695" s="2" t="s">
        <v>100</v>
      </c>
      <c r="U1695" s="2" t="s">
        <v>100</v>
      </c>
      <c r="V1695" s="2" t="s">
        <v>403</v>
      </c>
      <c r="W1695" s="2" t="s">
        <v>561</v>
      </c>
      <c r="X1695" s="2" t="s">
        <v>100</v>
      </c>
      <c r="Y1695" s="2" t="s">
        <v>5672</v>
      </c>
      <c r="Z1695" s="4">
        <v>431</v>
      </c>
      <c r="AA1695" s="4">
        <f>=ROUNDDOWN(16.5769230769231,0)</f>
      </c>
      <c r="AB1695" s="5">
        <v>26</v>
      </c>
      <c r="AC1695" s="2" t="s">
        <v>282</v>
      </c>
      <c r="AD1695" s="4">
        <v>420</v>
      </c>
      <c r="AE1695" s="4">
        <v>420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>
        <v>4</v>
      </c>
      <c r="AQ1695" s="8">
        <v>57.72</v>
      </c>
      <c r="AR1695" s="4"/>
      <c r="AS1695" s="8"/>
      <c r="AT1695" s="7"/>
      <c r="AU1695" s="7"/>
      <c r="AV1695" s="4">
        <v>4</v>
      </c>
      <c r="AW1695" s="8">
        <v>57.72</v>
      </c>
      <c r="AX1695" s="4"/>
      <c r="AY1695" s="8"/>
      <c r="AZ1695" s="7"/>
      <c r="BA1695" s="7"/>
      <c r="BB1695" s="7">
        <v>1</v>
      </c>
      <c r="BC1695" s="4">
        <v>4</v>
      </c>
      <c r="BD1695" s="8">
        <v>57.72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>
        <v>1</v>
      </c>
      <c r="BJ1695" s="4">
        <v>584</v>
      </c>
      <c r="BK1695" s="8">
        <v>8351.33</v>
      </c>
      <c r="BL1695" s="2" t="s">
        <v>5673</v>
      </c>
      <c r="BM1695" s="7">
        <v>0.0068</v>
      </c>
      <c r="BN1695" s="7">
        <v>0.0069</v>
      </c>
      <c r="BO1695" s="4">
        <v>4</v>
      </c>
      <c r="BP1695" s="8">
        <v>57.72</v>
      </c>
      <c r="BQ1695" s="4"/>
      <c r="BR1695" s="8"/>
      <c r="BS1695" s="7"/>
      <c r="BT1695" s="7"/>
      <c r="BU1695" s="2" t="s">
        <v>109</v>
      </c>
      <c r="BV1695" s="2" t="s">
        <v>110</v>
      </c>
      <c r="BW1695" s="2" t="s">
        <v>4696</v>
      </c>
      <c r="BX1695" s="2" t="s">
        <v>5674</v>
      </c>
      <c r="BY1695" s="2" t="s">
        <v>113</v>
      </c>
      <c r="BZ1695" s="2" t="s">
        <v>100</v>
      </c>
    </row>
    <row r="1696">
      <c r="A1696" s="2" t="s">
        <v>5675</v>
      </c>
      <c r="B1696" s="2" t="s">
        <v>5053</v>
      </c>
      <c r="C1696" s="2" t="s">
        <v>3934</v>
      </c>
      <c r="D1696" s="2" t="s">
        <v>5054</v>
      </c>
      <c r="E1696" s="2" t="s">
        <v>5055</v>
      </c>
      <c r="F1696" s="2" t="s">
        <v>5667</v>
      </c>
      <c r="G1696" s="2" t="s">
        <v>5668</v>
      </c>
      <c r="H1696" s="2" t="s">
        <v>5669</v>
      </c>
      <c r="I1696" s="2" t="s">
        <v>5670</v>
      </c>
      <c r="J1696" s="2" t="s">
        <v>5060</v>
      </c>
      <c r="K1696" s="2" t="s">
        <v>5676</v>
      </c>
      <c r="L1696" s="3">
        <v>13.2</v>
      </c>
      <c r="M1696" s="3">
        <v>13.86</v>
      </c>
      <c r="N1696" s="3">
        <v>29.99</v>
      </c>
      <c r="O1696" s="2" t="s">
        <v>97</v>
      </c>
      <c r="P1696" s="2" t="s">
        <v>119</v>
      </c>
      <c r="Q1696" s="2" t="s">
        <v>99</v>
      </c>
      <c r="R1696" s="2" t="s">
        <v>100</v>
      </c>
      <c r="S1696" s="2" t="s">
        <v>5677</v>
      </c>
      <c r="T1696" s="2" t="s">
        <v>100</v>
      </c>
      <c r="U1696" s="2" t="s">
        <v>100</v>
      </c>
      <c r="V1696" s="2" t="s">
        <v>403</v>
      </c>
      <c r="W1696" s="2" t="s">
        <v>561</v>
      </c>
      <c r="X1696" s="2" t="s">
        <v>100</v>
      </c>
      <c r="Y1696" s="2" t="s">
        <v>5672</v>
      </c>
      <c r="Z1696" s="4">
        <v>288</v>
      </c>
      <c r="AA1696" s="4">
        <f>=ROUNDDOWN(9.93103448275862,0)</f>
      </c>
      <c r="AB1696" s="5">
        <v>29</v>
      </c>
      <c r="AC1696" s="2" t="s">
        <v>417</v>
      </c>
      <c r="AD1696" s="4">
        <v>100</v>
      </c>
      <c r="AE1696" s="4">
        <v>700</v>
      </c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732</v>
      </c>
      <c r="BK1696" s="8">
        <v>10689.07</v>
      </c>
      <c r="BL1696" s="2" t="s">
        <v>5678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4696</v>
      </c>
      <c r="BX1696" s="2" t="s">
        <v>5679</v>
      </c>
      <c r="BY1696" s="2" t="s">
        <v>113</v>
      </c>
      <c r="BZ1696" s="2" t="s">
        <v>100</v>
      </c>
    </row>
    <row r="1697">
      <c r="A1697" s="2" t="s">
        <v>5680</v>
      </c>
      <c r="B1697" s="2" t="s">
        <v>5053</v>
      </c>
      <c r="C1697" s="2" t="s">
        <v>3934</v>
      </c>
      <c r="D1697" s="2" t="s">
        <v>5507</v>
      </c>
      <c r="E1697" s="2" t="s">
        <v>5508</v>
      </c>
      <c r="F1697" s="2" t="s">
        <v>5681</v>
      </c>
      <c r="G1697" s="2" t="s">
        <v>5682</v>
      </c>
      <c r="H1697" s="2" t="s">
        <v>5683</v>
      </c>
      <c r="I1697" s="2" t="s">
        <v>5684</v>
      </c>
      <c r="J1697" s="2" t="s">
        <v>3877</v>
      </c>
      <c r="K1697" s="2" t="s">
        <v>198</v>
      </c>
      <c r="L1697" s="3">
        <v>26.4</v>
      </c>
      <c r="M1697" s="3">
        <v>27.72</v>
      </c>
      <c r="N1697" s="3">
        <v>54.99</v>
      </c>
      <c r="O1697" s="2" t="s">
        <v>97</v>
      </c>
      <c r="P1697" s="2" t="s">
        <v>950</v>
      </c>
      <c r="Q1697" s="2" t="s">
        <v>99</v>
      </c>
      <c r="R1697" s="2" t="s">
        <v>100</v>
      </c>
      <c r="S1697" s="2" t="s">
        <v>5685</v>
      </c>
      <c r="T1697" s="2" t="s">
        <v>100</v>
      </c>
      <c r="U1697" s="2" t="s">
        <v>100</v>
      </c>
      <c r="V1697" s="2" t="s">
        <v>3066</v>
      </c>
      <c r="W1697" s="2" t="s">
        <v>183</v>
      </c>
      <c r="X1697" s="2" t="s">
        <v>100</v>
      </c>
      <c r="Y1697" s="2" t="s">
        <v>240</v>
      </c>
      <c r="Z1697" s="4">
        <v>444</v>
      </c>
      <c r="AA1697" s="4">
        <f>=ROUNDDOWN(63.4285714285714,0)</f>
      </c>
      <c r="AB1697" s="5">
        <v>7</v>
      </c>
      <c r="AC1697" s="2" t="s">
        <v>5523</v>
      </c>
      <c r="AD1697" s="4">
        <v>515</v>
      </c>
      <c r="AE1697" s="4">
        <v>515</v>
      </c>
      <c r="AF1697" s="6">
        <v>73</v>
      </c>
      <c r="AG1697" s="6"/>
      <c r="AH1697" s="7">
        <v>0.5561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200</v>
      </c>
      <c r="BK1697" s="8">
        <v>5758.08</v>
      </c>
      <c r="BL1697" s="2" t="s">
        <v>5686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5063</v>
      </c>
      <c r="BX1697" s="2" t="s">
        <v>5687</v>
      </c>
      <c r="BY1697" s="2" t="s">
        <v>113</v>
      </c>
      <c r="BZ1697" s="2" t="s">
        <v>100</v>
      </c>
    </row>
    <row r="1698">
      <c r="A1698" s="2" t="s">
        <v>5688</v>
      </c>
      <c r="B1698" s="2" t="s">
        <v>5053</v>
      </c>
      <c r="C1698" s="2" t="s">
        <v>2213</v>
      </c>
      <c r="D1698" s="2" t="s">
        <v>5054</v>
      </c>
      <c r="E1698" s="2" t="s">
        <v>5055</v>
      </c>
      <c r="F1698" s="2" t="s">
        <v>5689</v>
      </c>
      <c r="G1698" s="2" t="s">
        <v>5690</v>
      </c>
      <c r="H1698" s="2" t="s">
        <v>5691</v>
      </c>
      <c r="I1698" s="2" t="s">
        <v>5692</v>
      </c>
      <c r="J1698" s="2" t="s">
        <v>5060</v>
      </c>
      <c r="K1698" s="2" t="s">
        <v>3418</v>
      </c>
      <c r="L1698" s="3">
        <v>13.2</v>
      </c>
      <c r="M1698" s="3">
        <v>13.86</v>
      </c>
      <c r="N1698" s="3">
        <v>29.99</v>
      </c>
      <c r="O1698" s="2" t="s">
        <v>97</v>
      </c>
      <c r="P1698" s="2" t="s">
        <v>119</v>
      </c>
      <c r="Q1698" s="2" t="s">
        <v>99</v>
      </c>
      <c r="R1698" s="2" t="s">
        <v>100</v>
      </c>
      <c r="S1698" s="2" t="s">
        <v>5693</v>
      </c>
      <c r="T1698" s="2" t="s">
        <v>218</v>
      </c>
      <c r="U1698" s="2" t="s">
        <v>1847</v>
      </c>
      <c r="V1698" s="2" t="s">
        <v>434</v>
      </c>
      <c r="W1698" s="2" t="s">
        <v>104</v>
      </c>
      <c r="X1698" s="2" t="s">
        <v>100</v>
      </c>
      <c r="Y1698" s="2" t="s">
        <v>703</v>
      </c>
      <c r="Z1698" s="4">
        <v>86</v>
      </c>
      <c r="AA1698" s="4">
        <f>=ROUNDDOWN(4.52631578947368,0)</f>
      </c>
      <c r="AB1698" s="5">
        <v>19</v>
      </c>
      <c r="AC1698" s="2" t="s">
        <v>872</v>
      </c>
      <c r="AD1698" s="4">
        <v>300</v>
      </c>
      <c r="AE1698" s="4">
        <v>600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489</v>
      </c>
      <c r="BK1698" s="8">
        <v>7201.75</v>
      </c>
      <c r="BL1698" s="2" t="s">
        <v>5211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207</v>
      </c>
      <c r="BV1698" s="2" t="s">
        <v>97</v>
      </c>
      <c r="BW1698" s="2" t="s">
        <v>100</v>
      </c>
      <c r="BX1698" s="2" t="s">
        <v>100</v>
      </c>
      <c r="BY1698" s="2" t="s">
        <v>113</v>
      </c>
      <c r="BZ1698" s="2" t="s">
        <v>245</v>
      </c>
    </row>
    <row r="1699">
      <c r="A1699" s="2" t="s">
        <v>5694</v>
      </c>
      <c r="B1699" s="2" t="s">
        <v>5053</v>
      </c>
      <c r="C1699" s="2" t="s">
        <v>2213</v>
      </c>
      <c r="D1699" s="2" t="s">
        <v>5054</v>
      </c>
      <c r="E1699" s="2" t="s">
        <v>5055</v>
      </c>
      <c r="F1699" s="2" t="s">
        <v>2263</v>
      </c>
      <c r="G1699" s="2" t="s">
        <v>2264</v>
      </c>
      <c r="H1699" s="2" t="s">
        <v>2265</v>
      </c>
      <c r="I1699" s="2" t="s">
        <v>5695</v>
      </c>
      <c r="J1699" s="2" t="s">
        <v>5060</v>
      </c>
      <c r="K1699" s="2" t="s">
        <v>118</v>
      </c>
      <c r="L1699" s="3">
        <v>11.17</v>
      </c>
      <c r="M1699" s="3">
        <v>11.73</v>
      </c>
      <c r="N1699" s="3">
        <v>24.99</v>
      </c>
      <c r="O1699" s="2" t="s">
        <v>97</v>
      </c>
      <c r="P1699" s="2" t="s">
        <v>119</v>
      </c>
      <c r="Q1699" s="2" t="s">
        <v>99</v>
      </c>
      <c r="R1699" s="2" t="s">
        <v>100</v>
      </c>
      <c r="S1699" s="2" t="s">
        <v>2277</v>
      </c>
      <c r="T1699" s="2" t="s">
        <v>218</v>
      </c>
      <c r="U1699" s="2" t="s">
        <v>1847</v>
      </c>
      <c r="V1699" s="2" t="s">
        <v>434</v>
      </c>
      <c r="W1699" s="2" t="s">
        <v>309</v>
      </c>
      <c r="X1699" s="2" t="s">
        <v>100</v>
      </c>
      <c r="Y1699" s="2" t="s">
        <v>2278</v>
      </c>
      <c r="Z1699" s="4">
        <v>349</v>
      </c>
      <c r="AA1699" s="4">
        <f>=ROUNDDOWN(10.5757575757576,0)</f>
      </c>
      <c r="AB1699" s="5">
        <v>33</v>
      </c>
      <c r="AC1699" s="2" t="s">
        <v>148</v>
      </c>
      <c r="AD1699" s="4">
        <v>1380</v>
      </c>
      <c r="AE1699" s="4">
        <v>1380</v>
      </c>
      <c r="AF1699" s="6">
        <v>65</v>
      </c>
      <c r="AG1699" s="6"/>
      <c r="AH1699" s="7">
        <v>0.9947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772</v>
      </c>
      <c r="BK1699" s="8">
        <v>9637.59</v>
      </c>
      <c r="BL1699" s="2" t="s">
        <v>5211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207</v>
      </c>
      <c r="BV1699" s="2" t="s">
        <v>97</v>
      </c>
      <c r="BW1699" s="2" t="s">
        <v>100</v>
      </c>
      <c r="BX1699" s="2" t="s">
        <v>100</v>
      </c>
      <c r="BY1699" s="2" t="s">
        <v>113</v>
      </c>
      <c r="BZ1699" s="2" t="s">
        <v>245</v>
      </c>
    </row>
    <row r="1700">
      <c r="A1700" s="2" t="s">
        <v>5696</v>
      </c>
      <c r="B1700" s="2" t="s">
        <v>5053</v>
      </c>
      <c r="C1700" s="2" t="s">
        <v>2213</v>
      </c>
      <c r="D1700" s="2" t="s">
        <v>5054</v>
      </c>
      <c r="E1700" s="2" t="s">
        <v>5055</v>
      </c>
      <c r="F1700" s="2" t="s">
        <v>2263</v>
      </c>
      <c r="G1700" s="2" t="s">
        <v>2264</v>
      </c>
      <c r="H1700" s="2" t="s">
        <v>2265</v>
      </c>
      <c r="I1700" s="2" t="s">
        <v>5695</v>
      </c>
      <c r="J1700" s="2" t="s">
        <v>5060</v>
      </c>
      <c r="K1700" s="2" t="s">
        <v>512</v>
      </c>
      <c r="L1700" s="3">
        <v>11.17</v>
      </c>
      <c r="M1700" s="3">
        <v>11.73</v>
      </c>
      <c r="N1700" s="3">
        <v>24.99</v>
      </c>
      <c r="O1700" s="2" t="s">
        <v>97</v>
      </c>
      <c r="P1700" s="2" t="s">
        <v>98</v>
      </c>
      <c r="Q1700" s="2" t="s">
        <v>99</v>
      </c>
      <c r="R1700" s="2" t="s">
        <v>100</v>
      </c>
      <c r="S1700" s="2" t="s">
        <v>5697</v>
      </c>
      <c r="T1700" s="2" t="s">
        <v>218</v>
      </c>
      <c r="U1700" s="2" t="s">
        <v>1847</v>
      </c>
      <c r="V1700" s="2" t="s">
        <v>434</v>
      </c>
      <c r="W1700" s="2" t="s">
        <v>309</v>
      </c>
      <c r="X1700" s="2" t="s">
        <v>100</v>
      </c>
      <c r="Y1700" s="2" t="s">
        <v>5698</v>
      </c>
      <c r="Z1700" s="4">
        <v>1224</v>
      </c>
      <c r="AA1700" s="4">
        <f>=ROUNDDOWN(14.9268292682927,0)</f>
      </c>
      <c r="AB1700" s="5">
        <v>82</v>
      </c>
      <c r="AC1700" s="2" t="s">
        <v>241</v>
      </c>
      <c r="AD1700" s="4">
        <v>700</v>
      </c>
      <c r="AE1700" s="4">
        <v>2048</v>
      </c>
      <c r="AF1700" s="6">
        <v>69</v>
      </c>
      <c r="AG1700" s="6">
        <v>77</v>
      </c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2392</v>
      </c>
      <c r="BK1700" s="8">
        <v>28927.83</v>
      </c>
      <c r="BL1700" s="2" t="s">
        <v>5699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5477</v>
      </c>
      <c r="BX1700" s="2" t="s">
        <v>5700</v>
      </c>
      <c r="BY1700" s="2" t="s">
        <v>113</v>
      </c>
      <c r="BZ1700" s="2" t="s">
        <v>100</v>
      </c>
    </row>
    <row r="1701">
      <c r="A1701" s="2" t="s">
        <v>5701</v>
      </c>
      <c r="B1701" s="2" t="s">
        <v>5053</v>
      </c>
      <c r="C1701" s="2" t="s">
        <v>5702</v>
      </c>
      <c r="D1701" s="2" t="s">
        <v>5316</v>
      </c>
      <c r="E1701" s="2" t="s">
        <v>5317</v>
      </c>
      <c r="F1701" s="2" t="s">
        <v>5703</v>
      </c>
      <c r="G1701" s="2" t="s">
        <v>5703</v>
      </c>
      <c r="H1701" s="2" t="s">
        <v>5703</v>
      </c>
      <c r="I1701" s="2" t="s">
        <v>5704</v>
      </c>
      <c r="J1701" s="2" t="s">
        <v>5362</v>
      </c>
      <c r="K1701" s="2" t="s">
        <v>198</v>
      </c>
      <c r="L1701" s="3">
        <v>17.5</v>
      </c>
      <c r="M1701" s="3">
        <v>18.38</v>
      </c>
      <c r="N1701" s="3">
        <v>34.99</v>
      </c>
      <c r="O1701" s="2" t="s">
        <v>97</v>
      </c>
      <c r="P1701" s="2" t="s">
        <v>119</v>
      </c>
      <c r="Q1701" s="2" t="s">
        <v>99</v>
      </c>
      <c r="R1701" s="2" t="s">
        <v>100</v>
      </c>
      <c r="S1701" s="2" t="s">
        <v>5705</v>
      </c>
      <c r="T1701" s="2" t="s">
        <v>280</v>
      </c>
      <c r="U1701" s="2" t="s">
        <v>1847</v>
      </c>
      <c r="V1701" s="2" t="s">
        <v>146</v>
      </c>
      <c r="W1701" s="2" t="s">
        <v>104</v>
      </c>
      <c r="X1701" s="2" t="s">
        <v>100</v>
      </c>
      <c r="Y1701" s="2" t="s">
        <v>5706</v>
      </c>
      <c r="Z1701" s="4">
        <v>338</v>
      </c>
      <c r="AA1701" s="4">
        <f>=ROUNDDOWN(42.25,0)</f>
      </c>
      <c r="AB1701" s="5">
        <v>8</v>
      </c>
      <c r="AC1701" s="2" t="s">
        <v>934</v>
      </c>
      <c r="AD1701" s="4">
        <v>30</v>
      </c>
      <c r="AE1701" s="4">
        <v>30</v>
      </c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195</v>
      </c>
      <c r="BK1701" s="8">
        <v>3780.2</v>
      </c>
      <c r="BL1701" s="2" t="s">
        <v>5707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207</v>
      </c>
      <c r="BV1701" s="2" t="s">
        <v>97</v>
      </c>
      <c r="BW1701" s="2" t="s">
        <v>100</v>
      </c>
      <c r="BX1701" s="2" t="s">
        <v>100</v>
      </c>
      <c r="BY1701" s="2" t="s">
        <v>113</v>
      </c>
      <c r="BZ1701" s="2" t="s">
        <v>100</v>
      </c>
    </row>
    <row r="1702">
      <c r="A1702" s="2" t="s">
        <v>5708</v>
      </c>
      <c r="B1702" s="2" t="s">
        <v>5053</v>
      </c>
      <c r="C1702" s="2" t="s">
        <v>5702</v>
      </c>
      <c r="D1702" s="2" t="s">
        <v>5316</v>
      </c>
      <c r="E1702" s="2" t="s">
        <v>5317</v>
      </c>
      <c r="F1702" s="2" t="s">
        <v>5703</v>
      </c>
      <c r="G1702" s="2" t="s">
        <v>5703</v>
      </c>
      <c r="H1702" s="2" t="s">
        <v>5703</v>
      </c>
      <c r="I1702" s="2" t="s">
        <v>5704</v>
      </c>
      <c r="J1702" s="2" t="s">
        <v>5337</v>
      </c>
      <c r="K1702" s="2" t="s">
        <v>198</v>
      </c>
      <c r="L1702" s="3">
        <v>21.5</v>
      </c>
      <c r="M1702" s="3">
        <v>22.58</v>
      </c>
      <c r="N1702" s="3">
        <v>44.99</v>
      </c>
      <c r="O1702" s="2" t="s">
        <v>97</v>
      </c>
      <c r="P1702" s="2" t="s">
        <v>119</v>
      </c>
      <c r="Q1702" s="2" t="s">
        <v>99</v>
      </c>
      <c r="R1702" s="2" t="s">
        <v>100</v>
      </c>
      <c r="S1702" s="2" t="s">
        <v>5705</v>
      </c>
      <c r="T1702" s="2" t="s">
        <v>280</v>
      </c>
      <c r="U1702" s="2" t="s">
        <v>1847</v>
      </c>
      <c r="V1702" s="2" t="s">
        <v>146</v>
      </c>
      <c r="W1702" s="2" t="s">
        <v>104</v>
      </c>
      <c r="X1702" s="2" t="s">
        <v>100</v>
      </c>
      <c r="Y1702" s="2" t="s">
        <v>5706</v>
      </c>
      <c r="Z1702" s="4">
        <v>415</v>
      </c>
      <c r="AA1702" s="4">
        <f>=ROUNDDOWN(59.2857142857143,0)</f>
      </c>
      <c r="AB1702" s="5">
        <v>7</v>
      </c>
      <c r="AC1702" s="2" t="s">
        <v>100</v>
      </c>
      <c r="AD1702" s="4"/>
      <c r="AE1702" s="4"/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167</v>
      </c>
      <c r="BK1702" s="8">
        <v>3912.01</v>
      </c>
      <c r="BL1702" s="2" t="s">
        <v>5709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207</v>
      </c>
      <c r="BV1702" s="2" t="s">
        <v>97</v>
      </c>
      <c r="BW1702" s="2" t="s">
        <v>100</v>
      </c>
      <c r="BX1702" s="2" t="s">
        <v>100</v>
      </c>
      <c r="BY1702" s="2" t="s">
        <v>113</v>
      </c>
      <c r="BZ1702" s="2" t="s">
        <v>100</v>
      </c>
    </row>
    <row r="1703">
      <c r="A1703" s="2" t="s">
        <v>5710</v>
      </c>
      <c r="B1703" s="2" t="s">
        <v>5053</v>
      </c>
      <c r="C1703" s="2" t="s">
        <v>5702</v>
      </c>
      <c r="D1703" s="2" t="s">
        <v>5316</v>
      </c>
      <c r="E1703" s="2" t="s">
        <v>5317</v>
      </c>
      <c r="F1703" s="2" t="s">
        <v>5703</v>
      </c>
      <c r="G1703" s="2" t="s">
        <v>5703</v>
      </c>
      <c r="H1703" s="2" t="s">
        <v>5703</v>
      </c>
      <c r="I1703" s="2" t="s">
        <v>5704</v>
      </c>
      <c r="J1703" s="2" t="s">
        <v>5328</v>
      </c>
      <c r="K1703" s="2" t="s">
        <v>198</v>
      </c>
      <c r="L1703" s="3">
        <v>35</v>
      </c>
      <c r="M1703" s="3">
        <v>36.75</v>
      </c>
      <c r="N1703" s="3">
        <v>74.99</v>
      </c>
      <c r="O1703" s="2" t="s">
        <v>97</v>
      </c>
      <c r="P1703" s="2" t="s">
        <v>119</v>
      </c>
      <c r="Q1703" s="2" t="s">
        <v>99</v>
      </c>
      <c r="R1703" s="2" t="s">
        <v>100</v>
      </c>
      <c r="S1703" s="2" t="s">
        <v>5705</v>
      </c>
      <c r="T1703" s="2" t="s">
        <v>280</v>
      </c>
      <c r="U1703" s="2" t="s">
        <v>1847</v>
      </c>
      <c r="V1703" s="2" t="s">
        <v>146</v>
      </c>
      <c r="W1703" s="2" t="s">
        <v>104</v>
      </c>
      <c r="X1703" s="2" t="s">
        <v>100</v>
      </c>
      <c r="Y1703" s="2" t="s">
        <v>5706</v>
      </c>
      <c r="Z1703" s="4">
        <v>168</v>
      </c>
      <c r="AA1703" s="4">
        <f>=ROUNDDOWN(24,0)</f>
      </c>
      <c r="AB1703" s="5">
        <v>7</v>
      </c>
      <c r="AC1703" s="2" t="s">
        <v>934</v>
      </c>
      <c r="AD1703" s="4">
        <v>108</v>
      </c>
      <c r="AE1703" s="4">
        <v>108</v>
      </c>
      <c r="AF1703" s="6">
        <v>67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141</v>
      </c>
      <c r="BK1703" s="8">
        <v>5428.55</v>
      </c>
      <c r="BL1703" s="2" t="s">
        <v>5707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207</v>
      </c>
      <c r="BV1703" s="2" t="s">
        <v>97</v>
      </c>
      <c r="BW1703" s="2" t="s">
        <v>100</v>
      </c>
      <c r="BX1703" s="2" t="s">
        <v>100</v>
      </c>
      <c r="BY1703" s="2" t="s">
        <v>113</v>
      </c>
      <c r="BZ1703" s="2" t="s">
        <v>100</v>
      </c>
    </row>
    <row r="1704">
      <c r="A1704" s="2" t="s">
        <v>5711</v>
      </c>
      <c r="B1704" s="2" t="s">
        <v>5053</v>
      </c>
      <c r="C1704" s="2" t="s">
        <v>5702</v>
      </c>
      <c r="D1704" s="2" t="s">
        <v>5316</v>
      </c>
      <c r="E1704" s="2" t="s">
        <v>5317</v>
      </c>
      <c r="F1704" s="2" t="s">
        <v>5703</v>
      </c>
      <c r="G1704" s="2" t="s">
        <v>5703</v>
      </c>
      <c r="H1704" s="2" t="s">
        <v>5703</v>
      </c>
      <c r="I1704" s="2" t="s">
        <v>5704</v>
      </c>
      <c r="J1704" s="2" t="s">
        <v>5362</v>
      </c>
      <c r="K1704" s="2" t="s">
        <v>1614</v>
      </c>
      <c r="L1704" s="3">
        <v>17.5</v>
      </c>
      <c r="M1704" s="3">
        <v>18.38</v>
      </c>
      <c r="N1704" s="3">
        <v>34.99</v>
      </c>
      <c r="O1704" s="2" t="s">
        <v>97</v>
      </c>
      <c r="P1704" s="2" t="s">
        <v>119</v>
      </c>
      <c r="Q1704" s="2" t="s">
        <v>99</v>
      </c>
      <c r="R1704" s="2" t="s">
        <v>100</v>
      </c>
      <c r="S1704" s="2" t="s">
        <v>5712</v>
      </c>
      <c r="T1704" s="2" t="s">
        <v>280</v>
      </c>
      <c r="U1704" s="2" t="s">
        <v>1847</v>
      </c>
      <c r="V1704" s="2" t="s">
        <v>146</v>
      </c>
      <c r="W1704" s="2" t="s">
        <v>104</v>
      </c>
      <c r="X1704" s="2" t="s">
        <v>100</v>
      </c>
      <c r="Y1704" s="2" t="s">
        <v>5706</v>
      </c>
      <c r="Z1704" s="4">
        <v>338</v>
      </c>
      <c r="AA1704" s="4">
        <f>=ROUNDDOWN(48.2857142857143,0)</f>
      </c>
      <c r="AB1704" s="5">
        <v>7</v>
      </c>
      <c r="AC1704" s="2" t="s">
        <v>100</v>
      </c>
      <c r="AD1704" s="4"/>
      <c r="AE1704" s="4"/>
      <c r="AF1704" s="6">
        <v>67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163</v>
      </c>
      <c r="BK1704" s="8">
        <v>3133.26</v>
      </c>
      <c r="BL1704" s="2" t="s">
        <v>5707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207</v>
      </c>
      <c r="BV1704" s="2" t="s">
        <v>97</v>
      </c>
      <c r="BW1704" s="2" t="s">
        <v>100</v>
      </c>
      <c r="BX1704" s="2" t="s">
        <v>100</v>
      </c>
      <c r="BY1704" s="2" t="s">
        <v>113</v>
      </c>
      <c r="BZ1704" s="2" t="s">
        <v>100</v>
      </c>
    </row>
    <row r="1705">
      <c r="A1705" s="2" t="s">
        <v>5713</v>
      </c>
      <c r="B1705" s="2" t="s">
        <v>5053</v>
      </c>
      <c r="C1705" s="2" t="s">
        <v>5702</v>
      </c>
      <c r="D1705" s="2" t="s">
        <v>5316</v>
      </c>
      <c r="E1705" s="2" t="s">
        <v>5317</v>
      </c>
      <c r="F1705" s="2" t="s">
        <v>5703</v>
      </c>
      <c r="G1705" s="2" t="s">
        <v>5703</v>
      </c>
      <c r="H1705" s="2" t="s">
        <v>5703</v>
      </c>
      <c r="I1705" s="2" t="s">
        <v>5704</v>
      </c>
      <c r="J1705" s="2" t="s">
        <v>5337</v>
      </c>
      <c r="K1705" s="2" t="s">
        <v>1614</v>
      </c>
      <c r="L1705" s="3">
        <v>21.5</v>
      </c>
      <c r="M1705" s="3">
        <v>22.58</v>
      </c>
      <c r="N1705" s="3">
        <v>44.99</v>
      </c>
      <c r="O1705" s="2" t="s">
        <v>97</v>
      </c>
      <c r="P1705" s="2" t="s">
        <v>119</v>
      </c>
      <c r="Q1705" s="2" t="s">
        <v>99</v>
      </c>
      <c r="R1705" s="2" t="s">
        <v>100</v>
      </c>
      <c r="S1705" s="2" t="s">
        <v>5712</v>
      </c>
      <c r="T1705" s="2" t="s">
        <v>280</v>
      </c>
      <c r="U1705" s="2" t="s">
        <v>1847</v>
      </c>
      <c r="V1705" s="2" t="s">
        <v>146</v>
      </c>
      <c r="W1705" s="2" t="s">
        <v>104</v>
      </c>
      <c r="X1705" s="2" t="s">
        <v>100</v>
      </c>
      <c r="Y1705" s="2" t="s">
        <v>5706</v>
      </c>
      <c r="Z1705" s="4">
        <v>227</v>
      </c>
      <c r="AA1705" s="4">
        <f>=ROUNDDOWN(37.8333333333333,0)</f>
      </c>
      <c r="AB1705" s="5">
        <v>6</v>
      </c>
      <c r="AC1705" s="2" t="s">
        <v>100</v>
      </c>
      <c r="AD1705" s="4"/>
      <c r="AE1705" s="4"/>
      <c r="AF1705" s="6">
        <v>67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155</v>
      </c>
      <c r="BK1705" s="8">
        <v>3702.88</v>
      </c>
      <c r="BL1705" s="2" t="s">
        <v>5714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207</v>
      </c>
      <c r="BV1705" s="2" t="s">
        <v>97</v>
      </c>
      <c r="BW1705" s="2" t="s">
        <v>100</v>
      </c>
      <c r="BX1705" s="2" t="s">
        <v>100</v>
      </c>
      <c r="BY1705" s="2" t="s">
        <v>113</v>
      </c>
      <c r="BZ1705" s="2" t="s">
        <v>100</v>
      </c>
    </row>
    <row r="1706">
      <c r="A1706" s="2" t="s">
        <v>5715</v>
      </c>
      <c r="B1706" s="2" t="s">
        <v>5053</v>
      </c>
      <c r="C1706" s="2" t="s">
        <v>5702</v>
      </c>
      <c r="D1706" s="2" t="s">
        <v>5316</v>
      </c>
      <c r="E1706" s="2" t="s">
        <v>5317</v>
      </c>
      <c r="F1706" s="2" t="s">
        <v>5703</v>
      </c>
      <c r="G1706" s="2" t="s">
        <v>5703</v>
      </c>
      <c r="H1706" s="2" t="s">
        <v>5703</v>
      </c>
      <c r="I1706" s="2" t="s">
        <v>5704</v>
      </c>
      <c r="J1706" s="2" t="s">
        <v>5328</v>
      </c>
      <c r="K1706" s="2" t="s">
        <v>1614</v>
      </c>
      <c r="L1706" s="3">
        <v>35</v>
      </c>
      <c r="M1706" s="3">
        <v>36.75</v>
      </c>
      <c r="N1706" s="3">
        <v>74.99</v>
      </c>
      <c r="O1706" s="2" t="s">
        <v>97</v>
      </c>
      <c r="P1706" s="2" t="s">
        <v>119</v>
      </c>
      <c r="Q1706" s="2" t="s">
        <v>99</v>
      </c>
      <c r="R1706" s="2" t="s">
        <v>100</v>
      </c>
      <c r="S1706" s="2" t="s">
        <v>5712</v>
      </c>
      <c r="T1706" s="2" t="s">
        <v>280</v>
      </c>
      <c r="U1706" s="2" t="s">
        <v>1847</v>
      </c>
      <c r="V1706" s="2" t="s">
        <v>146</v>
      </c>
      <c r="W1706" s="2" t="s">
        <v>104</v>
      </c>
      <c r="X1706" s="2" t="s">
        <v>100</v>
      </c>
      <c r="Y1706" s="2" t="s">
        <v>5706</v>
      </c>
      <c r="Z1706" s="4">
        <v>203</v>
      </c>
      <c r="AA1706" s="4">
        <f>=ROUNDDOWN(33.8333333333333,0)</f>
      </c>
      <c r="AB1706" s="5">
        <v>6</v>
      </c>
      <c r="AC1706" s="2" t="s">
        <v>100</v>
      </c>
      <c r="AD1706" s="4"/>
      <c r="AE1706" s="4"/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120</v>
      </c>
      <c r="BK1706" s="8">
        <v>4662.43</v>
      </c>
      <c r="BL1706" s="2" t="s">
        <v>5707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207</v>
      </c>
      <c r="BV1706" s="2" t="s">
        <v>97</v>
      </c>
      <c r="BW1706" s="2" t="s">
        <v>100</v>
      </c>
      <c r="BX1706" s="2" t="s">
        <v>100</v>
      </c>
      <c r="BY1706" s="2" t="s">
        <v>113</v>
      </c>
      <c r="BZ1706" s="2" t="s">
        <v>100</v>
      </c>
    </row>
    <row r="1707">
      <c r="A1707" s="2" t="s">
        <v>5716</v>
      </c>
      <c r="B1707" s="2" t="s">
        <v>5053</v>
      </c>
      <c r="C1707" s="2" t="s">
        <v>5702</v>
      </c>
      <c r="D1707" s="2" t="s">
        <v>5316</v>
      </c>
      <c r="E1707" s="2" t="s">
        <v>5317</v>
      </c>
      <c r="F1707" s="2" t="s">
        <v>5703</v>
      </c>
      <c r="G1707" s="2" t="s">
        <v>5703</v>
      </c>
      <c r="H1707" s="2" t="s">
        <v>5703</v>
      </c>
      <c r="I1707" s="2" t="s">
        <v>5704</v>
      </c>
      <c r="J1707" s="2" t="s">
        <v>5362</v>
      </c>
      <c r="K1707" s="2" t="s">
        <v>189</v>
      </c>
      <c r="L1707" s="3">
        <v>17.5</v>
      </c>
      <c r="M1707" s="3">
        <v>18.38</v>
      </c>
      <c r="N1707" s="3">
        <v>34.99</v>
      </c>
      <c r="O1707" s="2" t="s">
        <v>97</v>
      </c>
      <c r="P1707" s="2" t="s">
        <v>119</v>
      </c>
      <c r="Q1707" s="2" t="s">
        <v>99</v>
      </c>
      <c r="R1707" s="2" t="s">
        <v>100</v>
      </c>
      <c r="S1707" s="2" t="s">
        <v>5717</v>
      </c>
      <c r="T1707" s="2" t="s">
        <v>280</v>
      </c>
      <c r="U1707" s="2" t="s">
        <v>1847</v>
      </c>
      <c r="V1707" s="2" t="s">
        <v>146</v>
      </c>
      <c r="W1707" s="2" t="s">
        <v>104</v>
      </c>
      <c r="X1707" s="2" t="s">
        <v>100</v>
      </c>
      <c r="Y1707" s="2" t="s">
        <v>5706</v>
      </c>
      <c r="Z1707" s="4">
        <v>199</v>
      </c>
      <c r="AA1707" s="4">
        <f>=ROUNDDOWN(24.875,0)</f>
      </c>
      <c r="AB1707" s="5">
        <v>8</v>
      </c>
      <c r="AC1707" s="2" t="s">
        <v>1728</v>
      </c>
      <c r="AD1707" s="4">
        <v>180</v>
      </c>
      <c r="AE1707" s="4">
        <v>180</v>
      </c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173</v>
      </c>
      <c r="BK1707" s="8">
        <v>3431.9</v>
      </c>
      <c r="BL1707" s="2" t="s">
        <v>5707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207</v>
      </c>
      <c r="BV1707" s="2" t="s">
        <v>97</v>
      </c>
      <c r="BW1707" s="2" t="s">
        <v>100</v>
      </c>
      <c r="BX1707" s="2" t="s">
        <v>100</v>
      </c>
      <c r="BY1707" s="2" t="s">
        <v>113</v>
      </c>
      <c r="BZ1707" s="2" t="s">
        <v>100</v>
      </c>
    </row>
    <row r="1708">
      <c r="A1708" s="2" t="s">
        <v>5718</v>
      </c>
      <c r="B1708" s="2" t="s">
        <v>5053</v>
      </c>
      <c r="C1708" s="2" t="s">
        <v>5702</v>
      </c>
      <c r="D1708" s="2" t="s">
        <v>5316</v>
      </c>
      <c r="E1708" s="2" t="s">
        <v>5317</v>
      </c>
      <c r="F1708" s="2" t="s">
        <v>5703</v>
      </c>
      <c r="G1708" s="2" t="s">
        <v>5703</v>
      </c>
      <c r="H1708" s="2" t="s">
        <v>5703</v>
      </c>
      <c r="I1708" s="2" t="s">
        <v>5704</v>
      </c>
      <c r="J1708" s="2" t="s">
        <v>5337</v>
      </c>
      <c r="K1708" s="2" t="s">
        <v>189</v>
      </c>
      <c r="L1708" s="3">
        <v>21.5</v>
      </c>
      <c r="M1708" s="3">
        <v>22.58</v>
      </c>
      <c r="N1708" s="3">
        <v>44.99</v>
      </c>
      <c r="O1708" s="2" t="s">
        <v>97</v>
      </c>
      <c r="P1708" s="2" t="s">
        <v>119</v>
      </c>
      <c r="Q1708" s="2" t="s">
        <v>99</v>
      </c>
      <c r="R1708" s="2" t="s">
        <v>100</v>
      </c>
      <c r="S1708" s="2" t="s">
        <v>5717</v>
      </c>
      <c r="T1708" s="2" t="s">
        <v>280</v>
      </c>
      <c r="U1708" s="2" t="s">
        <v>1847</v>
      </c>
      <c r="V1708" s="2" t="s">
        <v>146</v>
      </c>
      <c r="W1708" s="2" t="s">
        <v>104</v>
      </c>
      <c r="X1708" s="2" t="s">
        <v>100</v>
      </c>
      <c r="Y1708" s="2" t="s">
        <v>5706</v>
      </c>
      <c r="Z1708" s="4">
        <v>202</v>
      </c>
      <c r="AA1708" s="4">
        <f>=ROUNDDOWN(28.8571428571429,0)</f>
      </c>
      <c r="AB1708" s="5">
        <v>7</v>
      </c>
      <c r="AC1708" s="2" t="s">
        <v>1728</v>
      </c>
      <c r="AD1708" s="4">
        <v>204</v>
      </c>
      <c r="AE1708" s="4">
        <v>204</v>
      </c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155</v>
      </c>
      <c r="BK1708" s="8">
        <v>3744.41</v>
      </c>
      <c r="BL1708" s="2" t="s">
        <v>5707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207</v>
      </c>
      <c r="BV1708" s="2" t="s">
        <v>97</v>
      </c>
      <c r="BW1708" s="2" t="s">
        <v>100</v>
      </c>
      <c r="BX1708" s="2" t="s">
        <v>100</v>
      </c>
      <c r="BY1708" s="2" t="s">
        <v>113</v>
      </c>
      <c r="BZ1708" s="2" t="s">
        <v>100</v>
      </c>
    </row>
    <row r="1709">
      <c r="A1709" s="2" t="s">
        <v>5719</v>
      </c>
      <c r="B1709" s="2" t="s">
        <v>5053</v>
      </c>
      <c r="C1709" s="2" t="s">
        <v>5702</v>
      </c>
      <c r="D1709" s="2" t="s">
        <v>5316</v>
      </c>
      <c r="E1709" s="2" t="s">
        <v>5317</v>
      </c>
      <c r="F1709" s="2" t="s">
        <v>5703</v>
      </c>
      <c r="G1709" s="2" t="s">
        <v>5703</v>
      </c>
      <c r="H1709" s="2" t="s">
        <v>5703</v>
      </c>
      <c r="I1709" s="2" t="s">
        <v>5704</v>
      </c>
      <c r="J1709" s="2" t="s">
        <v>5328</v>
      </c>
      <c r="K1709" s="2" t="s">
        <v>189</v>
      </c>
      <c r="L1709" s="3">
        <v>35</v>
      </c>
      <c r="M1709" s="3">
        <v>36.75</v>
      </c>
      <c r="N1709" s="3">
        <v>74.99</v>
      </c>
      <c r="O1709" s="2" t="s">
        <v>97</v>
      </c>
      <c r="P1709" s="2" t="s">
        <v>119</v>
      </c>
      <c r="Q1709" s="2" t="s">
        <v>99</v>
      </c>
      <c r="R1709" s="2" t="s">
        <v>100</v>
      </c>
      <c r="S1709" s="2" t="s">
        <v>5717</v>
      </c>
      <c r="T1709" s="2" t="s">
        <v>280</v>
      </c>
      <c r="U1709" s="2" t="s">
        <v>1847</v>
      </c>
      <c r="V1709" s="2" t="s">
        <v>146</v>
      </c>
      <c r="W1709" s="2" t="s">
        <v>104</v>
      </c>
      <c r="X1709" s="2" t="s">
        <v>100</v>
      </c>
      <c r="Y1709" s="2" t="s">
        <v>5706</v>
      </c>
      <c r="Z1709" s="4">
        <v>163</v>
      </c>
      <c r="AA1709" s="4">
        <f>=ROUNDDOWN(23.2857142857143,0)</f>
      </c>
      <c r="AB1709" s="5">
        <v>7</v>
      </c>
      <c r="AC1709" s="2" t="s">
        <v>1728</v>
      </c>
      <c r="AD1709" s="4">
        <v>126</v>
      </c>
      <c r="AE1709" s="4">
        <v>126</v>
      </c>
      <c r="AF1709" s="6">
        <v>67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165</v>
      </c>
      <c r="BK1709" s="8">
        <v>6246.75</v>
      </c>
      <c r="BL1709" s="2" t="s">
        <v>5707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207</v>
      </c>
      <c r="BV1709" s="2" t="s">
        <v>97</v>
      </c>
      <c r="BW1709" s="2" t="s">
        <v>100</v>
      </c>
      <c r="BX1709" s="2" t="s">
        <v>100</v>
      </c>
      <c r="BY1709" s="2" t="s">
        <v>113</v>
      </c>
      <c r="BZ1709" s="2" t="s">
        <v>100</v>
      </c>
    </row>
    <row r="1710">
      <c r="A1710" s="2" t="s">
        <v>5720</v>
      </c>
      <c r="B1710" s="2" t="s">
        <v>5053</v>
      </c>
      <c r="C1710" s="2" t="s">
        <v>2850</v>
      </c>
      <c r="D1710" s="2" t="s">
        <v>5316</v>
      </c>
      <c r="E1710" s="2" t="s">
        <v>5317</v>
      </c>
      <c r="F1710" s="2" t="s">
        <v>4249</v>
      </c>
      <c r="G1710" s="2" t="s">
        <v>4249</v>
      </c>
      <c r="H1710" s="2" t="s">
        <v>4249</v>
      </c>
      <c r="I1710" s="2" t="s">
        <v>5721</v>
      </c>
      <c r="J1710" s="2" t="s">
        <v>5722</v>
      </c>
      <c r="K1710" s="2" t="s">
        <v>335</v>
      </c>
      <c r="L1710" s="3">
        <v>22.5</v>
      </c>
      <c r="M1710" s="3">
        <v>23.63</v>
      </c>
      <c r="N1710" s="3">
        <v>49.99</v>
      </c>
      <c r="O1710" s="2" t="s">
        <v>97</v>
      </c>
      <c r="P1710" s="2" t="s">
        <v>225</v>
      </c>
      <c r="Q1710" s="2" t="s">
        <v>99</v>
      </c>
      <c r="R1710" s="2" t="s">
        <v>100</v>
      </c>
      <c r="S1710" s="2" t="s">
        <v>5723</v>
      </c>
      <c r="T1710" s="2" t="s">
        <v>280</v>
      </c>
      <c r="U1710" s="2" t="s">
        <v>1847</v>
      </c>
      <c r="V1710" s="2" t="s">
        <v>403</v>
      </c>
      <c r="W1710" s="2" t="s">
        <v>3013</v>
      </c>
      <c r="X1710" s="2" t="s">
        <v>415</v>
      </c>
      <c r="Y1710" s="2" t="s">
        <v>5724</v>
      </c>
      <c r="Z1710" s="4">
        <v>893</v>
      </c>
      <c r="AA1710" s="4">
        <f>=ROUNDDOWN(22.325,0)</f>
      </c>
      <c r="AB1710" s="5">
        <v>40</v>
      </c>
      <c r="AC1710" s="2" t="s">
        <v>3031</v>
      </c>
      <c r="AD1710" s="4">
        <v>200</v>
      </c>
      <c r="AE1710" s="4">
        <v>552</v>
      </c>
      <c r="AF1710" s="6">
        <v>70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338</v>
      </c>
      <c r="BK1710" s="8">
        <v>8598.02</v>
      </c>
      <c r="BL1710" s="2" t="s">
        <v>5725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2528</v>
      </c>
      <c r="BV1710" s="2" t="s">
        <v>97</v>
      </c>
      <c r="BW1710" s="2" t="s">
        <v>100</v>
      </c>
      <c r="BX1710" s="2" t="s">
        <v>100</v>
      </c>
      <c r="BY1710" s="2" t="s">
        <v>113</v>
      </c>
      <c r="BZ1710" s="2" t="s">
        <v>100</v>
      </c>
    </row>
    <row r="1711">
      <c r="A1711" s="2" t="s">
        <v>5726</v>
      </c>
      <c r="B1711" s="2" t="s">
        <v>5053</v>
      </c>
      <c r="C1711" s="2" t="s">
        <v>2850</v>
      </c>
      <c r="D1711" s="2" t="s">
        <v>5316</v>
      </c>
      <c r="E1711" s="2" t="s">
        <v>5317</v>
      </c>
      <c r="F1711" s="2" t="s">
        <v>4249</v>
      </c>
      <c r="G1711" s="2" t="s">
        <v>4249</v>
      </c>
      <c r="H1711" s="2" t="s">
        <v>4249</v>
      </c>
      <c r="I1711" s="2" t="s">
        <v>5721</v>
      </c>
      <c r="J1711" s="2" t="s">
        <v>5727</v>
      </c>
      <c r="K1711" s="2" t="s">
        <v>335</v>
      </c>
      <c r="L1711" s="3">
        <v>13.7</v>
      </c>
      <c r="M1711" s="3">
        <v>14.39</v>
      </c>
      <c r="N1711" s="3">
        <v>31.99</v>
      </c>
      <c r="O1711" s="2" t="s">
        <v>97</v>
      </c>
      <c r="P1711" s="2" t="s">
        <v>225</v>
      </c>
      <c r="Q1711" s="2" t="s">
        <v>99</v>
      </c>
      <c r="R1711" s="2" t="s">
        <v>100</v>
      </c>
      <c r="S1711" s="2" t="s">
        <v>5723</v>
      </c>
      <c r="T1711" s="2" t="s">
        <v>280</v>
      </c>
      <c r="U1711" s="2" t="s">
        <v>1847</v>
      </c>
      <c r="V1711" s="2" t="s">
        <v>403</v>
      </c>
      <c r="W1711" s="2" t="s">
        <v>3013</v>
      </c>
      <c r="X1711" s="2" t="s">
        <v>415</v>
      </c>
      <c r="Y1711" s="2" t="s">
        <v>5724</v>
      </c>
      <c r="Z1711" s="4">
        <v>1280</v>
      </c>
      <c r="AA1711" s="4">
        <f>=ROUNDDOWN(20.983606557377,0)</f>
      </c>
      <c r="AB1711" s="5">
        <v>61</v>
      </c>
      <c r="AC1711" s="2" t="s">
        <v>3031</v>
      </c>
      <c r="AD1711" s="4">
        <v>600</v>
      </c>
      <c r="AE1711" s="4">
        <v>1052</v>
      </c>
      <c r="AF1711" s="6">
        <v>70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649</v>
      </c>
      <c r="BK1711" s="8">
        <v>10093.35</v>
      </c>
      <c r="BL1711" s="2" t="s">
        <v>5725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2528</v>
      </c>
      <c r="BV1711" s="2" t="s">
        <v>97</v>
      </c>
      <c r="BW1711" s="2" t="s">
        <v>100</v>
      </c>
      <c r="BX1711" s="2" t="s">
        <v>100</v>
      </c>
      <c r="BY1711" s="2" t="s">
        <v>113</v>
      </c>
      <c r="BZ1711" s="2" t="s">
        <v>100</v>
      </c>
    </row>
    <row r="1712">
      <c r="A1712" s="2" t="s">
        <v>5728</v>
      </c>
      <c r="B1712" s="2" t="s">
        <v>5053</v>
      </c>
      <c r="C1712" s="2" t="s">
        <v>2850</v>
      </c>
      <c r="D1712" s="2" t="s">
        <v>5316</v>
      </c>
      <c r="E1712" s="2" t="s">
        <v>5317</v>
      </c>
      <c r="F1712" s="2" t="s">
        <v>4249</v>
      </c>
      <c r="G1712" s="2" t="s">
        <v>4249</v>
      </c>
      <c r="H1712" s="2" t="s">
        <v>4249</v>
      </c>
      <c r="I1712" s="2" t="s">
        <v>5721</v>
      </c>
      <c r="J1712" s="2" t="s">
        <v>5722</v>
      </c>
      <c r="K1712" s="2" t="s">
        <v>198</v>
      </c>
      <c r="L1712" s="3">
        <v>22.5</v>
      </c>
      <c r="M1712" s="3">
        <v>23.63</v>
      </c>
      <c r="N1712" s="3">
        <v>49.99</v>
      </c>
      <c r="O1712" s="2" t="s">
        <v>97</v>
      </c>
      <c r="P1712" s="2" t="s">
        <v>950</v>
      </c>
      <c r="Q1712" s="2" t="s">
        <v>99</v>
      </c>
      <c r="R1712" s="2" t="s">
        <v>100</v>
      </c>
      <c r="S1712" s="2" t="s">
        <v>5729</v>
      </c>
      <c r="T1712" s="2" t="s">
        <v>280</v>
      </c>
      <c r="U1712" s="2" t="s">
        <v>1847</v>
      </c>
      <c r="V1712" s="2" t="s">
        <v>403</v>
      </c>
      <c r="W1712" s="2" t="s">
        <v>2897</v>
      </c>
      <c r="X1712" s="2" t="s">
        <v>3013</v>
      </c>
      <c r="Y1712" s="2" t="s">
        <v>5730</v>
      </c>
      <c r="Z1712" s="4">
        <v>168</v>
      </c>
      <c r="AA1712" s="4">
        <f>=ROUNDDOWN(2.3013698630137,0)</f>
      </c>
      <c r="AB1712" s="5">
        <v>73</v>
      </c>
      <c r="AC1712" s="2" t="s">
        <v>241</v>
      </c>
      <c r="AD1712" s="4">
        <v>260</v>
      </c>
      <c r="AE1712" s="4">
        <v>2440</v>
      </c>
      <c r="AF1712" s="6">
        <v>70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1861</v>
      </c>
      <c r="BK1712" s="8">
        <v>44973</v>
      </c>
      <c r="BL1712" s="2" t="s">
        <v>5731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2528</v>
      </c>
      <c r="BV1712" s="2" t="s">
        <v>97</v>
      </c>
      <c r="BW1712" s="2" t="s">
        <v>100</v>
      </c>
      <c r="BX1712" s="2" t="s">
        <v>100</v>
      </c>
      <c r="BY1712" s="2" t="s">
        <v>113</v>
      </c>
      <c r="BZ1712" s="2" t="s">
        <v>245</v>
      </c>
    </row>
    <row r="1713">
      <c r="A1713" s="2" t="s">
        <v>5732</v>
      </c>
      <c r="B1713" s="2" t="s">
        <v>5053</v>
      </c>
      <c r="C1713" s="2" t="s">
        <v>2850</v>
      </c>
      <c r="D1713" s="2" t="s">
        <v>5316</v>
      </c>
      <c r="E1713" s="2" t="s">
        <v>5317</v>
      </c>
      <c r="F1713" s="2" t="s">
        <v>4249</v>
      </c>
      <c r="G1713" s="2" t="s">
        <v>4249</v>
      </c>
      <c r="H1713" s="2" t="s">
        <v>4249</v>
      </c>
      <c r="I1713" s="2" t="s">
        <v>5721</v>
      </c>
      <c r="J1713" s="2" t="s">
        <v>5727</v>
      </c>
      <c r="K1713" s="2" t="s">
        <v>198</v>
      </c>
      <c r="L1713" s="3">
        <v>13.7</v>
      </c>
      <c r="M1713" s="3">
        <v>14.39</v>
      </c>
      <c r="N1713" s="3">
        <v>31.99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5729</v>
      </c>
      <c r="T1713" s="2" t="s">
        <v>280</v>
      </c>
      <c r="U1713" s="2" t="s">
        <v>1847</v>
      </c>
      <c r="V1713" s="2" t="s">
        <v>403</v>
      </c>
      <c r="W1713" s="2" t="s">
        <v>2897</v>
      </c>
      <c r="X1713" s="2" t="s">
        <v>3013</v>
      </c>
      <c r="Y1713" s="2" t="s">
        <v>5733</v>
      </c>
      <c r="Z1713" s="4">
        <v>506</v>
      </c>
      <c r="AA1713" s="4">
        <f>=ROUNDDOWN(4.08064516129032,0)</f>
      </c>
      <c r="AB1713" s="5">
        <v>124</v>
      </c>
      <c r="AC1713" s="2" t="s">
        <v>241</v>
      </c>
      <c r="AD1713" s="4">
        <v>560</v>
      </c>
      <c r="AE1713" s="4">
        <v>4340</v>
      </c>
      <c r="AF1713" s="6">
        <v>70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3124</v>
      </c>
      <c r="BK1713" s="8">
        <v>45678.41</v>
      </c>
      <c r="BL1713" s="2" t="s">
        <v>5734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2528</v>
      </c>
      <c r="BV1713" s="2" t="s">
        <v>97</v>
      </c>
      <c r="BW1713" s="2" t="s">
        <v>100</v>
      </c>
      <c r="BX1713" s="2" t="s">
        <v>100</v>
      </c>
      <c r="BY1713" s="2" t="s">
        <v>113</v>
      </c>
      <c r="BZ1713" s="2" t="s">
        <v>245</v>
      </c>
    </row>
    <row r="1714">
      <c r="A1714" s="2" t="s">
        <v>5735</v>
      </c>
      <c r="B1714" s="2" t="s">
        <v>5053</v>
      </c>
      <c r="C1714" s="2" t="s">
        <v>2850</v>
      </c>
      <c r="D1714" s="2" t="s">
        <v>5316</v>
      </c>
      <c r="E1714" s="2" t="s">
        <v>5317</v>
      </c>
      <c r="F1714" s="2" t="s">
        <v>4249</v>
      </c>
      <c r="G1714" s="2" t="s">
        <v>4249</v>
      </c>
      <c r="H1714" s="2" t="s">
        <v>4249</v>
      </c>
      <c r="I1714" s="2" t="s">
        <v>5721</v>
      </c>
      <c r="J1714" s="2" t="s">
        <v>5722</v>
      </c>
      <c r="K1714" s="2" t="s">
        <v>858</v>
      </c>
      <c r="L1714" s="3">
        <v>22.5</v>
      </c>
      <c r="M1714" s="3">
        <v>23.63</v>
      </c>
      <c r="N1714" s="3">
        <v>49.99</v>
      </c>
      <c r="O1714" s="2" t="s">
        <v>97</v>
      </c>
      <c r="P1714" s="2" t="s">
        <v>950</v>
      </c>
      <c r="Q1714" s="2" t="s">
        <v>99</v>
      </c>
      <c r="R1714" s="2" t="s">
        <v>100</v>
      </c>
      <c r="S1714" s="2" t="s">
        <v>5736</v>
      </c>
      <c r="T1714" s="2" t="s">
        <v>280</v>
      </c>
      <c r="U1714" s="2" t="s">
        <v>1847</v>
      </c>
      <c r="V1714" s="2" t="s">
        <v>403</v>
      </c>
      <c r="W1714" s="2" t="s">
        <v>2897</v>
      </c>
      <c r="X1714" s="2" t="s">
        <v>3013</v>
      </c>
      <c r="Y1714" s="2" t="s">
        <v>5737</v>
      </c>
      <c r="Z1714" s="4">
        <v>57</v>
      </c>
      <c r="AA1714" s="4">
        <f>=ROUNDDOWN(0.74025974025974,0)</f>
      </c>
      <c r="AB1714" s="5">
        <v>77</v>
      </c>
      <c r="AC1714" s="2" t="s">
        <v>241</v>
      </c>
      <c r="AD1714" s="4">
        <v>360</v>
      </c>
      <c r="AE1714" s="4">
        <v>2360</v>
      </c>
      <c r="AF1714" s="6">
        <v>70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>
        <v>2097</v>
      </c>
      <c r="BK1714" s="8">
        <v>51397.54</v>
      </c>
      <c r="BL1714" s="2" t="s">
        <v>5738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2528</v>
      </c>
      <c r="BV1714" s="2" t="s">
        <v>97</v>
      </c>
      <c r="BW1714" s="2" t="s">
        <v>100</v>
      </c>
      <c r="BX1714" s="2" t="s">
        <v>100</v>
      </c>
      <c r="BY1714" s="2" t="s">
        <v>113</v>
      </c>
      <c r="BZ1714" s="2" t="s">
        <v>245</v>
      </c>
    </row>
    <row r="1715">
      <c r="A1715" s="2" t="s">
        <v>5739</v>
      </c>
      <c r="B1715" s="2" t="s">
        <v>5053</v>
      </c>
      <c r="C1715" s="2" t="s">
        <v>2850</v>
      </c>
      <c r="D1715" s="2" t="s">
        <v>5316</v>
      </c>
      <c r="E1715" s="2" t="s">
        <v>5317</v>
      </c>
      <c r="F1715" s="2" t="s">
        <v>4249</v>
      </c>
      <c r="G1715" s="2" t="s">
        <v>4249</v>
      </c>
      <c r="H1715" s="2" t="s">
        <v>4249</v>
      </c>
      <c r="I1715" s="2" t="s">
        <v>5721</v>
      </c>
      <c r="J1715" s="2" t="s">
        <v>5727</v>
      </c>
      <c r="K1715" s="2" t="s">
        <v>858</v>
      </c>
      <c r="L1715" s="3">
        <v>13.7</v>
      </c>
      <c r="M1715" s="3">
        <v>14.39</v>
      </c>
      <c r="N1715" s="3">
        <v>31.99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5736</v>
      </c>
      <c r="T1715" s="2" t="s">
        <v>280</v>
      </c>
      <c r="U1715" s="2" t="s">
        <v>1847</v>
      </c>
      <c r="V1715" s="2" t="s">
        <v>403</v>
      </c>
      <c r="W1715" s="2" t="s">
        <v>2897</v>
      </c>
      <c r="X1715" s="2" t="s">
        <v>3013</v>
      </c>
      <c r="Y1715" s="2" t="s">
        <v>5740</v>
      </c>
      <c r="Z1715" s="4">
        <v>566</v>
      </c>
      <c r="AA1715" s="4">
        <f>=ROUNDDOWN(4.3206106870229,0)</f>
      </c>
      <c r="AB1715" s="5">
        <v>131</v>
      </c>
      <c r="AC1715" s="2" t="s">
        <v>241</v>
      </c>
      <c r="AD1715" s="4">
        <v>960</v>
      </c>
      <c r="AE1715" s="4">
        <v>4020</v>
      </c>
      <c r="AF1715" s="6">
        <v>70</v>
      </c>
      <c r="AG1715" s="6"/>
      <c r="AH1715" s="7">
        <v>0.8984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>
        <v>3538</v>
      </c>
      <c r="BK1715" s="8">
        <v>53952.8</v>
      </c>
      <c r="BL1715" s="2" t="s">
        <v>5741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2528</v>
      </c>
      <c r="BV1715" s="2" t="s">
        <v>97</v>
      </c>
      <c r="BW1715" s="2" t="s">
        <v>100</v>
      </c>
      <c r="BX1715" s="2" t="s">
        <v>100</v>
      </c>
      <c r="BY1715" s="2" t="s">
        <v>113</v>
      </c>
      <c r="BZ1715" s="2" t="s">
        <v>245</v>
      </c>
    </row>
    <row r="1716">
      <c r="A1716" s="2" t="s">
        <v>5742</v>
      </c>
      <c r="B1716" s="2" t="s">
        <v>5053</v>
      </c>
      <c r="C1716" s="2" t="s">
        <v>2850</v>
      </c>
      <c r="D1716" s="2" t="s">
        <v>5054</v>
      </c>
      <c r="E1716" s="2" t="s">
        <v>5055</v>
      </c>
      <c r="F1716" s="2" t="s">
        <v>2875</v>
      </c>
      <c r="G1716" s="2" t="s">
        <v>2875</v>
      </c>
      <c r="H1716" s="2" t="s">
        <v>2875</v>
      </c>
      <c r="I1716" s="2" t="s">
        <v>5743</v>
      </c>
      <c r="J1716" s="2" t="s">
        <v>5060</v>
      </c>
      <c r="K1716" s="2" t="s">
        <v>96</v>
      </c>
      <c r="L1716" s="3">
        <v>17.6</v>
      </c>
      <c r="M1716" s="3">
        <v>18.48</v>
      </c>
      <c r="N1716" s="3">
        <v>39.99</v>
      </c>
      <c r="O1716" s="2" t="s">
        <v>97</v>
      </c>
      <c r="P1716" s="2" t="s">
        <v>119</v>
      </c>
      <c r="Q1716" s="2" t="s">
        <v>99</v>
      </c>
      <c r="R1716" s="2" t="s">
        <v>100</v>
      </c>
      <c r="S1716" s="2" t="s">
        <v>2877</v>
      </c>
      <c r="T1716" s="2" t="s">
        <v>100</v>
      </c>
      <c r="U1716" s="2" t="s">
        <v>100</v>
      </c>
      <c r="V1716" s="2" t="s">
        <v>403</v>
      </c>
      <c r="W1716" s="2" t="s">
        <v>561</v>
      </c>
      <c r="X1716" s="2" t="s">
        <v>100</v>
      </c>
      <c r="Y1716" s="2" t="s">
        <v>240</v>
      </c>
      <c r="Z1716" s="4">
        <v>384</v>
      </c>
      <c r="AA1716" s="4">
        <f>=ROUNDDOWN(14.2222222222222,0)</f>
      </c>
      <c r="AB1716" s="5">
        <v>27</v>
      </c>
      <c r="AC1716" s="2" t="s">
        <v>326</v>
      </c>
      <c r="AD1716" s="4">
        <v>400</v>
      </c>
      <c r="AE1716" s="4">
        <v>400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>
        <v>694</v>
      </c>
      <c r="BK1716" s="8">
        <v>13147.58</v>
      </c>
      <c r="BL1716" s="2" t="s">
        <v>5211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2528</v>
      </c>
      <c r="BV1716" s="2" t="s">
        <v>97</v>
      </c>
      <c r="BW1716" s="2" t="s">
        <v>100</v>
      </c>
      <c r="BX1716" s="2" t="s">
        <v>100</v>
      </c>
      <c r="BY1716" s="2" t="s">
        <v>113</v>
      </c>
      <c r="BZ1716" s="2" t="s">
        <v>245</v>
      </c>
    </row>
    <row r="1717">
      <c r="A1717" s="2" t="s">
        <v>5744</v>
      </c>
      <c r="B1717" s="2" t="s">
        <v>5053</v>
      </c>
      <c r="C1717" s="2" t="s">
        <v>2850</v>
      </c>
      <c r="D1717" s="2" t="s">
        <v>5054</v>
      </c>
      <c r="E1717" s="2" t="s">
        <v>5055</v>
      </c>
      <c r="F1717" s="2" t="s">
        <v>2875</v>
      </c>
      <c r="G1717" s="2" t="s">
        <v>2875</v>
      </c>
      <c r="H1717" s="2" t="s">
        <v>2875</v>
      </c>
      <c r="I1717" s="2" t="s">
        <v>5743</v>
      </c>
      <c r="J1717" s="2" t="s">
        <v>5060</v>
      </c>
      <c r="K1717" s="2" t="s">
        <v>360</v>
      </c>
      <c r="L1717" s="3">
        <v>17.6</v>
      </c>
      <c r="M1717" s="3">
        <v>18.48</v>
      </c>
      <c r="N1717" s="3">
        <v>39.99</v>
      </c>
      <c r="O1717" s="2" t="s">
        <v>97</v>
      </c>
      <c r="P1717" s="2" t="s">
        <v>119</v>
      </c>
      <c r="Q1717" s="2" t="s">
        <v>99</v>
      </c>
      <c r="R1717" s="2" t="s">
        <v>100</v>
      </c>
      <c r="S1717" s="2" t="s">
        <v>2884</v>
      </c>
      <c r="T1717" s="2" t="s">
        <v>100</v>
      </c>
      <c r="U1717" s="2" t="s">
        <v>100</v>
      </c>
      <c r="V1717" s="2" t="s">
        <v>403</v>
      </c>
      <c r="W1717" s="2" t="s">
        <v>561</v>
      </c>
      <c r="X1717" s="2" t="s">
        <v>100</v>
      </c>
      <c r="Y1717" s="2" t="s">
        <v>240</v>
      </c>
      <c r="Z1717" s="4">
        <v>795</v>
      </c>
      <c r="AA1717" s="4">
        <f>=ROUNDDOWN(15.5882352941176,0)</f>
      </c>
      <c r="AB1717" s="5">
        <v>51</v>
      </c>
      <c r="AC1717" s="2" t="s">
        <v>326</v>
      </c>
      <c r="AD1717" s="4">
        <v>520</v>
      </c>
      <c r="AE1717" s="4">
        <v>1220</v>
      </c>
      <c r="AF1717" s="6">
        <v>65</v>
      </c>
      <c r="AG1717" s="6">
        <v>73</v>
      </c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>
        <v>1166</v>
      </c>
      <c r="BK1717" s="8">
        <v>22152.84</v>
      </c>
      <c r="BL1717" s="2" t="s">
        <v>5211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2528</v>
      </c>
      <c r="BV1717" s="2" t="s">
        <v>97</v>
      </c>
      <c r="BW1717" s="2" t="s">
        <v>100</v>
      </c>
      <c r="BX1717" s="2" t="s">
        <v>100</v>
      </c>
      <c r="BY1717" s="2" t="s">
        <v>113</v>
      </c>
      <c r="BZ1717" s="2" t="s">
        <v>245</v>
      </c>
    </row>
    <row r="1718">
      <c r="A1718" s="2" t="s">
        <v>5745</v>
      </c>
      <c r="B1718" s="2" t="s">
        <v>5053</v>
      </c>
      <c r="C1718" s="2" t="s">
        <v>2850</v>
      </c>
      <c r="D1718" s="2" t="s">
        <v>5054</v>
      </c>
      <c r="E1718" s="2" t="s">
        <v>5055</v>
      </c>
      <c r="F1718" s="2" t="s">
        <v>2910</v>
      </c>
      <c r="G1718" s="2" t="s">
        <v>2910</v>
      </c>
      <c r="H1718" s="2" t="s">
        <v>2910</v>
      </c>
      <c r="I1718" s="2" t="s">
        <v>5746</v>
      </c>
      <c r="J1718" s="2" t="s">
        <v>5060</v>
      </c>
      <c r="K1718" s="2" t="s">
        <v>2911</v>
      </c>
      <c r="L1718" s="3">
        <v>24</v>
      </c>
      <c r="M1718" s="3">
        <v>25.2</v>
      </c>
      <c r="N1718" s="3">
        <v>49.99</v>
      </c>
      <c r="O1718" s="2" t="s">
        <v>97</v>
      </c>
      <c r="P1718" s="2" t="s">
        <v>119</v>
      </c>
      <c r="Q1718" s="2" t="s">
        <v>99</v>
      </c>
      <c r="R1718" s="2" t="s">
        <v>100</v>
      </c>
      <c r="S1718" s="2" t="s">
        <v>2912</v>
      </c>
      <c r="T1718" s="2" t="s">
        <v>100</v>
      </c>
      <c r="U1718" s="2" t="s">
        <v>1847</v>
      </c>
      <c r="V1718" s="2" t="s">
        <v>350</v>
      </c>
      <c r="W1718" s="2" t="s">
        <v>3013</v>
      </c>
      <c r="X1718" s="2" t="s">
        <v>2897</v>
      </c>
      <c r="Y1718" s="2" t="s">
        <v>5747</v>
      </c>
      <c r="Z1718" s="4">
        <v>322</v>
      </c>
      <c r="AA1718" s="4">
        <f>=ROUNDDOWN(16.9473684210526,0)</f>
      </c>
      <c r="AB1718" s="5">
        <v>19</v>
      </c>
      <c r="AC1718" s="2" t="s">
        <v>241</v>
      </c>
      <c r="AD1718" s="4">
        <v>620</v>
      </c>
      <c r="AE1718" s="4">
        <v>620</v>
      </c>
      <c r="AF1718" s="6">
        <v>67</v>
      </c>
      <c r="AG1718" s="6"/>
      <c r="AH1718" s="7">
        <v>0.7433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/>
      <c r="BD1718" s="8"/>
      <c r="BE1718" s="4"/>
      <c r="BF1718" s="8"/>
      <c r="BG1718" s="7"/>
      <c r="BH1718" s="7"/>
      <c r="BI1718" s="7"/>
      <c r="BJ1718" s="4">
        <v>393</v>
      </c>
      <c r="BK1718" s="8">
        <v>10620.88</v>
      </c>
      <c r="BL1718" s="2" t="s">
        <v>5748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2528</v>
      </c>
      <c r="BV1718" s="2" t="s">
        <v>97</v>
      </c>
      <c r="BW1718" s="2" t="s">
        <v>100</v>
      </c>
      <c r="BX1718" s="2" t="s">
        <v>100</v>
      </c>
      <c r="BY1718" s="2" t="s">
        <v>113</v>
      </c>
      <c r="BZ1718" s="2" t="s">
        <v>245</v>
      </c>
    </row>
    <row r="1719">
      <c r="A1719" s="2" t="s">
        <v>5749</v>
      </c>
      <c r="B1719" s="2" t="s">
        <v>5053</v>
      </c>
      <c r="C1719" s="2" t="s">
        <v>2850</v>
      </c>
      <c r="D1719" s="2" t="s">
        <v>5054</v>
      </c>
      <c r="E1719" s="2" t="s">
        <v>5055</v>
      </c>
      <c r="F1719" s="2" t="s">
        <v>2932</v>
      </c>
      <c r="G1719" s="2" t="s">
        <v>2932</v>
      </c>
      <c r="H1719" s="2" t="s">
        <v>2932</v>
      </c>
      <c r="I1719" s="2" t="s">
        <v>5750</v>
      </c>
      <c r="J1719" s="2" t="s">
        <v>5060</v>
      </c>
      <c r="K1719" s="2" t="s">
        <v>1148</v>
      </c>
      <c r="L1719" s="3">
        <v>22.33</v>
      </c>
      <c r="M1719" s="3">
        <v>23.45</v>
      </c>
      <c r="N1719" s="3">
        <v>46.99</v>
      </c>
      <c r="O1719" s="2" t="s">
        <v>97</v>
      </c>
      <c r="P1719" s="2" t="s">
        <v>119</v>
      </c>
      <c r="Q1719" s="2" t="s">
        <v>99</v>
      </c>
      <c r="R1719" s="2" t="s">
        <v>100</v>
      </c>
      <c r="S1719" s="2" t="s">
        <v>5751</v>
      </c>
      <c r="T1719" s="2" t="s">
        <v>280</v>
      </c>
      <c r="U1719" s="2" t="s">
        <v>1847</v>
      </c>
      <c r="V1719" s="2" t="s">
        <v>403</v>
      </c>
      <c r="W1719" s="2" t="s">
        <v>1580</v>
      </c>
      <c r="X1719" s="2" t="s">
        <v>339</v>
      </c>
      <c r="Y1719" s="2" t="s">
        <v>5752</v>
      </c>
      <c r="Z1719" s="4">
        <v>1311</v>
      </c>
      <c r="AA1719" s="4">
        <f>=ROUNDDOWN(34.5,0)</f>
      </c>
      <c r="AB1719" s="5">
        <v>38</v>
      </c>
      <c r="AC1719" s="2" t="s">
        <v>356</v>
      </c>
      <c r="AD1719" s="4">
        <v>600</v>
      </c>
      <c r="AE1719" s="4">
        <v>900</v>
      </c>
      <c r="AF1719" s="6">
        <v>69</v>
      </c>
      <c r="AG1719" s="6"/>
      <c r="AH1719" s="7">
        <v>0.9358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>
        <v>883</v>
      </c>
      <c r="BK1719" s="8">
        <v>23242.69</v>
      </c>
      <c r="BL1719" s="2" t="s">
        <v>5753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2528</v>
      </c>
      <c r="BV1719" s="2" t="s">
        <v>97</v>
      </c>
      <c r="BW1719" s="2" t="s">
        <v>100</v>
      </c>
      <c r="BX1719" s="2" t="s">
        <v>100</v>
      </c>
      <c r="BY1719" s="2" t="s">
        <v>113</v>
      </c>
      <c r="BZ1719" s="2" t="s">
        <v>245</v>
      </c>
    </row>
    <row r="1720">
      <c r="A1720" s="2" t="s">
        <v>5754</v>
      </c>
      <c r="B1720" s="2" t="s">
        <v>5053</v>
      </c>
      <c r="C1720" s="2" t="s">
        <v>2850</v>
      </c>
      <c r="D1720" s="2" t="s">
        <v>5054</v>
      </c>
      <c r="E1720" s="2" t="s">
        <v>5055</v>
      </c>
      <c r="F1720" s="2" t="s">
        <v>2932</v>
      </c>
      <c r="G1720" s="2" t="s">
        <v>2932</v>
      </c>
      <c r="H1720" s="2" t="s">
        <v>2932</v>
      </c>
      <c r="I1720" s="2" t="s">
        <v>5750</v>
      </c>
      <c r="J1720" s="2" t="s">
        <v>5060</v>
      </c>
      <c r="K1720" s="2" t="s">
        <v>1614</v>
      </c>
      <c r="L1720" s="3">
        <v>22.33</v>
      </c>
      <c r="M1720" s="3">
        <v>23.45</v>
      </c>
      <c r="N1720" s="3">
        <v>46.99</v>
      </c>
      <c r="O1720" s="2" t="s">
        <v>97</v>
      </c>
      <c r="P1720" s="2" t="s">
        <v>307</v>
      </c>
      <c r="Q1720" s="2" t="s">
        <v>99</v>
      </c>
      <c r="R1720" s="2" t="s">
        <v>100</v>
      </c>
      <c r="S1720" s="2" t="s">
        <v>5755</v>
      </c>
      <c r="T1720" s="2" t="s">
        <v>280</v>
      </c>
      <c r="U1720" s="2" t="s">
        <v>1847</v>
      </c>
      <c r="V1720" s="2" t="s">
        <v>403</v>
      </c>
      <c r="W1720" s="2" t="s">
        <v>1580</v>
      </c>
      <c r="X1720" s="2" t="s">
        <v>339</v>
      </c>
      <c r="Y1720" s="2" t="s">
        <v>2898</v>
      </c>
      <c r="Z1720" s="4">
        <v>3319</v>
      </c>
      <c r="AA1720" s="4">
        <f>=ROUNDDOWN(19.0747126436782,0)</f>
      </c>
      <c r="AB1720" s="5">
        <v>174</v>
      </c>
      <c r="AC1720" s="2" t="s">
        <v>356</v>
      </c>
      <c r="AD1720" s="4">
        <v>3000</v>
      </c>
      <c r="AE1720" s="4">
        <v>6240</v>
      </c>
      <c r="AF1720" s="6">
        <v>69</v>
      </c>
      <c r="AG1720" s="6"/>
      <c r="AH1720" s="7">
        <v>0.877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>
        <v>4404</v>
      </c>
      <c r="BK1720" s="8">
        <v>116927.11</v>
      </c>
      <c r="BL1720" s="2" t="s">
        <v>5756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2528</v>
      </c>
      <c r="BV1720" s="2" t="s">
        <v>97</v>
      </c>
      <c r="BW1720" s="2" t="s">
        <v>100</v>
      </c>
      <c r="BX1720" s="2" t="s">
        <v>100</v>
      </c>
      <c r="BY1720" s="2" t="s">
        <v>113</v>
      </c>
      <c r="BZ1720" s="2" t="s">
        <v>245</v>
      </c>
    </row>
    <row r="1721">
      <c r="A1721" s="2" t="s">
        <v>5757</v>
      </c>
      <c r="B1721" s="2" t="s">
        <v>5053</v>
      </c>
      <c r="C1721" s="2" t="s">
        <v>2850</v>
      </c>
      <c r="D1721" s="2" t="s">
        <v>5054</v>
      </c>
      <c r="E1721" s="2" t="s">
        <v>5055</v>
      </c>
      <c r="F1721" s="2" t="s">
        <v>2932</v>
      </c>
      <c r="G1721" s="2" t="s">
        <v>2932</v>
      </c>
      <c r="H1721" s="2" t="s">
        <v>2932</v>
      </c>
      <c r="I1721" s="2" t="s">
        <v>5750</v>
      </c>
      <c r="J1721" s="2" t="s">
        <v>5060</v>
      </c>
      <c r="K1721" s="2" t="s">
        <v>2951</v>
      </c>
      <c r="L1721" s="3">
        <v>22.33</v>
      </c>
      <c r="M1721" s="3">
        <v>23.45</v>
      </c>
      <c r="N1721" s="3">
        <v>46.99</v>
      </c>
      <c r="O1721" s="2" t="s">
        <v>97</v>
      </c>
      <c r="P1721" s="2" t="s">
        <v>225</v>
      </c>
      <c r="Q1721" s="2" t="s">
        <v>99</v>
      </c>
      <c r="R1721" s="2" t="s">
        <v>100</v>
      </c>
      <c r="S1721" s="2" t="s">
        <v>2952</v>
      </c>
      <c r="T1721" s="2" t="s">
        <v>280</v>
      </c>
      <c r="U1721" s="2" t="s">
        <v>1847</v>
      </c>
      <c r="V1721" s="2" t="s">
        <v>403</v>
      </c>
      <c r="W1721" s="2" t="s">
        <v>1580</v>
      </c>
      <c r="X1721" s="2" t="s">
        <v>339</v>
      </c>
      <c r="Y1721" s="2" t="s">
        <v>1515</v>
      </c>
      <c r="Z1721" s="4">
        <v>1</v>
      </c>
      <c r="AA1721" s="4">
        <f>=ROUNDDOWN(0.0166666666666667,0)</f>
      </c>
      <c r="AB1721" s="5">
        <v>60</v>
      </c>
      <c r="AC1721" s="2" t="s">
        <v>2739</v>
      </c>
      <c r="AD1721" s="4">
        <v>200</v>
      </c>
      <c r="AE1721" s="4">
        <v>1940</v>
      </c>
      <c r="AF1721" s="6">
        <v>69</v>
      </c>
      <c r="AG1721" s="6"/>
      <c r="AH1721" s="7">
        <v>0.6051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>
        <v>698</v>
      </c>
      <c r="BK1721" s="8">
        <v>17904.12</v>
      </c>
      <c r="BL1721" s="2" t="s">
        <v>5758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2528</v>
      </c>
      <c r="BV1721" s="2" t="s">
        <v>97</v>
      </c>
      <c r="BW1721" s="2" t="s">
        <v>100</v>
      </c>
      <c r="BX1721" s="2" t="s">
        <v>100</v>
      </c>
      <c r="BY1721" s="2" t="s">
        <v>113</v>
      </c>
      <c r="BZ1721" s="2" t="s">
        <v>245</v>
      </c>
    </row>
    <row r="1722">
      <c r="A1722" s="2" t="s">
        <v>5759</v>
      </c>
      <c r="B1722" s="2" t="s">
        <v>5053</v>
      </c>
      <c r="C1722" s="2" t="s">
        <v>2850</v>
      </c>
      <c r="D1722" s="2" t="s">
        <v>5054</v>
      </c>
      <c r="E1722" s="2" t="s">
        <v>5055</v>
      </c>
      <c r="F1722" s="2" t="s">
        <v>3002</v>
      </c>
      <c r="G1722" s="2" t="s">
        <v>3002</v>
      </c>
      <c r="H1722" s="2" t="s">
        <v>3002</v>
      </c>
      <c r="I1722" s="2" t="s">
        <v>5760</v>
      </c>
      <c r="J1722" s="2" t="s">
        <v>5060</v>
      </c>
      <c r="K1722" s="2" t="s">
        <v>3011</v>
      </c>
      <c r="L1722" s="3">
        <v>18.92</v>
      </c>
      <c r="M1722" s="3">
        <v>19.87</v>
      </c>
      <c r="N1722" s="3">
        <v>42.99</v>
      </c>
      <c r="O1722" s="2" t="s">
        <v>97</v>
      </c>
      <c r="P1722" s="2" t="s">
        <v>119</v>
      </c>
      <c r="Q1722" s="2" t="s">
        <v>99</v>
      </c>
      <c r="R1722" s="2" t="s">
        <v>100</v>
      </c>
      <c r="S1722" s="2" t="s">
        <v>3012</v>
      </c>
      <c r="T1722" s="2" t="s">
        <v>280</v>
      </c>
      <c r="U1722" s="2" t="s">
        <v>1847</v>
      </c>
      <c r="V1722" s="2" t="s">
        <v>319</v>
      </c>
      <c r="W1722" s="2" t="s">
        <v>561</v>
      </c>
      <c r="X1722" s="2" t="s">
        <v>158</v>
      </c>
      <c r="Y1722" s="2" t="s">
        <v>5761</v>
      </c>
      <c r="Z1722" s="4">
        <v>476</v>
      </c>
      <c r="AA1722" s="4">
        <f>=ROUNDDOWN(28,0)</f>
      </c>
      <c r="AB1722" s="5">
        <v>17</v>
      </c>
      <c r="AC1722" s="2" t="s">
        <v>1342</v>
      </c>
      <c r="AD1722" s="4">
        <v>80</v>
      </c>
      <c r="AE1722" s="4">
        <v>80</v>
      </c>
      <c r="AF1722" s="6">
        <v>64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400</v>
      </c>
      <c r="BK1722" s="8">
        <v>8581.38</v>
      </c>
      <c r="BL1722" s="2" t="s">
        <v>5762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2528</v>
      </c>
      <c r="BV1722" s="2" t="s">
        <v>97</v>
      </c>
      <c r="BW1722" s="2" t="s">
        <v>100</v>
      </c>
      <c r="BX1722" s="2" t="s">
        <v>100</v>
      </c>
      <c r="BY1722" s="2" t="s">
        <v>113</v>
      </c>
      <c r="BZ1722" s="2" t="s">
        <v>245</v>
      </c>
    </row>
    <row r="1723">
      <c r="A1723" s="2" t="s">
        <v>5763</v>
      </c>
      <c r="B1723" s="2" t="s">
        <v>5764</v>
      </c>
      <c r="C1723" s="2" t="s">
        <v>5702</v>
      </c>
      <c r="D1723" s="2" t="s">
        <v>5765</v>
      </c>
      <c r="E1723" s="2" t="s">
        <v>5766</v>
      </c>
      <c r="F1723" s="2" t="s">
        <v>5767</v>
      </c>
      <c r="G1723" s="2" t="s">
        <v>5767</v>
      </c>
      <c r="H1723" s="2" t="s">
        <v>5767</v>
      </c>
      <c r="I1723" s="2" t="s">
        <v>5768</v>
      </c>
      <c r="J1723" s="2" t="s">
        <v>1936</v>
      </c>
      <c r="K1723" s="2" t="s">
        <v>469</v>
      </c>
      <c r="L1723" s="3">
        <v>47</v>
      </c>
      <c r="M1723" s="3">
        <v>49.35</v>
      </c>
      <c r="N1723" s="3">
        <v>99.99</v>
      </c>
      <c r="O1723" s="2" t="s">
        <v>97</v>
      </c>
      <c r="P1723" s="2" t="s">
        <v>119</v>
      </c>
      <c r="Q1723" s="2" t="s">
        <v>99</v>
      </c>
      <c r="R1723" s="2" t="s">
        <v>100</v>
      </c>
      <c r="S1723" s="2" t="s">
        <v>5769</v>
      </c>
      <c r="T1723" s="2" t="s">
        <v>4441</v>
      </c>
      <c r="U1723" s="2" t="s">
        <v>100</v>
      </c>
      <c r="V1723" s="2" t="s">
        <v>146</v>
      </c>
      <c r="W1723" s="2" t="s">
        <v>183</v>
      </c>
      <c r="X1723" s="2" t="s">
        <v>100</v>
      </c>
      <c r="Y1723" s="2" t="s">
        <v>240</v>
      </c>
      <c r="Z1723" s="4">
        <v>186</v>
      </c>
      <c r="AA1723" s="4">
        <f>=ROUNDDOWN(11.625,0)</f>
      </c>
      <c r="AB1723" s="5">
        <v>16</v>
      </c>
      <c r="AC1723" s="2" t="s">
        <v>100</v>
      </c>
      <c r="AD1723" s="4"/>
      <c r="AE1723" s="4"/>
      <c r="AF1723" s="6">
        <v>65</v>
      </c>
      <c r="AG1723" s="6"/>
      <c r="AH1723" s="7">
        <v>0.6043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>
        <v>8</v>
      </c>
      <c r="AQ1723" s="8">
        <v>391.92</v>
      </c>
      <c r="AR1723" s="4"/>
      <c r="AS1723" s="8"/>
      <c r="AT1723" s="7"/>
      <c r="AU1723" s="7"/>
      <c r="AV1723" s="4">
        <v>39</v>
      </c>
      <c r="AW1723" s="8">
        <v>2623.63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0.1494</v>
      </c>
      <c r="BC1723" s="4">
        <v>185</v>
      </c>
      <c r="BD1723" s="8">
        <v>13613.45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>
        <v>0.1927</v>
      </c>
      <c r="BJ1723" s="4">
        <v>91</v>
      </c>
      <c r="BK1723" s="8">
        <v>4261.45</v>
      </c>
      <c r="BL1723" s="2" t="s">
        <v>5770</v>
      </c>
      <c r="BM1723" s="7">
        <v>0.0879</v>
      </c>
      <c r="BN1723" s="7">
        <v>0.092</v>
      </c>
      <c r="BO1723" s="4">
        <v>8</v>
      </c>
      <c r="BP1723" s="8">
        <v>391.92</v>
      </c>
      <c r="BQ1723" s="4"/>
      <c r="BR1723" s="8"/>
      <c r="BS1723" s="7"/>
      <c r="BT1723" s="7"/>
      <c r="BU1723" s="2" t="s">
        <v>109</v>
      </c>
      <c r="BV1723" s="2" t="s">
        <v>110</v>
      </c>
      <c r="BW1723" s="2" t="s">
        <v>4840</v>
      </c>
      <c r="BX1723" s="2" t="s">
        <v>1529</v>
      </c>
      <c r="BY1723" s="2" t="s">
        <v>113</v>
      </c>
      <c r="BZ1723" s="2" t="s">
        <v>100</v>
      </c>
    </row>
    <row r="1724">
      <c r="A1724" s="2" t="s">
        <v>5771</v>
      </c>
      <c r="B1724" s="2" t="s">
        <v>5764</v>
      </c>
      <c r="C1724" s="2" t="s">
        <v>5702</v>
      </c>
      <c r="D1724" s="2" t="s">
        <v>5765</v>
      </c>
      <c r="E1724" s="2" t="s">
        <v>5766</v>
      </c>
      <c r="F1724" s="2" t="s">
        <v>5767</v>
      </c>
      <c r="G1724" s="2" t="s">
        <v>5767</v>
      </c>
      <c r="H1724" s="2" t="s">
        <v>5767</v>
      </c>
      <c r="I1724" s="2" t="s">
        <v>5768</v>
      </c>
      <c r="J1724" s="2" t="s">
        <v>717</v>
      </c>
      <c r="K1724" s="2" t="s">
        <v>469</v>
      </c>
      <c r="L1724" s="3">
        <v>52.8</v>
      </c>
      <c r="M1724" s="3">
        <v>55.44</v>
      </c>
      <c r="N1724" s="3">
        <v>109.99</v>
      </c>
      <c r="O1724" s="2" t="s">
        <v>97</v>
      </c>
      <c r="P1724" s="2" t="s">
        <v>119</v>
      </c>
      <c r="Q1724" s="2" t="s">
        <v>99</v>
      </c>
      <c r="R1724" s="2" t="s">
        <v>100</v>
      </c>
      <c r="S1724" s="2" t="s">
        <v>5769</v>
      </c>
      <c r="T1724" s="2" t="s">
        <v>4441</v>
      </c>
      <c r="U1724" s="2" t="s">
        <v>100</v>
      </c>
      <c r="V1724" s="2" t="s">
        <v>146</v>
      </c>
      <c r="W1724" s="2" t="s">
        <v>183</v>
      </c>
      <c r="X1724" s="2" t="s">
        <v>100</v>
      </c>
      <c r="Y1724" s="2" t="s">
        <v>2045</v>
      </c>
      <c r="Z1724" s="4">
        <v>306</v>
      </c>
      <c r="AA1724" s="4">
        <f>=ROUNDDOWN(21.8571428571429,0)</f>
      </c>
      <c r="AB1724" s="5">
        <v>14</v>
      </c>
      <c r="AC1724" s="2" t="s">
        <v>768</v>
      </c>
      <c r="AD1724" s="4">
        <v>33</v>
      </c>
      <c r="AE1724" s="4">
        <v>33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>
        <v>8</v>
      </c>
      <c r="AQ1724" s="8">
        <v>435.36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0.1659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96</v>
      </c>
      <c r="BK1724" s="8">
        <v>5035.28</v>
      </c>
      <c r="BL1724" s="2" t="s">
        <v>5772</v>
      </c>
      <c r="BM1724" s="7">
        <v>0.0833</v>
      </c>
      <c r="BN1724" s="7">
        <v>0.0865</v>
      </c>
      <c r="BO1724" s="4">
        <v>8</v>
      </c>
      <c r="BP1724" s="8">
        <v>435.36</v>
      </c>
      <c r="BQ1724" s="4"/>
      <c r="BR1724" s="8"/>
      <c r="BS1724" s="7"/>
      <c r="BT1724" s="7"/>
      <c r="BU1724" s="2" t="s">
        <v>109</v>
      </c>
      <c r="BV1724" s="2" t="s">
        <v>110</v>
      </c>
      <c r="BW1724" s="2" t="s">
        <v>4840</v>
      </c>
      <c r="BX1724" s="2" t="s">
        <v>5216</v>
      </c>
      <c r="BY1724" s="2" t="s">
        <v>113</v>
      </c>
      <c r="BZ1724" s="2" t="s">
        <v>100</v>
      </c>
    </row>
    <row r="1725">
      <c r="A1725" s="2" t="s">
        <v>5773</v>
      </c>
      <c r="B1725" s="2" t="s">
        <v>5764</v>
      </c>
      <c r="C1725" s="2" t="s">
        <v>5702</v>
      </c>
      <c r="D1725" s="2" t="s">
        <v>5765</v>
      </c>
      <c r="E1725" s="2" t="s">
        <v>5766</v>
      </c>
      <c r="F1725" s="2" t="s">
        <v>5767</v>
      </c>
      <c r="G1725" s="2" t="s">
        <v>5767</v>
      </c>
      <c r="H1725" s="2" t="s">
        <v>5767</v>
      </c>
      <c r="I1725" s="2" t="s">
        <v>5768</v>
      </c>
      <c r="J1725" s="2" t="s">
        <v>706</v>
      </c>
      <c r="K1725" s="2" t="s">
        <v>469</v>
      </c>
      <c r="L1725" s="3">
        <v>73.5</v>
      </c>
      <c r="M1725" s="3">
        <v>77.18</v>
      </c>
      <c r="N1725" s="3">
        <v>149.99</v>
      </c>
      <c r="O1725" s="2" t="s">
        <v>97</v>
      </c>
      <c r="P1725" s="2" t="s">
        <v>119</v>
      </c>
      <c r="Q1725" s="2" t="s">
        <v>99</v>
      </c>
      <c r="R1725" s="2" t="s">
        <v>100</v>
      </c>
      <c r="S1725" s="2" t="s">
        <v>5769</v>
      </c>
      <c r="T1725" s="2" t="s">
        <v>4441</v>
      </c>
      <c r="U1725" s="2" t="s">
        <v>100</v>
      </c>
      <c r="V1725" s="2" t="s">
        <v>146</v>
      </c>
      <c r="W1725" s="2" t="s">
        <v>183</v>
      </c>
      <c r="X1725" s="2" t="s">
        <v>100</v>
      </c>
      <c r="Y1725" s="2" t="s">
        <v>240</v>
      </c>
      <c r="Z1725" s="4">
        <v>367</v>
      </c>
      <c r="AA1725" s="4">
        <f>=ROUNDDOWN(15.2916666666667,0)</f>
      </c>
      <c r="AB1725" s="5">
        <v>24</v>
      </c>
      <c r="AC1725" s="2" t="s">
        <v>282</v>
      </c>
      <c r="AD1725" s="4">
        <v>150</v>
      </c>
      <c r="AE1725" s="4">
        <v>150</v>
      </c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>
        <v>19</v>
      </c>
      <c r="AQ1725" s="8">
        <v>1447.99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0.5519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155</v>
      </c>
      <c r="BK1725" s="8">
        <v>11657.75</v>
      </c>
      <c r="BL1725" s="2" t="s">
        <v>5774</v>
      </c>
      <c r="BM1725" s="7">
        <v>0.1226</v>
      </c>
      <c r="BN1725" s="7">
        <v>0.1242</v>
      </c>
      <c r="BO1725" s="4">
        <v>19</v>
      </c>
      <c r="BP1725" s="8">
        <v>1447.99</v>
      </c>
      <c r="BQ1725" s="4"/>
      <c r="BR1725" s="8"/>
      <c r="BS1725" s="7"/>
      <c r="BT1725" s="7"/>
      <c r="BU1725" s="2" t="s">
        <v>109</v>
      </c>
      <c r="BV1725" s="2" t="s">
        <v>110</v>
      </c>
      <c r="BW1725" s="2" t="s">
        <v>4840</v>
      </c>
      <c r="BX1725" s="2" t="s">
        <v>5775</v>
      </c>
      <c r="BY1725" s="2" t="s">
        <v>113</v>
      </c>
      <c r="BZ1725" s="2" t="s">
        <v>100</v>
      </c>
    </row>
    <row r="1726">
      <c r="A1726" s="2" t="s">
        <v>5776</v>
      </c>
      <c r="B1726" s="2" t="s">
        <v>5764</v>
      </c>
      <c r="C1726" s="2" t="s">
        <v>5702</v>
      </c>
      <c r="D1726" s="2" t="s">
        <v>5765</v>
      </c>
      <c r="E1726" s="2" t="s">
        <v>5766</v>
      </c>
      <c r="F1726" s="2" t="s">
        <v>5767</v>
      </c>
      <c r="G1726" s="2" t="s">
        <v>5767</v>
      </c>
      <c r="H1726" s="2" t="s">
        <v>5767</v>
      </c>
      <c r="I1726" s="2" t="s">
        <v>5768</v>
      </c>
      <c r="J1726" s="2" t="s">
        <v>714</v>
      </c>
      <c r="K1726" s="2" t="s">
        <v>469</v>
      </c>
      <c r="L1726" s="3">
        <v>85</v>
      </c>
      <c r="M1726" s="3">
        <v>89.25</v>
      </c>
      <c r="N1726" s="3">
        <v>169.99</v>
      </c>
      <c r="O1726" s="2" t="s">
        <v>97</v>
      </c>
      <c r="P1726" s="2" t="s">
        <v>119</v>
      </c>
      <c r="Q1726" s="2" t="s">
        <v>99</v>
      </c>
      <c r="R1726" s="2" t="s">
        <v>100</v>
      </c>
      <c r="S1726" s="2" t="s">
        <v>5769</v>
      </c>
      <c r="T1726" s="2" t="s">
        <v>4441</v>
      </c>
      <c r="U1726" s="2" t="s">
        <v>100</v>
      </c>
      <c r="V1726" s="2" t="s">
        <v>146</v>
      </c>
      <c r="W1726" s="2" t="s">
        <v>183</v>
      </c>
      <c r="X1726" s="2" t="s">
        <v>100</v>
      </c>
      <c r="Y1726" s="2" t="s">
        <v>240</v>
      </c>
      <c r="Z1726" s="4">
        <v>290</v>
      </c>
      <c r="AA1726" s="4">
        <f>=ROUNDDOWN(32.2222222222222,0)</f>
      </c>
      <c r="AB1726" s="5">
        <v>9</v>
      </c>
      <c r="AC1726" s="2" t="s">
        <v>100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>
        <v>4</v>
      </c>
      <c r="AQ1726" s="8">
        <v>348.36</v>
      </c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0.1328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 t="s">
        <v>100</v>
      </c>
      <c r="BJ1726" s="4">
        <v>81</v>
      </c>
      <c r="BK1726" s="8">
        <v>6953.07</v>
      </c>
      <c r="BL1726" s="2" t="s">
        <v>5772</v>
      </c>
      <c r="BM1726" s="7">
        <v>0.0494</v>
      </c>
      <c r="BN1726" s="7">
        <v>0.0501</v>
      </c>
      <c r="BO1726" s="4">
        <v>4</v>
      </c>
      <c r="BP1726" s="8">
        <v>348.36</v>
      </c>
      <c r="BQ1726" s="4"/>
      <c r="BR1726" s="8"/>
      <c r="BS1726" s="7"/>
      <c r="BT1726" s="7"/>
      <c r="BU1726" s="2" t="s">
        <v>109</v>
      </c>
      <c r="BV1726" s="2" t="s">
        <v>110</v>
      </c>
      <c r="BW1726" s="2" t="s">
        <v>4840</v>
      </c>
      <c r="BX1726" s="2" t="s">
        <v>1529</v>
      </c>
      <c r="BY1726" s="2" t="s">
        <v>113</v>
      </c>
      <c r="BZ1726" s="2" t="s">
        <v>100</v>
      </c>
    </row>
    <row r="1727">
      <c r="A1727" s="2" t="s">
        <v>5777</v>
      </c>
      <c r="B1727" s="2" t="s">
        <v>5764</v>
      </c>
      <c r="C1727" s="2" t="s">
        <v>5702</v>
      </c>
      <c r="D1727" s="2" t="s">
        <v>5765</v>
      </c>
      <c r="E1727" s="2" t="s">
        <v>5766</v>
      </c>
      <c r="F1727" s="2" t="s">
        <v>5767</v>
      </c>
      <c r="G1727" s="2" t="s">
        <v>5767</v>
      </c>
      <c r="H1727" s="2" t="s">
        <v>5767</v>
      </c>
      <c r="I1727" s="2" t="s">
        <v>5768</v>
      </c>
      <c r="J1727" s="2" t="s">
        <v>1936</v>
      </c>
      <c r="K1727" s="2" t="s">
        <v>198</v>
      </c>
      <c r="L1727" s="3">
        <v>47</v>
      </c>
      <c r="M1727" s="3">
        <v>49.35</v>
      </c>
      <c r="N1727" s="3">
        <v>99.99</v>
      </c>
      <c r="O1727" s="2" t="s">
        <v>97</v>
      </c>
      <c r="P1727" s="2" t="s">
        <v>307</v>
      </c>
      <c r="Q1727" s="2" t="s">
        <v>99</v>
      </c>
      <c r="R1727" s="2" t="s">
        <v>100</v>
      </c>
      <c r="S1727" s="2" t="s">
        <v>5778</v>
      </c>
      <c r="T1727" s="2" t="s">
        <v>4441</v>
      </c>
      <c r="U1727" s="2" t="s">
        <v>100</v>
      </c>
      <c r="V1727" s="2" t="s">
        <v>146</v>
      </c>
      <c r="W1727" s="2" t="s">
        <v>183</v>
      </c>
      <c r="X1727" s="2" t="s">
        <v>100</v>
      </c>
      <c r="Y1727" s="2" t="s">
        <v>240</v>
      </c>
      <c r="Z1727" s="4">
        <v>390</v>
      </c>
      <c r="AA1727" s="4">
        <f>=ROUNDDOWN(14.2335766423358,0)</f>
      </c>
      <c r="AB1727" s="5">
        <v>27.4</v>
      </c>
      <c r="AC1727" s="2" t="s">
        <v>282</v>
      </c>
      <c r="AD1727" s="4">
        <v>170</v>
      </c>
      <c r="AE1727" s="4">
        <v>270</v>
      </c>
      <c r="AF1727" s="6">
        <v>65</v>
      </c>
      <c r="AG1727" s="6"/>
      <c r="AH1727" s="7">
        <v>0.6096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>
        <v>3</v>
      </c>
      <c r="AQ1727" s="8">
        <v>146.97</v>
      </c>
      <c r="AR1727" s="4"/>
      <c r="AS1727" s="8"/>
      <c r="AT1727" s="7"/>
      <c r="AU1727" s="7"/>
      <c r="AV1727" s="4">
        <v>32</v>
      </c>
      <c r="AW1727" s="8">
        <v>2585.54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0.0568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>
        <v>0.1899</v>
      </c>
      <c r="BJ1727" s="4">
        <v>256</v>
      </c>
      <c r="BK1727" s="8">
        <v>11867.28</v>
      </c>
      <c r="BL1727" s="2" t="s">
        <v>5779</v>
      </c>
      <c r="BM1727" s="7">
        <v>0.0117</v>
      </c>
      <c r="BN1727" s="7">
        <v>0.0124</v>
      </c>
      <c r="BO1727" s="4">
        <v>3</v>
      </c>
      <c r="BP1727" s="8">
        <v>146.97</v>
      </c>
      <c r="BQ1727" s="4"/>
      <c r="BR1727" s="8"/>
      <c r="BS1727" s="7"/>
      <c r="BT1727" s="7"/>
      <c r="BU1727" s="2" t="s">
        <v>109</v>
      </c>
      <c r="BV1727" s="2" t="s">
        <v>110</v>
      </c>
      <c r="BW1727" s="2" t="s">
        <v>4840</v>
      </c>
      <c r="BX1727" s="2" t="s">
        <v>5780</v>
      </c>
      <c r="BY1727" s="2" t="s">
        <v>113</v>
      </c>
      <c r="BZ1727" s="2" t="s">
        <v>100</v>
      </c>
    </row>
    <row r="1728">
      <c r="A1728" s="2" t="s">
        <v>5781</v>
      </c>
      <c r="B1728" s="2" t="s">
        <v>5764</v>
      </c>
      <c r="C1728" s="2" t="s">
        <v>5702</v>
      </c>
      <c r="D1728" s="2" t="s">
        <v>5765</v>
      </c>
      <c r="E1728" s="2" t="s">
        <v>5766</v>
      </c>
      <c r="F1728" s="2" t="s">
        <v>5767</v>
      </c>
      <c r="G1728" s="2" t="s">
        <v>5767</v>
      </c>
      <c r="H1728" s="2" t="s">
        <v>5767</v>
      </c>
      <c r="I1728" s="2" t="s">
        <v>5768</v>
      </c>
      <c r="J1728" s="2" t="s">
        <v>706</v>
      </c>
      <c r="K1728" s="2" t="s">
        <v>198</v>
      </c>
      <c r="L1728" s="3">
        <v>73.5</v>
      </c>
      <c r="M1728" s="3">
        <v>77.18</v>
      </c>
      <c r="N1728" s="3">
        <v>149.99</v>
      </c>
      <c r="O1728" s="2" t="s">
        <v>97</v>
      </c>
      <c r="P1728" s="2" t="s">
        <v>307</v>
      </c>
      <c r="Q1728" s="2" t="s">
        <v>99</v>
      </c>
      <c r="R1728" s="2" t="s">
        <v>100</v>
      </c>
      <c r="S1728" s="2" t="s">
        <v>5778</v>
      </c>
      <c r="T1728" s="2" t="s">
        <v>4441</v>
      </c>
      <c r="U1728" s="2" t="s">
        <v>100</v>
      </c>
      <c r="V1728" s="2" t="s">
        <v>146</v>
      </c>
      <c r="W1728" s="2" t="s">
        <v>183</v>
      </c>
      <c r="X1728" s="2" t="s">
        <v>100</v>
      </c>
      <c r="Y1728" s="2" t="s">
        <v>240</v>
      </c>
      <c r="Z1728" s="4">
        <v>814</v>
      </c>
      <c r="AA1728" s="4">
        <f>=ROUNDDOWN(8.94505494505495,0)</f>
      </c>
      <c r="AB1728" s="5">
        <v>91</v>
      </c>
      <c r="AC1728" s="2" t="s">
        <v>282</v>
      </c>
      <c r="AD1728" s="4">
        <v>380</v>
      </c>
      <c r="AE1728" s="4">
        <v>550</v>
      </c>
      <c r="AF1728" s="6">
        <v>65</v>
      </c>
      <c r="AG1728" s="6"/>
      <c r="AH1728" s="7">
        <v>0.7701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>
        <v>8</v>
      </c>
      <c r="AQ1728" s="8">
        <v>609.68</v>
      </c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0.2358</v>
      </c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 t="s">
        <v>100</v>
      </c>
      <c r="BJ1728" s="4">
        <v>820</v>
      </c>
      <c r="BK1728" s="8">
        <v>58256.17</v>
      </c>
      <c r="BL1728" s="2" t="s">
        <v>5782</v>
      </c>
      <c r="BM1728" s="7">
        <v>0.0098</v>
      </c>
      <c r="BN1728" s="7">
        <v>0.0105</v>
      </c>
      <c r="BO1728" s="4">
        <v>8</v>
      </c>
      <c r="BP1728" s="8">
        <v>609.68</v>
      </c>
      <c r="BQ1728" s="4"/>
      <c r="BR1728" s="8"/>
      <c r="BS1728" s="7"/>
      <c r="BT1728" s="7"/>
      <c r="BU1728" s="2" t="s">
        <v>109</v>
      </c>
      <c r="BV1728" s="2" t="s">
        <v>110</v>
      </c>
      <c r="BW1728" s="2" t="s">
        <v>4840</v>
      </c>
      <c r="BX1728" s="2" t="s">
        <v>2001</v>
      </c>
      <c r="BY1728" s="2" t="s">
        <v>113</v>
      </c>
      <c r="BZ1728" s="2" t="s">
        <v>100</v>
      </c>
    </row>
    <row r="1729">
      <c r="A1729" s="2" t="s">
        <v>5783</v>
      </c>
      <c r="B1729" s="2" t="s">
        <v>5764</v>
      </c>
      <c r="C1729" s="2" t="s">
        <v>5702</v>
      </c>
      <c r="D1729" s="2" t="s">
        <v>5765</v>
      </c>
      <c r="E1729" s="2" t="s">
        <v>5766</v>
      </c>
      <c r="F1729" s="2" t="s">
        <v>5767</v>
      </c>
      <c r="G1729" s="2" t="s">
        <v>5767</v>
      </c>
      <c r="H1729" s="2" t="s">
        <v>5767</v>
      </c>
      <c r="I1729" s="2" t="s">
        <v>5768</v>
      </c>
      <c r="J1729" s="2" t="s">
        <v>714</v>
      </c>
      <c r="K1729" s="2" t="s">
        <v>198</v>
      </c>
      <c r="L1729" s="3">
        <v>85</v>
      </c>
      <c r="M1729" s="3">
        <v>89.25</v>
      </c>
      <c r="N1729" s="3">
        <v>169.99</v>
      </c>
      <c r="O1729" s="2" t="s">
        <v>97</v>
      </c>
      <c r="P1729" s="2" t="s">
        <v>307</v>
      </c>
      <c r="Q1729" s="2" t="s">
        <v>99</v>
      </c>
      <c r="R1729" s="2" t="s">
        <v>100</v>
      </c>
      <c r="S1729" s="2" t="s">
        <v>5778</v>
      </c>
      <c r="T1729" s="2" t="s">
        <v>4441</v>
      </c>
      <c r="U1729" s="2" t="s">
        <v>100</v>
      </c>
      <c r="V1729" s="2" t="s">
        <v>146</v>
      </c>
      <c r="W1729" s="2" t="s">
        <v>183</v>
      </c>
      <c r="X1729" s="2" t="s">
        <v>100</v>
      </c>
      <c r="Y1729" s="2" t="s">
        <v>240</v>
      </c>
      <c r="Z1729" s="4">
        <v>651</v>
      </c>
      <c r="AA1729" s="4">
        <f>=ROUNDDOWN(9.3,0)</f>
      </c>
      <c r="AB1729" s="5">
        <v>70</v>
      </c>
      <c r="AC1729" s="2" t="s">
        <v>282</v>
      </c>
      <c r="AD1729" s="4">
        <v>360</v>
      </c>
      <c r="AE1729" s="4">
        <v>550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>
        <v>21</v>
      </c>
      <c r="AQ1729" s="8">
        <v>1828.89</v>
      </c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0.7074</v>
      </c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736</v>
      </c>
      <c r="BK1729" s="8">
        <v>63331.08</v>
      </c>
      <c r="BL1729" s="2" t="s">
        <v>5784</v>
      </c>
      <c r="BM1729" s="7">
        <v>0.0285</v>
      </c>
      <c r="BN1729" s="7">
        <v>0.0289</v>
      </c>
      <c r="BO1729" s="4">
        <v>21</v>
      </c>
      <c r="BP1729" s="8">
        <v>1828.89</v>
      </c>
      <c r="BQ1729" s="4"/>
      <c r="BR1729" s="8"/>
      <c r="BS1729" s="7"/>
      <c r="BT1729" s="7"/>
      <c r="BU1729" s="2" t="s">
        <v>109</v>
      </c>
      <c r="BV1729" s="2" t="s">
        <v>110</v>
      </c>
      <c r="BW1729" s="2" t="s">
        <v>4840</v>
      </c>
      <c r="BX1729" s="2" t="s">
        <v>4707</v>
      </c>
      <c r="BY1729" s="2" t="s">
        <v>113</v>
      </c>
      <c r="BZ1729" s="2" t="s">
        <v>100</v>
      </c>
    </row>
    <row r="1730">
      <c r="A1730" s="2" t="s">
        <v>5785</v>
      </c>
      <c r="B1730" s="2" t="s">
        <v>5764</v>
      </c>
      <c r="C1730" s="2" t="s">
        <v>5702</v>
      </c>
      <c r="D1730" s="2" t="s">
        <v>5765</v>
      </c>
      <c r="E1730" s="2" t="s">
        <v>5766</v>
      </c>
      <c r="F1730" s="2" t="s">
        <v>5767</v>
      </c>
      <c r="G1730" s="2" t="s">
        <v>5767</v>
      </c>
      <c r="H1730" s="2" t="s">
        <v>5767</v>
      </c>
      <c r="I1730" s="2" t="s">
        <v>5768</v>
      </c>
      <c r="J1730" s="2" t="s">
        <v>717</v>
      </c>
      <c r="K1730" s="2" t="s">
        <v>5786</v>
      </c>
      <c r="L1730" s="3">
        <v>52.8</v>
      </c>
      <c r="M1730" s="3">
        <v>55.44</v>
      </c>
      <c r="N1730" s="3">
        <v>109.99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5787</v>
      </c>
      <c r="T1730" s="2" t="s">
        <v>4441</v>
      </c>
      <c r="U1730" s="2" t="s">
        <v>100</v>
      </c>
      <c r="V1730" s="2" t="s">
        <v>146</v>
      </c>
      <c r="W1730" s="2" t="s">
        <v>183</v>
      </c>
      <c r="X1730" s="2" t="s">
        <v>100</v>
      </c>
      <c r="Y1730" s="2" t="s">
        <v>240</v>
      </c>
      <c r="Z1730" s="4">
        <v>429</v>
      </c>
      <c r="AA1730" s="4">
        <f>=ROUNDDOWN(15.8888888888889,0)</f>
      </c>
      <c r="AB1730" s="5">
        <v>27</v>
      </c>
      <c r="AC1730" s="2" t="s">
        <v>768</v>
      </c>
      <c r="AD1730" s="4">
        <v>4</v>
      </c>
      <c r="AE1730" s="4">
        <v>214</v>
      </c>
      <c r="AF1730" s="6">
        <v>65</v>
      </c>
      <c r="AG1730" s="6"/>
      <c r="AH1730" s="7">
        <v>0.6096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>
        <v>1</v>
      </c>
      <c r="AQ1730" s="8">
        <v>54.42</v>
      </c>
      <c r="AR1730" s="4"/>
      <c r="AS1730" s="8"/>
      <c r="AT1730" s="7"/>
      <c r="AU1730" s="7"/>
      <c r="AV1730" s="4">
        <v>26</v>
      </c>
      <c r="AW1730" s="8">
        <v>2101.11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0.0259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>
        <v>0.1543</v>
      </c>
      <c r="BJ1730" s="4">
        <v>154</v>
      </c>
      <c r="BK1730" s="8">
        <v>7992.44</v>
      </c>
      <c r="BL1730" s="2" t="s">
        <v>5788</v>
      </c>
      <c r="BM1730" s="7">
        <v>0.0065</v>
      </c>
      <c r="BN1730" s="7">
        <v>0.0068</v>
      </c>
      <c r="BO1730" s="4">
        <v>1</v>
      </c>
      <c r="BP1730" s="8">
        <v>54.42</v>
      </c>
      <c r="BQ1730" s="4"/>
      <c r="BR1730" s="8"/>
      <c r="BS1730" s="7"/>
      <c r="BT1730" s="7"/>
      <c r="BU1730" s="2" t="s">
        <v>109</v>
      </c>
      <c r="BV1730" s="2" t="s">
        <v>110</v>
      </c>
      <c r="BW1730" s="2" t="s">
        <v>4840</v>
      </c>
      <c r="BX1730" s="2" t="s">
        <v>4667</v>
      </c>
      <c r="BY1730" s="2" t="s">
        <v>113</v>
      </c>
      <c r="BZ1730" s="2" t="s">
        <v>100</v>
      </c>
    </row>
    <row r="1731">
      <c r="A1731" s="2" t="s">
        <v>5789</v>
      </c>
      <c r="B1731" s="2" t="s">
        <v>5764</v>
      </c>
      <c r="C1731" s="2" t="s">
        <v>5702</v>
      </c>
      <c r="D1731" s="2" t="s">
        <v>5765</v>
      </c>
      <c r="E1731" s="2" t="s">
        <v>5766</v>
      </c>
      <c r="F1731" s="2" t="s">
        <v>5767</v>
      </c>
      <c r="G1731" s="2" t="s">
        <v>5767</v>
      </c>
      <c r="H1731" s="2" t="s">
        <v>5767</v>
      </c>
      <c r="I1731" s="2" t="s">
        <v>5768</v>
      </c>
      <c r="J1731" s="2" t="s">
        <v>706</v>
      </c>
      <c r="K1731" s="2" t="s">
        <v>5786</v>
      </c>
      <c r="L1731" s="3">
        <v>73.5</v>
      </c>
      <c r="M1731" s="3">
        <v>77.18</v>
      </c>
      <c r="N1731" s="3">
        <v>149.99</v>
      </c>
      <c r="O1731" s="2" t="s">
        <v>97</v>
      </c>
      <c r="P1731" s="2" t="s">
        <v>98</v>
      </c>
      <c r="Q1731" s="2" t="s">
        <v>99</v>
      </c>
      <c r="R1731" s="2" t="s">
        <v>100</v>
      </c>
      <c r="S1731" s="2" t="s">
        <v>5787</v>
      </c>
      <c r="T1731" s="2" t="s">
        <v>4441</v>
      </c>
      <c r="U1731" s="2" t="s">
        <v>100</v>
      </c>
      <c r="V1731" s="2" t="s">
        <v>146</v>
      </c>
      <c r="W1731" s="2" t="s">
        <v>183</v>
      </c>
      <c r="X1731" s="2" t="s">
        <v>100</v>
      </c>
      <c r="Y1731" s="2" t="s">
        <v>240</v>
      </c>
      <c r="Z1731" s="4">
        <v>622</v>
      </c>
      <c r="AA1731" s="4">
        <f>=ROUNDDOWN(13.5217391304348,0)</f>
      </c>
      <c r="AB1731" s="5">
        <v>46</v>
      </c>
      <c r="AC1731" s="2" t="s">
        <v>282</v>
      </c>
      <c r="AD1731" s="4">
        <v>230</v>
      </c>
      <c r="AE1731" s="4">
        <v>340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>
        <v>12</v>
      </c>
      <c r="AQ1731" s="8">
        <v>914.52</v>
      </c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0.4353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 t="s">
        <v>100</v>
      </c>
      <c r="BJ1731" s="4">
        <v>319</v>
      </c>
      <c r="BK1731" s="8">
        <v>23918.04</v>
      </c>
      <c r="BL1731" s="2" t="s">
        <v>5790</v>
      </c>
      <c r="BM1731" s="7">
        <v>0.0376</v>
      </c>
      <c r="BN1731" s="7">
        <v>0.0382</v>
      </c>
      <c r="BO1731" s="4">
        <v>12</v>
      </c>
      <c r="BP1731" s="8">
        <v>914.52</v>
      </c>
      <c r="BQ1731" s="4"/>
      <c r="BR1731" s="8"/>
      <c r="BS1731" s="7"/>
      <c r="BT1731" s="7"/>
      <c r="BU1731" s="2" t="s">
        <v>109</v>
      </c>
      <c r="BV1731" s="2" t="s">
        <v>110</v>
      </c>
      <c r="BW1731" s="2" t="s">
        <v>4840</v>
      </c>
      <c r="BX1731" s="2" t="s">
        <v>1998</v>
      </c>
      <c r="BY1731" s="2" t="s">
        <v>113</v>
      </c>
      <c r="BZ1731" s="2" t="s">
        <v>100</v>
      </c>
    </row>
    <row r="1732">
      <c r="A1732" s="2" t="s">
        <v>5791</v>
      </c>
      <c r="B1732" s="2" t="s">
        <v>5764</v>
      </c>
      <c r="C1732" s="2" t="s">
        <v>5702</v>
      </c>
      <c r="D1732" s="2" t="s">
        <v>5765</v>
      </c>
      <c r="E1732" s="2" t="s">
        <v>5766</v>
      </c>
      <c r="F1732" s="2" t="s">
        <v>5767</v>
      </c>
      <c r="G1732" s="2" t="s">
        <v>5767</v>
      </c>
      <c r="H1732" s="2" t="s">
        <v>5767</v>
      </c>
      <c r="I1732" s="2" t="s">
        <v>5768</v>
      </c>
      <c r="J1732" s="2" t="s">
        <v>714</v>
      </c>
      <c r="K1732" s="2" t="s">
        <v>5786</v>
      </c>
      <c r="L1732" s="3">
        <v>85</v>
      </c>
      <c r="M1732" s="3">
        <v>89.25</v>
      </c>
      <c r="N1732" s="3">
        <v>169.99</v>
      </c>
      <c r="O1732" s="2" t="s">
        <v>97</v>
      </c>
      <c r="P1732" s="2" t="s">
        <v>98</v>
      </c>
      <c r="Q1732" s="2" t="s">
        <v>99</v>
      </c>
      <c r="R1732" s="2" t="s">
        <v>100</v>
      </c>
      <c r="S1732" s="2" t="s">
        <v>5787</v>
      </c>
      <c r="T1732" s="2" t="s">
        <v>4441</v>
      </c>
      <c r="U1732" s="2" t="s">
        <v>100</v>
      </c>
      <c r="V1732" s="2" t="s">
        <v>146</v>
      </c>
      <c r="W1732" s="2" t="s">
        <v>183</v>
      </c>
      <c r="X1732" s="2" t="s">
        <v>100</v>
      </c>
      <c r="Y1732" s="2" t="s">
        <v>2045</v>
      </c>
      <c r="Z1732" s="4">
        <v>566</v>
      </c>
      <c r="AA1732" s="4">
        <f>=ROUNDDOWN(12.5777777777778,0)</f>
      </c>
      <c r="AB1732" s="5">
        <v>45</v>
      </c>
      <c r="AC1732" s="2" t="s">
        <v>282</v>
      </c>
      <c r="AD1732" s="4">
        <v>260</v>
      </c>
      <c r="AE1732" s="4">
        <v>330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>
        <v>13</v>
      </c>
      <c r="AQ1732" s="8">
        <v>1132.17</v>
      </c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0.5388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 t="s">
        <v>100</v>
      </c>
      <c r="BJ1732" s="4">
        <v>509</v>
      </c>
      <c r="BK1732" s="8">
        <v>43814.89</v>
      </c>
      <c r="BL1732" s="2" t="s">
        <v>5792</v>
      </c>
      <c r="BM1732" s="7">
        <v>0.0255</v>
      </c>
      <c r="BN1732" s="7">
        <v>0.0258</v>
      </c>
      <c r="BO1732" s="4">
        <v>13</v>
      </c>
      <c r="BP1732" s="8">
        <v>1132.17</v>
      </c>
      <c r="BQ1732" s="4"/>
      <c r="BR1732" s="8"/>
      <c r="BS1732" s="7"/>
      <c r="BT1732" s="7"/>
      <c r="BU1732" s="2" t="s">
        <v>109</v>
      </c>
      <c r="BV1732" s="2" t="s">
        <v>110</v>
      </c>
      <c r="BW1732" s="2" t="s">
        <v>4840</v>
      </c>
      <c r="BX1732" s="2" t="s">
        <v>4733</v>
      </c>
      <c r="BY1732" s="2" t="s">
        <v>113</v>
      </c>
      <c r="BZ1732" s="2" t="s">
        <v>100</v>
      </c>
    </row>
    <row r="1733">
      <c r="A1733" s="2" t="s">
        <v>5793</v>
      </c>
      <c r="B1733" s="2" t="s">
        <v>5764</v>
      </c>
      <c r="C1733" s="2" t="s">
        <v>5702</v>
      </c>
      <c r="D1733" s="2" t="s">
        <v>5765</v>
      </c>
      <c r="E1733" s="2" t="s">
        <v>5766</v>
      </c>
      <c r="F1733" s="2" t="s">
        <v>5767</v>
      </c>
      <c r="G1733" s="2" t="s">
        <v>5767</v>
      </c>
      <c r="H1733" s="2" t="s">
        <v>5767</v>
      </c>
      <c r="I1733" s="2" t="s">
        <v>5768</v>
      </c>
      <c r="J1733" s="2" t="s">
        <v>1936</v>
      </c>
      <c r="K1733" s="2" t="s">
        <v>5794</v>
      </c>
      <c r="L1733" s="3">
        <v>47</v>
      </c>
      <c r="M1733" s="3">
        <v>49.35</v>
      </c>
      <c r="N1733" s="3">
        <v>99.99</v>
      </c>
      <c r="O1733" s="2" t="s">
        <v>97</v>
      </c>
      <c r="P1733" s="2" t="s">
        <v>950</v>
      </c>
      <c r="Q1733" s="2" t="s">
        <v>99</v>
      </c>
      <c r="R1733" s="2" t="s">
        <v>100</v>
      </c>
      <c r="S1733" s="2" t="s">
        <v>5795</v>
      </c>
      <c r="T1733" s="2" t="s">
        <v>4441</v>
      </c>
      <c r="U1733" s="2" t="s">
        <v>100</v>
      </c>
      <c r="V1733" s="2" t="s">
        <v>146</v>
      </c>
      <c r="W1733" s="2" t="s">
        <v>183</v>
      </c>
      <c r="X1733" s="2" t="s">
        <v>100</v>
      </c>
      <c r="Y1733" s="2" t="s">
        <v>240</v>
      </c>
      <c r="Z1733" s="4">
        <v>315</v>
      </c>
      <c r="AA1733" s="4">
        <f>=ROUNDDOWN(17.5,0)</f>
      </c>
      <c r="AB1733" s="5">
        <v>18</v>
      </c>
      <c r="AC1733" s="2" t="s">
        <v>282</v>
      </c>
      <c r="AD1733" s="4">
        <v>150</v>
      </c>
      <c r="AE1733" s="4">
        <v>150</v>
      </c>
      <c r="AF1733" s="6">
        <v>65</v>
      </c>
      <c r="AG1733" s="6"/>
      <c r="AH1733" s="7">
        <v>0.6096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>
        <v>3</v>
      </c>
      <c r="AQ1733" s="8">
        <v>146.97</v>
      </c>
      <c r="AR1733" s="4"/>
      <c r="AS1733" s="8"/>
      <c r="AT1733" s="7"/>
      <c r="AU1733" s="7"/>
      <c r="AV1733" s="4">
        <v>27</v>
      </c>
      <c r="AW1733" s="8">
        <v>1768.99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0.0831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>
        <v>0.1299</v>
      </c>
      <c r="BJ1733" s="4">
        <v>115</v>
      </c>
      <c r="BK1733" s="8">
        <v>5312.95</v>
      </c>
      <c r="BL1733" s="2" t="s">
        <v>5796</v>
      </c>
      <c r="BM1733" s="7">
        <v>0.0261</v>
      </c>
      <c r="BN1733" s="7">
        <v>0.0277</v>
      </c>
      <c r="BO1733" s="4">
        <v>3</v>
      </c>
      <c r="BP1733" s="8">
        <v>146.97</v>
      </c>
      <c r="BQ1733" s="4"/>
      <c r="BR1733" s="8"/>
      <c r="BS1733" s="7"/>
      <c r="BT1733" s="7"/>
      <c r="BU1733" s="2" t="s">
        <v>109</v>
      </c>
      <c r="BV1733" s="2" t="s">
        <v>110</v>
      </c>
      <c r="BW1733" s="2" t="s">
        <v>4840</v>
      </c>
      <c r="BX1733" s="2" t="s">
        <v>2001</v>
      </c>
      <c r="BY1733" s="2" t="s">
        <v>113</v>
      </c>
      <c r="BZ1733" s="2" t="s">
        <v>100</v>
      </c>
    </row>
    <row r="1734">
      <c r="A1734" s="2" t="s">
        <v>5797</v>
      </c>
      <c r="B1734" s="2" t="s">
        <v>5764</v>
      </c>
      <c r="C1734" s="2" t="s">
        <v>5702</v>
      </c>
      <c r="D1734" s="2" t="s">
        <v>5765</v>
      </c>
      <c r="E1734" s="2" t="s">
        <v>5766</v>
      </c>
      <c r="F1734" s="2" t="s">
        <v>5767</v>
      </c>
      <c r="G1734" s="2" t="s">
        <v>5767</v>
      </c>
      <c r="H1734" s="2" t="s">
        <v>5767</v>
      </c>
      <c r="I1734" s="2" t="s">
        <v>5768</v>
      </c>
      <c r="J1734" s="2" t="s">
        <v>717</v>
      </c>
      <c r="K1734" s="2" t="s">
        <v>5794</v>
      </c>
      <c r="L1734" s="3">
        <v>52.8</v>
      </c>
      <c r="M1734" s="3">
        <v>55.44</v>
      </c>
      <c r="N1734" s="3">
        <v>109.99</v>
      </c>
      <c r="O1734" s="2" t="s">
        <v>97</v>
      </c>
      <c r="P1734" s="2" t="s">
        <v>950</v>
      </c>
      <c r="Q1734" s="2" t="s">
        <v>99</v>
      </c>
      <c r="R1734" s="2" t="s">
        <v>100</v>
      </c>
      <c r="S1734" s="2" t="s">
        <v>5795</v>
      </c>
      <c r="T1734" s="2" t="s">
        <v>4441</v>
      </c>
      <c r="U1734" s="2" t="s">
        <v>100</v>
      </c>
      <c r="V1734" s="2" t="s">
        <v>146</v>
      </c>
      <c r="W1734" s="2" t="s">
        <v>183</v>
      </c>
      <c r="X1734" s="2" t="s">
        <v>100</v>
      </c>
      <c r="Y1734" s="2" t="s">
        <v>240</v>
      </c>
      <c r="Z1734" s="4">
        <v>381</v>
      </c>
      <c r="AA1734" s="4">
        <f>=ROUNDDOWN(12.2903225806452,0)</f>
      </c>
      <c r="AB1734" s="5">
        <v>31</v>
      </c>
      <c r="AC1734" s="2" t="s">
        <v>282</v>
      </c>
      <c r="AD1734" s="4">
        <v>190</v>
      </c>
      <c r="AE1734" s="4">
        <v>190</v>
      </c>
      <c r="AF1734" s="6">
        <v>65</v>
      </c>
      <c r="AG1734" s="6"/>
      <c r="AH1734" s="7">
        <v>0.6096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>
        <v>10</v>
      </c>
      <c r="AQ1734" s="8">
        <v>544.2</v>
      </c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0.3076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195</v>
      </c>
      <c r="BK1734" s="8">
        <v>9956.97</v>
      </c>
      <c r="BL1734" s="2" t="s">
        <v>5798</v>
      </c>
      <c r="BM1734" s="7">
        <v>0.0513</v>
      </c>
      <c r="BN1734" s="7">
        <v>0.0547</v>
      </c>
      <c r="BO1734" s="4">
        <v>10</v>
      </c>
      <c r="BP1734" s="8">
        <v>544.2</v>
      </c>
      <c r="BQ1734" s="4"/>
      <c r="BR1734" s="8"/>
      <c r="BS1734" s="7"/>
      <c r="BT1734" s="7"/>
      <c r="BU1734" s="2" t="s">
        <v>109</v>
      </c>
      <c r="BV1734" s="2" t="s">
        <v>110</v>
      </c>
      <c r="BW1734" s="2" t="s">
        <v>4840</v>
      </c>
      <c r="BX1734" s="2" t="s">
        <v>5775</v>
      </c>
      <c r="BY1734" s="2" t="s">
        <v>113</v>
      </c>
      <c r="BZ1734" s="2" t="s">
        <v>100</v>
      </c>
    </row>
    <row r="1735">
      <c r="A1735" s="2" t="s">
        <v>5799</v>
      </c>
      <c r="B1735" s="2" t="s">
        <v>5764</v>
      </c>
      <c r="C1735" s="2" t="s">
        <v>5702</v>
      </c>
      <c r="D1735" s="2" t="s">
        <v>5765</v>
      </c>
      <c r="E1735" s="2" t="s">
        <v>5766</v>
      </c>
      <c r="F1735" s="2" t="s">
        <v>5767</v>
      </c>
      <c r="G1735" s="2" t="s">
        <v>5767</v>
      </c>
      <c r="H1735" s="2" t="s">
        <v>5767</v>
      </c>
      <c r="I1735" s="2" t="s">
        <v>5768</v>
      </c>
      <c r="J1735" s="2" t="s">
        <v>706</v>
      </c>
      <c r="K1735" s="2" t="s">
        <v>5794</v>
      </c>
      <c r="L1735" s="3">
        <v>73.5</v>
      </c>
      <c r="M1735" s="3">
        <v>77.18</v>
      </c>
      <c r="N1735" s="3">
        <v>149.99</v>
      </c>
      <c r="O1735" s="2" t="s">
        <v>97</v>
      </c>
      <c r="P1735" s="2" t="s">
        <v>950</v>
      </c>
      <c r="Q1735" s="2" t="s">
        <v>99</v>
      </c>
      <c r="R1735" s="2" t="s">
        <v>100</v>
      </c>
      <c r="S1735" s="2" t="s">
        <v>5795</v>
      </c>
      <c r="T1735" s="2" t="s">
        <v>4441</v>
      </c>
      <c r="U1735" s="2" t="s">
        <v>100</v>
      </c>
      <c r="V1735" s="2" t="s">
        <v>146</v>
      </c>
      <c r="W1735" s="2" t="s">
        <v>183</v>
      </c>
      <c r="X1735" s="2" t="s">
        <v>100</v>
      </c>
      <c r="Y1735" s="2" t="s">
        <v>2045</v>
      </c>
      <c r="Z1735" s="4">
        <v>471</v>
      </c>
      <c r="AA1735" s="4">
        <f>=ROUNDDOWN(15.1935483870968,0)</f>
      </c>
      <c r="AB1735" s="5">
        <v>31</v>
      </c>
      <c r="AC1735" s="2" t="s">
        <v>282</v>
      </c>
      <c r="AD1735" s="4">
        <v>160</v>
      </c>
      <c r="AE1735" s="4">
        <v>222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>
        <v>13</v>
      </c>
      <c r="AQ1735" s="8">
        <v>990.73</v>
      </c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0.5601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225</v>
      </c>
      <c r="BK1735" s="8">
        <v>16825.33</v>
      </c>
      <c r="BL1735" s="2" t="s">
        <v>5800</v>
      </c>
      <c r="BM1735" s="7">
        <v>0.0578</v>
      </c>
      <c r="BN1735" s="7">
        <v>0.0589</v>
      </c>
      <c r="BO1735" s="4">
        <v>13</v>
      </c>
      <c r="BP1735" s="8">
        <v>990.73</v>
      </c>
      <c r="BQ1735" s="4"/>
      <c r="BR1735" s="8"/>
      <c r="BS1735" s="7"/>
      <c r="BT1735" s="7"/>
      <c r="BU1735" s="2" t="s">
        <v>109</v>
      </c>
      <c r="BV1735" s="2" t="s">
        <v>110</v>
      </c>
      <c r="BW1735" s="2" t="s">
        <v>4840</v>
      </c>
      <c r="BX1735" s="2" t="s">
        <v>4733</v>
      </c>
      <c r="BY1735" s="2" t="s">
        <v>113</v>
      </c>
      <c r="BZ1735" s="2" t="s">
        <v>100</v>
      </c>
    </row>
    <row r="1736">
      <c r="A1736" s="2" t="s">
        <v>5801</v>
      </c>
      <c r="B1736" s="2" t="s">
        <v>5764</v>
      </c>
      <c r="C1736" s="2" t="s">
        <v>5702</v>
      </c>
      <c r="D1736" s="2" t="s">
        <v>5765</v>
      </c>
      <c r="E1736" s="2" t="s">
        <v>5766</v>
      </c>
      <c r="F1736" s="2" t="s">
        <v>5767</v>
      </c>
      <c r="G1736" s="2" t="s">
        <v>5767</v>
      </c>
      <c r="H1736" s="2" t="s">
        <v>5767</v>
      </c>
      <c r="I1736" s="2" t="s">
        <v>5768</v>
      </c>
      <c r="J1736" s="2" t="s">
        <v>714</v>
      </c>
      <c r="K1736" s="2" t="s">
        <v>5794</v>
      </c>
      <c r="L1736" s="3">
        <v>85</v>
      </c>
      <c r="M1736" s="3">
        <v>89.25</v>
      </c>
      <c r="N1736" s="3">
        <v>169.99</v>
      </c>
      <c r="O1736" s="2" t="s">
        <v>97</v>
      </c>
      <c r="P1736" s="2" t="s">
        <v>950</v>
      </c>
      <c r="Q1736" s="2" t="s">
        <v>99</v>
      </c>
      <c r="R1736" s="2" t="s">
        <v>100</v>
      </c>
      <c r="S1736" s="2" t="s">
        <v>5795</v>
      </c>
      <c r="T1736" s="2" t="s">
        <v>4441</v>
      </c>
      <c r="U1736" s="2" t="s">
        <v>100</v>
      </c>
      <c r="V1736" s="2" t="s">
        <v>146</v>
      </c>
      <c r="W1736" s="2" t="s">
        <v>183</v>
      </c>
      <c r="X1736" s="2" t="s">
        <v>100</v>
      </c>
      <c r="Y1736" s="2" t="s">
        <v>240</v>
      </c>
      <c r="Z1736" s="4">
        <v>353</v>
      </c>
      <c r="AA1736" s="4">
        <f>=ROUNDDOWN(16.0454545454545,0)</f>
      </c>
      <c r="AB1736" s="5">
        <v>22</v>
      </c>
      <c r="AC1736" s="2" t="s">
        <v>282</v>
      </c>
      <c r="AD1736" s="4">
        <v>160</v>
      </c>
      <c r="AE1736" s="4">
        <v>160</v>
      </c>
      <c r="AF1736" s="6">
        <v>65</v>
      </c>
      <c r="AG1736" s="6"/>
      <c r="AH1736" s="7">
        <v>0.615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>
        <v>1</v>
      </c>
      <c r="AQ1736" s="8">
        <v>87.09</v>
      </c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0.0492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 t="s">
        <v>100</v>
      </c>
      <c r="BJ1736" s="4">
        <v>154</v>
      </c>
      <c r="BK1736" s="8">
        <v>13277.1</v>
      </c>
      <c r="BL1736" s="2" t="s">
        <v>5802</v>
      </c>
      <c r="BM1736" s="7">
        <v>0.0065</v>
      </c>
      <c r="BN1736" s="7">
        <v>0.0066</v>
      </c>
      <c r="BO1736" s="4">
        <v>1</v>
      </c>
      <c r="BP1736" s="8">
        <v>87.09</v>
      </c>
      <c r="BQ1736" s="4"/>
      <c r="BR1736" s="8"/>
      <c r="BS1736" s="7"/>
      <c r="BT1736" s="7"/>
      <c r="BU1736" s="2" t="s">
        <v>109</v>
      </c>
      <c r="BV1736" s="2" t="s">
        <v>110</v>
      </c>
      <c r="BW1736" s="2" t="s">
        <v>4840</v>
      </c>
      <c r="BX1736" s="2" t="s">
        <v>5803</v>
      </c>
      <c r="BY1736" s="2" t="s">
        <v>113</v>
      </c>
      <c r="BZ1736" s="2" t="s">
        <v>100</v>
      </c>
    </row>
    <row r="1737">
      <c r="A1737" s="2" t="s">
        <v>5804</v>
      </c>
      <c r="B1737" s="2" t="s">
        <v>5764</v>
      </c>
      <c r="C1737" s="2" t="s">
        <v>5702</v>
      </c>
      <c r="D1737" s="2" t="s">
        <v>5765</v>
      </c>
      <c r="E1737" s="2" t="s">
        <v>5766</v>
      </c>
      <c r="F1737" s="2" t="s">
        <v>5767</v>
      </c>
      <c r="G1737" s="2" t="s">
        <v>5767</v>
      </c>
      <c r="H1737" s="2" t="s">
        <v>5767</v>
      </c>
      <c r="I1737" s="2" t="s">
        <v>5768</v>
      </c>
      <c r="J1737" s="2" t="s">
        <v>1936</v>
      </c>
      <c r="K1737" s="2" t="s">
        <v>5630</v>
      </c>
      <c r="L1737" s="3">
        <v>47</v>
      </c>
      <c r="M1737" s="3">
        <v>49.35</v>
      </c>
      <c r="N1737" s="3">
        <v>99.99</v>
      </c>
      <c r="O1737" s="2" t="s">
        <v>97</v>
      </c>
      <c r="P1737" s="2" t="s">
        <v>372</v>
      </c>
      <c r="Q1737" s="2" t="s">
        <v>99</v>
      </c>
      <c r="R1737" s="2" t="s">
        <v>100</v>
      </c>
      <c r="S1737" s="2" t="s">
        <v>5805</v>
      </c>
      <c r="T1737" s="2" t="s">
        <v>4441</v>
      </c>
      <c r="U1737" s="2" t="s">
        <v>100</v>
      </c>
      <c r="V1737" s="2" t="s">
        <v>146</v>
      </c>
      <c r="W1737" s="2" t="s">
        <v>183</v>
      </c>
      <c r="X1737" s="2" t="s">
        <v>100</v>
      </c>
      <c r="Y1737" s="2" t="s">
        <v>2045</v>
      </c>
      <c r="Z1737" s="4">
        <v>316</v>
      </c>
      <c r="AA1737" s="4">
        <f>=ROUNDDOWN(13.7391304347826,0)</f>
      </c>
      <c r="AB1737" s="5">
        <v>23</v>
      </c>
      <c r="AC1737" s="2" t="s">
        <v>282</v>
      </c>
      <c r="AD1737" s="4">
        <v>150</v>
      </c>
      <c r="AE1737" s="4">
        <v>220</v>
      </c>
      <c r="AF1737" s="6">
        <v>65</v>
      </c>
      <c r="AG1737" s="6"/>
      <c r="AH1737" s="7">
        <v>0.5936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>
        <v>3</v>
      </c>
      <c r="AQ1737" s="8">
        <v>146.97</v>
      </c>
      <c r="AR1737" s="4"/>
      <c r="AS1737" s="8"/>
      <c r="AT1737" s="7"/>
      <c r="AU1737" s="7"/>
      <c r="AV1737" s="4">
        <v>18</v>
      </c>
      <c r="AW1737" s="8">
        <v>1333.55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0.1102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>
        <v>0.098</v>
      </c>
      <c r="BJ1737" s="4">
        <v>176</v>
      </c>
      <c r="BK1737" s="8">
        <v>8228.3</v>
      </c>
      <c r="BL1737" s="2" t="s">
        <v>5806</v>
      </c>
      <c r="BM1737" s="7">
        <v>0.017</v>
      </c>
      <c r="BN1737" s="7">
        <v>0.0179</v>
      </c>
      <c r="BO1737" s="4">
        <v>3</v>
      </c>
      <c r="BP1737" s="8">
        <v>146.97</v>
      </c>
      <c r="BQ1737" s="4"/>
      <c r="BR1737" s="8"/>
      <c r="BS1737" s="7"/>
      <c r="BT1737" s="7"/>
      <c r="BU1737" s="2" t="s">
        <v>109</v>
      </c>
      <c r="BV1737" s="2" t="s">
        <v>110</v>
      </c>
      <c r="BW1737" s="2" t="s">
        <v>4840</v>
      </c>
      <c r="BX1737" s="2" t="s">
        <v>1998</v>
      </c>
      <c r="BY1737" s="2" t="s">
        <v>113</v>
      </c>
      <c r="BZ1737" s="2" t="s">
        <v>100</v>
      </c>
    </row>
    <row r="1738">
      <c r="A1738" s="2" t="s">
        <v>5807</v>
      </c>
      <c r="B1738" s="2" t="s">
        <v>5764</v>
      </c>
      <c r="C1738" s="2" t="s">
        <v>5702</v>
      </c>
      <c r="D1738" s="2" t="s">
        <v>5765</v>
      </c>
      <c r="E1738" s="2" t="s">
        <v>5766</v>
      </c>
      <c r="F1738" s="2" t="s">
        <v>5767</v>
      </c>
      <c r="G1738" s="2" t="s">
        <v>5767</v>
      </c>
      <c r="H1738" s="2" t="s">
        <v>5767</v>
      </c>
      <c r="I1738" s="2" t="s">
        <v>5768</v>
      </c>
      <c r="J1738" s="2" t="s">
        <v>717</v>
      </c>
      <c r="K1738" s="2" t="s">
        <v>5630</v>
      </c>
      <c r="L1738" s="3">
        <v>52.8</v>
      </c>
      <c r="M1738" s="3">
        <v>55.44</v>
      </c>
      <c r="N1738" s="3">
        <v>109.99</v>
      </c>
      <c r="O1738" s="2" t="s">
        <v>97</v>
      </c>
      <c r="P1738" s="2" t="s">
        <v>372</v>
      </c>
      <c r="Q1738" s="2" t="s">
        <v>99</v>
      </c>
      <c r="R1738" s="2" t="s">
        <v>100</v>
      </c>
      <c r="S1738" s="2" t="s">
        <v>5805</v>
      </c>
      <c r="T1738" s="2" t="s">
        <v>4441</v>
      </c>
      <c r="U1738" s="2" t="s">
        <v>100</v>
      </c>
      <c r="V1738" s="2" t="s">
        <v>146</v>
      </c>
      <c r="W1738" s="2" t="s">
        <v>183</v>
      </c>
      <c r="X1738" s="2" t="s">
        <v>100</v>
      </c>
      <c r="Y1738" s="2" t="s">
        <v>2045</v>
      </c>
      <c r="Z1738" s="4">
        <v>279</v>
      </c>
      <c r="AA1738" s="4">
        <f>=ROUNDDOWN(10.3333333333333,0)</f>
      </c>
      <c r="AB1738" s="5">
        <v>27</v>
      </c>
      <c r="AC1738" s="2" t="s">
        <v>282</v>
      </c>
      <c r="AD1738" s="4">
        <v>210</v>
      </c>
      <c r="AE1738" s="4">
        <v>210</v>
      </c>
      <c r="AF1738" s="6">
        <v>65</v>
      </c>
      <c r="AG1738" s="6"/>
      <c r="AH1738" s="7">
        <v>0.6043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>
        <v>3</v>
      </c>
      <c r="AQ1738" s="8">
        <v>163.26</v>
      </c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0.1224</v>
      </c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194</v>
      </c>
      <c r="BK1738" s="8">
        <v>10117.13</v>
      </c>
      <c r="BL1738" s="2" t="s">
        <v>5808</v>
      </c>
      <c r="BM1738" s="7">
        <v>0.0155</v>
      </c>
      <c r="BN1738" s="7">
        <v>0.0161</v>
      </c>
      <c r="BO1738" s="4">
        <v>3</v>
      </c>
      <c r="BP1738" s="8">
        <v>163.26</v>
      </c>
      <c r="BQ1738" s="4"/>
      <c r="BR1738" s="8"/>
      <c r="BS1738" s="7"/>
      <c r="BT1738" s="7"/>
      <c r="BU1738" s="2" t="s">
        <v>109</v>
      </c>
      <c r="BV1738" s="2" t="s">
        <v>110</v>
      </c>
      <c r="BW1738" s="2" t="s">
        <v>4840</v>
      </c>
      <c r="BX1738" s="2" t="s">
        <v>5780</v>
      </c>
      <c r="BY1738" s="2" t="s">
        <v>113</v>
      </c>
      <c r="BZ1738" s="2" t="s">
        <v>100</v>
      </c>
    </row>
    <row r="1739">
      <c r="A1739" s="2" t="s">
        <v>5809</v>
      </c>
      <c r="B1739" s="2" t="s">
        <v>5764</v>
      </c>
      <c r="C1739" s="2" t="s">
        <v>5702</v>
      </c>
      <c r="D1739" s="2" t="s">
        <v>5765</v>
      </c>
      <c r="E1739" s="2" t="s">
        <v>5766</v>
      </c>
      <c r="F1739" s="2" t="s">
        <v>5767</v>
      </c>
      <c r="G1739" s="2" t="s">
        <v>5767</v>
      </c>
      <c r="H1739" s="2" t="s">
        <v>5767</v>
      </c>
      <c r="I1739" s="2" t="s">
        <v>5768</v>
      </c>
      <c r="J1739" s="2" t="s">
        <v>706</v>
      </c>
      <c r="K1739" s="2" t="s">
        <v>5630</v>
      </c>
      <c r="L1739" s="3">
        <v>73.5</v>
      </c>
      <c r="M1739" s="3">
        <v>77.18</v>
      </c>
      <c r="N1739" s="3">
        <v>149.99</v>
      </c>
      <c r="O1739" s="2" t="s">
        <v>97</v>
      </c>
      <c r="P1739" s="2" t="s">
        <v>372</v>
      </c>
      <c r="Q1739" s="2" t="s">
        <v>99</v>
      </c>
      <c r="R1739" s="2" t="s">
        <v>100</v>
      </c>
      <c r="S1739" s="2" t="s">
        <v>5805</v>
      </c>
      <c r="T1739" s="2" t="s">
        <v>4441</v>
      </c>
      <c r="U1739" s="2" t="s">
        <v>100</v>
      </c>
      <c r="V1739" s="2" t="s">
        <v>146</v>
      </c>
      <c r="W1739" s="2" t="s">
        <v>183</v>
      </c>
      <c r="X1739" s="2" t="s">
        <v>100</v>
      </c>
      <c r="Y1739" s="2" t="s">
        <v>240</v>
      </c>
      <c r="Z1739" s="4">
        <v>706</v>
      </c>
      <c r="AA1739" s="4">
        <f>=ROUNDDOWN(13.843137254902,0)</f>
      </c>
      <c r="AB1739" s="5">
        <v>51</v>
      </c>
      <c r="AC1739" s="2" t="s">
        <v>282</v>
      </c>
      <c r="AD1739" s="4">
        <v>250</v>
      </c>
      <c r="AE1739" s="4">
        <v>398</v>
      </c>
      <c r="AF1739" s="6">
        <v>65</v>
      </c>
      <c r="AG1739" s="6"/>
      <c r="AH1739" s="7">
        <v>0.615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>
        <v>2</v>
      </c>
      <c r="AQ1739" s="8">
        <v>152.42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0.1143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302</v>
      </c>
      <c r="BK1739" s="8">
        <v>22698.03</v>
      </c>
      <c r="BL1739" s="2" t="s">
        <v>5810</v>
      </c>
      <c r="BM1739" s="7">
        <v>0.0066</v>
      </c>
      <c r="BN1739" s="7">
        <v>0.0067</v>
      </c>
      <c r="BO1739" s="4">
        <v>2</v>
      </c>
      <c r="BP1739" s="8">
        <v>152.42</v>
      </c>
      <c r="BQ1739" s="4"/>
      <c r="BR1739" s="8"/>
      <c r="BS1739" s="7"/>
      <c r="BT1739" s="7"/>
      <c r="BU1739" s="2" t="s">
        <v>109</v>
      </c>
      <c r="BV1739" s="2" t="s">
        <v>110</v>
      </c>
      <c r="BW1739" s="2" t="s">
        <v>4840</v>
      </c>
      <c r="BX1739" s="2" t="s">
        <v>1768</v>
      </c>
      <c r="BY1739" s="2" t="s">
        <v>113</v>
      </c>
      <c r="BZ1739" s="2" t="s">
        <v>100</v>
      </c>
    </row>
    <row r="1740">
      <c r="A1740" s="2" t="s">
        <v>5811</v>
      </c>
      <c r="B1740" s="2" t="s">
        <v>5764</v>
      </c>
      <c r="C1740" s="2" t="s">
        <v>5702</v>
      </c>
      <c r="D1740" s="2" t="s">
        <v>5765</v>
      </c>
      <c r="E1740" s="2" t="s">
        <v>5766</v>
      </c>
      <c r="F1740" s="2" t="s">
        <v>5767</v>
      </c>
      <c r="G1740" s="2" t="s">
        <v>5767</v>
      </c>
      <c r="H1740" s="2" t="s">
        <v>5767</v>
      </c>
      <c r="I1740" s="2" t="s">
        <v>5768</v>
      </c>
      <c r="J1740" s="2" t="s">
        <v>714</v>
      </c>
      <c r="K1740" s="2" t="s">
        <v>5630</v>
      </c>
      <c r="L1740" s="3">
        <v>85</v>
      </c>
      <c r="M1740" s="3">
        <v>89.25</v>
      </c>
      <c r="N1740" s="3">
        <v>169.99</v>
      </c>
      <c r="O1740" s="2" t="s">
        <v>97</v>
      </c>
      <c r="P1740" s="2" t="s">
        <v>372</v>
      </c>
      <c r="Q1740" s="2" t="s">
        <v>99</v>
      </c>
      <c r="R1740" s="2" t="s">
        <v>100</v>
      </c>
      <c r="S1740" s="2" t="s">
        <v>5805</v>
      </c>
      <c r="T1740" s="2" t="s">
        <v>4441</v>
      </c>
      <c r="U1740" s="2" t="s">
        <v>100</v>
      </c>
      <c r="V1740" s="2" t="s">
        <v>146</v>
      </c>
      <c r="W1740" s="2" t="s">
        <v>183</v>
      </c>
      <c r="X1740" s="2" t="s">
        <v>100</v>
      </c>
      <c r="Y1740" s="2" t="s">
        <v>240</v>
      </c>
      <c r="Z1740" s="4">
        <v>749</v>
      </c>
      <c r="AA1740" s="4">
        <f>=ROUNDDOWN(13.375,0)</f>
      </c>
      <c r="AB1740" s="5">
        <v>56</v>
      </c>
      <c r="AC1740" s="2" t="s">
        <v>282</v>
      </c>
      <c r="AD1740" s="4">
        <v>300</v>
      </c>
      <c r="AE1740" s="4">
        <v>400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>
        <v>10</v>
      </c>
      <c r="AQ1740" s="8">
        <v>870.9</v>
      </c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0.6531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568</v>
      </c>
      <c r="BK1740" s="8">
        <v>48707.63</v>
      </c>
      <c r="BL1740" s="2" t="s">
        <v>5812</v>
      </c>
      <c r="BM1740" s="7">
        <v>0.0176</v>
      </c>
      <c r="BN1740" s="7">
        <v>0.0179</v>
      </c>
      <c r="BO1740" s="4">
        <v>10</v>
      </c>
      <c r="BP1740" s="8">
        <v>870.9</v>
      </c>
      <c r="BQ1740" s="4"/>
      <c r="BR1740" s="8"/>
      <c r="BS1740" s="7"/>
      <c r="BT1740" s="7"/>
      <c r="BU1740" s="2" t="s">
        <v>109</v>
      </c>
      <c r="BV1740" s="2" t="s">
        <v>110</v>
      </c>
      <c r="BW1740" s="2" t="s">
        <v>4840</v>
      </c>
      <c r="BX1740" s="2" t="s">
        <v>5813</v>
      </c>
      <c r="BY1740" s="2" t="s">
        <v>113</v>
      </c>
      <c r="BZ1740" s="2" t="s">
        <v>100</v>
      </c>
    </row>
    <row r="1741">
      <c r="A1741" s="2" t="s">
        <v>5814</v>
      </c>
      <c r="B1741" s="2" t="s">
        <v>5764</v>
      </c>
      <c r="C1741" s="2" t="s">
        <v>5702</v>
      </c>
      <c r="D1741" s="2" t="s">
        <v>5765</v>
      </c>
      <c r="E1741" s="2" t="s">
        <v>5766</v>
      </c>
      <c r="F1741" s="2" t="s">
        <v>5767</v>
      </c>
      <c r="G1741" s="2" t="s">
        <v>5767</v>
      </c>
      <c r="H1741" s="2" t="s">
        <v>5767</v>
      </c>
      <c r="I1741" s="2" t="s">
        <v>5768</v>
      </c>
      <c r="J1741" s="2" t="s">
        <v>1936</v>
      </c>
      <c r="K1741" s="2" t="s">
        <v>1614</v>
      </c>
      <c r="L1741" s="3">
        <v>47</v>
      </c>
      <c r="M1741" s="3">
        <v>49.35</v>
      </c>
      <c r="N1741" s="3">
        <v>99.99</v>
      </c>
      <c r="O1741" s="2" t="s">
        <v>97</v>
      </c>
      <c r="P1741" s="2" t="s">
        <v>307</v>
      </c>
      <c r="Q1741" s="2" t="s">
        <v>99</v>
      </c>
      <c r="R1741" s="2" t="s">
        <v>100</v>
      </c>
      <c r="S1741" s="2" t="s">
        <v>5815</v>
      </c>
      <c r="T1741" s="2" t="s">
        <v>4441</v>
      </c>
      <c r="U1741" s="2" t="s">
        <v>100</v>
      </c>
      <c r="V1741" s="2" t="s">
        <v>146</v>
      </c>
      <c r="W1741" s="2" t="s">
        <v>183</v>
      </c>
      <c r="X1741" s="2" t="s">
        <v>100</v>
      </c>
      <c r="Y1741" s="2" t="s">
        <v>240</v>
      </c>
      <c r="Z1741" s="4">
        <v>301</v>
      </c>
      <c r="AA1741" s="4">
        <f>=ROUNDDOWN(10.3793103448276,0)</f>
      </c>
      <c r="AB1741" s="5">
        <v>29</v>
      </c>
      <c r="AC1741" s="2" t="s">
        <v>282</v>
      </c>
      <c r="AD1741" s="4">
        <v>160</v>
      </c>
      <c r="AE1741" s="4">
        <v>250</v>
      </c>
      <c r="AF1741" s="6">
        <v>65</v>
      </c>
      <c r="AG1741" s="6"/>
      <c r="AH1741" s="7">
        <v>0.6096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>
        <v>2</v>
      </c>
      <c r="AQ1741" s="8">
        <v>97.98</v>
      </c>
      <c r="AR1741" s="4"/>
      <c r="AS1741" s="8"/>
      <c r="AT1741" s="7"/>
      <c r="AU1741" s="7"/>
      <c r="AV1741" s="4">
        <v>16</v>
      </c>
      <c r="AW1741" s="8">
        <v>1241.08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0.0789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>
        <v>0.0912</v>
      </c>
      <c r="BJ1741" s="4">
        <v>241</v>
      </c>
      <c r="BK1741" s="8">
        <v>11096.65</v>
      </c>
      <c r="BL1741" s="2" t="s">
        <v>5816</v>
      </c>
      <c r="BM1741" s="7">
        <v>0.0083</v>
      </c>
      <c r="BN1741" s="7">
        <v>0.0088</v>
      </c>
      <c r="BO1741" s="4">
        <v>2</v>
      </c>
      <c r="BP1741" s="8">
        <v>97.98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4840</v>
      </c>
      <c r="BX1741" s="2" t="s">
        <v>1529</v>
      </c>
      <c r="BY1741" s="2" t="s">
        <v>113</v>
      </c>
      <c r="BZ1741" s="2" t="s">
        <v>100</v>
      </c>
    </row>
    <row r="1742">
      <c r="A1742" s="2" t="s">
        <v>5817</v>
      </c>
      <c r="B1742" s="2" t="s">
        <v>5764</v>
      </c>
      <c r="C1742" s="2" t="s">
        <v>5702</v>
      </c>
      <c r="D1742" s="2" t="s">
        <v>5765</v>
      </c>
      <c r="E1742" s="2" t="s">
        <v>5766</v>
      </c>
      <c r="F1742" s="2" t="s">
        <v>5767</v>
      </c>
      <c r="G1742" s="2" t="s">
        <v>5767</v>
      </c>
      <c r="H1742" s="2" t="s">
        <v>5767</v>
      </c>
      <c r="I1742" s="2" t="s">
        <v>5768</v>
      </c>
      <c r="J1742" s="2" t="s">
        <v>706</v>
      </c>
      <c r="K1742" s="2" t="s">
        <v>1614</v>
      </c>
      <c r="L1742" s="3">
        <v>73.5</v>
      </c>
      <c r="M1742" s="3">
        <v>77.18</v>
      </c>
      <c r="N1742" s="3">
        <v>149.99</v>
      </c>
      <c r="O1742" s="2" t="s">
        <v>97</v>
      </c>
      <c r="P1742" s="2" t="s">
        <v>307</v>
      </c>
      <c r="Q1742" s="2" t="s">
        <v>99</v>
      </c>
      <c r="R1742" s="2" t="s">
        <v>100</v>
      </c>
      <c r="S1742" s="2" t="s">
        <v>5815</v>
      </c>
      <c r="T1742" s="2" t="s">
        <v>4441</v>
      </c>
      <c r="U1742" s="2" t="s">
        <v>100</v>
      </c>
      <c r="V1742" s="2" t="s">
        <v>146</v>
      </c>
      <c r="W1742" s="2" t="s">
        <v>183</v>
      </c>
      <c r="X1742" s="2" t="s">
        <v>100</v>
      </c>
      <c r="Y1742" s="2" t="s">
        <v>240</v>
      </c>
      <c r="Z1742" s="4">
        <v>462</v>
      </c>
      <c r="AA1742" s="4">
        <f>=ROUNDDOWN(7.33333333333333,0)</f>
      </c>
      <c r="AB1742" s="5">
        <v>63</v>
      </c>
      <c r="AC1742" s="2" t="s">
        <v>282</v>
      </c>
      <c r="AD1742" s="4">
        <v>320</v>
      </c>
      <c r="AE1742" s="4">
        <v>460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>
        <v>7</v>
      </c>
      <c r="AQ1742" s="8">
        <v>533.47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0.4298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749</v>
      </c>
      <c r="BK1742" s="8">
        <v>55489.03</v>
      </c>
      <c r="BL1742" s="2" t="s">
        <v>5818</v>
      </c>
      <c r="BM1742" s="7">
        <v>0.0093</v>
      </c>
      <c r="BN1742" s="7">
        <v>0.0096</v>
      </c>
      <c r="BO1742" s="4">
        <v>7</v>
      </c>
      <c r="BP1742" s="8">
        <v>533.47</v>
      </c>
      <c r="BQ1742" s="4"/>
      <c r="BR1742" s="8"/>
      <c r="BS1742" s="7"/>
      <c r="BT1742" s="7"/>
      <c r="BU1742" s="2" t="s">
        <v>109</v>
      </c>
      <c r="BV1742" s="2" t="s">
        <v>110</v>
      </c>
      <c r="BW1742" s="2" t="s">
        <v>4840</v>
      </c>
      <c r="BX1742" s="2" t="s">
        <v>4667</v>
      </c>
      <c r="BY1742" s="2" t="s">
        <v>113</v>
      </c>
      <c r="BZ1742" s="2" t="s">
        <v>100</v>
      </c>
    </row>
    <row r="1743">
      <c r="A1743" s="2" t="s">
        <v>5819</v>
      </c>
      <c r="B1743" s="2" t="s">
        <v>5764</v>
      </c>
      <c r="C1743" s="2" t="s">
        <v>5702</v>
      </c>
      <c r="D1743" s="2" t="s">
        <v>5765</v>
      </c>
      <c r="E1743" s="2" t="s">
        <v>5766</v>
      </c>
      <c r="F1743" s="2" t="s">
        <v>5767</v>
      </c>
      <c r="G1743" s="2" t="s">
        <v>5767</v>
      </c>
      <c r="H1743" s="2" t="s">
        <v>5767</v>
      </c>
      <c r="I1743" s="2" t="s">
        <v>5768</v>
      </c>
      <c r="J1743" s="2" t="s">
        <v>714</v>
      </c>
      <c r="K1743" s="2" t="s">
        <v>1614</v>
      </c>
      <c r="L1743" s="3">
        <v>85</v>
      </c>
      <c r="M1743" s="3">
        <v>89.25</v>
      </c>
      <c r="N1743" s="3">
        <v>169.99</v>
      </c>
      <c r="O1743" s="2" t="s">
        <v>97</v>
      </c>
      <c r="P1743" s="2" t="s">
        <v>307</v>
      </c>
      <c r="Q1743" s="2" t="s">
        <v>99</v>
      </c>
      <c r="R1743" s="2" t="s">
        <v>100</v>
      </c>
      <c r="S1743" s="2" t="s">
        <v>5815</v>
      </c>
      <c r="T1743" s="2" t="s">
        <v>4441</v>
      </c>
      <c r="U1743" s="2" t="s">
        <v>100</v>
      </c>
      <c r="V1743" s="2" t="s">
        <v>146</v>
      </c>
      <c r="W1743" s="2" t="s">
        <v>183</v>
      </c>
      <c r="X1743" s="2" t="s">
        <v>100</v>
      </c>
      <c r="Y1743" s="2" t="s">
        <v>240</v>
      </c>
      <c r="Z1743" s="4">
        <v>751</v>
      </c>
      <c r="AA1743" s="4">
        <f>=ROUNDDOWN(10.4305555555556,0)</f>
      </c>
      <c r="AB1743" s="5">
        <v>72</v>
      </c>
      <c r="AC1743" s="2" t="s">
        <v>282</v>
      </c>
      <c r="AD1743" s="4">
        <v>450</v>
      </c>
      <c r="AE1743" s="4">
        <v>590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>
        <v>7</v>
      </c>
      <c r="AQ1743" s="8">
        <v>609.63</v>
      </c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0.4912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937</v>
      </c>
      <c r="BK1743" s="8">
        <v>76549.63</v>
      </c>
      <c r="BL1743" s="2" t="s">
        <v>5820</v>
      </c>
      <c r="BM1743" s="7">
        <v>0.0075</v>
      </c>
      <c r="BN1743" s="7">
        <v>0.008</v>
      </c>
      <c r="BO1743" s="4">
        <v>7</v>
      </c>
      <c r="BP1743" s="8">
        <v>609.63</v>
      </c>
      <c r="BQ1743" s="4"/>
      <c r="BR1743" s="8"/>
      <c r="BS1743" s="7"/>
      <c r="BT1743" s="7"/>
      <c r="BU1743" s="2" t="s">
        <v>109</v>
      </c>
      <c r="BV1743" s="2" t="s">
        <v>110</v>
      </c>
      <c r="BW1743" s="2" t="s">
        <v>4840</v>
      </c>
      <c r="BX1743" s="2" t="s">
        <v>4794</v>
      </c>
      <c r="BY1743" s="2" t="s">
        <v>113</v>
      </c>
      <c r="BZ1743" s="2" t="s">
        <v>100</v>
      </c>
    </row>
    <row r="1744">
      <c r="A1744" s="2" t="s">
        <v>5821</v>
      </c>
      <c r="B1744" s="2" t="s">
        <v>5764</v>
      </c>
      <c r="C1744" s="2" t="s">
        <v>5702</v>
      </c>
      <c r="D1744" s="2" t="s">
        <v>5765</v>
      </c>
      <c r="E1744" s="2" t="s">
        <v>5766</v>
      </c>
      <c r="F1744" s="2" t="s">
        <v>5767</v>
      </c>
      <c r="G1744" s="2" t="s">
        <v>5767</v>
      </c>
      <c r="H1744" s="2" t="s">
        <v>5767</v>
      </c>
      <c r="I1744" s="2" t="s">
        <v>5768</v>
      </c>
      <c r="J1744" s="2" t="s">
        <v>1936</v>
      </c>
      <c r="K1744" s="2" t="s">
        <v>335</v>
      </c>
      <c r="L1744" s="3">
        <v>47</v>
      </c>
      <c r="M1744" s="3">
        <v>49.35</v>
      </c>
      <c r="N1744" s="3">
        <v>99.99</v>
      </c>
      <c r="O1744" s="2" t="s">
        <v>97</v>
      </c>
      <c r="P1744" s="2" t="s">
        <v>950</v>
      </c>
      <c r="Q1744" s="2" t="s">
        <v>99</v>
      </c>
      <c r="R1744" s="2" t="s">
        <v>100</v>
      </c>
      <c r="S1744" s="2" t="s">
        <v>5822</v>
      </c>
      <c r="T1744" s="2" t="s">
        <v>4441</v>
      </c>
      <c r="U1744" s="2" t="s">
        <v>1847</v>
      </c>
      <c r="V1744" s="2" t="s">
        <v>146</v>
      </c>
      <c r="W1744" s="2" t="s">
        <v>183</v>
      </c>
      <c r="X1744" s="2" t="s">
        <v>100</v>
      </c>
      <c r="Y1744" s="2" t="s">
        <v>4321</v>
      </c>
      <c r="Z1744" s="4">
        <v>274</v>
      </c>
      <c r="AA1744" s="4">
        <f>=ROUNDDOWN(30.4444444444444,0)</f>
      </c>
      <c r="AB1744" s="5">
        <v>9</v>
      </c>
      <c r="AC1744" s="2" t="s">
        <v>100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>
        <v>1</v>
      </c>
      <c r="AQ1744" s="8">
        <v>48.99</v>
      </c>
      <c r="AR1744" s="4"/>
      <c r="AS1744" s="8"/>
      <c r="AT1744" s="7"/>
      <c r="AU1744" s="7"/>
      <c r="AV1744" s="4">
        <v>13</v>
      </c>
      <c r="AW1744" s="8">
        <v>1028.77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0.0476</v>
      </c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>
        <v>0.0756</v>
      </c>
      <c r="BJ1744" s="4">
        <v>70</v>
      </c>
      <c r="BK1744" s="8">
        <v>3632.03</v>
      </c>
      <c r="BL1744" s="2" t="s">
        <v>5823</v>
      </c>
      <c r="BM1744" s="7">
        <v>0.0143</v>
      </c>
      <c r="BN1744" s="7">
        <v>0.0135</v>
      </c>
      <c r="BO1744" s="4">
        <v>1</v>
      </c>
      <c r="BP1744" s="8">
        <v>48.99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5482</v>
      </c>
      <c r="BX1744" s="2" t="s">
        <v>2220</v>
      </c>
      <c r="BY1744" s="2" t="s">
        <v>113</v>
      </c>
      <c r="BZ1744" s="2" t="s">
        <v>100</v>
      </c>
    </row>
    <row r="1745">
      <c r="A1745" s="2" t="s">
        <v>5824</v>
      </c>
      <c r="B1745" s="2" t="s">
        <v>5764</v>
      </c>
      <c r="C1745" s="2" t="s">
        <v>5702</v>
      </c>
      <c r="D1745" s="2" t="s">
        <v>5765</v>
      </c>
      <c r="E1745" s="2" t="s">
        <v>5766</v>
      </c>
      <c r="F1745" s="2" t="s">
        <v>5767</v>
      </c>
      <c r="G1745" s="2" t="s">
        <v>5767</v>
      </c>
      <c r="H1745" s="2" t="s">
        <v>5767</v>
      </c>
      <c r="I1745" s="2" t="s">
        <v>5768</v>
      </c>
      <c r="J1745" s="2" t="s">
        <v>717</v>
      </c>
      <c r="K1745" s="2" t="s">
        <v>335</v>
      </c>
      <c r="L1745" s="3">
        <v>52.8</v>
      </c>
      <c r="M1745" s="3">
        <v>55.44</v>
      </c>
      <c r="N1745" s="3">
        <v>109.99</v>
      </c>
      <c r="O1745" s="2" t="s">
        <v>97</v>
      </c>
      <c r="P1745" s="2" t="s">
        <v>950</v>
      </c>
      <c r="Q1745" s="2" t="s">
        <v>99</v>
      </c>
      <c r="R1745" s="2" t="s">
        <v>100</v>
      </c>
      <c r="S1745" s="2" t="s">
        <v>5822</v>
      </c>
      <c r="T1745" s="2" t="s">
        <v>4441</v>
      </c>
      <c r="U1745" s="2" t="s">
        <v>1847</v>
      </c>
      <c r="V1745" s="2" t="s">
        <v>146</v>
      </c>
      <c r="W1745" s="2" t="s">
        <v>183</v>
      </c>
      <c r="X1745" s="2" t="s">
        <v>100</v>
      </c>
      <c r="Y1745" s="2" t="s">
        <v>4321</v>
      </c>
      <c r="Z1745" s="4">
        <v>337</v>
      </c>
      <c r="AA1745" s="4">
        <f>=ROUNDDOWN(18.7222222222222,0)</f>
      </c>
      <c r="AB1745" s="5">
        <v>18</v>
      </c>
      <c r="AC1745" s="2" t="s">
        <v>282</v>
      </c>
      <c r="AD1745" s="4">
        <v>140</v>
      </c>
      <c r="AE1745" s="4">
        <v>140</v>
      </c>
      <c r="AF1745" s="6">
        <v>65</v>
      </c>
      <c r="AG1745" s="6"/>
      <c r="AH1745" s="7">
        <v>0.5882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>
        <v>1</v>
      </c>
      <c r="AQ1745" s="8">
        <v>54.43</v>
      </c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0.0529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 t="s">
        <v>100</v>
      </c>
      <c r="BJ1745" s="4">
        <v>98</v>
      </c>
      <c r="BK1745" s="8">
        <v>5722.63</v>
      </c>
      <c r="BL1745" s="2" t="s">
        <v>5825</v>
      </c>
      <c r="BM1745" s="7">
        <v>0.0102</v>
      </c>
      <c r="BN1745" s="7">
        <v>0.0095</v>
      </c>
      <c r="BO1745" s="4">
        <v>1</v>
      </c>
      <c r="BP1745" s="8">
        <v>54.43</v>
      </c>
      <c r="BQ1745" s="4"/>
      <c r="BR1745" s="8"/>
      <c r="BS1745" s="7"/>
      <c r="BT1745" s="7"/>
      <c r="BU1745" s="2" t="s">
        <v>109</v>
      </c>
      <c r="BV1745" s="2" t="s">
        <v>110</v>
      </c>
      <c r="BW1745" s="2" t="s">
        <v>5482</v>
      </c>
      <c r="BX1745" s="2" t="s">
        <v>5826</v>
      </c>
      <c r="BY1745" s="2" t="s">
        <v>113</v>
      </c>
      <c r="BZ1745" s="2" t="s">
        <v>100</v>
      </c>
    </row>
    <row r="1746">
      <c r="A1746" s="2" t="s">
        <v>5827</v>
      </c>
      <c r="B1746" s="2" t="s">
        <v>5764</v>
      </c>
      <c r="C1746" s="2" t="s">
        <v>5702</v>
      </c>
      <c r="D1746" s="2" t="s">
        <v>5765</v>
      </c>
      <c r="E1746" s="2" t="s">
        <v>5766</v>
      </c>
      <c r="F1746" s="2" t="s">
        <v>5767</v>
      </c>
      <c r="G1746" s="2" t="s">
        <v>5767</v>
      </c>
      <c r="H1746" s="2" t="s">
        <v>5767</v>
      </c>
      <c r="I1746" s="2" t="s">
        <v>5768</v>
      </c>
      <c r="J1746" s="2" t="s">
        <v>706</v>
      </c>
      <c r="K1746" s="2" t="s">
        <v>335</v>
      </c>
      <c r="L1746" s="3">
        <v>73.5</v>
      </c>
      <c r="M1746" s="3">
        <v>77.18</v>
      </c>
      <c r="N1746" s="3">
        <v>149.99</v>
      </c>
      <c r="O1746" s="2" t="s">
        <v>97</v>
      </c>
      <c r="P1746" s="2" t="s">
        <v>950</v>
      </c>
      <c r="Q1746" s="2" t="s">
        <v>99</v>
      </c>
      <c r="R1746" s="2" t="s">
        <v>100</v>
      </c>
      <c r="S1746" s="2" t="s">
        <v>5822</v>
      </c>
      <c r="T1746" s="2" t="s">
        <v>4441</v>
      </c>
      <c r="U1746" s="2" t="s">
        <v>1847</v>
      </c>
      <c r="V1746" s="2" t="s">
        <v>146</v>
      </c>
      <c r="W1746" s="2" t="s">
        <v>183</v>
      </c>
      <c r="X1746" s="2" t="s">
        <v>100</v>
      </c>
      <c r="Y1746" s="2" t="s">
        <v>4321</v>
      </c>
      <c r="Z1746" s="4">
        <v>323</v>
      </c>
      <c r="AA1746" s="4">
        <f>=ROUNDDOWN(11.5357142857143,0)</f>
      </c>
      <c r="AB1746" s="5">
        <v>28</v>
      </c>
      <c r="AC1746" s="2" t="s">
        <v>282</v>
      </c>
      <c r="AD1746" s="4">
        <v>90</v>
      </c>
      <c r="AE1746" s="4">
        <v>90</v>
      </c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>
        <v>3</v>
      </c>
      <c r="AQ1746" s="8">
        <v>228.63</v>
      </c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0.2222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158</v>
      </c>
      <c r="BK1746" s="8">
        <v>13185.03</v>
      </c>
      <c r="BL1746" s="2" t="s">
        <v>5828</v>
      </c>
      <c r="BM1746" s="7">
        <v>0.019</v>
      </c>
      <c r="BN1746" s="7">
        <v>0.0173</v>
      </c>
      <c r="BO1746" s="4">
        <v>3</v>
      </c>
      <c r="BP1746" s="8">
        <v>228.63</v>
      </c>
      <c r="BQ1746" s="4"/>
      <c r="BR1746" s="8"/>
      <c r="BS1746" s="7"/>
      <c r="BT1746" s="7"/>
      <c r="BU1746" s="2" t="s">
        <v>109</v>
      </c>
      <c r="BV1746" s="2" t="s">
        <v>110</v>
      </c>
      <c r="BW1746" s="2" t="s">
        <v>5482</v>
      </c>
      <c r="BX1746" s="2" t="s">
        <v>4090</v>
      </c>
      <c r="BY1746" s="2" t="s">
        <v>113</v>
      </c>
      <c r="BZ1746" s="2" t="s">
        <v>100</v>
      </c>
    </row>
    <row r="1747">
      <c r="A1747" s="2" t="s">
        <v>5829</v>
      </c>
      <c r="B1747" s="2" t="s">
        <v>5764</v>
      </c>
      <c r="C1747" s="2" t="s">
        <v>5702</v>
      </c>
      <c r="D1747" s="2" t="s">
        <v>5765</v>
      </c>
      <c r="E1747" s="2" t="s">
        <v>5766</v>
      </c>
      <c r="F1747" s="2" t="s">
        <v>5767</v>
      </c>
      <c r="G1747" s="2" t="s">
        <v>5767</v>
      </c>
      <c r="H1747" s="2" t="s">
        <v>5767</v>
      </c>
      <c r="I1747" s="2" t="s">
        <v>5768</v>
      </c>
      <c r="J1747" s="2" t="s">
        <v>714</v>
      </c>
      <c r="K1747" s="2" t="s">
        <v>335</v>
      </c>
      <c r="L1747" s="3">
        <v>85</v>
      </c>
      <c r="M1747" s="3">
        <v>89.25</v>
      </c>
      <c r="N1747" s="3">
        <v>169.99</v>
      </c>
      <c r="O1747" s="2" t="s">
        <v>97</v>
      </c>
      <c r="P1747" s="2" t="s">
        <v>950</v>
      </c>
      <c r="Q1747" s="2" t="s">
        <v>99</v>
      </c>
      <c r="R1747" s="2" t="s">
        <v>100</v>
      </c>
      <c r="S1747" s="2" t="s">
        <v>5822</v>
      </c>
      <c r="T1747" s="2" t="s">
        <v>4441</v>
      </c>
      <c r="U1747" s="2" t="s">
        <v>1847</v>
      </c>
      <c r="V1747" s="2" t="s">
        <v>146</v>
      </c>
      <c r="W1747" s="2" t="s">
        <v>183</v>
      </c>
      <c r="X1747" s="2" t="s">
        <v>100</v>
      </c>
      <c r="Y1747" s="2" t="s">
        <v>4321</v>
      </c>
      <c r="Z1747" s="4">
        <v>325</v>
      </c>
      <c r="AA1747" s="4">
        <f>=ROUNDDOWN(9.55882352941176,0)</f>
      </c>
      <c r="AB1747" s="5">
        <v>34</v>
      </c>
      <c r="AC1747" s="2" t="s">
        <v>768</v>
      </c>
      <c r="AD1747" s="4">
        <v>58</v>
      </c>
      <c r="AE1747" s="4">
        <v>278</v>
      </c>
      <c r="AF1747" s="6">
        <v>65</v>
      </c>
      <c r="AG1747" s="6"/>
      <c r="AH1747" s="7">
        <v>0.5882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>
        <v>8</v>
      </c>
      <c r="AQ1747" s="8">
        <v>696.72</v>
      </c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0.6772</v>
      </c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197</v>
      </c>
      <c r="BK1747" s="8">
        <v>18620.17</v>
      </c>
      <c r="BL1747" s="2" t="s">
        <v>5830</v>
      </c>
      <c r="BM1747" s="7">
        <v>0.0406</v>
      </c>
      <c r="BN1747" s="7">
        <v>0.0374</v>
      </c>
      <c r="BO1747" s="4">
        <v>8</v>
      </c>
      <c r="BP1747" s="8">
        <v>696.72</v>
      </c>
      <c r="BQ1747" s="4"/>
      <c r="BR1747" s="8"/>
      <c r="BS1747" s="7"/>
      <c r="BT1747" s="7"/>
      <c r="BU1747" s="2" t="s">
        <v>109</v>
      </c>
      <c r="BV1747" s="2" t="s">
        <v>110</v>
      </c>
      <c r="BW1747" s="2" t="s">
        <v>5482</v>
      </c>
      <c r="BX1747" s="2" t="s">
        <v>1691</v>
      </c>
      <c r="BY1747" s="2" t="s">
        <v>113</v>
      </c>
      <c r="BZ1747" s="2" t="s">
        <v>100</v>
      </c>
    </row>
    <row r="1748">
      <c r="A1748" s="2" t="s">
        <v>5831</v>
      </c>
      <c r="B1748" s="2" t="s">
        <v>5764</v>
      </c>
      <c r="C1748" s="2" t="s">
        <v>5702</v>
      </c>
      <c r="D1748" s="2" t="s">
        <v>5765</v>
      </c>
      <c r="E1748" s="2" t="s">
        <v>5766</v>
      </c>
      <c r="F1748" s="2" t="s">
        <v>5767</v>
      </c>
      <c r="G1748" s="2" t="s">
        <v>5767</v>
      </c>
      <c r="H1748" s="2" t="s">
        <v>5767</v>
      </c>
      <c r="I1748" s="2" t="s">
        <v>5768</v>
      </c>
      <c r="J1748" s="2" t="s">
        <v>1936</v>
      </c>
      <c r="K1748" s="2" t="s">
        <v>96</v>
      </c>
      <c r="L1748" s="3">
        <v>47</v>
      </c>
      <c r="M1748" s="3">
        <v>49.35</v>
      </c>
      <c r="N1748" s="3">
        <v>99.99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5832</v>
      </c>
      <c r="T1748" s="2" t="s">
        <v>4441</v>
      </c>
      <c r="U1748" s="2" t="s">
        <v>1847</v>
      </c>
      <c r="V1748" s="2" t="s">
        <v>146</v>
      </c>
      <c r="W1748" s="2" t="s">
        <v>183</v>
      </c>
      <c r="X1748" s="2" t="s">
        <v>100</v>
      </c>
      <c r="Y1748" s="2" t="s">
        <v>4321</v>
      </c>
      <c r="Z1748" s="4">
        <v>174</v>
      </c>
      <c r="AA1748" s="4">
        <f>=ROUNDDOWN(6.96,0)</f>
      </c>
      <c r="AB1748" s="5">
        <v>25</v>
      </c>
      <c r="AC1748" s="2" t="s">
        <v>282</v>
      </c>
      <c r="AD1748" s="4">
        <v>100</v>
      </c>
      <c r="AE1748" s="4">
        <v>100</v>
      </c>
      <c r="AF1748" s="6">
        <v>65</v>
      </c>
      <c r="AG1748" s="6"/>
      <c r="AH1748" s="7">
        <v>0.8235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>
        <v>3</v>
      </c>
      <c r="AQ1748" s="8">
        <v>146.97</v>
      </c>
      <c r="AR1748" s="4"/>
      <c r="AS1748" s="8"/>
      <c r="AT1748" s="7"/>
      <c r="AU1748" s="7"/>
      <c r="AV1748" s="4">
        <v>14</v>
      </c>
      <c r="AW1748" s="8">
        <v>930.78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0.1579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0.0684</v>
      </c>
      <c r="BJ1748" s="4">
        <v>162</v>
      </c>
      <c r="BK1748" s="8">
        <v>8662.23</v>
      </c>
      <c r="BL1748" s="2" t="s">
        <v>5833</v>
      </c>
      <c r="BM1748" s="7">
        <v>0.0185</v>
      </c>
      <c r="BN1748" s="7">
        <v>0.017</v>
      </c>
      <c r="BO1748" s="4">
        <v>3</v>
      </c>
      <c r="BP1748" s="8">
        <v>146.97</v>
      </c>
      <c r="BQ1748" s="4"/>
      <c r="BR1748" s="8"/>
      <c r="BS1748" s="7"/>
      <c r="BT1748" s="7"/>
      <c r="BU1748" s="2" t="s">
        <v>109</v>
      </c>
      <c r="BV1748" s="2" t="s">
        <v>110</v>
      </c>
      <c r="BW1748" s="2" t="s">
        <v>5482</v>
      </c>
      <c r="BX1748" s="2" t="s">
        <v>5834</v>
      </c>
      <c r="BY1748" s="2" t="s">
        <v>113</v>
      </c>
      <c r="BZ1748" s="2" t="s">
        <v>100</v>
      </c>
    </row>
    <row r="1749">
      <c r="A1749" s="2" t="s">
        <v>5835</v>
      </c>
      <c r="B1749" s="2" t="s">
        <v>5764</v>
      </c>
      <c r="C1749" s="2" t="s">
        <v>5702</v>
      </c>
      <c r="D1749" s="2" t="s">
        <v>5765</v>
      </c>
      <c r="E1749" s="2" t="s">
        <v>5766</v>
      </c>
      <c r="F1749" s="2" t="s">
        <v>5767</v>
      </c>
      <c r="G1749" s="2" t="s">
        <v>5767</v>
      </c>
      <c r="H1749" s="2" t="s">
        <v>5767</v>
      </c>
      <c r="I1749" s="2" t="s">
        <v>5768</v>
      </c>
      <c r="J1749" s="2" t="s">
        <v>717</v>
      </c>
      <c r="K1749" s="2" t="s">
        <v>96</v>
      </c>
      <c r="L1749" s="3">
        <v>52.8</v>
      </c>
      <c r="M1749" s="3">
        <v>55.44</v>
      </c>
      <c r="N1749" s="3">
        <v>109.99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5832</v>
      </c>
      <c r="T1749" s="2" t="s">
        <v>4441</v>
      </c>
      <c r="U1749" s="2" t="s">
        <v>1847</v>
      </c>
      <c r="V1749" s="2" t="s">
        <v>146</v>
      </c>
      <c r="W1749" s="2" t="s">
        <v>183</v>
      </c>
      <c r="X1749" s="2" t="s">
        <v>100</v>
      </c>
      <c r="Y1749" s="2" t="s">
        <v>4321</v>
      </c>
      <c r="Z1749" s="4">
        <v>376</v>
      </c>
      <c r="AA1749" s="4">
        <f>=ROUNDDOWN(16.3478260869565,0)</f>
      </c>
      <c r="AB1749" s="5">
        <v>23</v>
      </c>
      <c r="AC1749" s="2" t="s">
        <v>282</v>
      </c>
      <c r="AD1749" s="4">
        <v>170</v>
      </c>
      <c r="AE1749" s="4">
        <v>170</v>
      </c>
      <c r="AF1749" s="6">
        <v>65</v>
      </c>
      <c r="AG1749" s="6"/>
      <c r="AH1749" s="7">
        <v>0.5936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>
        <v>5</v>
      </c>
      <c r="AQ1749" s="8">
        <v>272.15</v>
      </c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0.2924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128</v>
      </c>
      <c r="BK1749" s="8">
        <v>7559.63</v>
      </c>
      <c r="BL1749" s="2" t="s">
        <v>5836</v>
      </c>
      <c r="BM1749" s="7">
        <v>0.0391</v>
      </c>
      <c r="BN1749" s="7">
        <v>0.036</v>
      </c>
      <c r="BO1749" s="4">
        <v>5</v>
      </c>
      <c r="BP1749" s="8">
        <v>272.15</v>
      </c>
      <c r="BQ1749" s="4"/>
      <c r="BR1749" s="8"/>
      <c r="BS1749" s="7"/>
      <c r="BT1749" s="7"/>
      <c r="BU1749" s="2" t="s">
        <v>109</v>
      </c>
      <c r="BV1749" s="2" t="s">
        <v>110</v>
      </c>
      <c r="BW1749" s="2" t="s">
        <v>5482</v>
      </c>
      <c r="BX1749" s="2" t="s">
        <v>5837</v>
      </c>
      <c r="BY1749" s="2" t="s">
        <v>113</v>
      </c>
      <c r="BZ1749" s="2" t="s">
        <v>100</v>
      </c>
    </row>
    <row r="1750">
      <c r="A1750" s="2" t="s">
        <v>5838</v>
      </c>
      <c r="B1750" s="2" t="s">
        <v>5764</v>
      </c>
      <c r="C1750" s="2" t="s">
        <v>5702</v>
      </c>
      <c r="D1750" s="2" t="s">
        <v>5765</v>
      </c>
      <c r="E1750" s="2" t="s">
        <v>5766</v>
      </c>
      <c r="F1750" s="2" t="s">
        <v>5767</v>
      </c>
      <c r="G1750" s="2" t="s">
        <v>5767</v>
      </c>
      <c r="H1750" s="2" t="s">
        <v>5767</v>
      </c>
      <c r="I1750" s="2" t="s">
        <v>5768</v>
      </c>
      <c r="J1750" s="2" t="s">
        <v>706</v>
      </c>
      <c r="K1750" s="2" t="s">
        <v>96</v>
      </c>
      <c r="L1750" s="3">
        <v>73.5</v>
      </c>
      <c r="M1750" s="3">
        <v>77.18</v>
      </c>
      <c r="N1750" s="3">
        <v>149.99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5832</v>
      </c>
      <c r="T1750" s="2" t="s">
        <v>4441</v>
      </c>
      <c r="U1750" s="2" t="s">
        <v>1847</v>
      </c>
      <c r="V1750" s="2" t="s">
        <v>146</v>
      </c>
      <c r="W1750" s="2" t="s">
        <v>183</v>
      </c>
      <c r="X1750" s="2" t="s">
        <v>100</v>
      </c>
      <c r="Y1750" s="2" t="s">
        <v>4321</v>
      </c>
      <c r="Z1750" s="4">
        <v>229</v>
      </c>
      <c r="AA1750" s="4">
        <f>=ROUNDDOWN(8.48148148148148,0)</f>
      </c>
      <c r="AB1750" s="5">
        <v>27</v>
      </c>
      <c r="AC1750" s="2" t="s">
        <v>282</v>
      </c>
      <c r="AD1750" s="4">
        <v>200</v>
      </c>
      <c r="AE1750" s="4">
        <v>200</v>
      </c>
      <c r="AF1750" s="6">
        <v>65</v>
      </c>
      <c r="AG1750" s="6"/>
      <c r="AH1750" s="7">
        <v>0.5882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>
        <v>1</v>
      </c>
      <c r="AQ1750" s="8">
        <v>76.21</v>
      </c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>
        <v>0.0819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381</v>
      </c>
      <c r="BK1750" s="8">
        <v>31532.16</v>
      </c>
      <c r="BL1750" s="2" t="s">
        <v>5839</v>
      </c>
      <c r="BM1750" s="7">
        <v>0.0026</v>
      </c>
      <c r="BN1750" s="7">
        <v>0.0024</v>
      </c>
      <c r="BO1750" s="4">
        <v>1</v>
      </c>
      <c r="BP1750" s="8">
        <v>76.21</v>
      </c>
      <c r="BQ1750" s="4"/>
      <c r="BR1750" s="8"/>
      <c r="BS1750" s="7"/>
      <c r="BT1750" s="7"/>
      <c r="BU1750" s="2" t="s">
        <v>109</v>
      </c>
      <c r="BV1750" s="2" t="s">
        <v>110</v>
      </c>
      <c r="BW1750" s="2" t="s">
        <v>5482</v>
      </c>
      <c r="BX1750" s="2" t="s">
        <v>5840</v>
      </c>
      <c r="BY1750" s="2" t="s">
        <v>113</v>
      </c>
      <c r="BZ1750" s="2" t="s">
        <v>100</v>
      </c>
    </row>
    <row r="1751">
      <c r="A1751" s="2" t="s">
        <v>5841</v>
      </c>
      <c r="B1751" s="2" t="s">
        <v>5764</v>
      </c>
      <c r="C1751" s="2" t="s">
        <v>5702</v>
      </c>
      <c r="D1751" s="2" t="s">
        <v>5765</v>
      </c>
      <c r="E1751" s="2" t="s">
        <v>5766</v>
      </c>
      <c r="F1751" s="2" t="s">
        <v>5767</v>
      </c>
      <c r="G1751" s="2" t="s">
        <v>5767</v>
      </c>
      <c r="H1751" s="2" t="s">
        <v>5767</v>
      </c>
      <c r="I1751" s="2" t="s">
        <v>5768</v>
      </c>
      <c r="J1751" s="2" t="s">
        <v>714</v>
      </c>
      <c r="K1751" s="2" t="s">
        <v>96</v>
      </c>
      <c r="L1751" s="3">
        <v>85</v>
      </c>
      <c r="M1751" s="3">
        <v>89.25</v>
      </c>
      <c r="N1751" s="3">
        <v>169.99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5832</v>
      </c>
      <c r="T1751" s="2" t="s">
        <v>4441</v>
      </c>
      <c r="U1751" s="2" t="s">
        <v>1847</v>
      </c>
      <c r="V1751" s="2" t="s">
        <v>146</v>
      </c>
      <c r="W1751" s="2" t="s">
        <v>183</v>
      </c>
      <c r="X1751" s="2" t="s">
        <v>100</v>
      </c>
      <c r="Y1751" s="2" t="s">
        <v>4321</v>
      </c>
      <c r="Z1751" s="4">
        <v>402</v>
      </c>
      <c r="AA1751" s="4">
        <f>=ROUNDDOWN(14.3571428571429,0)</f>
      </c>
      <c r="AB1751" s="5">
        <v>28</v>
      </c>
      <c r="AC1751" s="2" t="s">
        <v>282</v>
      </c>
      <c r="AD1751" s="4">
        <v>179</v>
      </c>
      <c r="AE1751" s="4">
        <v>179</v>
      </c>
      <c r="AF1751" s="6">
        <v>65</v>
      </c>
      <c r="AG1751" s="6"/>
      <c r="AH1751" s="7">
        <v>0.5882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>
        <v>5</v>
      </c>
      <c r="AQ1751" s="8">
        <v>435.45</v>
      </c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0.4678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167</v>
      </c>
      <c r="BK1751" s="8">
        <v>15745.19</v>
      </c>
      <c r="BL1751" s="2" t="s">
        <v>5842</v>
      </c>
      <c r="BM1751" s="7">
        <v>0.0299</v>
      </c>
      <c r="BN1751" s="7">
        <v>0.0277</v>
      </c>
      <c r="BO1751" s="4">
        <v>5</v>
      </c>
      <c r="BP1751" s="8">
        <v>435.45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5843</v>
      </c>
      <c r="BX1751" s="2" t="s">
        <v>5844</v>
      </c>
      <c r="BY1751" s="2" t="s">
        <v>113</v>
      </c>
      <c r="BZ1751" s="2" t="s">
        <v>100</v>
      </c>
    </row>
    <row r="1752">
      <c r="A1752" s="2" t="s">
        <v>5845</v>
      </c>
      <c r="B1752" s="2" t="s">
        <v>5764</v>
      </c>
      <c r="C1752" s="2" t="s">
        <v>5702</v>
      </c>
      <c r="D1752" s="2" t="s">
        <v>5765</v>
      </c>
      <c r="E1752" s="2" t="s">
        <v>5766</v>
      </c>
      <c r="F1752" s="2" t="s">
        <v>5767</v>
      </c>
      <c r="G1752" s="2" t="s">
        <v>5767</v>
      </c>
      <c r="H1752" s="2" t="s">
        <v>5767</v>
      </c>
      <c r="I1752" s="2" t="s">
        <v>5768</v>
      </c>
      <c r="J1752" s="2" t="s">
        <v>1936</v>
      </c>
      <c r="K1752" s="2" t="s">
        <v>878</v>
      </c>
      <c r="L1752" s="3">
        <v>47</v>
      </c>
      <c r="M1752" s="3">
        <v>49.35</v>
      </c>
      <c r="N1752" s="3">
        <v>99.99</v>
      </c>
      <c r="O1752" s="2" t="s">
        <v>97</v>
      </c>
      <c r="P1752" s="2" t="s">
        <v>119</v>
      </c>
      <c r="Q1752" s="2" t="s">
        <v>99</v>
      </c>
      <c r="R1752" s="2" t="s">
        <v>100</v>
      </c>
      <c r="S1752" s="2" t="s">
        <v>5846</v>
      </c>
      <c r="T1752" s="2" t="s">
        <v>4441</v>
      </c>
      <c r="U1752" s="2" t="s">
        <v>1847</v>
      </c>
      <c r="V1752" s="2" t="s">
        <v>146</v>
      </c>
      <c r="W1752" s="2" t="s">
        <v>183</v>
      </c>
      <c r="X1752" s="2" t="s">
        <v>100</v>
      </c>
      <c r="Y1752" s="2" t="s">
        <v>5847</v>
      </c>
      <c r="Z1752" s="4">
        <v>381</v>
      </c>
      <c r="AA1752" s="4">
        <f>=ROUNDDOWN(31.75,0)</f>
      </c>
      <c r="AB1752" s="5">
        <v>12</v>
      </c>
      <c r="AC1752" s="2" t="s">
        <v>100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73</v>
      </c>
      <c r="BK1752" s="8">
        <v>3704.43</v>
      </c>
      <c r="BL1752" s="2" t="s">
        <v>5848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207</v>
      </c>
      <c r="BV1752" s="2" t="s">
        <v>97</v>
      </c>
      <c r="BW1752" s="2" t="s">
        <v>100</v>
      </c>
      <c r="BX1752" s="2" t="s">
        <v>100</v>
      </c>
      <c r="BY1752" s="2" t="s">
        <v>113</v>
      </c>
      <c r="BZ1752" s="2" t="s">
        <v>100</v>
      </c>
    </row>
    <row r="1753">
      <c r="A1753" s="2" t="s">
        <v>5849</v>
      </c>
      <c r="B1753" s="2" t="s">
        <v>5764</v>
      </c>
      <c r="C1753" s="2" t="s">
        <v>5702</v>
      </c>
      <c r="D1753" s="2" t="s">
        <v>5765</v>
      </c>
      <c r="E1753" s="2" t="s">
        <v>5766</v>
      </c>
      <c r="F1753" s="2" t="s">
        <v>5767</v>
      </c>
      <c r="G1753" s="2" t="s">
        <v>5767</v>
      </c>
      <c r="H1753" s="2" t="s">
        <v>5767</v>
      </c>
      <c r="I1753" s="2" t="s">
        <v>5768</v>
      </c>
      <c r="J1753" s="2" t="s">
        <v>717</v>
      </c>
      <c r="K1753" s="2" t="s">
        <v>878</v>
      </c>
      <c r="L1753" s="3">
        <v>52.8</v>
      </c>
      <c r="M1753" s="3">
        <v>55.44</v>
      </c>
      <c r="N1753" s="3">
        <v>109.99</v>
      </c>
      <c r="O1753" s="2" t="s">
        <v>97</v>
      </c>
      <c r="P1753" s="2" t="s">
        <v>119</v>
      </c>
      <c r="Q1753" s="2" t="s">
        <v>99</v>
      </c>
      <c r="R1753" s="2" t="s">
        <v>100</v>
      </c>
      <c r="S1753" s="2" t="s">
        <v>5846</v>
      </c>
      <c r="T1753" s="2" t="s">
        <v>4441</v>
      </c>
      <c r="U1753" s="2" t="s">
        <v>1847</v>
      </c>
      <c r="V1753" s="2" t="s">
        <v>146</v>
      </c>
      <c r="W1753" s="2" t="s">
        <v>183</v>
      </c>
      <c r="X1753" s="2" t="s">
        <v>100</v>
      </c>
      <c r="Y1753" s="2" t="s">
        <v>5847</v>
      </c>
      <c r="Z1753" s="4">
        <v>454</v>
      </c>
      <c r="AA1753" s="4">
        <f>=ROUNDDOWN(20.6363636363636,0)</f>
      </c>
      <c r="AB1753" s="5">
        <v>22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144</v>
      </c>
      <c r="BK1753" s="8">
        <v>8229.49</v>
      </c>
      <c r="BL1753" s="2" t="s">
        <v>5850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207</v>
      </c>
      <c r="BV1753" s="2" t="s">
        <v>97</v>
      </c>
      <c r="BW1753" s="2" t="s">
        <v>100</v>
      </c>
      <c r="BX1753" s="2" t="s">
        <v>100</v>
      </c>
      <c r="BY1753" s="2" t="s">
        <v>113</v>
      </c>
      <c r="BZ1753" s="2" t="s">
        <v>100</v>
      </c>
    </row>
    <row r="1754">
      <c r="A1754" s="2" t="s">
        <v>5851</v>
      </c>
      <c r="B1754" s="2" t="s">
        <v>5764</v>
      </c>
      <c r="C1754" s="2" t="s">
        <v>5702</v>
      </c>
      <c r="D1754" s="2" t="s">
        <v>5765</v>
      </c>
      <c r="E1754" s="2" t="s">
        <v>5766</v>
      </c>
      <c r="F1754" s="2" t="s">
        <v>5767</v>
      </c>
      <c r="G1754" s="2" t="s">
        <v>5767</v>
      </c>
      <c r="H1754" s="2" t="s">
        <v>5767</v>
      </c>
      <c r="I1754" s="2" t="s">
        <v>5768</v>
      </c>
      <c r="J1754" s="2" t="s">
        <v>706</v>
      </c>
      <c r="K1754" s="2" t="s">
        <v>878</v>
      </c>
      <c r="L1754" s="3">
        <v>73.5</v>
      </c>
      <c r="M1754" s="3">
        <v>77.18</v>
      </c>
      <c r="N1754" s="3">
        <v>149.99</v>
      </c>
      <c r="O1754" s="2" t="s">
        <v>97</v>
      </c>
      <c r="P1754" s="2" t="s">
        <v>119</v>
      </c>
      <c r="Q1754" s="2" t="s">
        <v>99</v>
      </c>
      <c r="R1754" s="2" t="s">
        <v>100</v>
      </c>
      <c r="S1754" s="2" t="s">
        <v>5846</v>
      </c>
      <c r="T1754" s="2" t="s">
        <v>4441</v>
      </c>
      <c r="U1754" s="2" t="s">
        <v>1847</v>
      </c>
      <c r="V1754" s="2" t="s">
        <v>146</v>
      </c>
      <c r="W1754" s="2" t="s">
        <v>183</v>
      </c>
      <c r="X1754" s="2" t="s">
        <v>100</v>
      </c>
      <c r="Y1754" s="2" t="s">
        <v>5852</v>
      </c>
      <c r="Z1754" s="4">
        <v>366</v>
      </c>
      <c r="AA1754" s="4">
        <f>=ROUNDDOWN(18.3,0)</f>
      </c>
      <c r="AB1754" s="5">
        <v>20</v>
      </c>
      <c r="AC1754" s="2" t="s">
        <v>282</v>
      </c>
      <c r="AD1754" s="4">
        <v>150</v>
      </c>
      <c r="AE1754" s="4">
        <v>150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 t="s">
        <v>100</v>
      </c>
      <c r="BJ1754" s="4">
        <v>98</v>
      </c>
      <c r="BK1754" s="8">
        <v>7767.4</v>
      </c>
      <c r="BL1754" s="2" t="s">
        <v>5853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207</v>
      </c>
      <c r="BV1754" s="2" t="s">
        <v>97</v>
      </c>
      <c r="BW1754" s="2" t="s">
        <v>100</v>
      </c>
      <c r="BX1754" s="2" t="s">
        <v>100</v>
      </c>
      <c r="BY1754" s="2" t="s">
        <v>113</v>
      </c>
      <c r="BZ1754" s="2" t="s">
        <v>100</v>
      </c>
    </row>
    <row r="1755">
      <c r="A1755" s="2" t="s">
        <v>5854</v>
      </c>
      <c r="B1755" s="2" t="s">
        <v>5764</v>
      </c>
      <c r="C1755" s="2" t="s">
        <v>5702</v>
      </c>
      <c r="D1755" s="2" t="s">
        <v>5765</v>
      </c>
      <c r="E1755" s="2" t="s">
        <v>5766</v>
      </c>
      <c r="F1755" s="2" t="s">
        <v>5767</v>
      </c>
      <c r="G1755" s="2" t="s">
        <v>5767</v>
      </c>
      <c r="H1755" s="2" t="s">
        <v>5767</v>
      </c>
      <c r="I1755" s="2" t="s">
        <v>5768</v>
      </c>
      <c r="J1755" s="2" t="s">
        <v>714</v>
      </c>
      <c r="K1755" s="2" t="s">
        <v>878</v>
      </c>
      <c r="L1755" s="3">
        <v>85</v>
      </c>
      <c r="M1755" s="3">
        <v>89.25</v>
      </c>
      <c r="N1755" s="3">
        <v>169.99</v>
      </c>
      <c r="O1755" s="2" t="s">
        <v>97</v>
      </c>
      <c r="P1755" s="2" t="s">
        <v>119</v>
      </c>
      <c r="Q1755" s="2" t="s">
        <v>99</v>
      </c>
      <c r="R1755" s="2" t="s">
        <v>100</v>
      </c>
      <c r="S1755" s="2" t="s">
        <v>5846</v>
      </c>
      <c r="T1755" s="2" t="s">
        <v>4441</v>
      </c>
      <c r="U1755" s="2" t="s">
        <v>1847</v>
      </c>
      <c r="V1755" s="2" t="s">
        <v>146</v>
      </c>
      <c r="W1755" s="2" t="s">
        <v>183</v>
      </c>
      <c r="X1755" s="2" t="s">
        <v>100</v>
      </c>
      <c r="Y1755" s="2" t="s">
        <v>5852</v>
      </c>
      <c r="Z1755" s="4">
        <v>356</v>
      </c>
      <c r="AA1755" s="4">
        <f>=ROUNDDOWN(17.3658536585366,0)</f>
      </c>
      <c r="AB1755" s="5">
        <v>20.5</v>
      </c>
      <c r="AC1755" s="2" t="s">
        <v>282</v>
      </c>
      <c r="AD1755" s="4">
        <v>150</v>
      </c>
      <c r="AE1755" s="4">
        <v>150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146</v>
      </c>
      <c r="BK1755" s="8">
        <v>13327.25</v>
      </c>
      <c r="BL1755" s="2" t="s">
        <v>5855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207</v>
      </c>
      <c r="BV1755" s="2" t="s">
        <v>97</v>
      </c>
      <c r="BW1755" s="2" t="s">
        <v>100</v>
      </c>
      <c r="BX1755" s="2" t="s">
        <v>100</v>
      </c>
      <c r="BY1755" s="2" t="s">
        <v>113</v>
      </c>
      <c r="BZ1755" s="2" t="s">
        <v>100</v>
      </c>
    </row>
    <row r="1756">
      <c r="A1756" s="2" t="s">
        <v>5856</v>
      </c>
      <c r="B1756" s="2" t="s">
        <v>5764</v>
      </c>
      <c r="C1756" s="2" t="s">
        <v>5702</v>
      </c>
      <c r="D1756" s="2" t="s">
        <v>5765</v>
      </c>
      <c r="E1756" s="2" t="s">
        <v>5766</v>
      </c>
      <c r="F1756" s="2" t="s">
        <v>5767</v>
      </c>
      <c r="G1756" s="2" t="s">
        <v>5767</v>
      </c>
      <c r="H1756" s="2" t="s">
        <v>5767</v>
      </c>
      <c r="I1756" s="2" t="s">
        <v>5768</v>
      </c>
      <c r="J1756" s="2" t="s">
        <v>1936</v>
      </c>
      <c r="K1756" s="2" t="s">
        <v>578</v>
      </c>
      <c r="L1756" s="3">
        <v>47</v>
      </c>
      <c r="M1756" s="3">
        <v>49.35</v>
      </c>
      <c r="N1756" s="3">
        <v>99.99</v>
      </c>
      <c r="O1756" s="2" t="s">
        <v>97</v>
      </c>
      <c r="P1756" s="2" t="s">
        <v>119</v>
      </c>
      <c r="Q1756" s="2" t="s">
        <v>99</v>
      </c>
      <c r="R1756" s="2" t="s">
        <v>100</v>
      </c>
      <c r="S1756" s="2" t="s">
        <v>5857</v>
      </c>
      <c r="T1756" s="2" t="s">
        <v>4441</v>
      </c>
      <c r="U1756" s="2" t="s">
        <v>1847</v>
      </c>
      <c r="V1756" s="2" t="s">
        <v>146</v>
      </c>
      <c r="W1756" s="2" t="s">
        <v>183</v>
      </c>
      <c r="X1756" s="2" t="s">
        <v>100</v>
      </c>
      <c r="Y1756" s="2" t="s">
        <v>5847</v>
      </c>
      <c r="Z1756" s="4">
        <v>187</v>
      </c>
      <c r="AA1756" s="4">
        <f>=ROUNDDOWN(11,0)</f>
      </c>
      <c r="AB1756" s="5">
        <v>17</v>
      </c>
      <c r="AC1756" s="2" t="s">
        <v>282</v>
      </c>
      <c r="AD1756" s="4">
        <v>110</v>
      </c>
      <c r="AE1756" s="4">
        <v>110</v>
      </c>
      <c r="AF1756" s="6">
        <v>65</v>
      </c>
      <c r="AG1756" s="6"/>
      <c r="AH1756" s="7">
        <v>0.5882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 t="s">
        <v>100</v>
      </c>
      <c r="BJ1756" s="4">
        <v>97</v>
      </c>
      <c r="BK1756" s="8">
        <v>5046.8</v>
      </c>
      <c r="BL1756" s="2" t="s">
        <v>5858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207</v>
      </c>
      <c r="BV1756" s="2" t="s">
        <v>97</v>
      </c>
      <c r="BW1756" s="2" t="s">
        <v>100</v>
      </c>
      <c r="BX1756" s="2" t="s">
        <v>100</v>
      </c>
      <c r="BY1756" s="2" t="s">
        <v>113</v>
      </c>
      <c r="BZ1756" s="2" t="s">
        <v>100</v>
      </c>
    </row>
    <row r="1757">
      <c r="A1757" s="2" t="s">
        <v>5859</v>
      </c>
      <c r="B1757" s="2" t="s">
        <v>5764</v>
      </c>
      <c r="C1757" s="2" t="s">
        <v>5702</v>
      </c>
      <c r="D1757" s="2" t="s">
        <v>5765</v>
      </c>
      <c r="E1757" s="2" t="s">
        <v>5766</v>
      </c>
      <c r="F1757" s="2" t="s">
        <v>5767</v>
      </c>
      <c r="G1757" s="2" t="s">
        <v>5767</v>
      </c>
      <c r="H1757" s="2" t="s">
        <v>5767</v>
      </c>
      <c r="I1757" s="2" t="s">
        <v>5768</v>
      </c>
      <c r="J1757" s="2" t="s">
        <v>717</v>
      </c>
      <c r="K1757" s="2" t="s">
        <v>578</v>
      </c>
      <c r="L1757" s="3">
        <v>52.8</v>
      </c>
      <c r="M1757" s="3">
        <v>55.44</v>
      </c>
      <c r="N1757" s="3">
        <v>109.99</v>
      </c>
      <c r="O1757" s="2" t="s">
        <v>97</v>
      </c>
      <c r="P1757" s="2" t="s">
        <v>119</v>
      </c>
      <c r="Q1757" s="2" t="s">
        <v>99</v>
      </c>
      <c r="R1757" s="2" t="s">
        <v>100</v>
      </c>
      <c r="S1757" s="2" t="s">
        <v>5857</v>
      </c>
      <c r="T1757" s="2" t="s">
        <v>4441</v>
      </c>
      <c r="U1757" s="2" t="s">
        <v>1847</v>
      </c>
      <c r="V1757" s="2" t="s">
        <v>146</v>
      </c>
      <c r="W1757" s="2" t="s">
        <v>183</v>
      </c>
      <c r="X1757" s="2" t="s">
        <v>100</v>
      </c>
      <c r="Y1757" s="2" t="s">
        <v>5847</v>
      </c>
      <c r="Z1757" s="4">
        <v>389</v>
      </c>
      <c r="AA1757" s="4">
        <f>=ROUNDDOWN(24.3125,0)</f>
      </c>
      <c r="AB1757" s="5">
        <v>16</v>
      </c>
      <c r="AC1757" s="2" t="s">
        <v>100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 t="s">
        <v>100</v>
      </c>
      <c r="BJ1757" s="4">
        <v>127</v>
      </c>
      <c r="BK1757" s="8">
        <v>7337.87</v>
      </c>
      <c r="BL1757" s="2" t="s">
        <v>5860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207</v>
      </c>
      <c r="BV1757" s="2" t="s">
        <v>97</v>
      </c>
      <c r="BW1757" s="2" t="s">
        <v>100</v>
      </c>
      <c r="BX1757" s="2" t="s">
        <v>100</v>
      </c>
      <c r="BY1757" s="2" t="s">
        <v>113</v>
      </c>
      <c r="BZ1757" s="2" t="s">
        <v>100</v>
      </c>
    </row>
    <row r="1758">
      <c r="A1758" s="2" t="s">
        <v>5861</v>
      </c>
      <c r="B1758" s="2" t="s">
        <v>5764</v>
      </c>
      <c r="C1758" s="2" t="s">
        <v>5702</v>
      </c>
      <c r="D1758" s="2" t="s">
        <v>5765</v>
      </c>
      <c r="E1758" s="2" t="s">
        <v>5766</v>
      </c>
      <c r="F1758" s="2" t="s">
        <v>5767</v>
      </c>
      <c r="G1758" s="2" t="s">
        <v>5767</v>
      </c>
      <c r="H1758" s="2" t="s">
        <v>5767</v>
      </c>
      <c r="I1758" s="2" t="s">
        <v>5768</v>
      </c>
      <c r="J1758" s="2" t="s">
        <v>706</v>
      </c>
      <c r="K1758" s="2" t="s">
        <v>578</v>
      </c>
      <c r="L1758" s="3">
        <v>73.5</v>
      </c>
      <c r="M1758" s="3">
        <v>77.18</v>
      </c>
      <c r="N1758" s="3">
        <v>149.99</v>
      </c>
      <c r="O1758" s="2" t="s">
        <v>97</v>
      </c>
      <c r="P1758" s="2" t="s">
        <v>119</v>
      </c>
      <c r="Q1758" s="2" t="s">
        <v>99</v>
      </c>
      <c r="R1758" s="2" t="s">
        <v>100</v>
      </c>
      <c r="S1758" s="2" t="s">
        <v>5857</v>
      </c>
      <c r="T1758" s="2" t="s">
        <v>4441</v>
      </c>
      <c r="U1758" s="2" t="s">
        <v>1847</v>
      </c>
      <c r="V1758" s="2" t="s">
        <v>146</v>
      </c>
      <c r="W1758" s="2" t="s">
        <v>183</v>
      </c>
      <c r="X1758" s="2" t="s">
        <v>100</v>
      </c>
      <c r="Y1758" s="2" t="s">
        <v>5852</v>
      </c>
      <c r="Z1758" s="4">
        <v>377</v>
      </c>
      <c r="AA1758" s="4">
        <f>=ROUNDDOWN(17.952380952381,0)</f>
      </c>
      <c r="AB1758" s="5">
        <v>21</v>
      </c>
      <c r="AC1758" s="2" t="s">
        <v>282</v>
      </c>
      <c r="AD1758" s="4">
        <v>120</v>
      </c>
      <c r="AE1758" s="4">
        <v>120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 t="s">
        <v>100</v>
      </c>
      <c r="BJ1758" s="4">
        <v>138</v>
      </c>
      <c r="BK1758" s="8">
        <v>10979.32</v>
      </c>
      <c r="BL1758" s="2" t="s">
        <v>5862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207</v>
      </c>
      <c r="BV1758" s="2" t="s">
        <v>97</v>
      </c>
      <c r="BW1758" s="2" t="s">
        <v>100</v>
      </c>
      <c r="BX1758" s="2" t="s">
        <v>100</v>
      </c>
      <c r="BY1758" s="2" t="s">
        <v>113</v>
      </c>
      <c r="BZ1758" s="2" t="s">
        <v>100</v>
      </c>
    </row>
    <row r="1759">
      <c r="A1759" s="2" t="s">
        <v>5863</v>
      </c>
      <c r="B1759" s="2" t="s">
        <v>5764</v>
      </c>
      <c r="C1759" s="2" t="s">
        <v>5702</v>
      </c>
      <c r="D1759" s="2" t="s">
        <v>5765</v>
      </c>
      <c r="E1759" s="2" t="s">
        <v>5766</v>
      </c>
      <c r="F1759" s="2" t="s">
        <v>5767</v>
      </c>
      <c r="G1759" s="2" t="s">
        <v>5767</v>
      </c>
      <c r="H1759" s="2" t="s">
        <v>5767</v>
      </c>
      <c r="I1759" s="2" t="s">
        <v>5768</v>
      </c>
      <c r="J1759" s="2" t="s">
        <v>714</v>
      </c>
      <c r="K1759" s="2" t="s">
        <v>578</v>
      </c>
      <c r="L1759" s="3">
        <v>85</v>
      </c>
      <c r="M1759" s="3">
        <v>89.25</v>
      </c>
      <c r="N1759" s="3">
        <v>169.99</v>
      </c>
      <c r="O1759" s="2" t="s">
        <v>97</v>
      </c>
      <c r="P1759" s="2" t="s">
        <v>119</v>
      </c>
      <c r="Q1759" s="2" t="s">
        <v>99</v>
      </c>
      <c r="R1759" s="2" t="s">
        <v>100</v>
      </c>
      <c r="S1759" s="2" t="s">
        <v>5857</v>
      </c>
      <c r="T1759" s="2" t="s">
        <v>4441</v>
      </c>
      <c r="U1759" s="2" t="s">
        <v>1847</v>
      </c>
      <c r="V1759" s="2" t="s">
        <v>146</v>
      </c>
      <c r="W1759" s="2" t="s">
        <v>183</v>
      </c>
      <c r="X1759" s="2" t="s">
        <v>100</v>
      </c>
      <c r="Y1759" s="2" t="s">
        <v>5852</v>
      </c>
      <c r="Z1759" s="4">
        <v>345</v>
      </c>
      <c r="AA1759" s="4">
        <f>=ROUNDDOWN(21.5625,0)</f>
      </c>
      <c r="AB1759" s="5">
        <v>16</v>
      </c>
      <c r="AC1759" s="2" t="s">
        <v>768</v>
      </c>
      <c r="AD1759" s="4">
        <v>78</v>
      </c>
      <c r="AE1759" s="4">
        <v>78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 t="s">
        <v>100</v>
      </c>
      <c r="BJ1759" s="4">
        <v>119</v>
      </c>
      <c r="BK1759" s="8">
        <v>11013.79</v>
      </c>
      <c r="BL1759" s="2" t="s">
        <v>5864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207</v>
      </c>
      <c r="BV1759" s="2" t="s">
        <v>97</v>
      </c>
      <c r="BW1759" s="2" t="s">
        <v>100</v>
      </c>
      <c r="BX1759" s="2" t="s">
        <v>100</v>
      </c>
      <c r="BY1759" s="2" t="s">
        <v>113</v>
      </c>
      <c r="BZ1759" s="2" t="s">
        <v>100</v>
      </c>
    </row>
    <row r="1760">
      <c r="A1760" s="2" t="s">
        <v>5865</v>
      </c>
      <c r="B1760" s="2" t="s">
        <v>5764</v>
      </c>
      <c r="C1760" s="2" t="s">
        <v>5702</v>
      </c>
      <c r="D1760" s="2" t="s">
        <v>5765</v>
      </c>
      <c r="E1760" s="2" t="s">
        <v>5766</v>
      </c>
      <c r="F1760" s="2" t="s">
        <v>5866</v>
      </c>
      <c r="G1760" s="2" t="s">
        <v>5866</v>
      </c>
      <c r="H1760" s="2" t="s">
        <v>5866</v>
      </c>
      <c r="I1760" s="2" t="s">
        <v>5867</v>
      </c>
      <c r="J1760" s="2" t="s">
        <v>1936</v>
      </c>
      <c r="K1760" s="2" t="s">
        <v>118</v>
      </c>
      <c r="L1760" s="3">
        <v>49.12</v>
      </c>
      <c r="M1760" s="3">
        <v>51.58</v>
      </c>
      <c r="N1760" s="3">
        <v>104.99</v>
      </c>
      <c r="O1760" s="2" t="s">
        <v>97</v>
      </c>
      <c r="P1760" s="2" t="s">
        <v>119</v>
      </c>
      <c r="Q1760" s="2" t="s">
        <v>99</v>
      </c>
      <c r="R1760" s="2" t="s">
        <v>100</v>
      </c>
      <c r="S1760" s="2" t="s">
        <v>5868</v>
      </c>
      <c r="T1760" s="2" t="s">
        <v>5869</v>
      </c>
      <c r="U1760" s="2" t="s">
        <v>1847</v>
      </c>
      <c r="V1760" s="2" t="s">
        <v>146</v>
      </c>
      <c r="W1760" s="2" t="s">
        <v>183</v>
      </c>
      <c r="X1760" s="2" t="s">
        <v>219</v>
      </c>
      <c r="Y1760" s="2" t="s">
        <v>5870</v>
      </c>
      <c r="Z1760" s="4">
        <v>274</v>
      </c>
      <c r="AA1760" s="4">
        <f>=ROUNDDOWN(21.0769230769231,0)</f>
      </c>
      <c r="AB1760" s="5">
        <v>13</v>
      </c>
      <c r="AC1760" s="2" t="s">
        <v>100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>
        <v>13</v>
      </c>
      <c r="AQ1760" s="8">
        <v>702</v>
      </c>
      <c r="AR1760" s="4"/>
      <c r="AS1760" s="8"/>
      <c r="AT1760" s="7"/>
      <c r="AU1760" s="7"/>
      <c r="AV1760" s="4">
        <v>89</v>
      </c>
      <c r="AW1760" s="8">
        <v>6955.2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0.1009</v>
      </c>
      <c r="BC1760" s="4">
        <v>178</v>
      </c>
      <c r="BD1760" s="8">
        <v>13235.4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0.5255</v>
      </c>
      <c r="BJ1760" s="4">
        <v>145</v>
      </c>
      <c r="BK1760" s="8">
        <v>7789.59</v>
      </c>
      <c r="BL1760" s="2" t="s">
        <v>5871</v>
      </c>
      <c r="BM1760" s="7">
        <v>0.0897</v>
      </c>
      <c r="BN1760" s="7">
        <v>0.0901</v>
      </c>
      <c r="BO1760" s="4">
        <v>13</v>
      </c>
      <c r="BP1760" s="8">
        <v>702</v>
      </c>
      <c r="BQ1760" s="4"/>
      <c r="BR1760" s="8"/>
      <c r="BS1760" s="7"/>
      <c r="BT1760" s="7"/>
      <c r="BU1760" s="2" t="s">
        <v>109</v>
      </c>
      <c r="BV1760" s="2" t="s">
        <v>110</v>
      </c>
      <c r="BW1760" s="2" t="s">
        <v>5872</v>
      </c>
      <c r="BX1760" s="2" t="s">
        <v>5873</v>
      </c>
      <c r="BY1760" s="2" t="s">
        <v>113</v>
      </c>
      <c r="BZ1760" s="2" t="s">
        <v>100</v>
      </c>
    </row>
    <row r="1761">
      <c r="A1761" s="2" t="s">
        <v>5874</v>
      </c>
      <c r="B1761" s="2" t="s">
        <v>5764</v>
      </c>
      <c r="C1761" s="2" t="s">
        <v>5702</v>
      </c>
      <c r="D1761" s="2" t="s">
        <v>5765</v>
      </c>
      <c r="E1761" s="2" t="s">
        <v>5766</v>
      </c>
      <c r="F1761" s="2" t="s">
        <v>5866</v>
      </c>
      <c r="G1761" s="2" t="s">
        <v>5866</v>
      </c>
      <c r="H1761" s="2" t="s">
        <v>5866</v>
      </c>
      <c r="I1761" s="2" t="s">
        <v>5867</v>
      </c>
      <c r="J1761" s="2" t="s">
        <v>717</v>
      </c>
      <c r="K1761" s="2" t="s">
        <v>118</v>
      </c>
      <c r="L1761" s="3">
        <v>54.72</v>
      </c>
      <c r="M1761" s="3">
        <v>57.46</v>
      </c>
      <c r="N1761" s="3">
        <v>114.99</v>
      </c>
      <c r="O1761" s="2" t="s">
        <v>97</v>
      </c>
      <c r="P1761" s="2" t="s">
        <v>119</v>
      </c>
      <c r="Q1761" s="2" t="s">
        <v>99</v>
      </c>
      <c r="R1761" s="2" t="s">
        <v>100</v>
      </c>
      <c r="S1761" s="2" t="s">
        <v>5868</v>
      </c>
      <c r="T1761" s="2" t="s">
        <v>5869</v>
      </c>
      <c r="U1761" s="2" t="s">
        <v>1847</v>
      </c>
      <c r="V1761" s="2" t="s">
        <v>146</v>
      </c>
      <c r="W1761" s="2" t="s">
        <v>183</v>
      </c>
      <c r="X1761" s="2" t="s">
        <v>219</v>
      </c>
      <c r="Y1761" s="2" t="s">
        <v>240</v>
      </c>
      <c r="Z1761" s="4">
        <v>474</v>
      </c>
      <c r="AA1761" s="4">
        <f>=ROUNDDOWN(27.8823529411765,0)</f>
      </c>
      <c r="AB1761" s="5">
        <v>17</v>
      </c>
      <c r="AC1761" s="2" t="s">
        <v>205</v>
      </c>
      <c r="AD1761" s="4">
        <v>80</v>
      </c>
      <c r="AE1761" s="4">
        <v>80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>
        <v>17</v>
      </c>
      <c r="AQ1761" s="8">
        <v>1009.8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0.1452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57</v>
      </c>
      <c r="BK1761" s="8">
        <v>3187.75</v>
      </c>
      <c r="BL1761" s="2" t="s">
        <v>5875</v>
      </c>
      <c r="BM1761" s="7">
        <v>0.2982</v>
      </c>
      <c r="BN1761" s="7">
        <v>0.3168</v>
      </c>
      <c r="BO1761" s="4">
        <v>17</v>
      </c>
      <c r="BP1761" s="8">
        <v>1009.8</v>
      </c>
      <c r="BQ1761" s="4"/>
      <c r="BR1761" s="8"/>
      <c r="BS1761" s="7"/>
      <c r="BT1761" s="7"/>
      <c r="BU1761" s="2" t="s">
        <v>109</v>
      </c>
      <c r="BV1761" s="2" t="s">
        <v>110</v>
      </c>
      <c r="BW1761" s="2" t="s">
        <v>5872</v>
      </c>
      <c r="BX1761" s="2" t="s">
        <v>5876</v>
      </c>
      <c r="BY1761" s="2" t="s">
        <v>113</v>
      </c>
      <c r="BZ1761" s="2" t="s">
        <v>100</v>
      </c>
    </row>
    <row r="1762">
      <c r="A1762" s="2" t="s">
        <v>5877</v>
      </c>
      <c r="B1762" s="2" t="s">
        <v>5764</v>
      </c>
      <c r="C1762" s="2" t="s">
        <v>5702</v>
      </c>
      <c r="D1762" s="2" t="s">
        <v>5765</v>
      </c>
      <c r="E1762" s="2" t="s">
        <v>5766</v>
      </c>
      <c r="F1762" s="2" t="s">
        <v>5866</v>
      </c>
      <c r="G1762" s="2" t="s">
        <v>5866</v>
      </c>
      <c r="H1762" s="2" t="s">
        <v>5866</v>
      </c>
      <c r="I1762" s="2" t="s">
        <v>5867</v>
      </c>
      <c r="J1762" s="2" t="s">
        <v>706</v>
      </c>
      <c r="K1762" s="2" t="s">
        <v>118</v>
      </c>
      <c r="L1762" s="3">
        <v>74.29</v>
      </c>
      <c r="M1762" s="3">
        <v>78</v>
      </c>
      <c r="N1762" s="3">
        <v>154.99</v>
      </c>
      <c r="O1762" s="2" t="s">
        <v>97</v>
      </c>
      <c r="P1762" s="2" t="s">
        <v>119</v>
      </c>
      <c r="Q1762" s="2" t="s">
        <v>99</v>
      </c>
      <c r="R1762" s="2" t="s">
        <v>100</v>
      </c>
      <c r="S1762" s="2" t="s">
        <v>5868</v>
      </c>
      <c r="T1762" s="2" t="s">
        <v>5869</v>
      </c>
      <c r="U1762" s="2" t="s">
        <v>1847</v>
      </c>
      <c r="V1762" s="2" t="s">
        <v>146</v>
      </c>
      <c r="W1762" s="2" t="s">
        <v>183</v>
      </c>
      <c r="X1762" s="2" t="s">
        <v>219</v>
      </c>
      <c r="Y1762" s="2" t="s">
        <v>240</v>
      </c>
      <c r="Z1762" s="4">
        <v>610</v>
      </c>
      <c r="AA1762" s="4">
        <f>=ROUNDDOWN(13.8636363636364,0)</f>
      </c>
      <c r="AB1762" s="5">
        <v>44</v>
      </c>
      <c r="AC1762" s="2" t="s">
        <v>205</v>
      </c>
      <c r="AD1762" s="4">
        <v>200</v>
      </c>
      <c r="AE1762" s="4">
        <v>310</v>
      </c>
      <c r="AF1762" s="6">
        <v>65</v>
      </c>
      <c r="AG1762" s="6"/>
      <c r="AH1762" s="7">
        <v>0.5936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>
        <v>16</v>
      </c>
      <c r="AQ1762" s="8">
        <v>1296</v>
      </c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0.1863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 t="s">
        <v>100</v>
      </c>
      <c r="BJ1762" s="4">
        <v>308</v>
      </c>
      <c r="BK1762" s="8">
        <v>23588.05</v>
      </c>
      <c r="BL1762" s="2" t="s">
        <v>5878</v>
      </c>
      <c r="BM1762" s="7">
        <v>0.0519</v>
      </c>
      <c r="BN1762" s="7">
        <v>0.0549</v>
      </c>
      <c r="BO1762" s="4">
        <v>16</v>
      </c>
      <c r="BP1762" s="8">
        <v>1296</v>
      </c>
      <c r="BQ1762" s="4"/>
      <c r="BR1762" s="8"/>
      <c r="BS1762" s="7"/>
      <c r="BT1762" s="7"/>
      <c r="BU1762" s="2" t="s">
        <v>109</v>
      </c>
      <c r="BV1762" s="2" t="s">
        <v>110</v>
      </c>
      <c r="BW1762" s="2" t="s">
        <v>5872</v>
      </c>
      <c r="BX1762" s="2" t="s">
        <v>5879</v>
      </c>
      <c r="BY1762" s="2" t="s">
        <v>113</v>
      </c>
      <c r="BZ1762" s="2" t="s">
        <v>100</v>
      </c>
    </row>
    <row r="1763">
      <c r="A1763" s="2" t="s">
        <v>5880</v>
      </c>
      <c r="B1763" s="2" t="s">
        <v>5764</v>
      </c>
      <c r="C1763" s="2" t="s">
        <v>5702</v>
      </c>
      <c r="D1763" s="2" t="s">
        <v>5765</v>
      </c>
      <c r="E1763" s="2" t="s">
        <v>5766</v>
      </c>
      <c r="F1763" s="2" t="s">
        <v>5866</v>
      </c>
      <c r="G1763" s="2" t="s">
        <v>5866</v>
      </c>
      <c r="H1763" s="2" t="s">
        <v>5866</v>
      </c>
      <c r="I1763" s="2" t="s">
        <v>5867</v>
      </c>
      <c r="J1763" s="2" t="s">
        <v>714</v>
      </c>
      <c r="K1763" s="2" t="s">
        <v>118</v>
      </c>
      <c r="L1763" s="3">
        <v>84.84</v>
      </c>
      <c r="M1763" s="3">
        <v>89.08</v>
      </c>
      <c r="N1763" s="3">
        <v>174.99</v>
      </c>
      <c r="O1763" s="2" t="s">
        <v>97</v>
      </c>
      <c r="P1763" s="2" t="s">
        <v>119</v>
      </c>
      <c r="Q1763" s="2" t="s">
        <v>99</v>
      </c>
      <c r="R1763" s="2" t="s">
        <v>100</v>
      </c>
      <c r="S1763" s="2" t="s">
        <v>5868</v>
      </c>
      <c r="T1763" s="2" t="s">
        <v>5869</v>
      </c>
      <c r="U1763" s="2" t="s">
        <v>1847</v>
      </c>
      <c r="V1763" s="2" t="s">
        <v>146</v>
      </c>
      <c r="W1763" s="2" t="s">
        <v>183</v>
      </c>
      <c r="X1763" s="2" t="s">
        <v>219</v>
      </c>
      <c r="Y1763" s="2" t="s">
        <v>240</v>
      </c>
      <c r="Z1763" s="4">
        <v>514</v>
      </c>
      <c r="AA1763" s="4">
        <f>=ROUNDDOWN(10.936170212766,0)</f>
      </c>
      <c r="AB1763" s="5">
        <v>47</v>
      </c>
      <c r="AC1763" s="2" t="s">
        <v>205</v>
      </c>
      <c r="AD1763" s="4">
        <v>150</v>
      </c>
      <c r="AE1763" s="4">
        <v>240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>
        <v>43</v>
      </c>
      <c r="AQ1763" s="8">
        <v>3947.4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0.5675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190</v>
      </c>
      <c r="BK1763" s="8">
        <v>17239.09</v>
      </c>
      <c r="BL1763" s="2" t="s">
        <v>5881</v>
      </c>
      <c r="BM1763" s="7">
        <v>0.2263</v>
      </c>
      <c r="BN1763" s="7">
        <v>0.229</v>
      </c>
      <c r="BO1763" s="4">
        <v>43</v>
      </c>
      <c r="BP1763" s="8">
        <v>3947.4</v>
      </c>
      <c r="BQ1763" s="4"/>
      <c r="BR1763" s="8"/>
      <c r="BS1763" s="7"/>
      <c r="BT1763" s="7"/>
      <c r="BU1763" s="2" t="s">
        <v>109</v>
      </c>
      <c r="BV1763" s="2" t="s">
        <v>110</v>
      </c>
      <c r="BW1763" s="2" t="s">
        <v>5872</v>
      </c>
      <c r="BX1763" s="2" t="s">
        <v>926</v>
      </c>
      <c r="BY1763" s="2" t="s">
        <v>113</v>
      </c>
      <c r="BZ1763" s="2" t="s">
        <v>100</v>
      </c>
    </row>
    <row r="1764">
      <c r="A1764" s="2" t="s">
        <v>5882</v>
      </c>
      <c r="B1764" s="2" t="s">
        <v>5764</v>
      </c>
      <c r="C1764" s="2" t="s">
        <v>5702</v>
      </c>
      <c r="D1764" s="2" t="s">
        <v>5765</v>
      </c>
      <c r="E1764" s="2" t="s">
        <v>5766</v>
      </c>
      <c r="F1764" s="2" t="s">
        <v>5866</v>
      </c>
      <c r="G1764" s="2" t="s">
        <v>5866</v>
      </c>
      <c r="H1764" s="2" t="s">
        <v>5866</v>
      </c>
      <c r="I1764" s="2" t="s">
        <v>5867</v>
      </c>
      <c r="J1764" s="2" t="s">
        <v>1936</v>
      </c>
      <c r="K1764" s="2" t="s">
        <v>913</v>
      </c>
      <c r="L1764" s="3">
        <v>49.12</v>
      </c>
      <c r="M1764" s="3">
        <v>51.58</v>
      </c>
      <c r="N1764" s="3">
        <v>104.99</v>
      </c>
      <c r="O1764" s="2" t="s">
        <v>97</v>
      </c>
      <c r="P1764" s="2" t="s">
        <v>119</v>
      </c>
      <c r="Q1764" s="2" t="s">
        <v>99</v>
      </c>
      <c r="R1764" s="2" t="s">
        <v>100</v>
      </c>
      <c r="S1764" s="2" t="s">
        <v>5883</v>
      </c>
      <c r="T1764" s="2" t="s">
        <v>5869</v>
      </c>
      <c r="U1764" s="2" t="s">
        <v>1847</v>
      </c>
      <c r="V1764" s="2" t="s">
        <v>146</v>
      </c>
      <c r="W1764" s="2" t="s">
        <v>183</v>
      </c>
      <c r="X1764" s="2" t="s">
        <v>219</v>
      </c>
      <c r="Y1764" s="2" t="s">
        <v>240</v>
      </c>
      <c r="Z1764" s="4">
        <v>373</v>
      </c>
      <c r="AA1764" s="4">
        <f>=ROUNDDOWN(20.7222222222222,0)</f>
      </c>
      <c r="AB1764" s="5">
        <v>18</v>
      </c>
      <c r="AC1764" s="2" t="s">
        <v>768</v>
      </c>
      <c r="AD1764" s="4">
        <v>70</v>
      </c>
      <c r="AE1764" s="4">
        <v>70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>
        <v>10</v>
      </c>
      <c r="AQ1764" s="8">
        <v>540</v>
      </c>
      <c r="AR1764" s="4"/>
      <c r="AS1764" s="8"/>
      <c r="AT1764" s="7"/>
      <c r="AU1764" s="7"/>
      <c r="AV1764" s="4">
        <v>29</v>
      </c>
      <c r="AW1764" s="8">
        <v>2057.4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0.2625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>
        <v>0.1554</v>
      </c>
      <c r="BJ1764" s="4">
        <v>46</v>
      </c>
      <c r="BK1764" s="8">
        <v>2368.31</v>
      </c>
      <c r="BL1764" s="2" t="s">
        <v>5884</v>
      </c>
      <c r="BM1764" s="7">
        <v>0.2174</v>
      </c>
      <c r="BN1764" s="7">
        <v>0.228</v>
      </c>
      <c r="BO1764" s="4">
        <v>10</v>
      </c>
      <c r="BP1764" s="8">
        <v>540</v>
      </c>
      <c r="BQ1764" s="4"/>
      <c r="BR1764" s="8"/>
      <c r="BS1764" s="7"/>
      <c r="BT1764" s="7"/>
      <c r="BU1764" s="2" t="s">
        <v>109</v>
      </c>
      <c r="BV1764" s="2" t="s">
        <v>110</v>
      </c>
      <c r="BW1764" s="2" t="s">
        <v>5872</v>
      </c>
      <c r="BX1764" s="2" t="s">
        <v>4571</v>
      </c>
      <c r="BY1764" s="2" t="s">
        <v>113</v>
      </c>
      <c r="BZ1764" s="2" t="s">
        <v>100</v>
      </c>
    </row>
    <row r="1765">
      <c r="A1765" s="2" t="s">
        <v>5885</v>
      </c>
      <c r="B1765" s="2" t="s">
        <v>5764</v>
      </c>
      <c r="C1765" s="2" t="s">
        <v>5702</v>
      </c>
      <c r="D1765" s="2" t="s">
        <v>5765</v>
      </c>
      <c r="E1765" s="2" t="s">
        <v>5766</v>
      </c>
      <c r="F1765" s="2" t="s">
        <v>5866</v>
      </c>
      <c r="G1765" s="2" t="s">
        <v>5866</v>
      </c>
      <c r="H1765" s="2" t="s">
        <v>5866</v>
      </c>
      <c r="I1765" s="2" t="s">
        <v>5867</v>
      </c>
      <c r="J1765" s="2" t="s">
        <v>717</v>
      </c>
      <c r="K1765" s="2" t="s">
        <v>913</v>
      </c>
      <c r="L1765" s="3">
        <v>54.72</v>
      </c>
      <c r="M1765" s="3">
        <v>57.46</v>
      </c>
      <c r="N1765" s="3">
        <v>114.99</v>
      </c>
      <c r="O1765" s="2" t="s">
        <v>97</v>
      </c>
      <c r="P1765" s="2" t="s">
        <v>119</v>
      </c>
      <c r="Q1765" s="2" t="s">
        <v>99</v>
      </c>
      <c r="R1765" s="2" t="s">
        <v>100</v>
      </c>
      <c r="S1765" s="2" t="s">
        <v>5883</v>
      </c>
      <c r="T1765" s="2" t="s">
        <v>5869</v>
      </c>
      <c r="U1765" s="2" t="s">
        <v>1847</v>
      </c>
      <c r="V1765" s="2" t="s">
        <v>146</v>
      </c>
      <c r="W1765" s="2" t="s">
        <v>183</v>
      </c>
      <c r="X1765" s="2" t="s">
        <v>219</v>
      </c>
      <c r="Y1765" s="2" t="s">
        <v>240</v>
      </c>
      <c r="Z1765" s="4">
        <v>332</v>
      </c>
      <c r="AA1765" s="4">
        <f>=ROUNDDOWN(25.5384615384615,0)</f>
      </c>
      <c r="AB1765" s="5">
        <v>13</v>
      </c>
      <c r="AC1765" s="2" t="s">
        <v>205</v>
      </c>
      <c r="AD1765" s="4">
        <v>140</v>
      </c>
      <c r="AE1765" s="4">
        <v>140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>
        <v>3</v>
      </c>
      <c r="AQ1765" s="8">
        <v>178.2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0.0866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55</v>
      </c>
      <c r="BK1765" s="8">
        <v>3080.55</v>
      </c>
      <c r="BL1765" s="2" t="s">
        <v>5886</v>
      </c>
      <c r="BM1765" s="7">
        <v>0.0545</v>
      </c>
      <c r="BN1765" s="7">
        <v>0.0578</v>
      </c>
      <c r="BO1765" s="4">
        <v>3</v>
      </c>
      <c r="BP1765" s="8">
        <v>178.2</v>
      </c>
      <c r="BQ1765" s="4"/>
      <c r="BR1765" s="8"/>
      <c r="BS1765" s="7"/>
      <c r="BT1765" s="7"/>
      <c r="BU1765" s="2" t="s">
        <v>109</v>
      </c>
      <c r="BV1765" s="2" t="s">
        <v>110</v>
      </c>
      <c r="BW1765" s="2" t="s">
        <v>5872</v>
      </c>
      <c r="BX1765" s="2" t="s">
        <v>5887</v>
      </c>
      <c r="BY1765" s="2" t="s">
        <v>113</v>
      </c>
      <c r="BZ1765" s="2" t="s">
        <v>100</v>
      </c>
    </row>
    <row r="1766">
      <c r="A1766" s="2" t="s">
        <v>5888</v>
      </c>
      <c r="B1766" s="2" t="s">
        <v>5764</v>
      </c>
      <c r="C1766" s="2" t="s">
        <v>5702</v>
      </c>
      <c r="D1766" s="2" t="s">
        <v>5765</v>
      </c>
      <c r="E1766" s="2" t="s">
        <v>5766</v>
      </c>
      <c r="F1766" s="2" t="s">
        <v>5866</v>
      </c>
      <c r="G1766" s="2" t="s">
        <v>5866</v>
      </c>
      <c r="H1766" s="2" t="s">
        <v>5866</v>
      </c>
      <c r="I1766" s="2" t="s">
        <v>5867</v>
      </c>
      <c r="J1766" s="2" t="s">
        <v>706</v>
      </c>
      <c r="K1766" s="2" t="s">
        <v>913</v>
      </c>
      <c r="L1766" s="3">
        <v>74.29</v>
      </c>
      <c r="M1766" s="3">
        <v>78</v>
      </c>
      <c r="N1766" s="3">
        <v>154.99</v>
      </c>
      <c r="O1766" s="2" t="s">
        <v>97</v>
      </c>
      <c r="P1766" s="2" t="s">
        <v>119</v>
      </c>
      <c r="Q1766" s="2" t="s">
        <v>99</v>
      </c>
      <c r="R1766" s="2" t="s">
        <v>100</v>
      </c>
      <c r="S1766" s="2" t="s">
        <v>5883</v>
      </c>
      <c r="T1766" s="2" t="s">
        <v>5869</v>
      </c>
      <c r="U1766" s="2" t="s">
        <v>1847</v>
      </c>
      <c r="V1766" s="2" t="s">
        <v>146</v>
      </c>
      <c r="W1766" s="2" t="s">
        <v>183</v>
      </c>
      <c r="X1766" s="2" t="s">
        <v>219</v>
      </c>
      <c r="Y1766" s="2" t="s">
        <v>240</v>
      </c>
      <c r="Z1766" s="4">
        <v>415</v>
      </c>
      <c r="AA1766" s="4">
        <f>=ROUNDDOWN(20.75,0)</f>
      </c>
      <c r="AB1766" s="5">
        <v>20</v>
      </c>
      <c r="AC1766" s="2" t="s">
        <v>100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>
        <v>12</v>
      </c>
      <c r="AQ1766" s="8">
        <v>972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0.4724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70</v>
      </c>
      <c r="BK1766" s="8">
        <v>5456.02</v>
      </c>
      <c r="BL1766" s="2" t="s">
        <v>5889</v>
      </c>
      <c r="BM1766" s="7">
        <v>0.1714</v>
      </c>
      <c r="BN1766" s="7">
        <v>0.1782</v>
      </c>
      <c r="BO1766" s="4">
        <v>12</v>
      </c>
      <c r="BP1766" s="8">
        <v>972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5872</v>
      </c>
      <c r="BX1766" s="2" t="s">
        <v>5890</v>
      </c>
      <c r="BY1766" s="2" t="s">
        <v>113</v>
      </c>
      <c r="BZ1766" s="2" t="s">
        <v>100</v>
      </c>
    </row>
    <row r="1767">
      <c r="A1767" s="2" t="s">
        <v>5891</v>
      </c>
      <c r="B1767" s="2" t="s">
        <v>5764</v>
      </c>
      <c r="C1767" s="2" t="s">
        <v>5702</v>
      </c>
      <c r="D1767" s="2" t="s">
        <v>5765</v>
      </c>
      <c r="E1767" s="2" t="s">
        <v>5766</v>
      </c>
      <c r="F1767" s="2" t="s">
        <v>5866</v>
      </c>
      <c r="G1767" s="2" t="s">
        <v>5866</v>
      </c>
      <c r="H1767" s="2" t="s">
        <v>5866</v>
      </c>
      <c r="I1767" s="2" t="s">
        <v>5867</v>
      </c>
      <c r="J1767" s="2" t="s">
        <v>714</v>
      </c>
      <c r="K1767" s="2" t="s">
        <v>913</v>
      </c>
      <c r="L1767" s="3">
        <v>84.84</v>
      </c>
      <c r="M1767" s="3">
        <v>89.08</v>
      </c>
      <c r="N1767" s="3">
        <v>174.99</v>
      </c>
      <c r="O1767" s="2" t="s">
        <v>97</v>
      </c>
      <c r="P1767" s="2" t="s">
        <v>119</v>
      </c>
      <c r="Q1767" s="2" t="s">
        <v>99</v>
      </c>
      <c r="R1767" s="2" t="s">
        <v>100</v>
      </c>
      <c r="S1767" s="2" t="s">
        <v>5883</v>
      </c>
      <c r="T1767" s="2" t="s">
        <v>5869</v>
      </c>
      <c r="U1767" s="2" t="s">
        <v>1847</v>
      </c>
      <c r="V1767" s="2" t="s">
        <v>146</v>
      </c>
      <c r="W1767" s="2" t="s">
        <v>183</v>
      </c>
      <c r="X1767" s="2" t="s">
        <v>219</v>
      </c>
      <c r="Y1767" s="2" t="s">
        <v>240</v>
      </c>
      <c r="Z1767" s="4">
        <v>428</v>
      </c>
      <c r="AA1767" s="4">
        <f>=ROUNDDOWN(11.2631578947368,0)</f>
      </c>
      <c r="AB1767" s="5">
        <v>38</v>
      </c>
      <c r="AC1767" s="2" t="s">
        <v>205</v>
      </c>
      <c r="AD1767" s="4">
        <v>80</v>
      </c>
      <c r="AE1767" s="4">
        <v>80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>
        <v>4</v>
      </c>
      <c r="AQ1767" s="8">
        <v>367.2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0.1785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147</v>
      </c>
      <c r="BK1767" s="8">
        <v>13735.86</v>
      </c>
      <c r="BL1767" s="2" t="s">
        <v>5892</v>
      </c>
      <c r="BM1767" s="7">
        <v>0.0272</v>
      </c>
      <c r="BN1767" s="7">
        <v>0.0267</v>
      </c>
      <c r="BO1767" s="4">
        <v>4</v>
      </c>
      <c r="BP1767" s="8">
        <v>367.2</v>
      </c>
      <c r="BQ1767" s="4"/>
      <c r="BR1767" s="8"/>
      <c r="BS1767" s="7"/>
      <c r="BT1767" s="7"/>
      <c r="BU1767" s="2" t="s">
        <v>109</v>
      </c>
      <c r="BV1767" s="2" t="s">
        <v>110</v>
      </c>
      <c r="BW1767" s="2" t="s">
        <v>5872</v>
      </c>
      <c r="BX1767" s="2" t="s">
        <v>5893</v>
      </c>
      <c r="BY1767" s="2" t="s">
        <v>113</v>
      </c>
      <c r="BZ1767" s="2" t="s">
        <v>100</v>
      </c>
    </row>
    <row r="1768">
      <c r="A1768" s="2" t="s">
        <v>5894</v>
      </c>
      <c r="B1768" s="2" t="s">
        <v>5764</v>
      </c>
      <c r="C1768" s="2" t="s">
        <v>5702</v>
      </c>
      <c r="D1768" s="2" t="s">
        <v>5765</v>
      </c>
      <c r="E1768" s="2" t="s">
        <v>5766</v>
      </c>
      <c r="F1768" s="2" t="s">
        <v>5866</v>
      </c>
      <c r="G1768" s="2" t="s">
        <v>5866</v>
      </c>
      <c r="H1768" s="2" t="s">
        <v>5866</v>
      </c>
      <c r="I1768" s="2" t="s">
        <v>5867</v>
      </c>
      <c r="J1768" s="2" t="s">
        <v>1936</v>
      </c>
      <c r="K1768" s="2" t="s">
        <v>278</v>
      </c>
      <c r="L1768" s="3">
        <v>49.12</v>
      </c>
      <c r="M1768" s="3">
        <v>51.58</v>
      </c>
      <c r="N1768" s="3">
        <v>104.99</v>
      </c>
      <c r="O1768" s="2" t="s">
        <v>97</v>
      </c>
      <c r="P1768" s="2" t="s">
        <v>119</v>
      </c>
      <c r="Q1768" s="2" t="s">
        <v>99</v>
      </c>
      <c r="R1768" s="2" t="s">
        <v>100</v>
      </c>
      <c r="S1768" s="2" t="s">
        <v>5895</v>
      </c>
      <c r="T1768" s="2" t="s">
        <v>5869</v>
      </c>
      <c r="U1768" s="2" t="s">
        <v>1847</v>
      </c>
      <c r="V1768" s="2" t="s">
        <v>146</v>
      </c>
      <c r="W1768" s="2" t="s">
        <v>183</v>
      </c>
      <c r="X1768" s="2" t="s">
        <v>219</v>
      </c>
      <c r="Y1768" s="2" t="s">
        <v>240</v>
      </c>
      <c r="Z1768" s="4">
        <v>299</v>
      </c>
      <c r="AA1768" s="4">
        <f>=ROUNDDOWN(24.9166666666667,0)</f>
      </c>
      <c r="AB1768" s="5">
        <v>12</v>
      </c>
      <c r="AC1768" s="2" t="s">
        <v>768</v>
      </c>
      <c r="AD1768" s="4">
        <v>20</v>
      </c>
      <c r="AE1768" s="4">
        <v>20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>
        <v>4</v>
      </c>
      <c r="AQ1768" s="8">
        <v>216</v>
      </c>
      <c r="AR1768" s="4"/>
      <c r="AS1768" s="8"/>
      <c r="AT1768" s="7"/>
      <c r="AU1768" s="7"/>
      <c r="AV1768" s="4">
        <v>26</v>
      </c>
      <c r="AW1768" s="8">
        <v>1944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0.1111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>
        <v>0.1469</v>
      </c>
      <c r="BJ1768" s="4">
        <v>85</v>
      </c>
      <c r="BK1768" s="8">
        <v>4608.35</v>
      </c>
      <c r="BL1768" s="2" t="s">
        <v>5404</v>
      </c>
      <c r="BM1768" s="7">
        <v>0.0471</v>
      </c>
      <c r="BN1768" s="7">
        <v>0.0469</v>
      </c>
      <c r="BO1768" s="4">
        <v>4</v>
      </c>
      <c r="BP1768" s="8">
        <v>216</v>
      </c>
      <c r="BQ1768" s="4"/>
      <c r="BR1768" s="8"/>
      <c r="BS1768" s="7"/>
      <c r="BT1768" s="7"/>
      <c r="BU1768" s="2" t="s">
        <v>109</v>
      </c>
      <c r="BV1768" s="2" t="s">
        <v>110</v>
      </c>
      <c r="BW1768" s="2" t="s">
        <v>5872</v>
      </c>
      <c r="BX1768" s="2" t="s">
        <v>5896</v>
      </c>
      <c r="BY1768" s="2" t="s">
        <v>113</v>
      </c>
      <c r="BZ1768" s="2" t="s">
        <v>100</v>
      </c>
    </row>
    <row r="1769">
      <c r="A1769" s="2" t="s">
        <v>5897</v>
      </c>
      <c r="B1769" s="2" t="s">
        <v>5764</v>
      </c>
      <c r="C1769" s="2" t="s">
        <v>5702</v>
      </c>
      <c r="D1769" s="2" t="s">
        <v>5765</v>
      </c>
      <c r="E1769" s="2" t="s">
        <v>5766</v>
      </c>
      <c r="F1769" s="2" t="s">
        <v>5866</v>
      </c>
      <c r="G1769" s="2" t="s">
        <v>5866</v>
      </c>
      <c r="H1769" s="2" t="s">
        <v>5866</v>
      </c>
      <c r="I1769" s="2" t="s">
        <v>5867</v>
      </c>
      <c r="J1769" s="2" t="s">
        <v>717</v>
      </c>
      <c r="K1769" s="2" t="s">
        <v>278</v>
      </c>
      <c r="L1769" s="3">
        <v>54.72</v>
      </c>
      <c r="M1769" s="3">
        <v>57.46</v>
      </c>
      <c r="N1769" s="3">
        <v>114.99</v>
      </c>
      <c r="O1769" s="2" t="s">
        <v>97</v>
      </c>
      <c r="P1769" s="2" t="s">
        <v>119</v>
      </c>
      <c r="Q1769" s="2" t="s">
        <v>99</v>
      </c>
      <c r="R1769" s="2" t="s">
        <v>100</v>
      </c>
      <c r="S1769" s="2" t="s">
        <v>5895</v>
      </c>
      <c r="T1769" s="2" t="s">
        <v>5869</v>
      </c>
      <c r="U1769" s="2" t="s">
        <v>1847</v>
      </c>
      <c r="V1769" s="2" t="s">
        <v>146</v>
      </c>
      <c r="W1769" s="2" t="s">
        <v>183</v>
      </c>
      <c r="X1769" s="2" t="s">
        <v>219</v>
      </c>
      <c r="Y1769" s="2" t="s">
        <v>240</v>
      </c>
      <c r="Z1769" s="4">
        <v>309</v>
      </c>
      <c r="AA1769" s="4">
        <f>=ROUNDDOWN(19.4339622641509,0)</f>
      </c>
      <c r="AB1769" s="5">
        <v>15.9</v>
      </c>
      <c r="AC1769" s="2" t="s">
        <v>100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>
        <v>8</v>
      </c>
      <c r="AQ1769" s="8">
        <v>475.2</v>
      </c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0.2444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80</v>
      </c>
      <c r="BK1769" s="8">
        <v>4688.82</v>
      </c>
      <c r="BL1769" s="2" t="s">
        <v>5898</v>
      </c>
      <c r="BM1769" s="7">
        <v>0.1</v>
      </c>
      <c r="BN1769" s="7">
        <v>0.1013</v>
      </c>
      <c r="BO1769" s="4">
        <v>8</v>
      </c>
      <c r="BP1769" s="8">
        <v>475.2</v>
      </c>
      <c r="BQ1769" s="4"/>
      <c r="BR1769" s="8"/>
      <c r="BS1769" s="7"/>
      <c r="BT1769" s="7"/>
      <c r="BU1769" s="2" t="s">
        <v>109</v>
      </c>
      <c r="BV1769" s="2" t="s">
        <v>110</v>
      </c>
      <c r="BW1769" s="2" t="s">
        <v>5872</v>
      </c>
      <c r="BX1769" s="2" t="s">
        <v>5899</v>
      </c>
      <c r="BY1769" s="2" t="s">
        <v>113</v>
      </c>
      <c r="BZ1769" s="2" t="s">
        <v>100</v>
      </c>
    </row>
    <row r="1770">
      <c r="A1770" s="2" t="s">
        <v>5900</v>
      </c>
      <c r="B1770" s="2" t="s">
        <v>5764</v>
      </c>
      <c r="C1770" s="2" t="s">
        <v>5702</v>
      </c>
      <c r="D1770" s="2" t="s">
        <v>5765</v>
      </c>
      <c r="E1770" s="2" t="s">
        <v>5766</v>
      </c>
      <c r="F1770" s="2" t="s">
        <v>5866</v>
      </c>
      <c r="G1770" s="2" t="s">
        <v>5866</v>
      </c>
      <c r="H1770" s="2" t="s">
        <v>5866</v>
      </c>
      <c r="I1770" s="2" t="s">
        <v>5867</v>
      </c>
      <c r="J1770" s="2" t="s">
        <v>706</v>
      </c>
      <c r="K1770" s="2" t="s">
        <v>278</v>
      </c>
      <c r="L1770" s="3">
        <v>74.29</v>
      </c>
      <c r="M1770" s="3">
        <v>78</v>
      </c>
      <c r="N1770" s="3">
        <v>154.99</v>
      </c>
      <c r="O1770" s="2" t="s">
        <v>97</v>
      </c>
      <c r="P1770" s="2" t="s">
        <v>119</v>
      </c>
      <c r="Q1770" s="2" t="s">
        <v>99</v>
      </c>
      <c r="R1770" s="2" t="s">
        <v>100</v>
      </c>
      <c r="S1770" s="2" t="s">
        <v>5895</v>
      </c>
      <c r="T1770" s="2" t="s">
        <v>5869</v>
      </c>
      <c r="U1770" s="2" t="s">
        <v>1847</v>
      </c>
      <c r="V1770" s="2" t="s">
        <v>146</v>
      </c>
      <c r="W1770" s="2" t="s">
        <v>183</v>
      </c>
      <c r="X1770" s="2" t="s">
        <v>219</v>
      </c>
      <c r="Y1770" s="2" t="s">
        <v>240</v>
      </c>
      <c r="Z1770" s="4">
        <v>403</v>
      </c>
      <c r="AA1770" s="4">
        <f>=ROUNDDOWN(21.2105263157895,0)</f>
      </c>
      <c r="AB1770" s="5">
        <v>19</v>
      </c>
      <c r="AC1770" s="2" t="s">
        <v>100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>
        <v>3</v>
      </c>
      <c r="AQ1770" s="8">
        <v>243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0.125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105</v>
      </c>
      <c r="BK1770" s="8">
        <v>8490.97</v>
      </c>
      <c r="BL1770" s="2" t="s">
        <v>5901</v>
      </c>
      <c r="BM1770" s="7">
        <v>0.0286</v>
      </c>
      <c r="BN1770" s="7">
        <v>0.0286</v>
      </c>
      <c r="BO1770" s="4">
        <v>3</v>
      </c>
      <c r="BP1770" s="8">
        <v>243</v>
      </c>
      <c r="BQ1770" s="4"/>
      <c r="BR1770" s="8"/>
      <c r="BS1770" s="7"/>
      <c r="BT1770" s="7"/>
      <c r="BU1770" s="2" t="s">
        <v>109</v>
      </c>
      <c r="BV1770" s="2" t="s">
        <v>110</v>
      </c>
      <c r="BW1770" s="2" t="s">
        <v>5872</v>
      </c>
      <c r="BX1770" s="2" t="s">
        <v>5902</v>
      </c>
      <c r="BY1770" s="2" t="s">
        <v>113</v>
      </c>
      <c r="BZ1770" s="2" t="s">
        <v>100</v>
      </c>
    </row>
    <row r="1771">
      <c r="A1771" s="2" t="s">
        <v>5903</v>
      </c>
      <c r="B1771" s="2" t="s">
        <v>5764</v>
      </c>
      <c r="C1771" s="2" t="s">
        <v>5702</v>
      </c>
      <c r="D1771" s="2" t="s">
        <v>5765</v>
      </c>
      <c r="E1771" s="2" t="s">
        <v>5766</v>
      </c>
      <c r="F1771" s="2" t="s">
        <v>5866</v>
      </c>
      <c r="G1771" s="2" t="s">
        <v>5866</v>
      </c>
      <c r="H1771" s="2" t="s">
        <v>5866</v>
      </c>
      <c r="I1771" s="2" t="s">
        <v>5867</v>
      </c>
      <c r="J1771" s="2" t="s">
        <v>714</v>
      </c>
      <c r="K1771" s="2" t="s">
        <v>278</v>
      </c>
      <c r="L1771" s="3">
        <v>84.84</v>
      </c>
      <c r="M1771" s="3">
        <v>89.08</v>
      </c>
      <c r="N1771" s="3">
        <v>174.99</v>
      </c>
      <c r="O1771" s="2" t="s">
        <v>97</v>
      </c>
      <c r="P1771" s="2" t="s">
        <v>119</v>
      </c>
      <c r="Q1771" s="2" t="s">
        <v>99</v>
      </c>
      <c r="R1771" s="2" t="s">
        <v>100</v>
      </c>
      <c r="S1771" s="2" t="s">
        <v>5895</v>
      </c>
      <c r="T1771" s="2" t="s">
        <v>5869</v>
      </c>
      <c r="U1771" s="2" t="s">
        <v>1847</v>
      </c>
      <c r="V1771" s="2" t="s">
        <v>146</v>
      </c>
      <c r="W1771" s="2" t="s">
        <v>183</v>
      </c>
      <c r="X1771" s="2" t="s">
        <v>219</v>
      </c>
      <c r="Y1771" s="2" t="s">
        <v>5870</v>
      </c>
      <c r="Z1771" s="4">
        <v>342</v>
      </c>
      <c r="AA1771" s="4">
        <f>=ROUNDDOWN(17.1,0)</f>
      </c>
      <c r="AB1771" s="5">
        <v>20</v>
      </c>
      <c r="AC1771" s="2" t="s">
        <v>205</v>
      </c>
      <c r="AD1771" s="4">
        <v>130</v>
      </c>
      <c r="AE1771" s="4">
        <v>130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>
        <v>11</v>
      </c>
      <c r="AQ1771" s="8">
        <v>1009.8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0.5194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54</v>
      </c>
      <c r="BK1771" s="8">
        <v>4991.35</v>
      </c>
      <c r="BL1771" s="2" t="s">
        <v>5904</v>
      </c>
      <c r="BM1771" s="7">
        <v>0.2037</v>
      </c>
      <c r="BN1771" s="7">
        <v>0.2023</v>
      </c>
      <c r="BO1771" s="4">
        <v>11</v>
      </c>
      <c r="BP1771" s="8">
        <v>1009.8</v>
      </c>
      <c r="BQ1771" s="4"/>
      <c r="BR1771" s="8"/>
      <c r="BS1771" s="7"/>
      <c r="BT1771" s="7"/>
      <c r="BU1771" s="2" t="s">
        <v>109</v>
      </c>
      <c r="BV1771" s="2" t="s">
        <v>110</v>
      </c>
      <c r="BW1771" s="2" t="s">
        <v>5872</v>
      </c>
      <c r="BX1771" s="2" t="s">
        <v>5905</v>
      </c>
      <c r="BY1771" s="2" t="s">
        <v>113</v>
      </c>
      <c r="BZ1771" s="2" t="s">
        <v>100</v>
      </c>
    </row>
    <row r="1772">
      <c r="A1772" s="2" t="s">
        <v>5906</v>
      </c>
      <c r="B1772" s="2" t="s">
        <v>5764</v>
      </c>
      <c r="C1772" s="2" t="s">
        <v>5702</v>
      </c>
      <c r="D1772" s="2" t="s">
        <v>5765</v>
      </c>
      <c r="E1772" s="2" t="s">
        <v>5766</v>
      </c>
      <c r="F1772" s="2" t="s">
        <v>5866</v>
      </c>
      <c r="G1772" s="2" t="s">
        <v>5866</v>
      </c>
      <c r="H1772" s="2" t="s">
        <v>5866</v>
      </c>
      <c r="I1772" s="2" t="s">
        <v>5867</v>
      </c>
      <c r="J1772" s="2" t="s">
        <v>1936</v>
      </c>
      <c r="K1772" s="2" t="s">
        <v>1614</v>
      </c>
      <c r="L1772" s="3">
        <v>49.12</v>
      </c>
      <c r="M1772" s="3">
        <v>51.58</v>
      </c>
      <c r="N1772" s="3">
        <v>104.99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5907</v>
      </c>
      <c r="T1772" s="2" t="s">
        <v>5869</v>
      </c>
      <c r="U1772" s="2" t="s">
        <v>1847</v>
      </c>
      <c r="V1772" s="2" t="s">
        <v>146</v>
      </c>
      <c r="W1772" s="2" t="s">
        <v>183</v>
      </c>
      <c r="X1772" s="2" t="s">
        <v>219</v>
      </c>
      <c r="Y1772" s="2" t="s">
        <v>240</v>
      </c>
      <c r="Z1772" s="4">
        <v>435</v>
      </c>
      <c r="AA1772" s="4">
        <f>=ROUNDDOWN(12.0833333333333,0)</f>
      </c>
      <c r="AB1772" s="5">
        <v>36</v>
      </c>
      <c r="AC1772" s="2" t="s">
        <v>205</v>
      </c>
      <c r="AD1772" s="4">
        <v>190</v>
      </c>
      <c r="AE1772" s="4">
        <v>190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>
        <v>12</v>
      </c>
      <c r="AQ1772" s="8">
        <v>648</v>
      </c>
      <c r="AR1772" s="4"/>
      <c r="AS1772" s="8"/>
      <c r="AT1772" s="7"/>
      <c r="AU1772" s="7"/>
      <c r="AV1772" s="4">
        <v>16</v>
      </c>
      <c r="AW1772" s="8">
        <v>993.6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0.6522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>
        <v>0.0751</v>
      </c>
      <c r="BJ1772" s="4">
        <v>129</v>
      </c>
      <c r="BK1772" s="8">
        <v>6986.3</v>
      </c>
      <c r="BL1772" s="2" t="s">
        <v>5908</v>
      </c>
      <c r="BM1772" s="7">
        <v>0.093</v>
      </c>
      <c r="BN1772" s="7">
        <v>0.0928</v>
      </c>
      <c r="BO1772" s="4">
        <v>12</v>
      </c>
      <c r="BP1772" s="8">
        <v>648</v>
      </c>
      <c r="BQ1772" s="4"/>
      <c r="BR1772" s="8"/>
      <c r="BS1772" s="7"/>
      <c r="BT1772" s="7"/>
      <c r="BU1772" s="2" t="s">
        <v>109</v>
      </c>
      <c r="BV1772" s="2" t="s">
        <v>110</v>
      </c>
      <c r="BW1772" s="2" t="s">
        <v>5872</v>
      </c>
      <c r="BX1772" s="2" t="s">
        <v>5909</v>
      </c>
      <c r="BY1772" s="2" t="s">
        <v>113</v>
      </c>
      <c r="BZ1772" s="2" t="s">
        <v>100</v>
      </c>
    </row>
    <row r="1773">
      <c r="A1773" s="2" t="s">
        <v>5910</v>
      </c>
      <c r="B1773" s="2" t="s">
        <v>5764</v>
      </c>
      <c r="C1773" s="2" t="s">
        <v>5702</v>
      </c>
      <c r="D1773" s="2" t="s">
        <v>5765</v>
      </c>
      <c r="E1773" s="2" t="s">
        <v>5766</v>
      </c>
      <c r="F1773" s="2" t="s">
        <v>5866</v>
      </c>
      <c r="G1773" s="2" t="s">
        <v>5866</v>
      </c>
      <c r="H1773" s="2" t="s">
        <v>5866</v>
      </c>
      <c r="I1773" s="2" t="s">
        <v>5867</v>
      </c>
      <c r="J1773" s="2" t="s">
        <v>706</v>
      </c>
      <c r="K1773" s="2" t="s">
        <v>1614</v>
      </c>
      <c r="L1773" s="3">
        <v>74.29</v>
      </c>
      <c r="M1773" s="3">
        <v>78</v>
      </c>
      <c r="N1773" s="3">
        <v>154.99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5907</v>
      </c>
      <c r="T1773" s="2" t="s">
        <v>5869</v>
      </c>
      <c r="U1773" s="2" t="s">
        <v>1847</v>
      </c>
      <c r="V1773" s="2" t="s">
        <v>146</v>
      </c>
      <c r="W1773" s="2" t="s">
        <v>183</v>
      </c>
      <c r="X1773" s="2" t="s">
        <v>219</v>
      </c>
      <c r="Y1773" s="2" t="s">
        <v>240</v>
      </c>
      <c r="Z1773" s="4">
        <v>836</v>
      </c>
      <c r="AA1773" s="4">
        <f>=ROUNDDOWN(15.2,0)</f>
      </c>
      <c r="AB1773" s="5">
        <v>55</v>
      </c>
      <c r="AC1773" s="2" t="s">
        <v>205</v>
      </c>
      <c r="AD1773" s="4">
        <v>200</v>
      </c>
      <c r="AE1773" s="4">
        <v>340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>
        <v>2</v>
      </c>
      <c r="AQ1773" s="8">
        <v>162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0.163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197</v>
      </c>
      <c r="BK1773" s="8">
        <v>16083.97</v>
      </c>
      <c r="BL1773" s="2" t="s">
        <v>5911</v>
      </c>
      <c r="BM1773" s="7">
        <v>0.0102</v>
      </c>
      <c r="BN1773" s="7">
        <v>0.0101</v>
      </c>
      <c r="BO1773" s="4">
        <v>2</v>
      </c>
      <c r="BP1773" s="8">
        <v>162</v>
      </c>
      <c r="BQ1773" s="4"/>
      <c r="BR1773" s="8"/>
      <c r="BS1773" s="7"/>
      <c r="BT1773" s="7"/>
      <c r="BU1773" s="2" t="s">
        <v>109</v>
      </c>
      <c r="BV1773" s="2" t="s">
        <v>110</v>
      </c>
      <c r="BW1773" s="2" t="s">
        <v>5872</v>
      </c>
      <c r="BX1773" s="2" t="s">
        <v>5912</v>
      </c>
      <c r="BY1773" s="2" t="s">
        <v>113</v>
      </c>
      <c r="BZ1773" s="2" t="s">
        <v>100</v>
      </c>
    </row>
    <row r="1774">
      <c r="A1774" s="2" t="s">
        <v>5913</v>
      </c>
      <c r="B1774" s="2" t="s">
        <v>5764</v>
      </c>
      <c r="C1774" s="2" t="s">
        <v>5702</v>
      </c>
      <c r="D1774" s="2" t="s">
        <v>5765</v>
      </c>
      <c r="E1774" s="2" t="s">
        <v>5766</v>
      </c>
      <c r="F1774" s="2" t="s">
        <v>5866</v>
      </c>
      <c r="G1774" s="2" t="s">
        <v>5866</v>
      </c>
      <c r="H1774" s="2" t="s">
        <v>5866</v>
      </c>
      <c r="I1774" s="2" t="s">
        <v>5867</v>
      </c>
      <c r="J1774" s="2" t="s">
        <v>714</v>
      </c>
      <c r="K1774" s="2" t="s">
        <v>1614</v>
      </c>
      <c r="L1774" s="3">
        <v>84.84</v>
      </c>
      <c r="M1774" s="3">
        <v>89.08</v>
      </c>
      <c r="N1774" s="3">
        <v>174.99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5907</v>
      </c>
      <c r="T1774" s="2" t="s">
        <v>5869</v>
      </c>
      <c r="U1774" s="2" t="s">
        <v>1847</v>
      </c>
      <c r="V1774" s="2" t="s">
        <v>146</v>
      </c>
      <c r="W1774" s="2" t="s">
        <v>183</v>
      </c>
      <c r="X1774" s="2" t="s">
        <v>219</v>
      </c>
      <c r="Y1774" s="2" t="s">
        <v>576</v>
      </c>
      <c r="Z1774" s="4">
        <v>865</v>
      </c>
      <c r="AA1774" s="4">
        <f>=ROUNDDOWN(16.6346153846154,0)</f>
      </c>
      <c r="AB1774" s="5">
        <v>52</v>
      </c>
      <c r="AC1774" s="2" t="s">
        <v>205</v>
      </c>
      <c r="AD1774" s="4">
        <v>200</v>
      </c>
      <c r="AE1774" s="4">
        <v>340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>
        <v>2</v>
      </c>
      <c r="AQ1774" s="8">
        <v>183.6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0.1848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166</v>
      </c>
      <c r="BK1774" s="8">
        <v>15220.75</v>
      </c>
      <c r="BL1774" s="2" t="s">
        <v>5914</v>
      </c>
      <c r="BM1774" s="7">
        <v>0.012</v>
      </c>
      <c r="BN1774" s="7">
        <v>0.0121</v>
      </c>
      <c r="BO1774" s="4">
        <v>2</v>
      </c>
      <c r="BP1774" s="8">
        <v>183.6</v>
      </c>
      <c r="BQ1774" s="4"/>
      <c r="BR1774" s="8"/>
      <c r="BS1774" s="7"/>
      <c r="BT1774" s="7"/>
      <c r="BU1774" s="2" t="s">
        <v>109</v>
      </c>
      <c r="BV1774" s="2" t="s">
        <v>110</v>
      </c>
      <c r="BW1774" s="2" t="s">
        <v>5872</v>
      </c>
      <c r="BX1774" s="2" t="s">
        <v>5915</v>
      </c>
      <c r="BY1774" s="2" t="s">
        <v>113</v>
      </c>
      <c r="BZ1774" s="2" t="s">
        <v>100</v>
      </c>
    </row>
    <row r="1775">
      <c r="A1775" s="2" t="s">
        <v>5916</v>
      </c>
      <c r="B1775" s="2" t="s">
        <v>5764</v>
      </c>
      <c r="C1775" s="2" t="s">
        <v>5702</v>
      </c>
      <c r="D1775" s="2" t="s">
        <v>5765</v>
      </c>
      <c r="E1775" s="2" t="s">
        <v>5766</v>
      </c>
      <c r="F1775" s="2" t="s">
        <v>5866</v>
      </c>
      <c r="G1775" s="2" t="s">
        <v>5866</v>
      </c>
      <c r="H1775" s="2" t="s">
        <v>5866</v>
      </c>
      <c r="I1775" s="2" t="s">
        <v>5867</v>
      </c>
      <c r="J1775" s="2" t="s">
        <v>1936</v>
      </c>
      <c r="K1775" s="2" t="s">
        <v>198</v>
      </c>
      <c r="L1775" s="3">
        <v>49.12</v>
      </c>
      <c r="M1775" s="3">
        <v>51.58</v>
      </c>
      <c r="N1775" s="3">
        <v>104.99</v>
      </c>
      <c r="O1775" s="2" t="s">
        <v>97</v>
      </c>
      <c r="P1775" s="2" t="s">
        <v>950</v>
      </c>
      <c r="Q1775" s="2" t="s">
        <v>99</v>
      </c>
      <c r="R1775" s="2" t="s">
        <v>100</v>
      </c>
      <c r="S1775" s="2" t="s">
        <v>5917</v>
      </c>
      <c r="T1775" s="2" t="s">
        <v>5869</v>
      </c>
      <c r="U1775" s="2" t="s">
        <v>1847</v>
      </c>
      <c r="V1775" s="2" t="s">
        <v>146</v>
      </c>
      <c r="W1775" s="2" t="s">
        <v>183</v>
      </c>
      <c r="X1775" s="2" t="s">
        <v>219</v>
      </c>
      <c r="Y1775" s="2" t="s">
        <v>5918</v>
      </c>
      <c r="Z1775" s="4">
        <v>535</v>
      </c>
      <c r="AA1775" s="4">
        <f>=ROUNDDOWN(17.258064516129,0)</f>
      </c>
      <c r="AB1775" s="5">
        <v>31</v>
      </c>
      <c r="AC1775" s="2" t="s">
        <v>282</v>
      </c>
      <c r="AD1775" s="4">
        <v>220</v>
      </c>
      <c r="AE1775" s="4">
        <v>220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>
        <v>10</v>
      </c>
      <c r="AW1775" s="8">
        <v>723.6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0.0547</v>
      </c>
      <c r="BJ1775" s="4">
        <v>111</v>
      </c>
      <c r="BK1775" s="8">
        <v>5721.8</v>
      </c>
      <c r="BL1775" s="2" t="s">
        <v>5919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4840</v>
      </c>
      <c r="BX1775" s="2" t="s">
        <v>173</v>
      </c>
      <c r="BY1775" s="2" t="s">
        <v>113</v>
      </c>
      <c r="BZ1775" s="2" t="s">
        <v>100</v>
      </c>
    </row>
    <row r="1776">
      <c r="A1776" s="2" t="s">
        <v>5920</v>
      </c>
      <c r="B1776" s="2" t="s">
        <v>5764</v>
      </c>
      <c r="C1776" s="2" t="s">
        <v>5702</v>
      </c>
      <c r="D1776" s="2" t="s">
        <v>5765</v>
      </c>
      <c r="E1776" s="2" t="s">
        <v>5766</v>
      </c>
      <c r="F1776" s="2" t="s">
        <v>5866</v>
      </c>
      <c r="G1776" s="2" t="s">
        <v>5866</v>
      </c>
      <c r="H1776" s="2" t="s">
        <v>5866</v>
      </c>
      <c r="I1776" s="2" t="s">
        <v>5867</v>
      </c>
      <c r="J1776" s="2" t="s">
        <v>717</v>
      </c>
      <c r="K1776" s="2" t="s">
        <v>198</v>
      </c>
      <c r="L1776" s="3">
        <v>54.72</v>
      </c>
      <c r="M1776" s="3">
        <v>57.46</v>
      </c>
      <c r="N1776" s="3">
        <v>114.99</v>
      </c>
      <c r="O1776" s="2" t="s">
        <v>97</v>
      </c>
      <c r="P1776" s="2" t="s">
        <v>950</v>
      </c>
      <c r="Q1776" s="2" t="s">
        <v>99</v>
      </c>
      <c r="R1776" s="2" t="s">
        <v>100</v>
      </c>
      <c r="S1776" s="2" t="s">
        <v>5917</v>
      </c>
      <c r="T1776" s="2" t="s">
        <v>5869</v>
      </c>
      <c r="U1776" s="2" t="s">
        <v>1847</v>
      </c>
      <c r="V1776" s="2" t="s">
        <v>146</v>
      </c>
      <c r="W1776" s="2" t="s">
        <v>183</v>
      </c>
      <c r="X1776" s="2" t="s">
        <v>219</v>
      </c>
      <c r="Y1776" s="2" t="s">
        <v>5870</v>
      </c>
      <c r="Z1776" s="4">
        <v>581</v>
      </c>
      <c r="AA1776" s="4">
        <f>=ROUNDDOWN(20.0344827586207,0)</f>
      </c>
      <c r="AB1776" s="5">
        <v>29</v>
      </c>
      <c r="AC1776" s="2" t="s">
        <v>282</v>
      </c>
      <c r="AD1776" s="4">
        <v>150</v>
      </c>
      <c r="AE1776" s="4">
        <v>230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>
        <v>6</v>
      </c>
      <c r="AQ1776" s="8">
        <v>356.4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0.4925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94</v>
      </c>
      <c r="BK1776" s="8">
        <v>5446.31</v>
      </c>
      <c r="BL1776" s="2" t="s">
        <v>5921</v>
      </c>
      <c r="BM1776" s="7">
        <v>0.0638</v>
      </c>
      <c r="BN1776" s="7">
        <v>0.0654</v>
      </c>
      <c r="BO1776" s="4">
        <v>6</v>
      </c>
      <c r="BP1776" s="8">
        <v>356.4</v>
      </c>
      <c r="BQ1776" s="4"/>
      <c r="BR1776" s="8"/>
      <c r="BS1776" s="7"/>
      <c r="BT1776" s="7"/>
      <c r="BU1776" s="2" t="s">
        <v>109</v>
      </c>
      <c r="BV1776" s="2" t="s">
        <v>110</v>
      </c>
      <c r="BW1776" s="2" t="s">
        <v>4840</v>
      </c>
      <c r="BX1776" s="2" t="s">
        <v>1526</v>
      </c>
      <c r="BY1776" s="2" t="s">
        <v>113</v>
      </c>
      <c r="BZ1776" s="2" t="s">
        <v>100</v>
      </c>
    </row>
    <row r="1777">
      <c r="A1777" s="2" t="s">
        <v>5922</v>
      </c>
      <c r="B1777" s="2" t="s">
        <v>5764</v>
      </c>
      <c r="C1777" s="2" t="s">
        <v>5702</v>
      </c>
      <c r="D1777" s="2" t="s">
        <v>5765</v>
      </c>
      <c r="E1777" s="2" t="s">
        <v>5766</v>
      </c>
      <c r="F1777" s="2" t="s">
        <v>5866</v>
      </c>
      <c r="G1777" s="2" t="s">
        <v>5866</v>
      </c>
      <c r="H1777" s="2" t="s">
        <v>5866</v>
      </c>
      <c r="I1777" s="2" t="s">
        <v>5867</v>
      </c>
      <c r="J1777" s="2" t="s">
        <v>714</v>
      </c>
      <c r="K1777" s="2" t="s">
        <v>198</v>
      </c>
      <c r="L1777" s="3">
        <v>84.84</v>
      </c>
      <c r="M1777" s="3">
        <v>89.08</v>
      </c>
      <c r="N1777" s="3">
        <v>174.99</v>
      </c>
      <c r="O1777" s="2" t="s">
        <v>97</v>
      </c>
      <c r="P1777" s="2" t="s">
        <v>950</v>
      </c>
      <c r="Q1777" s="2" t="s">
        <v>99</v>
      </c>
      <c r="R1777" s="2" t="s">
        <v>100</v>
      </c>
      <c r="S1777" s="2" t="s">
        <v>5917</v>
      </c>
      <c r="T1777" s="2" t="s">
        <v>5869</v>
      </c>
      <c r="U1777" s="2" t="s">
        <v>1847</v>
      </c>
      <c r="V1777" s="2" t="s">
        <v>146</v>
      </c>
      <c r="W1777" s="2" t="s">
        <v>183</v>
      </c>
      <c r="X1777" s="2" t="s">
        <v>219</v>
      </c>
      <c r="Y1777" s="2" t="s">
        <v>5870</v>
      </c>
      <c r="Z1777" s="4">
        <v>866</v>
      </c>
      <c r="AA1777" s="4">
        <f>=ROUNDDOWN(16.9803921568627,0)</f>
      </c>
      <c r="AB1777" s="5">
        <v>51</v>
      </c>
      <c r="AC1777" s="2" t="s">
        <v>282</v>
      </c>
      <c r="AD1777" s="4">
        <v>180</v>
      </c>
      <c r="AE1777" s="4">
        <v>330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>
        <v>4</v>
      </c>
      <c r="AQ1777" s="8">
        <v>367.2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0.5075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139</v>
      </c>
      <c r="BK1777" s="8">
        <v>12643.15</v>
      </c>
      <c r="BL1777" s="2" t="s">
        <v>5923</v>
      </c>
      <c r="BM1777" s="7">
        <v>0.0288</v>
      </c>
      <c r="BN1777" s="7">
        <v>0.029</v>
      </c>
      <c r="BO1777" s="4">
        <v>4</v>
      </c>
      <c r="BP1777" s="8">
        <v>367.2</v>
      </c>
      <c r="BQ1777" s="4"/>
      <c r="BR1777" s="8"/>
      <c r="BS1777" s="7"/>
      <c r="BT1777" s="7"/>
      <c r="BU1777" s="2" t="s">
        <v>109</v>
      </c>
      <c r="BV1777" s="2" t="s">
        <v>110</v>
      </c>
      <c r="BW1777" s="2" t="s">
        <v>4840</v>
      </c>
      <c r="BX1777" s="2" t="s">
        <v>1003</v>
      </c>
      <c r="BY1777" s="2" t="s">
        <v>113</v>
      </c>
      <c r="BZ1777" s="2" t="s">
        <v>100</v>
      </c>
    </row>
    <row r="1778">
      <c r="A1778" s="2" t="s">
        <v>5924</v>
      </c>
      <c r="B1778" s="2" t="s">
        <v>5764</v>
      </c>
      <c r="C1778" s="2" t="s">
        <v>5702</v>
      </c>
      <c r="D1778" s="2" t="s">
        <v>5765</v>
      </c>
      <c r="E1778" s="2" t="s">
        <v>5766</v>
      </c>
      <c r="F1778" s="2" t="s">
        <v>5866</v>
      </c>
      <c r="G1778" s="2" t="s">
        <v>5866</v>
      </c>
      <c r="H1778" s="2" t="s">
        <v>5866</v>
      </c>
      <c r="I1778" s="2" t="s">
        <v>5867</v>
      </c>
      <c r="J1778" s="2" t="s">
        <v>1936</v>
      </c>
      <c r="K1778" s="2" t="s">
        <v>3269</v>
      </c>
      <c r="L1778" s="3">
        <v>49.12</v>
      </c>
      <c r="M1778" s="3">
        <v>51.58</v>
      </c>
      <c r="N1778" s="3">
        <v>104.99</v>
      </c>
      <c r="O1778" s="2" t="s">
        <v>97</v>
      </c>
      <c r="P1778" s="2" t="s">
        <v>950</v>
      </c>
      <c r="Q1778" s="2" t="s">
        <v>99</v>
      </c>
      <c r="R1778" s="2" t="s">
        <v>100</v>
      </c>
      <c r="S1778" s="2" t="s">
        <v>5925</v>
      </c>
      <c r="T1778" s="2" t="s">
        <v>5869</v>
      </c>
      <c r="U1778" s="2" t="s">
        <v>1847</v>
      </c>
      <c r="V1778" s="2" t="s">
        <v>146</v>
      </c>
      <c r="W1778" s="2" t="s">
        <v>183</v>
      </c>
      <c r="X1778" s="2" t="s">
        <v>219</v>
      </c>
      <c r="Y1778" s="2" t="s">
        <v>240</v>
      </c>
      <c r="Z1778" s="4">
        <v>395</v>
      </c>
      <c r="AA1778" s="4">
        <f>=ROUNDDOWN(17.1739130434783,0)</f>
      </c>
      <c r="AB1778" s="5">
        <v>23</v>
      </c>
      <c r="AC1778" s="2" t="s">
        <v>100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>
        <v>2</v>
      </c>
      <c r="AQ1778" s="8">
        <v>108</v>
      </c>
      <c r="AR1778" s="4"/>
      <c r="AS1778" s="8"/>
      <c r="AT1778" s="7"/>
      <c r="AU1778" s="7"/>
      <c r="AV1778" s="4">
        <v>8</v>
      </c>
      <c r="AW1778" s="8">
        <v>561.6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0.1923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0.0424</v>
      </c>
      <c r="BJ1778" s="4">
        <v>103</v>
      </c>
      <c r="BK1778" s="8">
        <v>5482.19</v>
      </c>
      <c r="BL1778" s="2" t="s">
        <v>5926</v>
      </c>
      <c r="BM1778" s="7">
        <v>0.0194</v>
      </c>
      <c r="BN1778" s="7">
        <v>0.0197</v>
      </c>
      <c r="BO1778" s="4">
        <v>2</v>
      </c>
      <c r="BP1778" s="8">
        <v>108</v>
      </c>
      <c r="BQ1778" s="4"/>
      <c r="BR1778" s="8"/>
      <c r="BS1778" s="7"/>
      <c r="BT1778" s="7"/>
      <c r="BU1778" s="2" t="s">
        <v>109</v>
      </c>
      <c r="BV1778" s="2" t="s">
        <v>110</v>
      </c>
      <c r="BW1778" s="2" t="s">
        <v>5872</v>
      </c>
      <c r="BX1778" s="2" t="s">
        <v>5927</v>
      </c>
      <c r="BY1778" s="2" t="s">
        <v>113</v>
      </c>
      <c r="BZ1778" s="2" t="s">
        <v>100</v>
      </c>
    </row>
    <row r="1779">
      <c r="A1779" s="2" t="s">
        <v>5928</v>
      </c>
      <c r="B1779" s="2" t="s">
        <v>5764</v>
      </c>
      <c r="C1779" s="2" t="s">
        <v>5702</v>
      </c>
      <c r="D1779" s="2" t="s">
        <v>5765</v>
      </c>
      <c r="E1779" s="2" t="s">
        <v>5766</v>
      </c>
      <c r="F1779" s="2" t="s">
        <v>5866</v>
      </c>
      <c r="G1779" s="2" t="s">
        <v>5866</v>
      </c>
      <c r="H1779" s="2" t="s">
        <v>5866</v>
      </c>
      <c r="I1779" s="2" t="s">
        <v>5867</v>
      </c>
      <c r="J1779" s="2" t="s">
        <v>717</v>
      </c>
      <c r="K1779" s="2" t="s">
        <v>3269</v>
      </c>
      <c r="L1779" s="3">
        <v>54.72</v>
      </c>
      <c r="M1779" s="3">
        <v>57.46</v>
      </c>
      <c r="N1779" s="3">
        <v>114.99</v>
      </c>
      <c r="O1779" s="2" t="s">
        <v>97</v>
      </c>
      <c r="P1779" s="2" t="s">
        <v>950</v>
      </c>
      <c r="Q1779" s="2" t="s">
        <v>99</v>
      </c>
      <c r="R1779" s="2" t="s">
        <v>100</v>
      </c>
      <c r="S1779" s="2" t="s">
        <v>5925</v>
      </c>
      <c r="T1779" s="2" t="s">
        <v>5869</v>
      </c>
      <c r="U1779" s="2" t="s">
        <v>1847</v>
      </c>
      <c r="V1779" s="2" t="s">
        <v>146</v>
      </c>
      <c r="W1779" s="2" t="s">
        <v>183</v>
      </c>
      <c r="X1779" s="2" t="s">
        <v>219</v>
      </c>
      <c r="Y1779" s="2" t="s">
        <v>240</v>
      </c>
      <c r="Z1779" s="4">
        <v>537</v>
      </c>
      <c r="AA1779" s="4">
        <f>=ROUNDDOWN(24.4090909090909,0)</f>
      </c>
      <c r="AB1779" s="5">
        <v>22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>
        <v>2</v>
      </c>
      <c r="AQ1779" s="8">
        <v>118.8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0.2115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77</v>
      </c>
      <c r="BK1779" s="8">
        <v>4490.22</v>
      </c>
      <c r="BL1779" s="2" t="s">
        <v>5929</v>
      </c>
      <c r="BM1779" s="7">
        <v>0.026</v>
      </c>
      <c r="BN1779" s="7">
        <v>0.0265</v>
      </c>
      <c r="BO1779" s="4">
        <v>2</v>
      </c>
      <c r="BP1779" s="8">
        <v>118.8</v>
      </c>
      <c r="BQ1779" s="4"/>
      <c r="BR1779" s="8"/>
      <c r="BS1779" s="7"/>
      <c r="BT1779" s="7"/>
      <c r="BU1779" s="2" t="s">
        <v>109</v>
      </c>
      <c r="BV1779" s="2" t="s">
        <v>110</v>
      </c>
      <c r="BW1779" s="2" t="s">
        <v>5872</v>
      </c>
      <c r="BX1779" s="2" t="s">
        <v>5930</v>
      </c>
      <c r="BY1779" s="2" t="s">
        <v>113</v>
      </c>
      <c r="BZ1779" s="2" t="s">
        <v>100</v>
      </c>
    </row>
    <row r="1780">
      <c r="A1780" s="2" t="s">
        <v>5931</v>
      </c>
      <c r="B1780" s="2" t="s">
        <v>5764</v>
      </c>
      <c r="C1780" s="2" t="s">
        <v>5702</v>
      </c>
      <c r="D1780" s="2" t="s">
        <v>5765</v>
      </c>
      <c r="E1780" s="2" t="s">
        <v>5766</v>
      </c>
      <c r="F1780" s="2" t="s">
        <v>5866</v>
      </c>
      <c r="G1780" s="2" t="s">
        <v>5866</v>
      </c>
      <c r="H1780" s="2" t="s">
        <v>5866</v>
      </c>
      <c r="I1780" s="2" t="s">
        <v>5867</v>
      </c>
      <c r="J1780" s="2" t="s">
        <v>706</v>
      </c>
      <c r="K1780" s="2" t="s">
        <v>3269</v>
      </c>
      <c r="L1780" s="3">
        <v>74.29</v>
      </c>
      <c r="M1780" s="3">
        <v>78</v>
      </c>
      <c r="N1780" s="3">
        <v>154.99</v>
      </c>
      <c r="O1780" s="2" t="s">
        <v>97</v>
      </c>
      <c r="P1780" s="2" t="s">
        <v>950</v>
      </c>
      <c r="Q1780" s="2" t="s">
        <v>99</v>
      </c>
      <c r="R1780" s="2" t="s">
        <v>100</v>
      </c>
      <c r="S1780" s="2" t="s">
        <v>5925</v>
      </c>
      <c r="T1780" s="2" t="s">
        <v>5869</v>
      </c>
      <c r="U1780" s="2" t="s">
        <v>1847</v>
      </c>
      <c r="V1780" s="2" t="s">
        <v>146</v>
      </c>
      <c r="W1780" s="2" t="s">
        <v>183</v>
      </c>
      <c r="X1780" s="2" t="s">
        <v>219</v>
      </c>
      <c r="Y1780" s="2" t="s">
        <v>240</v>
      </c>
      <c r="Z1780" s="4">
        <v>655</v>
      </c>
      <c r="AA1780" s="4">
        <f>=ROUNDDOWN(16.7948717948718,0)</f>
      </c>
      <c r="AB1780" s="5">
        <v>39</v>
      </c>
      <c r="AC1780" s="2" t="s">
        <v>205</v>
      </c>
      <c r="AD1780" s="4">
        <v>180</v>
      </c>
      <c r="AE1780" s="4">
        <v>290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>
        <v>3</v>
      </c>
      <c r="AQ1780" s="8">
        <v>243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0.4327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248</v>
      </c>
      <c r="BK1780" s="8">
        <v>20157.06</v>
      </c>
      <c r="BL1780" s="2" t="s">
        <v>5921</v>
      </c>
      <c r="BM1780" s="7">
        <v>0.0121</v>
      </c>
      <c r="BN1780" s="7">
        <v>0.0121</v>
      </c>
      <c r="BO1780" s="4">
        <v>3</v>
      </c>
      <c r="BP1780" s="8">
        <v>243</v>
      </c>
      <c r="BQ1780" s="4"/>
      <c r="BR1780" s="8"/>
      <c r="BS1780" s="7"/>
      <c r="BT1780" s="7"/>
      <c r="BU1780" s="2" t="s">
        <v>109</v>
      </c>
      <c r="BV1780" s="2" t="s">
        <v>110</v>
      </c>
      <c r="BW1780" s="2" t="s">
        <v>5872</v>
      </c>
      <c r="BX1780" s="2" t="s">
        <v>244</v>
      </c>
      <c r="BY1780" s="2" t="s">
        <v>113</v>
      </c>
      <c r="BZ1780" s="2" t="s">
        <v>100</v>
      </c>
    </row>
    <row r="1781">
      <c r="A1781" s="2" t="s">
        <v>5932</v>
      </c>
      <c r="B1781" s="2" t="s">
        <v>5764</v>
      </c>
      <c r="C1781" s="2" t="s">
        <v>5702</v>
      </c>
      <c r="D1781" s="2" t="s">
        <v>5765</v>
      </c>
      <c r="E1781" s="2" t="s">
        <v>5766</v>
      </c>
      <c r="F1781" s="2" t="s">
        <v>5866</v>
      </c>
      <c r="G1781" s="2" t="s">
        <v>5866</v>
      </c>
      <c r="H1781" s="2" t="s">
        <v>5866</v>
      </c>
      <c r="I1781" s="2" t="s">
        <v>5867</v>
      </c>
      <c r="J1781" s="2" t="s">
        <v>714</v>
      </c>
      <c r="K1781" s="2" t="s">
        <v>3269</v>
      </c>
      <c r="L1781" s="3">
        <v>84.84</v>
      </c>
      <c r="M1781" s="3">
        <v>89.08</v>
      </c>
      <c r="N1781" s="3">
        <v>174.99</v>
      </c>
      <c r="O1781" s="2" t="s">
        <v>97</v>
      </c>
      <c r="P1781" s="2" t="s">
        <v>950</v>
      </c>
      <c r="Q1781" s="2" t="s">
        <v>99</v>
      </c>
      <c r="R1781" s="2" t="s">
        <v>100</v>
      </c>
      <c r="S1781" s="2" t="s">
        <v>5925</v>
      </c>
      <c r="T1781" s="2" t="s">
        <v>5869</v>
      </c>
      <c r="U1781" s="2" t="s">
        <v>1847</v>
      </c>
      <c r="V1781" s="2" t="s">
        <v>146</v>
      </c>
      <c r="W1781" s="2" t="s">
        <v>183</v>
      </c>
      <c r="X1781" s="2" t="s">
        <v>219</v>
      </c>
      <c r="Y1781" s="2" t="s">
        <v>5870</v>
      </c>
      <c r="Z1781" s="4">
        <v>558</v>
      </c>
      <c r="AA1781" s="4">
        <f>=ROUNDDOWN(13.2857142857143,0)</f>
      </c>
      <c r="AB1781" s="5">
        <v>42</v>
      </c>
      <c r="AC1781" s="2" t="s">
        <v>205</v>
      </c>
      <c r="AD1781" s="4">
        <v>170</v>
      </c>
      <c r="AE1781" s="4">
        <v>170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>
        <v>1</v>
      </c>
      <c r="AQ1781" s="8">
        <v>91.8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0.1635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148</v>
      </c>
      <c r="BK1781" s="8">
        <v>13243.3</v>
      </c>
      <c r="BL1781" s="2" t="s">
        <v>5933</v>
      </c>
      <c r="BM1781" s="7">
        <v>0.0068</v>
      </c>
      <c r="BN1781" s="7">
        <v>0.0069</v>
      </c>
      <c r="BO1781" s="4">
        <v>1</v>
      </c>
      <c r="BP1781" s="8">
        <v>91.8</v>
      </c>
      <c r="BQ1781" s="4"/>
      <c r="BR1781" s="8"/>
      <c r="BS1781" s="7"/>
      <c r="BT1781" s="7"/>
      <c r="BU1781" s="2" t="s">
        <v>109</v>
      </c>
      <c r="BV1781" s="2" t="s">
        <v>110</v>
      </c>
      <c r="BW1781" s="2" t="s">
        <v>5872</v>
      </c>
      <c r="BX1781" s="2" t="s">
        <v>5915</v>
      </c>
      <c r="BY1781" s="2" t="s">
        <v>113</v>
      </c>
      <c r="BZ1781" s="2" t="s">
        <v>100</v>
      </c>
    </row>
    <row r="1782">
      <c r="A1782" s="2" t="s">
        <v>5934</v>
      </c>
      <c r="B1782" s="2" t="s">
        <v>5764</v>
      </c>
      <c r="C1782" s="2" t="s">
        <v>5702</v>
      </c>
      <c r="D1782" s="2" t="s">
        <v>5765</v>
      </c>
      <c r="E1782" s="2" t="s">
        <v>5766</v>
      </c>
      <c r="F1782" s="2" t="s">
        <v>5866</v>
      </c>
      <c r="G1782" s="2" t="s">
        <v>5866</v>
      </c>
      <c r="H1782" s="2" t="s">
        <v>5866</v>
      </c>
      <c r="I1782" s="2" t="s">
        <v>5867</v>
      </c>
      <c r="J1782" s="2" t="s">
        <v>1936</v>
      </c>
      <c r="K1782" s="2" t="s">
        <v>360</v>
      </c>
      <c r="L1782" s="3">
        <v>49.12</v>
      </c>
      <c r="M1782" s="3">
        <v>51.58</v>
      </c>
      <c r="N1782" s="3">
        <v>104.99</v>
      </c>
      <c r="O1782" s="2" t="s">
        <v>97</v>
      </c>
      <c r="P1782" s="2" t="s">
        <v>119</v>
      </c>
      <c r="Q1782" s="2" t="s">
        <v>99</v>
      </c>
      <c r="R1782" s="2" t="s">
        <v>100</v>
      </c>
      <c r="S1782" s="2" t="s">
        <v>100</v>
      </c>
      <c r="T1782" s="2" t="s">
        <v>5869</v>
      </c>
      <c r="U1782" s="2" t="s">
        <v>1847</v>
      </c>
      <c r="V1782" s="2" t="s">
        <v>146</v>
      </c>
      <c r="W1782" s="2" t="s">
        <v>183</v>
      </c>
      <c r="X1782" s="2" t="s">
        <v>219</v>
      </c>
      <c r="Y1782" s="2" t="s">
        <v>5935</v>
      </c>
      <c r="Z1782" s="4">
        <v>491</v>
      </c>
      <c r="AA1782" s="4">
        <f>=ROUNDDOWN(25.8421052631579,0)</f>
      </c>
      <c r="AB1782" s="5">
        <v>19</v>
      </c>
      <c r="AC1782" s="2" t="s">
        <v>205</v>
      </c>
      <c r="AD1782" s="4">
        <v>150</v>
      </c>
      <c r="AE1782" s="4">
        <v>150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79</v>
      </c>
      <c r="BK1782" s="8">
        <v>4142.76</v>
      </c>
      <c r="BL1782" s="2" t="s">
        <v>5936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207</v>
      </c>
      <c r="BV1782" s="2" t="s">
        <v>97</v>
      </c>
      <c r="BW1782" s="2" t="s">
        <v>100</v>
      </c>
      <c r="BX1782" s="2" t="s">
        <v>100</v>
      </c>
      <c r="BY1782" s="2" t="s">
        <v>113</v>
      </c>
      <c r="BZ1782" s="2" t="s">
        <v>100</v>
      </c>
    </row>
    <row r="1783">
      <c r="A1783" s="2" t="s">
        <v>5937</v>
      </c>
      <c r="B1783" s="2" t="s">
        <v>5764</v>
      </c>
      <c r="C1783" s="2" t="s">
        <v>5702</v>
      </c>
      <c r="D1783" s="2" t="s">
        <v>5765</v>
      </c>
      <c r="E1783" s="2" t="s">
        <v>5766</v>
      </c>
      <c r="F1783" s="2" t="s">
        <v>5866</v>
      </c>
      <c r="G1783" s="2" t="s">
        <v>5866</v>
      </c>
      <c r="H1783" s="2" t="s">
        <v>5866</v>
      </c>
      <c r="I1783" s="2" t="s">
        <v>5867</v>
      </c>
      <c r="J1783" s="2" t="s">
        <v>717</v>
      </c>
      <c r="K1783" s="2" t="s">
        <v>360</v>
      </c>
      <c r="L1783" s="3">
        <v>54.72</v>
      </c>
      <c r="M1783" s="3">
        <v>57.46</v>
      </c>
      <c r="N1783" s="3">
        <v>114.99</v>
      </c>
      <c r="O1783" s="2" t="s">
        <v>97</v>
      </c>
      <c r="P1783" s="2" t="s">
        <v>119</v>
      </c>
      <c r="Q1783" s="2" t="s">
        <v>99</v>
      </c>
      <c r="R1783" s="2" t="s">
        <v>100</v>
      </c>
      <c r="S1783" s="2" t="s">
        <v>100</v>
      </c>
      <c r="T1783" s="2" t="s">
        <v>5869</v>
      </c>
      <c r="U1783" s="2" t="s">
        <v>1847</v>
      </c>
      <c r="V1783" s="2" t="s">
        <v>146</v>
      </c>
      <c r="W1783" s="2" t="s">
        <v>183</v>
      </c>
      <c r="X1783" s="2" t="s">
        <v>219</v>
      </c>
      <c r="Y1783" s="2" t="s">
        <v>5935</v>
      </c>
      <c r="Z1783" s="4">
        <v>421</v>
      </c>
      <c r="AA1783" s="4">
        <f>=ROUNDDOWN(23.3888888888889,0)</f>
      </c>
      <c r="AB1783" s="5">
        <v>18</v>
      </c>
      <c r="AC1783" s="2" t="s">
        <v>100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75</v>
      </c>
      <c r="BK1783" s="8">
        <v>4396.12</v>
      </c>
      <c r="BL1783" s="2" t="s">
        <v>5938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207</v>
      </c>
      <c r="BV1783" s="2" t="s">
        <v>97</v>
      </c>
      <c r="BW1783" s="2" t="s">
        <v>100</v>
      </c>
      <c r="BX1783" s="2" t="s">
        <v>100</v>
      </c>
      <c r="BY1783" s="2" t="s">
        <v>113</v>
      </c>
      <c r="BZ1783" s="2" t="s">
        <v>100</v>
      </c>
    </row>
    <row r="1784">
      <c r="A1784" s="2" t="s">
        <v>5939</v>
      </c>
      <c r="B1784" s="2" t="s">
        <v>5764</v>
      </c>
      <c r="C1784" s="2" t="s">
        <v>5702</v>
      </c>
      <c r="D1784" s="2" t="s">
        <v>5765</v>
      </c>
      <c r="E1784" s="2" t="s">
        <v>5766</v>
      </c>
      <c r="F1784" s="2" t="s">
        <v>5866</v>
      </c>
      <c r="G1784" s="2" t="s">
        <v>5866</v>
      </c>
      <c r="H1784" s="2" t="s">
        <v>5866</v>
      </c>
      <c r="I1784" s="2" t="s">
        <v>5867</v>
      </c>
      <c r="J1784" s="2" t="s">
        <v>706</v>
      </c>
      <c r="K1784" s="2" t="s">
        <v>360</v>
      </c>
      <c r="L1784" s="3">
        <v>74.29</v>
      </c>
      <c r="M1784" s="3">
        <v>78</v>
      </c>
      <c r="N1784" s="3">
        <v>154.99</v>
      </c>
      <c r="O1784" s="2" t="s">
        <v>97</v>
      </c>
      <c r="P1784" s="2" t="s">
        <v>119</v>
      </c>
      <c r="Q1784" s="2" t="s">
        <v>99</v>
      </c>
      <c r="R1784" s="2" t="s">
        <v>100</v>
      </c>
      <c r="S1784" s="2" t="s">
        <v>100</v>
      </c>
      <c r="T1784" s="2" t="s">
        <v>5869</v>
      </c>
      <c r="U1784" s="2" t="s">
        <v>1847</v>
      </c>
      <c r="V1784" s="2" t="s">
        <v>146</v>
      </c>
      <c r="W1784" s="2" t="s">
        <v>183</v>
      </c>
      <c r="X1784" s="2" t="s">
        <v>219</v>
      </c>
      <c r="Y1784" s="2" t="s">
        <v>5935</v>
      </c>
      <c r="Z1784" s="4">
        <v>381</v>
      </c>
      <c r="AA1784" s="4">
        <f>=ROUNDDOWN(21.1666666666667,0)</f>
      </c>
      <c r="AB1784" s="5">
        <v>18</v>
      </c>
      <c r="AC1784" s="2" t="s">
        <v>205</v>
      </c>
      <c r="AD1784" s="4">
        <v>130</v>
      </c>
      <c r="AE1784" s="4">
        <v>130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58</v>
      </c>
      <c r="BK1784" s="8">
        <v>4511.24</v>
      </c>
      <c r="BL1784" s="2" t="s">
        <v>5940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207</v>
      </c>
      <c r="BV1784" s="2" t="s">
        <v>97</v>
      </c>
      <c r="BW1784" s="2" t="s">
        <v>100</v>
      </c>
      <c r="BX1784" s="2" t="s">
        <v>100</v>
      </c>
      <c r="BY1784" s="2" t="s">
        <v>113</v>
      </c>
      <c r="BZ1784" s="2" t="s">
        <v>100</v>
      </c>
    </row>
    <row r="1785">
      <c r="A1785" s="2" t="s">
        <v>5941</v>
      </c>
      <c r="B1785" s="2" t="s">
        <v>5764</v>
      </c>
      <c r="C1785" s="2" t="s">
        <v>5702</v>
      </c>
      <c r="D1785" s="2" t="s">
        <v>5765</v>
      </c>
      <c r="E1785" s="2" t="s">
        <v>5766</v>
      </c>
      <c r="F1785" s="2" t="s">
        <v>5942</v>
      </c>
      <c r="G1785" s="2" t="s">
        <v>5942</v>
      </c>
      <c r="H1785" s="2" t="s">
        <v>100</v>
      </c>
      <c r="I1785" s="2" t="s">
        <v>5768</v>
      </c>
      <c r="J1785" s="2" t="s">
        <v>717</v>
      </c>
      <c r="K1785" s="2" t="s">
        <v>5943</v>
      </c>
      <c r="L1785" s="3">
        <v>59.61</v>
      </c>
      <c r="M1785" s="3">
        <v>62.59</v>
      </c>
      <c r="N1785" s="3">
        <v>114.99</v>
      </c>
      <c r="O1785" s="2" t="s">
        <v>97</v>
      </c>
      <c r="P1785" s="2" t="s">
        <v>119</v>
      </c>
      <c r="Q1785" s="2" t="s">
        <v>99</v>
      </c>
      <c r="R1785" s="2" t="s">
        <v>100</v>
      </c>
      <c r="S1785" s="2" t="s">
        <v>5944</v>
      </c>
      <c r="T1785" s="2" t="s">
        <v>5945</v>
      </c>
      <c r="U1785" s="2" t="s">
        <v>100</v>
      </c>
      <c r="V1785" s="2" t="s">
        <v>146</v>
      </c>
      <c r="W1785" s="2" t="s">
        <v>183</v>
      </c>
      <c r="X1785" s="2" t="s">
        <v>100</v>
      </c>
      <c r="Y1785" s="2" t="s">
        <v>240</v>
      </c>
      <c r="Z1785" s="4">
        <v>88</v>
      </c>
      <c r="AA1785" s="4">
        <f>=ROUNDDOWN(12.0547945205479,0)</f>
      </c>
      <c r="AB1785" s="5">
        <v>7.3</v>
      </c>
      <c r="AC1785" s="2" t="s">
        <v>4745</v>
      </c>
      <c r="AD1785" s="4">
        <v>300</v>
      </c>
      <c r="AE1785" s="4">
        <v>300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>
        <v>1</v>
      </c>
      <c r="AQ1785" s="8">
        <v>68.03</v>
      </c>
      <c r="AR1785" s="4"/>
      <c r="AS1785" s="8"/>
      <c r="AT1785" s="7"/>
      <c r="AU1785" s="7"/>
      <c r="AV1785" s="4">
        <v>14</v>
      </c>
      <c r="AW1785" s="8">
        <v>1326.64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0.0513</v>
      </c>
      <c r="BC1785" s="4">
        <v>53</v>
      </c>
      <c r="BD1785" s="8">
        <v>4614.85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0.2875</v>
      </c>
      <c r="BJ1785" s="4">
        <v>89</v>
      </c>
      <c r="BK1785" s="8">
        <v>5691.33</v>
      </c>
      <c r="BL1785" s="2" t="s">
        <v>5946</v>
      </c>
      <c r="BM1785" s="7">
        <v>0.0112</v>
      </c>
      <c r="BN1785" s="7">
        <v>0.012</v>
      </c>
      <c r="BO1785" s="4">
        <v>1</v>
      </c>
      <c r="BP1785" s="8">
        <v>68.03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5872</v>
      </c>
      <c r="BX1785" s="2" t="s">
        <v>5930</v>
      </c>
      <c r="BY1785" s="2" t="s">
        <v>113</v>
      </c>
      <c r="BZ1785" s="2" t="s">
        <v>100</v>
      </c>
    </row>
    <row r="1786">
      <c r="A1786" s="2" t="s">
        <v>5947</v>
      </c>
      <c r="B1786" s="2" t="s">
        <v>5764</v>
      </c>
      <c r="C1786" s="2" t="s">
        <v>5702</v>
      </c>
      <c r="D1786" s="2" t="s">
        <v>5765</v>
      </c>
      <c r="E1786" s="2" t="s">
        <v>5766</v>
      </c>
      <c r="F1786" s="2" t="s">
        <v>5942</v>
      </c>
      <c r="G1786" s="2" t="s">
        <v>5942</v>
      </c>
      <c r="H1786" s="2" t="s">
        <v>100</v>
      </c>
      <c r="I1786" s="2" t="s">
        <v>5768</v>
      </c>
      <c r="J1786" s="2" t="s">
        <v>706</v>
      </c>
      <c r="K1786" s="2" t="s">
        <v>5943</v>
      </c>
      <c r="L1786" s="3">
        <v>79.48</v>
      </c>
      <c r="M1786" s="3">
        <v>83.45</v>
      </c>
      <c r="N1786" s="3">
        <v>154.99</v>
      </c>
      <c r="O1786" s="2" t="s">
        <v>97</v>
      </c>
      <c r="P1786" s="2" t="s">
        <v>119</v>
      </c>
      <c r="Q1786" s="2" t="s">
        <v>99</v>
      </c>
      <c r="R1786" s="2" t="s">
        <v>100</v>
      </c>
      <c r="S1786" s="2" t="s">
        <v>5944</v>
      </c>
      <c r="T1786" s="2" t="s">
        <v>5945</v>
      </c>
      <c r="U1786" s="2" t="s">
        <v>100</v>
      </c>
      <c r="V1786" s="2" t="s">
        <v>146</v>
      </c>
      <c r="W1786" s="2" t="s">
        <v>183</v>
      </c>
      <c r="X1786" s="2" t="s">
        <v>100</v>
      </c>
      <c r="Y1786" s="2" t="s">
        <v>240</v>
      </c>
      <c r="Z1786" s="4">
        <v>160</v>
      </c>
      <c r="AA1786" s="4">
        <f>=ROUNDDOWN(22.8571428571429,0)</f>
      </c>
      <c r="AB1786" s="5">
        <v>7</v>
      </c>
      <c r="AC1786" s="2" t="s">
        <v>100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>
        <v>6</v>
      </c>
      <c r="AQ1786" s="8">
        <v>544.26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0.4103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80</v>
      </c>
      <c r="BK1786" s="8">
        <v>6918.58</v>
      </c>
      <c r="BL1786" s="2" t="s">
        <v>5948</v>
      </c>
      <c r="BM1786" s="7">
        <v>0.075</v>
      </c>
      <c r="BN1786" s="7">
        <v>0.0787</v>
      </c>
      <c r="BO1786" s="4">
        <v>6</v>
      </c>
      <c r="BP1786" s="8">
        <v>544.26</v>
      </c>
      <c r="BQ1786" s="4"/>
      <c r="BR1786" s="8"/>
      <c r="BS1786" s="7"/>
      <c r="BT1786" s="7"/>
      <c r="BU1786" s="2" t="s">
        <v>109</v>
      </c>
      <c r="BV1786" s="2" t="s">
        <v>110</v>
      </c>
      <c r="BW1786" s="2" t="s">
        <v>5872</v>
      </c>
      <c r="BX1786" s="2" t="s">
        <v>5949</v>
      </c>
      <c r="BY1786" s="2" t="s">
        <v>113</v>
      </c>
      <c r="BZ1786" s="2" t="s">
        <v>100</v>
      </c>
    </row>
    <row r="1787">
      <c r="A1787" s="2" t="s">
        <v>5950</v>
      </c>
      <c r="B1787" s="2" t="s">
        <v>5764</v>
      </c>
      <c r="C1787" s="2" t="s">
        <v>5702</v>
      </c>
      <c r="D1787" s="2" t="s">
        <v>5765</v>
      </c>
      <c r="E1787" s="2" t="s">
        <v>5766</v>
      </c>
      <c r="F1787" s="2" t="s">
        <v>5942</v>
      </c>
      <c r="G1787" s="2" t="s">
        <v>5942</v>
      </c>
      <c r="H1787" s="2" t="s">
        <v>100</v>
      </c>
      <c r="I1787" s="2" t="s">
        <v>5768</v>
      </c>
      <c r="J1787" s="2" t="s">
        <v>714</v>
      </c>
      <c r="K1787" s="2" t="s">
        <v>5943</v>
      </c>
      <c r="L1787" s="3">
        <v>89.41</v>
      </c>
      <c r="M1787" s="3">
        <v>93.88</v>
      </c>
      <c r="N1787" s="3">
        <v>174.99</v>
      </c>
      <c r="O1787" s="2" t="s">
        <v>97</v>
      </c>
      <c r="P1787" s="2" t="s">
        <v>119</v>
      </c>
      <c r="Q1787" s="2" t="s">
        <v>99</v>
      </c>
      <c r="R1787" s="2" t="s">
        <v>100</v>
      </c>
      <c r="S1787" s="2" t="s">
        <v>5944</v>
      </c>
      <c r="T1787" s="2" t="s">
        <v>5945</v>
      </c>
      <c r="U1787" s="2" t="s">
        <v>100</v>
      </c>
      <c r="V1787" s="2" t="s">
        <v>146</v>
      </c>
      <c r="W1787" s="2" t="s">
        <v>183</v>
      </c>
      <c r="X1787" s="2" t="s">
        <v>100</v>
      </c>
      <c r="Y1787" s="2" t="s">
        <v>5679</v>
      </c>
      <c r="Z1787" s="4">
        <v>129</v>
      </c>
      <c r="AA1787" s="4">
        <f>=ROUNDDOWN(9.92307692307692,0)</f>
      </c>
      <c r="AB1787" s="5">
        <v>13</v>
      </c>
      <c r="AC1787" s="2" t="s">
        <v>821</v>
      </c>
      <c r="AD1787" s="4">
        <v>300</v>
      </c>
      <c r="AE1787" s="4">
        <v>300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>
        <v>7</v>
      </c>
      <c r="AQ1787" s="8">
        <v>714.35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0.5385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195</v>
      </c>
      <c r="BK1787" s="8">
        <v>20118.24</v>
      </c>
      <c r="BL1787" s="2" t="s">
        <v>5951</v>
      </c>
      <c r="BM1787" s="7">
        <v>0.0359</v>
      </c>
      <c r="BN1787" s="7">
        <v>0.0355</v>
      </c>
      <c r="BO1787" s="4">
        <v>7</v>
      </c>
      <c r="BP1787" s="8">
        <v>714.35</v>
      </c>
      <c r="BQ1787" s="4"/>
      <c r="BR1787" s="8"/>
      <c r="BS1787" s="7"/>
      <c r="BT1787" s="7"/>
      <c r="BU1787" s="2" t="s">
        <v>109</v>
      </c>
      <c r="BV1787" s="2" t="s">
        <v>110</v>
      </c>
      <c r="BW1787" s="2" t="s">
        <v>5872</v>
      </c>
      <c r="BX1787" s="2" t="s">
        <v>5952</v>
      </c>
      <c r="BY1787" s="2" t="s">
        <v>113</v>
      </c>
      <c r="BZ1787" s="2" t="s">
        <v>100</v>
      </c>
    </row>
    <row r="1788">
      <c r="A1788" s="2" t="s">
        <v>5953</v>
      </c>
      <c r="B1788" s="2" t="s">
        <v>5764</v>
      </c>
      <c r="C1788" s="2" t="s">
        <v>5702</v>
      </c>
      <c r="D1788" s="2" t="s">
        <v>5765</v>
      </c>
      <c r="E1788" s="2" t="s">
        <v>5766</v>
      </c>
      <c r="F1788" s="2" t="s">
        <v>5942</v>
      </c>
      <c r="G1788" s="2" t="s">
        <v>5942</v>
      </c>
      <c r="H1788" s="2" t="s">
        <v>100</v>
      </c>
      <c r="I1788" s="2" t="s">
        <v>5768</v>
      </c>
      <c r="J1788" s="2" t="s">
        <v>1936</v>
      </c>
      <c r="K1788" s="2" t="s">
        <v>496</v>
      </c>
      <c r="L1788" s="3">
        <v>54.64</v>
      </c>
      <c r="M1788" s="3">
        <v>57.37</v>
      </c>
      <c r="N1788" s="3">
        <v>104.99</v>
      </c>
      <c r="O1788" s="2" t="s">
        <v>97</v>
      </c>
      <c r="P1788" s="2" t="s">
        <v>119</v>
      </c>
      <c r="Q1788" s="2" t="s">
        <v>99</v>
      </c>
      <c r="R1788" s="2" t="s">
        <v>100</v>
      </c>
      <c r="S1788" s="2" t="s">
        <v>5954</v>
      </c>
      <c r="T1788" s="2" t="s">
        <v>5945</v>
      </c>
      <c r="U1788" s="2" t="s">
        <v>100</v>
      </c>
      <c r="V1788" s="2" t="s">
        <v>146</v>
      </c>
      <c r="W1788" s="2" t="s">
        <v>183</v>
      </c>
      <c r="X1788" s="2" t="s">
        <v>100</v>
      </c>
      <c r="Y1788" s="2" t="s">
        <v>240</v>
      </c>
      <c r="Z1788" s="4">
        <v>142</v>
      </c>
      <c r="AA1788" s="4">
        <f>=ROUNDDOWN(23.6666666666667,0)</f>
      </c>
      <c r="AB1788" s="5">
        <v>6</v>
      </c>
      <c r="AC1788" s="2" t="s">
        <v>4745</v>
      </c>
      <c r="AD1788" s="4">
        <v>300</v>
      </c>
      <c r="AE1788" s="4">
        <v>300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>
        <v>14</v>
      </c>
      <c r="AW1788" s="8">
        <v>1122.52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0.2432</v>
      </c>
      <c r="BJ1788" s="4">
        <v>99</v>
      </c>
      <c r="BK1788" s="8">
        <v>5722.42</v>
      </c>
      <c r="BL1788" s="2" t="s">
        <v>5955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4571</v>
      </c>
      <c r="BX1788" s="2" t="s">
        <v>5956</v>
      </c>
      <c r="BY1788" s="2" t="s">
        <v>113</v>
      </c>
      <c r="BZ1788" s="2" t="s">
        <v>100</v>
      </c>
    </row>
    <row r="1789">
      <c r="A1789" s="2" t="s">
        <v>5957</v>
      </c>
      <c r="B1789" s="2" t="s">
        <v>5764</v>
      </c>
      <c r="C1789" s="2" t="s">
        <v>5702</v>
      </c>
      <c r="D1789" s="2" t="s">
        <v>5765</v>
      </c>
      <c r="E1789" s="2" t="s">
        <v>5766</v>
      </c>
      <c r="F1789" s="2" t="s">
        <v>5942</v>
      </c>
      <c r="G1789" s="2" t="s">
        <v>5942</v>
      </c>
      <c r="H1789" s="2" t="s">
        <v>100</v>
      </c>
      <c r="I1789" s="2" t="s">
        <v>5768</v>
      </c>
      <c r="J1789" s="2" t="s">
        <v>717</v>
      </c>
      <c r="K1789" s="2" t="s">
        <v>496</v>
      </c>
      <c r="L1789" s="3">
        <v>59.61</v>
      </c>
      <c r="M1789" s="3">
        <v>62.59</v>
      </c>
      <c r="N1789" s="3">
        <v>114.99</v>
      </c>
      <c r="O1789" s="2" t="s">
        <v>97</v>
      </c>
      <c r="P1789" s="2" t="s">
        <v>119</v>
      </c>
      <c r="Q1789" s="2" t="s">
        <v>99</v>
      </c>
      <c r="R1789" s="2" t="s">
        <v>100</v>
      </c>
      <c r="S1789" s="2" t="s">
        <v>5954</v>
      </c>
      <c r="T1789" s="2" t="s">
        <v>5945</v>
      </c>
      <c r="U1789" s="2" t="s">
        <v>100</v>
      </c>
      <c r="V1789" s="2" t="s">
        <v>146</v>
      </c>
      <c r="W1789" s="2" t="s">
        <v>183</v>
      </c>
      <c r="X1789" s="2" t="s">
        <v>100</v>
      </c>
      <c r="Y1789" s="2" t="s">
        <v>902</v>
      </c>
      <c r="Z1789" s="4">
        <v>496</v>
      </c>
      <c r="AA1789" s="4">
        <f>=ROUNDDOWN(27.5555555555556,0)</f>
      </c>
      <c r="AB1789" s="5">
        <v>18</v>
      </c>
      <c r="AC1789" s="2" t="s">
        <v>356</v>
      </c>
      <c r="AD1789" s="4">
        <v>20</v>
      </c>
      <c r="AE1789" s="4">
        <v>20</v>
      </c>
      <c r="AF1789" s="6">
        <v>65</v>
      </c>
      <c r="AG1789" s="6"/>
      <c r="AH1789" s="7">
        <v>0.5936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>
        <v>7</v>
      </c>
      <c r="AQ1789" s="8">
        <v>476.21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0.4242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93</v>
      </c>
      <c r="BK1789" s="8">
        <v>6007.86</v>
      </c>
      <c r="BL1789" s="2" t="s">
        <v>5958</v>
      </c>
      <c r="BM1789" s="7">
        <v>0.0753</v>
      </c>
      <c r="BN1789" s="7">
        <v>0.0793</v>
      </c>
      <c r="BO1789" s="4">
        <v>7</v>
      </c>
      <c r="BP1789" s="8">
        <v>476.21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4571</v>
      </c>
      <c r="BX1789" s="2" t="s">
        <v>329</v>
      </c>
      <c r="BY1789" s="2" t="s">
        <v>113</v>
      </c>
      <c r="BZ1789" s="2" t="s">
        <v>100</v>
      </c>
    </row>
    <row r="1790">
      <c r="A1790" s="2" t="s">
        <v>5959</v>
      </c>
      <c r="B1790" s="2" t="s">
        <v>5764</v>
      </c>
      <c r="C1790" s="2" t="s">
        <v>5702</v>
      </c>
      <c r="D1790" s="2" t="s">
        <v>5765</v>
      </c>
      <c r="E1790" s="2" t="s">
        <v>5766</v>
      </c>
      <c r="F1790" s="2" t="s">
        <v>5942</v>
      </c>
      <c r="G1790" s="2" t="s">
        <v>5942</v>
      </c>
      <c r="H1790" s="2" t="s">
        <v>100</v>
      </c>
      <c r="I1790" s="2" t="s">
        <v>5768</v>
      </c>
      <c r="J1790" s="2" t="s">
        <v>706</v>
      </c>
      <c r="K1790" s="2" t="s">
        <v>496</v>
      </c>
      <c r="L1790" s="3">
        <v>79.48</v>
      </c>
      <c r="M1790" s="3">
        <v>83.45</v>
      </c>
      <c r="N1790" s="3">
        <v>154.99</v>
      </c>
      <c r="O1790" s="2" t="s">
        <v>97</v>
      </c>
      <c r="P1790" s="2" t="s">
        <v>119</v>
      </c>
      <c r="Q1790" s="2" t="s">
        <v>99</v>
      </c>
      <c r="R1790" s="2" t="s">
        <v>100</v>
      </c>
      <c r="S1790" s="2" t="s">
        <v>5954</v>
      </c>
      <c r="T1790" s="2" t="s">
        <v>5945</v>
      </c>
      <c r="U1790" s="2" t="s">
        <v>100</v>
      </c>
      <c r="V1790" s="2" t="s">
        <v>146</v>
      </c>
      <c r="W1790" s="2" t="s">
        <v>183</v>
      </c>
      <c r="X1790" s="2" t="s">
        <v>100</v>
      </c>
      <c r="Y1790" s="2" t="s">
        <v>240</v>
      </c>
      <c r="Z1790" s="4">
        <v>112</v>
      </c>
      <c r="AA1790" s="4">
        <f>=ROUNDDOWN(6.78787878787879,0)</f>
      </c>
      <c r="AB1790" s="5">
        <v>16.5</v>
      </c>
      <c r="AC1790" s="2" t="s">
        <v>356</v>
      </c>
      <c r="AD1790" s="4">
        <v>100</v>
      </c>
      <c r="AE1790" s="4">
        <v>180</v>
      </c>
      <c r="AF1790" s="6">
        <v>65</v>
      </c>
      <c r="AG1790" s="6"/>
      <c r="AH1790" s="7">
        <v>0.9465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>
        <v>6</v>
      </c>
      <c r="AQ1790" s="8">
        <v>544.26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0.4849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164</v>
      </c>
      <c r="BK1790" s="8">
        <v>14287.56</v>
      </c>
      <c r="BL1790" s="2" t="s">
        <v>5960</v>
      </c>
      <c r="BM1790" s="7">
        <v>0.0366</v>
      </c>
      <c r="BN1790" s="7">
        <v>0.0381</v>
      </c>
      <c r="BO1790" s="4">
        <v>6</v>
      </c>
      <c r="BP1790" s="8">
        <v>544.26</v>
      </c>
      <c r="BQ1790" s="4"/>
      <c r="BR1790" s="8"/>
      <c r="BS1790" s="7"/>
      <c r="BT1790" s="7"/>
      <c r="BU1790" s="2" t="s">
        <v>109</v>
      </c>
      <c r="BV1790" s="2" t="s">
        <v>110</v>
      </c>
      <c r="BW1790" s="2" t="s">
        <v>4571</v>
      </c>
      <c r="BX1790" s="2" t="s">
        <v>5961</v>
      </c>
      <c r="BY1790" s="2" t="s">
        <v>113</v>
      </c>
      <c r="BZ1790" s="2" t="s">
        <v>100</v>
      </c>
    </row>
    <row r="1791">
      <c r="A1791" s="2" t="s">
        <v>5962</v>
      </c>
      <c r="B1791" s="2" t="s">
        <v>5764</v>
      </c>
      <c r="C1791" s="2" t="s">
        <v>5702</v>
      </c>
      <c r="D1791" s="2" t="s">
        <v>5765</v>
      </c>
      <c r="E1791" s="2" t="s">
        <v>5766</v>
      </c>
      <c r="F1791" s="2" t="s">
        <v>5942</v>
      </c>
      <c r="G1791" s="2" t="s">
        <v>5942</v>
      </c>
      <c r="H1791" s="2" t="s">
        <v>100</v>
      </c>
      <c r="I1791" s="2" t="s">
        <v>5768</v>
      </c>
      <c r="J1791" s="2" t="s">
        <v>714</v>
      </c>
      <c r="K1791" s="2" t="s">
        <v>496</v>
      </c>
      <c r="L1791" s="3">
        <v>89.41</v>
      </c>
      <c r="M1791" s="3">
        <v>93.88</v>
      </c>
      <c r="N1791" s="3">
        <v>174.99</v>
      </c>
      <c r="O1791" s="2" t="s">
        <v>97</v>
      </c>
      <c r="P1791" s="2" t="s">
        <v>119</v>
      </c>
      <c r="Q1791" s="2" t="s">
        <v>99</v>
      </c>
      <c r="R1791" s="2" t="s">
        <v>100</v>
      </c>
      <c r="S1791" s="2" t="s">
        <v>5954</v>
      </c>
      <c r="T1791" s="2" t="s">
        <v>5945</v>
      </c>
      <c r="U1791" s="2" t="s">
        <v>100</v>
      </c>
      <c r="V1791" s="2" t="s">
        <v>146</v>
      </c>
      <c r="W1791" s="2" t="s">
        <v>183</v>
      </c>
      <c r="X1791" s="2" t="s">
        <v>100</v>
      </c>
      <c r="Y1791" s="2" t="s">
        <v>240</v>
      </c>
      <c r="Z1791" s="4">
        <v>461</v>
      </c>
      <c r="AA1791" s="4">
        <f>=ROUNDDOWN(25.6111111111111,0)</f>
      </c>
      <c r="AB1791" s="5">
        <v>18</v>
      </c>
      <c r="AC1791" s="2" t="s">
        <v>872</v>
      </c>
      <c r="AD1791" s="4">
        <v>200</v>
      </c>
      <c r="AE1791" s="4">
        <v>200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>
        <v>1</v>
      </c>
      <c r="AQ1791" s="8">
        <v>102.05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0.0909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171</v>
      </c>
      <c r="BK1791" s="8">
        <v>16770.89</v>
      </c>
      <c r="BL1791" s="2" t="s">
        <v>5963</v>
      </c>
      <c r="BM1791" s="7">
        <v>0.0058</v>
      </c>
      <c r="BN1791" s="7">
        <v>0.0061</v>
      </c>
      <c r="BO1791" s="4">
        <v>1</v>
      </c>
      <c r="BP1791" s="8">
        <v>102.05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4571</v>
      </c>
      <c r="BX1791" s="2" t="s">
        <v>5964</v>
      </c>
      <c r="BY1791" s="2" t="s">
        <v>113</v>
      </c>
      <c r="BZ1791" s="2" t="s">
        <v>100</v>
      </c>
    </row>
    <row r="1792">
      <c r="A1792" s="2" t="s">
        <v>5965</v>
      </c>
      <c r="B1792" s="2" t="s">
        <v>5764</v>
      </c>
      <c r="C1792" s="2" t="s">
        <v>5702</v>
      </c>
      <c r="D1792" s="2" t="s">
        <v>5765</v>
      </c>
      <c r="E1792" s="2" t="s">
        <v>5766</v>
      </c>
      <c r="F1792" s="2" t="s">
        <v>5942</v>
      </c>
      <c r="G1792" s="2" t="s">
        <v>5942</v>
      </c>
      <c r="H1792" s="2" t="s">
        <v>100</v>
      </c>
      <c r="I1792" s="2" t="s">
        <v>5768</v>
      </c>
      <c r="J1792" s="2" t="s">
        <v>717</v>
      </c>
      <c r="K1792" s="2" t="s">
        <v>469</v>
      </c>
      <c r="L1792" s="3">
        <v>59.61</v>
      </c>
      <c r="M1792" s="3">
        <v>62.59</v>
      </c>
      <c r="N1792" s="3">
        <v>114.99</v>
      </c>
      <c r="O1792" s="2" t="s">
        <v>97</v>
      </c>
      <c r="P1792" s="2" t="s">
        <v>119</v>
      </c>
      <c r="Q1792" s="2" t="s">
        <v>99</v>
      </c>
      <c r="R1792" s="2" t="s">
        <v>100</v>
      </c>
      <c r="S1792" s="2" t="s">
        <v>5966</v>
      </c>
      <c r="T1792" s="2" t="s">
        <v>5945</v>
      </c>
      <c r="U1792" s="2" t="s">
        <v>100</v>
      </c>
      <c r="V1792" s="2" t="s">
        <v>146</v>
      </c>
      <c r="W1792" s="2" t="s">
        <v>183</v>
      </c>
      <c r="X1792" s="2" t="s">
        <v>100</v>
      </c>
      <c r="Y1792" s="2" t="s">
        <v>5679</v>
      </c>
      <c r="Z1792" s="4">
        <v>256</v>
      </c>
      <c r="AA1792" s="4">
        <f>=ROUNDDOWN(28.4444444444444,0)</f>
      </c>
      <c r="AB1792" s="5">
        <v>9</v>
      </c>
      <c r="AC1792" s="2" t="s">
        <v>205</v>
      </c>
      <c r="AD1792" s="4">
        <v>100</v>
      </c>
      <c r="AE1792" s="4">
        <v>190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>
        <v>2</v>
      </c>
      <c r="AQ1792" s="8">
        <v>136.06</v>
      </c>
      <c r="AR1792" s="4"/>
      <c r="AS1792" s="8"/>
      <c r="AT1792" s="7"/>
      <c r="AU1792" s="7"/>
      <c r="AV1792" s="4">
        <v>9</v>
      </c>
      <c r="AW1792" s="8">
        <v>827.73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0.1644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0.1794</v>
      </c>
      <c r="BJ1792" s="4">
        <v>52</v>
      </c>
      <c r="BK1792" s="8">
        <v>3445.11</v>
      </c>
      <c r="BL1792" s="2" t="s">
        <v>5967</v>
      </c>
      <c r="BM1792" s="7">
        <v>0.0385</v>
      </c>
      <c r="BN1792" s="7">
        <v>0.0395</v>
      </c>
      <c r="BO1792" s="4">
        <v>2</v>
      </c>
      <c r="BP1792" s="8">
        <v>136.06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5872</v>
      </c>
      <c r="BX1792" s="2" t="s">
        <v>1117</v>
      </c>
      <c r="BY1792" s="2" t="s">
        <v>113</v>
      </c>
      <c r="BZ1792" s="2" t="s">
        <v>100</v>
      </c>
    </row>
    <row r="1793">
      <c r="A1793" s="2" t="s">
        <v>5968</v>
      </c>
      <c r="B1793" s="2" t="s">
        <v>5764</v>
      </c>
      <c r="C1793" s="2" t="s">
        <v>5702</v>
      </c>
      <c r="D1793" s="2" t="s">
        <v>5765</v>
      </c>
      <c r="E1793" s="2" t="s">
        <v>5766</v>
      </c>
      <c r="F1793" s="2" t="s">
        <v>5942</v>
      </c>
      <c r="G1793" s="2" t="s">
        <v>5942</v>
      </c>
      <c r="H1793" s="2" t="s">
        <v>100</v>
      </c>
      <c r="I1793" s="2" t="s">
        <v>5768</v>
      </c>
      <c r="J1793" s="2" t="s">
        <v>706</v>
      </c>
      <c r="K1793" s="2" t="s">
        <v>469</v>
      </c>
      <c r="L1793" s="3">
        <v>79.48</v>
      </c>
      <c r="M1793" s="3">
        <v>83.45</v>
      </c>
      <c r="N1793" s="3">
        <v>154.99</v>
      </c>
      <c r="O1793" s="2" t="s">
        <v>97</v>
      </c>
      <c r="P1793" s="2" t="s">
        <v>119</v>
      </c>
      <c r="Q1793" s="2" t="s">
        <v>99</v>
      </c>
      <c r="R1793" s="2" t="s">
        <v>100</v>
      </c>
      <c r="S1793" s="2" t="s">
        <v>5966</v>
      </c>
      <c r="T1793" s="2" t="s">
        <v>5945</v>
      </c>
      <c r="U1793" s="2" t="s">
        <v>100</v>
      </c>
      <c r="V1793" s="2" t="s">
        <v>146</v>
      </c>
      <c r="W1793" s="2" t="s">
        <v>183</v>
      </c>
      <c r="X1793" s="2" t="s">
        <v>100</v>
      </c>
      <c r="Y1793" s="2" t="s">
        <v>240</v>
      </c>
      <c r="Z1793" s="4">
        <v>175</v>
      </c>
      <c r="AA1793" s="4">
        <f>=ROUNDDOWN(21.875,0)</f>
      </c>
      <c r="AB1793" s="5">
        <v>8</v>
      </c>
      <c r="AC1793" s="2" t="s">
        <v>4745</v>
      </c>
      <c r="AD1793" s="4">
        <v>300</v>
      </c>
      <c r="AE1793" s="4">
        <v>300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>
        <v>2</v>
      </c>
      <c r="AQ1793" s="8">
        <v>181.42</v>
      </c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0.2192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 t="s">
        <v>100</v>
      </c>
      <c r="BJ1793" s="4">
        <v>37</v>
      </c>
      <c r="BK1793" s="8">
        <v>3187.58</v>
      </c>
      <c r="BL1793" s="2" t="s">
        <v>5969</v>
      </c>
      <c r="BM1793" s="7">
        <v>0.0541</v>
      </c>
      <c r="BN1793" s="7">
        <v>0.0569</v>
      </c>
      <c r="BO1793" s="4">
        <v>2</v>
      </c>
      <c r="BP1793" s="8">
        <v>181.42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5872</v>
      </c>
      <c r="BX1793" s="2" t="s">
        <v>5970</v>
      </c>
      <c r="BY1793" s="2" t="s">
        <v>113</v>
      </c>
      <c r="BZ1793" s="2" t="s">
        <v>100</v>
      </c>
    </row>
    <row r="1794">
      <c r="A1794" s="2" t="s">
        <v>5971</v>
      </c>
      <c r="B1794" s="2" t="s">
        <v>5764</v>
      </c>
      <c r="C1794" s="2" t="s">
        <v>5702</v>
      </c>
      <c r="D1794" s="2" t="s">
        <v>5765</v>
      </c>
      <c r="E1794" s="2" t="s">
        <v>5766</v>
      </c>
      <c r="F1794" s="2" t="s">
        <v>5942</v>
      </c>
      <c r="G1794" s="2" t="s">
        <v>5942</v>
      </c>
      <c r="H1794" s="2" t="s">
        <v>100</v>
      </c>
      <c r="I1794" s="2" t="s">
        <v>5768</v>
      </c>
      <c r="J1794" s="2" t="s">
        <v>714</v>
      </c>
      <c r="K1794" s="2" t="s">
        <v>469</v>
      </c>
      <c r="L1794" s="3">
        <v>89.41</v>
      </c>
      <c r="M1794" s="3">
        <v>93.88</v>
      </c>
      <c r="N1794" s="3">
        <v>174.99</v>
      </c>
      <c r="O1794" s="2" t="s">
        <v>97</v>
      </c>
      <c r="P1794" s="2" t="s">
        <v>119</v>
      </c>
      <c r="Q1794" s="2" t="s">
        <v>99</v>
      </c>
      <c r="R1794" s="2" t="s">
        <v>100</v>
      </c>
      <c r="S1794" s="2" t="s">
        <v>5966</v>
      </c>
      <c r="T1794" s="2" t="s">
        <v>5945</v>
      </c>
      <c r="U1794" s="2" t="s">
        <v>100</v>
      </c>
      <c r="V1794" s="2" t="s">
        <v>146</v>
      </c>
      <c r="W1794" s="2" t="s">
        <v>183</v>
      </c>
      <c r="X1794" s="2" t="s">
        <v>100</v>
      </c>
      <c r="Y1794" s="2" t="s">
        <v>5972</v>
      </c>
      <c r="Z1794" s="4">
        <v>155</v>
      </c>
      <c r="AA1794" s="4">
        <f>=ROUNDDOWN(11.9230769230769,0)</f>
      </c>
      <c r="AB1794" s="5">
        <v>13</v>
      </c>
      <c r="AC1794" s="2" t="s">
        <v>821</v>
      </c>
      <c r="AD1794" s="4">
        <v>300</v>
      </c>
      <c r="AE1794" s="4">
        <v>300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>
        <v>5</v>
      </c>
      <c r="AQ1794" s="8">
        <v>510.25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0.6164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136</v>
      </c>
      <c r="BK1794" s="8">
        <v>13691.72</v>
      </c>
      <c r="BL1794" s="2" t="s">
        <v>5973</v>
      </c>
      <c r="BM1794" s="7">
        <v>0.0368</v>
      </c>
      <c r="BN1794" s="7">
        <v>0.0373</v>
      </c>
      <c r="BO1794" s="4">
        <v>5</v>
      </c>
      <c r="BP1794" s="8">
        <v>510.25</v>
      </c>
      <c r="BQ1794" s="4"/>
      <c r="BR1794" s="8"/>
      <c r="BS1794" s="7"/>
      <c r="BT1794" s="7"/>
      <c r="BU1794" s="2" t="s">
        <v>109</v>
      </c>
      <c r="BV1794" s="2" t="s">
        <v>110</v>
      </c>
      <c r="BW1794" s="2" t="s">
        <v>5872</v>
      </c>
      <c r="BX1794" s="2" t="s">
        <v>5974</v>
      </c>
      <c r="BY1794" s="2" t="s">
        <v>113</v>
      </c>
      <c r="BZ1794" s="2" t="s">
        <v>100</v>
      </c>
    </row>
    <row r="1795">
      <c r="A1795" s="2" t="s">
        <v>5975</v>
      </c>
      <c r="B1795" s="2" t="s">
        <v>5764</v>
      </c>
      <c r="C1795" s="2" t="s">
        <v>5702</v>
      </c>
      <c r="D1795" s="2" t="s">
        <v>5765</v>
      </c>
      <c r="E1795" s="2" t="s">
        <v>5766</v>
      </c>
      <c r="F1795" s="2" t="s">
        <v>5942</v>
      </c>
      <c r="G1795" s="2" t="s">
        <v>5942</v>
      </c>
      <c r="H1795" s="2" t="s">
        <v>100</v>
      </c>
      <c r="I1795" s="2" t="s">
        <v>5768</v>
      </c>
      <c r="J1795" s="2" t="s">
        <v>1936</v>
      </c>
      <c r="K1795" s="2" t="s">
        <v>198</v>
      </c>
      <c r="L1795" s="3">
        <v>54.64</v>
      </c>
      <c r="M1795" s="3">
        <v>57.37</v>
      </c>
      <c r="N1795" s="3">
        <v>104.99</v>
      </c>
      <c r="O1795" s="2" t="s">
        <v>97</v>
      </c>
      <c r="P1795" s="2" t="s">
        <v>372</v>
      </c>
      <c r="Q1795" s="2" t="s">
        <v>99</v>
      </c>
      <c r="R1795" s="2" t="s">
        <v>100</v>
      </c>
      <c r="S1795" s="2" t="s">
        <v>5976</v>
      </c>
      <c r="T1795" s="2" t="s">
        <v>5945</v>
      </c>
      <c r="U1795" s="2" t="s">
        <v>100</v>
      </c>
      <c r="V1795" s="2" t="s">
        <v>146</v>
      </c>
      <c r="W1795" s="2" t="s">
        <v>183</v>
      </c>
      <c r="X1795" s="2" t="s">
        <v>100</v>
      </c>
      <c r="Y1795" s="2" t="s">
        <v>5679</v>
      </c>
      <c r="Z1795" s="4">
        <v>234</v>
      </c>
      <c r="AA1795" s="4">
        <f>=ROUNDDOWN(16.7142857142857,0)</f>
      </c>
      <c r="AB1795" s="5">
        <v>14</v>
      </c>
      <c r="AC1795" s="2" t="s">
        <v>205</v>
      </c>
      <c r="AD1795" s="4">
        <v>80</v>
      </c>
      <c r="AE1795" s="4">
        <v>110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>
        <v>3</v>
      </c>
      <c r="AQ1795" s="8">
        <v>187.08</v>
      </c>
      <c r="AR1795" s="4"/>
      <c r="AS1795" s="8"/>
      <c r="AT1795" s="7"/>
      <c r="AU1795" s="7"/>
      <c r="AV1795" s="4">
        <v>5</v>
      </c>
      <c r="AW1795" s="8">
        <v>391.18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0.4782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>
        <v>0.0848</v>
      </c>
      <c r="BJ1795" s="4">
        <v>147</v>
      </c>
      <c r="BK1795" s="8">
        <v>8609.26</v>
      </c>
      <c r="BL1795" s="2" t="s">
        <v>5977</v>
      </c>
      <c r="BM1795" s="7">
        <v>0.0204</v>
      </c>
      <c r="BN1795" s="7">
        <v>0.0217</v>
      </c>
      <c r="BO1795" s="4">
        <v>3</v>
      </c>
      <c r="BP1795" s="8">
        <v>187.08</v>
      </c>
      <c r="BQ1795" s="4"/>
      <c r="BR1795" s="8"/>
      <c r="BS1795" s="7"/>
      <c r="BT1795" s="7"/>
      <c r="BU1795" s="2" t="s">
        <v>109</v>
      </c>
      <c r="BV1795" s="2" t="s">
        <v>110</v>
      </c>
      <c r="BW1795" s="2" t="s">
        <v>4571</v>
      </c>
      <c r="BX1795" s="2" t="s">
        <v>5840</v>
      </c>
      <c r="BY1795" s="2" t="s">
        <v>113</v>
      </c>
      <c r="BZ1795" s="2" t="s">
        <v>100</v>
      </c>
    </row>
    <row r="1796">
      <c r="A1796" s="2" t="s">
        <v>5978</v>
      </c>
      <c r="B1796" s="2" t="s">
        <v>5764</v>
      </c>
      <c r="C1796" s="2" t="s">
        <v>5702</v>
      </c>
      <c r="D1796" s="2" t="s">
        <v>5765</v>
      </c>
      <c r="E1796" s="2" t="s">
        <v>5766</v>
      </c>
      <c r="F1796" s="2" t="s">
        <v>5942</v>
      </c>
      <c r="G1796" s="2" t="s">
        <v>5942</v>
      </c>
      <c r="H1796" s="2" t="s">
        <v>100</v>
      </c>
      <c r="I1796" s="2" t="s">
        <v>5768</v>
      </c>
      <c r="J1796" s="2" t="s">
        <v>717</v>
      </c>
      <c r="K1796" s="2" t="s">
        <v>198</v>
      </c>
      <c r="L1796" s="3">
        <v>59.61</v>
      </c>
      <c r="M1796" s="3">
        <v>62.59</v>
      </c>
      <c r="N1796" s="3">
        <v>114.99</v>
      </c>
      <c r="O1796" s="2" t="s">
        <v>97</v>
      </c>
      <c r="P1796" s="2" t="s">
        <v>372</v>
      </c>
      <c r="Q1796" s="2" t="s">
        <v>99</v>
      </c>
      <c r="R1796" s="2" t="s">
        <v>100</v>
      </c>
      <c r="S1796" s="2" t="s">
        <v>5976</v>
      </c>
      <c r="T1796" s="2" t="s">
        <v>5945</v>
      </c>
      <c r="U1796" s="2" t="s">
        <v>100</v>
      </c>
      <c r="V1796" s="2" t="s">
        <v>146</v>
      </c>
      <c r="W1796" s="2" t="s">
        <v>183</v>
      </c>
      <c r="X1796" s="2" t="s">
        <v>100</v>
      </c>
      <c r="Y1796" s="2" t="s">
        <v>4727</v>
      </c>
      <c r="Z1796" s="4">
        <v>383</v>
      </c>
      <c r="AA1796" s="4">
        <f>=ROUNDDOWN(21.2777777777778,0)</f>
      </c>
      <c r="AB1796" s="5">
        <v>18</v>
      </c>
      <c r="AC1796" s="2" t="s">
        <v>356</v>
      </c>
      <c r="AD1796" s="4">
        <v>120</v>
      </c>
      <c r="AE1796" s="4">
        <v>120</v>
      </c>
      <c r="AF1796" s="6">
        <v>65</v>
      </c>
      <c r="AG1796" s="6"/>
      <c r="AH1796" s="7">
        <v>0.5936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31</v>
      </c>
      <c r="BK1796" s="8">
        <v>1870.03</v>
      </c>
      <c r="BL1796" s="2" t="s">
        <v>5979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4571</v>
      </c>
      <c r="BX1796" s="2" t="s">
        <v>1815</v>
      </c>
      <c r="BY1796" s="2" t="s">
        <v>113</v>
      </c>
      <c r="BZ1796" s="2" t="s">
        <v>100</v>
      </c>
    </row>
    <row r="1797">
      <c r="A1797" s="2" t="s">
        <v>5980</v>
      </c>
      <c r="B1797" s="2" t="s">
        <v>5764</v>
      </c>
      <c r="C1797" s="2" t="s">
        <v>5702</v>
      </c>
      <c r="D1797" s="2" t="s">
        <v>5765</v>
      </c>
      <c r="E1797" s="2" t="s">
        <v>5766</v>
      </c>
      <c r="F1797" s="2" t="s">
        <v>5942</v>
      </c>
      <c r="G1797" s="2" t="s">
        <v>5942</v>
      </c>
      <c r="H1797" s="2" t="s">
        <v>100</v>
      </c>
      <c r="I1797" s="2" t="s">
        <v>5768</v>
      </c>
      <c r="J1797" s="2" t="s">
        <v>714</v>
      </c>
      <c r="K1797" s="2" t="s">
        <v>198</v>
      </c>
      <c r="L1797" s="3">
        <v>89.41</v>
      </c>
      <c r="M1797" s="3">
        <v>93.88</v>
      </c>
      <c r="N1797" s="3">
        <v>174.99</v>
      </c>
      <c r="O1797" s="2" t="s">
        <v>97</v>
      </c>
      <c r="P1797" s="2" t="s">
        <v>372</v>
      </c>
      <c r="Q1797" s="2" t="s">
        <v>99</v>
      </c>
      <c r="R1797" s="2" t="s">
        <v>100</v>
      </c>
      <c r="S1797" s="2" t="s">
        <v>5976</v>
      </c>
      <c r="T1797" s="2" t="s">
        <v>5945</v>
      </c>
      <c r="U1797" s="2" t="s">
        <v>100</v>
      </c>
      <c r="V1797" s="2" t="s">
        <v>146</v>
      </c>
      <c r="W1797" s="2" t="s">
        <v>183</v>
      </c>
      <c r="X1797" s="2" t="s">
        <v>100</v>
      </c>
      <c r="Y1797" s="2" t="s">
        <v>240</v>
      </c>
      <c r="Z1797" s="4">
        <v>596</v>
      </c>
      <c r="AA1797" s="4">
        <f>=ROUNDDOWN(6.14432989690722,0)</f>
      </c>
      <c r="AB1797" s="5">
        <v>97</v>
      </c>
      <c r="AC1797" s="2" t="s">
        <v>356</v>
      </c>
      <c r="AD1797" s="4">
        <v>650</v>
      </c>
      <c r="AE1797" s="4">
        <v>1230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>
        <v>2</v>
      </c>
      <c r="AQ1797" s="8">
        <v>204.1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0.5218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1230</v>
      </c>
      <c r="BK1797" s="8">
        <v>129885.23</v>
      </c>
      <c r="BL1797" s="2" t="s">
        <v>5981</v>
      </c>
      <c r="BM1797" s="7">
        <v>0.0016</v>
      </c>
      <c r="BN1797" s="7">
        <v>0.0016</v>
      </c>
      <c r="BO1797" s="4">
        <v>2</v>
      </c>
      <c r="BP1797" s="8">
        <v>204.1</v>
      </c>
      <c r="BQ1797" s="4"/>
      <c r="BR1797" s="8"/>
      <c r="BS1797" s="7"/>
      <c r="BT1797" s="7"/>
      <c r="BU1797" s="2" t="s">
        <v>109</v>
      </c>
      <c r="BV1797" s="2" t="s">
        <v>110</v>
      </c>
      <c r="BW1797" s="2" t="s">
        <v>4571</v>
      </c>
      <c r="BX1797" s="2" t="s">
        <v>5982</v>
      </c>
      <c r="BY1797" s="2" t="s">
        <v>113</v>
      </c>
      <c r="BZ1797" s="2" t="s">
        <v>100</v>
      </c>
    </row>
    <row r="1798">
      <c r="A1798" s="2" t="s">
        <v>5983</v>
      </c>
      <c r="B1798" s="2" t="s">
        <v>5764</v>
      </c>
      <c r="C1798" s="2" t="s">
        <v>5702</v>
      </c>
      <c r="D1798" s="2" t="s">
        <v>5765</v>
      </c>
      <c r="E1798" s="2" t="s">
        <v>5766</v>
      </c>
      <c r="F1798" s="2" t="s">
        <v>5942</v>
      </c>
      <c r="G1798" s="2" t="s">
        <v>5942</v>
      </c>
      <c r="H1798" s="2" t="s">
        <v>100</v>
      </c>
      <c r="I1798" s="2" t="s">
        <v>5768</v>
      </c>
      <c r="J1798" s="2" t="s">
        <v>1936</v>
      </c>
      <c r="K1798" s="2" t="s">
        <v>118</v>
      </c>
      <c r="L1798" s="3">
        <v>54.64</v>
      </c>
      <c r="M1798" s="3">
        <v>57.37</v>
      </c>
      <c r="N1798" s="3">
        <v>104.99</v>
      </c>
      <c r="O1798" s="2" t="s">
        <v>97</v>
      </c>
      <c r="P1798" s="2" t="s">
        <v>950</v>
      </c>
      <c r="Q1798" s="2" t="s">
        <v>99</v>
      </c>
      <c r="R1798" s="2" t="s">
        <v>100</v>
      </c>
      <c r="S1798" s="2" t="s">
        <v>5984</v>
      </c>
      <c r="T1798" s="2" t="s">
        <v>5945</v>
      </c>
      <c r="U1798" s="2" t="s">
        <v>100</v>
      </c>
      <c r="V1798" s="2" t="s">
        <v>146</v>
      </c>
      <c r="W1798" s="2" t="s">
        <v>183</v>
      </c>
      <c r="X1798" s="2" t="s">
        <v>100</v>
      </c>
      <c r="Y1798" s="2" t="s">
        <v>240</v>
      </c>
      <c r="Z1798" s="4">
        <v>393</v>
      </c>
      <c r="AA1798" s="4">
        <f>=ROUNDDOWN(23.1176470588235,0)</f>
      </c>
      <c r="AB1798" s="5">
        <v>17</v>
      </c>
      <c r="AC1798" s="2" t="s">
        <v>100</v>
      </c>
      <c r="AD1798" s="4"/>
      <c r="AE1798" s="4"/>
      <c r="AF1798" s="6">
        <v>65</v>
      </c>
      <c r="AG1798" s="6"/>
      <c r="AH1798" s="7">
        <v>0.5936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>
        <v>3</v>
      </c>
      <c r="AQ1798" s="8">
        <v>187.08</v>
      </c>
      <c r="AR1798" s="4"/>
      <c r="AS1798" s="8"/>
      <c r="AT1798" s="7"/>
      <c r="AU1798" s="7"/>
      <c r="AV1798" s="4">
        <v>5</v>
      </c>
      <c r="AW1798" s="8">
        <v>368.5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0.5077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0.0799</v>
      </c>
      <c r="BJ1798" s="4">
        <v>86</v>
      </c>
      <c r="BK1798" s="8">
        <v>4893.52</v>
      </c>
      <c r="BL1798" s="2" t="s">
        <v>5985</v>
      </c>
      <c r="BM1798" s="7">
        <v>0.0349</v>
      </c>
      <c r="BN1798" s="7">
        <v>0.0382</v>
      </c>
      <c r="BO1798" s="4">
        <v>3</v>
      </c>
      <c r="BP1798" s="8">
        <v>187.08</v>
      </c>
      <c r="BQ1798" s="4"/>
      <c r="BR1798" s="8"/>
      <c r="BS1798" s="7"/>
      <c r="BT1798" s="7"/>
      <c r="BU1798" s="2" t="s">
        <v>109</v>
      </c>
      <c r="BV1798" s="2" t="s">
        <v>110</v>
      </c>
      <c r="BW1798" s="2" t="s">
        <v>5872</v>
      </c>
      <c r="BX1798" s="2" t="s">
        <v>5952</v>
      </c>
      <c r="BY1798" s="2" t="s">
        <v>113</v>
      </c>
      <c r="BZ1798" s="2" t="s">
        <v>100</v>
      </c>
    </row>
    <row r="1799">
      <c r="A1799" s="2" t="s">
        <v>5986</v>
      </c>
      <c r="B1799" s="2" t="s">
        <v>5764</v>
      </c>
      <c r="C1799" s="2" t="s">
        <v>5702</v>
      </c>
      <c r="D1799" s="2" t="s">
        <v>5765</v>
      </c>
      <c r="E1799" s="2" t="s">
        <v>5766</v>
      </c>
      <c r="F1799" s="2" t="s">
        <v>5942</v>
      </c>
      <c r="G1799" s="2" t="s">
        <v>5942</v>
      </c>
      <c r="H1799" s="2" t="s">
        <v>100</v>
      </c>
      <c r="I1799" s="2" t="s">
        <v>5768</v>
      </c>
      <c r="J1799" s="2" t="s">
        <v>706</v>
      </c>
      <c r="K1799" s="2" t="s">
        <v>118</v>
      </c>
      <c r="L1799" s="3">
        <v>79.48</v>
      </c>
      <c r="M1799" s="3">
        <v>83.45</v>
      </c>
      <c r="N1799" s="3">
        <v>154.99</v>
      </c>
      <c r="O1799" s="2" t="s">
        <v>97</v>
      </c>
      <c r="P1799" s="2" t="s">
        <v>950</v>
      </c>
      <c r="Q1799" s="2" t="s">
        <v>99</v>
      </c>
      <c r="R1799" s="2" t="s">
        <v>100</v>
      </c>
      <c r="S1799" s="2" t="s">
        <v>5984</v>
      </c>
      <c r="T1799" s="2" t="s">
        <v>5945</v>
      </c>
      <c r="U1799" s="2" t="s">
        <v>100</v>
      </c>
      <c r="V1799" s="2" t="s">
        <v>146</v>
      </c>
      <c r="W1799" s="2" t="s">
        <v>183</v>
      </c>
      <c r="X1799" s="2" t="s">
        <v>100</v>
      </c>
      <c r="Y1799" s="2" t="s">
        <v>576</v>
      </c>
      <c r="Z1799" s="4">
        <v>204</v>
      </c>
      <c r="AA1799" s="4">
        <f>=ROUNDDOWN(12,0)</f>
      </c>
      <c r="AB1799" s="5">
        <v>17</v>
      </c>
      <c r="AC1799" s="2" t="s">
        <v>872</v>
      </c>
      <c r="AD1799" s="4">
        <v>180</v>
      </c>
      <c r="AE1799" s="4">
        <v>180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>
        <v>2</v>
      </c>
      <c r="AQ1799" s="8">
        <v>181.42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0.4923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167</v>
      </c>
      <c r="BK1799" s="8">
        <v>15129.59</v>
      </c>
      <c r="BL1799" s="2" t="s">
        <v>5987</v>
      </c>
      <c r="BM1799" s="7">
        <v>0.012</v>
      </c>
      <c r="BN1799" s="7">
        <v>0.012</v>
      </c>
      <c r="BO1799" s="4">
        <v>2</v>
      </c>
      <c r="BP1799" s="8">
        <v>181.42</v>
      </c>
      <c r="BQ1799" s="4"/>
      <c r="BR1799" s="8"/>
      <c r="BS1799" s="7"/>
      <c r="BT1799" s="7"/>
      <c r="BU1799" s="2" t="s">
        <v>109</v>
      </c>
      <c r="BV1799" s="2" t="s">
        <v>110</v>
      </c>
      <c r="BW1799" s="2" t="s">
        <v>5872</v>
      </c>
      <c r="BX1799" s="2" t="s">
        <v>5988</v>
      </c>
      <c r="BY1799" s="2" t="s">
        <v>113</v>
      </c>
      <c r="BZ1799" s="2" t="s">
        <v>100</v>
      </c>
    </row>
    <row r="1800">
      <c r="A1800" s="2" t="s">
        <v>5989</v>
      </c>
      <c r="B1800" s="2" t="s">
        <v>5764</v>
      </c>
      <c r="C1800" s="2" t="s">
        <v>5702</v>
      </c>
      <c r="D1800" s="2" t="s">
        <v>5765</v>
      </c>
      <c r="E1800" s="2" t="s">
        <v>5766</v>
      </c>
      <c r="F1800" s="2" t="s">
        <v>5942</v>
      </c>
      <c r="G1800" s="2" t="s">
        <v>5942</v>
      </c>
      <c r="H1800" s="2" t="s">
        <v>100</v>
      </c>
      <c r="I1800" s="2" t="s">
        <v>5768</v>
      </c>
      <c r="J1800" s="2" t="s">
        <v>714</v>
      </c>
      <c r="K1800" s="2" t="s">
        <v>1614</v>
      </c>
      <c r="L1800" s="3">
        <v>89.41</v>
      </c>
      <c r="M1800" s="3">
        <v>93.88</v>
      </c>
      <c r="N1800" s="3">
        <v>174.99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5990</v>
      </c>
      <c r="T1800" s="2" t="s">
        <v>5945</v>
      </c>
      <c r="U1800" s="2" t="s">
        <v>100</v>
      </c>
      <c r="V1800" s="2" t="s">
        <v>146</v>
      </c>
      <c r="W1800" s="2" t="s">
        <v>183</v>
      </c>
      <c r="X1800" s="2" t="s">
        <v>100</v>
      </c>
      <c r="Y1800" s="2" t="s">
        <v>240</v>
      </c>
      <c r="Z1800" s="4">
        <v>490</v>
      </c>
      <c r="AA1800" s="4">
        <f>=ROUNDDOWN(10.2083333333333,0)</f>
      </c>
      <c r="AB1800" s="5">
        <v>48</v>
      </c>
      <c r="AC1800" s="2" t="s">
        <v>821</v>
      </c>
      <c r="AD1800" s="4">
        <v>300</v>
      </c>
      <c r="AE1800" s="4">
        <v>300</v>
      </c>
      <c r="AF1800" s="6">
        <v>65</v>
      </c>
      <c r="AG1800" s="6"/>
      <c r="AH1800" s="7">
        <v>0.5936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>
        <v>3</v>
      </c>
      <c r="AQ1800" s="8">
        <v>306.15</v>
      </c>
      <c r="AR1800" s="4"/>
      <c r="AS1800" s="8"/>
      <c r="AT1800" s="7"/>
      <c r="AU1800" s="7"/>
      <c r="AV1800" s="4">
        <v>3</v>
      </c>
      <c r="AW1800" s="8">
        <v>306.15</v>
      </c>
      <c r="AX1800" s="4"/>
      <c r="AY1800" s="8"/>
      <c r="AZ1800" s="7"/>
      <c r="BA1800" s="7"/>
      <c r="BB1800" s="7">
        <v>1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>
        <v>0.0663</v>
      </c>
      <c r="BJ1800" s="4">
        <v>543</v>
      </c>
      <c r="BK1800" s="8">
        <v>53757.93</v>
      </c>
      <c r="BL1800" s="2" t="s">
        <v>5991</v>
      </c>
      <c r="BM1800" s="7">
        <v>0.0055</v>
      </c>
      <c r="BN1800" s="7">
        <v>0.0057</v>
      </c>
      <c r="BO1800" s="4">
        <v>3</v>
      </c>
      <c r="BP1800" s="8">
        <v>306.15</v>
      </c>
      <c r="BQ1800" s="4"/>
      <c r="BR1800" s="8"/>
      <c r="BS1800" s="7"/>
      <c r="BT1800" s="7"/>
      <c r="BU1800" s="2" t="s">
        <v>109</v>
      </c>
      <c r="BV1800" s="2" t="s">
        <v>110</v>
      </c>
      <c r="BW1800" s="2" t="s">
        <v>4571</v>
      </c>
      <c r="BX1800" s="2" t="s">
        <v>2001</v>
      </c>
      <c r="BY1800" s="2" t="s">
        <v>113</v>
      </c>
      <c r="BZ1800" s="2" t="s">
        <v>100</v>
      </c>
    </row>
    <row r="1801">
      <c r="A1801" s="2" t="s">
        <v>5992</v>
      </c>
      <c r="B1801" s="2" t="s">
        <v>5764</v>
      </c>
      <c r="C1801" s="2" t="s">
        <v>5702</v>
      </c>
      <c r="D1801" s="2" t="s">
        <v>5765</v>
      </c>
      <c r="E1801" s="2" t="s">
        <v>5766</v>
      </c>
      <c r="F1801" s="2" t="s">
        <v>5942</v>
      </c>
      <c r="G1801" s="2" t="s">
        <v>5942</v>
      </c>
      <c r="H1801" s="2" t="s">
        <v>100</v>
      </c>
      <c r="I1801" s="2" t="s">
        <v>5768</v>
      </c>
      <c r="J1801" s="2" t="s">
        <v>706</v>
      </c>
      <c r="K1801" s="2" t="s">
        <v>1172</v>
      </c>
      <c r="L1801" s="3">
        <v>79.48</v>
      </c>
      <c r="M1801" s="3">
        <v>83.45</v>
      </c>
      <c r="N1801" s="3">
        <v>154.99</v>
      </c>
      <c r="O1801" s="2" t="s">
        <v>97</v>
      </c>
      <c r="P1801" s="2" t="s">
        <v>950</v>
      </c>
      <c r="Q1801" s="2" t="s">
        <v>99</v>
      </c>
      <c r="R1801" s="2" t="s">
        <v>100</v>
      </c>
      <c r="S1801" s="2" t="s">
        <v>5993</v>
      </c>
      <c r="T1801" s="2" t="s">
        <v>5945</v>
      </c>
      <c r="U1801" s="2" t="s">
        <v>100</v>
      </c>
      <c r="V1801" s="2" t="s">
        <v>146</v>
      </c>
      <c r="W1801" s="2" t="s">
        <v>183</v>
      </c>
      <c r="X1801" s="2" t="s">
        <v>100</v>
      </c>
      <c r="Y1801" s="2" t="s">
        <v>240</v>
      </c>
      <c r="Z1801" s="4">
        <v>370</v>
      </c>
      <c r="AA1801" s="4">
        <f>=ROUNDDOWN(16.0869565217391,0)</f>
      </c>
      <c r="AB1801" s="5">
        <v>23</v>
      </c>
      <c r="AC1801" s="2" t="s">
        <v>356</v>
      </c>
      <c r="AD1801" s="4">
        <v>150</v>
      </c>
      <c r="AE1801" s="4">
        <v>350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>
        <v>3</v>
      </c>
      <c r="AQ1801" s="8">
        <v>272.13</v>
      </c>
      <c r="AR1801" s="4"/>
      <c r="AS1801" s="8"/>
      <c r="AT1801" s="7"/>
      <c r="AU1801" s="7"/>
      <c r="AV1801" s="4">
        <v>3</v>
      </c>
      <c r="AW1801" s="8">
        <v>272.13</v>
      </c>
      <c r="AX1801" s="4"/>
      <c r="AY1801" s="8"/>
      <c r="AZ1801" s="7"/>
      <c r="BA1801" s="7"/>
      <c r="BB1801" s="7">
        <v>1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>
        <v>0.059</v>
      </c>
      <c r="BJ1801" s="4">
        <v>150</v>
      </c>
      <c r="BK1801" s="8">
        <v>13178.79</v>
      </c>
      <c r="BL1801" s="2" t="s">
        <v>5994</v>
      </c>
      <c r="BM1801" s="7">
        <v>0.02</v>
      </c>
      <c r="BN1801" s="7">
        <v>0.0206</v>
      </c>
      <c r="BO1801" s="4">
        <v>3</v>
      </c>
      <c r="BP1801" s="8">
        <v>272.13</v>
      </c>
      <c r="BQ1801" s="4"/>
      <c r="BR1801" s="8"/>
      <c r="BS1801" s="7"/>
      <c r="BT1801" s="7"/>
      <c r="BU1801" s="2" t="s">
        <v>109</v>
      </c>
      <c r="BV1801" s="2" t="s">
        <v>110</v>
      </c>
      <c r="BW1801" s="2" t="s">
        <v>5872</v>
      </c>
      <c r="BX1801" s="2" t="s">
        <v>5995</v>
      </c>
      <c r="BY1801" s="2" t="s">
        <v>113</v>
      </c>
      <c r="BZ1801" s="2" t="s">
        <v>100</v>
      </c>
    </row>
    <row r="1802">
      <c r="A1802" s="2" t="s">
        <v>5996</v>
      </c>
      <c r="B1802" s="2" t="s">
        <v>5764</v>
      </c>
      <c r="C1802" s="2" t="s">
        <v>5702</v>
      </c>
      <c r="D1802" s="2" t="s">
        <v>5765</v>
      </c>
      <c r="E1802" s="2" t="s">
        <v>5766</v>
      </c>
      <c r="F1802" s="2" t="s">
        <v>5942</v>
      </c>
      <c r="G1802" s="2" t="s">
        <v>5942</v>
      </c>
      <c r="H1802" s="2" t="s">
        <v>100</v>
      </c>
      <c r="I1802" s="2" t="s">
        <v>5768</v>
      </c>
      <c r="J1802" s="2" t="s">
        <v>717</v>
      </c>
      <c r="K1802" s="2" t="s">
        <v>878</v>
      </c>
      <c r="L1802" s="3">
        <v>59.61</v>
      </c>
      <c r="M1802" s="3">
        <v>62.59</v>
      </c>
      <c r="N1802" s="3">
        <v>114.99</v>
      </c>
      <c r="O1802" s="2" t="s">
        <v>97</v>
      </c>
      <c r="P1802" s="2" t="s">
        <v>119</v>
      </c>
      <c r="Q1802" s="2" t="s">
        <v>99</v>
      </c>
      <c r="R1802" s="2" t="s">
        <v>100</v>
      </c>
      <c r="S1802" s="2" t="s">
        <v>5997</v>
      </c>
      <c r="T1802" s="2" t="s">
        <v>4441</v>
      </c>
      <c r="U1802" s="2" t="s">
        <v>1847</v>
      </c>
      <c r="V1802" s="2" t="s">
        <v>146</v>
      </c>
      <c r="W1802" s="2" t="s">
        <v>183</v>
      </c>
      <c r="X1802" s="2" t="s">
        <v>100</v>
      </c>
      <c r="Y1802" s="2" t="s">
        <v>5847</v>
      </c>
      <c r="Z1802" s="4">
        <v>165</v>
      </c>
      <c r="AA1802" s="4">
        <f>=ROUNDDOWN(6.84647302904564,0)</f>
      </c>
      <c r="AB1802" s="5">
        <v>24.1</v>
      </c>
      <c r="AC1802" s="2" t="s">
        <v>356</v>
      </c>
      <c r="AD1802" s="4">
        <v>110</v>
      </c>
      <c r="AE1802" s="4">
        <v>310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/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152</v>
      </c>
      <c r="BK1802" s="8">
        <v>10466.32</v>
      </c>
      <c r="BL1802" s="2" t="s">
        <v>5998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207</v>
      </c>
      <c r="BV1802" s="2" t="s">
        <v>97</v>
      </c>
      <c r="BW1802" s="2" t="s">
        <v>100</v>
      </c>
      <c r="BX1802" s="2" t="s">
        <v>100</v>
      </c>
      <c r="BY1802" s="2" t="s">
        <v>113</v>
      </c>
      <c r="BZ1802" s="2" t="s">
        <v>100</v>
      </c>
    </row>
    <row r="1803">
      <c r="A1803" s="2" t="s">
        <v>5999</v>
      </c>
      <c r="B1803" s="2" t="s">
        <v>5764</v>
      </c>
      <c r="C1803" s="2" t="s">
        <v>5702</v>
      </c>
      <c r="D1803" s="2" t="s">
        <v>5765</v>
      </c>
      <c r="E1803" s="2" t="s">
        <v>5766</v>
      </c>
      <c r="F1803" s="2" t="s">
        <v>5942</v>
      </c>
      <c r="G1803" s="2" t="s">
        <v>5942</v>
      </c>
      <c r="H1803" s="2" t="s">
        <v>100</v>
      </c>
      <c r="I1803" s="2" t="s">
        <v>5768</v>
      </c>
      <c r="J1803" s="2" t="s">
        <v>706</v>
      </c>
      <c r="K1803" s="2" t="s">
        <v>878</v>
      </c>
      <c r="L1803" s="3">
        <v>79.48</v>
      </c>
      <c r="M1803" s="3">
        <v>83.45</v>
      </c>
      <c r="N1803" s="3">
        <v>154.99</v>
      </c>
      <c r="O1803" s="2" t="s">
        <v>97</v>
      </c>
      <c r="P1803" s="2" t="s">
        <v>119</v>
      </c>
      <c r="Q1803" s="2" t="s">
        <v>99</v>
      </c>
      <c r="R1803" s="2" t="s">
        <v>100</v>
      </c>
      <c r="S1803" s="2" t="s">
        <v>5997</v>
      </c>
      <c r="T1803" s="2" t="s">
        <v>4441</v>
      </c>
      <c r="U1803" s="2" t="s">
        <v>1847</v>
      </c>
      <c r="V1803" s="2" t="s">
        <v>146</v>
      </c>
      <c r="W1803" s="2" t="s">
        <v>183</v>
      </c>
      <c r="X1803" s="2" t="s">
        <v>100</v>
      </c>
      <c r="Y1803" s="2" t="s">
        <v>2031</v>
      </c>
      <c r="Z1803" s="4">
        <v>105</v>
      </c>
      <c r="AA1803" s="4">
        <f>=ROUNDDOWN(10.5,0)</f>
      </c>
      <c r="AB1803" s="5">
        <v>10</v>
      </c>
      <c r="AC1803" s="2" t="s">
        <v>356</v>
      </c>
      <c r="AD1803" s="4">
        <v>120</v>
      </c>
      <c r="AE1803" s="4">
        <v>120</v>
      </c>
      <c r="AF1803" s="6">
        <v>65</v>
      </c>
      <c r="AG1803" s="6"/>
      <c r="AH1803" s="7">
        <v>0.5936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/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264</v>
      </c>
      <c r="BK1803" s="8">
        <v>24150.45</v>
      </c>
      <c r="BL1803" s="2" t="s">
        <v>5998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207</v>
      </c>
      <c r="BV1803" s="2" t="s">
        <v>97</v>
      </c>
      <c r="BW1803" s="2" t="s">
        <v>100</v>
      </c>
      <c r="BX1803" s="2" t="s">
        <v>100</v>
      </c>
      <c r="BY1803" s="2" t="s">
        <v>113</v>
      </c>
      <c r="BZ1803" s="2" t="s">
        <v>100</v>
      </c>
    </row>
    <row r="1804">
      <c r="A1804" s="2" t="s">
        <v>6000</v>
      </c>
      <c r="B1804" s="2" t="s">
        <v>5764</v>
      </c>
      <c r="C1804" s="2" t="s">
        <v>5702</v>
      </c>
      <c r="D1804" s="2" t="s">
        <v>5765</v>
      </c>
      <c r="E1804" s="2" t="s">
        <v>5766</v>
      </c>
      <c r="F1804" s="2" t="s">
        <v>5942</v>
      </c>
      <c r="G1804" s="2" t="s">
        <v>5942</v>
      </c>
      <c r="H1804" s="2" t="s">
        <v>100</v>
      </c>
      <c r="I1804" s="2" t="s">
        <v>5768</v>
      </c>
      <c r="J1804" s="2" t="s">
        <v>714</v>
      </c>
      <c r="K1804" s="2" t="s">
        <v>878</v>
      </c>
      <c r="L1804" s="3">
        <v>89.41</v>
      </c>
      <c r="M1804" s="3">
        <v>93.88</v>
      </c>
      <c r="N1804" s="3">
        <v>174.99</v>
      </c>
      <c r="O1804" s="2" t="s">
        <v>97</v>
      </c>
      <c r="P1804" s="2" t="s">
        <v>119</v>
      </c>
      <c r="Q1804" s="2" t="s">
        <v>99</v>
      </c>
      <c r="R1804" s="2" t="s">
        <v>100</v>
      </c>
      <c r="S1804" s="2" t="s">
        <v>5997</v>
      </c>
      <c r="T1804" s="2" t="s">
        <v>4441</v>
      </c>
      <c r="U1804" s="2" t="s">
        <v>1847</v>
      </c>
      <c r="V1804" s="2" t="s">
        <v>146</v>
      </c>
      <c r="W1804" s="2" t="s">
        <v>183</v>
      </c>
      <c r="X1804" s="2" t="s">
        <v>100</v>
      </c>
      <c r="Y1804" s="2" t="s">
        <v>2031</v>
      </c>
      <c r="Z1804" s="4">
        <v>161</v>
      </c>
      <c r="AA1804" s="4">
        <f>=ROUNDDOWN(12.3846153846154,0)</f>
      </c>
      <c r="AB1804" s="5">
        <v>13</v>
      </c>
      <c r="AC1804" s="2" t="s">
        <v>4745</v>
      </c>
      <c r="AD1804" s="4">
        <v>300</v>
      </c>
      <c r="AE1804" s="4">
        <v>300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/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108</v>
      </c>
      <c r="BK1804" s="8">
        <v>11139.39</v>
      </c>
      <c r="BL1804" s="2" t="s">
        <v>5850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207</v>
      </c>
      <c r="BV1804" s="2" t="s">
        <v>97</v>
      </c>
      <c r="BW1804" s="2" t="s">
        <v>100</v>
      </c>
      <c r="BX1804" s="2" t="s">
        <v>100</v>
      </c>
      <c r="BY1804" s="2" t="s">
        <v>113</v>
      </c>
      <c r="BZ1804" s="2" t="s">
        <v>100</v>
      </c>
    </row>
    <row r="1805">
      <c r="A1805" s="2" t="s">
        <v>6001</v>
      </c>
      <c r="B1805" s="2" t="s">
        <v>5764</v>
      </c>
      <c r="C1805" s="2" t="s">
        <v>5702</v>
      </c>
      <c r="D1805" s="2" t="s">
        <v>5765</v>
      </c>
      <c r="E1805" s="2" t="s">
        <v>5766</v>
      </c>
      <c r="F1805" s="2" t="s">
        <v>6002</v>
      </c>
      <c r="G1805" s="2" t="s">
        <v>6002</v>
      </c>
      <c r="H1805" s="2" t="s">
        <v>6002</v>
      </c>
      <c r="I1805" s="2" t="s">
        <v>6003</v>
      </c>
      <c r="J1805" s="2" t="s">
        <v>706</v>
      </c>
      <c r="K1805" s="2" t="s">
        <v>1148</v>
      </c>
      <c r="L1805" s="3">
        <v>95.23</v>
      </c>
      <c r="M1805" s="3">
        <v>99.99</v>
      </c>
      <c r="N1805" s="3">
        <v>199.99</v>
      </c>
      <c r="O1805" s="2" t="s">
        <v>97</v>
      </c>
      <c r="P1805" s="2" t="s">
        <v>119</v>
      </c>
      <c r="Q1805" s="2" t="s">
        <v>99</v>
      </c>
      <c r="R1805" s="2" t="s">
        <v>100</v>
      </c>
      <c r="S1805" s="2" t="s">
        <v>6004</v>
      </c>
      <c r="T1805" s="2" t="s">
        <v>4441</v>
      </c>
      <c r="U1805" s="2" t="s">
        <v>1847</v>
      </c>
      <c r="V1805" s="2" t="s">
        <v>146</v>
      </c>
      <c r="W1805" s="2" t="s">
        <v>183</v>
      </c>
      <c r="X1805" s="2" t="s">
        <v>100</v>
      </c>
      <c r="Y1805" s="2" t="s">
        <v>6005</v>
      </c>
      <c r="Z1805" s="4">
        <v>304</v>
      </c>
      <c r="AA1805" s="4">
        <f>=ROUNDDOWN(20.2666666666667,0)</f>
      </c>
      <c r="AB1805" s="5">
        <v>15</v>
      </c>
      <c r="AC1805" s="2" t="s">
        <v>282</v>
      </c>
      <c r="AD1805" s="4">
        <v>100</v>
      </c>
      <c r="AE1805" s="4">
        <v>100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/>
      <c r="BJ1805" s="4">
        <v>62</v>
      </c>
      <c r="BK1805" s="8">
        <v>6503.6</v>
      </c>
      <c r="BL1805" s="2" t="s">
        <v>6006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207</v>
      </c>
      <c r="BV1805" s="2" t="s">
        <v>97</v>
      </c>
      <c r="BW1805" s="2" t="s">
        <v>100</v>
      </c>
      <c r="BX1805" s="2" t="s">
        <v>100</v>
      </c>
      <c r="BY1805" s="2" t="s">
        <v>113</v>
      </c>
      <c r="BZ1805" s="2" t="s">
        <v>100</v>
      </c>
    </row>
    <row r="1806">
      <c r="A1806" s="2" t="s">
        <v>6007</v>
      </c>
      <c r="B1806" s="2" t="s">
        <v>5764</v>
      </c>
      <c r="C1806" s="2" t="s">
        <v>5702</v>
      </c>
      <c r="D1806" s="2" t="s">
        <v>5765</v>
      </c>
      <c r="E1806" s="2" t="s">
        <v>5766</v>
      </c>
      <c r="F1806" s="2" t="s">
        <v>6002</v>
      </c>
      <c r="G1806" s="2" t="s">
        <v>6002</v>
      </c>
      <c r="H1806" s="2" t="s">
        <v>6002</v>
      </c>
      <c r="I1806" s="2" t="s">
        <v>6003</v>
      </c>
      <c r="J1806" s="2" t="s">
        <v>714</v>
      </c>
      <c r="K1806" s="2" t="s">
        <v>1148</v>
      </c>
      <c r="L1806" s="3">
        <v>100</v>
      </c>
      <c r="M1806" s="3">
        <v>105</v>
      </c>
      <c r="N1806" s="3">
        <v>209.99</v>
      </c>
      <c r="O1806" s="2" t="s">
        <v>97</v>
      </c>
      <c r="P1806" s="2" t="s">
        <v>119</v>
      </c>
      <c r="Q1806" s="2" t="s">
        <v>99</v>
      </c>
      <c r="R1806" s="2" t="s">
        <v>100</v>
      </c>
      <c r="S1806" s="2" t="s">
        <v>6004</v>
      </c>
      <c r="T1806" s="2" t="s">
        <v>4441</v>
      </c>
      <c r="U1806" s="2" t="s">
        <v>1847</v>
      </c>
      <c r="V1806" s="2" t="s">
        <v>146</v>
      </c>
      <c r="W1806" s="2" t="s">
        <v>183</v>
      </c>
      <c r="X1806" s="2" t="s">
        <v>100</v>
      </c>
      <c r="Y1806" s="2" t="s">
        <v>6005</v>
      </c>
      <c r="Z1806" s="4">
        <v>332</v>
      </c>
      <c r="AA1806" s="4">
        <f>=ROUNDDOWN(10.7096774193548,0)</f>
      </c>
      <c r="AB1806" s="5">
        <v>31</v>
      </c>
      <c r="AC1806" s="2" t="s">
        <v>184</v>
      </c>
      <c r="AD1806" s="4">
        <v>100</v>
      </c>
      <c r="AE1806" s="4">
        <v>444</v>
      </c>
      <c r="AF1806" s="6">
        <v>65</v>
      </c>
      <c r="AG1806" s="6"/>
      <c r="AH1806" s="7">
        <v>0.2193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/>
      <c r="BJ1806" s="4">
        <v>111</v>
      </c>
      <c r="BK1806" s="8">
        <v>12509.45</v>
      </c>
      <c r="BL1806" s="2" t="s">
        <v>548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207</v>
      </c>
      <c r="BV1806" s="2" t="s">
        <v>97</v>
      </c>
      <c r="BW1806" s="2" t="s">
        <v>100</v>
      </c>
      <c r="BX1806" s="2" t="s">
        <v>100</v>
      </c>
      <c r="BY1806" s="2" t="s">
        <v>113</v>
      </c>
      <c r="BZ1806" s="2" t="s">
        <v>100</v>
      </c>
    </row>
    <row r="1807">
      <c r="A1807" s="2" t="s">
        <v>6008</v>
      </c>
      <c r="B1807" s="2" t="s">
        <v>5764</v>
      </c>
      <c r="C1807" s="2" t="s">
        <v>5702</v>
      </c>
      <c r="D1807" s="2" t="s">
        <v>5765</v>
      </c>
      <c r="E1807" s="2" t="s">
        <v>5766</v>
      </c>
      <c r="F1807" s="2" t="s">
        <v>6002</v>
      </c>
      <c r="G1807" s="2" t="s">
        <v>6002</v>
      </c>
      <c r="H1807" s="2" t="s">
        <v>6002</v>
      </c>
      <c r="I1807" s="2" t="s">
        <v>6003</v>
      </c>
      <c r="J1807" s="2" t="s">
        <v>706</v>
      </c>
      <c r="K1807" s="2" t="s">
        <v>1614</v>
      </c>
      <c r="L1807" s="3">
        <v>95.23</v>
      </c>
      <c r="M1807" s="3">
        <v>99.99</v>
      </c>
      <c r="N1807" s="3">
        <v>199.99</v>
      </c>
      <c r="O1807" s="2" t="s">
        <v>97</v>
      </c>
      <c r="P1807" s="2" t="s">
        <v>119</v>
      </c>
      <c r="Q1807" s="2" t="s">
        <v>99</v>
      </c>
      <c r="R1807" s="2" t="s">
        <v>100</v>
      </c>
      <c r="S1807" s="2" t="s">
        <v>6009</v>
      </c>
      <c r="T1807" s="2" t="s">
        <v>4441</v>
      </c>
      <c r="U1807" s="2" t="s">
        <v>1847</v>
      </c>
      <c r="V1807" s="2" t="s">
        <v>146</v>
      </c>
      <c r="W1807" s="2" t="s">
        <v>183</v>
      </c>
      <c r="X1807" s="2" t="s">
        <v>100</v>
      </c>
      <c r="Y1807" s="2" t="s">
        <v>6005</v>
      </c>
      <c r="Z1807" s="4">
        <v>216</v>
      </c>
      <c r="AA1807" s="4">
        <f>=ROUNDDOWN(19.6363636363636,0)</f>
      </c>
      <c r="AB1807" s="5">
        <v>11</v>
      </c>
      <c r="AC1807" s="2" t="s">
        <v>184</v>
      </c>
      <c r="AD1807" s="4">
        <v>100</v>
      </c>
      <c r="AE1807" s="4">
        <v>150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/>
      <c r="BJ1807" s="4">
        <v>71</v>
      </c>
      <c r="BK1807" s="8">
        <v>7366.06</v>
      </c>
      <c r="BL1807" s="2" t="s">
        <v>6010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207</v>
      </c>
      <c r="BV1807" s="2" t="s">
        <v>97</v>
      </c>
      <c r="BW1807" s="2" t="s">
        <v>100</v>
      </c>
      <c r="BX1807" s="2" t="s">
        <v>100</v>
      </c>
      <c r="BY1807" s="2" t="s">
        <v>113</v>
      </c>
      <c r="BZ1807" s="2" t="s">
        <v>100</v>
      </c>
    </row>
    <row r="1808">
      <c r="A1808" s="2" t="s">
        <v>6011</v>
      </c>
      <c r="B1808" s="2" t="s">
        <v>5764</v>
      </c>
      <c r="C1808" s="2" t="s">
        <v>5702</v>
      </c>
      <c r="D1808" s="2" t="s">
        <v>5765</v>
      </c>
      <c r="E1808" s="2" t="s">
        <v>5766</v>
      </c>
      <c r="F1808" s="2" t="s">
        <v>6002</v>
      </c>
      <c r="G1808" s="2" t="s">
        <v>6002</v>
      </c>
      <c r="H1808" s="2" t="s">
        <v>6002</v>
      </c>
      <c r="I1808" s="2" t="s">
        <v>6003</v>
      </c>
      <c r="J1808" s="2" t="s">
        <v>714</v>
      </c>
      <c r="K1808" s="2" t="s">
        <v>1614</v>
      </c>
      <c r="L1808" s="3">
        <v>100</v>
      </c>
      <c r="M1808" s="3">
        <v>105</v>
      </c>
      <c r="N1808" s="3">
        <v>209.99</v>
      </c>
      <c r="O1808" s="2" t="s">
        <v>97</v>
      </c>
      <c r="P1808" s="2" t="s">
        <v>119</v>
      </c>
      <c r="Q1808" s="2" t="s">
        <v>99</v>
      </c>
      <c r="R1808" s="2" t="s">
        <v>100</v>
      </c>
      <c r="S1808" s="2" t="s">
        <v>6009</v>
      </c>
      <c r="T1808" s="2" t="s">
        <v>4441</v>
      </c>
      <c r="U1808" s="2" t="s">
        <v>1847</v>
      </c>
      <c r="V1808" s="2" t="s">
        <v>146</v>
      </c>
      <c r="W1808" s="2" t="s">
        <v>183</v>
      </c>
      <c r="X1808" s="2" t="s">
        <v>100</v>
      </c>
      <c r="Y1808" s="2" t="s">
        <v>6005</v>
      </c>
      <c r="Z1808" s="4">
        <v>153</v>
      </c>
      <c r="AA1808" s="4">
        <f>=ROUNDDOWN(6.375,0)</f>
      </c>
      <c r="AB1808" s="5">
        <v>24</v>
      </c>
      <c r="AC1808" s="2" t="s">
        <v>184</v>
      </c>
      <c r="AD1808" s="4">
        <v>100</v>
      </c>
      <c r="AE1808" s="4">
        <v>330</v>
      </c>
      <c r="AF1808" s="6">
        <v>65</v>
      </c>
      <c r="AG1808" s="6"/>
      <c r="AH1808" s="7">
        <v>0.2193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/>
      <c r="BJ1808" s="4">
        <v>92</v>
      </c>
      <c r="BK1808" s="8">
        <v>10320.7</v>
      </c>
      <c r="BL1808" s="2" t="s">
        <v>6012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207</v>
      </c>
      <c r="BV1808" s="2" t="s">
        <v>97</v>
      </c>
      <c r="BW1808" s="2" t="s">
        <v>100</v>
      </c>
      <c r="BX1808" s="2" t="s">
        <v>100</v>
      </c>
      <c r="BY1808" s="2" t="s">
        <v>113</v>
      </c>
      <c r="BZ1808" s="2" t="s">
        <v>100</v>
      </c>
    </row>
    <row r="1809">
      <c r="A1809" s="2" t="s">
        <v>6013</v>
      </c>
      <c r="B1809" s="2" t="s">
        <v>5764</v>
      </c>
      <c r="C1809" s="2" t="s">
        <v>5702</v>
      </c>
      <c r="D1809" s="2" t="s">
        <v>5765</v>
      </c>
      <c r="E1809" s="2" t="s">
        <v>5766</v>
      </c>
      <c r="F1809" s="2" t="s">
        <v>6002</v>
      </c>
      <c r="G1809" s="2" t="s">
        <v>6002</v>
      </c>
      <c r="H1809" s="2" t="s">
        <v>6002</v>
      </c>
      <c r="I1809" s="2" t="s">
        <v>6003</v>
      </c>
      <c r="J1809" s="2" t="s">
        <v>706</v>
      </c>
      <c r="K1809" s="2" t="s">
        <v>629</v>
      </c>
      <c r="L1809" s="3">
        <v>95.23</v>
      </c>
      <c r="M1809" s="3">
        <v>99.99</v>
      </c>
      <c r="N1809" s="3">
        <v>199.99</v>
      </c>
      <c r="O1809" s="2" t="s">
        <v>97</v>
      </c>
      <c r="P1809" s="2" t="s">
        <v>119</v>
      </c>
      <c r="Q1809" s="2" t="s">
        <v>99</v>
      </c>
      <c r="R1809" s="2" t="s">
        <v>100</v>
      </c>
      <c r="S1809" s="2" t="s">
        <v>6014</v>
      </c>
      <c r="T1809" s="2" t="s">
        <v>4441</v>
      </c>
      <c r="U1809" s="2" t="s">
        <v>1847</v>
      </c>
      <c r="V1809" s="2" t="s">
        <v>146</v>
      </c>
      <c r="W1809" s="2" t="s">
        <v>183</v>
      </c>
      <c r="X1809" s="2" t="s">
        <v>100</v>
      </c>
      <c r="Y1809" s="2" t="s">
        <v>6005</v>
      </c>
      <c r="Z1809" s="4">
        <v>379</v>
      </c>
      <c r="AA1809" s="4">
        <f>=ROUNDDOWN(37.9,0)</f>
      </c>
      <c r="AB1809" s="5">
        <v>10</v>
      </c>
      <c r="AC1809" s="2" t="s">
        <v>184</v>
      </c>
      <c r="AD1809" s="4">
        <v>100</v>
      </c>
      <c r="AE1809" s="4">
        <v>150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31</v>
      </c>
      <c r="BK1809" s="8">
        <v>3280.69</v>
      </c>
      <c r="BL1809" s="2" t="s">
        <v>1167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207</v>
      </c>
      <c r="BV1809" s="2" t="s">
        <v>97</v>
      </c>
      <c r="BW1809" s="2" t="s">
        <v>100</v>
      </c>
      <c r="BX1809" s="2" t="s">
        <v>100</v>
      </c>
      <c r="BY1809" s="2" t="s">
        <v>113</v>
      </c>
      <c r="BZ1809" s="2" t="s">
        <v>100</v>
      </c>
    </row>
    <row r="1810">
      <c r="A1810" s="2" t="s">
        <v>6015</v>
      </c>
      <c r="B1810" s="2" t="s">
        <v>5764</v>
      </c>
      <c r="C1810" s="2" t="s">
        <v>5702</v>
      </c>
      <c r="D1810" s="2" t="s">
        <v>5765</v>
      </c>
      <c r="E1810" s="2" t="s">
        <v>5766</v>
      </c>
      <c r="F1810" s="2" t="s">
        <v>6002</v>
      </c>
      <c r="G1810" s="2" t="s">
        <v>6002</v>
      </c>
      <c r="H1810" s="2" t="s">
        <v>6002</v>
      </c>
      <c r="I1810" s="2" t="s">
        <v>6003</v>
      </c>
      <c r="J1810" s="2" t="s">
        <v>714</v>
      </c>
      <c r="K1810" s="2" t="s">
        <v>629</v>
      </c>
      <c r="L1810" s="3">
        <v>100</v>
      </c>
      <c r="M1810" s="3">
        <v>105</v>
      </c>
      <c r="N1810" s="3">
        <v>209.99</v>
      </c>
      <c r="O1810" s="2" t="s">
        <v>97</v>
      </c>
      <c r="P1810" s="2" t="s">
        <v>119</v>
      </c>
      <c r="Q1810" s="2" t="s">
        <v>99</v>
      </c>
      <c r="R1810" s="2" t="s">
        <v>100</v>
      </c>
      <c r="S1810" s="2" t="s">
        <v>6014</v>
      </c>
      <c r="T1810" s="2" t="s">
        <v>4441</v>
      </c>
      <c r="U1810" s="2" t="s">
        <v>1847</v>
      </c>
      <c r="V1810" s="2" t="s">
        <v>146</v>
      </c>
      <c r="W1810" s="2" t="s">
        <v>183</v>
      </c>
      <c r="X1810" s="2" t="s">
        <v>100</v>
      </c>
      <c r="Y1810" s="2" t="s">
        <v>6005</v>
      </c>
      <c r="Z1810" s="4">
        <v>237</v>
      </c>
      <c r="AA1810" s="4">
        <f>=ROUNDDOWN(13.1666666666667,0)</f>
      </c>
      <c r="AB1810" s="5">
        <v>18</v>
      </c>
      <c r="AC1810" s="2" t="s">
        <v>184</v>
      </c>
      <c r="AD1810" s="4">
        <v>100</v>
      </c>
      <c r="AE1810" s="4">
        <v>250</v>
      </c>
      <c r="AF1810" s="6">
        <v>65</v>
      </c>
      <c r="AG1810" s="6"/>
      <c r="AH1810" s="7">
        <v>0.2193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>
        <v>34</v>
      </c>
      <c r="BK1810" s="8">
        <v>3838.5</v>
      </c>
      <c r="BL1810" s="2" t="s">
        <v>6016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207</v>
      </c>
      <c r="BV1810" s="2" t="s">
        <v>97</v>
      </c>
      <c r="BW1810" s="2" t="s">
        <v>100</v>
      </c>
      <c r="BX1810" s="2" t="s">
        <v>100</v>
      </c>
      <c r="BY1810" s="2" t="s">
        <v>113</v>
      </c>
      <c r="BZ1810" s="2" t="s">
        <v>100</v>
      </c>
    </row>
    <row r="1811">
      <c r="A1811" s="2" t="s">
        <v>6017</v>
      </c>
      <c r="B1811" s="2" t="s">
        <v>5764</v>
      </c>
      <c r="C1811" s="2" t="s">
        <v>5702</v>
      </c>
      <c r="D1811" s="2" t="s">
        <v>5765</v>
      </c>
      <c r="E1811" s="2" t="s">
        <v>6018</v>
      </c>
      <c r="F1811" s="2" t="s">
        <v>6019</v>
      </c>
      <c r="G1811" s="2" t="s">
        <v>6019</v>
      </c>
      <c r="H1811" s="2" t="s">
        <v>6019</v>
      </c>
      <c r="I1811" s="2" t="s">
        <v>6020</v>
      </c>
      <c r="J1811" s="2" t="s">
        <v>6021</v>
      </c>
      <c r="K1811" s="2" t="s">
        <v>198</v>
      </c>
      <c r="L1811" s="3">
        <v>38.4</v>
      </c>
      <c r="M1811" s="3">
        <v>40.32</v>
      </c>
      <c r="N1811" s="3">
        <v>79.99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6022</v>
      </c>
      <c r="T1811" s="2" t="s">
        <v>4441</v>
      </c>
      <c r="U1811" s="2" t="s">
        <v>100</v>
      </c>
      <c r="V1811" s="2" t="s">
        <v>403</v>
      </c>
      <c r="W1811" s="2" t="s">
        <v>183</v>
      </c>
      <c r="X1811" s="2" t="s">
        <v>104</v>
      </c>
      <c r="Y1811" s="2" t="s">
        <v>240</v>
      </c>
      <c r="Z1811" s="4">
        <v>1138</v>
      </c>
      <c r="AA1811" s="4">
        <f>=ROUNDDOWN(13.8780487804878,0)</f>
      </c>
      <c r="AB1811" s="5">
        <v>82</v>
      </c>
      <c r="AC1811" s="2" t="s">
        <v>100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>
        <v>105</v>
      </c>
      <c r="AQ1811" s="8">
        <v>4167.45</v>
      </c>
      <c r="AR1811" s="4"/>
      <c r="AS1811" s="8"/>
      <c r="AT1811" s="7"/>
      <c r="AU1811" s="7"/>
      <c r="AV1811" s="4">
        <v>105</v>
      </c>
      <c r="AW1811" s="8">
        <v>4167.45</v>
      </c>
      <c r="AX1811" s="4"/>
      <c r="AY1811" s="8"/>
      <c r="AZ1811" s="7"/>
      <c r="BA1811" s="7"/>
      <c r="BB1811" s="7">
        <v>1</v>
      </c>
      <c r="BC1811" s="4">
        <v>118</v>
      </c>
      <c r="BD1811" s="8">
        <v>4683.42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0.8898</v>
      </c>
      <c r="BJ1811" s="4">
        <v>1869</v>
      </c>
      <c r="BK1811" s="8">
        <v>73807.27</v>
      </c>
      <c r="BL1811" s="2" t="s">
        <v>6023</v>
      </c>
      <c r="BM1811" s="7">
        <v>0.0562</v>
      </c>
      <c r="BN1811" s="7">
        <v>0.0565</v>
      </c>
      <c r="BO1811" s="4">
        <v>105</v>
      </c>
      <c r="BP1811" s="8">
        <v>4167.45</v>
      </c>
      <c r="BQ1811" s="4"/>
      <c r="BR1811" s="8"/>
      <c r="BS1811" s="7"/>
      <c r="BT1811" s="7"/>
      <c r="BU1811" s="2" t="s">
        <v>109</v>
      </c>
      <c r="BV1811" s="2" t="s">
        <v>110</v>
      </c>
      <c r="BW1811" s="2" t="s">
        <v>4840</v>
      </c>
      <c r="BX1811" s="2" t="s">
        <v>1125</v>
      </c>
      <c r="BY1811" s="2" t="s">
        <v>113</v>
      </c>
      <c r="BZ1811" s="2" t="s">
        <v>100</v>
      </c>
    </row>
    <row r="1812">
      <c r="A1812" s="2" t="s">
        <v>6024</v>
      </c>
      <c r="B1812" s="2" t="s">
        <v>5764</v>
      </c>
      <c r="C1812" s="2" t="s">
        <v>5702</v>
      </c>
      <c r="D1812" s="2" t="s">
        <v>5765</v>
      </c>
      <c r="E1812" s="2" t="s">
        <v>6018</v>
      </c>
      <c r="F1812" s="2" t="s">
        <v>6019</v>
      </c>
      <c r="G1812" s="2" t="s">
        <v>6019</v>
      </c>
      <c r="H1812" s="2" t="s">
        <v>6019</v>
      </c>
      <c r="I1812" s="2" t="s">
        <v>6020</v>
      </c>
      <c r="J1812" s="2" t="s">
        <v>6021</v>
      </c>
      <c r="K1812" s="2" t="s">
        <v>496</v>
      </c>
      <c r="L1812" s="3">
        <v>38.4</v>
      </c>
      <c r="M1812" s="3">
        <v>40.32</v>
      </c>
      <c r="N1812" s="3">
        <v>79.99</v>
      </c>
      <c r="O1812" s="2" t="s">
        <v>97</v>
      </c>
      <c r="P1812" s="2" t="s">
        <v>372</v>
      </c>
      <c r="Q1812" s="2" t="s">
        <v>99</v>
      </c>
      <c r="R1812" s="2" t="s">
        <v>100</v>
      </c>
      <c r="S1812" s="2" t="s">
        <v>6025</v>
      </c>
      <c r="T1812" s="2" t="s">
        <v>4441</v>
      </c>
      <c r="U1812" s="2" t="s">
        <v>100</v>
      </c>
      <c r="V1812" s="2" t="s">
        <v>403</v>
      </c>
      <c r="W1812" s="2" t="s">
        <v>183</v>
      </c>
      <c r="X1812" s="2" t="s">
        <v>104</v>
      </c>
      <c r="Y1812" s="2" t="s">
        <v>3938</v>
      </c>
      <c r="Z1812" s="4">
        <v>1788</v>
      </c>
      <c r="AA1812" s="4">
        <f>=ROUNDDOWN(51.0857142857143,0)</f>
      </c>
      <c r="AB1812" s="5">
        <v>35</v>
      </c>
      <c r="AC1812" s="2" t="s">
        <v>768</v>
      </c>
      <c r="AD1812" s="4">
        <v>127</v>
      </c>
      <c r="AE1812" s="4">
        <v>590</v>
      </c>
      <c r="AF1812" s="6">
        <v>65</v>
      </c>
      <c r="AG1812" s="6"/>
      <c r="AH1812" s="7">
        <v>0.6203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>
        <v>8</v>
      </c>
      <c r="AQ1812" s="8">
        <v>317.52</v>
      </c>
      <c r="AR1812" s="4"/>
      <c r="AS1812" s="8"/>
      <c r="AT1812" s="7"/>
      <c r="AU1812" s="7"/>
      <c r="AV1812" s="4">
        <v>8</v>
      </c>
      <c r="AW1812" s="8">
        <v>317.52</v>
      </c>
      <c r="AX1812" s="4"/>
      <c r="AY1812" s="8"/>
      <c r="AZ1812" s="7"/>
      <c r="BA1812" s="7"/>
      <c r="BB1812" s="7">
        <v>1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0.0678</v>
      </c>
      <c r="BJ1812" s="4">
        <v>181</v>
      </c>
      <c r="BK1812" s="8">
        <v>7119.55</v>
      </c>
      <c r="BL1812" s="2" t="s">
        <v>6026</v>
      </c>
      <c r="BM1812" s="7">
        <v>0.0442</v>
      </c>
      <c r="BN1812" s="7">
        <v>0.0446</v>
      </c>
      <c r="BO1812" s="4">
        <v>8</v>
      </c>
      <c r="BP1812" s="8">
        <v>317.52</v>
      </c>
      <c r="BQ1812" s="4"/>
      <c r="BR1812" s="8"/>
      <c r="BS1812" s="7"/>
      <c r="BT1812" s="7"/>
      <c r="BU1812" s="2" t="s">
        <v>109</v>
      </c>
      <c r="BV1812" s="2" t="s">
        <v>110</v>
      </c>
      <c r="BW1812" s="2" t="s">
        <v>4840</v>
      </c>
      <c r="BX1812" s="2" t="s">
        <v>1003</v>
      </c>
      <c r="BY1812" s="2" t="s">
        <v>113</v>
      </c>
      <c r="BZ1812" s="2" t="s">
        <v>100</v>
      </c>
    </row>
    <row r="1813">
      <c r="A1813" s="2" t="s">
        <v>6027</v>
      </c>
      <c r="B1813" s="2" t="s">
        <v>5764</v>
      </c>
      <c r="C1813" s="2" t="s">
        <v>5702</v>
      </c>
      <c r="D1813" s="2" t="s">
        <v>5765</v>
      </c>
      <c r="E1813" s="2" t="s">
        <v>6018</v>
      </c>
      <c r="F1813" s="2" t="s">
        <v>6019</v>
      </c>
      <c r="G1813" s="2" t="s">
        <v>6019</v>
      </c>
      <c r="H1813" s="2" t="s">
        <v>6019</v>
      </c>
      <c r="I1813" s="2" t="s">
        <v>6020</v>
      </c>
      <c r="J1813" s="2" t="s">
        <v>6021</v>
      </c>
      <c r="K1813" s="2" t="s">
        <v>96</v>
      </c>
      <c r="L1813" s="3">
        <v>38.4</v>
      </c>
      <c r="M1813" s="3">
        <v>40.32</v>
      </c>
      <c r="N1813" s="3">
        <v>79.99</v>
      </c>
      <c r="O1813" s="2" t="s">
        <v>97</v>
      </c>
      <c r="P1813" s="2" t="s">
        <v>307</v>
      </c>
      <c r="Q1813" s="2" t="s">
        <v>99</v>
      </c>
      <c r="R1813" s="2" t="s">
        <v>100</v>
      </c>
      <c r="S1813" s="2" t="s">
        <v>6028</v>
      </c>
      <c r="T1813" s="2" t="s">
        <v>4441</v>
      </c>
      <c r="U1813" s="2" t="s">
        <v>100</v>
      </c>
      <c r="V1813" s="2" t="s">
        <v>403</v>
      </c>
      <c r="W1813" s="2" t="s">
        <v>183</v>
      </c>
      <c r="X1813" s="2" t="s">
        <v>104</v>
      </c>
      <c r="Y1813" s="2" t="s">
        <v>240</v>
      </c>
      <c r="Z1813" s="4">
        <v>1854</v>
      </c>
      <c r="AA1813" s="4">
        <f>=ROUNDDOWN(43.1162790697674,0)</f>
      </c>
      <c r="AB1813" s="5">
        <v>43</v>
      </c>
      <c r="AC1813" s="2" t="s">
        <v>768</v>
      </c>
      <c r="AD1813" s="4">
        <v>641</v>
      </c>
      <c r="AE1813" s="4">
        <v>772</v>
      </c>
      <c r="AF1813" s="6">
        <v>65</v>
      </c>
      <c r="AG1813" s="6"/>
      <c r="AH1813" s="7">
        <v>0.6203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>
        <v>5</v>
      </c>
      <c r="AQ1813" s="8">
        <v>198.45</v>
      </c>
      <c r="AR1813" s="4"/>
      <c r="AS1813" s="8"/>
      <c r="AT1813" s="7"/>
      <c r="AU1813" s="7"/>
      <c r="AV1813" s="4">
        <v>5</v>
      </c>
      <c r="AW1813" s="8">
        <v>198.45</v>
      </c>
      <c r="AX1813" s="4"/>
      <c r="AY1813" s="8"/>
      <c r="AZ1813" s="7"/>
      <c r="BA1813" s="7"/>
      <c r="BB1813" s="7">
        <v>1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0.0424</v>
      </c>
      <c r="BJ1813" s="4">
        <v>1602</v>
      </c>
      <c r="BK1813" s="8">
        <v>63260.71</v>
      </c>
      <c r="BL1813" s="2" t="s">
        <v>6029</v>
      </c>
      <c r="BM1813" s="7">
        <v>0.0031</v>
      </c>
      <c r="BN1813" s="7">
        <v>0.0031</v>
      </c>
      <c r="BO1813" s="4">
        <v>5</v>
      </c>
      <c r="BP1813" s="8">
        <v>198.45</v>
      </c>
      <c r="BQ1813" s="4"/>
      <c r="BR1813" s="8"/>
      <c r="BS1813" s="7"/>
      <c r="BT1813" s="7"/>
      <c r="BU1813" s="2" t="s">
        <v>109</v>
      </c>
      <c r="BV1813" s="2" t="s">
        <v>110</v>
      </c>
      <c r="BW1813" s="2" t="s">
        <v>4840</v>
      </c>
      <c r="BX1813" s="2" t="s">
        <v>1998</v>
      </c>
      <c r="BY1813" s="2" t="s">
        <v>113</v>
      </c>
      <c r="BZ1813" s="2" t="s">
        <v>100</v>
      </c>
    </row>
    <row r="1814">
      <c r="A1814" s="2" t="s">
        <v>6030</v>
      </c>
      <c r="B1814" s="2" t="s">
        <v>5764</v>
      </c>
      <c r="C1814" s="2" t="s">
        <v>5702</v>
      </c>
      <c r="D1814" s="2" t="s">
        <v>5765</v>
      </c>
      <c r="E1814" s="2" t="s">
        <v>6018</v>
      </c>
      <c r="F1814" s="2" t="s">
        <v>5767</v>
      </c>
      <c r="G1814" s="2" t="s">
        <v>5767</v>
      </c>
      <c r="H1814" s="2" t="s">
        <v>5767</v>
      </c>
      <c r="I1814" s="2" t="s">
        <v>6020</v>
      </c>
      <c r="J1814" s="2" t="s">
        <v>6021</v>
      </c>
      <c r="K1814" s="2" t="s">
        <v>5786</v>
      </c>
      <c r="L1814" s="3">
        <v>36</v>
      </c>
      <c r="M1814" s="3">
        <v>37.8</v>
      </c>
      <c r="N1814" s="3">
        <v>79.99</v>
      </c>
      <c r="O1814" s="2" t="s">
        <v>97</v>
      </c>
      <c r="P1814" s="2" t="s">
        <v>950</v>
      </c>
      <c r="Q1814" s="2" t="s">
        <v>99</v>
      </c>
      <c r="R1814" s="2" t="s">
        <v>100</v>
      </c>
      <c r="S1814" s="2" t="s">
        <v>5787</v>
      </c>
      <c r="T1814" s="2" t="s">
        <v>4441</v>
      </c>
      <c r="U1814" s="2" t="s">
        <v>100</v>
      </c>
      <c r="V1814" s="2" t="s">
        <v>146</v>
      </c>
      <c r="W1814" s="2" t="s">
        <v>183</v>
      </c>
      <c r="X1814" s="2" t="s">
        <v>100</v>
      </c>
      <c r="Y1814" s="2" t="s">
        <v>6031</v>
      </c>
      <c r="Z1814" s="4">
        <v>1541</v>
      </c>
      <c r="AA1814" s="4">
        <f>=ROUNDDOWN(22.6617647058824,0)</f>
      </c>
      <c r="AB1814" s="5">
        <v>68</v>
      </c>
      <c r="AC1814" s="2" t="s">
        <v>768</v>
      </c>
      <c r="AD1814" s="4">
        <v>400</v>
      </c>
      <c r="AE1814" s="4">
        <v>730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>
        <v>13</v>
      </c>
      <c r="AQ1814" s="8">
        <v>486.46</v>
      </c>
      <c r="AR1814" s="4"/>
      <c r="AS1814" s="8"/>
      <c r="AT1814" s="7"/>
      <c r="AU1814" s="7"/>
      <c r="AV1814" s="4">
        <v>13</v>
      </c>
      <c r="AW1814" s="8">
        <v>486.46</v>
      </c>
      <c r="AX1814" s="4"/>
      <c r="AY1814" s="8"/>
      <c r="AZ1814" s="7"/>
      <c r="BA1814" s="7"/>
      <c r="BB1814" s="7">
        <v>1</v>
      </c>
      <c r="BC1814" s="4">
        <v>23</v>
      </c>
      <c r="BD1814" s="8">
        <v>860.66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>
        <v>0.5652</v>
      </c>
      <c r="BJ1814" s="4">
        <v>494</v>
      </c>
      <c r="BK1814" s="8">
        <v>18374.64</v>
      </c>
      <c r="BL1814" s="2" t="s">
        <v>6032</v>
      </c>
      <c r="BM1814" s="7">
        <v>0.0263</v>
      </c>
      <c r="BN1814" s="7">
        <v>0.0265</v>
      </c>
      <c r="BO1814" s="4">
        <v>13</v>
      </c>
      <c r="BP1814" s="8">
        <v>486.46</v>
      </c>
      <c r="BQ1814" s="4"/>
      <c r="BR1814" s="8"/>
      <c r="BS1814" s="7"/>
      <c r="BT1814" s="7"/>
      <c r="BU1814" s="2" t="s">
        <v>109</v>
      </c>
      <c r="BV1814" s="2" t="s">
        <v>110</v>
      </c>
      <c r="BW1814" s="2" t="s">
        <v>4840</v>
      </c>
      <c r="BX1814" s="2" t="s">
        <v>2001</v>
      </c>
      <c r="BY1814" s="2" t="s">
        <v>113</v>
      </c>
      <c r="BZ1814" s="2" t="s">
        <v>100</v>
      </c>
    </row>
    <row r="1815">
      <c r="A1815" s="2" t="s">
        <v>6033</v>
      </c>
      <c r="B1815" s="2" t="s">
        <v>5764</v>
      </c>
      <c r="C1815" s="2" t="s">
        <v>5702</v>
      </c>
      <c r="D1815" s="2" t="s">
        <v>5765</v>
      </c>
      <c r="E1815" s="2" t="s">
        <v>6018</v>
      </c>
      <c r="F1815" s="2" t="s">
        <v>5767</v>
      </c>
      <c r="G1815" s="2" t="s">
        <v>5767</v>
      </c>
      <c r="H1815" s="2" t="s">
        <v>5767</v>
      </c>
      <c r="I1815" s="2" t="s">
        <v>6020</v>
      </c>
      <c r="J1815" s="2" t="s">
        <v>6021</v>
      </c>
      <c r="K1815" s="2" t="s">
        <v>5794</v>
      </c>
      <c r="L1815" s="3">
        <v>36</v>
      </c>
      <c r="M1815" s="3">
        <v>37.8</v>
      </c>
      <c r="N1815" s="3">
        <v>79.99</v>
      </c>
      <c r="O1815" s="2" t="s">
        <v>97</v>
      </c>
      <c r="P1815" s="2" t="s">
        <v>119</v>
      </c>
      <c r="Q1815" s="2" t="s">
        <v>99</v>
      </c>
      <c r="R1815" s="2" t="s">
        <v>100</v>
      </c>
      <c r="S1815" s="2" t="s">
        <v>5795</v>
      </c>
      <c r="T1815" s="2" t="s">
        <v>4441</v>
      </c>
      <c r="U1815" s="2" t="s">
        <v>100</v>
      </c>
      <c r="V1815" s="2" t="s">
        <v>146</v>
      </c>
      <c r="W1815" s="2" t="s">
        <v>183</v>
      </c>
      <c r="X1815" s="2" t="s">
        <v>100</v>
      </c>
      <c r="Y1815" s="2" t="s">
        <v>240</v>
      </c>
      <c r="Z1815" s="4">
        <v>1135</v>
      </c>
      <c r="AA1815" s="4">
        <f>=ROUNDDOWN(22.7,0)</f>
      </c>
      <c r="AB1815" s="5">
        <v>50</v>
      </c>
      <c r="AC1815" s="2" t="s">
        <v>768</v>
      </c>
      <c r="AD1815" s="4">
        <v>280</v>
      </c>
      <c r="AE1815" s="4">
        <v>480</v>
      </c>
      <c r="AF1815" s="6">
        <v>65</v>
      </c>
      <c r="AG1815" s="6"/>
      <c r="AH1815" s="7">
        <v>0.6096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>
        <v>6</v>
      </c>
      <c r="AQ1815" s="8">
        <v>224.52</v>
      </c>
      <c r="AR1815" s="4"/>
      <c r="AS1815" s="8"/>
      <c r="AT1815" s="7"/>
      <c r="AU1815" s="7"/>
      <c r="AV1815" s="4">
        <v>6</v>
      </c>
      <c r="AW1815" s="8">
        <v>224.52</v>
      </c>
      <c r="AX1815" s="4"/>
      <c r="AY1815" s="8"/>
      <c r="AZ1815" s="7"/>
      <c r="BA1815" s="7"/>
      <c r="BB1815" s="7">
        <v>1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0.2609</v>
      </c>
      <c r="BJ1815" s="4">
        <v>308</v>
      </c>
      <c r="BK1815" s="8">
        <v>11508.51</v>
      </c>
      <c r="BL1815" s="2" t="s">
        <v>5994</v>
      </c>
      <c r="BM1815" s="7">
        <v>0.0195</v>
      </c>
      <c r="BN1815" s="7">
        <v>0.0195</v>
      </c>
      <c r="BO1815" s="4">
        <v>6</v>
      </c>
      <c r="BP1815" s="8">
        <v>224.52</v>
      </c>
      <c r="BQ1815" s="4"/>
      <c r="BR1815" s="8"/>
      <c r="BS1815" s="7"/>
      <c r="BT1815" s="7"/>
      <c r="BU1815" s="2" t="s">
        <v>109</v>
      </c>
      <c r="BV1815" s="2" t="s">
        <v>110</v>
      </c>
      <c r="BW1815" s="2" t="s">
        <v>4840</v>
      </c>
      <c r="BX1815" s="2" t="s">
        <v>6034</v>
      </c>
      <c r="BY1815" s="2" t="s">
        <v>113</v>
      </c>
      <c r="BZ1815" s="2" t="s">
        <v>100</v>
      </c>
    </row>
    <row r="1816">
      <c r="A1816" s="2" t="s">
        <v>6035</v>
      </c>
      <c r="B1816" s="2" t="s">
        <v>5764</v>
      </c>
      <c r="C1816" s="2" t="s">
        <v>5702</v>
      </c>
      <c r="D1816" s="2" t="s">
        <v>5765</v>
      </c>
      <c r="E1816" s="2" t="s">
        <v>6018</v>
      </c>
      <c r="F1816" s="2" t="s">
        <v>5767</v>
      </c>
      <c r="G1816" s="2" t="s">
        <v>5767</v>
      </c>
      <c r="H1816" s="2" t="s">
        <v>5767</v>
      </c>
      <c r="I1816" s="2" t="s">
        <v>6020</v>
      </c>
      <c r="J1816" s="2" t="s">
        <v>6021</v>
      </c>
      <c r="K1816" s="2" t="s">
        <v>198</v>
      </c>
      <c r="L1816" s="3">
        <v>36</v>
      </c>
      <c r="M1816" s="3">
        <v>37.8</v>
      </c>
      <c r="N1816" s="3">
        <v>79.99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5778</v>
      </c>
      <c r="T1816" s="2" t="s">
        <v>4441</v>
      </c>
      <c r="U1816" s="2" t="s">
        <v>100</v>
      </c>
      <c r="V1816" s="2" t="s">
        <v>146</v>
      </c>
      <c r="W1816" s="2" t="s">
        <v>183</v>
      </c>
      <c r="X1816" s="2" t="s">
        <v>100</v>
      </c>
      <c r="Y1816" s="2" t="s">
        <v>240</v>
      </c>
      <c r="Z1816" s="4">
        <v>1847</v>
      </c>
      <c r="AA1816" s="4">
        <f>=ROUNDDOWN(30.7833333333333,0)</f>
      </c>
      <c r="AB1816" s="5">
        <v>60</v>
      </c>
      <c r="AC1816" s="2" t="s">
        <v>768</v>
      </c>
      <c r="AD1816" s="4">
        <v>510</v>
      </c>
      <c r="AE1816" s="4">
        <v>880</v>
      </c>
      <c r="AF1816" s="6">
        <v>65</v>
      </c>
      <c r="AG1816" s="6"/>
      <c r="AH1816" s="7">
        <v>0.861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>
        <v>2</v>
      </c>
      <c r="AQ1816" s="8">
        <v>74.84</v>
      </c>
      <c r="AR1816" s="4"/>
      <c r="AS1816" s="8"/>
      <c r="AT1816" s="7"/>
      <c r="AU1816" s="7"/>
      <c r="AV1816" s="4">
        <v>2</v>
      </c>
      <c r="AW1816" s="8">
        <v>74.84</v>
      </c>
      <c r="AX1816" s="4"/>
      <c r="AY1816" s="8"/>
      <c r="AZ1816" s="7"/>
      <c r="BA1816" s="7"/>
      <c r="BB1816" s="7">
        <v>1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>
        <v>0.087</v>
      </c>
      <c r="BJ1816" s="4">
        <v>767</v>
      </c>
      <c r="BK1816" s="8">
        <v>28108.77</v>
      </c>
      <c r="BL1816" s="2" t="s">
        <v>6036</v>
      </c>
      <c r="BM1816" s="7">
        <v>0.0026</v>
      </c>
      <c r="BN1816" s="7">
        <v>0.0027</v>
      </c>
      <c r="BO1816" s="4">
        <v>2</v>
      </c>
      <c r="BP1816" s="8">
        <v>74.84</v>
      </c>
      <c r="BQ1816" s="4"/>
      <c r="BR1816" s="8"/>
      <c r="BS1816" s="7"/>
      <c r="BT1816" s="7"/>
      <c r="BU1816" s="2" t="s">
        <v>109</v>
      </c>
      <c r="BV1816" s="2" t="s">
        <v>110</v>
      </c>
      <c r="BW1816" s="2" t="s">
        <v>4840</v>
      </c>
      <c r="BX1816" s="2" t="s">
        <v>2001</v>
      </c>
      <c r="BY1816" s="2" t="s">
        <v>113</v>
      </c>
      <c r="BZ1816" s="2" t="s">
        <v>100</v>
      </c>
    </row>
    <row r="1817">
      <c r="A1817" s="2" t="s">
        <v>6037</v>
      </c>
      <c r="B1817" s="2" t="s">
        <v>5764</v>
      </c>
      <c r="C1817" s="2" t="s">
        <v>5702</v>
      </c>
      <c r="D1817" s="2" t="s">
        <v>5765</v>
      </c>
      <c r="E1817" s="2" t="s">
        <v>6018</v>
      </c>
      <c r="F1817" s="2" t="s">
        <v>5767</v>
      </c>
      <c r="G1817" s="2" t="s">
        <v>5767</v>
      </c>
      <c r="H1817" s="2" t="s">
        <v>5767</v>
      </c>
      <c r="I1817" s="2" t="s">
        <v>6020</v>
      </c>
      <c r="J1817" s="2" t="s">
        <v>6021</v>
      </c>
      <c r="K1817" s="2" t="s">
        <v>1614</v>
      </c>
      <c r="L1817" s="3">
        <v>36</v>
      </c>
      <c r="M1817" s="3">
        <v>37.8</v>
      </c>
      <c r="N1817" s="3">
        <v>79.99</v>
      </c>
      <c r="O1817" s="2" t="s">
        <v>97</v>
      </c>
      <c r="P1817" s="2" t="s">
        <v>119</v>
      </c>
      <c r="Q1817" s="2" t="s">
        <v>99</v>
      </c>
      <c r="R1817" s="2" t="s">
        <v>100</v>
      </c>
      <c r="S1817" s="2" t="s">
        <v>5815</v>
      </c>
      <c r="T1817" s="2" t="s">
        <v>4441</v>
      </c>
      <c r="U1817" s="2" t="s">
        <v>100</v>
      </c>
      <c r="V1817" s="2" t="s">
        <v>146</v>
      </c>
      <c r="W1817" s="2" t="s">
        <v>183</v>
      </c>
      <c r="X1817" s="2" t="s">
        <v>100</v>
      </c>
      <c r="Y1817" s="2" t="s">
        <v>240</v>
      </c>
      <c r="Z1817" s="4">
        <v>840</v>
      </c>
      <c r="AA1817" s="4">
        <f>=ROUNDDOWN(27.0967741935484,0)</f>
      </c>
      <c r="AB1817" s="5">
        <v>31</v>
      </c>
      <c r="AC1817" s="2" t="s">
        <v>768</v>
      </c>
      <c r="AD1817" s="4">
        <v>220</v>
      </c>
      <c r="AE1817" s="4">
        <v>350</v>
      </c>
      <c r="AF1817" s="6">
        <v>65</v>
      </c>
      <c r="AG1817" s="6"/>
      <c r="AH1817" s="7">
        <v>0.6684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>
        <v>2</v>
      </c>
      <c r="AQ1817" s="8">
        <v>74.84</v>
      </c>
      <c r="AR1817" s="4"/>
      <c r="AS1817" s="8"/>
      <c r="AT1817" s="7"/>
      <c r="AU1817" s="7"/>
      <c r="AV1817" s="4">
        <v>2</v>
      </c>
      <c r="AW1817" s="8">
        <v>74.84</v>
      </c>
      <c r="AX1817" s="4"/>
      <c r="AY1817" s="8"/>
      <c r="AZ1817" s="7"/>
      <c r="BA1817" s="7"/>
      <c r="BB1817" s="7">
        <v>1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>
        <v>0.087</v>
      </c>
      <c r="BJ1817" s="4">
        <v>293</v>
      </c>
      <c r="BK1817" s="8">
        <v>11087.14</v>
      </c>
      <c r="BL1817" s="2" t="s">
        <v>5901</v>
      </c>
      <c r="BM1817" s="7">
        <v>0.0068</v>
      </c>
      <c r="BN1817" s="7">
        <v>0.0068</v>
      </c>
      <c r="BO1817" s="4">
        <v>2</v>
      </c>
      <c r="BP1817" s="8">
        <v>74.84</v>
      </c>
      <c r="BQ1817" s="4"/>
      <c r="BR1817" s="8"/>
      <c r="BS1817" s="7"/>
      <c r="BT1817" s="7"/>
      <c r="BU1817" s="2" t="s">
        <v>109</v>
      </c>
      <c r="BV1817" s="2" t="s">
        <v>110</v>
      </c>
      <c r="BW1817" s="2" t="s">
        <v>4840</v>
      </c>
      <c r="BX1817" s="2" t="s">
        <v>1993</v>
      </c>
      <c r="BY1817" s="2" t="s">
        <v>113</v>
      </c>
      <c r="BZ1817" s="2" t="s">
        <v>100</v>
      </c>
    </row>
    <row r="1818">
      <c r="A1818" s="2" t="s">
        <v>6038</v>
      </c>
      <c r="B1818" s="2" t="s">
        <v>5764</v>
      </c>
      <c r="C1818" s="2" t="s">
        <v>5702</v>
      </c>
      <c r="D1818" s="2" t="s">
        <v>5765</v>
      </c>
      <c r="E1818" s="2" t="s">
        <v>6018</v>
      </c>
      <c r="F1818" s="2" t="s">
        <v>5767</v>
      </c>
      <c r="G1818" s="2" t="s">
        <v>5767</v>
      </c>
      <c r="H1818" s="2" t="s">
        <v>5767</v>
      </c>
      <c r="I1818" s="2" t="s">
        <v>6020</v>
      </c>
      <c r="J1818" s="2" t="s">
        <v>6021</v>
      </c>
      <c r="K1818" s="2" t="s">
        <v>96</v>
      </c>
      <c r="L1818" s="3">
        <v>36</v>
      </c>
      <c r="M1818" s="3">
        <v>37.8</v>
      </c>
      <c r="N1818" s="3">
        <v>79.99</v>
      </c>
      <c r="O1818" s="2" t="s">
        <v>97</v>
      </c>
      <c r="P1818" s="2" t="s">
        <v>119</v>
      </c>
      <c r="Q1818" s="2" t="s">
        <v>99</v>
      </c>
      <c r="R1818" s="2" t="s">
        <v>100</v>
      </c>
      <c r="S1818" s="2" t="s">
        <v>6039</v>
      </c>
      <c r="T1818" s="2" t="s">
        <v>4441</v>
      </c>
      <c r="U1818" s="2" t="s">
        <v>1847</v>
      </c>
      <c r="V1818" s="2" t="s">
        <v>146</v>
      </c>
      <c r="W1818" s="2" t="s">
        <v>183</v>
      </c>
      <c r="X1818" s="2" t="s">
        <v>100</v>
      </c>
      <c r="Y1818" s="2" t="s">
        <v>5852</v>
      </c>
      <c r="Z1818" s="4">
        <v>783</v>
      </c>
      <c r="AA1818" s="4">
        <f>=ROUNDDOWN(17.4,0)</f>
      </c>
      <c r="AB1818" s="5">
        <v>45</v>
      </c>
      <c r="AC1818" s="2" t="s">
        <v>768</v>
      </c>
      <c r="AD1818" s="4">
        <v>190</v>
      </c>
      <c r="AE1818" s="4">
        <v>320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307</v>
      </c>
      <c r="BK1818" s="8">
        <v>11550.19</v>
      </c>
      <c r="BL1818" s="2" t="s">
        <v>6040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207</v>
      </c>
      <c r="BV1818" s="2" t="s">
        <v>97</v>
      </c>
      <c r="BW1818" s="2" t="s">
        <v>100</v>
      </c>
      <c r="BX1818" s="2" t="s">
        <v>100</v>
      </c>
      <c r="BY1818" s="2" t="s">
        <v>113</v>
      </c>
      <c r="BZ1818" s="2" t="s">
        <v>100</v>
      </c>
    </row>
    <row r="1819">
      <c r="A1819" s="2" t="s">
        <v>6041</v>
      </c>
      <c r="B1819" s="2" t="s">
        <v>5764</v>
      </c>
      <c r="C1819" s="2" t="s">
        <v>5702</v>
      </c>
      <c r="D1819" s="2" t="s">
        <v>5765</v>
      </c>
      <c r="E1819" s="2" t="s">
        <v>6018</v>
      </c>
      <c r="F1819" s="2" t="s">
        <v>5767</v>
      </c>
      <c r="G1819" s="2" t="s">
        <v>5767</v>
      </c>
      <c r="H1819" s="2" t="s">
        <v>5767</v>
      </c>
      <c r="I1819" s="2" t="s">
        <v>6020</v>
      </c>
      <c r="J1819" s="2" t="s">
        <v>6021</v>
      </c>
      <c r="K1819" s="2" t="s">
        <v>878</v>
      </c>
      <c r="L1819" s="3">
        <v>36</v>
      </c>
      <c r="M1819" s="3">
        <v>37.8</v>
      </c>
      <c r="N1819" s="3">
        <v>79.99</v>
      </c>
      <c r="O1819" s="2" t="s">
        <v>97</v>
      </c>
      <c r="P1819" s="2" t="s">
        <v>950</v>
      </c>
      <c r="Q1819" s="2" t="s">
        <v>99</v>
      </c>
      <c r="R1819" s="2" t="s">
        <v>100</v>
      </c>
      <c r="S1819" s="2" t="s">
        <v>6039</v>
      </c>
      <c r="T1819" s="2" t="s">
        <v>4441</v>
      </c>
      <c r="U1819" s="2" t="s">
        <v>1847</v>
      </c>
      <c r="V1819" s="2" t="s">
        <v>146</v>
      </c>
      <c r="W1819" s="2" t="s">
        <v>183</v>
      </c>
      <c r="X1819" s="2" t="s">
        <v>100</v>
      </c>
      <c r="Y1819" s="2" t="s">
        <v>5852</v>
      </c>
      <c r="Z1819" s="4">
        <v>1304</v>
      </c>
      <c r="AA1819" s="4">
        <f>=ROUNDDOWN(22.4827586206897,0)</f>
      </c>
      <c r="AB1819" s="5">
        <v>58</v>
      </c>
      <c r="AC1819" s="2" t="s">
        <v>768</v>
      </c>
      <c r="AD1819" s="4">
        <v>300</v>
      </c>
      <c r="AE1819" s="4">
        <v>540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/>
      <c r="BJ1819" s="4">
        <v>484</v>
      </c>
      <c r="BK1819" s="8">
        <v>17837.11</v>
      </c>
      <c r="BL1819" s="2" t="s">
        <v>5021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207</v>
      </c>
      <c r="BV1819" s="2" t="s">
        <v>97</v>
      </c>
      <c r="BW1819" s="2" t="s">
        <v>100</v>
      </c>
      <c r="BX1819" s="2" t="s">
        <v>100</v>
      </c>
      <c r="BY1819" s="2" t="s">
        <v>113</v>
      </c>
      <c r="BZ1819" s="2" t="s">
        <v>100</v>
      </c>
    </row>
    <row r="1820">
      <c r="A1820" s="2" t="s">
        <v>6042</v>
      </c>
      <c r="B1820" s="2" t="s">
        <v>5764</v>
      </c>
      <c r="C1820" s="2" t="s">
        <v>5702</v>
      </c>
      <c r="D1820" s="2" t="s">
        <v>5765</v>
      </c>
      <c r="E1820" s="2" t="s">
        <v>6018</v>
      </c>
      <c r="F1820" s="2" t="s">
        <v>5767</v>
      </c>
      <c r="G1820" s="2" t="s">
        <v>5767</v>
      </c>
      <c r="H1820" s="2" t="s">
        <v>5767</v>
      </c>
      <c r="I1820" s="2" t="s">
        <v>6020</v>
      </c>
      <c r="J1820" s="2" t="s">
        <v>6021</v>
      </c>
      <c r="K1820" s="2" t="s">
        <v>578</v>
      </c>
      <c r="L1820" s="3">
        <v>36</v>
      </c>
      <c r="M1820" s="3">
        <v>37.8</v>
      </c>
      <c r="N1820" s="3">
        <v>79.99</v>
      </c>
      <c r="O1820" s="2" t="s">
        <v>97</v>
      </c>
      <c r="P1820" s="2" t="s">
        <v>119</v>
      </c>
      <c r="Q1820" s="2" t="s">
        <v>99</v>
      </c>
      <c r="R1820" s="2" t="s">
        <v>100</v>
      </c>
      <c r="S1820" s="2" t="s">
        <v>6039</v>
      </c>
      <c r="T1820" s="2" t="s">
        <v>4441</v>
      </c>
      <c r="U1820" s="2" t="s">
        <v>1847</v>
      </c>
      <c r="V1820" s="2" t="s">
        <v>146</v>
      </c>
      <c r="W1820" s="2" t="s">
        <v>183</v>
      </c>
      <c r="X1820" s="2" t="s">
        <v>100</v>
      </c>
      <c r="Y1820" s="2" t="s">
        <v>5852</v>
      </c>
      <c r="Z1820" s="4">
        <v>1000</v>
      </c>
      <c r="AA1820" s="4">
        <f>=ROUNDDOWN(25,0)</f>
      </c>
      <c r="AB1820" s="5">
        <v>40</v>
      </c>
      <c r="AC1820" s="2" t="s">
        <v>768</v>
      </c>
      <c r="AD1820" s="4">
        <v>280</v>
      </c>
      <c r="AE1820" s="4">
        <v>430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/>
      <c r="BJ1820" s="4">
        <v>324</v>
      </c>
      <c r="BK1820" s="8">
        <v>12103.51</v>
      </c>
      <c r="BL1820" s="2" t="s">
        <v>6043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207</v>
      </c>
      <c r="BV1820" s="2" t="s">
        <v>97</v>
      </c>
      <c r="BW1820" s="2" t="s">
        <v>100</v>
      </c>
      <c r="BX1820" s="2" t="s">
        <v>100</v>
      </c>
      <c r="BY1820" s="2" t="s">
        <v>113</v>
      </c>
      <c r="BZ1820" s="2" t="s">
        <v>100</v>
      </c>
    </row>
    <row r="1821">
      <c r="A1821" s="2" t="s">
        <v>6044</v>
      </c>
      <c r="B1821" s="2" t="s">
        <v>5764</v>
      </c>
      <c r="C1821" s="2" t="s">
        <v>5702</v>
      </c>
      <c r="D1821" s="2" t="s">
        <v>5765</v>
      </c>
      <c r="E1821" s="2" t="s">
        <v>6018</v>
      </c>
      <c r="F1821" s="2" t="s">
        <v>5942</v>
      </c>
      <c r="G1821" s="2" t="s">
        <v>5942</v>
      </c>
      <c r="H1821" s="2" t="s">
        <v>100</v>
      </c>
      <c r="I1821" s="2" t="s">
        <v>6020</v>
      </c>
      <c r="J1821" s="2" t="s">
        <v>6021</v>
      </c>
      <c r="K1821" s="2" t="s">
        <v>913</v>
      </c>
      <c r="L1821" s="3">
        <v>36.8</v>
      </c>
      <c r="M1821" s="3">
        <v>38.64</v>
      </c>
      <c r="N1821" s="3">
        <v>79.99</v>
      </c>
      <c r="O1821" s="2" t="s">
        <v>97</v>
      </c>
      <c r="P1821" s="2" t="s">
        <v>119</v>
      </c>
      <c r="Q1821" s="2" t="s">
        <v>99</v>
      </c>
      <c r="R1821" s="2" t="s">
        <v>100</v>
      </c>
      <c r="S1821" s="2" t="s">
        <v>6045</v>
      </c>
      <c r="T1821" s="2" t="s">
        <v>5945</v>
      </c>
      <c r="U1821" s="2" t="s">
        <v>100</v>
      </c>
      <c r="V1821" s="2" t="s">
        <v>146</v>
      </c>
      <c r="W1821" s="2" t="s">
        <v>183</v>
      </c>
      <c r="X1821" s="2" t="s">
        <v>100</v>
      </c>
      <c r="Y1821" s="2" t="s">
        <v>240</v>
      </c>
      <c r="Z1821" s="4">
        <v>546</v>
      </c>
      <c r="AA1821" s="4">
        <f>=ROUNDDOWN(39,0)</f>
      </c>
      <c r="AB1821" s="5">
        <v>14</v>
      </c>
      <c r="AC1821" s="2" t="s">
        <v>100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>
        <v>5</v>
      </c>
      <c r="AQ1821" s="8">
        <v>189</v>
      </c>
      <c r="AR1821" s="4"/>
      <c r="AS1821" s="8"/>
      <c r="AT1821" s="7"/>
      <c r="AU1821" s="7"/>
      <c r="AV1821" s="4">
        <v>5</v>
      </c>
      <c r="AW1821" s="8">
        <v>189</v>
      </c>
      <c r="AX1821" s="4"/>
      <c r="AY1821" s="8"/>
      <c r="AZ1821" s="7"/>
      <c r="BA1821" s="7"/>
      <c r="BB1821" s="7">
        <v>1</v>
      </c>
      <c r="BC1821" s="4">
        <v>13</v>
      </c>
      <c r="BD1821" s="8">
        <v>491.4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0.3846</v>
      </c>
      <c r="BJ1821" s="4">
        <v>191</v>
      </c>
      <c r="BK1821" s="8">
        <v>7491.86</v>
      </c>
      <c r="BL1821" s="2" t="s">
        <v>6046</v>
      </c>
      <c r="BM1821" s="7">
        <v>0.0262</v>
      </c>
      <c r="BN1821" s="7">
        <v>0.0252</v>
      </c>
      <c r="BO1821" s="4">
        <v>5</v>
      </c>
      <c r="BP1821" s="8">
        <v>189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5872</v>
      </c>
      <c r="BX1821" s="2" t="s">
        <v>312</v>
      </c>
      <c r="BY1821" s="2" t="s">
        <v>113</v>
      </c>
      <c r="BZ1821" s="2" t="s">
        <v>100</v>
      </c>
    </row>
    <row r="1822">
      <c r="A1822" s="2" t="s">
        <v>6047</v>
      </c>
      <c r="B1822" s="2" t="s">
        <v>5764</v>
      </c>
      <c r="C1822" s="2" t="s">
        <v>5702</v>
      </c>
      <c r="D1822" s="2" t="s">
        <v>5765</v>
      </c>
      <c r="E1822" s="2" t="s">
        <v>6018</v>
      </c>
      <c r="F1822" s="2" t="s">
        <v>5942</v>
      </c>
      <c r="G1822" s="2" t="s">
        <v>5942</v>
      </c>
      <c r="H1822" s="2" t="s">
        <v>100</v>
      </c>
      <c r="I1822" s="2" t="s">
        <v>6020</v>
      </c>
      <c r="J1822" s="2" t="s">
        <v>6021</v>
      </c>
      <c r="K1822" s="2" t="s">
        <v>198</v>
      </c>
      <c r="L1822" s="3">
        <v>36.8</v>
      </c>
      <c r="M1822" s="3">
        <v>38.64</v>
      </c>
      <c r="N1822" s="3">
        <v>79.99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6048</v>
      </c>
      <c r="T1822" s="2" t="s">
        <v>5945</v>
      </c>
      <c r="U1822" s="2" t="s">
        <v>100</v>
      </c>
      <c r="V1822" s="2" t="s">
        <v>146</v>
      </c>
      <c r="W1822" s="2" t="s">
        <v>183</v>
      </c>
      <c r="X1822" s="2" t="s">
        <v>100</v>
      </c>
      <c r="Y1822" s="2" t="s">
        <v>240</v>
      </c>
      <c r="Z1822" s="4">
        <v>736</v>
      </c>
      <c r="AA1822" s="4">
        <f>=ROUNDDOWN(14.72,0)</f>
      </c>
      <c r="AB1822" s="5">
        <v>50</v>
      </c>
      <c r="AC1822" s="2" t="s">
        <v>356</v>
      </c>
      <c r="AD1822" s="4">
        <v>1720</v>
      </c>
      <c r="AE1822" s="4">
        <v>2340</v>
      </c>
      <c r="AF1822" s="6">
        <v>65</v>
      </c>
      <c r="AG1822" s="6"/>
      <c r="AH1822" s="7">
        <v>0.9893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>
        <v>5</v>
      </c>
      <c r="AQ1822" s="8">
        <v>189</v>
      </c>
      <c r="AR1822" s="4"/>
      <c r="AS1822" s="8"/>
      <c r="AT1822" s="7"/>
      <c r="AU1822" s="7"/>
      <c r="AV1822" s="4">
        <v>5</v>
      </c>
      <c r="AW1822" s="8">
        <v>189</v>
      </c>
      <c r="AX1822" s="4"/>
      <c r="AY1822" s="8"/>
      <c r="AZ1822" s="7"/>
      <c r="BA1822" s="7"/>
      <c r="BB1822" s="7">
        <v>1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>
        <v>0.3846</v>
      </c>
      <c r="BJ1822" s="4">
        <v>776</v>
      </c>
      <c r="BK1822" s="8">
        <v>30630.26</v>
      </c>
      <c r="BL1822" s="2" t="s">
        <v>6049</v>
      </c>
      <c r="BM1822" s="7">
        <v>0.0064</v>
      </c>
      <c r="BN1822" s="7">
        <v>0.0062</v>
      </c>
      <c r="BO1822" s="4">
        <v>5</v>
      </c>
      <c r="BP1822" s="8">
        <v>189</v>
      </c>
      <c r="BQ1822" s="4"/>
      <c r="BR1822" s="8"/>
      <c r="BS1822" s="7"/>
      <c r="BT1822" s="7"/>
      <c r="BU1822" s="2" t="s">
        <v>109</v>
      </c>
      <c r="BV1822" s="2" t="s">
        <v>110</v>
      </c>
      <c r="BW1822" s="2" t="s">
        <v>4840</v>
      </c>
      <c r="BX1822" s="2" t="s">
        <v>4667</v>
      </c>
      <c r="BY1822" s="2" t="s">
        <v>113</v>
      </c>
      <c r="BZ1822" s="2" t="s">
        <v>100</v>
      </c>
    </row>
    <row r="1823">
      <c r="A1823" s="2" t="s">
        <v>6050</v>
      </c>
      <c r="B1823" s="2" t="s">
        <v>5764</v>
      </c>
      <c r="C1823" s="2" t="s">
        <v>5702</v>
      </c>
      <c r="D1823" s="2" t="s">
        <v>5765</v>
      </c>
      <c r="E1823" s="2" t="s">
        <v>6018</v>
      </c>
      <c r="F1823" s="2" t="s">
        <v>5942</v>
      </c>
      <c r="G1823" s="2" t="s">
        <v>5942</v>
      </c>
      <c r="H1823" s="2" t="s">
        <v>100</v>
      </c>
      <c r="I1823" s="2" t="s">
        <v>6020</v>
      </c>
      <c r="J1823" s="2" t="s">
        <v>6021</v>
      </c>
      <c r="K1823" s="2" t="s">
        <v>1614</v>
      </c>
      <c r="L1823" s="3">
        <v>36.8</v>
      </c>
      <c r="M1823" s="3">
        <v>38.64</v>
      </c>
      <c r="N1823" s="3">
        <v>79.99</v>
      </c>
      <c r="O1823" s="2" t="s">
        <v>97</v>
      </c>
      <c r="P1823" s="2" t="s">
        <v>119</v>
      </c>
      <c r="Q1823" s="2" t="s">
        <v>99</v>
      </c>
      <c r="R1823" s="2" t="s">
        <v>100</v>
      </c>
      <c r="S1823" s="2" t="s">
        <v>6051</v>
      </c>
      <c r="T1823" s="2" t="s">
        <v>5945</v>
      </c>
      <c r="U1823" s="2" t="s">
        <v>100</v>
      </c>
      <c r="V1823" s="2" t="s">
        <v>146</v>
      </c>
      <c r="W1823" s="2" t="s">
        <v>183</v>
      </c>
      <c r="X1823" s="2" t="s">
        <v>100</v>
      </c>
      <c r="Y1823" s="2" t="s">
        <v>240</v>
      </c>
      <c r="Z1823" s="4">
        <v>619</v>
      </c>
      <c r="AA1823" s="4">
        <f>=ROUNDDOWN(38.6875,0)</f>
      </c>
      <c r="AB1823" s="5">
        <v>16</v>
      </c>
      <c r="AC1823" s="2" t="s">
        <v>356</v>
      </c>
      <c r="AD1823" s="4">
        <v>1120</v>
      </c>
      <c r="AE1823" s="4">
        <v>1120</v>
      </c>
      <c r="AF1823" s="6">
        <v>65</v>
      </c>
      <c r="AG1823" s="6"/>
      <c r="AH1823" s="7">
        <v>0.6845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>
        <v>2</v>
      </c>
      <c r="AQ1823" s="8">
        <v>75.6</v>
      </c>
      <c r="AR1823" s="4"/>
      <c r="AS1823" s="8"/>
      <c r="AT1823" s="7"/>
      <c r="AU1823" s="7"/>
      <c r="AV1823" s="4">
        <v>2</v>
      </c>
      <c r="AW1823" s="8">
        <v>75.6</v>
      </c>
      <c r="AX1823" s="4"/>
      <c r="AY1823" s="8"/>
      <c r="AZ1823" s="7"/>
      <c r="BA1823" s="7"/>
      <c r="BB1823" s="7">
        <v>1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0.1538</v>
      </c>
      <c r="BJ1823" s="4">
        <v>240</v>
      </c>
      <c r="BK1823" s="8">
        <v>9375.77</v>
      </c>
      <c r="BL1823" s="2" t="s">
        <v>6052</v>
      </c>
      <c r="BM1823" s="7">
        <v>0.0083</v>
      </c>
      <c r="BN1823" s="7">
        <v>0.0081</v>
      </c>
      <c r="BO1823" s="4">
        <v>2</v>
      </c>
      <c r="BP1823" s="8">
        <v>75.6</v>
      </c>
      <c r="BQ1823" s="4"/>
      <c r="BR1823" s="8"/>
      <c r="BS1823" s="7"/>
      <c r="BT1823" s="7"/>
      <c r="BU1823" s="2" t="s">
        <v>109</v>
      </c>
      <c r="BV1823" s="2" t="s">
        <v>110</v>
      </c>
      <c r="BW1823" s="2" t="s">
        <v>4840</v>
      </c>
      <c r="BX1823" s="2" t="s">
        <v>6053</v>
      </c>
      <c r="BY1823" s="2" t="s">
        <v>113</v>
      </c>
      <c r="BZ1823" s="2" t="s">
        <v>100</v>
      </c>
    </row>
    <row r="1824">
      <c r="A1824" s="2" t="s">
        <v>6054</v>
      </c>
      <c r="B1824" s="2" t="s">
        <v>5764</v>
      </c>
      <c r="C1824" s="2" t="s">
        <v>5702</v>
      </c>
      <c r="D1824" s="2" t="s">
        <v>5765</v>
      </c>
      <c r="E1824" s="2" t="s">
        <v>6018</v>
      </c>
      <c r="F1824" s="2" t="s">
        <v>5942</v>
      </c>
      <c r="G1824" s="2" t="s">
        <v>5942</v>
      </c>
      <c r="H1824" s="2" t="s">
        <v>100</v>
      </c>
      <c r="I1824" s="2" t="s">
        <v>6020</v>
      </c>
      <c r="J1824" s="2" t="s">
        <v>6021</v>
      </c>
      <c r="K1824" s="2" t="s">
        <v>496</v>
      </c>
      <c r="L1824" s="3">
        <v>36.8</v>
      </c>
      <c r="M1824" s="3">
        <v>38.64</v>
      </c>
      <c r="N1824" s="3">
        <v>79.99</v>
      </c>
      <c r="O1824" s="2" t="s">
        <v>97</v>
      </c>
      <c r="P1824" s="2" t="s">
        <v>119</v>
      </c>
      <c r="Q1824" s="2" t="s">
        <v>99</v>
      </c>
      <c r="R1824" s="2" t="s">
        <v>100</v>
      </c>
      <c r="S1824" s="2" t="s">
        <v>6055</v>
      </c>
      <c r="T1824" s="2" t="s">
        <v>5945</v>
      </c>
      <c r="U1824" s="2" t="s">
        <v>100</v>
      </c>
      <c r="V1824" s="2" t="s">
        <v>146</v>
      </c>
      <c r="W1824" s="2" t="s">
        <v>183</v>
      </c>
      <c r="X1824" s="2" t="s">
        <v>100</v>
      </c>
      <c r="Y1824" s="2" t="s">
        <v>2745</v>
      </c>
      <c r="Z1824" s="4">
        <v>602</v>
      </c>
      <c r="AA1824" s="4">
        <f>=ROUNDDOWN(35.4117647058824,0)</f>
      </c>
      <c r="AB1824" s="5">
        <v>17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>
        <v>1</v>
      </c>
      <c r="AQ1824" s="8">
        <v>37.8</v>
      </c>
      <c r="AR1824" s="4"/>
      <c r="AS1824" s="8"/>
      <c r="AT1824" s="7"/>
      <c r="AU1824" s="7"/>
      <c r="AV1824" s="4">
        <v>1</v>
      </c>
      <c r="AW1824" s="8">
        <v>37.8</v>
      </c>
      <c r="AX1824" s="4"/>
      <c r="AY1824" s="8"/>
      <c r="AZ1824" s="7"/>
      <c r="BA1824" s="7"/>
      <c r="BB1824" s="7">
        <v>1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0.0769</v>
      </c>
      <c r="BJ1824" s="4">
        <v>175</v>
      </c>
      <c r="BK1824" s="8">
        <v>6722.45</v>
      </c>
      <c r="BL1824" s="2" t="s">
        <v>6056</v>
      </c>
      <c r="BM1824" s="7">
        <v>0.0057</v>
      </c>
      <c r="BN1824" s="7">
        <v>0.0056</v>
      </c>
      <c r="BO1824" s="4">
        <v>1</v>
      </c>
      <c r="BP1824" s="8">
        <v>37.8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4840</v>
      </c>
      <c r="BX1824" s="2" t="s">
        <v>6057</v>
      </c>
      <c r="BY1824" s="2" t="s">
        <v>113</v>
      </c>
      <c r="BZ1824" s="2" t="s">
        <v>100</v>
      </c>
    </row>
    <row r="1825">
      <c r="A1825" s="2" t="s">
        <v>6058</v>
      </c>
      <c r="B1825" s="2" t="s">
        <v>5764</v>
      </c>
      <c r="C1825" s="2" t="s">
        <v>5702</v>
      </c>
      <c r="D1825" s="2" t="s">
        <v>5765</v>
      </c>
      <c r="E1825" s="2" t="s">
        <v>6018</v>
      </c>
      <c r="F1825" s="2" t="s">
        <v>5942</v>
      </c>
      <c r="G1825" s="2" t="s">
        <v>5942</v>
      </c>
      <c r="H1825" s="2" t="s">
        <v>100</v>
      </c>
      <c r="I1825" s="2" t="s">
        <v>6020</v>
      </c>
      <c r="J1825" s="2" t="s">
        <v>6021</v>
      </c>
      <c r="K1825" s="2" t="s">
        <v>3269</v>
      </c>
      <c r="L1825" s="3">
        <v>36.8</v>
      </c>
      <c r="M1825" s="3">
        <v>38.64</v>
      </c>
      <c r="N1825" s="3">
        <v>79.99</v>
      </c>
      <c r="O1825" s="2" t="s">
        <v>97</v>
      </c>
      <c r="P1825" s="2" t="s">
        <v>950</v>
      </c>
      <c r="Q1825" s="2" t="s">
        <v>99</v>
      </c>
      <c r="R1825" s="2" t="s">
        <v>100</v>
      </c>
      <c r="S1825" s="2" t="s">
        <v>6059</v>
      </c>
      <c r="T1825" s="2" t="s">
        <v>5945</v>
      </c>
      <c r="U1825" s="2" t="s">
        <v>100</v>
      </c>
      <c r="V1825" s="2" t="s">
        <v>146</v>
      </c>
      <c r="W1825" s="2" t="s">
        <v>183</v>
      </c>
      <c r="X1825" s="2" t="s">
        <v>100</v>
      </c>
      <c r="Y1825" s="2" t="s">
        <v>240</v>
      </c>
      <c r="Z1825" s="4">
        <v>437</v>
      </c>
      <c r="AA1825" s="4">
        <f>=ROUNDDOWN(29.1333333333333,0)</f>
      </c>
      <c r="AB1825" s="5">
        <v>15</v>
      </c>
      <c r="AC1825" s="2" t="s">
        <v>872</v>
      </c>
      <c r="AD1825" s="4">
        <v>300</v>
      </c>
      <c r="AE1825" s="4">
        <v>300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>
        <v>161</v>
      </c>
      <c r="BK1825" s="8">
        <v>6218.84</v>
      </c>
      <c r="BL1825" s="2" t="s">
        <v>6060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5872</v>
      </c>
      <c r="BX1825" s="2" t="s">
        <v>312</v>
      </c>
      <c r="BY1825" s="2" t="s">
        <v>113</v>
      </c>
      <c r="BZ1825" s="2" t="s">
        <v>100</v>
      </c>
    </row>
    <row r="1826">
      <c r="A1826" s="2" t="s">
        <v>6061</v>
      </c>
      <c r="B1826" s="2" t="s">
        <v>5764</v>
      </c>
      <c r="C1826" s="2" t="s">
        <v>5702</v>
      </c>
      <c r="D1826" s="2" t="s">
        <v>5765</v>
      </c>
      <c r="E1826" s="2" t="s">
        <v>6018</v>
      </c>
      <c r="F1826" s="2" t="s">
        <v>5942</v>
      </c>
      <c r="G1826" s="2" t="s">
        <v>5942</v>
      </c>
      <c r="H1826" s="2" t="s">
        <v>100</v>
      </c>
      <c r="I1826" s="2" t="s">
        <v>6020</v>
      </c>
      <c r="J1826" s="2" t="s">
        <v>6021</v>
      </c>
      <c r="K1826" s="2" t="s">
        <v>878</v>
      </c>
      <c r="L1826" s="3">
        <v>36.8</v>
      </c>
      <c r="M1826" s="3">
        <v>38.64</v>
      </c>
      <c r="N1826" s="3">
        <v>79.99</v>
      </c>
      <c r="O1826" s="2" t="s">
        <v>97</v>
      </c>
      <c r="P1826" s="2" t="s">
        <v>119</v>
      </c>
      <c r="Q1826" s="2" t="s">
        <v>99</v>
      </c>
      <c r="R1826" s="2" t="s">
        <v>100</v>
      </c>
      <c r="S1826" s="2" t="s">
        <v>5997</v>
      </c>
      <c r="T1826" s="2" t="s">
        <v>4441</v>
      </c>
      <c r="U1826" s="2" t="s">
        <v>1847</v>
      </c>
      <c r="V1826" s="2" t="s">
        <v>146</v>
      </c>
      <c r="W1826" s="2" t="s">
        <v>183</v>
      </c>
      <c r="X1826" s="2" t="s">
        <v>100</v>
      </c>
      <c r="Y1826" s="2" t="s">
        <v>5847</v>
      </c>
      <c r="Z1826" s="4">
        <v>1074</v>
      </c>
      <c r="AA1826" s="4">
        <f>=ROUNDDOWN(48.8181818181818,0)</f>
      </c>
      <c r="AB1826" s="5">
        <v>22</v>
      </c>
      <c r="AC1826" s="2" t="s">
        <v>356</v>
      </c>
      <c r="AD1826" s="4">
        <v>1180</v>
      </c>
      <c r="AE1826" s="4">
        <v>1250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>
        <v>144</v>
      </c>
      <c r="BK1826" s="8">
        <v>5706.42</v>
      </c>
      <c r="BL1826" s="2" t="s">
        <v>6062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207</v>
      </c>
      <c r="BV1826" s="2" t="s">
        <v>97</v>
      </c>
      <c r="BW1826" s="2" t="s">
        <v>100</v>
      </c>
      <c r="BX1826" s="2" t="s">
        <v>100</v>
      </c>
      <c r="BY1826" s="2" t="s">
        <v>113</v>
      </c>
      <c r="BZ1826" s="2" t="s">
        <v>100</v>
      </c>
    </row>
    <row r="1827">
      <c r="A1827" s="2" t="s">
        <v>6063</v>
      </c>
      <c r="B1827" s="2" t="s">
        <v>5764</v>
      </c>
      <c r="C1827" s="2" t="s">
        <v>5702</v>
      </c>
      <c r="D1827" s="2" t="s">
        <v>5765</v>
      </c>
      <c r="E1827" s="2" t="s">
        <v>6018</v>
      </c>
      <c r="F1827" s="2" t="s">
        <v>5942</v>
      </c>
      <c r="G1827" s="2" t="s">
        <v>5942</v>
      </c>
      <c r="H1827" s="2" t="s">
        <v>100</v>
      </c>
      <c r="I1827" s="2" t="s">
        <v>6020</v>
      </c>
      <c r="J1827" s="2" t="s">
        <v>6021</v>
      </c>
      <c r="K1827" s="2" t="s">
        <v>578</v>
      </c>
      <c r="L1827" s="3">
        <v>36.8</v>
      </c>
      <c r="M1827" s="3">
        <v>38.64</v>
      </c>
      <c r="N1827" s="3">
        <v>79.99</v>
      </c>
      <c r="O1827" s="2" t="s">
        <v>97</v>
      </c>
      <c r="P1827" s="2" t="s">
        <v>119</v>
      </c>
      <c r="Q1827" s="2" t="s">
        <v>99</v>
      </c>
      <c r="R1827" s="2" t="s">
        <v>100</v>
      </c>
      <c r="S1827" s="2" t="s">
        <v>6064</v>
      </c>
      <c r="T1827" s="2" t="s">
        <v>4441</v>
      </c>
      <c r="U1827" s="2" t="s">
        <v>1847</v>
      </c>
      <c r="V1827" s="2" t="s">
        <v>146</v>
      </c>
      <c r="W1827" s="2" t="s">
        <v>183</v>
      </c>
      <c r="X1827" s="2" t="s">
        <v>100</v>
      </c>
      <c r="Y1827" s="2" t="s">
        <v>5847</v>
      </c>
      <c r="Z1827" s="4">
        <v>993</v>
      </c>
      <c r="AA1827" s="4">
        <f>=ROUNDDOWN(58.4117647058824,0)</f>
      </c>
      <c r="AB1827" s="5">
        <v>17</v>
      </c>
      <c r="AC1827" s="2" t="s">
        <v>356</v>
      </c>
      <c r="AD1827" s="4">
        <v>1060</v>
      </c>
      <c r="AE1827" s="4">
        <v>1060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102</v>
      </c>
      <c r="BK1827" s="8">
        <v>3983.44</v>
      </c>
      <c r="BL1827" s="2" t="s">
        <v>6065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207</v>
      </c>
      <c r="BV1827" s="2" t="s">
        <v>97</v>
      </c>
      <c r="BW1827" s="2" t="s">
        <v>100</v>
      </c>
      <c r="BX1827" s="2" t="s">
        <v>100</v>
      </c>
      <c r="BY1827" s="2" t="s">
        <v>113</v>
      </c>
      <c r="BZ1827" s="2" t="s">
        <v>100</v>
      </c>
    </row>
    <row r="1828">
      <c r="A1828" s="2" t="s">
        <v>6066</v>
      </c>
      <c r="B1828" s="2" t="s">
        <v>5764</v>
      </c>
      <c r="C1828" s="2" t="s">
        <v>5702</v>
      </c>
      <c r="D1828" s="2" t="s">
        <v>5765</v>
      </c>
      <c r="E1828" s="2" t="s">
        <v>6018</v>
      </c>
      <c r="F1828" s="2" t="s">
        <v>6067</v>
      </c>
      <c r="G1828" s="2" t="s">
        <v>6068</v>
      </c>
      <c r="H1828" s="2" t="s">
        <v>6068</v>
      </c>
      <c r="I1828" s="2" t="s">
        <v>6069</v>
      </c>
      <c r="J1828" s="2" t="s">
        <v>1853</v>
      </c>
      <c r="K1828" s="2" t="s">
        <v>6070</v>
      </c>
      <c r="L1828" s="3">
        <v>36.8</v>
      </c>
      <c r="M1828" s="3">
        <v>38.64</v>
      </c>
      <c r="N1828" s="3">
        <v>79.99</v>
      </c>
      <c r="O1828" s="2" t="s">
        <v>97</v>
      </c>
      <c r="P1828" s="2" t="s">
        <v>225</v>
      </c>
      <c r="Q1828" s="2" t="s">
        <v>99</v>
      </c>
      <c r="R1828" s="2" t="s">
        <v>100</v>
      </c>
      <c r="S1828" s="2" t="s">
        <v>6071</v>
      </c>
      <c r="T1828" s="2" t="s">
        <v>6072</v>
      </c>
      <c r="U1828" s="2" t="s">
        <v>1847</v>
      </c>
      <c r="V1828" s="2" t="s">
        <v>146</v>
      </c>
      <c r="W1828" s="2" t="s">
        <v>673</v>
      </c>
      <c r="X1828" s="2" t="s">
        <v>104</v>
      </c>
      <c r="Y1828" s="2" t="s">
        <v>6073</v>
      </c>
      <c r="Z1828" s="4">
        <v>385</v>
      </c>
      <c r="AA1828" s="4">
        <f>=ROUNDDOWN({0},0)</f>
      </c>
      <c r="AB1828" s="5"/>
      <c r="AC1828" s="2" t="s">
        <v>184</v>
      </c>
      <c r="AD1828" s="4">
        <v>280</v>
      </c>
      <c r="AE1828" s="4">
        <v>504</v>
      </c>
      <c r="AF1828" s="6">
        <v>66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30</v>
      </c>
      <c r="BK1828" s="8">
        <v>1089.28</v>
      </c>
      <c r="BL1828" s="2" t="s">
        <v>3806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207</v>
      </c>
      <c r="BV1828" s="2" t="s">
        <v>97</v>
      </c>
      <c r="BW1828" s="2" t="s">
        <v>100</v>
      </c>
      <c r="BX1828" s="2" t="s">
        <v>100</v>
      </c>
      <c r="BY1828" s="2" t="s">
        <v>113</v>
      </c>
      <c r="BZ1828" s="2" t="s">
        <v>100</v>
      </c>
    </row>
    <row r="1829">
      <c r="A1829" s="2" t="s">
        <v>6074</v>
      </c>
      <c r="B1829" s="2" t="s">
        <v>5764</v>
      </c>
      <c r="C1829" s="2" t="s">
        <v>5702</v>
      </c>
      <c r="D1829" s="2" t="s">
        <v>5765</v>
      </c>
      <c r="E1829" s="2" t="s">
        <v>6018</v>
      </c>
      <c r="F1829" s="2" t="s">
        <v>6067</v>
      </c>
      <c r="G1829" s="2" t="s">
        <v>6068</v>
      </c>
      <c r="H1829" s="2" t="s">
        <v>6068</v>
      </c>
      <c r="I1829" s="2" t="s">
        <v>6069</v>
      </c>
      <c r="J1829" s="2" t="s">
        <v>1853</v>
      </c>
      <c r="K1829" s="2" t="s">
        <v>1952</v>
      </c>
      <c r="L1829" s="3">
        <v>36.8</v>
      </c>
      <c r="M1829" s="3">
        <v>38.64</v>
      </c>
      <c r="N1829" s="3">
        <v>79.99</v>
      </c>
      <c r="O1829" s="2" t="s">
        <v>97</v>
      </c>
      <c r="P1829" s="2" t="s">
        <v>950</v>
      </c>
      <c r="Q1829" s="2" t="s">
        <v>99</v>
      </c>
      <c r="R1829" s="2" t="s">
        <v>100</v>
      </c>
      <c r="S1829" s="2" t="s">
        <v>6075</v>
      </c>
      <c r="T1829" s="2" t="s">
        <v>6072</v>
      </c>
      <c r="U1829" s="2" t="s">
        <v>100</v>
      </c>
      <c r="V1829" s="2" t="s">
        <v>2508</v>
      </c>
      <c r="W1829" s="2" t="s">
        <v>673</v>
      </c>
      <c r="X1829" s="2" t="s">
        <v>104</v>
      </c>
      <c r="Y1829" s="2" t="s">
        <v>6076</v>
      </c>
      <c r="Z1829" s="4">
        <v>887</v>
      </c>
      <c r="AA1829" s="4">
        <f>=ROUNDDOWN(24.6388888888889,0)</f>
      </c>
      <c r="AB1829" s="5">
        <v>36</v>
      </c>
      <c r="AC1829" s="2" t="s">
        <v>205</v>
      </c>
      <c r="AD1829" s="4">
        <v>240</v>
      </c>
      <c r="AE1829" s="4">
        <v>380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>
        <v>174</v>
      </c>
      <c r="BK1829" s="8">
        <v>6768.22</v>
      </c>
      <c r="BL1829" s="2" t="s">
        <v>6077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207</v>
      </c>
      <c r="BV1829" s="2" t="s">
        <v>97</v>
      </c>
      <c r="BW1829" s="2" t="s">
        <v>100</v>
      </c>
      <c r="BX1829" s="2" t="s">
        <v>100</v>
      </c>
      <c r="BY1829" s="2" t="s">
        <v>113</v>
      </c>
      <c r="BZ1829" s="2" t="s">
        <v>100</v>
      </c>
    </row>
    <row r="1830">
      <c r="A1830" s="2" t="s">
        <v>6078</v>
      </c>
      <c r="B1830" s="2" t="s">
        <v>5764</v>
      </c>
      <c r="C1830" s="2" t="s">
        <v>5702</v>
      </c>
      <c r="D1830" s="2" t="s">
        <v>5765</v>
      </c>
      <c r="E1830" s="2" t="s">
        <v>6018</v>
      </c>
      <c r="F1830" s="2" t="s">
        <v>6067</v>
      </c>
      <c r="G1830" s="2" t="s">
        <v>6068</v>
      </c>
      <c r="H1830" s="2" t="s">
        <v>6068</v>
      </c>
      <c r="I1830" s="2" t="s">
        <v>6069</v>
      </c>
      <c r="J1830" s="2" t="s">
        <v>1853</v>
      </c>
      <c r="K1830" s="2" t="s">
        <v>6079</v>
      </c>
      <c r="L1830" s="3">
        <v>36.8</v>
      </c>
      <c r="M1830" s="3">
        <v>38.64</v>
      </c>
      <c r="N1830" s="3">
        <v>79.99</v>
      </c>
      <c r="O1830" s="2" t="s">
        <v>97</v>
      </c>
      <c r="P1830" s="2" t="s">
        <v>225</v>
      </c>
      <c r="Q1830" s="2" t="s">
        <v>99</v>
      </c>
      <c r="R1830" s="2" t="s">
        <v>100</v>
      </c>
      <c r="S1830" s="2" t="s">
        <v>6071</v>
      </c>
      <c r="T1830" s="2" t="s">
        <v>6072</v>
      </c>
      <c r="U1830" s="2" t="s">
        <v>1847</v>
      </c>
      <c r="V1830" s="2" t="s">
        <v>146</v>
      </c>
      <c r="W1830" s="2" t="s">
        <v>673</v>
      </c>
      <c r="X1830" s="2" t="s">
        <v>104</v>
      </c>
      <c r="Y1830" s="2" t="s">
        <v>6073</v>
      </c>
      <c r="Z1830" s="4">
        <v>429</v>
      </c>
      <c r="AA1830" s="4">
        <f>=ROUNDDOWN({0},0)</f>
      </c>
      <c r="AB1830" s="5"/>
      <c r="AC1830" s="2" t="s">
        <v>184</v>
      </c>
      <c r="AD1830" s="4">
        <v>280</v>
      </c>
      <c r="AE1830" s="4">
        <v>548</v>
      </c>
      <c r="AF1830" s="6">
        <v>66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18</v>
      </c>
      <c r="BK1830" s="8">
        <v>671.39</v>
      </c>
      <c r="BL1830" s="2" t="s">
        <v>1210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207</v>
      </c>
      <c r="BV1830" s="2" t="s">
        <v>97</v>
      </c>
      <c r="BW1830" s="2" t="s">
        <v>100</v>
      </c>
      <c r="BX1830" s="2" t="s">
        <v>100</v>
      </c>
      <c r="BY1830" s="2" t="s">
        <v>113</v>
      </c>
      <c r="BZ1830" s="2" t="s">
        <v>100</v>
      </c>
    </row>
    <row r="1831">
      <c r="A1831" s="2" t="s">
        <v>6080</v>
      </c>
      <c r="B1831" s="2" t="s">
        <v>5764</v>
      </c>
      <c r="C1831" s="2" t="s">
        <v>5702</v>
      </c>
      <c r="D1831" s="2" t="s">
        <v>5765</v>
      </c>
      <c r="E1831" s="2" t="s">
        <v>6018</v>
      </c>
      <c r="F1831" s="2" t="s">
        <v>6067</v>
      </c>
      <c r="G1831" s="2" t="s">
        <v>6068</v>
      </c>
      <c r="H1831" s="2" t="s">
        <v>6068</v>
      </c>
      <c r="I1831" s="2" t="s">
        <v>6069</v>
      </c>
      <c r="J1831" s="2" t="s">
        <v>1853</v>
      </c>
      <c r="K1831" s="2" t="s">
        <v>718</v>
      </c>
      <c r="L1831" s="3">
        <v>36.8</v>
      </c>
      <c r="M1831" s="3">
        <v>38.64</v>
      </c>
      <c r="N1831" s="3">
        <v>79.99</v>
      </c>
      <c r="O1831" s="2" t="s">
        <v>97</v>
      </c>
      <c r="P1831" s="2" t="s">
        <v>119</v>
      </c>
      <c r="Q1831" s="2" t="s">
        <v>99</v>
      </c>
      <c r="R1831" s="2" t="s">
        <v>100</v>
      </c>
      <c r="S1831" s="2" t="s">
        <v>6081</v>
      </c>
      <c r="T1831" s="2" t="s">
        <v>6072</v>
      </c>
      <c r="U1831" s="2" t="s">
        <v>1847</v>
      </c>
      <c r="V1831" s="2" t="s">
        <v>146</v>
      </c>
      <c r="W1831" s="2" t="s">
        <v>673</v>
      </c>
      <c r="X1831" s="2" t="s">
        <v>104</v>
      </c>
      <c r="Y1831" s="2" t="s">
        <v>6082</v>
      </c>
      <c r="Z1831" s="4">
        <v>1236</v>
      </c>
      <c r="AA1831" s="4">
        <f>=ROUNDDOWN(103,0)</f>
      </c>
      <c r="AB1831" s="5">
        <v>12</v>
      </c>
      <c r="AC1831" s="2" t="s">
        <v>205</v>
      </c>
      <c r="AD1831" s="4">
        <v>210</v>
      </c>
      <c r="AE1831" s="4">
        <v>350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114</v>
      </c>
      <c r="BK1831" s="8">
        <v>4385.01</v>
      </c>
      <c r="BL1831" s="2" t="s">
        <v>6083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207</v>
      </c>
      <c r="BV1831" s="2" t="s">
        <v>97</v>
      </c>
      <c r="BW1831" s="2" t="s">
        <v>100</v>
      </c>
      <c r="BX1831" s="2" t="s">
        <v>100</v>
      </c>
      <c r="BY1831" s="2" t="s">
        <v>113</v>
      </c>
      <c r="BZ1831" s="2" t="s">
        <v>100</v>
      </c>
    </row>
    <row r="1832">
      <c r="A1832" s="2" t="s">
        <v>6084</v>
      </c>
      <c r="B1832" s="2" t="s">
        <v>5764</v>
      </c>
      <c r="C1832" s="2" t="s">
        <v>5702</v>
      </c>
      <c r="D1832" s="2" t="s">
        <v>5765</v>
      </c>
      <c r="E1832" s="2" t="s">
        <v>6018</v>
      </c>
      <c r="F1832" s="2" t="s">
        <v>6067</v>
      </c>
      <c r="G1832" s="2" t="s">
        <v>6068</v>
      </c>
      <c r="H1832" s="2" t="s">
        <v>6068</v>
      </c>
      <c r="I1832" s="2" t="s">
        <v>6069</v>
      </c>
      <c r="J1832" s="2" t="s">
        <v>1853</v>
      </c>
      <c r="K1832" s="2" t="s">
        <v>198</v>
      </c>
      <c r="L1832" s="3">
        <v>36.8</v>
      </c>
      <c r="M1832" s="3">
        <v>38.64</v>
      </c>
      <c r="N1832" s="3">
        <v>79.99</v>
      </c>
      <c r="O1832" s="2" t="s">
        <v>97</v>
      </c>
      <c r="P1832" s="2" t="s">
        <v>950</v>
      </c>
      <c r="Q1832" s="2" t="s">
        <v>99</v>
      </c>
      <c r="R1832" s="2" t="s">
        <v>100</v>
      </c>
      <c r="S1832" s="2" t="s">
        <v>6085</v>
      </c>
      <c r="T1832" s="2" t="s">
        <v>100</v>
      </c>
      <c r="U1832" s="2" t="s">
        <v>1847</v>
      </c>
      <c r="V1832" s="2" t="s">
        <v>2508</v>
      </c>
      <c r="W1832" s="2" t="s">
        <v>673</v>
      </c>
      <c r="X1832" s="2" t="s">
        <v>104</v>
      </c>
      <c r="Y1832" s="2" t="s">
        <v>6086</v>
      </c>
      <c r="Z1832" s="4">
        <v>2797</v>
      </c>
      <c r="AA1832" s="4">
        <f>=ROUNDDOWN(35.8589743589744,0)</f>
      </c>
      <c r="AB1832" s="5">
        <v>78</v>
      </c>
      <c r="AC1832" s="2" t="s">
        <v>205</v>
      </c>
      <c r="AD1832" s="4">
        <v>540</v>
      </c>
      <c r="AE1832" s="4">
        <v>830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217</v>
      </c>
      <c r="BK1832" s="8">
        <v>8434.42</v>
      </c>
      <c r="BL1832" s="2" t="s">
        <v>6087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6088</v>
      </c>
      <c r="BX1832" s="2" t="s">
        <v>5457</v>
      </c>
      <c r="BY1832" s="2" t="s">
        <v>113</v>
      </c>
      <c r="BZ1832" s="2" t="s">
        <v>100</v>
      </c>
    </row>
    <row r="1833">
      <c r="A1833" s="2" t="s">
        <v>6089</v>
      </c>
      <c r="B1833" s="2" t="s">
        <v>5764</v>
      </c>
      <c r="C1833" s="2" t="s">
        <v>5702</v>
      </c>
      <c r="D1833" s="2" t="s">
        <v>5765</v>
      </c>
      <c r="E1833" s="2" t="s">
        <v>6018</v>
      </c>
      <c r="F1833" s="2" t="s">
        <v>6067</v>
      </c>
      <c r="G1833" s="2" t="s">
        <v>6068</v>
      </c>
      <c r="H1833" s="2" t="s">
        <v>6068</v>
      </c>
      <c r="I1833" s="2" t="s">
        <v>6069</v>
      </c>
      <c r="J1833" s="2" t="s">
        <v>1853</v>
      </c>
      <c r="K1833" s="2" t="s">
        <v>6090</v>
      </c>
      <c r="L1833" s="3">
        <v>36.8</v>
      </c>
      <c r="M1833" s="3">
        <v>38.64</v>
      </c>
      <c r="N1833" s="3">
        <v>79.99</v>
      </c>
      <c r="O1833" s="2" t="s">
        <v>97</v>
      </c>
      <c r="P1833" s="2" t="s">
        <v>119</v>
      </c>
      <c r="Q1833" s="2" t="s">
        <v>99</v>
      </c>
      <c r="R1833" s="2" t="s">
        <v>100</v>
      </c>
      <c r="S1833" s="2" t="s">
        <v>6091</v>
      </c>
      <c r="T1833" s="2" t="s">
        <v>6072</v>
      </c>
      <c r="U1833" s="2" t="s">
        <v>1847</v>
      </c>
      <c r="V1833" s="2" t="s">
        <v>2508</v>
      </c>
      <c r="W1833" s="2" t="s">
        <v>673</v>
      </c>
      <c r="X1833" s="2" t="s">
        <v>104</v>
      </c>
      <c r="Y1833" s="2" t="s">
        <v>6082</v>
      </c>
      <c r="Z1833" s="4">
        <v>1003</v>
      </c>
      <c r="AA1833" s="4">
        <f>=ROUNDDOWN(90.3603603603604,0)</f>
      </c>
      <c r="AB1833" s="5">
        <v>11.1</v>
      </c>
      <c r="AC1833" s="2" t="s">
        <v>205</v>
      </c>
      <c r="AD1833" s="4">
        <v>240</v>
      </c>
      <c r="AE1833" s="4">
        <v>340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/>
      <c r="BJ1833" s="4">
        <v>95</v>
      </c>
      <c r="BK1833" s="8">
        <v>3657.78</v>
      </c>
      <c r="BL1833" s="2" t="s">
        <v>1354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207</v>
      </c>
      <c r="BV1833" s="2" t="s">
        <v>97</v>
      </c>
      <c r="BW1833" s="2" t="s">
        <v>100</v>
      </c>
      <c r="BX1833" s="2" t="s">
        <v>100</v>
      </c>
      <c r="BY1833" s="2" t="s">
        <v>113</v>
      </c>
      <c r="BZ1833" s="2" t="s">
        <v>100</v>
      </c>
    </row>
    <row r="1834">
      <c r="A1834" s="2" t="s">
        <v>6092</v>
      </c>
      <c r="B1834" s="2" t="s">
        <v>5764</v>
      </c>
      <c r="C1834" s="2" t="s">
        <v>5702</v>
      </c>
      <c r="D1834" s="2" t="s">
        <v>5765</v>
      </c>
      <c r="E1834" s="2" t="s">
        <v>6018</v>
      </c>
      <c r="F1834" s="2" t="s">
        <v>6067</v>
      </c>
      <c r="G1834" s="2" t="s">
        <v>6068</v>
      </c>
      <c r="H1834" s="2" t="s">
        <v>6068</v>
      </c>
      <c r="I1834" s="2" t="s">
        <v>6069</v>
      </c>
      <c r="J1834" s="2" t="s">
        <v>1853</v>
      </c>
      <c r="K1834" s="2" t="s">
        <v>6093</v>
      </c>
      <c r="L1834" s="3">
        <v>36.8</v>
      </c>
      <c r="M1834" s="3">
        <v>38.64</v>
      </c>
      <c r="N1834" s="3">
        <v>79.99</v>
      </c>
      <c r="O1834" s="2" t="s">
        <v>97</v>
      </c>
      <c r="P1834" s="2" t="s">
        <v>225</v>
      </c>
      <c r="Q1834" s="2" t="s">
        <v>99</v>
      </c>
      <c r="R1834" s="2" t="s">
        <v>100</v>
      </c>
      <c r="S1834" s="2" t="s">
        <v>6071</v>
      </c>
      <c r="T1834" s="2" t="s">
        <v>6072</v>
      </c>
      <c r="U1834" s="2" t="s">
        <v>1847</v>
      </c>
      <c r="V1834" s="2" t="s">
        <v>146</v>
      </c>
      <c r="W1834" s="2" t="s">
        <v>673</v>
      </c>
      <c r="X1834" s="2" t="s">
        <v>104</v>
      </c>
      <c r="Y1834" s="2" t="s">
        <v>6073</v>
      </c>
      <c r="Z1834" s="4">
        <v>414</v>
      </c>
      <c r="AA1834" s="4">
        <f>=ROUNDDOWN({0},0)</f>
      </c>
      <c r="AB1834" s="5"/>
      <c r="AC1834" s="2" t="s">
        <v>184</v>
      </c>
      <c r="AD1834" s="4">
        <v>280</v>
      </c>
      <c r="AE1834" s="4">
        <v>550</v>
      </c>
      <c r="AF1834" s="6">
        <v>66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>
        <v>22</v>
      </c>
      <c r="BK1834" s="8">
        <v>827.7</v>
      </c>
      <c r="BL1834" s="2" t="s">
        <v>6094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207</v>
      </c>
      <c r="BV1834" s="2" t="s">
        <v>97</v>
      </c>
      <c r="BW1834" s="2" t="s">
        <v>100</v>
      </c>
      <c r="BX1834" s="2" t="s">
        <v>100</v>
      </c>
      <c r="BY1834" s="2" t="s">
        <v>113</v>
      </c>
      <c r="BZ1834" s="2" t="s">
        <v>100</v>
      </c>
    </row>
    <row r="1835">
      <c r="A1835" s="2" t="s">
        <v>6095</v>
      </c>
      <c r="B1835" s="2" t="s">
        <v>5764</v>
      </c>
      <c r="C1835" s="2" t="s">
        <v>5702</v>
      </c>
      <c r="D1835" s="2" t="s">
        <v>5765</v>
      </c>
      <c r="E1835" s="2" t="s">
        <v>6018</v>
      </c>
      <c r="F1835" s="2" t="s">
        <v>6067</v>
      </c>
      <c r="G1835" s="2" t="s">
        <v>6068</v>
      </c>
      <c r="H1835" s="2" t="s">
        <v>6068</v>
      </c>
      <c r="I1835" s="2" t="s">
        <v>6069</v>
      </c>
      <c r="J1835" s="2" t="s">
        <v>1853</v>
      </c>
      <c r="K1835" s="2" t="s">
        <v>6096</v>
      </c>
      <c r="L1835" s="3">
        <v>36.8</v>
      </c>
      <c r="M1835" s="3">
        <v>38.64</v>
      </c>
      <c r="N1835" s="3">
        <v>79.99</v>
      </c>
      <c r="O1835" s="2" t="s">
        <v>97</v>
      </c>
      <c r="P1835" s="2" t="s">
        <v>950</v>
      </c>
      <c r="Q1835" s="2" t="s">
        <v>99</v>
      </c>
      <c r="R1835" s="2" t="s">
        <v>100</v>
      </c>
      <c r="S1835" s="2" t="s">
        <v>6097</v>
      </c>
      <c r="T1835" s="2" t="s">
        <v>6072</v>
      </c>
      <c r="U1835" s="2" t="s">
        <v>1847</v>
      </c>
      <c r="V1835" s="2" t="s">
        <v>1150</v>
      </c>
      <c r="W1835" s="2" t="s">
        <v>673</v>
      </c>
      <c r="X1835" s="2" t="s">
        <v>104</v>
      </c>
      <c r="Y1835" s="2" t="s">
        <v>5834</v>
      </c>
      <c r="Z1835" s="4">
        <v>1507</v>
      </c>
      <c r="AA1835" s="4">
        <f>=ROUNDDOWN(32.063829787234,0)</f>
      </c>
      <c r="AB1835" s="5">
        <v>47</v>
      </c>
      <c r="AC1835" s="2" t="s">
        <v>205</v>
      </c>
      <c r="AD1835" s="4">
        <v>310</v>
      </c>
      <c r="AE1835" s="4">
        <v>500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>
        <v>208</v>
      </c>
      <c r="BK1835" s="8">
        <v>8233.02</v>
      </c>
      <c r="BL1835" s="2" t="s">
        <v>6098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186</v>
      </c>
      <c r="BV1835" s="2" t="s">
        <v>97</v>
      </c>
      <c r="BW1835" s="2" t="s">
        <v>100</v>
      </c>
      <c r="BX1835" s="2" t="s">
        <v>100</v>
      </c>
      <c r="BY1835" s="2" t="s">
        <v>113</v>
      </c>
      <c r="BZ1835" s="2" t="s">
        <v>100</v>
      </c>
    </row>
    <row r="1836">
      <c r="A1836" s="2" t="s">
        <v>6099</v>
      </c>
      <c r="B1836" s="2" t="s">
        <v>5764</v>
      </c>
      <c r="C1836" s="2" t="s">
        <v>5702</v>
      </c>
      <c r="D1836" s="2" t="s">
        <v>5765</v>
      </c>
      <c r="E1836" s="2" t="s">
        <v>6018</v>
      </c>
      <c r="F1836" s="2" t="s">
        <v>6067</v>
      </c>
      <c r="G1836" s="2" t="s">
        <v>6068</v>
      </c>
      <c r="H1836" s="2" t="s">
        <v>6068</v>
      </c>
      <c r="I1836" s="2" t="s">
        <v>6069</v>
      </c>
      <c r="J1836" s="2" t="s">
        <v>1853</v>
      </c>
      <c r="K1836" s="2" t="s">
        <v>6100</v>
      </c>
      <c r="L1836" s="3">
        <v>36.8</v>
      </c>
      <c r="M1836" s="3">
        <v>38.64</v>
      </c>
      <c r="N1836" s="3">
        <v>79.99</v>
      </c>
      <c r="O1836" s="2" t="s">
        <v>97</v>
      </c>
      <c r="P1836" s="2" t="s">
        <v>225</v>
      </c>
      <c r="Q1836" s="2" t="s">
        <v>99</v>
      </c>
      <c r="R1836" s="2" t="s">
        <v>100</v>
      </c>
      <c r="S1836" s="2" t="s">
        <v>6071</v>
      </c>
      <c r="T1836" s="2" t="s">
        <v>6072</v>
      </c>
      <c r="U1836" s="2" t="s">
        <v>1847</v>
      </c>
      <c r="V1836" s="2" t="s">
        <v>146</v>
      </c>
      <c r="W1836" s="2" t="s">
        <v>673</v>
      </c>
      <c r="X1836" s="2" t="s">
        <v>104</v>
      </c>
      <c r="Y1836" s="2" t="s">
        <v>1209</v>
      </c>
      <c r="Z1836" s="4">
        <v>498</v>
      </c>
      <c r="AA1836" s="4">
        <f>=ROUNDDOWN({0},0)</f>
      </c>
      <c r="AB1836" s="5"/>
      <c r="AC1836" s="2" t="s">
        <v>184</v>
      </c>
      <c r="AD1836" s="4">
        <v>330</v>
      </c>
      <c r="AE1836" s="4">
        <v>670</v>
      </c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29</v>
      </c>
      <c r="BK1836" s="8">
        <v>1082.31</v>
      </c>
      <c r="BL1836" s="2" t="s">
        <v>6101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207</v>
      </c>
      <c r="BV1836" s="2" t="s">
        <v>97</v>
      </c>
      <c r="BW1836" s="2" t="s">
        <v>100</v>
      </c>
      <c r="BX1836" s="2" t="s">
        <v>100</v>
      </c>
      <c r="BY1836" s="2" t="s">
        <v>113</v>
      </c>
      <c r="BZ1836" s="2" t="s">
        <v>100</v>
      </c>
    </row>
    <row r="1837">
      <c r="A1837" s="2" t="s">
        <v>6102</v>
      </c>
      <c r="B1837" s="2" t="s">
        <v>5764</v>
      </c>
      <c r="C1837" s="2" t="s">
        <v>5702</v>
      </c>
      <c r="D1837" s="2" t="s">
        <v>5765</v>
      </c>
      <c r="E1837" s="2" t="s">
        <v>6018</v>
      </c>
      <c r="F1837" s="2" t="s">
        <v>6067</v>
      </c>
      <c r="G1837" s="2" t="s">
        <v>6068</v>
      </c>
      <c r="H1837" s="2" t="s">
        <v>6068</v>
      </c>
      <c r="I1837" s="2" t="s">
        <v>6069</v>
      </c>
      <c r="J1837" s="2" t="s">
        <v>1853</v>
      </c>
      <c r="K1837" s="2" t="s">
        <v>6103</v>
      </c>
      <c r="L1837" s="3">
        <v>36.8</v>
      </c>
      <c r="M1837" s="3">
        <v>38.64</v>
      </c>
      <c r="N1837" s="3">
        <v>79.99</v>
      </c>
      <c r="O1837" s="2" t="s">
        <v>97</v>
      </c>
      <c r="P1837" s="2" t="s">
        <v>98</v>
      </c>
      <c r="Q1837" s="2" t="s">
        <v>99</v>
      </c>
      <c r="R1837" s="2" t="s">
        <v>100</v>
      </c>
      <c r="S1837" s="2" t="s">
        <v>6104</v>
      </c>
      <c r="T1837" s="2" t="s">
        <v>6072</v>
      </c>
      <c r="U1837" s="2" t="s">
        <v>1847</v>
      </c>
      <c r="V1837" s="2" t="s">
        <v>1150</v>
      </c>
      <c r="W1837" s="2" t="s">
        <v>673</v>
      </c>
      <c r="X1837" s="2" t="s">
        <v>104</v>
      </c>
      <c r="Y1837" s="2" t="s">
        <v>6105</v>
      </c>
      <c r="Z1837" s="4">
        <v>2903</v>
      </c>
      <c r="AA1837" s="4">
        <f>=ROUNDDOWN(34.5595238095238,0)</f>
      </c>
      <c r="AB1837" s="5">
        <v>84</v>
      </c>
      <c r="AC1837" s="2" t="s">
        <v>205</v>
      </c>
      <c r="AD1837" s="4">
        <v>560</v>
      </c>
      <c r="AE1837" s="4">
        <v>880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/>
      <c r="BJ1837" s="4">
        <v>384</v>
      </c>
      <c r="BK1837" s="8">
        <v>15444.14</v>
      </c>
      <c r="BL1837" s="2" t="s">
        <v>6106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186</v>
      </c>
      <c r="BV1837" s="2" t="s">
        <v>97</v>
      </c>
      <c r="BW1837" s="2" t="s">
        <v>100</v>
      </c>
      <c r="BX1837" s="2" t="s">
        <v>100</v>
      </c>
      <c r="BY1837" s="2" t="s">
        <v>113</v>
      </c>
      <c r="BZ1837" s="2" t="s">
        <v>100</v>
      </c>
    </row>
    <row r="1838">
      <c r="A1838" s="2" t="s">
        <v>6107</v>
      </c>
      <c r="B1838" s="2" t="s">
        <v>5764</v>
      </c>
      <c r="C1838" s="2" t="s">
        <v>5702</v>
      </c>
      <c r="D1838" s="2" t="s">
        <v>5765</v>
      </c>
      <c r="E1838" s="2" t="s">
        <v>6018</v>
      </c>
      <c r="F1838" s="2" t="s">
        <v>6067</v>
      </c>
      <c r="G1838" s="2" t="s">
        <v>6068</v>
      </c>
      <c r="H1838" s="2" t="s">
        <v>6068</v>
      </c>
      <c r="I1838" s="2" t="s">
        <v>6069</v>
      </c>
      <c r="J1838" s="2" t="s">
        <v>1853</v>
      </c>
      <c r="K1838" s="2" t="s">
        <v>5293</v>
      </c>
      <c r="L1838" s="3">
        <v>36.8</v>
      </c>
      <c r="M1838" s="3">
        <v>38.64</v>
      </c>
      <c r="N1838" s="3">
        <v>79.99</v>
      </c>
      <c r="O1838" s="2" t="s">
        <v>97</v>
      </c>
      <c r="P1838" s="2" t="s">
        <v>98</v>
      </c>
      <c r="Q1838" s="2" t="s">
        <v>99</v>
      </c>
      <c r="R1838" s="2" t="s">
        <v>100</v>
      </c>
      <c r="S1838" s="2" t="s">
        <v>6108</v>
      </c>
      <c r="T1838" s="2" t="s">
        <v>100</v>
      </c>
      <c r="U1838" s="2" t="s">
        <v>1847</v>
      </c>
      <c r="V1838" s="2" t="s">
        <v>2508</v>
      </c>
      <c r="W1838" s="2" t="s">
        <v>673</v>
      </c>
      <c r="X1838" s="2" t="s">
        <v>104</v>
      </c>
      <c r="Y1838" s="2" t="s">
        <v>6086</v>
      </c>
      <c r="Z1838" s="4">
        <v>2041</v>
      </c>
      <c r="AA1838" s="4">
        <f>=ROUNDDOWN(56.6944444444444,0)</f>
      </c>
      <c r="AB1838" s="5">
        <v>36</v>
      </c>
      <c r="AC1838" s="2" t="s">
        <v>205</v>
      </c>
      <c r="AD1838" s="4">
        <v>450</v>
      </c>
      <c r="AE1838" s="4">
        <v>720</v>
      </c>
      <c r="AF1838" s="6">
        <v>65</v>
      </c>
      <c r="AG1838" s="6"/>
      <c r="AH1838" s="7">
        <v>0.6203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292</v>
      </c>
      <c r="BK1838" s="8">
        <v>11512.09</v>
      </c>
      <c r="BL1838" s="2" t="s">
        <v>6109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6088</v>
      </c>
      <c r="BX1838" s="2" t="s">
        <v>2324</v>
      </c>
      <c r="BY1838" s="2" t="s">
        <v>113</v>
      </c>
      <c r="BZ1838" s="2" t="s">
        <v>100</v>
      </c>
    </row>
    <row r="1839">
      <c r="A1839" s="2" t="s">
        <v>6110</v>
      </c>
      <c r="B1839" s="2" t="s">
        <v>5764</v>
      </c>
      <c r="C1839" s="2" t="s">
        <v>5702</v>
      </c>
      <c r="D1839" s="2" t="s">
        <v>6111</v>
      </c>
      <c r="E1839" s="2" t="s">
        <v>6112</v>
      </c>
      <c r="F1839" s="2" t="s">
        <v>6113</v>
      </c>
      <c r="G1839" s="2" t="s">
        <v>6113</v>
      </c>
      <c r="H1839" s="2" t="s">
        <v>6113</v>
      </c>
      <c r="I1839" s="2" t="s">
        <v>6114</v>
      </c>
      <c r="J1839" s="2" t="s">
        <v>1936</v>
      </c>
      <c r="K1839" s="2" t="s">
        <v>189</v>
      </c>
      <c r="L1839" s="3">
        <v>45</v>
      </c>
      <c r="M1839" s="3">
        <v>47.25</v>
      </c>
      <c r="N1839" s="3">
        <v>89.99</v>
      </c>
      <c r="O1839" s="2" t="s">
        <v>97</v>
      </c>
      <c r="P1839" s="2" t="s">
        <v>950</v>
      </c>
      <c r="Q1839" s="2" t="s">
        <v>99</v>
      </c>
      <c r="R1839" s="2" t="s">
        <v>100</v>
      </c>
      <c r="S1839" s="2" t="s">
        <v>6115</v>
      </c>
      <c r="T1839" s="2" t="s">
        <v>4972</v>
      </c>
      <c r="U1839" s="2" t="s">
        <v>100</v>
      </c>
      <c r="V1839" s="2" t="s">
        <v>146</v>
      </c>
      <c r="W1839" s="2" t="s">
        <v>183</v>
      </c>
      <c r="X1839" s="2" t="s">
        <v>100</v>
      </c>
      <c r="Y1839" s="2" t="s">
        <v>240</v>
      </c>
      <c r="Z1839" s="4">
        <v>967</v>
      </c>
      <c r="AA1839" s="4">
        <f>=ROUNDDOWN(35.8148148148148,0)</f>
      </c>
      <c r="AB1839" s="5">
        <v>27</v>
      </c>
      <c r="AC1839" s="2" t="s">
        <v>542</v>
      </c>
      <c r="AD1839" s="4">
        <v>120</v>
      </c>
      <c r="AE1839" s="4">
        <v>420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>
        <v>3</v>
      </c>
      <c r="AQ1839" s="8">
        <v>136.05</v>
      </c>
      <c r="AR1839" s="4"/>
      <c r="AS1839" s="8"/>
      <c r="AT1839" s="7"/>
      <c r="AU1839" s="7"/>
      <c r="AV1839" s="4">
        <v>100</v>
      </c>
      <c r="AW1839" s="8">
        <v>6179.74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0.022</v>
      </c>
      <c r="BC1839" s="4">
        <v>100</v>
      </c>
      <c r="BD1839" s="8">
        <v>6179.74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1</v>
      </c>
      <c r="BJ1839" s="4">
        <v>291</v>
      </c>
      <c r="BK1839" s="8">
        <v>11761.75</v>
      </c>
      <c r="BL1839" s="2" t="s">
        <v>6116</v>
      </c>
      <c r="BM1839" s="7">
        <v>0.0103</v>
      </c>
      <c r="BN1839" s="7">
        <v>0.0116</v>
      </c>
      <c r="BO1839" s="4">
        <v>3</v>
      </c>
      <c r="BP1839" s="8">
        <v>136.05</v>
      </c>
      <c r="BQ1839" s="4"/>
      <c r="BR1839" s="8"/>
      <c r="BS1839" s="7"/>
      <c r="BT1839" s="7"/>
      <c r="BU1839" s="2" t="s">
        <v>109</v>
      </c>
      <c r="BV1839" s="2" t="s">
        <v>110</v>
      </c>
      <c r="BW1839" s="2" t="s">
        <v>243</v>
      </c>
      <c r="BX1839" s="2" t="s">
        <v>312</v>
      </c>
      <c r="BY1839" s="2" t="s">
        <v>113</v>
      </c>
      <c r="BZ1839" s="2" t="s">
        <v>100</v>
      </c>
    </row>
    <row r="1840">
      <c r="A1840" s="2" t="s">
        <v>6117</v>
      </c>
      <c r="B1840" s="2" t="s">
        <v>5764</v>
      </c>
      <c r="C1840" s="2" t="s">
        <v>5702</v>
      </c>
      <c r="D1840" s="2" t="s">
        <v>6111</v>
      </c>
      <c r="E1840" s="2" t="s">
        <v>6112</v>
      </c>
      <c r="F1840" s="2" t="s">
        <v>6113</v>
      </c>
      <c r="G1840" s="2" t="s">
        <v>6113</v>
      </c>
      <c r="H1840" s="2" t="s">
        <v>6113</v>
      </c>
      <c r="I1840" s="2" t="s">
        <v>6114</v>
      </c>
      <c r="J1840" s="2" t="s">
        <v>2072</v>
      </c>
      <c r="K1840" s="2" t="s">
        <v>189</v>
      </c>
      <c r="L1840" s="3">
        <v>45</v>
      </c>
      <c r="M1840" s="3">
        <v>47.25</v>
      </c>
      <c r="N1840" s="3">
        <v>89.99</v>
      </c>
      <c r="O1840" s="2" t="s">
        <v>97</v>
      </c>
      <c r="P1840" s="2" t="s">
        <v>307</v>
      </c>
      <c r="Q1840" s="2" t="s">
        <v>99</v>
      </c>
      <c r="R1840" s="2" t="s">
        <v>100</v>
      </c>
      <c r="S1840" s="2" t="s">
        <v>6115</v>
      </c>
      <c r="T1840" s="2" t="s">
        <v>4972</v>
      </c>
      <c r="U1840" s="2" t="s">
        <v>100</v>
      </c>
      <c r="V1840" s="2" t="s">
        <v>146</v>
      </c>
      <c r="W1840" s="2" t="s">
        <v>183</v>
      </c>
      <c r="X1840" s="2" t="s">
        <v>100</v>
      </c>
      <c r="Y1840" s="2" t="s">
        <v>240</v>
      </c>
      <c r="Z1840" s="4">
        <v>4824</v>
      </c>
      <c r="AA1840" s="4">
        <f>=ROUNDDOWN(14.8888888888889,0)</f>
      </c>
      <c r="AB1840" s="5">
        <v>324</v>
      </c>
      <c r="AC1840" s="2" t="s">
        <v>542</v>
      </c>
      <c r="AD1840" s="4">
        <v>1930</v>
      </c>
      <c r="AE1840" s="4">
        <v>7530</v>
      </c>
      <c r="AF1840" s="6">
        <v>65</v>
      </c>
      <c r="AG1840" s="6"/>
      <c r="AH1840" s="7">
        <v>0.6524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>
        <v>44</v>
      </c>
      <c r="AQ1840" s="8">
        <v>2245.32</v>
      </c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0.3633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5541</v>
      </c>
      <c r="BK1840" s="8">
        <v>218929.37</v>
      </c>
      <c r="BL1840" s="2" t="s">
        <v>6118</v>
      </c>
      <c r="BM1840" s="7">
        <v>0.0079</v>
      </c>
      <c r="BN1840" s="7">
        <v>0.0103</v>
      </c>
      <c r="BO1840" s="4">
        <v>44</v>
      </c>
      <c r="BP1840" s="8">
        <v>2245.32</v>
      </c>
      <c r="BQ1840" s="4"/>
      <c r="BR1840" s="8"/>
      <c r="BS1840" s="7"/>
      <c r="BT1840" s="7"/>
      <c r="BU1840" s="2" t="s">
        <v>109</v>
      </c>
      <c r="BV1840" s="2" t="s">
        <v>110</v>
      </c>
      <c r="BW1840" s="2" t="s">
        <v>4840</v>
      </c>
      <c r="BX1840" s="2" t="s">
        <v>6119</v>
      </c>
      <c r="BY1840" s="2" t="s">
        <v>113</v>
      </c>
      <c r="BZ1840" s="2" t="s">
        <v>100</v>
      </c>
    </row>
    <row r="1841">
      <c r="A1841" s="2" t="s">
        <v>6120</v>
      </c>
      <c r="B1841" s="2" t="s">
        <v>5764</v>
      </c>
      <c r="C1841" s="2" t="s">
        <v>5702</v>
      </c>
      <c r="D1841" s="2" t="s">
        <v>6111</v>
      </c>
      <c r="E1841" s="2" t="s">
        <v>6112</v>
      </c>
      <c r="F1841" s="2" t="s">
        <v>6113</v>
      </c>
      <c r="G1841" s="2" t="s">
        <v>6113</v>
      </c>
      <c r="H1841" s="2" t="s">
        <v>6113</v>
      </c>
      <c r="I1841" s="2" t="s">
        <v>6114</v>
      </c>
      <c r="J1841" s="2" t="s">
        <v>717</v>
      </c>
      <c r="K1841" s="2" t="s">
        <v>189</v>
      </c>
      <c r="L1841" s="3">
        <v>50</v>
      </c>
      <c r="M1841" s="3">
        <v>52.5</v>
      </c>
      <c r="N1841" s="3">
        <v>99.99</v>
      </c>
      <c r="O1841" s="2" t="s">
        <v>97</v>
      </c>
      <c r="P1841" s="2" t="s">
        <v>307</v>
      </c>
      <c r="Q1841" s="2" t="s">
        <v>99</v>
      </c>
      <c r="R1841" s="2" t="s">
        <v>100</v>
      </c>
      <c r="S1841" s="2" t="s">
        <v>6115</v>
      </c>
      <c r="T1841" s="2" t="s">
        <v>4972</v>
      </c>
      <c r="U1841" s="2" t="s">
        <v>100</v>
      </c>
      <c r="V1841" s="2" t="s">
        <v>146</v>
      </c>
      <c r="W1841" s="2" t="s">
        <v>183</v>
      </c>
      <c r="X1841" s="2" t="s">
        <v>100</v>
      </c>
      <c r="Y1841" s="2" t="s">
        <v>240</v>
      </c>
      <c r="Z1841" s="4">
        <v>2443</v>
      </c>
      <c r="AA1841" s="4">
        <f>=ROUNDDOWN(36.9033232628399,0)</f>
      </c>
      <c r="AB1841" s="5">
        <v>66.2</v>
      </c>
      <c r="AC1841" s="2" t="s">
        <v>542</v>
      </c>
      <c r="AD1841" s="4">
        <v>370</v>
      </c>
      <c r="AE1841" s="4">
        <v>1120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>
        <v>9</v>
      </c>
      <c r="AQ1841" s="8">
        <v>459.18</v>
      </c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0.0743</v>
      </c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 t="s">
        <v>100</v>
      </c>
      <c r="BJ1841" s="4">
        <v>696</v>
      </c>
      <c r="BK1841" s="8">
        <v>32207.59</v>
      </c>
      <c r="BL1841" s="2" t="s">
        <v>6121</v>
      </c>
      <c r="BM1841" s="7">
        <v>0.0129</v>
      </c>
      <c r="BN1841" s="7">
        <v>0.0143</v>
      </c>
      <c r="BO1841" s="4">
        <v>9</v>
      </c>
      <c r="BP1841" s="8">
        <v>459.18</v>
      </c>
      <c r="BQ1841" s="4"/>
      <c r="BR1841" s="8"/>
      <c r="BS1841" s="7"/>
      <c r="BT1841" s="7"/>
      <c r="BU1841" s="2" t="s">
        <v>109</v>
      </c>
      <c r="BV1841" s="2" t="s">
        <v>110</v>
      </c>
      <c r="BW1841" s="2" t="s">
        <v>243</v>
      </c>
      <c r="BX1841" s="2" t="s">
        <v>312</v>
      </c>
      <c r="BY1841" s="2" t="s">
        <v>113</v>
      </c>
      <c r="BZ1841" s="2" t="s">
        <v>100</v>
      </c>
    </row>
    <row r="1842">
      <c r="A1842" s="2" t="s">
        <v>6122</v>
      </c>
      <c r="B1842" s="2" t="s">
        <v>5764</v>
      </c>
      <c r="C1842" s="2" t="s">
        <v>5702</v>
      </c>
      <c r="D1842" s="2" t="s">
        <v>6111</v>
      </c>
      <c r="E1842" s="2" t="s">
        <v>6112</v>
      </c>
      <c r="F1842" s="2" t="s">
        <v>6113</v>
      </c>
      <c r="G1842" s="2" t="s">
        <v>6113</v>
      </c>
      <c r="H1842" s="2" t="s">
        <v>6113</v>
      </c>
      <c r="I1842" s="2" t="s">
        <v>6114</v>
      </c>
      <c r="J1842" s="2" t="s">
        <v>706</v>
      </c>
      <c r="K1842" s="2" t="s">
        <v>189</v>
      </c>
      <c r="L1842" s="3">
        <v>68.89</v>
      </c>
      <c r="M1842" s="3">
        <v>72.33</v>
      </c>
      <c r="N1842" s="3">
        <v>129.99</v>
      </c>
      <c r="O1842" s="2" t="s">
        <v>97</v>
      </c>
      <c r="P1842" s="2" t="s">
        <v>307</v>
      </c>
      <c r="Q1842" s="2" t="s">
        <v>99</v>
      </c>
      <c r="R1842" s="2" t="s">
        <v>100</v>
      </c>
      <c r="S1842" s="2" t="s">
        <v>6115</v>
      </c>
      <c r="T1842" s="2" t="s">
        <v>4972</v>
      </c>
      <c r="U1842" s="2" t="s">
        <v>100</v>
      </c>
      <c r="V1842" s="2" t="s">
        <v>146</v>
      </c>
      <c r="W1842" s="2" t="s">
        <v>183</v>
      </c>
      <c r="X1842" s="2" t="s">
        <v>100</v>
      </c>
      <c r="Y1842" s="2" t="s">
        <v>240</v>
      </c>
      <c r="Z1842" s="4">
        <v>2976</v>
      </c>
      <c r="AA1842" s="4">
        <f>=ROUNDDOWN(25.0084033613445,0)</f>
      </c>
      <c r="AB1842" s="5">
        <v>119</v>
      </c>
      <c r="AC1842" s="2" t="s">
        <v>542</v>
      </c>
      <c r="AD1842" s="4">
        <v>550</v>
      </c>
      <c r="AE1842" s="4">
        <v>1490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>
        <v>27</v>
      </c>
      <c r="AQ1842" s="8">
        <v>1989.9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0.322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3099</v>
      </c>
      <c r="BK1842" s="8">
        <v>201769.7</v>
      </c>
      <c r="BL1842" s="2" t="s">
        <v>6123</v>
      </c>
      <c r="BM1842" s="7">
        <v>0.0087</v>
      </c>
      <c r="BN1842" s="7">
        <v>0.0099</v>
      </c>
      <c r="BO1842" s="4">
        <v>27</v>
      </c>
      <c r="BP1842" s="8">
        <v>1989.9</v>
      </c>
      <c r="BQ1842" s="4"/>
      <c r="BR1842" s="8"/>
      <c r="BS1842" s="7"/>
      <c r="BT1842" s="7"/>
      <c r="BU1842" s="2" t="s">
        <v>109</v>
      </c>
      <c r="BV1842" s="2" t="s">
        <v>110</v>
      </c>
      <c r="BW1842" s="2" t="s">
        <v>243</v>
      </c>
      <c r="BX1842" s="2" t="s">
        <v>312</v>
      </c>
      <c r="BY1842" s="2" t="s">
        <v>113</v>
      </c>
      <c r="BZ1842" s="2" t="s">
        <v>100</v>
      </c>
    </row>
    <row r="1843">
      <c r="A1843" s="2" t="s">
        <v>6124</v>
      </c>
      <c r="B1843" s="2" t="s">
        <v>5764</v>
      </c>
      <c r="C1843" s="2" t="s">
        <v>5702</v>
      </c>
      <c r="D1843" s="2" t="s">
        <v>6111</v>
      </c>
      <c r="E1843" s="2" t="s">
        <v>6112</v>
      </c>
      <c r="F1843" s="2" t="s">
        <v>6113</v>
      </c>
      <c r="G1843" s="2" t="s">
        <v>6113</v>
      </c>
      <c r="H1843" s="2" t="s">
        <v>6113</v>
      </c>
      <c r="I1843" s="2" t="s">
        <v>6114</v>
      </c>
      <c r="J1843" s="2" t="s">
        <v>714</v>
      </c>
      <c r="K1843" s="2" t="s">
        <v>189</v>
      </c>
      <c r="L1843" s="3">
        <v>74.19</v>
      </c>
      <c r="M1843" s="3">
        <v>77.9</v>
      </c>
      <c r="N1843" s="3">
        <v>139.99</v>
      </c>
      <c r="O1843" s="2" t="s">
        <v>97</v>
      </c>
      <c r="P1843" s="2" t="s">
        <v>307</v>
      </c>
      <c r="Q1843" s="2" t="s">
        <v>99</v>
      </c>
      <c r="R1843" s="2" t="s">
        <v>100</v>
      </c>
      <c r="S1843" s="2" t="s">
        <v>6115</v>
      </c>
      <c r="T1843" s="2" t="s">
        <v>4972</v>
      </c>
      <c r="U1843" s="2" t="s">
        <v>100</v>
      </c>
      <c r="V1843" s="2" t="s">
        <v>146</v>
      </c>
      <c r="W1843" s="2" t="s">
        <v>183</v>
      </c>
      <c r="X1843" s="2" t="s">
        <v>100</v>
      </c>
      <c r="Y1843" s="2" t="s">
        <v>240</v>
      </c>
      <c r="Z1843" s="4">
        <v>2913</v>
      </c>
      <c r="AA1843" s="4">
        <f>=ROUNDDOWN(22.5813953488372,0)</f>
      </c>
      <c r="AB1843" s="5">
        <v>129</v>
      </c>
      <c r="AC1843" s="2" t="s">
        <v>542</v>
      </c>
      <c r="AD1843" s="4">
        <v>550</v>
      </c>
      <c r="AE1843" s="4">
        <v>2410</v>
      </c>
      <c r="AF1843" s="6">
        <v>65</v>
      </c>
      <c r="AG1843" s="6"/>
      <c r="AH1843" s="7">
        <v>0.6471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5</v>
      </c>
      <c r="AQ1843" s="8">
        <v>396.85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0.0642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1186</v>
      </c>
      <c r="BK1843" s="8">
        <v>83811.77</v>
      </c>
      <c r="BL1843" s="2" t="s">
        <v>6125</v>
      </c>
      <c r="BM1843" s="7">
        <v>0.0042</v>
      </c>
      <c r="BN1843" s="7">
        <v>0.0047</v>
      </c>
      <c r="BO1843" s="4">
        <v>5</v>
      </c>
      <c r="BP1843" s="8">
        <v>396.85</v>
      </c>
      <c r="BQ1843" s="4"/>
      <c r="BR1843" s="8"/>
      <c r="BS1843" s="7"/>
      <c r="BT1843" s="7"/>
      <c r="BU1843" s="2" t="s">
        <v>109</v>
      </c>
      <c r="BV1843" s="2" t="s">
        <v>110</v>
      </c>
      <c r="BW1843" s="2" t="s">
        <v>243</v>
      </c>
      <c r="BX1843" s="2" t="s">
        <v>312</v>
      </c>
      <c r="BY1843" s="2" t="s">
        <v>113</v>
      </c>
      <c r="BZ1843" s="2" t="s">
        <v>100</v>
      </c>
    </row>
    <row r="1844">
      <c r="A1844" s="2" t="s">
        <v>6126</v>
      </c>
      <c r="B1844" s="2" t="s">
        <v>5764</v>
      </c>
      <c r="C1844" s="2" t="s">
        <v>5702</v>
      </c>
      <c r="D1844" s="2" t="s">
        <v>6111</v>
      </c>
      <c r="E1844" s="2" t="s">
        <v>6112</v>
      </c>
      <c r="F1844" s="2" t="s">
        <v>6113</v>
      </c>
      <c r="G1844" s="2" t="s">
        <v>6113</v>
      </c>
      <c r="H1844" s="2" t="s">
        <v>6113</v>
      </c>
      <c r="I1844" s="2" t="s">
        <v>6114</v>
      </c>
      <c r="J1844" s="2" t="s">
        <v>817</v>
      </c>
      <c r="K1844" s="2" t="s">
        <v>189</v>
      </c>
      <c r="L1844" s="3">
        <v>74.19</v>
      </c>
      <c r="M1844" s="3">
        <v>77.9</v>
      </c>
      <c r="N1844" s="3">
        <v>139.99</v>
      </c>
      <c r="O1844" s="2" t="s">
        <v>97</v>
      </c>
      <c r="P1844" s="2" t="s">
        <v>307</v>
      </c>
      <c r="Q1844" s="2" t="s">
        <v>99</v>
      </c>
      <c r="R1844" s="2" t="s">
        <v>100</v>
      </c>
      <c r="S1844" s="2" t="s">
        <v>6115</v>
      </c>
      <c r="T1844" s="2" t="s">
        <v>4972</v>
      </c>
      <c r="U1844" s="2" t="s">
        <v>100</v>
      </c>
      <c r="V1844" s="2" t="s">
        <v>146</v>
      </c>
      <c r="W1844" s="2" t="s">
        <v>183</v>
      </c>
      <c r="X1844" s="2" t="s">
        <v>100</v>
      </c>
      <c r="Y1844" s="2" t="s">
        <v>240</v>
      </c>
      <c r="Z1844" s="4">
        <v>1458</v>
      </c>
      <c r="AA1844" s="4">
        <f>=ROUNDDOWN(34.7142857142857,0)</f>
      </c>
      <c r="AB1844" s="5">
        <v>42</v>
      </c>
      <c r="AC1844" s="2" t="s">
        <v>542</v>
      </c>
      <c r="AD1844" s="4">
        <v>290</v>
      </c>
      <c r="AE1844" s="4">
        <v>1540</v>
      </c>
      <c r="AF1844" s="6">
        <v>65</v>
      </c>
      <c r="AG1844" s="6"/>
      <c r="AH1844" s="7">
        <v>0.6471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>
        <v>12</v>
      </c>
      <c r="AQ1844" s="8">
        <v>952.44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0.1541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749</v>
      </c>
      <c r="BK1844" s="8">
        <v>49960.66</v>
      </c>
      <c r="BL1844" s="2" t="s">
        <v>6127</v>
      </c>
      <c r="BM1844" s="7">
        <v>0.016</v>
      </c>
      <c r="BN1844" s="7">
        <v>0.0191</v>
      </c>
      <c r="BO1844" s="4">
        <v>12</v>
      </c>
      <c r="BP1844" s="8">
        <v>952.44</v>
      </c>
      <c r="BQ1844" s="4"/>
      <c r="BR1844" s="8"/>
      <c r="BS1844" s="7"/>
      <c r="BT1844" s="7"/>
      <c r="BU1844" s="2" t="s">
        <v>109</v>
      </c>
      <c r="BV1844" s="2" t="s">
        <v>110</v>
      </c>
      <c r="BW1844" s="2" t="s">
        <v>243</v>
      </c>
      <c r="BX1844" s="2" t="s">
        <v>312</v>
      </c>
      <c r="BY1844" s="2" t="s">
        <v>113</v>
      </c>
      <c r="BZ1844" s="2" t="s">
        <v>100</v>
      </c>
    </row>
    <row r="1845">
      <c r="A1845" s="2" t="s">
        <v>6128</v>
      </c>
      <c r="B1845" s="2" t="s">
        <v>5764</v>
      </c>
      <c r="C1845" s="2" t="s">
        <v>5702</v>
      </c>
      <c r="D1845" s="2" t="s">
        <v>6111</v>
      </c>
      <c r="E1845" s="2" t="s">
        <v>6112</v>
      </c>
      <c r="F1845" s="2" t="s">
        <v>6129</v>
      </c>
      <c r="G1845" s="2" t="s">
        <v>6129</v>
      </c>
      <c r="H1845" s="2" t="s">
        <v>6129</v>
      </c>
      <c r="I1845" s="2" t="s">
        <v>6130</v>
      </c>
      <c r="J1845" s="2" t="s">
        <v>1936</v>
      </c>
      <c r="K1845" s="2" t="s">
        <v>189</v>
      </c>
      <c r="L1845" s="3">
        <v>38.4</v>
      </c>
      <c r="M1845" s="3">
        <v>40.32</v>
      </c>
      <c r="N1845" s="3">
        <v>79.99</v>
      </c>
      <c r="O1845" s="2" t="s">
        <v>97</v>
      </c>
      <c r="P1845" s="2" t="s">
        <v>372</v>
      </c>
      <c r="Q1845" s="2" t="s">
        <v>99</v>
      </c>
      <c r="R1845" s="2" t="s">
        <v>100</v>
      </c>
      <c r="S1845" s="2" t="s">
        <v>6131</v>
      </c>
      <c r="T1845" s="2" t="s">
        <v>218</v>
      </c>
      <c r="U1845" s="2" t="s">
        <v>100</v>
      </c>
      <c r="V1845" s="2" t="s">
        <v>146</v>
      </c>
      <c r="W1845" s="2" t="s">
        <v>183</v>
      </c>
      <c r="X1845" s="2" t="s">
        <v>100</v>
      </c>
      <c r="Y1845" s="2" t="s">
        <v>5357</v>
      </c>
      <c r="Z1845" s="4">
        <v>1147</v>
      </c>
      <c r="AA1845" s="4">
        <f>=ROUNDDOWN(35.84375,0)</f>
      </c>
      <c r="AB1845" s="5">
        <v>32</v>
      </c>
      <c r="AC1845" s="2" t="s">
        <v>542</v>
      </c>
      <c r="AD1845" s="4">
        <v>30</v>
      </c>
      <c r="AE1845" s="4">
        <v>180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>
        <v>1</v>
      </c>
      <c r="AQ1845" s="8">
        <v>39.68</v>
      </c>
      <c r="AR1845" s="4"/>
      <c r="AS1845" s="8"/>
      <c r="AT1845" s="7"/>
      <c r="AU1845" s="7"/>
      <c r="AV1845" s="4">
        <v>63</v>
      </c>
      <c r="AW1845" s="8">
        <v>3446.73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0.0115</v>
      </c>
      <c r="BC1845" s="4">
        <v>63</v>
      </c>
      <c r="BD1845" s="8">
        <v>3446.73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1</v>
      </c>
      <c r="BJ1845" s="4">
        <v>331</v>
      </c>
      <c r="BK1845" s="8">
        <v>13616.39</v>
      </c>
      <c r="BL1845" s="2" t="s">
        <v>6132</v>
      </c>
      <c r="BM1845" s="7">
        <v>0.003</v>
      </c>
      <c r="BN1845" s="7">
        <v>0.0029</v>
      </c>
      <c r="BO1845" s="4">
        <v>1</v>
      </c>
      <c r="BP1845" s="8">
        <v>39.68</v>
      </c>
      <c r="BQ1845" s="4"/>
      <c r="BR1845" s="8"/>
      <c r="BS1845" s="7"/>
      <c r="BT1845" s="7"/>
      <c r="BU1845" s="2" t="s">
        <v>109</v>
      </c>
      <c r="BV1845" s="2" t="s">
        <v>110</v>
      </c>
      <c r="BW1845" s="2" t="s">
        <v>243</v>
      </c>
      <c r="BX1845" s="2" t="s">
        <v>6133</v>
      </c>
      <c r="BY1845" s="2" t="s">
        <v>113</v>
      </c>
      <c r="BZ1845" s="2" t="s">
        <v>100</v>
      </c>
    </row>
    <row r="1846">
      <c r="A1846" s="2" t="s">
        <v>6134</v>
      </c>
      <c r="B1846" s="2" t="s">
        <v>5764</v>
      </c>
      <c r="C1846" s="2" t="s">
        <v>5702</v>
      </c>
      <c r="D1846" s="2" t="s">
        <v>6111</v>
      </c>
      <c r="E1846" s="2" t="s">
        <v>6112</v>
      </c>
      <c r="F1846" s="2" t="s">
        <v>6129</v>
      </c>
      <c r="G1846" s="2" t="s">
        <v>6129</v>
      </c>
      <c r="H1846" s="2" t="s">
        <v>6129</v>
      </c>
      <c r="I1846" s="2" t="s">
        <v>6130</v>
      </c>
      <c r="J1846" s="2" t="s">
        <v>717</v>
      </c>
      <c r="K1846" s="2" t="s">
        <v>189</v>
      </c>
      <c r="L1846" s="3">
        <v>43.2</v>
      </c>
      <c r="M1846" s="3">
        <v>45.36</v>
      </c>
      <c r="N1846" s="3">
        <v>89.99</v>
      </c>
      <c r="O1846" s="2" t="s">
        <v>97</v>
      </c>
      <c r="P1846" s="2" t="s">
        <v>372</v>
      </c>
      <c r="Q1846" s="2" t="s">
        <v>99</v>
      </c>
      <c r="R1846" s="2" t="s">
        <v>100</v>
      </c>
      <c r="S1846" s="2" t="s">
        <v>6131</v>
      </c>
      <c r="T1846" s="2" t="s">
        <v>218</v>
      </c>
      <c r="U1846" s="2" t="s">
        <v>100</v>
      </c>
      <c r="V1846" s="2" t="s">
        <v>146</v>
      </c>
      <c r="W1846" s="2" t="s">
        <v>183</v>
      </c>
      <c r="X1846" s="2" t="s">
        <v>100</v>
      </c>
      <c r="Y1846" s="2" t="s">
        <v>5357</v>
      </c>
      <c r="Z1846" s="4">
        <v>2504</v>
      </c>
      <c r="AA1846" s="4">
        <f>=ROUNDDOWN(39.7460317460317,0)</f>
      </c>
      <c r="AB1846" s="5">
        <v>63</v>
      </c>
      <c r="AC1846" s="2" t="s">
        <v>222</v>
      </c>
      <c r="AD1846" s="4">
        <v>590</v>
      </c>
      <c r="AE1846" s="4">
        <v>900</v>
      </c>
      <c r="AF1846" s="6">
        <v>65</v>
      </c>
      <c r="AG1846" s="6"/>
      <c r="AH1846" s="7">
        <v>0.8289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>
        <v>40</v>
      </c>
      <c r="AQ1846" s="8">
        <v>1814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0.5263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896</v>
      </c>
      <c r="BK1846" s="8">
        <v>42141.74</v>
      </c>
      <c r="BL1846" s="2" t="s">
        <v>6135</v>
      </c>
      <c r="BM1846" s="7">
        <v>0.0446</v>
      </c>
      <c r="BN1846" s="7">
        <v>0.043</v>
      </c>
      <c r="BO1846" s="4">
        <v>40</v>
      </c>
      <c r="BP1846" s="8">
        <v>1814</v>
      </c>
      <c r="BQ1846" s="4"/>
      <c r="BR1846" s="8"/>
      <c r="BS1846" s="7"/>
      <c r="BT1846" s="7"/>
      <c r="BU1846" s="2" t="s">
        <v>109</v>
      </c>
      <c r="BV1846" s="2" t="s">
        <v>110</v>
      </c>
      <c r="BW1846" s="2" t="s">
        <v>243</v>
      </c>
      <c r="BX1846" s="2" t="s">
        <v>4788</v>
      </c>
      <c r="BY1846" s="2" t="s">
        <v>113</v>
      </c>
      <c r="BZ1846" s="2" t="s">
        <v>100</v>
      </c>
    </row>
    <row r="1847">
      <c r="A1847" s="2" t="s">
        <v>6136</v>
      </c>
      <c r="B1847" s="2" t="s">
        <v>5764</v>
      </c>
      <c r="C1847" s="2" t="s">
        <v>5702</v>
      </c>
      <c r="D1847" s="2" t="s">
        <v>6111</v>
      </c>
      <c r="E1847" s="2" t="s">
        <v>6112</v>
      </c>
      <c r="F1847" s="2" t="s">
        <v>6129</v>
      </c>
      <c r="G1847" s="2" t="s">
        <v>6129</v>
      </c>
      <c r="H1847" s="2" t="s">
        <v>6129</v>
      </c>
      <c r="I1847" s="2" t="s">
        <v>6130</v>
      </c>
      <c r="J1847" s="2" t="s">
        <v>706</v>
      </c>
      <c r="K1847" s="2" t="s">
        <v>189</v>
      </c>
      <c r="L1847" s="3">
        <v>64.79</v>
      </c>
      <c r="M1847" s="3">
        <v>68.03</v>
      </c>
      <c r="N1847" s="3">
        <v>119.99</v>
      </c>
      <c r="O1847" s="2" t="s">
        <v>97</v>
      </c>
      <c r="P1847" s="2" t="s">
        <v>372</v>
      </c>
      <c r="Q1847" s="2" t="s">
        <v>99</v>
      </c>
      <c r="R1847" s="2" t="s">
        <v>100</v>
      </c>
      <c r="S1847" s="2" t="s">
        <v>6131</v>
      </c>
      <c r="T1847" s="2" t="s">
        <v>218</v>
      </c>
      <c r="U1847" s="2" t="s">
        <v>100</v>
      </c>
      <c r="V1847" s="2" t="s">
        <v>146</v>
      </c>
      <c r="W1847" s="2" t="s">
        <v>183</v>
      </c>
      <c r="X1847" s="2" t="s">
        <v>100</v>
      </c>
      <c r="Y1847" s="2" t="s">
        <v>5357</v>
      </c>
      <c r="Z1847" s="4">
        <v>3447</v>
      </c>
      <c r="AA1847" s="4">
        <f>=ROUNDDOWN(25.0873362445415,0)</f>
      </c>
      <c r="AB1847" s="5">
        <v>137.4</v>
      </c>
      <c r="AC1847" s="2" t="s">
        <v>542</v>
      </c>
      <c r="AD1847" s="4">
        <v>1040</v>
      </c>
      <c r="AE1847" s="4">
        <v>2190</v>
      </c>
      <c r="AF1847" s="6">
        <v>65</v>
      </c>
      <c r="AG1847" s="6"/>
      <c r="AH1847" s="7">
        <v>0.5882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>
        <v>5</v>
      </c>
      <c r="AQ1847" s="8">
        <v>340.15</v>
      </c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0.0987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2349</v>
      </c>
      <c r="BK1847" s="8">
        <v>157540.75</v>
      </c>
      <c r="BL1847" s="2" t="s">
        <v>6137</v>
      </c>
      <c r="BM1847" s="7">
        <v>0.0021</v>
      </c>
      <c r="BN1847" s="7">
        <v>0.0022</v>
      </c>
      <c r="BO1847" s="4">
        <v>5</v>
      </c>
      <c r="BP1847" s="8">
        <v>340.15</v>
      </c>
      <c r="BQ1847" s="4"/>
      <c r="BR1847" s="8"/>
      <c r="BS1847" s="7"/>
      <c r="BT1847" s="7"/>
      <c r="BU1847" s="2" t="s">
        <v>109</v>
      </c>
      <c r="BV1847" s="2" t="s">
        <v>110</v>
      </c>
      <c r="BW1847" s="2" t="s">
        <v>5872</v>
      </c>
      <c r="BX1847" s="2" t="s">
        <v>6133</v>
      </c>
      <c r="BY1847" s="2" t="s">
        <v>113</v>
      </c>
      <c r="BZ1847" s="2" t="s">
        <v>100</v>
      </c>
    </row>
    <row r="1848">
      <c r="A1848" s="2" t="s">
        <v>6138</v>
      </c>
      <c r="B1848" s="2" t="s">
        <v>5764</v>
      </c>
      <c r="C1848" s="2" t="s">
        <v>5702</v>
      </c>
      <c r="D1848" s="2" t="s">
        <v>6111</v>
      </c>
      <c r="E1848" s="2" t="s">
        <v>6112</v>
      </c>
      <c r="F1848" s="2" t="s">
        <v>6129</v>
      </c>
      <c r="G1848" s="2" t="s">
        <v>6129</v>
      </c>
      <c r="H1848" s="2" t="s">
        <v>6129</v>
      </c>
      <c r="I1848" s="2" t="s">
        <v>6130</v>
      </c>
      <c r="J1848" s="2" t="s">
        <v>714</v>
      </c>
      <c r="K1848" s="2" t="s">
        <v>189</v>
      </c>
      <c r="L1848" s="3">
        <v>70.19</v>
      </c>
      <c r="M1848" s="3">
        <v>73.7</v>
      </c>
      <c r="N1848" s="3">
        <v>129.99</v>
      </c>
      <c r="O1848" s="2" t="s">
        <v>97</v>
      </c>
      <c r="P1848" s="2" t="s">
        <v>372</v>
      </c>
      <c r="Q1848" s="2" t="s">
        <v>99</v>
      </c>
      <c r="R1848" s="2" t="s">
        <v>100</v>
      </c>
      <c r="S1848" s="2" t="s">
        <v>6131</v>
      </c>
      <c r="T1848" s="2" t="s">
        <v>218</v>
      </c>
      <c r="U1848" s="2" t="s">
        <v>100</v>
      </c>
      <c r="V1848" s="2" t="s">
        <v>146</v>
      </c>
      <c r="W1848" s="2" t="s">
        <v>183</v>
      </c>
      <c r="X1848" s="2" t="s">
        <v>100</v>
      </c>
      <c r="Y1848" s="2" t="s">
        <v>6139</v>
      </c>
      <c r="Z1848" s="4">
        <v>2809</v>
      </c>
      <c r="AA1848" s="4">
        <f>=ROUNDDOWN(25.3063063063063,0)</f>
      </c>
      <c r="AB1848" s="5">
        <v>111</v>
      </c>
      <c r="AC1848" s="2" t="s">
        <v>222</v>
      </c>
      <c r="AD1848" s="4">
        <v>420</v>
      </c>
      <c r="AE1848" s="4">
        <v>790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>
        <v>17</v>
      </c>
      <c r="AQ1848" s="8">
        <v>1252.9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0.3635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1033</v>
      </c>
      <c r="BK1848" s="8">
        <v>76648.85</v>
      </c>
      <c r="BL1848" s="2" t="s">
        <v>6140</v>
      </c>
      <c r="BM1848" s="7">
        <v>0.0165</v>
      </c>
      <c r="BN1848" s="7">
        <v>0.0163</v>
      </c>
      <c r="BO1848" s="4">
        <v>17</v>
      </c>
      <c r="BP1848" s="8">
        <v>1252.9</v>
      </c>
      <c r="BQ1848" s="4"/>
      <c r="BR1848" s="8"/>
      <c r="BS1848" s="7"/>
      <c r="BT1848" s="7"/>
      <c r="BU1848" s="2" t="s">
        <v>109</v>
      </c>
      <c r="BV1848" s="2" t="s">
        <v>110</v>
      </c>
      <c r="BW1848" s="2" t="s">
        <v>243</v>
      </c>
      <c r="BX1848" s="2" t="s">
        <v>6141</v>
      </c>
      <c r="BY1848" s="2" t="s">
        <v>113</v>
      </c>
      <c r="BZ1848" s="2" t="s">
        <v>100</v>
      </c>
    </row>
    <row r="1849">
      <c r="A1849" s="2" t="s">
        <v>6142</v>
      </c>
      <c r="B1849" s="2" t="s">
        <v>5764</v>
      </c>
      <c r="C1849" s="2" t="s">
        <v>5702</v>
      </c>
      <c r="D1849" s="2" t="s">
        <v>6111</v>
      </c>
      <c r="E1849" s="2" t="s">
        <v>6112</v>
      </c>
      <c r="F1849" s="2" t="s">
        <v>280</v>
      </c>
      <c r="G1849" s="2" t="s">
        <v>280</v>
      </c>
      <c r="H1849" s="2" t="s">
        <v>280</v>
      </c>
      <c r="I1849" s="2" t="s">
        <v>6143</v>
      </c>
      <c r="J1849" s="2" t="s">
        <v>1936</v>
      </c>
      <c r="K1849" s="2" t="s">
        <v>189</v>
      </c>
      <c r="L1849" s="3">
        <v>45</v>
      </c>
      <c r="M1849" s="3">
        <v>47.25</v>
      </c>
      <c r="N1849" s="3">
        <v>89.99</v>
      </c>
      <c r="O1849" s="2" t="s">
        <v>97</v>
      </c>
      <c r="P1849" s="2" t="s">
        <v>950</v>
      </c>
      <c r="Q1849" s="2" t="s">
        <v>99</v>
      </c>
      <c r="R1849" s="2" t="s">
        <v>100</v>
      </c>
      <c r="S1849" s="2" t="s">
        <v>100</v>
      </c>
      <c r="T1849" s="2" t="s">
        <v>280</v>
      </c>
      <c r="U1849" s="2" t="s">
        <v>1847</v>
      </c>
      <c r="V1849" s="2" t="s">
        <v>146</v>
      </c>
      <c r="W1849" s="2" t="s">
        <v>183</v>
      </c>
      <c r="X1849" s="2" t="s">
        <v>100</v>
      </c>
      <c r="Y1849" s="2" t="s">
        <v>6144</v>
      </c>
      <c r="Z1849" s="4">
        <v>247</v>
      </c>
      <c r="AA1849" s="4">
        <f>=ROUNDDOWN(27.4444444444444,0)</f>
      </c>
      <c r="AB1849" s="5">
        <v>9</v>
      </c>
      <c r="AC1849" s="2" t="s">
        <v>100</v>
      </c>
      <c r="AD1849" s="4"/>
      <c r="AE1849" s="4"/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>
        <v>20</v>
      </c>
      <c r="AW1849" s="8">
        <v>1644.3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/>
      <c r="BC1849" s="4">
        <v>20</v>
      </c>
      <c r="BD1849" s="8">
        <v>1644.3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>
        <v>1</v>
      </c>
      <c r="BJ1849" s="4">
        <v>73</v>
      </c>
      <c r="BK1849" s="8">
        <v>3653.72</v>
      </c>
      <c r="BL1849" s="2" t="s">
        <v>6145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207</v>
      </c>
      <c r="BV1849" s="2" t="s">
        <v>97</v>
      </c>
      <c r="BW1849" s="2" t="s">
        <v>100</v>
      </c>
      <c r="BX1849" s="2" t="s">
        <v>100</v>
      </c>
      <c r="BY1849" s="2" t="s">
        <v>113</v>
      </c>
      <c r="BZ1849" s="2" t="s">
        <v>100</v>
      </c>
    </row>
    <row r="1850">
      <c r="A1850" s="2" t="s">
        <v>6146</v>
      </c>
      <c r="B1850" s="2" t="s">
        <v>5764</v>
      </c>
      <c r="C1850" s="2" t="s">
        <v>5702</v>
      </c>
      <c r="D1850" s="2" t="s">
        <v>6111</v>
      </c>
      <c r="E1850" s="2" t="s">
        <v>6112</v>
      </c>
      <c r="F1850" s="2" t="s">
        <v>280</v>
      </c>
      <c r="G1850" s="2" t="s">
        <v>280</v>
      </c>
      <c r="H1850" s="2" t="s">
        <v>280</v>
      </c>
      <c r="I1850" s="2" t="s">
        <v>6143</v>
      </c>
      <c r="J1850" s="2" t="s">
        <v>2072</v>
      </c>
      <c r="K1850" s="2" t="s">
        <v>189</v>
      </c>
      <c r="L1850" s="3">
        <v>45</v>
      </c>
      <c r="M1850" s="3">
        <v>47.25</v>
      </c>
      <c r="N1850" s="3">
        <v>89.99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100</v>
      </c>
      <c r="T1850" s="2" t="s">
        <v>280</v>
      </c>
      <c r="U1850" s="2" t="s">
        <v>1847</v>
      </c>
      <c r="V1850" s="2" t="s">
        <v>146</v>
      </c>
      <c r="W1850" s="2" t="s">
        <v>183</v>
      </c>
      <c r="X1850" s="2" t="s">
        <v>100</v>
      </c>
      <c r="Y1850" s="2" t="s">
        <v>6144</v>
      </c>
      <c r="Z1850" s="4">
        <v>896</v>
      </c>
      <c r="AA1850" s="4">
        <f>=ROUNDDOWN(19.063829787234,0)</f>
      </c>
      <c r="AB1850" s="5">
        <v>47</v>
      </c>
      <c r="AC1850" s="2" t="s">
        <v>100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/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722</v>
      </c>
      <c r="BK1850" s="8">
        <v>35745.3</v>
      </c>
      <c r="BL1850" s="2" t="s">
        <v>6147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207</v>
      </c>
      <c r="BV1850" s="2" t="s">
        <v>97</v>
      </c>
      <c r="BW1850" s="2" t="s">
        <v>100</v>
      </c>
      <c r="BX1850" s="2" t="s">
        <v>100</v>
      </c>
      <c r="BY1850" s="2" t="s">
        <v>113</v>
      </c>
      <c r="BZ1850" s="2" t="s">
        <v>100</v>
      </c>
    </row>
    <row r="1851">
      <c r="A1851" s="2" t="s">
        <v>6148</v>
      </c>
      <c r="B1851" s="2" t="s">
        <v>5764</v>
      </c>
      <c r="C1851" s="2" t="s">
        <v>5702</v>
      </c>
      <c r="D1851" s="2" t="s">
        <v>6111</v>
      </c>
      <c r="E1851" s="2" t="s">
        <v>6112</v>
      </c>
      <c r="F1851" s="2" t="s">
        <v>280</v>
      </c>
      <c r="G1851" s="2" t="s">
        <v>280</v>
      </c>
      <c r="H1851" s="2" t="s">
        <v>280</v>
      </c>
      <c r="I1851" s="2" t="s">
        <v>6143</v>
      </c>
      <c r="J1851" s="2" t="s">
        <v>706</v>
      </c>
      <c r="K1851" s="2" t="s">
        <v>189</v>
      </c>
      <c r="L1851" s="3">
        <v>76.43</v>
      </c>
      <c r="M1851" s="3">
        <v>80.25</v>
      </c>
      <c r="N1851" s="3">
        <v>146.99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6149</v>
      </c>
      <c r="T1851" s="2" t="s">
        <v>280</v>
      </c>
      <c r="U1851" s="2" t="s">
        <v>1847</v>
      </c>
      <c r="V1851" s="2" t="s">
        <v>146</v>
      </c>
      <c r="W1851" s="2" t="s">
        <v>183</v>
      </c>
      <c r="X1851" s="2" t="s">
        <v>100</v>
      </c>
      <c r="Y1851" s="2" t="s">
        <v>6150</v>
      </c>
      <c r="Z1851" s="4">
        <v>2336</v>
      </c>
      <c r="AA1851" s="4">
        <f>=ROUNDDOWN(23.2901296111665,0)</f>
      </c>
      <c r="AB1851" s="5">
        <v>100.3</v>
      </c>
      <c r="AC1851" s="2" t="s">
        <v>542</v>
      </c>
      <c r="AD1851" s="4">
        <v>550</v>
      </c>
      <c r="AE1851" s="4">
        <v>870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>
        <v>10</v>
      </c>
      <c r="AQ1851" s="8">
        <v>793.8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0.4828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1295</v>
      </c>
      <c r="BK1851" s="8">
        <v>108820.78</v>
      </c>
      <c r="BL1851" s="2" t="s">
        <v>6151</v>
      </c>
      <c r="BM1851" s="7">
        <v>0.0077</v>
      </c>
      <c r="BN1851" s="7">
        <v>0.0073</v>
      </c>
      <c r="BO1851" s="4">
        <v>10</v>
      </c>
      <c r="BP1851" s="8">
        <v>793.8</v>
      </c>
      <c r="BQ1851" s="4"/>
      <c r="BR1851" s="8"/>
      <c r="BS1851" s="7"/>
      <c r="BT1851" s="7"/>
      <c r="BU1851" s="2" t="s">
        <v>109</v>
      </c>
      <c r="BV1851" s="2" t="s">
        <v>110</v>
      </c>
      <c r="BW1851" s="2" t="s">
        <v>6088</v>
      </c>
      <c r="BX1851" s="2" t="s">
        <v>6152</v>
      </c>
      <c r="BY1851" s="2" t="s">
        <v>113</v>
      </c>
      <c r="BZ1851" s="2" t="s">
        <v>100</v>
      </c>
    </row>
    <row r="1852">
      <c r="A1852" s="2" t="s">
        <v>6153</v>
      </c>
      <c r="B1852" s="2" t="s">
        <v>5764</v>
      </c>
      <c r="C1852" s="2" t="s">
        <v>5702</v>
      </c>
      <c r="D1852" s="2" t="s">
        <v>6111</v>
      </c>
      <c r="E1852" s="2" t="s">
        <v>6112</v>
      </c>
      <c r="F1852" s="2" t="s">
        <v>280</v>
      </c>
      <c r="G1852" s="2" t="s">
        <v>280</v>
      </c>
      <c r="H1852" s="2" t="s">
        <v>280</v>
      </c>
      <c r="I1852" s="2" t="s">
        <v>6143</v>
      </c>
      <c r="J1852" s="2" t="s">
        <v>714</v>
      </c>
      <c r="K1852" s="2" t="s">
        <v>189</v>
      </c>
      <c r="L1852" s="3">
        <v>81.63</v>
      </c>
      <c r="M1852" s="3">
        <v>85.71</v>
      </c>
      <c r="N1852" s="3">
        <v>156.99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6149</v>
      </c>
      <c r="T1852" s="2" t="s">
        <v>280</v>
      </c>
      <c r="U1852" s="2" t="s">
        <v>1847</v>
      </c>
      <c r="V1852" s="2" t="s">
        <v>146</v>
      </c>
      <c r="W1852" s="2" t="s">
        <v>183</v>
      </c>
      <c r="X1852" s="2" t="s">
        <v>100</v>
      </c>
      <c r="Y1852" s="2" t="s">
        <v>6150</v>
      </c>
      <c r="Z1852" s="4">
        <v>1696</v>
      </c>
      <c r="AA1852" s="4">
        <f>=ROUNDDOWN(13.568,0)</f>
      </c>
      <c r="AB1852" s="5">
        <v>125</v>
      </c>
      <c r="AC1852" s="2" t="s">
        <v>542</v>
      </c>
      <c r="AD1852" s="4">
        <v>380</v>
      </c>
      <c r="AE1852" s="4">
        <v>1370</v>
      </c>
      <c r="AF1852" s="6">
        <v>65</v>
      </c>
      <c r="AG1852" s="6"/>
      <c r="AH1852" s="7">
        <v>0.7594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10</v>
      </c>
      <c r="AQ1852" s="8">
        <v>850.5</v>
      </c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0.5172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1275</v>
      </c>
      <c r="BK1852" s="8">
        <v>112628.65</v>
      </c>
      <c r="BL1852" s="2" t="s">
        <v>6154</v>
      </c>
      <c r="BM1852" s="7">
        <v>0.0078</v>
      </c>
      <c r="BN1852" s="7">
        <v>0.0076</v>
      </c>
      <c r="BO1852" s="4">
        <v>10</v>
      </c>
      <c r="BP1852" s="8">
        <v>850.5</v>
      </c>
      <c r="BQ1852" s="4"/>
      <c r="BR1852" s="8"/>
      <c r="BS1852" s="7"/>
      <c r="BT1852" s="7"/>
      <c r="BU1852" s="2" t="s">
        <v>109</v>
      </c>
      <c r="BV1852" s="2" t="s">
        <v>110</v>
      </c>
      <c r="BW1852" s="2" t="s">
        <v>6088</v>
      </c>
      <c r="BX1852" s="2" t="s">
        <v>5409</v>
      </c>
      <c r="BY1852" s="2" t="s">
        <v>113</v>
      </c>
      <c r="BZ1852" s="2" t="s">
        <v>100</v>
      </c>
    </row>
    <row r="1853">
      <c r="A1853" s="2" t="s">
        <v>6155</v>
      </c>
      <c r="B1853" s="2" t="s">
        <v>5764</v>
      </c>
      <c r="C1853" s="2" t="s">
        <v>5702</v>
      </c>
      <c r="D1853" s="2" t="s">
        <v>6111</v>
      </c>
      <c r="E1853" s="2" t="s">
        <v>6112</v>
      </c>
      <c r="F1853" s="2" t="s">
        <v>6156</v>
      </c>
      <c r="G1853" s="2" t="s">
        <v>6156</v>
      </c>
      <c r="H1853" s="2" t="s">
        <v>6156</v>
      </c>
      <c r="I1853" s="2" t="s">
        <v>6114</v>
      </c>
      <c r="J1853" s="2" t="s">
        <v>1936</v>
      </c>
      <c r="K1853" s="2" t="s">
        <v>189</v>
      </c>
      <c r="L1853" s="3">
        <v>42.85</v>
      </c>
      <c r="M1853" s="3">
        <v>44.99</v>
      </c>
      <c r="N1853" s="3">
        <v>89.99</v>
      </c>
      <c r="O1853" s="2" t="s">
        <v>97</v>
      </c>
      <c r="P1853" s="2" t="s">
        <v>119</v>
      </c>
      <c r="Q1853" s="2" t="s">
        <v>99</v>
      </c>
      <c r="R1853" s="2" t="s">
        <v>100</v>
      </c>
      <c r="S1853" s="2" t="s">
        <v>6157</v>
      </c>
      <c r="T1853" s="2" t="s">
        <v>100</v>
      </c>
      <c r="U1853" s="2" t="s">
        <v>1847</v>
      </c>
      <c r="V1853" s="2" t="s">
        <v>146</v>
      </c>
      <c r="W1853" s="2" t="s">
        <v>183</v>
      </c>
      <c r="X1853" s="2" t="s">
        <v>100</v>
      </c>
      <c r="Y1853" s="2" t="s">
        <v>6158</v>
      </c>
      <c r="Z1853" s="4">
        <v>591</v>
      </c>
      <c r="AA1853" s="4">
        <f>=ROUNDDOWN(49.25,0)</f>
      </c>
      <c r="AB1853" s="5">
        <v>12</v>
      </c>
      <c r="AC1853" s="2" t="s">
        <v>1164</v>
      </c>
      <c r="AD1853" s="4">
        <v>300</v>
      </c>
      <c r="AE1853" s="4">
        <v>300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/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/>
      <c r="BJ1853" s="4">
        <v>26</v>
      </c>
      <c r="BK1853" s="8">
        <v>1360.06</v>
      </c>
      <c r="BL1853" s="2" t="s">
        <v>6159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207</v>
      </c>
      <c r="BV1853" s="2" t="s">
        <v>97</v>
      </c>
      <c r="BW1853" s="2" t="s">
        <v>100</v>
      </c>
      <c r="BX1853" s="2" t="s">
        <v>100</v>
      </c>
      <c r="BY1853" s="2" t="s">
        <v>113</v>
      </c>
      <c r="BZ1853" s="2" t="s">
        <v>100</v>
      </c>
    </row>
    <row r="1854">
      <c r="A1854" s="2" t="s">
        <v>6160</v>
      </c>
      <c r="B1854" s="2" t="s">
        <v>5764</v>
      </c>
      <c r="C1854" s="2" t="s">
        <v>5702</v>
      </c>
      <c r="D1854" s="2" t="s">
        <v>6111</v>
      </c>
      <c r="E1854" s="2" t="s">
        <v>6112</v>
      </c>
      <c r="F1854" s="2" t="s">
        <v>6156</v>
      </c>
      <c r="G1854" s="2" t="s">
        <v>6156</v>
      </c>
      <c r="H1854" s="2" t="s">
        <v>6156</v>
      </c>
      <c r="I1854" s="2" t="s">
        <v>6114</v>
      </c>
      <c r="J1854" s="2" t="s">
        <v>2072</v>
      </c>
      <c r="K1854" s="2" t="s">
        <v>189</v>
      </c>
      <c r="L1854" s="3">
        <v>42.85</v>
      </c>
      <c r="M1854" s="3">
        <v>44.99</v>
      </c>
      <c r="N1854" s="3">
        <v>89.99</v>
      </c>
      <c r="O1854" s="2" t="s">
        <v>97</v>
      </c>
      <c r="P1854" s="2" t="s">
        <v>119</v>
      </c>
      <c r="Q1854" s="2" t="s">
        <v>99</v>
      </c>
      <c r="R1854" s="2" t="s">
        <v>100</v>
      </c>
      <c r="S1854" s="2" t="s">
        <v>6157</v>
      </c>
      <c r="T1854" s="2" t="s">
        <v>100</v>
      </c>
      <c r="U1854" s="2" t="s">
        <v>1847</v>
      </c>
      <c r="V1854" s="2" t="s">
        <v>146</v>
      </c>
      <c r="W1854" s="2" t="s">
        <v>183</v>
      </c>
      <c r="X1854" s="2" t="s">
        <v>100</v>
      </c>
      <c r="Y1854" s="2" t="s">
        <v>6158</v>
      </c>
      <c r="Z1854" s="4">
        <v>4686</v>
      </c>
      <c r="AA1854" s="4">
        <f>=ROUNDDOWN(234.3,0)</f>
      </c>
      <c r="AB1854" s="5">
        <v>20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/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/>
      <c r="BJ1854" s="4">
        <v>99</v>
      </c>
      <c r="BK1854" s="8">
        <v>4841.89</v>
      </c>
      <c r="BL1854" s="2" t="s">
        <v>1617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207</v>
      </c>
      <c r="BV1854" s="2" t="s">
        <v>97</v>
      </c>
      <c r="BW1854" s="2" t="s">
        <v>100</v>
      </c>
      <c r="BX1854" s="2" t="s">
        <v>100</v>
      </c>
      <c r="BY1854" s="2" t="s">
        <v>113</v>
      </c>
      <c r="BZ1854" s="2" t="s">
        <v>100</v>
      </c>
    </row>
    <row r="1855">
      <c r="A1855" s="2" t="s">
        <v>6161</v>
      </c>
      <c r="B1855" s="2" t="s">
        <v>5764</v>
      </c>
      <c r="C1855" s="2" t="s">
        <v>5702</v>
      </c>
      <c r="D1855" s="2" t="s">
        <v>6111</v>
      </c>
      <c r="E1855" s="2" t="s">
        <v>6112</v>
      </c>
      <c r="F1855" s="2" t="s">
        <v>6156</v>
      </c>
      <c r="G1855" s="2" t="s">
        <v>6156</v>
      </c>
      <c r="H1855" s="2" t="s">
        <v>6156</v>
      </c>
      <c r="I1855" s="2" t="s">
        <v>6114</v>
      </c>
      <c r="J1855" s="2" t="s">
        <v>717</v>
      </c>
      <c r="K1855" s="2" t="s">
        <v>189</v>
      </c>
      <c r="L1855" s="3">
        <v>47.61</v>
      </c>
      <c r="M1855" s="3">
        <v>49.99</v>
      </c>
      <c r="N1855" s="3">
        <v>99.99</v>
      </c>
      <c r="O1855" s="2" t="s">
        <v>97</v>
      </c>
      <c r="P1855" s="2" t="s">
        <v>119</v>
      </c>
      <c r="Q1855" s="2" t="s">
        <v>99</v>
      </c>
      <c r="R1855" s="2" t="s">
        <v>100</v>
      </c>
      <c r="S1855" s="2" t="s">
        <v>6157</v>
      </c>
      <c r="T1855" s="2" t="s">
        <v>100</v>
      </c>
      <c r="U1855" s="2" t="s">
        <v>1847</v>
      </c>
      <c r="V1855" s="2" t="s">
        <v>146</v>
      </c>
      <c r="W1855" s="2" t="s">
        <v>183</v>
      </c>
      <c r="X1855" s="2" t="s">
        <v>100</v>
      </c>
      <c r="Y1855" s="2" t="s">
        <v>6158</v>
      </c>
      <c r="Z1855" s="4">
        <v>952</v>
      </c>
      <c r="AA1855" s="4">
        <f>=ROUNDDOWN(79.3333333333333,0)</f>
      </c>
      <c r="AB1855" s="5">
        <v>12</v>
      </c>
      <c r="AC1855" s="2" t="s">
        <v>100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/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/>
      <c r="BJ1855" s="4">
        <v>65</v>
      </c>
      <c r="BK1855" s="8">
        <v>3461.33</v>
      </c>
      <c r="BL1855" s="2" t="s">
        <v>2236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207</v>
      </c>
      <c r="BV1855" s="2" t="s">
        <v>97</v>
      </c>
      <c r="BW1855" s="2" t="s">
        <v>100</v>
      </c>
      <c r="BX1855" s="2" t="s">
        <v>100</v>
      </c>
      <c r="BY1855" s="2" t="s">
        <v>113</v>
      </c>
      <c r="BZ1855" s="2" t="s">
        <v>100</v>
      </c>
    </row>
    <row r="1856">
      <c r="A1856" s="2" t="s">
        <v>6162</v>
      </c>
      <c r="B1856" s="2" t="s">
        <v>5764</v>
      </c>
      <c r="C1856" s="2" t="s">
        <v>5702</v>
      </c>
      <c r="D1856" s="2" t="s">
        <v>6111</v>
      </c>
      <c r="E1856" s="2" t="s">
        <v>6112</v>
      </c>
      <c r="F1856" s="2" t="s">
        <v>6156</v>
      </c>
      <c r="G1856" s="2" t="s">
        <v>6156</v>
      </c>
      <c r="H1856" s="2" t="s">
        <v>6156</v>
      </c>
      <c r="I1856" s="2" t="s">
        <v>6114</v>
      </c>
      <c r="J1856" s="2" t="s">
        <v>706</v>
      </c>
      <c r="K1856" s="2" t="s">
        <v>189</v>
      </c>
      <c r="L1856" s="3">
        <v>66.66</v>
      </c>
      <c r="M1856" s="3">
        <v>69.99</v>
      </c>
      <c r="N1856" s="3">
        <v>139.99</v>
      </c>
      <c r="O1856" s="2" t="s">
        <v>97</v>
      </c>
      <c r="P1856" s="2" t="s">
        <v>119</v>
      </c>
      <c r="Q1856" s="2" t="s">
        <v>99</v>
      </c>
      <c r="R1856" s="2" t="s">
        <v>100</v>
      </c>
      <c r="S1856" s="2" t="s">
        <v>6157</v>
      </c>
      <c r="T1856" s="2" t="s">
        <v>100</v>
      </c>
      <c r="U1856" s="2" t="s">
        <v>1847</v>
      </c>
      <c r="V1856" s="2" t="s">
        <v>146</v>
      </c>
      <c r="W1856" s="2" t="s">
        <v>183</v>
      </c>
      <c r="X1856" s="2" t="s">
        <v>100</v>
      </c>
      <c r="Y1856" s="2" t="s">
        <v>6158</v>
      </c>
      <c r="Z1856" s="4">
        <v>2204</v>
      </c>
      <c r="AA1856" s="4">
        <f>=ROUNDDOWN(44.08,0)</f>
      </c>
      <c r="AB1856" s="5">
        <v>50</v>
      </c>
      <c r="AC1856" s="2" t="s">
        <v>222</v>
      </c>
      <c r="AD1856" s="4">
        <v>410</v>
      </c>
      <c r="AE1856" s="4">
        <v>1590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/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/>
      <c r="BJ1856" s="4">
        <v>385</v>
      </c>
      <c r="BK1856" s="8">
        <v>28598.37</v>
      </c>
      <c r="BL1856" s="2" t="s">
        <v>2861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207</v>
      </c>
      <c r="BV1856" s="2" t="s">
        <v>97</v>
      </c>
      <c r="BW1856" s="2" t="s">
        <v>100</v>
      </c>
      <c r="BX1856" s="2" t="s">
        <v>100</v>
      </c>
      <c r="BY1856" s="2" t="s">
        <v>113</v>
      </c>
      <c r="BZ1856" s="2" t="s">
        <v>100</v>
      </c>
    </row>
    <row r="1857">
      <c r="A1857" s="2" t="s">
        <v>6163</v>
      </c>
      <c r="B1857" s="2" t="s">
        <v>5764</v>
      </c>
      <c r="C1857" s="2" t="s">
        <v>5702</v>
      </c>
      <c r="D1857" s="2" t="s">
        <v>6111</v>
      </c>
      <c r="E1857" s="2" t="s">
        <v>6112</v>
      </c>
      <c r="F1857" s="2" t="s">
        <v>6156</v>
      </c>
      <c r="G1857" s="2" t="s">
        <v>6156</v>
      </c>
      <c r="H1857" s="2" t="s">
        <v>6156</v>
      </c>
      <c r="I1857" s="2" t="s">
        <v>6114</v>
      </c>
      <c r="J1857" s="2" t="s">
        <v>714</v>
      </c>
      <c r="K1857" s="2" t="s">
        <v>189</v>
      </c>
      <c r="L1857" s="3">
        <v>71.42</v>
      </c>
      <c r="M1857" s="3">
        <v>74.99</v>
      </c>
      <c r="N1857" s="3">
        <v>149.99</v>
      </c>
      <c r="O1857" s="2" t="s">
        <v>97</v>
      </c>
      <c r="P1857" s="2" t="s">
        <v>119</v>
      </c>
      <c r="Q1857" s="2" t="s">
        <v>99</v>
      </c>
      <c r="R1857" s="2" t="s">
        <v>100</v>
      </c>
      <c r="S1857" s="2" t="s">
        <v>6157</v>
      </c>
      <c r="T1857" s="2" t="s">
        <v>100</v>
      </c>
      <c r="U1857" s="2" t="s">
        <v>1847</v>
      </c>
      <c r="V1857" s="2" t="s">
        <v>146</v>
      </c>
      <c r="W1857" s="2" t="s">
        <v>183</v>
      </c>
      <c r="X1857" s="2" t="s">
        <v>100</v>
      </c>
      <c r="Y1857" s="2" t="s">
        <v>6158</v>
      </c>
      <c r="Z1857" s="4">
        <v>2126</v>
      </c>
      <c r="AA1857" s="4">
        <f>=ROUNDDOWN(36.592082616179,0)</f>
      </c>
      <c r="AB1857" s="5">
        <v>58.1</v>
      </c>
      <c r="AC1857" s="2" t="s">
        <v>222</v>
      </c>
      <c r="AD1857" s="4">
        <v>250</v>
      </c>
      <c r="AE1857" s="4">
        <v>1220</v>
      </c>
      <c r="AF1857" s="6">
        <v>65</v>
      </c>
      <c r="AG1857" s="6"/>
      <c r="AH1857" s="7">
        <v>0.6257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/>
      <c r="BJ1857" s="4">
        <v>253</v>
      </c>
      <c r="BK1857" s="8">
        <v>20339.07</v>
      </c>
      <c r="BL1857" s="2" t="s">
        <v>6164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207</v>
      </c>
      <c r="BV1857" s="2" t="s">
        <v>97</v>
      </c>
      <c r="BW1857" s="2" t="s">
        <v>100</v>
      </c>
      <c r="BX1857" s="2" t="s">
        <v>100</v>
      </c>
      <c r="BY1857" s="2" t="s">
        <v>113</v>
      </c>
      <c r="BZ1857" s="2" t="s">
        <v>100</v>
      </c>
    </row>
    <row r="1858">
      <c r="A1858" s="2" t="s">
        <v>6165</v>
      </c>
      <c r="B1858" s="2" t="s">
        <v>5764</v>
      </c>
      <c r="C1858" s="2" t="s">
        <v>5702</v>
      </c>
      <c r="D1858" s="2" t="s">
        <v>6111</v>
      </c>
      <c r="E1858" s="2" t="s">
        <v>6112</v>
      </c>
      <c r="F1858" s="2" t="s">
        <v>6156</v>
      </c>
      <c r="G1858" s="2" t="s">
        <v>6156</v>
      </c>
      <c r="H1858" s="2" t="s">
        <v>6156</v>
      </c>
      <c r="I1858" s="2" t="s">
        <v>6114</v>
      </c>
      <c r="J1858" s="2" t="s">
        <v>817</v>
      </c>
      <c r="K1858" s="2" t="s">
        <v>189</v>
      </c>
      <c r="L1858" s="3">
        <v>71.42</v>
      </c>
      <c r="M1858" s="3">
        <v>74.99</v>
      </c>
      <c r="N1858" s="3">
        <v>149.99</v>
      </c>
      <c r="O1858" s="2" t="s">
        <v>97</v>
      </c>
      <c r="P1858" s="2" t="s">
        <v>119</v>
      </c>
      <c r="Q1858" s="2" t="s">
        <v>99</v>
      </c>
      <c r="R1858" s="2" t="s">
        <v>100</v>
      </c>
      <c r="S1858" s="2" t="s">
        <v>6157</v>
      </c>
      <c r="T1858" s="2" t="s">
        <v>100</v>
      </c>
      <c r="U1858" s="2" t="s">
        <v>1847</v>
      </c>
      <c r="V1858" s="2" t="s">
        <v>146</v>
      </c>
      <c r="W1858" s="2" t="s">
        <v>183</v>
      </c>
      <c r="X1858" s="2" t="s">
        <v>100</v>
      </c>
      <c r="Y1858" s="2" t="s">
        <v>6158</v>
      </c>
      <c r="Z1858" s="4">
        <v>1029</v>
      </c>
      <c r="AA1858" s="4">
        <f>=ROUNDDOWN(85.75,0)</f>
      </c>
      <c r="AB1858" s="5">
        <v>12</v>
      </c>
      <c r="AC1858" s="2" t="s">
        <v>1164</v>
      </c>
      <c r="AD1858" s="4">
        <v>500</v>
      </c>
      <c r="AE1858" s="4">
        <v>500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/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/>
      <c r="BJ1858" s="4">
        <v>108</v>
      </c>
      <c r="BK1858" s="8">
        <v>8690.82</v>
      </c>
      <c r="BL1858" s="2" t="s">
        <v>6006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207</v>
      </c>
      <c r="BV1858" s="2" t="s">
        <v>97</v>
      </c>
      <c r="BW1858" s="2" t="s">
        <v>100</v>
      </c>
      <c r="BX1858" s="2" t="s">
        <v>100</v>
      </c>
      <c r="BY1858" s="2" t="s">
        <v>113</v>
      </c>
      <c r="BZ1858" s="2" t="s">
        <v>100</v>
      </c>
    </row>
    <row r="1859">
      <c r="A1859" s="2" t="s">
        <v>6166</v>
      </c>
      <c r="B1859" s="2" t="s">
        <v>5764</v>
      </c>
      <c r="C1859" s="2" t="s">
        <v>5702</v>
      </c>
      <c r="D1859" s="2" t="s">
        <v>4473</v>
      </c>
      <c r="E1859" s="2" t="s">
        <v>5768</v>
      </c>
      <c r="F1859" s="2" t="s">
        <v>6167</v>
      </c>
      <c r="G1859" s="2" t="s">
        <v>6167</v>
      </c>
      <c r="H1859" s="2" t="s">
        <v>6167</v>
      </c>
      <c r="I1859" s="2" t="s">
        <v>5768</v>
      </c>
      <c r="J1859" s="2" t="s">
        <v>1936</v>
      </c>
      <c r="K1859" s="2" t="s">
        <v>198</v>
      </c>
      <c r="L1859" s="3">
        <v>16.56</v>
      </c>
      <c r="M1859" s="3">
        <v>17.39</v>
      </c>
      <c r="N1859" s="3">
        <v>36.99</v>
      </c>
      <c r="O1859" s="2" t="s">
        <v>97</v>
      </c>
      <c r="P1859" s="2" t="s">
        <v>119</v>
      </c>
      <c r="Q1859" s="2" t="s">
        <v>99</v>
      </c>
      <c r="R1859" s="2" t="s">
        <v>100</v>
      </c>
      <c r="S1859" s="2" t="s">
        <v>6168</v>
      </c>
      <c r="T1859" s="2" t="s">
        <v>200</v>
      </c>
      <c r="U1859" s="2" t="s">
        <v>1847</v>
      </c>
      <c r="V1859" s="2" t="s">
        <v>146</v>
      </c>
      <c r="W1859" s="2" t="s">
        <v>183</v>
      </c>
      <c r="X1859" s="2" t="s">
        <v>100</v>
      </c>
      <c r="Y1859" s="2" t="s">
        <v>6169</v>
      </c>
      <c r="Z1859" s="4">
        <v>297</v>
      </c>
      <c r="AA1859" s="4">
        <f>=ROUNDDOWN(42.4285714285714,0)</f>
      </c>
      <c r="AB1859" s="5">
        <v>7</v>
      </c>
      <c r="AC1859" s="2" t="s">
        <v>100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/>
      <c r="BJ1859" s="4">
        <v>81</v>
      </c>
      <c r="BK1859" s="8">
        <v>1525.16</v>
      </c>
      <c r="BL1859" s="2" t="s">
        <v>2302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207</v>
      </c>
      <c r="BV1859" s="2" t="s">
        <v>97</v>
      </c>
      <c r="BW1859" s="2" t="s">
        <v>100</v>
      </c>
      <c r="BX1859" s="2" t="s">
        <v>100</v>
      </c>
      <c r="BY1859" s="2" t="s">
        <v>113</v>
      </c>
      <c r="BZ1859" s="2" t="s">
        <v>100</v>
      </c>
    </row>
    <row r="1860">
      <c r="A1860" s="2" t="s">
        <v>6170</v>
      </c>
      <c r="B1860" s="2" t="s">
        <v>5764</v>
      </c>
      <c r="C1860" s="2" t="s">
        <v>5702</v>
      </c>
      <c r="D1860" s="2" t="s">
        <v>4473</v>
      </c>
      <c r="E1860" s="2" t="s">
        <v>5768</v>
      </c>
      <c r="F1860" s="2" t="s">
        <v>6167</v>
      </c>
      <c r="G1860" s="2" t="s">
        <v>6167</v>
      </c>
      <c r="H1860" s="2" t="s">
        <v>6167</v>
      </c>
      <c r="I1860" s="2" t="s">
        <v>5768</v>
      </c>
      <c r="J1860" s="2" t="s">
        <v>247</v>
      </c>
      <c r="K1860" s="2" t="s">
        <v>198</v>
      </c>
      <c r="L1860" s="3">
        <v>19.6</v>
      </c>
      <c r="M1860" s="3">
        <v>20.58</v>
      </c>
      <c r="N1860" s="3">
        <v>41.99</v>
      </c>
      <c r="O1860" s="2" t="s">
        <v>97</v>
      </c>
      <c r="P1860" s="2" t="s">
        <v>119</v>
      </c>
      <c r="Q1860" s="2" t="s">
        <v>99</v>
      </c>
      <c r="R1860" s="2" t="s">
        <v>100</v>
      </c>
      <c r="S1860" s="2" t="s">
        <v>6168</v>
      </c>
      <c r="T1860" s="2" t="s">
        <v>200</v>
      </c>
      <c r="U1860" s="2" t="s">
        <v>1847</v>
      </c>
      <c r="V1860" s="2" t="s">
        <v>146</v>
      </c>
      <c r="W1860" s="2" t="s">
        <v>183</v>
      </c>
      <c r="X1860" s="2" t="s">
        <v>100</v>
      </c>
      <c r="Y1860" s="2" t="s">
        <v>6169</v>
      </c>
      <c r="Z1860" s="4">
        <v>504</v>
      </c>
      <c r="AA1860" s="4">
        <f>=ROUNDDOWN(36,0)</f>
      </c>
      <c r="AB1860" s="5">
        <v>14</v>
      </c>
      <c r="AC1860" s="2" t="s">
        <v>356</v>
      </c>
      <c r="AD1860" s="4">
        <v>1680</v>
      </c>
      <c r="AE1860" s="4">
        <v>1680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/>
      <c r="BJ1860" s="4">
        <v>273</v>
      </c>
      <c r="BK1860" s="8">
        <v>6059.61</v>
      </c>
      <c r="BL1860" s="2" t="s">
        <v>229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207</v>
      </c>
      <c r="BV1860" s="2" t="s">
        <v>97</v>
      </c>
      <c r="BW1860" s="2" t="s">
        <v>100</v>
      </c>
      <c r="BX1860" s="2" t="s">
        <v>100</v>
      </c>
      <c r="BY1860" s="2" t="s">
        <v>113</v>
      </c>
      <c r="BZ1860" s="2" t="s">
        <v>100</v>
      </c>
    </row>
    <row r="1861">
      <c r="A1861" s="2" t="s">
        <v>6171</v>
      </c>
      <c r="B1861" s="2" t="s">
        <v>5764</v>
      </c>
      <c r="C1861" s="2" t="s">
        <v>5702</v>
      </c>
      <c r="D1861" s="2" t="s">
        <v>4473</v>
      </c>
      <c r="E1861" s="2" t="s">
        <v>5768</v>
      </c>
      <c r="F1861" s="2" t="s">
        <v>6167</v>
      </c>
      <c r="G1861" s="2" t="s">
        <v>6167</v>
      </c>
      <c r="H1861" s="2" t="s">
        <v>6167</v>
      </c>
      <c r="I1861" s="2" t="s">
        <v>5768</v>
      </c>
      <c r="J1861" s="2" t="s">
        <v>714</v>
      </c>
      <c r="K1861" s="2" t="s">
        <v>198</v>
      </c>
      <c r="L1861" s="3">
        <v>22.38</v>
      </c>
      <c r="M1861" s="3">
        <v>23.5</v>
      </c>
      <c r="N1861" s="3">
        <v>46.99</v>
      </c>
      <c r="O1861" s="2" t="s">
        <v>97</v>
      </c>
      <c r="P1861" s="2" t="s">
        <v>119</v>
      </c>
      <c r="Q1861" s="2" t="s">
        <v>99</v>
      </c>
      <c r="R1861" s="2" t="s">
        <v>100</v>
      </c>
      <c r="S1861" s="2" t="s">
        <v>6168</v>
      </c>
      <c r="T1861" s="2" t="s">
        <v>200</v>
      </c>
      <c r="U1861" s="2" t="s">
        <v>1847</v>
      </c>
      <c r="V1861" s="2" t="s">
        <v>146</v>
      </c>
      <c r="W1861" s="2" t="s">
        <v>183</v>
      </c>
      <c r="X1861" s="2" t="s">
        <v>100</v>
      </c>
      <c r="Y1861" s="2" t="s">
        <v>6169</v>
      </c>
      <c r="Z1861" s="4">
        <v>398</v>
      </c>
      <c r="AA1861" s="4">
        <f>=ROUNDDOWN(36.1818181818182,0)</f>
      </c>
      <c r="AB1861" s="5">
        <v>11</v>
      </c>
      <c r="AC1861" s="2" t="s">
        <v>356</v>
      </c>
      <c r="AD1861" s="4">
        <v>980</v>
      </c>
      <c r="AE1861" s="4">
        <v>980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/>
      <c r="BJ1861" s="4">
        <v>189</v>
      </c>
      <c r="BK1861" s="8">
        <v>4799.47</v>
      </c>
      <c r="BL1861" s="2" t="s">
        <v>4942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207</v>
      </c>
      <c r="BV1861" s="2" t="s">
        <v>97</v>
      </c>
      <c r="BW1861" s="2" t="s">
        <v>100</v>
      </c>
      <c r="BX1861" s="2" t="s">
        <v>100</v>
      </c>
      <c r="BY1861" s="2" t="s">
        <v>113</v>
      </c>
      <c r="BZ1861" s="2" t="s">
        <v>100</v>
      </c>
    </row>
    <row r="1862">
      <c r="A1862" s="2" t="s">
        <v>6172</v>
      </c>
      <c r="B1862" s="2" t="s">
        <v>5764</v>
      </c>
      <c r="C1862" s="2" t="s">
        <v>5702</v>
      </c>
      <c r="D1862" s="2" t="s">
        <v>4473</v>
      </c>
      <c r="E1862" s="2" t="s">
        <v>5768</v>
      </c>
      <c r="F1862" s="2" t="s">
        <v>6167</v>
      </c>
      <c r="G1862" s="2" t="s">
        <v>6167</v>
      </c>
      <c r="H1862" s="2" t="s">
        <v>6167</v>
      </c>
      <c r="I1862" s="2" t="s">
        <v>5768</v>
      </c>
      <c r="J1862" s="2" t="s">
        <v>1936</v>
      </c>
      <c r="K1862" s="2" t="s">
        <v>6173</v>
      </c>
      <c r="L1862" s="3">
        <v>16.56</v>
      </c>
      <c r="M1862" s="3">
        <v>17.39</v>
      </c>
      <c r="N1862" s="3">
        <v>36.99</v>
      </c>
      <c r="O1862" s="2" t="s">
        <v>97</v>
      </c>
      <c r="P1862" s="2" t="s">
        <v>119</v>
      </c>
      <c r="Q1862" s="2" t="s">
        <v>99</v>
      </c>
      <c r="R1862" s="2" t="s">
        <v>100</v>
      </c>
      <c r="S1862" s="2" t="s">
        <v>6174</v>
      </c>
      <c r="T1862" s="2" t="s">
        <v>200</v>
      </c>
      <c r="U1862" s="2" t="s">
        <v>1847</v>
      </c>
      <c r="V1862" s="2" t="s">
        <v>146</v>
      </c>
      <c r="W1862" s="2" t="s">
        <v>183</v>
      </c>
      <c r="X1862" s="2" t="s">
        <v>100</v>
      </c>
      <c r="Y1862" s="2" t="s">
        <v>6169</v>
      </c>
      <c r="Z1862" s="4">
        <v>284</v>
      </c>
      <c r="AA1862" s="4">
        <f>=ROUNDDOWN(35.5,0)</f>
      </c>
      <c r="AB1862" s="5">
        <v>8</v>
      </c>
      <c r="AC1862" s="2" t="s">
        <v>356</v>
      </c>
      <c r="AD1862" s="4">
        <v>490</v>
      </c>
      <c r="AE1862" s="4">
        <v>620</v>
      </c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/>
      <c r="BJ1862" s="4">
        <v>104</v>
      </c>
      <c r="BK1862" s="8">
        <v>1951.73</v>
      </c>
      <c r="BL1862" s="2" t="s">
        <v>3168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207</v>
      </c>
      <c r="BV1862" s="2" t="s">
        <v>97</v>
      </c>
      <c r="BW1862" s="2" t="s">
        <v>100</v>
      </c>
      <c r="BX1862" s="2" t="s">
        <v>100</v>
      </c>
      <c r="BY1862" s="2" t="s">
        <v>113</v>
      </c>
      <c r="BZ1862" s="2" t="s">
        <v>100</v>
      </c>
    </row>
    <row r="1863">
      <c r="A1863" s="2" t="s">
        <v>6175</v>
      </c>
      <c r="B1863" s="2" t="s">
        <v>5764</v>
      </c>
      <c r="C1863" s="2" t="s">
        <v>5702</v>
      </c>
      <c r="D1863" s="2" t="s">
        <v>4473</v>
      </c>
      <c r="E1863" s="2" t="s">
        <v>5768</v>
      </c>
      <c r="F1863" s="2" t="s">
        <v>6167</v>
      </c>
      <c r="G1863" s="2" t="s">
        <v>6167</v>
      </c>
      <c r="H1863" s="2" t="s">
        <v>6167</v>
      </c>
      <c r="I1863" s="2" t="s">
        <v>5768</v>
      </c>
      <c r="J1863" s="2" t="s">
        <v>247</v>
      </c>
      <c r="K1863" s="2" t="s">
        <v>6173</v>
      </c>
      <c r="L1863" s="3">
        <v>19.6</v>
      </c>
      <c r="M1863" s="3">
        <v>20.58</v>
      </c>
      <c r="N1863" s="3">
        <v>41.99</v>
      </c>
      <c r="O1863" s="2" t="s">
        <v>97</v>
      </c>
      <c r="P1863" s="2" t="s">
        <v>119</v>
      </c>
      <c r="Q1863" s="2" t="s">
        <v>99</v>
      </c>
      <c r="R1863" s="2" t="s">
        <v>100</v>
      </c>
      <c r="S1863" s="2" t="s">
        <v>6174</v>
      </c>
      <c r="T1863" s="2" t="s">
        <v>200</v>
      </c>
      <c r="U1863" s="2" t="s">
        <v>1847</v>
      </c>
      <c r="V1863" s="2" t="s">
        <v>146</v>
      </c>
      <c r="W1863" s="2" t="s">
        <v>183</v>
      </c>
      <c r="X1863" s="2" t="s">
        <v>100</v>
      </c>
      <c r="Y1863" s="2" t="s">
        <v>6169</v>
      </c>
      <c r="Z1863" s="4">
        <v>544</v>
      </c>
      <c r="AA1863" s="4">
        <f>=ROUNDDOWN(36.2666666666667,0)</f>
      </c>
      <c r="AB1863" s="5">
        <v>15</v>
      </c>
      <c r="AC1863" s="2" t="s">
        <v>356</v>
      </c>
      <c r="AD1863" s="4">
        <v>2730</v>
      </c>
      <c r="AE1863" s="4">
        <v>3060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/>
      <c r="BJ1863" s="4">
        <v>316</v>
      </c>
      <c r="BK1863" s="8">
        <v>6993.84</v>
      </c>
      <c r="BL1863" s="2" t="s">
        <v>1354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207</v>
      </c>
      <c r="BV1863" s="2" t="s">
        <v>97</v>
      </c>
      <c r="BW1863" s="2" t="s">
        <v>100</v>
      </c>
      <c r="BX1863" s="2" t="s">
        <v>100</v>
      </c>
      <c r="BY1863" s="2" t="s">
        <v>113</v>
      </c>
      <c r="BZ1863" s="2" t="s">
        <v>100</v>
      </c>
    </row>
    <row r="1864">
      <c r="A1864" s="2" t="s">
        <v>6176</v>
      </c>
      <c r="B1864" s="2" t="s">
        <v>5764</v>
      </c>
      <c r="C1864" s="2" t="s">
        <v>5702</v>
      </c>
      <c r="D1864" s="2" t="s">
        <v>4473</v>
      </c>
      <c r="E1864" s="2" t="s">
        <v>5768</v>
      </c>
      <c r="F1864" s="2" t="s">
        <v>6167</v>
      </c>
      <c r="G1864" s="2" t="s">
        <v>6167</v>
      </c>
      <c r="H1864" s="2" t="s">
        <v>6167</v>
      </c>
      <c r="I1864" s="2" t="s">
        <v>5768</v>
      </c>
      <c r="J1864" s="2" t="s">
        <v>714</v>
      </c>
      <c r="K1864" s="2" t="s">
        <v>6173</v>
      </c>
      <c r="L1864" s="3">
        <v>22.38</v>
      </c>
      <c r="M1864" s="3">
        <v>23.5</v>
      </c>
      <c r="N1864" s="3">
        <v>46.99</v>
      </c>
      <c r="O1864" s="2" t="s">
        <v>97</v>
      </c>
      <c r="P1864" s="2" t="s">
        <v>119</v>
      </c>
      <c r="Q1864" s="2" t="s">
        <v>99</v>
      </c>
      <c r="R1864" s="2" t="s">
        <v>100</v>
      </c>
      <c r="S1864" s="2" t="s">
        <v>6174</v>
      </c>
      <c r="T1864" s="2" t="s">
        <v>200</v>
      </c>
      <c r="U1864" s="2" t="s">
        <v>1847</v>
      </c>
      <c r="V1864" s="2" t="s">
        <v>146</v>
      </c>
      <c r="W1864" s="2" t="s">
        <v>183</v>
      </c>
      <c r="X1864" s="2" t="s">
        <v>100</v>
      </c>
      <c r="Y1864" s="2" t="s">
        <v>6169</v>
      </c>
      <c r="Z1864" s="4">
        <v>267</v>
      </c>
      <c r="AA1864" s="4">
        <f>=ROUNDDOWN(22.25,0)</f>
      </c>
      <c r="AB1864" s="5">
        <v>12</v>
      </c>
      <c r="AC1864" s="2" t="s">
        <v>356</v>
      </c>
      <c r="AD1864" s="4">
        <v>1120</v>
      </c>
      <c r="AE1864" s="4">
        <v>1460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>
        <v>223</v>
      </c>
      <c r="BK1864" s="8">
        <v>5665.98</v>
      </c>
      <c r="BL1864" s="2" t="s">
        <v>553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207</v>
      </c>
      <c r="BV1864" s="2" t="s">
        <v>97</v>
      </c>
      <c r="BW1864" s="2" t="s">
        <v>100</v>
      </c>
      <c r="BX1864" s="2" t="s">
        <v>100</v>
      </c>
      <c r="BY1864" s="2" t="s">
        <v>113</v>
      </c>
      <c r="BZ1864" s="2" t="s">
        <v>100</v>
      </c>
    </row>
    <row r="1865">
      <c r="A1865" s="2" t="s">
        <v>6177</v>
      </c>
      <c r="B1865" s="2" t="s">
        <v>5764</v>
      </c>
      <c r="C1865" s="2" t="s">
        <v>5702</v>
      </c>
      <c r="D1865" s="2" t="s">
        <v>4473</v>
      </c>
      <c r="E1865" s="2" t="s">
        <v>5768</v>
      </c>
      <c r="F1865" s="2" t="s">
        <v>6167</v>
      </c>
      <c r="G1865" s="2" t="s">
        <v>6167</v>
      </c>
      <c r="H1865" s="2" t="s">
        <v>6167</v>
      </c>
      <c r="I1865" s="2" t="s">
        <v>5768</v>
      </c>
      <c r="J1865" s="2" t="s">
        <v>1936</v>
      </c>
      <c r="K1865" s="2" t="s">
        <v>629</v>
      </c>
      <c r="L1865" s="3">
        <v>16.56</v>
      </c>
      <c r="M1865" s="3">
        <v>17.39</v>
      </c>
      <c r="N1865" s="3">
        <v>36.99</v>
      </c>
      <c r="O1865" s="2" t="s">
        <v>97</v>
      </c>
      <c r="P1865" s="2" t="s">
        <v>119</v>
      </c>
      <c r="Q1865" s="2" t="s">
        <v>99</v>
      </c>
      <c r="R1865" s="2" t="s">
        <v>100</v>
      </c>
      <c r="S1865" s="2" t="s">
        <v>6178</v>
      </c>
      <c r="T1865" s="2" t="s">
        <v>200</v>
      </c>
      <c r="U1865" s="2" t="s">
        <v>1847</v>
      </c>
      <c r="V1865" s="2" t="s">
        <v>146</v>
      </c>
      <c r="W1865" s="2" t="s">
        <v>183</v>
      </c>
      <c r="X1865" s="2" t="s">
        <v>100</v>
      </c>
      <c r="Y1865" s="2" t="s">
        <v>6179</v>
      </c>
      <c r="Z1865" s="4">
        <v>260</v>
      </c>
      <c r="AA1865" s="4">
        <f>=ROUNDDOWN(37.1428571428571,0)</f>
      </c>
      <c r="AB1865" s="5">
        <v>7</v>
      </c>
      <c r="AC1865" s="2" t="s">
        <v>3031</v>
      </c>
      <c r="AD1865" s="4">
        <v>80</v>
      </c>
      <c r="AE1865" s="4">
        <v>80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>
        <v>111</v>
      </c>
      <c r="BK1865" s="8">
        <v>2077.12</v>
      </c>
      <c r="BL1865" s="2" t="s">
        <v>553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207</v>
      </c>
      <c r="BV1865" s="2" t="s">
        <v>97</v>
      </c>
      <c r="BW1865" s="2" t="s">
        <v>100</v>
      </c>
      <c r="BX1865" s="2" t="s">
        <v>100</v>
      </c>
      <c r="BY1865" s="2" t="s">
        <v>113</v>
      </c>
      <c r="BZ1865" s="2" t="s">
        <v>100</v>
      </c>
    </row>
    <row r="1866">
      <c r="A1866" s="2" t="s">
        <v>6180</v>
      </c>
      <c r="B1866" s="2" t="s">
        <v>5764</v>
      </c>
      <c r="C1866" s="2" t="s">
        <v>5702</v>
      </c>
      <c r="D1866" s="2" t="s">
        <v>4473</v>
      </c>
      <c r="E1866" s="2" t="s">
        <v>5768</v>
      </c>
      <c r="F1866" s="2" t="s">
        <v>6167</v>
      </c>
      <c r="G1866" s="2" t="s">
        <v>6167</v>
      </c>
      <c r="H1866" s="2" t="s">
        <v>6167</v>
      </c>
      <c r="I1866" s="2" t="s">
        <v>5768</v>
      </c>
      <c r="J1866" s="2" t="s">
        <v>247</v>
      </c>
      <c r="K1866" s="2" t="s">
        <v>629</v>
      </c>
      <c r="L1866" s="3">
        <v>19.6</v>
      </c>
      <c r="M1866" s="3">
        <v>20.58</v>
      </c>
      <c r="N1866" s="3">
        <v>41.99</v>
      </c>
      <c r="O1866" s="2" t="s">
        <v>97</v>
      </c>
      <c r="P1866" s="2" t="s">
        <v>119</v>
      </c>
      <c r="Q1866" s="2" t="s">
        <v>99</v>
      </c>
      <c r="R1866" s="2" t="s">
        <v>100</v>
      </c>
      <c r="S1866" s="2" t="s">
        <v>6178</v>
      </c>
      <c r="T1866" s="2" t="s">
        <v>200</v>
      </c>
      <c r="U1866" s="2" t="s">
        <v>1847</v>
      </c>
      <c r="V1866" s="2" t="s">
        <v>146</v>
      </c>
      <c r="W1866" s="2" t="s">
        <v>183</v>
      </c>
      <c r="X1866" s="2" t="s">
        <v>100</v>
      </c>
      <c r="Y1866" s="2" t="s">
        <v>6179</v>
      </c>
      <c r="Z1866" s="4">
        <v>395</v>
      </c>
      <c r="AA1866" s="4">
        <f>=ROUNDDOWN(30.3846153846154,0)</f>
      </c>
      <c r="AB1866" s="5">
        <v>13</v>
      </c>
      <c r="AC1866" s="2" t="s">
        <v>356</v>
      </c>
      <c r="AD1866" s="4">
        <v>1400</v>
      </c>
      <c r="AE1866" s="4">
        <v>1680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/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/>
      <c r="BJ1866" s="4">
        <v>305</v>
      </c>
      <c r="BK1866" s="8">
        <v>6766.03</v>
      </c>
      <c r="BL1866" s="2" t="s">
        <v>229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207</v>
      </c>
      <c r="BV1866" s="2" t="s">
        <v>97</v>
      </c>
      <c r="BW1866" s="2" t="s">
        <v>100</v>
      </c>
      <c r="BX1866" s="2" t="s">
        <v>100</v>
      </c>
      <c r="BY1866" s="2" t="s">
        <v>113</v>
      </c>
      <c r="BZ1866" s="2" t="s">
        <v>100</v>
      </c>
    </row>
    <row r="1867">
      <c r="A1867" s="2" t="s">
        <v>6181</v>
      </c>
      <c r="B1867" s="2" t="s">
        <v>5764</v>
      </c>
      <c r="C1867" s="2" t="s">
        <v>5702</v>
      </c>
      <c r="D1867" s="2" t="s">
        <v>4473</v>
      </c>
      <c r="E1867" s="2" t="s">
        <v>5768</v>
      </c>
      <c r="F1867" s="2" t="s">
        <v>6167</v>
      </c>
      <c r="G1867" s="2" t="s">
        <v>6167</v>
      </c>
      <c r="H1867" s="2" t="s">
        <v>6167</v>
      </c>
      <c r="I1867" s="2" t="s">
        <v>5768</v>
      </c>
      <c r="J1867" s="2" t="s">
        <v>714</v>
      </c>
      <c r="K1867" s="2" t="s">
        <v>629</v>
      </c>
      <c r="L1867" s="3">
        <v>22.38</v>
      </c>
      <c r="M1867" s="3">
        <v>23.5</v>
      </c>
      <c r="N1867" s="3">
        <v>46.99</v>
      </c>
      <c r="O1867" s="2" t="s">
        <v>97</v>
      </c>
      <c r="P1867" s="2" t="s">
        <v>119</v>
      </c>
      <c r="Q1867" s="2" t="s">
        <v>99</v>
      </c>
      <c r="R1867" s="2" t="s">
        <v>100</v>
      </c>
      <c r="S1867" s="2" t="s">
        <v>6178</v>
      </c>
      <c r="T1867" s="2" t="s">
        <v>200</v>
      </c>
      <c r="U1867" s="2" t="s">
        <v>1847</v>
      </c>
      <c r="V1867" s="2" t="s">
        <v>146</v>
      </c>
      <c r="W1867" s="2" t="s">
        <v>183</v>
      </c>
      <c r="X1867" s="2" t="s">
        <v>100</v>
      </c>
      <c r="Y1867" s="2" t="s">
        <v>6169</v>
      </c>
      <c r="Z1867" s="4">
        <v>175</v>
      </c>
      <c r="AA1867" s="4">
        <f>=ROUNDDOWN(13.4615384615385,0)</f>
      </c>
      <c r="AB1867" s="5">
        <v>13</v>
      </c>
      <c r="AC1867" s="2" t="s">
        <v>356</v>
      </c>
      <c r="AD1867" s="4">
        <v>560</v>
      </c>
      <c r="AE1867" s="4">
        <v>1000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/>
      <c r="BJ1867" s="4">
        <v>287</v>
      </c>
      <c r="BK1867" s="8">
        <v>7297.87</v>
      </c>
      <c r="BL1867" s="2" t="s">
        <v>229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207</v>
      </c>
      <c r="BV1867" s="2" t="s">
        <v>97</v>
      </c>
      <c r="BW1867" s="2" t="s">
        <v>100</v>
      </c>
      <c r="BX1867" s="2" t="s">
        <v>100</v>
      </c>
      <c r="BY1867" s="2" t="s">
        <v>113</v>
      </c>
      <c r="BZ1867" s="2" t="s">
        <v>100</v>
      </c>
    </row>
    <row r="1868">
      <c r="A1868" s="2" t="s">
        <v>6182</v>
      </c>
      <c r="B1868" s="2" t="s">
        <v>5764</v>
      </c>
      <c r="C1868" s="2" t="s">
        <v>5702</v>
      </c>
      <c r="D1868" s="2" t="s">
        <v>4473</v>
      </c>
      <c r="E1868" s="2" t="s">
        <v>5768</v>
      </c>
      <c r="F1868" s="2" t="s">
        <v>6167</v>
      </c>
      <c r="G1868" s="2" t="s">
        <v>6167</v>
      </c>
      <c r="H1868" s="2" t="s">
        <v>6167</v>
      </c>
      <c r="I1868" s="2" t="s">
        <v>5768</v>
      </c>
      <c r="J1868" s="2" t="s">
        <v>1936</v>
      </c>
      <c r="K1868" s="2" t="s">
        <v>189</v>
      </c>
      <c r="L1868" s="3">
        <v>16.56</v>
      </c>
      <c r="M1868" s="3">
        <v>17.39</v>
      </c>
      <c r="N1868" s="3">
        <v>36.99</v>
      </c>
      <c r="O1868" s="2" t="s">
        <v>97</v>
      </c>
      <c r="P1868" s="2" t="s">
        <v>119</v>
      </c>
      <c r="Q1868" s="2" t="s">
        <v>99</v>
      </c>
      <c r="R1868" s="2" t="s">
        <v>100</v>
      </c>
      <c r="S1868" s="2" t="s">
        <v>6183</v>
      </c>
      <c r="T1868" s="2" t="s">
        <v>200</v>
      </c>
      <c r="U1868" s="2" t="s">
        <v>1847</v>
      </c>
      <c r="V1868" s="2" t="s">
        <v>146</v>
      </c>
      <c r="W1868" s="2" t="s">
        <v>183</v>
      </c>
      <c r="X1868" s="2" t="s">
        <v>100</v>
      </c>
      <c r="Y1868" s="2" t="s">
        <v>6179</v>
      </c>
      <c r="Z1868" s="4">
        <v>220</v>
      </c>
      <c r="AA1868" s="4">
        <f>=ROUNDDOWN(44,0)</f>
      </c>
      <c r="AB1868" s="5">
        <v>5</v>
      </c>
      <c r="AC1868" s="2" t="s">
        <v>123</v>
      </c>
      <c r="AD1868" s="4">
        <v>80</v>
      </c>
      <c r="AE1868" s="4">
        <v>80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/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/>
      <c r="BJ1868" s="4">
        <v>72</v>
      </c>
      <c r="BK1868" s="8">
        <v>1342.34</v>
      </c>
      <c r="BL1868" s="2" t="s">
        <v>6184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207</v>
      </c>
      <c r="BV1868" s="2" t="s">
        <v>97</v>
      </c>
      <c r="BW1868" s="2" t="s">
        <v>100</v>
      </c>
      <c r="BX1868" s="2" t="s">
        <v>100</v>
      </c>
      <c r="BY1868" s="2" t="s">
        <v>113</v>
      </c>
      <c r="BZ1868" s="2" t="s">
        <v>100</v>
      </c>
    </row>
    <row r="1869">
      <c r="A1869" s="2" t="s">
        <v>6185</v>
      </c>
      <c r="B1869" s="2" t="s">
        <v>5764</v>
      </c>
      <c r="C1869" s="2" t="s">
        <v>5702</v>
      </c>
      <c r="D1869" s="2" t="s">
        <v>4473</v>
      </c>
      <c r="E1869" s="2" t="s">
        <v>5768</v>
      </c>
      <c r="F1869" s="2" t="s">
        <v>6167</v>
      </c>
      <c r="G1869" s="2" t="s">
        <v>6167</v>
      </c>
      <c r="H1869" s="2" t="s">
        <v>6167</v>
      </c>
      <c r="I1869" s="2" t="s">
        <v>5768</v>
      </c>
      <c r="J1869" s="2" t="s">
        <v>247</v>
      </c>
      <c r="K1869" s="2" t="s">
        <v>189</v>
      </c>
      <c r="L1869" s="3">
        <v>19.6</v>
      </c>
      <c r="M1869" s="3">
        <v>20.58</v>
      </c>
      <c r="N1869" s="3">
        <v>41.99</v>
      </c>
      <c r="O1869" s="2" t="s">
        <v>97</v>
      </c>
      <c r="P1869" s="2" t="s">
        <v>119</v>
      </c>
      <c r="Q1869" s="2" t="s">
        <v>99</v>
      </c>
      <c r="R1869" s="2" t="s">
        <v>100</v>
      </c>
      <c r="S1869" s="2" t="s">
        <v>6183</v>
      </c>
      <c r="T1869" s="2" t="s">
        <v>200</v>
      </c>
      <c r="U1869" s="2" t="s">
        <v>1847</v>
      </c>
      <c r="V1869" s="2" t="s">
        <v>146</v>
      </c>
      <c r="W1869" s="2" t="s">
        <v>183</v>
      </c>
      <c r="X1869" s="2" t="s">
        <v>100</v>
      </c>
      <c r="Y1869" s="2" t="s">
        <v>6179</v>
      </c>
      <c r="Z1869" s="4">
        <v>314</v>
      </c>
      <c r="AA1869" s="4">
        <f>=ROUNDDOWN(31.4,0)</f>
      </c>
      <c r="AB1869" s="5">
        <v>10</v>
      </c>
      <c r="AC1869" s="2" t="s">
        <v>123</v>
      </c>
      <c r="AD1869" s="4">
        <v>200</v>
      </c>
      <c r="AE1869" s="4">
        <v>200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/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/>
      <c r="BJ1869" s="4">
        <v>200</v>
      </c>
      <c r="BK1869" s="8">
        <v>4427.12</v>
      </c>
      <c r="BL1869" s="2" t="s">
        <v>1354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207</v>
      </c>
      <c r="BV1869" s="2" t="s">
        <v>97</v>
      </c>
      <c r="BW1869" s="2" t="s">
        <v>100</v>
      </c>
      <c r="BX1869" s="2" t="s">
        <v>100</v>
      </c>
      <c r="BY1869" s="2" t="s">
        <v>113</v>
      </c>
      <c r="BZ1869" s="2" t="s">
        <v>100</v>
      </c>
    </row>
    <row r="1870">
      <c r="A1870" s="2" t="s">
        <v>6186</v>
      </c>
      <c r="B1870" s="2" t="s">
        <v>5764</v>
      </c>
      <c r="C1870" s="2" t="s">
        <v>5702</v>
      </c>
      <c r="D1870" s="2" t="s">
        <v>4473</v>
      </c>
      <c r="E1870" s="2" t="s">
        <v>5768</v>
      </c>
      <c r="F1870" s="2" t="s">
        <v>6167</v>
      </c>
      <c r="G1870" s="2" t="s">
        <v>6167</v>
      </c>
      <c r="H1870" s="2" t="s">
        <v>6167</v>
      </c>
      <c r="I1870" s="2" t="s">
        <v>5768</v>
      </c>
      <c r="J1870" s="2" t="s">
        <v>714</v>
      </c>
      <c r="K1870" s="2" t="s">
        <v>189</v>
      </c>
      <c r="L1870" s="3">
        <v>22.38</v>
      </c>
      <c r="M1870" s="3">
        <v>23.5</v>
      </c>
      <c r="N1870" s="3">
        <v>46.99</v>
      </c>
      <c r="O1870" s="2" t="s">
        <v>97</v>
      </c>
      <c r="P1870" s="2" t="s">
        <v>119</v>
      </c>
      <c r="Q1870" s="2" t="s">
        <v>99</v>
      </c>
      <c r="R1870" s="2" t="s">
        <v>100</v>
      </c>
      <c r="S1870" s="2" t="s">
        <v>6183</v>
      </c>
      <c r="T1870" s="2" t="s">
        <v>200</v>
      </c>
      <c r="U1870" s="2" t="s">
        <v>1847</v>
      </c>
      <c r="V1870" s="2" t="s">
        <v>146</v>
      </c>
      <c r="W1870" s="2" t="s">
        <v>183</v>
      </c>
      <c r="X1870" s="2" t="s">
        <v>100</v>
      </c>
      <c r="Y1870" s="2" t="s">
        <v>6179</v>
      </c>
      <c r="Z1870" s="4">
        <v>165</v>
      </c>
      <c r="AA1870" s="4">
        <f>=ROUNDDOWN(18.3333333333333,0)</f>
      </c>
      <c r="AB1870" s="5">
        <v>9</v>
      </c>
      <c r="AC1870" s="2" t="s">
        <v>123</v>
      </c>
      <c r="AD1870" s="4">
        <v>130</v>
      </c>
      <c r="AE1870" s="4">
        <v>130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/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/>
      <c r="BJ1870" s="4">
        <v>159</v>
      </c>
      <c r="BK1870" s="8">
        <v>4050.32</v>
      </c>
      <c r="BL1870" s="2" t="s">
        <v>1803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207</v>
      </c>
      <c r="BV1870" s="2" t="s">
        <v>97</v>
      </c>
      <c r="BW1870" s="2" t="s">
        <v>100</v>
      </c>
      <c r="BX1870" s="2" t="s">
        <v>100</v>
      </c>
      <c r="BY1870" s="2" t="s">
        <v>113</v>
      </c>
      <c r="BZ1870" s="2" t="s">
        <v>100</v>
      </c>
    </row>
    <row r="1871">
      <c r="A1871" s="2" t="s">
        <v>6187</v>
      </c>
      <c r="B1871" s="2" t="s">
        <v>5764</v>
      </c>
      <c r="C1871" s="2" t="s">
        <v>5702</v>
      </c>
      <c r="D1871" s="2" t="s">
        <v>4473</v>
      </c>
      <c r="E1871" s="2" t="s">
        <v>5768</v>
      </c>
      <c r="F1871" s="2" t="s">
        <v>6188</v>
      </c>
      <c r="G1871" s="2" t="s">
        <v>6188</v>
      </c>
      <c r="H1871" s="2" t="s">
        <v>6188</v>
      </c>
      <c r="I1871" s="2" t="s">
        <v>6189</v>
      </c>
      <c r="J1871" s="2" t="s">
        <v>1936</v>
      </c>
      <c r="K1871" s="2" t="s">
        <v>96</v>
      </c>
      <c r="L1871" s="3">
        <v>26.85</v>
      </c>
      <c r="M1871" s="3">
        <v>28.19</v>
      </c>
      <c r="N1871" s="3">
        <v>59.99</v>
      </c>
      <c r="O1871" s="2" t="s">
        <v>97</v>
      </c>
      <c r="P1871" s="2" t="s">
        <v>950</v>
      </c>
      <c r="Q1871" s="2" t="s">
        <v>99</v>
      </c>
      <c r="R1871" s="2" t="s">
        <v>100</v>
      </c>
      <c r="S1871" s="2" t="s">
        <v>6190</v>
      </c>
      <c r="T1871" s="2" t="s">
        <v>280</v>
      </c>
      <c r="U1871" s="2" t="s">
        <v>1847</v>
      </c>
      <c r="V1871" s="2" t="s">
        <v>146</v>
      </c>
      <c r="W1871" s="2" t="s">
        <v>183</v>
      </c>
      <c r="X1871" s="2" t="s">
        <v>100</v>
      </c>
      <c r="Y1871" s="2" t="s">
        <v>6191</v>
      </c>
      <c r="Z1871" s="4">
        <v>261</v>
      </c>
      <c r="AA1871" s="4">
        <f>=ROUNDDOWN(28.6813186813187,0)</f>
      </c>
      <c r="AB1871" s="5">
        <v>9.1</v>
      </c>
      <c r="AC1871" s="2" t="s">
        <v>241</v>
      </c>
      <c r="AD1871" s="4">
        <v>990</v>
      </c>
      <c r="AE1871" s="4">
        <v>1170</v>
      </c>
      <c r="AF1871" s="6">
        <v>67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291</v>
      </c>
      <c r="BK1871" s="8">
        <v>8529</v>
      </c>
      <c r="BL1871" s="2" t="s">
        <v>852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207</v>
      </c>
      <c r="BV1871" s="2" t="s">
        <v>97</v>
      </c>
      <c r="BW1871" s="2" t="s">
        <v>100</v>
      </c>
      <c r="BX1871" s="2" t="s">
        <v>100</v>
      </c>
      <c r="BY1871" s="2" t="s">
        <v>113</v>
      </c>
      <c r="BZ1871" s="2" t="s">
        <v>100</v>
      </c>
    </row>
    <row r="1872">
      <c r="A1872" s="2" t="s">
        <v>6192</v>
      </c>
      <c r="B1872" s="2" t="s">
        <v>5764</v>
      </c>
      <c r="C1872" s="2" t="s">
        <v>5702</v>
      </c>
      <c r="D1872" s="2" t="s">
        <v>4473</v>
      </c>
      <c r="E1872" s="2" t="s">
        <v>5768</v>
      </c>
      <c r="F1872" s="2" t="s">
        <v>6188</v>
      </c>
      <c r="G1872" s="2" t="s">
        <v>6188</v>
      </c>
      <c r="H1872" s="2" t="s">
        <v>6188</v>
      </c>
      <c r="I1872" s="2" t="s">
        <v>6189</v>
      </c>
      <c r="J1872" s="2" t="s">
        <v>247</v>
      </c>
      <c r="K1872" s="2" t="s">
        <v>96</v>
      </c>
      <c r="L1872" s="3">
        <v>33.33</v>
      </c>
      <c r="M1872" s="3">
        <v>35</v>
      </c>
      <c r="N1872" s="3">
        <v>69.99</v>
      </c>
      <c r="O1872" s="2" t="s">
        <v>97</v>
      </c>
      <c r="P1872" s="2" t="s">
        <v>950</v>
      </c>
      <c r="Q1872" s="2" t="s">
        <v>99</v>
      </c>
      <c r="R1872" s="2" t="s">
        <v>100</v>
      </c>
      <c r="S1872" s="2" t="s">
        <v>6190</v>
      </c>
      <c r="T1872" s="2" t="s">
        <v>280</v>
      </c>
      <c r="U1872" s="2" t="s">
        <v>1847</v>
      </c>
      <c r="V1872" s="2" t="s">
        <v>146</v>
      </c>
      <c r="W1872" s="2" t="s">
        <v>183</v>
      </c>
      <c r="X1872" s="2" t="s">
        <v>100</v>
      </c>
      <c r="Y1872" s="2" t="s">
        <v>6191</v>
      </c>
      <c r="Z1872" s="4">
        <v>428</v>
      </c>
      <c r="AA1872" s="4">
        <f>=ROUNDDOWN(18.6086956521739,0)</f>
      </c>
      <c r="AB1872" s="5">
        <v>23</v>
      </c>
      <c r="AC1872" s="2" t="s">
        <v>241</v>
      </c>
      <c r="AD1872" s="4">
        <v>3080</v>
      </c>
      <c r="AE1872" s="4">
        <v>3780</v>
      </c>
      <c r="AF1872" s="6">
        <v>67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>
        <v>844</v>
      </c>
      <c r="BK1872" s="8">
        <v>30529.45</v>
      </c>
      <c r="BL1872" s="2" t="s">
        <v>4826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207</v>
      </c>
      <c r="BV1872" s="2" t="s">
        <v>97</v>
      </c>
      <c r="BW1872" s="2" t="s">
        <v>100</v>
      </c>
      <c r="BX1872" s="2" t="s">
        <v>100</v>
      </c>
      <c r="BY1872" s="2" t="s">
        <v>113</v>
      </c>
      <c r="BZ1872" s="2" t="s">
        <v>100</v>
      </c>
    </row>
    <row r="1873">
      <c r="A1873" s="2" t="s">
        <v>6193</v>
      </c>
      <c r="B1873" s="2" t="s">
        <v>5764</v>
      </c>
      <c r="C1873" s="2" t="s">
        <v>5702</v>
      </c>
      <c r="D1873" s="2" t="s">
        <v>4473</v>
      </c>
      <c r="E1873" s="2" t="s">
        <v>5768</v>
      </c>
      <c r="F1873" s="2" t="s">
        <v>6188</v>
      </c>
      <c r="G1873" s="2" t="s">
        <v>6188</v>
      </c>
      <c r="H1873" s="2" t="s">
        <v>6188</v>
      </c>
      <c r="I1873" s="2" t="s">
        <v>6189</v>
      </c>
      <c r="J1873" s="2" t="s">
        <v>714</v>
      </c>
      <c r="K1873" s="2" t="s">
        <v>96</v>
      </c>
      <c r="L1873" s="3">
        <v>38.09</v>
      </c>
      <c r="M1873" s="3">
        <v>39.99</v>
      </c>
      <c r="N1873" s="3">
        <v>79.99</v>
      </c>
      <c r="O1873" s="2" t="s">
        <v>97</v>
      </c>
      <c r="P1873" s="2" t="s">
        <v>950</v>
      </c>
      <c r="Q1873" s="2" t="s">
        <v>99</v>
      </c>
      <c r="R1873" s="2" t="s">
        <v>100</v>
      </c>
      <c r="S1873" s="2" t="s">
        <v>6190</v>
      </c>
      <c r="T1873" s="2" t="s">
        <v>280</v>
      </c>
      <c r="U1873" s="2" t="s">
        <v>1847</v>
      </c>
      <c r="V1873" s="2" t="s">
        <v>146</v>
      </c>
      <c r="W1873" s="2" t="s">
        <v>183</v>
      </c>
      <c r="X1873" s="2" t="s">
        <v>100</v>
      </c>
      <c r="Y1873" s="2" t="s">
        <v>6191</v>
      </c>
      <c r="Z1873" s="4">
        <v>407</v>
      </c>
      <c r="AA1873" s="4">
        <f>=ROUNDDOWN(19.3809523809524,0)</f>
      </c>
      <c r="AB1873" s="5">
        <v>21</v>
      </c>
      <c r="AC1873" s="2" t="s">
        <v>241</v>
      </c>
      <c r="AD1873" s="4">
        <v>1430</v>
      </c>
      <c r="AE1873" s="4">
        <v>2050</v>
      </c>
      <c r="AF1873" s="6">
        <v>67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/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/>
      <c r="BJ1873" s="4">
        <v>677</v>
      </c>
      <c r="BK1873" s="8">
        <v>27712.39</v>
      </c>
      <c r="BL1873" s="2" t="s">
        <v>4826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207</v>
      </c>
      <c r="BV1873" s="2" t="s">
        <v>97</v>
      </c>
      <c r="BW1873" s="2" t="s">
        <v>100</v>
      </c>
      <c r="BX1873" s="2" t="s">
        <v>100</v>
      </c>
      <c r="BY1873" s="2" t="s">
        <v>113</v>
      </c>
      <c r="BZ1873" s="2" t="s">
        <v>100</v>
      </c>
    </row>
    <row r="1874">
      <c r="A1874" s="2" t="s">
        <v>6194</v>
      </c>
      <c r="B1874" s="2" t="s">
        <v>5764</v>
      </c>
      <c r="C1874" s="2" t="s">
        <v>5702</v>
      </c>
      <c r="D1874" s="2" t="s">
        <v>4473</v>
      </c>
      <c r="E1874" s="2" t="s">
        <v>5768</v>
      </c>
      <c r="F1874" s="2" t="s">
        <v>6188</v>
      </c>
      <c r="G1874" s="2" t="s">
        <v>6188</v>
      </c>
      <c r="H1874" s="2" t="s">
        <v>6188</v>
      </c>
      <c r="I1874" s="2" t="s">
        <v>6189</v>
      </c>
      <c r="J1874" s="2" t="s">
        <v>1936</v>
      </c>
      <c r="K1874" s="2" t="s">
        <v>198</v>
      </c>
      <c r="L1874" s="3">
        <v>26.85</v>
      </c>
      <c r="M1874" s="3">
        <v>28.19</v>
      </c>
      <c r="N1874" s="3">
        <v>59.99</v>
      </c>
      <c r="O1874" s="2" t="s">
        <v>97</v>
      </c>
      <c r="P1874" s="2" t="s">
        <v>950</v>
      </c>
      <c r="Q1874" s="2" t="s">
        <v>99</v>
      </c>
      <c r="R1874" s="2" t="s">
        <v>100</v>
      </c>
      <c r="S1874" s="2" t="s">
        <v>6195</v>
      </c>
      <c r="T1874" s="2" t="s">
        <v>280</v>
      </c>
      <c r="U1874" s="2" t="s">
        <v>1847</v>
      </c>
      <c r="V1874" s="2" t="s">
        <v>146</v>
      </c>
      <c r="W1874" s="2" t="s">
        <v>183</v>
      </c>
      <c r="X1874" s="2" t="s">
        <v>100</v>
      </c>
      <c r="Y1874" s="2" t="s">
        <v>6191</v>
      </c>
      <c r="Z1874" s="4">
        <v>468</v>
      </c>
      <c r="AA1874" s="4">
        <f>=ROUNDDOWN(54.4186046511628,0)</f>
      </c>
      <c r="AB1874" s="5">
        <v>8.6</v>
      </c>
      <c r="AC1874" s="2" t="s">
        <v>6196</v>
      </c>
      <c r="AD1874" s="4">
        <v>60</v>
      </c>
      <c r="AE1874" s="4">
        <v>60</v>
      </c>
      <c r="AF1874" s="6">
        <v>67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100</v>
      </c>
      <c r="AW1874" s="8" t="s">
        <v>100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/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/>
      <c r="BJ1874" s="4">
        <v>274</v>
      </c>
      <c r="BK1874" s="8">
        <v>7906.07</v>
      </c>
      <c r="BL1874" s="2" t="s">
        <v>755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207</v>
      </c>
      <c r="BV1874" s="2" t="s">
        <v>97</v>
      </c>
      <c r="BW1874" s="2" t="s">
        <v>100</v>
      </c>
      <c r="BX1874" s="2" t="s">
        <v>100</v>
      </c>
      <c r="BY1874" s="2" t="s">
        <v>113</v>
      </c>
      <c r="BZ1874" s="2" t="s">
        <v>100</v>
      </c>
    </row>
    <row r="1875">
      <c r="A1875" s="2" t="s">
        <v>6197</v>
      </c>
      <c r="B1875" s="2" t="s">
        <v>5764</v>
      </c>
      <c r="C1875" s="2" t="s">
        <v>5702</v>
      </c>
      <c r="D1875" s="2" t="s">
        <v>4473</v>
      </c>
      <c r="E1875" s="2" t="s">
        <v>5768</v>
      </c>
      <c r="F1875" s="2" t="s">
        <v>6188</v>
      </c>
      <c r="G1875" s="2" t="s">
        <v>6188</v>
      </c>
      <c r="H1875" s="2" t="s">
        <v>6188</v>
      </c>
      <c r="I1875" s="2" t="s">
        <v>6189</v>
      </c>
      <c r="J1875" s="2" t="s">
        <v>247</v>
      </c>
      <c r="K1875" s="2" t="s">
        <v>198</v>
      </c>
      <c r="L1875" s="3">
        <v>33.33</v>
      </c>
      <c r="M1875" s="3">
        <v>35</v>
      </c>
      <c r="N1875" s="3">
        <v>69.99</v>
      </c>
      <c r="O1875" s="2" t="s">
        <v>97</v>
      </c>
      <c r="P1875" s="2" t="s">
        <v>950</v>
      </c>
      <c r="Q1875" s="2" t="s">
        <v>99</v>
      </c>
      <c r="R1875" s="2" t="s">
        <v>100</v>
      </c>
      <c r="S1875" s="2" t="s">
        <v>6195</v>
      </c>
      <c r="T1875" s="2" t="s">
        <v>280</v>
      </c>
      <c r="U1875" s="2" t="s">
        <v>1847</v>
      </c>
      <c r="V1875" s="2" t="s">
        <v>146</v>
      </c>
      <c r="W1875" s="2" t="s">
        <v>183</v>
      </c>
      <c r="X1875" s="2" t="s">
        <v>100</v>
      </c>
      <c r="Y1875" s="2" t="s">
        <v>6198</v>
      </c>
      <c r="Z1875" s="4">
        <v>768</v>
      </c>
      <c r="AA1875" s="4">
        <f>=ROUNDDOWN(28.4444444444444,0)</f>
      </c>
      <c r="AB1875" s="5">
        <v>27</v>
      </c>
      <c r="AC1875" s="2" t="s">
        <v>562</v>
      </c>
      <c r="AD1875" s="4">
        <v>290</v>
      </c>
      <c r="AE1875" s="4">
        <v>810</v>
      </c>
      <c r="AF1875" s="6">
        <v>67</v>
      </c>
      <c r="AG1875" s="6">
        <v>75</v>
      </c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/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/>
      <c r="BJ1875" s="4">
        <v>883</v>
      </c>
      <c r="BK1875" s="8">
        <v>31940.21</v>
      </c>
      <c r="BL1875" s="2" t="s">
        <v>6199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207</v>
      </c>
      <c r="BV1875" s="2" t="s">
        <v>97</v>
      </c>
      <c r="BW1875" s="2" t="s">
        <v>100</v>
      </c>
      <c r="BX1875" s="2" t="s">
        <v>100</v>
      </c>
      <c r="BY1875" s="2" t="s">
        <v>113</v>
      </c>
      <c r="BZ1875" s="2" t="s">
        <v>100</v>
      </c>
    </row>
    <row r="1876">
      <c r="A1876" s="2" t="s">
        <v>6200</v>
      </c>
      <c r="B1876" s="2" t="s">
        <v>5764</v>
      </c>
      <c r="C1876" s="2" t="s">
        <v>5702</v>
      </c>
      <c r="D1876" s="2" t="s">
        <v>4473</v>
      </c>
      <c r="E1876" s="2" t="s">
        <v>5768</v>
      </c>
      <c r="F1876" s="2" t="s">
        <v>6188</v>
      </c>
      <c r="G1876" s="2" t="s">
        <v>6188</v>
      </c>
      <c r="H1876" s="2" t="s">
        <v>6188</v>
      </c>
      <c r="I1876" s="2" t="s">
        <v>6189</v>
      </c>
      <c r="J1876" s="2" t="s">
        <v>714</v>
      </c>
      <c r="K1876" s="2" t="s">
        <v>198</v>
      </c>
      <c r="L1876" s="3">
        <v>38.09</v>
      </c>
      <c r="M1876" s="3">
        <v>39.99</v>
      </c>
      <c r="N1876" s="3">
        <v>79.99</v>
      </c>
      <c r="O1876" s="2" t="s">
        <v>97</v>
      </c>
      <c r="P1876" s="2" t="s">
        <v>950</v>
      </c>
      <c r="Q1876" s="2" t="s">
        <v>99</v>
      </c>
      <c r="R1876" s="2" t="s">
        <v>100</v>
      </c>
      <c r="S1876" s="2" t="s">
        <v>6195</v>
      </c>
      <c r="T1876" s="2" t="s">
        <v>280</v>
      </c>
      <c r="U1876" s="2" t="s">
        <v>1847</v>
      </c>
      <c r="V1876" s="2" t="s">
        <v>146</v>
      </c>
      <c r="W1876" s="2" t="s">
        <v>183</v>
      </c>
      <c r="X1876" s="2" t="s">
        <v>100</v>
      </c>
      <c r="Y1876" s="2" t="s">
        <v>6198</v>
      </c>
      <c r="Z1876" s="4">
        <v>852</v>
      </c>
      <c r="AA1876" s="4">
        <f>=ROUNDDOWN(29.3793103448276,0)</f>
      </c>
      <c r="AB1876" s="5">
        <v>29</v>
      </c>
      <c r="AC1876" s="2" t="s">
        <v>562</v>
      </c>
      <c r="AD1876" s="4">
        <v>210</v>
      </c>
      <c r="AE1876" s="4">
        <v>630</v>
      </c>
      <c r="AF1876" s="6">
        <v>67</v>
      </c>
      <c r="AG1876" s="6">
        <v>75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/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/>
      <c r="BJ1876" s="4">
        <v>836</v>
      </c>
      <c r="BK1876" s="8">
        <v>34366</v>
      </c>
      <c r="BL1876" s="2" t="s">
        <v>6201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207</v>
      </c>
      <c r="BV1876" s="2" t="s">
        <v>97</v>
      </c>
      <c r="BW1876" s="2" t="s">
        <v>100</v>
      </c>
      <c r="BX1876" s="2" t="s">
        <v>100</v>
      </c>
      <c r="BY1876" s="2" t="s">
        <v>113</v>
      </c>
      <c r="BZ1876" s="2" t="s">
        <v>100</v>
      </c>
    </row>
    <row r="1877">
      <c r="A1877" s="2" t="s">
        <v>6202</v>
      </c>
      <c r="B1877" s="2" t="s">
        <v>5764</v>
      </c>
      <c r="C1877" s="2" t="s">
        <v>5702</v>
      </c>
      <c r="D1877" s="2" t="s">
        <v>4473</v>
      </c>
      <c r="E1877" s="2" t="s">
        <v>5768</v>
      </c>
      <c r="F1877" s="2" t="s">
        <v>6188</v>
      </c>
      <c r="G1877" s="2" t="s">
        <v>6188</v>
      </c>
      <c r="H1877" s="2" t="s">
        <v>6188</v>
      </c>
      <c r="I1877" s="2" t="s">
        <v>6189</v>
      </c>
      <c r="J1877" s="2" t="s">
        <v>1936</v>
      </c>
      <c r="K1877" s="2" t="s">
        <v>496</v>
      </c>
      <c r="L1877" s="3">
        <v>26.85</v>
      </c>
      <c r="M1877" s="3">
        <v>28.19</v>
      </c>
      <c r="N1877" s="3">
        <v>59.99</v>
      </c>
      <c r="O1877" s="2" t="s">
        <v>97</v>
      </c>
      <c r="P1877" s="2" t="s">
        <v>950</v>
      </c>
      <c r="Q1877" s="2" t="s">
        <v>99</v>
      </c>
      <c r="R1877" s="2" t="s">
        <v>100</v>
      </c>
      <c r="S1877" s="2" t="s">
        <v>6203</v>
      </c>
      <c r="T1877" s="2" t="s">
        <v>280</v>
      </c>
      <c r="U1877" s="2" t="s">
        <v>1847</v>
      </c>
      <c r="V1877" s="2" t="s">
        <v>146</v>
      </c>
      <c r="W1877" s="2" t="s">
        <v>183</v>
      </c>
      <c r="X1877" s="2" t="s">
        <v>100</v>
      </c>
      <c r="Y1877" s="2" t="s">
        <v>6191</v>
      </c>
      <c r="Z1877" s="4">
        <v>391</v>
      </c>
      <c r="AA1877" s="4">
        <f>=ROUNDDOWN(33.4188034188034,0)</f>
      </c>
      <c r="AB1877" s="5">
        <v>11.7</v>
      </c>
      <c r="AC1877" s="2" t="s">
        <v>326</v>
      </c>
      <c r="AD1877" s="4">
        <v>70</v>
      </c>
      <c r="AE1877" s="4">
        <v>230</v>
      </c>
      <c r="AF1877" s="6">
        <v>67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/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/>
      <c r="BJ1877" s="4">
        <v>330</v>
      </c>
      <c r="BK1877" s="8">
        <v>9692.01</v>
      </c>
      <c r="BL1877" s="2" t="s">
        <v>771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207</v>
      </c>
      <c r="BV1877" s="2" t="s">
        <v>97</v>
      </c>
      <c r="BW1877" s="2" t="s">
        <v>100</v>
      </c>
      <c r="BX1877" s="2" t="s">
        <v>100</v>
      </c>
      <c r="BY1877" s="2" t="s">
        <v>113</v>
      </c>
      <c r="BZ1877" s="2" t="s">
        <v>100</v>
      </c>
    </row>
    <row r="1878">
      <c r="A1878" s="2" t="s">
        <v>6204</v>
      </c>
      <c r="B1878" s="2" t="s">
        <v>5764</v>
      </c>
      <c r="C1878" s="2" t="s">
        <v>5702</v>
      </c>
      <c r="D1878" s="2" t="s">
        <v>4473</v>
      </c>
      <c r="E1878" s="2" t="s">
        <v>5768</v>
      </c>
      <c r="F1878" s="2" t="s">
        <v>6188</v>
      </c>
      <c r="G1878" s="2" t="s">
        <v>6188</v>
      </c>
      <c r="H1878" s="2" t="s">
        <v>6188</v>
      </c>
      <c r="I1878" s="2" t="s">
        <v>6189</v>
      </c>
      <c r="J1878" s="2" t="s">
        <v>247</v>
      </c>
      <c r="K1878" s="2" t="s">
        <v>496</v>
      </c>
      <c r="L1878" s="3">
        <v>33.33</v>
      </c>
      <c r="M1878" s="3">
        <v>35</v>
      </c>
      <c r="N1878" s="3">
        <v>69.99</v>
      </c>
      <c r="O1878" s="2" t="s">
        <v>97</v>
      </c>
      <c r="P1878" s="2" t="s">
        <v>950</v>
      </c>
      <c r="Q1878" s="2" t="s">
        <v>99</v>
      </c>
      <c r="R1878" s="2" t="s">
        <v>100</v>
      </c>
      <c r="S1878" s="2" t="s">
        <v>6203</v>
      </c>
      <c r="T1878" s="2" t="s">
        <v>280</v>
      </c>
      <c r="U1878" s="2" t="s">
        <v>1847</v>
      </c>
      <c r="V1878" s="2" t="s">
        <v>146</v>
      </c>
      <c r="W1878" s="2" t="s">
        <v>183</v>
      </c>
      <c r="X1878" s="2" t="s">
        <v>100</v>
      </c>
      <c r="Y1878" s="2" t="s">
        <v>6191</v>
      </c>
      <c r="Z1878" s="4">
        <v>395</v>
      </c>
      <c r="AA1878" s="4">
        <f>=ROUNDDOWN(16.4583333333333,0)</f>
      </c>
      <c r="AB1878" s="5">
        <v>24</v>
      </c>
      <c r="AC1878" s="2" t="s">
        <v>241</v>
      </c>
      <c r="AD1878" s="4">
        <v>4070</v>
      </c>
      <c r="AE1878" s="4">
        <v>4610</v>
      </c>
      <c r="AF1878" s="6">
        <v>67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/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/>
      <c r="BJ1878" s="4">
        <v>840</v>
      </c>
      <c r="BK1878" s="8">
        <v>30453.44</v>
      </c>
      <c r="BL1878" s="2" t="s">
        <v>6205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207</v>
      </c>
      <c r="BV1878" s="2" t="s">
        <v>97</v>
      </c>
      <c r="BW1878" s="2" t="s">
        <v>100</v>
      </c>
      <c r="BX1878" s="2" t="s">
        <v>100</v>
      </c>
      <c r="BY1878" s="2" t="s">
        <v>113</v>
      </c>
      <c r="BZ1878" s="2" t="s">
        <v>100</v>
      </c>
    </row>
    <row r="1879">
      <c r="A1879" s="2" t="s">
        <v>6206</v>
      </c>
      <c r="B1879" s="2" t="s">
        <v>5764</v>
      </c>
      <c r="C1879" s="2" t="s">
        <v>5702</v>
      </c>
      <c r="D1879" s="2" t="s">
        <v>4473</v>
      </c>
      <c r="E1879" s="2" t="s">
        <v>5768</v>
      </c>
      <c r="F1879" s="2" t="s">
        <v>6188</v>
      </c>
      <c r="G1879" s="2" t="s">
        <v>6188</v>
      </c>
      <c r="H1879" s="2" t="s">
        <v>6188</v>
      </c>
      <c r="I1879" s="2" t="s">
        <v>6189</v>
      </c>
      <c r="J1879" s="2" t="s">
        <v>714</v>
      </c>
      <c r="K1879" s="2" t="s">
        <v>496</v>
      </c>
      <c r="L1879" s="3">
        <v>38.09</v>
      </c>
      <c r="M1879" s="3">
        <v>39.99</v>
      </c>
      <c r="N1879" s="3">
        <v>79.99</v>
      </c>
      <c r="O1879" s="2" t="s">
        <v>97</v>
      </c>
      <c r="P1879" s="2" t="s">
        <v>950</v>
      </c>
      <c r="Q1879" s="2" t="s">
        <v>99</v>
      </c>
      <c r="R1879" s="2" t="s">
        <v>100</v>
      </c>
      <c r="S1879" s="2" t="s">
        <v>6203</v>
      </c>
      <c r="T1879" s="2" t="s">
        <v>280</v>
      </c>
      <c r="U1879" s="2" t="s">
        <v>1847</v>
      </c>
      <c r="V1879" s="2" t="s">
        <v>146</v>
      </c>
      <c r="W1879" s="2" t="s">
        <v>183</v>
      </c>
      <c r="X1879" s="2" t="s">
        <v>100</v>
      </c>
      <c r="Y1879" s="2" t="s">
        <v>6191</v>
      </c>
      <c r="Z1879" s="4">
        <v>733</v>
      </c>
      <c r="AA1879" s="4">
        <f>=ROUNDDOWN(30.5416666666667,0)</f>
      </c>
      <c r="AB1879" s="5">
        <v>24</v>
      </c>
      <c r="AC1879" s="2" t="s">
        <v>241</v>
      </c>
      <c r="AD1879" s="4">
        <v>1430</v>
      </c>
      <c r="AE1879" s="4">
        <v>1790</v>
      </c>
      <c r="AF1879" s="6">
        <v>67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/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/>
      <c r="BJ1879" s="4">
        <v>681</v>
      </c>
      <c r="BK1879" s="8">
        <v>27975.63</v>
      </c>
      <c r="BL1879" s="2" t="s">
        <v>6205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207</v>
      </c>
      <c r="BV1879" s="2" t="s">
        <v>97</v>
      </c>
      <c r="BW1879" s="2" t="s">
        <v>100</v>
      </c>
      <c r="BX1879" s="2" t="s">
        <v>100</v>
      </c>
      <c r="BY1879" s="2" t="s">
        <v>113</v>
      </c>
      <c r="BZ1879" s="2" t="s">
        <v>100</v>
      </c>
    </row>
    <row r="1880">
      <c r="A1880" s="2" t="s">
        <v>6207</v>
      </c>
      <c r="B1880" s="2" t="s">
        <v>5764</v>
      </c>
      <c r="C1880" s="2" t="s">
        <v>5702</v>
      </c>
      <c r="D1880" s="2" t="s">
        <v>4473</v>
      </c>
      <c r="E1880" s="2" t="s">
        <v>5768</v>
      </c>
      <c r="F1880" s="2" t="s">
        <v>6188</v>
      </c>
      <c r="G1880" s="2" t="s">
        <v>6188</v>
      </c>
      <c r="H1880" s="2" t="s">
        <v>6188</v>
      </c>
      <c r="I1880" s="2" t="s">
        <v>6189</v>
      </c>
      <c r="J1880" s="2" t="s">
        <v>1936</v>
      </c>
      <c r="K1880" s="2" t="s">
        <v>1614</v>
      </c>
      <c r="L1880" s="3">
        <v>26.85</v>
      </c>
      <c r="M1880" s="3">
        <v>28.19</v>
      </c>
      <c r="N1880" s="3">
        <v>59.99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6208</v>
      </c>
      <c r="T1880" s="2" t="s">
        <v>280</v>
      </c>
      <c r="U1880" s="2" t="s">
        <v>1847</v>
      </c>
      <c r="V1880" s="2" t="s">
        <v>146</v>
      </c>
      <c r="W1880" s="2" t="s">
        <v>183</v>
      </c>
      <c r="X1880" s="2" t="s">
        <v>100</v>
      </c>
      <c r="Y1880" s="2" t="s">
        <v>6191</v>
      </c>
      <c r="Z1880" s="4">
        <v>466</v>
      </c>
      <c r="AA1880" s="4">
        <f>=ROUNDDOWN(46.1386138613861,0)</f>
      </c>
      <c r="AB1880" s="5">
        <v>10.1</v>
      </c>
      <c r="AC1880" s="2" t="s">
        <v>326</v>
      </c>
      <c r="AD1880" s="4">
        <v>30</v>
      </c>
      <c r="AE1880" s="4">
        <v>180</v>
      </c>
      <c r="AF1880" s="6">
        <v>67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297</v>
      </c>
      <c r="BK1880" s="8">
        <v>8689.12</v>
      </c>
      <c r="BL1880" s="2" t="s">
        <v>771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207</v>
      </c>
      <c r="BV1880" s="2" t="s">
        <v>97</v>
      </c>
      <c r="BW1880" s="2" t="s">
        <v>100</v>
      </c>
      <c r="BX1880" s="2" t="s">
        <v>100</v>
      </c>
      <c r="BY1880" s="2" t="s">
        <v>113</v>
      </c>
      <c r="BZ1880" s="2" t="s">
        <v>100</v>
      </c>
    </row>
    <row r="1881">
      <c r="A1881" s="2" t="s">
        <v>6209</v>
      </c>
      <c r="B1881" s="2" t="s">
        <v>5764</v>
      </c>
      <c r="C1881" s="2" t="s">
        <v>5702</v>
      </c>
      <c r="D1881" s="2" t="s">
        <v>4473</v>
      </c>
      <c r="E1881" s="2" t="s">
        <v>5768</v>
      </c>
      <c r="F1881" s="2" t="s">
        <v>6188</v>
      </c>
      <c r="G1881" s="2" t="s">
        <v>6188</v>
      </c>
      <c r="H1881" s="2" t="s">
        <v>6188</v>
      </c>
      <c r="I1881" s="2" t="s">
        <v>6189</v>
      </c>
      <c r="J1881" s="2" t="s">
        <v>247</v>
      </c>
      <c r="K1881" s="2" t="s">
        <v>1614</v>
      </c>
      <c r="L1881" s="3">
        <v>33.33</v>
      </c>
      <c r="M1881" s="3">
        <v>35</v>
      </c>
      <c r="N1881" s="3">
        <v>69.99</v>
      </c>
      <c r="O1881" s="2" t="s">
        <v>97</v>
      </c>
      <c r="P1881" s="2" t="s">
        <v>98</v>
      </c>
      <c r="Q1881" s="2" t="s">
        <v>99</v>
      </c>
      <c r="R1881" s="2" t="s">
        <v>100</v>
      </c>
      <c r="S1881" s="2" t="s">
        <v>6208</v>
      </c>
      <c r="T1881" s="2" t="s">
        <v>280</v>
      </c>
      <c r="U1881" s="2" t="s">
        <v>1847</v>
      </c>
      <c r="V1881" s="2" t="s">
        <v>146</v>
      </c>
      <c r="W1881" s="2" t="s">
        <v>183</v>
      </c>
      <c r="X1881" s="2" t="s">
        <v>100</v>
      </c>
      <c r="Y1881" s="2" t="s">
        <v>6191</v>
      </c>
      <c r="Z1881" s="4">
        <v>484</v>
      </c>
      <c r="AA1881" s="4">
        <f>=ROUNDDOWN(13.4444444444444,0)</f>
      </c>
      <c r="AB1881" s="5">
        <v>36</v>
      </c>
      <c r="AC1881" s="2" t="s">
        <v>241</v>
      </c>
      <c r="AD1881" s="4">
        <v>3960</v>
      </c>
      <c r="AE1881" s="4">
        <v>4920</v>
      </c>
      <c r="AF1881" s="6">
        <v>67</v>
      </c>
      <c r="AG1881" s="6">
        <v>75</v>
      </c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/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/>
      <c r="BJ1881" s="4">
        <v>1266</v>
      </c>
      <c r="BK1881" s="8">
        <v>45647.59</v>
      </c>
      <c r="BL1881" s="2" t="s">
        <v>6201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207</v>
      </c>
      <c r="BV1881" s="2" t="s">
        <v>97</v>
      </c>
      <c r="BW1881" s="2" t="s">
        <v>100</v>
      </c>
      <c r="BX1881" s="2" t="s">
        <v>100</v>
      </c>
      <c r="BY1881" s="2" t="s">
        <v>113</v>
      </c>
      <c r="BZ1881" s="2" t="s">
        <v>100</v>
      </c>
    </row>
    <row r="1882">
      <c r="A1882" s="2" t="s">
        <v>6210</v>
      </c>
      <c r="B1882" s="2" t="s">
        <v>5764</v>
      </c>
      <c r="C1882" s="2" t="s">
        <v>5702</v>
      </c>
      <c r="D1882" s="2" t="s">
        <v>4473</v>
      </c>
      <c r="E1882" s="2" t="s">
        <v>5768</v>
      </c>
      <c r="F1882" s="2" t="s">
        <v>6188</v>
      </c>
      <c r="G1882" s="2" t="s">
        <v>6188</v>
      </c>
      <c r="H1882" s="2" t="s">
        <v>6188</v>
      </c>
      <c r="I1882" s="2" t="s">
        <v>6189</v>
      </c>
      <c r="J1882" s="2" t="s">
        <v>714</v>
      </c>
      <c r="K1882" s="2" t="s">
        <v>1614</v>
      </c>
      <c r="L1882" s="3">
        <v>38.09</v>
      </c>
      <c r="M1882" s="3">
        <v>39.99</v>
      </c>
      <c r="N1882" s="3">
        <v>79.99</v>
      </c>
      <c r="O1882" s="2" t="s">
        <v>97</v>
      </c>
      <c r="P1882" s="2" t="s">
        <v>98</v>
      </c>
      <c r="Q1882" s="2" t="s">
        <v>99</v>
      </c>
      <c r="R1882" s="2" t="s">
        <v>100</v>
      </c>
      <c r="S1882" s="2" t="s">
        <v>6208</v>
      </c>
      <c r="T1882" s="2" t="s">
        <v>280</v>
      </c>
      <c r="U1882" s="2" t="s">
        <v>1847</v>
      </c>
      <c r="V1882" s="2" t="s">
        <v>146</v>
      </c>
      <c r="W1882" s="2" t="s">
        <v>183</v>
      </c>
      <c r="X1882" s="2" t="s">
        <v>100</v>
      </c>
      <c r="Y1882" s="2" t="s">
        <v>6191</v>
      </c>
      <c r="Z1882" s="4">
        <v>613</v>
      </c>
      <c r="AA1882" s="4">
        <f>=ROUNDDOWN(17.0277777777778,0)</f>
      </c>
      <c r="AB1882" s="5">
        <v>36</v>
      </c>
      <c r="AC1882" s="2" t="s">
        <v>241</v>
      </c>
      <c r="AD1882" s="4">
        <v>1540</v>
      </c>
      <c r="AE1882" s="4">
        <v>2670</v>
      </c>
      <c r="AF1882" s="6">
        <v>67</v>
      </c>
      <c r="AG1882" s="6">
        <v>75</v>
      </c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/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/>
      <c r="BJ1882" s="4">
        <v>1182</v>
      </c>
      <c r="BK1882" s="8">
        <v>48613.08</v>
      </c>
      <c r="BL1882" s="2" t="s">
        <v>6199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207</v>
      </c>
      <c r="BV1882" s="2" t="s">
        <v>97</v>
      </c>
      <c r="BW1882" s="2" t="s">
        <v>100</v>
      </c>
      <c r="BX1882" s="2" t="s">
        <v>100</v>
      </c>
      <c r="BY1882" s="2" t="s">
        <v>113</v>
      </c>
      <c r="BZ1882" s="2" t="s">
        <v>100</v>
      </c>
    </row>
    <row r="1883">
      <c r="A1883" s="2" t="s">
        <v>6211</v>
      </c>
      <c r="B1883" s="2" t="s">
        <v>5764</v>
      </c>
      <c r="C1883" s="2" t="s">
        <v>5702</v>
      </c>
      <c r="D1883" s="2" t="s">
        <v>4473</v>
      </c>
      <c r="E1883" s="2" t="s">
        <v>5768</v>
      </c>
      <c r="F1883" s="2" t="s">
        <v>6188</v>
      </c>
      <c r="G1883" s="2" t="s">
        <v>6188</v>
      </c>
      <c r="H1883" s="2" t="s">
        <v>6188</v>
      </c>
      <c r="I1883" s="2" t="s">
        <v>6189</v>
      </c>
      <c r="J1883" s="2" t="s">
        <v>1936</v>
      </c>
      <c r="K1883" s="2" t="s">
        <v>144</v>
      </c>
      <c r="L1883" s="3">
        <v>26.85</v>
      </c>
      <c r="M1883" s="3">
        <v>28.19</v>
      </c>
      <c r="N1883" s="3">
        <v>59.99</v>
      </c>
      <c r="O1883" s="2" t="s">
        <v>97</v>
      </c>
      <c r="P1883" s="2" t="s">
        <v>950</v>
      </c>
      <c r="Q1883" s="2" t="s">
        <v>99</v>
      </c>
      <c r="R1883" s="2" t="s">
        <v>100</v>
      </c>
      <c r="S1883" s="2" t="s">
        <v>6212</v>
      </c>
      <c r="T1883" s="2" t="s">
        <v>280</v>
      </c>
      <c r="U1883" s="2" t="s">
        <v>1847</v>
      </c>
      <c r="V1883" s="2" t="s">
        <v>146</v>
      </c>
      <c r="W1883" s="2" t="s">
        <v>183</v>
      </c>
      <c r="X1883" s="2" t="s">
        <v>100</v>
      </c>
      <c r="Y1883" s="2" t="s">
        <v>6198</v>
      </c>
      <c r="Z1883" s="4">
        <v>422</v>
      </c>
      <c r="AA1883" s="4">
        <f>=ROUNDDOWN(42.2,0)</f>
      </c>
      <c r="AB1883" s="5">
        <v>10</v>
      </c>
      <c r="AC1883" s="2" t="s">
        <v>326</v>
      </c>
      <c r="AD1883" s="4">
        <v>30</v>
      </c>
      <c r="AE1883" s="4">
        <v>30</v>
      </c>
      <c r="AF1883" s="6">
        <v>67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/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/>
      <c r="BJ1883" s="4">
        <v>243</v>
      </c>
      <c r="BK1883" s="8">
        <v>6990.13</v>
      </c>
      <c r="BL1883" s="2" t="s">
        <v>6213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207</v>
      </c>
      <c r="BV1883" s="2" t="s">
        <v>97</v>
      </c>
      <c r="BW1883" s="2" t="s">
        <v>100</v>
      </c>
      <c r="BX1883" s="2" t="s">
        <v>100</v>
      </c>
      <c r="BY1883" s="2" t="s">
        <v>113</v>
      </c>
      <c r="BZ1883" s="2" t="s">
        <v>100</v>
      </c>
    </row>
    <row r="1884">
      <c r="A1884" s="2" t="s">
        <v>6214</v>
      </c>
      <c r="B1884" s="2" t="s">
        <v>5764</v>
      </c>
      <c r="C1884" s="2" t="s">
        <v>5702</v>
      </c>
      <c r="D1884" s="2" t="s">
        <v>4473</v>
      </c>
      <c r="E1884" s="2" t="s">
        <v>5768</v>
      </c>
      <c r="F1884" s="2" t="s">
        <v>6188</v>
      </c>
      <c r="G1884" s="2" t="s">
        <v>6188</v>
      </c>
      <c r="H1884" s="2" t="s">
        <v>6188</v>
      </c>
      <c r="I1884" s="2" t="s">
        <v>6189</v>
      </c>
      <c r="J1884" s="2" t="s">
        <v>247</v>
      </c>
      <c r="K1884" s="2" t="s">
        <v>144</v>
      </c>
      <c r="L1884" s="3">
        <v>33.33</v>
      </c>
      <c r="M1884" s="3">
        <v>35</v>
      </c>
      <c r="N1884" s="3">
        <v>69.99</v>
      </c>
      <c r="O1884" s="2" t="s">
        <v>97</v>
      </c>
      <c r="P1884" s="2" t="s">
        <v>950</v>
      </c>
      <c r="Q1884" s="2" t="s">
        <v>99</v>
      </c>
      <c r="R1884" s="2" t="s">
        <v>100</v>
      </c>
      <c r="S1884" s="2" t="s">
        <v>6212</v>
      </c>
      <c r="T1884" s="2" t="s">
        <v>280</v>
      </c>
      <c r="U1884" s="2" t="s">
        <v>1847</v>
      </c>
      <c r="V1884" s="2" t="s">
        <v>146</v>
      </c>
      <c r="W1884" s="2" t="s">
        <v>183</v>
      </c>
      <c r="X1884" s="2" t="s">
        <v>100</v>
      </c>
      <c r="Y1884" s="2" t="s">
        <v>6198</v>
      </c>
      <c r="Z1884" s="4">
        <v>493</v>
      </c>
      <c r="AA1884" s="4">
        <f>=ROUNDDOWN(19.72,0)</f>
      </c>
      <c r="AB1884" s="5">
        <v>25</v>
      </c>
      <c r="AC1884" s="2" t="s">
        <v>241</v>
      </c>
      <c r="AD1884" s="4">
        <v>1980</v>
      </c>
      <c r="AE1884" s="4">
        <v>2680</v>
      </c>
      <c r="AF1884" s="6">
        <v>67</v>
      </c>
      <c r="AG1884" s="6">
        <v>75</v>
      </c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/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/>
      <c r="BJ1884" s="4">
        <v>802</v>
      </c>
      <c r="BK1884" s="8">
        <v>28871.76</v>
      </c>
      <c r="BL1884" s="2" t="s">
        <v>6199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207</v>
      </c>
      <c r="BV1884" s="2" t="s">
        <v>97</v>
      </c>
      <c r="BW1884" s="2" t="s">
        <v>100</v>
      </c>
      <c r="BX1884" s="2" t="s">
        <v>100</v>
      </c>
      <c r="BY1884" s="2" t="s">
        <v>113</v>
      </c>
      <c r="BZ1884" s="2" t="s">
        <v>100</v>
      </c>
    </row>
    <row r="1885">
      <c r="A1885" s="2" t="s">
        <v>6215</v>
      </c>
      <c r="B1885" s="2" t="s">
        <v>5764</v>
      </c>
      <c r="C1885" s="2" t="s">
        <v>5702</v>
      </c>
      <c r="D1885" s="2" t="s">
        <v>4473</v>
      </c>
      <c r="E1885" s="2" t="s">
        <v>5768</v>
      </c>
      <c r="F1885" s="2" t="s">
        <v>6188</v>
      </c>
      <c r="G1885" s="2" t="s">
        <v>6188</v>
      </c>
      <c r="H1885" s="2" t="s">
        <v>6188</v>
      </c>
      <c r="I1885" s="2" t="s">
        <v>6189</v>
      </c>
      <c r="J1885" s="2" t="s">
        <v>714</v>
      </c>
      <c r="K1885" s="2" t="s">
        <v>144</v>
      </c>
      <c r="L1885" s="3">
        <v>38.09</v>
      </c>
      <c r="M1885" s="3">
        <v>39.99</v>
      </c>
      <c r="N1885" s="3">
        <v>79.99</v>
      </c>
      <c r="O1885" s="2" t="s">
        <v>97</v>
      </c>
      <c r="P1885" s="2" t="s">
        <v>950</v>
      </c>
      <c r="Q1885" s="2" t="s">
        <v>99</v>
      </c>
      <c r="R1885" s="2" t="s">
        <v>100</v>
      </c>
      <c r="S1885" s="2" t="s">
        <v>6212</v>
      </c>
      <c r="T1885" s="2" t="s">
        <v>280</v>
      </c>
      <c r="U1885" s="2" t="s">
        <v>1847</v>
      </c>
      <c r="V1885" s="2" t="s">
        <v>146</v>
      </c>
      <c r="W1885" s="2" t="s">
        <v>183</v>
      </c>
      <c r="X1885" s="2" t="s">
        <v>100</v>
      </c>
      <c r="Y1885" s="2" t="s">
        <v>6198</v>
      </c>
      <c r="Z1885" s="4">
        <v>582</v>
      </c>
      <c r="AA1885" s="4">
        <f>=ROUNDDOWN(20.0689655172414,0)</f>
      </c>
      <c r="AB1885" s="5">
        <v>29</v>
      </c>
      <c r="AC1885" s="2" t="s">
        <v>241</v>
      </c>
      <c r="AD1885" s="4">
        <v>3520</v>
      </c>
      <c r="AE1885" s="4">
        <v>4410</v>
      </c>
      <c r="AF1885" s="6">
        <v>67</v>
      </c>
      <c r="AG1885" s="6">
        <v>75</v>
      </c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/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/>
      <c r="BJ1885" s="4">
        <v>982</v>
      </c>
      <c r="BK1885" s="8">
        <v>40329.71</v>
      </c>
      <c r="BL1885" s="2" t="s">
        <v>6216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207</v>
      </c>
      <c r="BV1885" s="2" t="s">
        <v>97</v>
      </c>
      <c r="BW1885" s="2" t="s">
        <v>100</v>
      </c>
      <c r="BX1885" s="2" t="s">
        <v>100</v>
      </c>
      <c r="BY1885" s="2" t="s">
        <v>113</v>
      </c>
      <c r="BZ1885" s="2" t="s">
        <v>100</v>
      </c>
    </row>
    <row r="1886">
      <c r="A1886" s="2" t="s">
        <v>6217</v>
      </c>
      <c r="B1886" s="2" t="s">
        <v>5764</v>
      </c>
      <c r="C1886" s="2" t="s">
        <v>5702</v>
      </c>
      <c r="D1886" s="2" t="s">
        <v>4473</v>
      </c>
      <c r="E1886" s="2" t="s">
        <v>5768</v>
      </c>
      <c r="F1886" s="2" t="s">
        <v>6188</v>
      </c>
      <c r="G1886" s="2" t="s">
        <v>6188</v>
      </c>
      <c r="H1886" s="2" t="s">
        <v>6188</v>
      </c>
      <c r="I1886" s="2" t="s">
        <v>6189</v>
      </c>
      <c r="J1886" s="2" t="s">
        <v>1936</v>
      </c>
      <c r="K1886" s="2" t="s">
        <v>189</v>
      </c>
      <c r="L1886" s="3">
        <v>26.85</v>
      </c>
      <c r="M1886" s="3">
        <v>28.19</v>
      </c>
      <c r="N1886" s="3">
        <v>59.99</v>
      </c>
      <c r="O1886" s="2" t="s">
        <v>97</v>
      </c>
      <c r="P1886" s="2" t="s">
        <v>372</v>
      </c>
      <c r="Q1886" s="2" t="s">
        <v>99</v>
      </c>
      <c r="R1886" s="2" t="s">
        <v>100</v>
      </c>
      <c r="S1886" s="2" t="s">
        <v>6218</v>
      </c>
      <c r="T1886" s="2" t="s">
        <v>280</v>
      </c>
      <c r="U1886" s="2" t="s">
        <v>1847</v>
      </c>
      <c r="V1886" s="2" t="s">
        <v>146</v>
      </c>
      <c r="W1886" s="2" t="s">
        <v>183</v>
      </c>
      <c r="X1886" s="2" t="s">
        <v>100</v>
      </c>
      <c r="Y1886" s="2" t="s">
        <v>6198</v>
      </c>
      <c r="Z1886" s="4">
        <v>559</v>
      </c>
      <c r="AA1886" s="4">
        <f>=ROUNDDOWN(29.4210526315789,0)</f>
      </c>
      <c r="AB1886" s="5">
        <v>19</v>
      </c>
      <c r="AC1886" s="2" t="s">
        <v>562</v>
      </c>
      <c r="AD1886" s="4">
        <v>80</v>
      </c>
      <c r="AE1886" s="4">
        <v>360</v>
      </c>
      <c r="AF1886" s="6">
        <v>67</v>
      </c>
      <c r="AG1886" s="6">
        <v>75</v>
      </c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/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/>
      <c r="BJ1886" s="4">
        <v>596</v>
      </c>
      <c r="BK1886" s="8">
        <v>17322.7</v>
      </c>
      <c r="BL1886" s="2" t="s">
        <v>771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207</v>
      </c>
      <c r="BV1886" s="2" t="s">
        <v>97</v>
      </c>
      <c r="BW1886" s="2" t="s">
        <v>100</v>
      </c>
      <c r="BX1886" s="2" t="s">
        <v>100</v>
      </c>
      <c r="BY1886" s="2" t="s">
        <v>113</v>
      </c>
      <c r="BZ1886" s="2" t="s">
        <v>100</v>
      </c>
    </row>
    <row r="1887">
      <c r="A1887" s="2" t="s">
        <v>6219</v>
      </c>
      <c r="B1887" s="2" t="s">
        <v>5764</v>
      </c>
      <c r="C1887" s="2" t="s">
        <v>5702</v>
      </c>
      <c r="D1887" s="2" t="s">
        <v>4473</v>
      </c>
      <c r="E1887" s="2" t="s">
        <v>5768</v>
      </c>
      <c r="F1887" s="2" t="s">
        <v>6188</v>
      </c>
      <c r="G1887" s="2" t="s">
        <v>6188</v>
      </c>
      <c r="H1887" s="2" t="s">
        <v>6188</v>
      </c>
      <c r="I1887" s="2" t="s">
        <v>6189</v>
      </c>
      <c r="J1887" s="2" t="s">
        <v>247</v>
      </c>
      <c r="K1887" s="2" t="s">
        <v>189</v>
      </c>
      <c r="L1887" s="3">
        <v>33.33</v>
      </c>
      <c r="M1887" s="3">
        <v>35</v>
      </c>
      <c r="N1887" s="3">
        <v>69.99</v>
      </c>
      <c r="O1887" s="2" t="s">
        <v>97</v>
      </c>
      <c r="P1887" s="2" t="s">
        <v>372</v>
      </c>
      <c r="Q1887" s="2" t="s">
        <v>99</v>
      </c>
      <c r="R1887" s="2" t="s">
        <v>100</v>
      </c>
      <c r="S1887" s="2" t="s">
        <v>6218</v>
      </c>
      <c r="T1887" s="2" t="s">
        <v>280</v>
      </c>
      <c r="U1887" s="2" t="s">
        <v>1847</v>
      </c>
      <c r="V1887" s="2" t="s">
        <v>146</v>
      </c>
      <c r="W1887" s="2" t="s">
        <v>183</v>
      </c>
      <c r="X1887" s="2" t="s">
        <v>100</v>
      </c>
      <c r="Y1887" s="2" t="s">
        <v>6198</v>
      </c>
      <c r="Z1887" s="4">
        <v>759</v>
      </c>
      <c r="AA1887" s="4">
        <f>=ROUNDDOWN(16.8666666666667,0)</f>
      </c>
      <c r="AB1887" s="5">
        <v>45</v>
      </c>
      <c r="AC1887" s="2" t="s">
        <v>271</v>
      </c>
      <c r="AD1887" s="4">
        <v>300</v>
      </c>
      <c r="AE1887" s="4">
        <v>1900</v>
      </c>
      <c r="AF1887" s="6">
        <v>67</v>
      </c>
      <c r="AG1887" s="6">
        <v>75</v>
      </c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/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/>
      <c r="BJ1887" s="4">
        <v>1768</v>
      </c>
      <c r="BK1887" s="8">
        <v>64119.67</v>
      </c>
      <c r="BL1887" s="2" t="s">
        <v>6205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207</v>
      </c>
      <c r="BV1887" s="2" t="s">
        <v>97</v>
      </c>
      <c r="BW1887" s="2" t="s">
        <v>100</v>
      </c>
      <c r="BX1887" s="2" t="s">
        <v>100</v>
      </c>
      <c r="BY1887" s="2" t="s">
        <v>113</v>
      </c>
      <c r="BZ1887" s="2" t="s">
        <v>100</v>
      </c>
    </row>
    <row r="1888">
      <c r="A1888" s="2" t="s">
        <v>6220</v>
      </c>
      <c r="B1888" s="2" t="s">
        <v>5764</v>
      </c>
      <c r="C1888" s="2" t="s">
        <v>5702</v>
      </c>
      <c r="D1888" s="2" t="s">
        <v>4473</v>
      </c>
      <c r="E1888" s="2" t="s">
        <v>5768</v>
      </c>
      <c r="F1888" s="2" t="s">
        <v>6188</v>
      </c>
      <c r="G1888" s="2" t="s">
        <v>6188</v>
      </c>
      <c r="H1888" s="2" t="s">
        <v>6188</v>
      </c>
      <c r="I1888" s="2" t="s">
        <v>6189</v>
      </c>
      <c r="J1888" s="2" t="s">
        <v>714</v>
      </c>
      <c r="K1888" s="2" t="s">
        <v>189</v>
      </c>
      <c r="L1888" s="3">
        <v>38.09</v>
      </c>
      <c r="M1888" s="3">
        <v>39.99</v>
      </c>
      <c r="N1888" s="3">
        <v>79.99</v>
      </c>
      <c r="O1888" s="2" t="s">
        <v>97</v>
      </c>
      <c r="P1888" s="2" t="s">
        <v>372</v>
      </c>
      <c r="Q1888" s="2" t="s">
        <v>99</v>
      </c>
      <c r="R1888" s="2" t="s">
        <v>100</v>
      </c>
      <c r="S1888" s="2" t="s">
        <v>6218</v>
      </c>
      <c r="T1888" s="2" t="s">
        <v>280</v>
      </c>
      <c r="U1888" s="2" t="s">
        <v>1847</v>
      </c>
      <c r="V1888" s="2" t="s">
        <v>146</v>
      </c>
      <c r="W1888" s="2" t="s">
        <v>183</v>
      </c>
      <c r="X1888" s="2" t="s">
        <v>100</v>
      </c>
      <c r="Y1888" s="2" t="s">
        <v>6198</v>
      </c>
      <c r="Z1888" s="4">
        <v>823</v>
      </c>
      <c r="AA1888" s="4">
        <f>=ROUNDDOWN(18.2888888888889,0)</f>
      </c>
      <c r="AB1888" s="5">
        <v>45</v>
      </c>
      <c r="AC1888" s="2" t="s">
        <v>241</v>
      </c>
      <c r="AD1888" s="4">
        <v>2200</v>
      </c>
      <c r="AE1888" s="4">
        <v>3290</v>
      </c>
      <c r="AF1888" s="6">
        <v>67</v>
      </c>
      <c r="AG1888" s="6">
        <v>75</v>
      </c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/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/>
      <c r="BJ1888" s="4">
        <v>1393</v>
      </c>
      <c r="BK1888" s="8">
        <v>57706.55</v>
      </c>
      <c r="BL1888" s="2" t="s">
        <v>6221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207</v>
      </c>
      <c r="BV1888" s="2" t="s">
        <v>97</v>
      </c>
      <c r="BW1888" s="2" t="s">
        <v>100</v>
      </c>
      <c r="BX1888" s="2" t="s">
        <v>100</v>
      </c>
      <c r="BY1888" s="2" t="s">
        <v>113</v>
      </c>
      <c r="BZ1888" s="2" t="s">
        <v>100</v>
      </c>
    </row>
    <row r="1889">
      <c r="A1889" s="2" t="s">
        <v>6222</v>
      </c>
      <c r="B1889" s="2" t="s">
        <v>5764</v>
      </c>
      <c r="C1889" s="2" t="s">
        <v>88</v>
      </c>
      <c r="D1889" s="2" t="s">
        <v>4473</v>
      </c>
      <c r="E1889" s="2" t="s">
        <v>5768</v>
      </c>
      <c r="F1889" s="2" t="s">
        <v>6223</v>
      </c>
      <c r="G1889" s="2" t="s">
        <v>6223</v>
      </c>
      <c r="H1889" s="2" t="s">
        <v>6223</v>
      </c>
      <c r="I1889" s="2" t="s">
        <v>6189</v>
      </c>
      <c r="J1889" s="2" t="s">
        <v>1936</v>
      </c>
      <c r="K1889" s="2" t="s">
        <v>144</v>
      </c>
      <c r="L1889" s="3">
        <v>18.39</v>
      </c>
      <c r="M1889" s="3">
        <v>19.31</v>
      </c>
      <c r="N1889" s="3">
        <v>34.99</v>
      </c>
      <c r="O1889" s="2" t="s">
        <v>97</v>
      </c>
      <c r="P1889" s="2" t="s">
        <v>119</v>
      </c>
      <c r="Q1889" s="2" t="s">
        <v>99</v>
      </c>
      <c r="R1889" s="2" t="s">
        <v>100</v>
      </c>
      <c r="S1889" s="2" t="s">
        <v>6224</v>
      </c>
      <c r="T1889" s="2" t="s">
        <v>280</v>
      </c>
      <c r="U1889" s="2" t="s">
        <v>100</v>
      </c>
      <c r="V1889" s="2" t="s">
        <v>146</v>
      </c>
      <c r="W1889" s="2" t="s">
        <v>183</v>
      </c>
      <c r="X1889" s="2" t="s">
        <v>100</v>
      </c>
      <c r="Y1889" s="2" t="s">
        <v>240</v>
      </c>
      <c r="Z1889" s="4">
        <v>413</v>
      </c>
      <c r="AA1889" s="4">
        <f>=ROUNDDOWN(41.3,0)</f>
      </c>
      <c r="AB1889" s="5">
        <v>10</v>
      </c>
      <c r="AC1889" s="2" t="s">
        <v>271</v>
      </c>
      <c r="AD1889" s="4">
        <v>150</v>
      </c>
      <c r="AE1889" s="4">
        <v>150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>
        <v>123</v>
      </c>
      <c r="AQ1889" s="8">
        <v>1569.48</v>
      </c>
      <c r="AR1889" s="4"/>
      <c r="AS1889" s="8"/>
      <c r="AT1889" s="7"/>
      <c r="AU1889" s="7"/>
      <c r="AV1889" s="4">
        <v>278</v>
      </c>
      <c r="AW1889" s="8">
        <v>4244.43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0.3698</v>
      </c>
      <c r="BC1889" s="4">
        <v>1072</v>
      </c>
      <c r="BD1889" s="8">
        <v>16076.84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0.264</v>
      </c>
      <c r="BJ1889" s="4">
        <v>353</v>
      </c>
      <c r="BK1889" s="8">
        <v>5114.51</v>
      </c>
      <c r="BL1889" s="2" t="s">
        <v>6225</v>
      </c>
      <c r="BM1889" s="7">
        <v>0.3484</v>
      </c>
      <c r="BN1889" s="7">
        <v>0.3069</v>
      </c>
      <c r="BO1889" s="4">
        <v>123</v>
      </c>
      <c r="BP1889" s="8">
        <v>1569.48</v>
      </c>
      <c r="BQ1889" s="4"/>
      <c r="BR1889" s="8"/>
      <c r="BS1889" s="7"/>
      <c r="BT1889" s="7"/>
      <c r="BU1889" s="2" t="s">
        <v>109</v>
      </c>
      <c r="BV1889" s="2" t="s">
        <v>110</v>
      </c>
      <c r="BW1889" s="2" t="s">
        <v>4840</v>
      </c>
      <c r="BX1889" s="2" t="s">
        <v>2001</v>
      </c>
      <c r="BY1889" s="2" t="s">
        <v>113</v>
      </c>
      <c r="BZ1889" s="2" t="s">
        <v>100</v>
      </c>
    </row>
    <row r="1890">
      <c r="A1890" s="2" t="s">
        <v>6226</v>
      </c>
      <c r="B1890" s="2" t="s">
        <v>5764</v>
      </c>
      <c r="C1890" s="2" t="s">
        <v>88</v>
      </c>
      <c r="D1890" s="2" t="s">
        <v>4473</v>
      </c>
      <c r="E1890" s="2" t="s">
        <v>5768</v>
      </c>
      <c r="F1890" s="2" t="s">
        <v>6223</v>
      </c>
      <c r="G1890" s="2" t="s">
        <v>6223</v>
      </c>
      <c r="H1890" s="2" t="s">
        <v>6223</v>
      </c>
      <c r="I1890" s="2" t="s">
        <v>6189</v>
      </c>
      <c r="J1890" s="2" t="s">
        <v>247</v>
      </c>
      <c r="K1890" s="2" t="s">
        <v>144</v>
      </c>
      <c r="L1890" s="3">
        <v>21.27</v>
      </c>
      <c r="M1890" s="3">
        <v>22.33</v>
      </c>
      <c r="N1890" s="3">
        <v>39.99</v>
      </c>
      <c r="O1890" s="2" t="s">
        <v>97</v>
      </c>
      <c r="P1890" s="2" t="s">
        <v>119</v>
      </c>
      <c r="Q1890" s="2" t="s">
        <v>99</v>
      </c>
      <c r="R1890" s="2" t="s">
        <v>100</v>
      </c>
      <c r="S1890" s="2" t="s">
        <v>6224</v>
      </c>
      <c r="T1890" s="2" t="s">
        <v>280</v>
      </c>
      <c r="U1890" s="2" t="s">
        <v>100</v>
      </c>
      <c r="V1890" s="2" t="s">
        <v>146</v>
      </c>
      <c r="W1890" s="2" t="s">
        <v>183</v>
      </c>
      <c r="X1890" s="2" t="s">
        <v>100</v>
      </c>
      <c r="Y1890" s="2" t="s">
        <v>240</v>
      </c>
      <c r="Z1890" s="4">
        <v>995</v>
      </c>
      <c r="AA1890" s="4">
        <f>=ROUNDDOWN(52.3684210526316,0)</f>
      </c>
      <c r="AB1890" s="5">
        <v>19</v>
      </c>
      <c r="AC1890" s="2" t="s">
        <v>271</v>
      </c>
      <c r="AD1890" s="4">
        <v>150</v>
      </c>
      <c r="AE1890" s="4">
        <v>150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>
        <v>36</v>
      </c>
      <c r="AQ1890" s="8">
        <v>550.8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0.1298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505</v>
      </c>
      <c r="BK1890" s="8">
        <v>9255.64</v>
      </c>
      <c r="BL1890" s="2" t="s">
        <v>6227</v>
      </c>
      <c r="BM1890" s="7">
        <v>0.0713</v>
      </c>
      <c r="BN1890" s="7">
        <v>0.0595</v>
      </c>
      <c r="BO1890" s="4">
        <v>36</v>
      </c>
      <c r="BP1890" s="8">
        <v>550.8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4840</v>
      </c>
      <c r="BX1890" s="2" t="s">
        <v>6228</v>
      </c>
      <c r="BY1890" s="2" t="s">
        <v>113</v>
      </c>
      <c r="BZ1890" s="2" t="s">
        <v>100</v>
      </c>
    </row>
    <row r="1891">
      <c r="A1891" s="2" t="s">
        <v>6229</v>
      </c>
      <c r="B1891" s="2" t="s">
        <v>5764</v>
      </c>
      <c r="C1891" s="2" t="s">
        <v>88</v>
      </c>
      <c r="D1891" s="2" t="s">
        <v>4473</v>
      </c>
      <c r="E1891" s="2" t="s">
        <v>5768</v>
      </c>
      <c r="F1891" s="2" t="s">
        <v>6223</v>
      </c>
      <c r="G1891" s="2" t="s">
        <v>6223</v>
      </c>
      <c r="H1891" s="2" t="s">
        <v>6223</v>
      </c>
      <c r="I1891" s="2" t="s">
        <v>6189</v>
      </c>
      <c r="J1891" s="2" t="s">
        <v>714</v>
      </c>
      <c r="K1891" s="2" t="s">
        <v>144</v>
      </c>
      <c r="L1891" s="3">
        <v>24.14</v>
      </c>
      <c r="M1891" s="3">
        <v>25.35</v>
      </c>
      <c r="N1891" s="3">
        <v>44.99</v>
      </c>
      <c r="O1891" s="2" t="s">
        <v>97</v>
      </c>
      <c r="P1891" s="2" t="s">
        <v>119</v>
      </c>
      <c r="Q1891" s="2" t="s">
        <v>99</v>
      </c>
      <c r="R1891" s="2" t="s">
        <v>100</v>
      </c>
      <c r="S1891" s="2" t="s">
        <v>6224</v>
      </c>
      <c r="T1891" s="2" t="s">
        <v>280</v>
      </c>
      <c r="U1891" s="2" t="s">
        <v>100</v>
      </c>
      <c r="V1891" s="2" t="s">
        <v>146</v>
      </c>
      <c r="W1891" s="2" t="s">
        <v>183</v>
      </c>
      <c r="X1891" s="2" t="s">
        <v>100</v>
      </c>
      <c r="Y1891" s="2" t="s">
        <v>240</v>
      </c>
      <c r="Z1891" s="4">
        <v>643</v>
      </c>
      <c r="AA1891" s="4">
        <f>=ROUNDDOWN(30.6190476190476,0)</f>
      </c>
      <c r="AB1891" s="5">
        <v>21</v>
      </c>
      <c r="AC1891" s="2" t="s">
        <v>271</v>
      </c>
      <c r="AD1891" s="4">
        <v>200</v>
      </c>
      <c r="AE1891" s="4">
        <v>600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>
        <v>119</v>
      </c>
      <c r="AQ1891" s="8">
        <v>2124.15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0.5005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631</v>
      </c>
      <c r="BK1891" s="8">
        <v>12969.62</v>
      </c>
      <c r="BL1891" s="2" t="s">
        <v>6230</v>
      </c>
      <c r="BM1891" s="7">
        <v>0.1886</v>
      </c>
      <c r="BN1891" s="7">
        <v>0.1638</v>
      </c>
      <c r="BO1891" s="4">
        <v>119</v>
      </c>
      <c r="BP1891" s="8">
        <v>2124.15</v>
      </c>
      <c r="BQ1891" s="4"/>
      <c r="BR1891" s="8"/>
      <c r="BS1891" s="7"/>
      <c r="BT1891" s="7"/>
      <c r="BU1891" s="2" t="s">
        <v>109</v>
      </c>
      <c r="BV1891" s="2" t="s">
        <v>110</v>
      </c>
      <c r="BW1891" s="2" t="s">
        <v>4840</v>
      </c>
      <c r="BX1891" s="2" t="s">
        <v>4794</v>
      </c>
      <c r="BY1891" s="2" t="s">
        <v>113</v>
      </c>
      <c r="BZ1891" s="2" t="s">
        <v>100</v>
      </c>
    </row>
    <row r="1892">
      <c r="A1892" s="2" t="s">
        <v>6231</v>
      </c>
      <c r="B1892" s="2" t="s">
        <v>5764</v>
      </c>
      <c r="C1892" s="2" t="s">
        <v>88</v>
      </c>
      <c r="D1892" s="2" t="s">
        <v>4473</v>
      </c>
      <c r="E1892" s="2" t="s">
        <v>5768</v>
      </c>
      <c r="F1892" s="2" t="s">
        <v>6223</v>
      </c>
      <c r="G1892" s="2" t="s">
        <v>6223</v>
      </c>
      <c r="H1892" s="2" t="s">
        <v>6223</v>
      </c>
      <c r="I1892" s="2" t="s">
        <v>6189</v>
      </c>
      <c r="J1892" s="2" t="s">
        <v>1936</v>
      </c>
      <c r="K1892" s="2" t="s">
        <v>118</v>
      </c>
      <c r="L1892" s="3">
        <v>18.39</v>
      </c>
      <c r="M1892" s="3">
        <v>19.31</v>
      </c>
      <c r="N1892" s="3">
        <v>34.99</v>
      </c>
      <c r="O1892" s="2" t="s">
        <v>97</v>
      </c>
      <c r="P1892" s="2" t="s">
        <v>119</v>
      </c>
      <c r="Q1892" s="2" t="s">
        <v>99</v>
      </c>
      <c r="R1892" s="2" t="s">
        <v>100</v>
      </c>
      <c r="S1892" s="2" t="s">
        <v>6232</v>
      </c>
      <c r="T1892" s="2" t="s">
        <v>280</v>
      </c>
      <c r="U1892" s="2" t="s">
        <v>100</v>
      </c>
      <c r="V1892" s="2" t="s">
        <v>146</v>
      </c>
      <c r="W1892" s="2" t="s">
        <v>183</v>
      </c>
      <c r="X1892" s="2" t="s">
        <v>100</v>
      </c>
      <c r="Y1892" s="2" t="s">
        <v>240</v>
      </c>
      <c r="Z1892" s="4">
        <v>505</v>
      </c>
      <c r="AA1892" s="4">
        <f>=ROUNDDOWN(42.0833333333333,0)</f>
      </c>
      <c r="AB1892" s="5">
        <v>12</v>
      </c>
      <c r="AC1892" s="2" t="s">
        <v>271</v>
      </c>
      <c r="AD1892" s="4">
        <v>140</v>
      </c>
      <c r="AE1892" s="4">
        <v>140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>
        <v>5</v>
      </c>
      <c r="AQ1892" s="8">
        <v>63.8</v>
      </c>
      <c r="AR1892" s="4"/>
      <c r="AS1892" s="8"/>
      <c r="AT1892" s="7"/>
      <c r="AU1892" s="7"/>
      <c r="AV1892" s="4">
        <v>256</v>
      </c>
      <c r="AW1892" s="8">
        <v>3932.15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0.0162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0.2446</v>
      </c>
      <c r="BJ1892" s="4">
        <v>386</v>
      </c>
      <c r="BK1892" s="8">
        <v>6060.24</v>
      </c>
      <c r="BL1892" s="2" t="s">
        <v>6233</v>
      </c>
      <c r="BM1892" s="7">
        <v>0.013</v>
      </c>
      <c r="BN1892" s="7">
        <v>0.0105</v>
      </c>
      <c r="BO1892" s="4">
        <v>5</v>
      </c>
      <c r="BP1892" s="8">
        <v>63.8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4840</v>
      </c>
      <c r="BX1892" s="2" t="s">
        <v>6234</v>
      </c>
      <c r="BY1892" s="2" t="s">
        <v>113</v>
      </c>
      <c r="BZ1892" s="2" t="s">
        <v>100</v>
      </c>
    </row>
    <row r="1893">
      <c r="A1893" s="2" t="s">
        <v>6235</v>
      </c>
      <c r="B1893" s="2" t="s">
        <v>5764</v>
      </c>
      <c r="C1893" s="2" t="s">
        <v>88</v>
      </c>
      <c r="D1893" s="2" t="s">
        <v>4473</v>
      </c>
      <c r="E1893" s="2" t="s">
        <v>5768</v>
      </c>
      <c r="F1893" s="2" t="s">
        <v>6223</v>
      </c>
      <c r="G1893" s="2" t="s">
        <v>6223</v>
      </c>
      <c r="H1893" s="2" t="s">
        <v>6223</v>
      </c>
      <c r="I1893" s="2" t="s">
        <v>6189</v>
      </c>
      <c r="J1893" s="2" t="s">
        <v>247</v>
      </c>
      <c r="K1893" s="2" t="s">
        <v>118</v>
      </c>
      <c r="L1893" s="3">
        <v>21.27</v>
      </c>
      <c r="M1893" s="3">
        <v>22.33</v>
      </c>
      <c r="N1893" s="3">
        <v>39.99</v>
      </c>
      <c r="O1893" s="2" t="s">
        <v>97</v>
      </c>
      <c r="P1893" s="2" t="s">
        <v>119</v>
      </c>
      <c r="Q1893" s="2" t="s">
        <v>99</v>
      </c>
      <c r="R1893" s="2" t="s">
        <v>100</v>
      </c>
      <c r="S1893" s="2" t="s">
        <v>6232</v>
      </c>
      <c r="T1893" s="2" t="s">
        <v>280</v>
      </c>
      <c r="U1893" s="2" t="s">
        <v>100</v>
      </c>
      <c r="V1893" s="2" t="s">
        <v>146</v>
      </c>
      <c r="W1893" s="2" t="s">
        <v>183</v>
      </c>
      <c r="X1893" s="2" t="s">
        <v>100</v>
      </c>
      <c r="Y1893" s="2" t="s">
        <v>240</v>
      </c>
      <c r="Z1893" s="4">
        <v>980</v>
      </c>
      <c r="AA1893" s="4">
        <f>=ROUNDDOWN(28,0)</f>
      </c>
      <c r="AB1893" s="5">
        <v>35</v>
      </c>
      <c r="AC1893" s="2" t="s">
        <v>271</v>
      </c>
      <c r="AD1893" s="4">
        <v>230</v>
      </c>
      <c r="AE1893" s="4">
        <v>830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>
        <v>240</v>
      </c>
      <c r="AQ1893" s="8">
        <v>3672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0.9338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1338</v>
      </c>
      <c r="BK1893" s="8">
        <v>22186.33</v>
      </c>
      <c r="BL1893" s="2" t="s">
        <v>6236</v>
      </c>
      <c r="BM1893" s="7">
        <v>0.1794</v>
      </c>
      <c r="BN1893" s="7">
        <v>0.1655</v>
      </c>
      <c r="BO1893" s="4">
        <v>240</v>
      </c>
      <c r="BP1893" s="8">
        <v>3672</v>
      </c>
      <c r="BQ1893" s="4"/>
      <c r="BR1893" s="8"/>
      <c r="BS1893" s="7"/>
      <c r="BT1893" s="7"/>
      <c r="BU1893" s="2" t="s">
        <v>109</v>
      </c>
      <c r="BV1893" s="2" t="s">
        <v>110</v>
      </c>
      <c r="BW1893" s="2" t="s">
        <v>4840</v>
      </c>
      <c r="BX1893" s="2" t="s">
        <v>6034</v>
      </c>
      <c r="BY1893" s="2" t="s">
        <v>113</v>
      </c>
      <c r="BZ1893" s="2" t="s">
        <v>100</v>
      </c>
    </row>
    <row r="1894">
      <c r="A1894" s="2" t="s">
        <v>6237</v>
      </c>
      <c r="B1894" s="2" t="s">
        <v>5764</v>
      </c>
      <c r="C1894" s="2" t="s">
        <v>88</v>
      </c>
      <c r="D1894" s="2" t="s">
        <v>4473</v>
      </c>
      <c r="E1894" s="2" t="s">
        <v>5768</v>
      </c>
      <c r="F1894" s="2" t="s">
        <v>6223</v>
      </c>
      <c r="G1894" s="2" t="s">
        <v>6223</v>
      </c>
      <c r="H1894" s="2" t="s">
        <v>6223</v>
      </c>
      <c r="I1894" s="2" t="s">
        <v>6189</v>
      </c>
      <c r="J1894" s="2" t="s">
        <v>714</v>
      </c>
      <c r="K1894" s="2" t="s">
        <v>118</v>
      </c>
      <c r="L1894" s="3">
        <v>24.14</v>
      </c>
      <c r="M1894" s="3">
        <v>25.35</v>
      </c>
      <c r="N1894" s="3">
        <v>44.99</v>
      </c>
      <c r="O1894" s="2" t="s">
        <v>97</v>
      </c>
      <c r="P1894" s="2" t="s">
        <v>119</v>
      </c>
      <c r="Q1894" s="2" t="s">
        <v>99</v>
      </c>
      <c r="R1894" s="2" t="s">
        <v>100</v>
      </c>
      <c r="S1894" s="2" t="s">
        <v>6232</v>
      </c>
      <c r="T1894" s="2" t="s">
        <v>280</v>
      </c>
      <c r="U1894" s="2" t="s">
        <v>100</v>
      </c>
      <c r="V1894" s="2" t="s">
        <v>146</v>
      </c>
      <c r="W1894" s="2" t="s">
        <v>183</v>
      </c>
      <c r="X1894" s="2" t="s">
        <v>100</v>
      </c>
      <c r="Y1894" s="2" t="s">
        <v>240</v>
      </c>
      <c r="Z1894" s="4">
        <v>745</v>
      </c>
      <c r="AA1894" s="4">
        <f>=ROUNDDOWN(53.2142857142857,0)</f>
      </c>
      <c r="AB1894" s="5">
        <v>14</v>
      </c>
      <c r="AC1894" s="2" t="s">
        <v>271</v>
      </c>
      <c r="AD1894" s="4">
        <v>130</v>
      </c>
      <c r="AE1894" s="4">
        <v>130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>
        <v>11</v>
      </c>
      <c r="AQ1894" s="8">
        <v>196.35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0.0499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459</v>
      </c>
      <c r="BK1894" s="8">
        <v>9916.66</v>
      </c>
      <c r="BL1894" s="2" t="s">
        <v>6238</v>
      </c>
      <c r="BM1894" s="7">
        <v>0.024</v>
      </c>
      <c r="BN1894" s="7">
        <v>0.0198</v>
      </c>
      <c r="BO1894" s="4">
        <v>11</v>
      </c>
      <c r="BP1894" s="8">
        <v>196.35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4840</v>
      </c>
      <c r="BX1894" s="2" t="s">
        <v>1526</v>
      </c>
      <c r="BY1894" s="2" t="s">
        <v>113</v>
      </c>
      <c r="BZ1894" s="2" t="s">
        <v>100</v>
      </c>
    </row>
    <row r="1895">
      <c r="A1895" s="2" t="s">
        <v>6239</v>
      </c>
      <c r="B1895" s="2" t="s">
        <v>5764</v>
      </c>
      <c r="C1895" s="2" t="s">
        <v>88</v>
      </c>
      <c r="D1895" s="2" t="s">
        <v>4473</v>
      </c>
      <c r="E1895" s="2" t="s">
        <v>5768</v>
      </c>
      <c r="F1895" s="2" t="s">
        <v>6223</v>
      </c>
      <c r="G1895" s="2" t="s">
        <v>6223</v>
      </c>
      <c r="H1895" s="2" t="s">
        <v>6223</v>
      </c>
      <c r="I1895" s="2" t="s">
        <v>6189</v>
      </c>
      <c r="J1895" s="2" t="s">
        <v>1936</v>
      </c>
      <c r="K1895" s="2" t="s">
        <v>198</v>
      </c>
      <c r="L1895" s="3">
        <v>18.39</v>
      </c>
      <c r="M1895" s="3">
        <v>19.31</v>
      </c>
      <c r="N1895" s="3">
        <v>34.99</v>
      </c>
      <c r="O1895" s="2" t="s">
        <v>97</v>
      </c>
      <c r="P1895" s="2" t="s">
        <v>119</v>
      </c>
      <c r="Q1895" s="2" t="s">
        <v>99</v>
      </c>
      <c r="R1895" s="2" t="s">
        <v>100</v>
      </c>
      <c r="S1895" s="2" t="s">
        <v>6240</v>
      </c>
      <c r="T1895" s="2" t="s">
        <v>280</v>
      </c>
      <c r="U1895" s="2" t="s">
        <v>100</v>
      </c>
      <c r="V1895" s="2" t="s">
        <v>146</v>
      </c>
      <c r="W1895" s="2" t="s">
        <v>183</v>
      </c>
      <c r="X1895" s="2" t="s">
        <v>100</v>
      </c>
      <c r="Y1895" s="2" t="s">
        <v>352</v>
      </c>
      <c r="Z1895" s="4">
        <v>797</v>
      </c>
      <c r="AA1895" s="4">
        <f>=ROUNDDOWN(37.9523809523809,0)</f>
      </c>
      <c r="AB1895" s="5">
        <v>21</v>
      </c>
      <c r="AC1895" s="2" t="s">
        <v>271</v>
      </c>
      <c r="AD1895" s="4">
        <v>180</v>
      </c>
      <c r="AE1895" s="4">
        <v>180</v>
      </c>
      <c r="AF1895" s="6">
        <v>65</v>
      </c>
      <c r="AG1895" s="6"/>
      <c r="AH1895" s="7">
        <v>0.7594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>
        <v>178</v>
      </c>
      <c r="AQ1895" s="8">
        <v>2271.28</v>
      </c>
      <c r="AR1895" s="4"/>
      <c r="AS1895" s="8"/>
      <c r="AT1895" s="7"/>
      <c r="AU1895" s="7"/>
      <c r="AV1895" s="4">
        <v>243</v>
      </c>
      <c r="AW1895" s="8">
        <v>3431.53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0.6619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0.2134</v>
      </c>
      <c r="BJ1895" s="4">
        <v>613</v>
      </c>
      <c r="BK1895" s="8">
        <v>9006.85</v>
      </c>
      <c r="BL1895" s="2" t="s">
        <v>6241</v>
      </c>
      <c r="BM1895" s="7">
        <v>0.2904</v>
      </c>
      <c r="BN1895" s="7">
        <v>0.2522</v>
      </c>
      <c r="BO1895" s="4">
        <v>178</v>
      </c>
      <c r="BP1895" s="8">
        <v>2271.28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4840</v>
      </c>
      <c r="BX1895" s="2" t="s">
        <v>5775</v>
      </c>
      <c r="BY1895" s="2" t="s">
        <v>113</v>
      </c>
      <c r="BZ1895" s="2" t="s">
        <v>100</v>
      </c>
    </row>
    <row r="1896">
      <c r="A1896" s="2" t="s">
        <v>6242</v>
      </c>
      <c r="B1896" s="2" t="s">
        <v>5764</v>
      </c>
      <c r="C1896" s="2" t="s">
        <v>88</v>
      </c>
      <c r="D1896" s="2" t="s">
        <v>4473</v>
      </c>
      <c r="E1896" s="2" t="s">
        <v>5768</v>
      </c>
      <c r="F1896" s="2" t="s">
        <v>6223</v>
      </c>
      <c r="G1896" s="2" t="s">
        <v>6223</v>
      </c>
      <c r="H1896" s="2" t="s">
        <v>6223</v>
      </c>
      <c r="I1896" s="2" t="s">
        <v>6189</v>
      </c>
      <c r="J1896" s="2" t="s">
        <v>714</v>
      </c>
      <c r="K1896" s="2" t="s">
        <v>198</v>
      </c>
      <c r="L1896" s="3">
        <v>24.14</v>
      </c>
      <c r="M1896" s="3">
        <v>25.35</v>
      </c>
      <c r="N1896" s="3">
        <v>44.99</v>
      </c>
      <c r="O1896" s="2" t="s">
        <v>97</v>
      </c>
      <c r="P1896" s="2" t="s">
        <v>119</v>
      </c>
      <c r="Q1896" s="2" t="s">
        <v>99</v>
      </c>
      <c r="R1896" s="2" t="s">
        <v>100</v>
      </c>
      <c r="S1896" s="2" t="s">
        <v>6240</v>
      </c>
      <c r="T1896" s="2" t="s">
        <v>280</v>
      </c>
      <c r="U1896" s="2" t="s">
        <v>100</v>
      </c>
      <c r="V1896" s="2" t="s">
        <v>146</v>
      </c>
      <c r="W1896" s="2" t="s">
        <v>183</v>
      </c>
      <c r="X1896" s="2" t="s">
        <v>100</v>
      </c>
      <c r="Y1896" s="2" t="s">
        <v>240</v>
      </c>
      <c r="Z1896" s="4">
        <v>821</v>
      </c>
      <c r="AA1896" s="4">
        <f>=ROUNDDOWN(41.05,0)</f>
      </c>
      <c r="AB1896" s="5">
        <v>20</v>
      </c>
      <c r="AC1896" s="2" t="s">
        <v>271</v>
      </c>
      <c r="AD1896" s="4">
        <v>250</v>
      </c>
      <c r="AE1896" s="4">
        <v>450</v>
      </c>
      <c r="AF1896" s="6">
        <v>65</v>
      </c>
      <c r="AG1896" s="6"/>
      <c r="AH1896" s="7">
        <v>0.8503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>
        <v>65</v>
      </c>
      <c r="AQ1896" s="8">
        <v>1160.25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0.3381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715</v>
      </c>
      <c r="BK1896" s="8">
        <v>14567.54</v>
      </c>
      <c r="BL1896" s="2" t="s">
        <v>6243</v>
      </c>
      <c r="BM1896" s="7">
        <v>0.0909</v>
      </c>
      <c r="BN1896" s="7">
        <v>0.0796</v>
      </c>
      <c r="BO1896" s="4">
        <v>65</v>
      </c>
      <c r="BP1896" s="8">
        <v>1160.25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4840</v>
      </c>
      <c r="BX1896" s="2" t="s">
        <v>1125</v>
      </c>
      <c r="BY1896" s="2" t="s">
        <v>113</v>
      </c>
      <c r="BZ1896" s="2" t="s">
        <v>100</v>
      </c>
    </row>
    <row r="1897">
      <c r="A1897" s="2" t="s">
        <v>6244</v>
      </c>
      <c r="B1897" s="2" t="s">
        <v>5764</v>
      </c>
      <c r="C1897" s="2" t="s">
        <v>88</v>
      </c>
      <c r="D1897" s="2" t="s">
        <v>4473</v>
      </c>
      <c r="E1897" s="2" t="s">
        <v>5768</v>
      </c>
      <c r="F1897" s="2" t="s">
        <v>6223</v>
      </c>
      <c r="G1897" s="2" t="s">
        <v>6223</v>
      </c>
      <c r="H1897" s="2" t="s">
        <v>6223</v>
      </c>
      <c r="I1897" s="2" t="s">
        <v>6189</v>
      </c>
      <c r="J1897" s="2" t="s">
        <v>1936</v>
      </c>
      <c r="K1897" s="2" t="s">
        <v>604</v>
      </c>
      <c r="L1897" s="3">
        <v>18.39</v>
      </c>
      <c r="M1897" s="3">
        <v>19.31</v>
      </c>
      <c r="N1897" s="3">
        <v>34.99</v>
      </c>
      <c r="O1897" s="2" t="s">
        <v>97</v>
      </c>
      <c r="P1897" s="2" t="s">
        <v>119</v>
      </c>
      <c r="Q1897" s="2" t="s">
        <v>99</v>
      </c>
      <c r="R1897" s="2" t="s">
        <v>100</v>
      </c>
      <c r="S1897" s="2" t="s">
        <v>6245</v>
      </c>
      <c r="T1897" s="2" t="s">
        <v>280</v>
      </c>
      <c r="U1897" s="2" t="s">
        <v>100</v>
      </c>
      <c r="V1897" s="2" t="s">
        <v>146</v>
      </c>
      <c r="W1897" s="2" t="s">
        <v>183</v>
      </c>
      <c r="X1897" s="2" t="s">
        <v>100</v>
      </c>
      <c r="Y1897" s="2" t="s">
        <v>240</v>
      </c>
      <c r="Z1897" s="4">
        <v>390</v>
      </c>
      <c r="AA1897" s="4">
        <f>=ROUNDDOWN(19.5,0)</f>
      </c>
      <c r="AB1897" s="5">
        <v>20</v>
      </c>
      <c r="AC1897" s="2" t="s">
        <v>271</v>
      </c>
      <c r="AD1897" s="4">
        <v>120</v>
      </c>
      <c r="AE1897" s="4">
        <v>590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>
        <v>54</v>
      </c>
      <c r="AQ1897" s="8">
        <v>689.04</v>
      </c>
      <c r="AR1897" s="4"/>
      <c r="AS1897" s="8"/>
      <c r="AT1897" s="7"/>
      <c r="AU1897" s="7"/>
      <c r="AV1897" s="4">
        <v>147</v>
      </c>
      <c r="AW1897" s="8">
        <v>2216.49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0.3109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0.1379</v>
      </c>
      <c r="BJ1897" s="4">
        <v>710</v>
      </c>
      <c r="BK1897" s="8">
        <v>11109.9</v>
      </c>
      <c r="BL1897" s="2" t="s">
        <v>6246</v>
      </c>
      <c r="BM1897" s="7">
        <v>0.0761</v>
      </c>
      <c r="BN1897" s="7">
        <v>0.062</v>
      </c>
      <c r="BO1897" s="4">
        <v>54</v>
      </c>
      <c r="BP1897" s="8">
        <v>689.04</v>
      </c>
      <c r="BQ1897" s="4"/>
      <c r="BR1897" s="8"/>
      <c r="BS1897" s="7"/>
      <c r="BT1897" s="7"/>
      <c r="BU1897" s="2" t="s">
        <v>109</v>
      </c>
      <c r="BV1897" s="2" t="s">
        <v>110</v>
      </c>
      <c r="BW1897" s="2" t="s">
        <v>4840</v>
      </c>
      <c r="BX1897" s="2" t="s">
        <v>6034</v>
      </c>
      <c r="BY1897" s="2" t="s">
        <v>113</v>
      </c>
      <c r="BZ1897" s="2" t="s">
        <v>100</v>
      </c>
    </row>
    <row r="1898">
      <c r="A1898" s="2" t="s">
        <v>6247</v>
      </c>
      <c r="B1898" s="2" t="s">
        <v>5764</v>
      </c>
      <c r="C1898" s="2" t="s">
        <v>88</v>
      </c>
      <c r="D1898" s="2" t="s">
        <v>4473</v>
      </c>
      <c r="E1898" s="2" t="s">
        <v>5768</v>
      </c>
      <c r="F1898" s="2" t="s">
        <v>6223</v>
      </c>
      <c r="G1898" s="2" t="s">
        <v>6223</v>
      </c>
      <c r="H1898" s="2" t="s">
        <v>6223</v>
      </c>
      <c r="I1898" s="2" t="s">
        <v>6189</v>
      </c>
      <c r="J1898" s="2" t="s">
        <v>247</v>
      </c>
      <c r="K1898" s="2" t="s">
        <v>604</v>
      </c>
      <c r="L1898" s="3">
        <v>21.27</v>
      </c>
      <c r="M1898" s="3">
        <v>22.33</v>
      </c>
      <c r="N1898" s="3">
        <v>39.99</v>
      </c>
      <c r="O1898" s="2" t="s">
        <v>97</v>
      </c>
      <c r="P1898" s="2" t="s">
        <v>119</v>
      </c>
      <c r="Q1898" s="2" t="s">
        <v>99</v>
      </c>
      <c r="R1898" s="2" t="s">
        <v>100</v>
      </c>
      <c r="S1898" s="2" t="s">
        <v>6245</v>
      </c>
      <c r="T1898" s="2" t="s">
        <v>280</v>
      </c>
      <c r="U1898" s="2" t="s">
        <v>100</v>
      </c>
      <c r="V1898" s="2" t="s">
        <v>146</v>
      </c>
      <c r="W1898" s="2" t="s">
        <v>183</v>
      </c>
      <c r="X1898" s="2" t="s">
        <v>100</v>
      </c>
      <c r="Y1898" s="2" t="s">
        <v>240</v>
      </c>
      <c r="Z1898" s="4">
        <v>970</v>
      </c>
      <c r="AA1898" s="4">
        <f>=ROUNDDOWN(31.2903225806452,0)</f>
      </c>
      <c r="AB1898" s="5">
        <v>31</v>
      </c>
      <c r="AC1898" s="2" t="s">
        <v>271</v>
      </c>
      <c r="AD1898" s="4">
        <v>160</v>
      </c>
      <c r="AE1898" s="4">
        <v>610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>
        <v>52</v>
      </c>
      <c r="AQ1898" s="8">
        <v>795.6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0.3589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1076</v>
      </c>
      <c r="BK1898" s="8">
        <v>19876.61</v>
      </c>
      <c r="BL1898" s="2" t="s">
        <v>6248</v>
      </c>
      <c r="BM1898" s="7">
        <v>0.0483</v>
      </c>
      <c r="BN1898" s="7">
        <v>0.04</v>
      </c>
      <c r="BO1898" s="4">
        <v>52</v>
      </c>
      <c r="BP1898" s="8">
        <v>795.6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4840</v>
      </c>
      <c r="BX1898" s="2" t="s">
        <v>1003</v>
      </c>
      <c r="BY1898" s="2" t="s">
        <v>113</v>
      </c>
      <c r="BZ1898" s="2" t="s">
        <v>100</v>
      </c>
    </row>
    <row r="1899">
      <c r="A1899" s="2" t="s">
        <v>6249</v>
      </c>
      <c r="B1899" s="2" t="s">
        <v>5764</v>
      </c>
      <c r="C1899" s="2" t="s">
        <v>88</v>
      </c>
      <c r="D1899" s="2" t="s">
        <v>4473</v>
      </c>
      <c r="E1899" s="2" t="s">
        <v>5768</v>
      </c>
      <c r="F1899" s="2" t="s">
        <v>6223</v>
      </c>
      <c r="G1899" s="2" t="s">
        <v>6223</v>
      </c>
      <c r="H1899" s="2" t="s">
        <v>6223</v>
      </c>
      <c r="I1899" s="2" t="s">
        <v>6189</v>
      </c>
      <c r="J1899" s="2" t="s">
        <v>714</v>
      </c>
      <c r="K1899" s="2" t="s">
        <v>604</v>
      </c>
      <c r="L1899" s="3">
        <v>24.14</v>
      </c>
      <c r="M1899" s="3">
        <v>25.35</v>
      </c>
      <c r="N1899" s="3">
        <v>44.99</v>
      </c>
      <c r="O1899" s="2" t="s">
        <v>97</v>
      </c>
      <c r="P1899" s="2" t="s">
        <v>119</v>
      </c>
      <c r="Q1899" s="2" t="s">
        <v>99</v>
      </c>
      <c r="R1899" s="2" t="s">
        <v>100</v>
      </c>
      <c r="S1899" s="2" t="s">
        <v>6245</v>
      </c>
      <c r="T1899" s="2" t="s">
        <v>280</v>
      </c>
      <c r="U1899" s="2" t="s">
        <v>100</v>
      </c>
      <c r="V1899" s="2" t="s">
        <v>146</v>
      </c>
      <c r="W1899" s="2" t="s">
        <v>183</v>
      </c>
      <c r="X1899" s="2" t="s">
        <v>100</v>
      </c>
      <c r="Y1899" s="2" t="s">
        <v>240</v>
      </c>
      <c r="Z1899" s="4">
        <v>711</v>
      </c>
      <c r="AA1899" s="4">
        <f>=ROUNDDOWN(32.3181818181818,0)</f>
      </c>
      <c r="AB1899" s="5">
        <v>22</v>
      </c>
      <c r="AC1899" s="2" t="s">
        <v>271</v>
      </c>
      <c r="AD1899" s="4">
        <v>220</v>
      </c>
      <c r="AE1899" s="4">
        <v>380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>
        <v>41</v>
      </c>
      <c r="AQ1899" s="8">
        <v>731.85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0.3302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698</v>
      </c>
      <c r="BK1899" s="8">
        <v>14951.72</v>
      </c>
      <c r="BL1899" s="2" t="s">
        <v>6250</v>
      </c>
      <c r="BM1899" s="7">
        <v>0.0587</v>
      </c>
      <c r="BN1899" s="7">
        <v>0.0489</v>
      </c>
      <c r="BO1899" s="4">
        <v>41</v>
      </c>
      <c r="BP1899" s="8">
        <v>731.85</v>
      </c>
      <c r="BQ1899" s="4"/>
      <c r="BR1899" s="8"/>
      <c r="BS1899" s="7"/>
      <c r="BT1899" s="7"/>
      <c r="BU1899" s="2" t="s">
        <v>109</v>
      </c>
      <c r="BV1899" s="2" t="s">
        <v>110</v>
      </c>
      <c r="BW1899" s="2" t="s">
        <v>4840</v>
      </c>
      <c r="BX1899" s="2" t="s">
        <v>6251</v>
      </c>
      <c r="BY1899" s="2" t="s">
        <v>113</v>
      </c>
      <c r="BZ1899" s="2" t="s">
        <v>100</v>
      </c>
    </row>
    <row r="1900">
      <c r="A1900" s="2" t="s">
        <v>6252</v>
      </c>
      <c r="B1900" s="2" t="s">
        <v>5764</v>
      </c>
      <c r="C1900" s="2" t="s">
        <v>88</v>
      </c>
      <c r="D1900" s="2" t="s">
        <v>4473</v>
      </c>
      <c r="E1900" s="2" t="s">
        <v>5768</v>
      </c>
      <c r="F1900" s="2" t="s">
        <v>6223</v>
      </c>
      <c r="G1900" s="2" t="s">
        <v>6223</v>
      </c>
      <c r="H1900" s="2" t="s">
        <v>6223</v>
      </c>
      <c r="I1900" s="2" t="s">
        <v>6189</v>
      </c>
      <c r="J1900" s="2" t="s">
        <v>1936</v>
      </c>
      <c r="K1900" s="2" t="s">
        <v>858</v>
      </c>
      <c r="L1900" s="3">
        <v>18.39</v>
      </c>
      <c r="M1900" s="3">
        <v>19.31</v>
      </c>
      <c r="N1900" s="3">
        <v>34.99</v>
      </c>
      <c r="O1900" s="2" t="s">
        <v>97</v>
      </c>
      <c r="P1900" s="2" t="s">
        <v>119</v>
      </c>
      <c r="Q1900" s="2" t="s">
        <v>99</v>
      </c>
      <c r="R1900" s="2" t="s">
        <v>100</v>
      </c>
      <c r="S1900" s="2" t="s">
        <v>6253</v>
      </c>
      <c r="T1900" s="2" t="s">
        <v>280</v>
      </c>
      <c r="U1900" s="2" t="s">
        <v>100</v>
      </c>
      <c r="V1900" s="2" t="s">
        <v>146</v>
      </c>
      <c r="W1900" s="2" t="s">
        <v>183</v>
      </c>
      <c r="X1900" s="2" t="s">
        <v>100</v>
      </c>
      <c r="Y1900" s="2" t="s">
        <v>240</v>
      </c>
      <c r="Z1900" s="4">
        <v>297</v>
      </c>
      <c r="AA1900" s="4">
        <f>=ROUNDDOWN(37.125,0)</f>
      </c>
      <c r="AB1900" s="5">
        <v>8</v>
      </c>
      <c r="AC1900" s="2" t="s">
        <v>562</v>
      </c>
      <c r="AD1900" s="4">
        <v>140</v>
      </c>
      <c r="AE1900" s="4">
        <v>140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>
        <v>24</v>
      </c>
      <c r="AQ1900" s="8">
        <v>306.24</v>
      </c>
      <c r="AR1900" s="4"/>
      <c r="AS1900" s="8"/>
      <c r="AT1900" s="7"/>
      <c r="AU1900" s="7"/>
      <c r="AV1900" s="4">
        <v>87</v>
      </c>
      <c r="AW1900" s="8">
        <v>1341.54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0.2283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0.0834</v>
      </c>
      <c r="BJ1900" s="4">
        <v>295</v>
      </c>
      <c r="BK1900" s="8">
        <v>4607.38</v>
      </c>
      <c r="BL1900" s="2" t="s">
        <v>6254</v>
      </c>
      <c r="BM1900" s="7">
        <v>0.0814</v>
      </c>
      <c r="BN1900" s="7">
        <v>0.0665</v>
      </c>
      <c r="BO1900" s="4">
        <v>24</v>
      </c>
      <c r="BP1900" s="8">
        <v>306.24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4840</v>
      </c>
      <c r="BX1900" s="2" t="s">
        <v>4667</v>
      </c>
      <c r="BY1900" s="2" t="s">
        <v>113</v>
      </c>
      <c r="BZ1900" s="2" t="s">
        <v>100</v>
      </c>
    </row>
    <row r="1901">
      <c r="A1901" s="2" t="s">
        <v>6255</v>
      </c>
      <c r="B1901" s="2" t="s">
        <v>5764</v>
      </c>
      <c r="C1901" s="2" t="s">
        <v>88</v>
      </c>
      <c r="D1901" s="2" t="s">
        <v>4473</v>
      </c>
      <c r="E1901" s="2" t="s">
        <v>5768</v>
      </c>
      <c r="F1901" s="2" t="s">
        <v>6223</v>
      </c>
      <c r="G1901" s="2" t="s">
        <v>6223</v>
      </c>
      <c r="H1901" s="2" t="s">
        <v>6223</v>
      </c>
      <c r="I1901" s="2" t="s">
        <v>6189</v>
      </c>
      <c r="J1901" s="2" t="s">
        <v>247</v>
      </c>
      <c r="K1901" s="2" t="s">
        <v>858</v>
      </c>
      <c r="L1901" s="3">
        <v>21.27</v>
      </c>
      <c r="M1901" s="3">
        <v>22.33</v>
      </c>
      <c r="N1901" s="3">
        <v>39.99</v>
      </c>
      <c r="O1901" s="2" t="s">
        <v>97</v>
      </c>
      <c r="P1901" s="2" t="s">
        <v>119</v>
      </c>
      <c r="Q1901" s="2" t="s">
        <v>99</v>
      </c>
      <c r="R1901" s="2" t="s">
        <v>100</v>
      </c>
      <c r="S1901" s="2" t="s">
        <v>6253</v>
      </c>
      <c r="T1901" s="2" t="s">
        <v>280</v>
      </c>
      <c r="U1901" s="2" t="s">
        <v>100</v>
      </c>
      <c r="V1901" s="2" t="s">
        <v>146</v>
      </c>
      <c r="W1901" s="2" t="s">
        <v>183</v>
      </c>
      <c r="X1901" s="2" t="s">
        <v>100</v>
      </c>
      <c r="Y1901" s="2" t="s">
        <v>240</v>
      </c>
      <c r="Z1901" s="4">
        <v>677</v>
      </c>
      <c r="AA1901" s="4">
        <f>=ROUNDDOWN(42.3125,0)</f>
      </c>
      <c r="AB1901" s="5">
        <v>16</v>
      </c>
      <c r="AC1901" s="2" t="s">
        <v>2739</v>
      </c>
      <c r="AD1901" s="4">
        <v>180</v>
      </c>
      <c r="AE1901" s="4">
        <v>180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>
        <v>35</v>
      </c>
      <c r="AQ1901" s="8">
        <v>535.5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0.3992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570</v>
      </c>
      <c r="BK1901" s="8">
        <v>10630.06</v>
      </c>
      <c r="BL1901" s="2" t="s">
        <v>6256</v>
      </c>
      <c r="BM1901" s="7">
        <v>0.0614</v>
      </c>
      <c r="BN1901" s="7">
        <v>0.0504</v>
      </c>
      <c r="BO1901" s="4">
        <v>35</v>
      </c>
      <c r="BP1901" s="8">
        <v>535.5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4840</v>
      </c>
      <c r="BX1901" s="2" t="s">
        <v>6257</v>
      </c>
      <c r="BY1901" s="2" t="s">
        <v>113</v>
      </c>
      <c r="BZ1901" s="2" t="s">
        <v>100</v>
      </c>
    </row>
    <row r="1902">
      <c r="A1902" s="2" t="s">
        <v>6258</v>
      </c>
      <c r="B1902" s="2" t="s">
        <v>5764</v>
      </c>
      <c r="C1902" s="2" t="s">
        <v>88</v>
      </c>
      <c r="D1902" s="2" t="s">
        <v>4473</v>
      </c>
      <c r="E1902" s="2" t="s">
        <v>5768</v>
      </c>
      <c r="F1902" s="2" t="s">
        <v>6223</v>
      </c>
      <c r="G1902" s="2" t="s">
        <v>6223</v>
      </c>
      <c r="H1902" s="2" t="s">
        <v>6223</v>
      </c>
      <c r="I1902" s="2" t="s">
        <v>6189</v>
      </c>
      <c r="J1902" s="2" t="s">
        <v>714</v>
      </c>
      <c r="K1902" s="2" t="s">
        <v>858</v>
      </c>
      <c r="L1902" s="3">
        <v>24.14</v>
      </c>
      <c r="M1902" s="3">
        <v>25.35</v>
      </c>
      <c r="N1902" s="3">
        <v>44.99</v>
      </c>
      <c r="O1902" s="2" t="s">
        <v>97</v>
      </c>
      <c r="P1902" s="2" t="s">
        <v>119</v>
      </c>
      <c r="Q1902" s="2" t="s">
        <v>99</v>
      </c>
      <c r="R1902" s="2" t="s">
        <v>100</v>
      </c>
      <c r="S1902" s="2" t="s">
        <v>6253</v>
      </c>
      <c r="T1902" s="2" t="s">
        <v>280</v>
      </c>
      <c r="U1902" s="2" t="s">
        <v>100</v>
      </c>
      <c r="V1902" s="2" t="s">
        <v>146</v>
      </c>
      <c r="W1902" s="2" t="s">
        <v>183</v>
      </c>
      <c r="X1902" s="2" t="s">
        <v>100</v>
      </c>
      <c r="Y1902" s="2" t="s">
        <v>240</v>
      </c>
      <c r="Z1902" s="4">
        <v>414</v>
      </c>
      <c r="AA1902" s="4">
        <f>=ROUNDDOWN(41.4,0)</f>
      </c>
      <c r="AB1902" s="5">
        <v>10</v>
      </c>
      <c r="AC1902" s="2" t="s">
        <v>2739</v>
      </c>
      <c r="AD1902" s="4">
        <v>180</v>
      </c>
      <c r="AE1902" s="4">
        <v>180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>
        <v>28</v>
      </c>
      <c r="AQ1902" s="8">
        <v>499.8</v>
      </c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0.3726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 t="s">
        <v>100</v>
      </c>
      <c r="BJ1902" s="4">
        <v>320</v>
      </c>
      <c r="BK1902" s="8">
        <v>6562.85</v>
      </c>
      <c r="BL1902" s="2" t="s">
        <v>6259</v>
      </c>
      <c r="BM1902" s="7">
        <v>0.0875</v>
      </c>
      <c r="BN1902" s="7">
        <v>0.0762</v>
      </c>
      <c r="BO1902" s="4">
        <v>28</v>
      </c>
      <c r="BP1902" s="8">
        <v>499.8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4840</v>
      </c>
      <c r="BX1902" s="2" t="s">
        <v>6251</v>
      </c>
      <c r="BY1902" s="2" t="s">
        <v>113</v>
      </c>
      <c r="BZ1902" s="2" t="s">
        <v>100</v>
      </c>
    </row>
    <row r="1903">
      <c r="A1903" s="2" t="s">
        <v>6260</v>
      </c>
      <c r="B1903" s="2" t="s">
        <v>5764</v>
      </c>
      <c r="C1903" s="2" t="s">
        <v>88</v>
      </c>
      <c r="D1903" s="2" t="s">
        <v>4473</v>
      </c>
      <c r="E1903" s="2" t="s">
        <v>5768</v>
      </c>
      <c r="F1903" s="2" t="s">
        <v>6223</v>
      </c>
      <c r="G1903" s="2" t="s">
        <v>6223</v>
      </c>
      <c r="H1903" s="2" t="s">
        <v>6223</v>
      </c>
      <c r="I1903" s="2" t="s">
        <v>6189</v>
      </c>
      <c r="J1903" s="2" t="s">
        <v>1936</v>
      </c>
      <c r="K1903" s="2" t="s">
        <v>360</v>
      </c>
      <c r="L1903" s="3">
        <v>18.39</v>
      </c>
      <c r="M1903" s="3">
        <v>19.31</v>
      </c>
      <c r="N1903" s="3">
        <v>34.99</v>
      </c>
      <c r="O1903" s="2" t="s">
        <v>97</v>
      </c>
      <c r="P1903" s="2" t="s">
        <v>119</v>
      </c>
      <c r="Q1903" s="2" t="s">
        <v>99</v>
      </c>
      <c r="R1903" s="2" t="s">
        <v>100</v>
      </c>
      <c r="S1903" s="2" t="s">
        <v>6261</v>
      </c>
      <c r="T1903" s="2" t="s">
        <v>280</v>
      </c>
      <c r="U1903" s="2" t="s">
        <v>100</v>
      </c>
      <c r="V1903" s="2" t="s">
        <v>146</v>
      </c>
      <c r="W1903" s="2" t="s">
        <v>183</v>
      </c>
      <c r="X1903" s="2" t="s">
        <v>100</v>
      </c>
      <c r="Y1903" s="2" t="s">
        <v>240</v>
      </c>
      <c r="Z1903" s="4">
        <v>602</v>
      </c>
      <c r="AA1903" s="4">
        <f>=ROUNDDOWN(28.6666666666667,0)</f>
      </c>
      <c r="AB1903" s="5">
        <v>21</v>
      </c>
      <c r="AC1903" s="2" t="s">
        <v>271</v>
      </c>
      <c r="AD1903" s="4">
        <v>200</v>
      </c>
      <c r="AE1903" s="4">
        <v>300</v>
      </c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>
        <v>35</v>
      </c>
      <c r="AQ1903" s="8">
        <v>446.6</v>
      </c>
      <c r="AR1903" s="4"/>
      <c r="AS1903" s="8"/>
      <c r="AT1903" s="7"/>
      <c r="AU1903" s="7"/>
      <c r="AV1903" s="4">
        <v>61</v>
      </c>
      <c r="AW1903" s="8">
        <v>910.7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0.4904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>
        <v>0.0566</v>
      </c>
      <c r="BJ1903" s="4">
        <v>675</v>
      </c>
      <c r="BK1903" s="8">
        <v>10495.98</v>
      </c>
      <c r="BL1903" s="2" t="s">
        <v>6262</v>
      </c>
      <c r="BM1903" s="7">
        <v>0.0519</v>
      </c>
      <c r="BN1903" s="7">
        <v>0.0425</v>
      </c>
      <c r="BO1903" s="4">
        <v>35</v>
      </c>
      <c r="BP1903" s="8">
        <v>446.6</v>
      </c>
      <c r="BQ1903" s="4"/>
      <c r="BR1903" s="8"/>
      <c r="BS1903" s="7"/>
      <c r="BT1903" s="7"/>
      <c r="BU1903" s="2" t="s">
        <v>109</v>
      </c>
      <c r="BV1903" s="2" t="s">
        <v>110</v>
      </c>
      <c r="BW1903" s="2" t="s">
        <v>4840</v>
      </c>
      <c r="BX1903" s="2" t="s">
        <v>1526</v>
      </c>
      <c r="BY1903" s="2" t="s">
        <v>113</v>
      </c>
      <c r="BZ1903" s="2" t="s">
        <v>100</v>
      </c>
    </row>
    <row r="1904">
      <c r="A1904" s="2" t="s">
        <v>6263</v>
      </c>
      <c r="B1904" s="2" t="s">
        <v>5764</v>
      </c>
      <c r="C1904" s="2" t="s">
        <v>88</v>
      </c>
      <c r="D1904" s="2" t="s">
        <v>4473</v>
      </c>
      <c r="E1904" s="2" t="s">
        <v>5768</v>
      </c>
      <c r="F1904" s="2" t="s">
        <v>6223</v>
      </c>
      <c r="G1904" s="2" t="s">
        <v>6223</v>
      </c>
      <c r="H1904" s="2" t="s">
        <v>6223</v>
      </c>
      <c r="I1904" s="2" t="s">
        <v>6189</v>
      </c>
      <c r="J1904" s="2" t="s">
        <v>714</v>
      </c>
      <c r="K1904" s="2" t="s">
        <v>360</v>
      </c>
      <c r="L1904" s="3">
        <v>24.14</v>
      </c>
      <c r="M1904" s="3">
        <v>25.35</v>
      </c>
      <c r="N1904" s="3">
        <v>44.99</v>
      </c>
      <c r="O1904" s="2" t="s">
        <v>97</v>
      </c>
      <c r="P1904" s="2" t="s">
        <v>119</v>
      </c>
      <c r="Q1904" s="2" t="s">
        <v>99</v>
      </c>
      <c r="R1904" s="2" t="s">
        <v>100</v>
      </c>
      <c r="S1904" s="2" t="s">
        <v>6261</v>
      </c>
      <c r="T1904" s="2" t="s">
        <v>280</v>
      </c>
      <c r="U1904" s="2" t="s">
        <v>100</v>
      </c>
      <c r="V1904" s="2" t="s">
        <v>146</v>
      </c>
      <c r="W1904" s="2" t="s">
        <v>183</v>
      </c>
      <c r="X1904" s="2" t="s">
        <v>100</v>
      </c>
      <c r="Y1904" s="2" t="s">
        <v>240</v>
      </c>
      <c r="Z1904" s="4">
        <v>669</v>
      </c>
      <c r="AA1904" s="4">
        <f>=ROUNDDOWN(39.3529411764706,0)</f>
      </c>
      <c r="AB1904" s="5">
        <v>17</v>
      </c>
      <c r="AC1904" s="2" t="s">
        <v>271</v>
      </c>
      <c r="AD1904" s="4">
        <v>50</v>
      </c>
      <c r="AE1904" s="4">
        <v>220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>
        <v>26</v>
      </c>
      <c r="AQ1904" s="8">
        <v>464.1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0.5096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458</v>
      </c>
      <c r="BK1904" s="8">
        <v>9706.55</v>
      </c>
      <c r="BL1904" s="2" t="s">
        <v>6264</v>
      </c>
      <c r="BM1904" s="7">
        <v>0.0568</v>
      </c>
      <c r="BN1904" s="7">
        <v>0.0478</v>
      </c>
      <c r="BO1904" s="4">
        <v>26</v>
      </c>
      <c r="BP1904" s="8">
        <v>464.1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4840</v>
      </c>
      <c r="BX1904" s="2" t="s">
        <v>6234</v>
      </c>
      <c r="BY1904" s="2" t="s">
        <v>113</v>
      </c>
      <c r="BZ1904" s="2" t="s">
        <v>100</v>
      </c>
    </row>
    <row r="1905">
      <c r="A1905" s="2" t="s">
        <v>6265</v>
      </c>
      <c r="B1905" s="2" t="s">
        <v>5764</v>
      </c>
      <c r="C1905" s="2" t="s">
        <v>88</v>
      </c>
      <c r="D1905" s="2" t="s">
        <v>4473</v>
      </c>
      <c r="E1905" s="2" t="s">
        <v>5768</v>
      </c>
      <c r="F1905" s="2" t="s">
        <v>6223</v>
      </c>
      <c r="G1905" s="2" t="s">
        <v>6223</v>
      </c>
      <c r="H1905" s="2" t="s">
        <v>6223</v>
      </c>
      <c r="I1905" s="2" t="s">
        <v>6189</v>
      </c>
      <c r="J1905" s="2" t="s">
        <v>1936</v>
      </c>
      <c r="K1905" s="2" t="s">
        <v>278</v>
      </c>
      <c r="L1905" s="3">
        <v>18.39</v>
      </c>
      <c r="M1905" s="3">
        <v>19.31</v>
      </c>
      <c r="N1905" s="3">
        <v>34.99</v>
      </c>
      <c r="O1905" s="2" t="s">
        <v>97</v>
      </c>
      <c r="P1905" s="2" t="s">
        <v>119</v>
      </c>
      <c r="Q1905" s="2" t="s">
        <v>99</v>
      </c>
      <c r="R1905" s="2" t="s">
        <v>100</v>
      </c>
      <c r="S1905" s="2" t="s">
        <v>6266</v>
      </c>
      <c r="T1905" s="2" t="s">
        <v>280</v>
      </c>
      <c r="U1905" s="2" t="s">
        <v>1847</v>
      </c>
      <c r="V1905" s="2" t="s">
        <v>146</v>
      </c>
      <c r="W1905" s="2" t="s">
        <v>183</v>
      </c>
      <c r="X1905" s="2" t="s">
        <v>100</v>
      </c>
      <c r="Y1905" s="2" t="s">
        <v>6267</v>
      </c>
      <c r="Z1905" s="4">
        <v>455</v>
      </c>
      <c r="AA1905" s="4">
        <f>=ROUNDDOWN(96.8085106382979,0)</f>
      </c>
      <c r="AB1905" s="5">
        <v>4.7</v>
      </c>
      <c r="AC1905" s="2" t="s">
        <v>100</v>
      </c>
      <c r="AD1905" s="4"/>
      <c r="AE1905" s="4"/>
      <c r="AF1905" s="6">
        <v>65</v>
      </c>
      <c r="AG1905" s="6"/>
      <c r="AH1905" s="7">
        <v>0.9358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194</v>
      </c>
      <c r="BK1905" s="8">
        <v>3319.43</v>
      </c>
      <c r="BL1905" s="2" t="s">
        <v>6268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207</v>
      </c>
      <c r="BV1905" s="2" t="s">
        <v>97</v>
      </c>
      <c r="BW1905" s="2" t="s">
        <v>100</v>
      </c>
      <c r="BX1905" s="2" t="s">
        <v>100</v>
      </c>
      <c r="BY1905" s="2" t="s">
        <v>113</v>
      </c>
      <c r="BZ1905" s="2" t="s">
        <v>100</v>
      </c>
    </row>
    <row r="1906">
      <c r="A1906" s="2" t="s">
        <v>6269</v>
      </c>
      <c r="B1906" s="2" t="s">
        <v>5764</v>
      </c>
      <c r="C1906" s="2" t="s">
        <v>88</v>
      </c>
      <c r="D1906" s="2" t="s">
        <v>4473</v>
      </c>
      <c r="E1906" s="2" t="s">
        <v>5768</v>
      </c>
      <c r="F1906" s="2" t="s">
        <v>6223</v>
      </c>
      <c r="G1906" s="2" t="s">
        <v>6223</v>
      </c>
      <c r="H1906" s="2" t="s">
        <v>6223</v>
      </c>
      <c r="I1906" s="2" t="s">
        <v>6189</v>
      </c>
      <c r="J1906" s="2" t="s">
        <v>247</v>
      </c>
      <c r="K1906" s="2" t="s">
        <v>278</v>
      </c>
      <c r="L1906" s="3">
        <v>21.27</v>
      </c>
      <c r="M1906" s="3">
        <v>22.33</v>
      </c>
      <c r="N1906" s="3">
        <v>39.99</v>
      </c>
      <c r="O1906" s="2" t="s">
        <v>97</v>
      </c>
      <c r="P1906" s="2" t="s">
        <v>119</v>
      </c>
      <c r="Q1906" s="2" t="s">
        <v>99</v>
      </c>
      <c r="R1906" s="2" t="s">
        <v>100</v>
      </c>
      <c r="S1906" s="2" t="s">
        <v>6266</v>
      </c>
      <c r="T1906" s="2" t="s">
        <v>280</v>
      </c>
      <c r="U1906" s="2" t="s">
        <v>1847</v>
      </c>
      <c r="V1906" s="2" t="s">
        <v>146</v>
      </c>
      <c r="W1906" s="2" t="s">
        <v>183</v>
      </c>
      <c r="X1906" s="2" t="s">
        <v>100</v>
      </c>
      <c r="Y1906" s="2" t="s">
        <v>6267</v>
      </c>
      <c r="Z1906" s="4">
        <v>784</v>
      </c>
      <c r="AA1906" s="4">
        <f>=ROUNDDOWN(103.157894736842,0)</f>
      </c>
      <c r="AB1906" s="5">
        <v>7.6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334</v>
      </c>
      <c r="BK1906" s="8">
        <v>6518.62</v>
      </c>
      <c r="BL1906" s="2" t="s">
        <v>6270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207</v>
      </c>
      <c r="BV1906" s="2" t="s">
        <v>97</v>
      </c>
      <c r="BW1906" s="2" t="s">
        <v>100</v>
      </c>
      <c r="BX1906" s="2" t="s">
        <v>100</v>
      </c>
      <c r="BY1906" s="2" t="s">
        <v>113</v>
      </c>
      <c r="BZ1906" s="2" t="s">
        <v>100</v>
      </c>
    </row>
    <row r="1907">
      <c r="A1907" s="2" t="s">
        <v>6271</v>
      </c>
      <c r="B1907" s="2" t="s">
        <v>5764</v>
      </c>
      <c r="C1907" s="2" t="s">
        <v>88</v>
      </c>
      <c r="D1907" s="2" t="s">
        <v>4473</v>
      </c>
      <c r="E1907" s="2" t="s">
        <v>5768</v>
      </c>
      <c r="F1907" s="2" t="s">
        <v>6223</v>
      </c>
      <c r="G1907" s="2" t="s">
        <v>6223</v>
      </c>
      <c r="H1907" s="2" t="s">
        <v>6223</v>
      </c>
      <c r="I1907" s="2" t="s">
        <v>6189</v>
      </c>
      <c r="J1907" s="2" t="s">
        <v>714</v>
      </c>
      <c r="K1907" s="2" t="s">
        <v>278</v>
      </c>
      <c r="L1907" s="3">
        <v>24.14</v>
      </c>
      <c r="M1907" s="3">
        <v>25.35</v>
      </c>
      <c r="N1907" s="3">
        <v>44.99</v>
      </c>
      <c r="O1907" s="2" t="s">
        <v>97</v>
      </c>
      <c r="P1907" s="2" t="s">
        <v>119</v>
      </c>
      <c r="Q1907" s="2" t="s">
        <v>99</v>
      </c>
      <c r="R1907" s="2" t="s">
        <v>100</v>
      </c>
      <c r="S1907" s="2" t="s">
        <v>6266</v>
      </c>
      <c r="T1907" s="2" t="s">
        <v>280</v>
      </c>
      <c r="U1907" s="2" t="s">
        <v>1847</v>
      </c>
      <c r="V1907" s="2" t="s">
        <v>146</v>
      </c>
      <c r="W1907" s="2" t="s">
        <v>183</v>
      </c>
      <c r="X1907" s="2" t="s">
        <v>100</v>
      </c>
      <c r="Y1907" s="2" t="s">
        <v>6267</v>
      </c>
      <c r="Z1907" s="4">
        <v>499</v>
      </c>
      <c r="AA1907" s="4">
        <f>=ROUNDDOWN(83.1666666666667,0)</f>
      </c>
      <c r="AB1907" s="5">
        <v>6</v>
      </c>
      <c r="AC1907" s="2" t="s">
        <v>100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100</v>
      </c>
      <c r="AW1907" s="8" t="s">
        <v>100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 t="s">
        <v>100</v>
      </c>
      <c r="BJ1907" s="4">
        <v>220</v>
      </c>
      <c r="BK1907" s="8">
        <v>4863.33</v>
      </c>
      <c r="BL1907" s="2" t="s">
        <v>6270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207</v>
      </c>
      <c r="BV1907" s="2" t="s">
        <v>97</v>
      </c>
      <c r="BW1907" s="2" t="s">
        <v>100</v>
      </c>
      <c r="BX1907" s="2" t="s">
        <v>100</v>
      </c>
      <c r="BY1907" s="2" t="s">
        <v>113</v>
      </c>
      <c r="BZ1907" s="2" t="s">
        <v>100</v>
      </c>
    </row>
    <row r="1908">
      <c r="A1908" s="2" t="s">
        <v>6272</v>
      </c>
      <c r="B1908" s="2" t="s">
        <v>5764</v>
      </c>
      <c r="C1908" s="2" t="s">
        <v>88</v>
      </c>
      <c r="D1908" s="2" t="s">
        <v>4473</v>
      </c>
      <c r="E1908" s="2" t="s">
        <v>5768</v>
      </c>
      <c r="F1908" s="2" t="s">
        <v>6273</v>
      </c>
      <c r="G1908" s="2" t="s">
        <v>6273</v>
      </c>
      <c r="H1908" s="2" t="s">
        <v>6273</v>
      </c>
      <c r="I1908" s="2" t="s">
        <v>5768</v>
      </c>
      <c r="J1908" s="2" t="s">
        <v>1936</v>
      </c>
      <c r="K1908" s="2" t="s">
        <v>198</v>
      </c>
      <c r="L1908" s="3">
        <v>21.15</v>
      </c>
      <c r="M1908" s="3">
        <v>22.21</v>
      </c>
      <c r="N1908" s="3">
        <v>44.99</v>
      </c>
      <c r="O1908" s="2" t="s">
        <v>97</v>
      </c>
      <c r="P1908" s="2" t="s">
        <v>119</v>
      </c>
      <c r="Q1908" s="2" t="s">
        <v>99</v>
      </c>
      <c r="R1908" s="2" t="s">
        <v>100</v>
      </c>
      <c r="S1908" s="2" t="s">
        <v>6274</v>
      </c>
      <c r="T1908" s="2" t="s">
        <v>280</v>
      </c>
      <c r="U1908" s="2" t="s">
        <v>100</v>
      </c>
      <c r="V1908" s="2" t="s">
        <v>146</v>
      </c>
      <c r="W1908" s="2" t="s">
        <v>183</v>
      </c>
      <c r="X1908" s="2" t="s">
        <v>100</v>
      </c>
      <c r="Y1908" s="2" t="s">
        <v>240</v>
      </c>
      <c r="Z1908" s="4">
        <v>382</v>
      </c>
      <c r="AA1908" s="4">
        <f>=ROUNDDOWN(34.7272727272727,0)</f>
      </c>
      <c r="AB1908" s="5">
        <v>11</v>
      </c>
      <c r="AC1908" s="2" t="s">
        <v>241</v>
      </c>
      <c r="AD1908" s="4">
        <v>1260</v>
      </c>
      <c r="AE1908" s="4">
        <v>1510</v>
      </c>
      <c r="AF1908" s="6">
        <v>69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>
        <v>5</v>
      </c>
      <c r="AQ1908" s="8">
        <v>108.8</v>
      </c>
      <c r="AR1908" s="4"/>
      <c r="AS1908" s="8"/>
      <c r="AT1908" s="7"/>
      <c r="AU1908" s="7"/>
      <c r="AV1908" s="4">
        <v>103</v>
      </c>
      <c r="AW1908" s="8">
        <v>3003.86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0.0362</v>
      </c>
      <c r="BC1908" s="4">
        <v>294</v>
      </c>
      <c r="BD1908" s="8">
        <v>8434.39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0.3561</v>
      </c>
      <c r="BJ1908" s="4">
        <v>353</v>
      </c>
      <c r="BK1908" s="8">
        <v>7307.31</v>
      </c>
      <c r="BL1908" s="2" t="s">
        <v>6275</v>
      </c>
      <c r="BM1908" s="7">
        <v>0.0142</v>
      </c>
      <c r="BN1908" s="7">
        <v>0.0149</v>
      </c>
      <c r="BO1908" s="4">
        <v>5</v>
      </c>
      <c r="BP1908" s="8">
        <v>108.8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125</v>
      </c>
      <c r="BX1908" s="2" t="s">
        <v>5417</v>
      </c>
      <c r="BY1908" s="2" t="s">
        <v>113</v>
      </c>
      <c r="BZ1908" s="2" t="s">
        <v>100</v>
      </c>
    </row>
    <row r="1909">
      <c r="A1909" s="2" t="s">
        <v>6276</v>
      </c>
      <c r="B1909" s="2" t="s">
        <v>5764</v>
      </c>
      <c r="C1909" s="2" t="s">
        <v>88</v>
      </c>
      <c r="D1909" s="2" t="s">
        <v>4473</v>
      </c>
      <c r="E1909" s="2" t="s">
        <v>5768</v>
      </c>
      <c r="F1909" s="2" t="s">
        <v>6273</v>
      </c>
      <c r="G1909" s="2" t="s">
        <v>6273</v>
      </c>
      <c r="H1909" s="2" t="s">
        <v>6273</v>
      </c>
      <c r="I1909" s="2" t="s">
        <v>5768</v>
      </c>
      <c r="J1909" s="2" t="s">
        <v>247</v>
      </c>
      <c r="K1909" s="2" t="s">
        <v>198</v>
      </c>
      <c r="L1909" s="3">
        <v>26.4</v>
      </c>
      <c r="M1909" s="3">
        <v>27.72</v>
      </c>
      <c r="N1909" s="3">
        <v>54.99</v>
      </c>
      <c r="O1909" s="2" t="s">
        <v>97</v>
      </c>
      <c r="P1909" s="2" t="s">
        <v>119</v>
      </c>
      <c r="Q1909" s="2" t="s">
        <v>99</v>
      </c>
      <c r="R1909" s="2" t="s">
        <v>100</v>
      </c>
      <c r="S1909" s="2" t="s">
        <v>6274</v>
      </c>
      <c r="T1909" s="2" t="s">
        <v>280</v>
      </c>
      <c r="U1909" s="2" t="s">
        <v>100</v>
      </c>
      <c r="V1909" s="2" t="s">
        <v>146</v>
      </c>
      <c r="W1909" s="2" t="s">
        <v>183</v>
      </c>
      <c r="X1909" s="2" t="s">
        <v>100</v>
      </c>
      <c r="Y1909" s="2" t="s">
        <v>240</v>
      </c>
      <c r="Z1909" s="4">
        <v>1065</v>
      </c>
      <c r="AA1909" s="4">
        <f>=ROUNDDOWN(42.6,0)</f>
      </c>
      <c r="AB1909" s="5">
        <v>25</v>
      </c>
      <c r="AC1909" s="2" t="s">
        <v>6277</v>
      </c>
      <c r="AD1909" s="4">
        <v>200</v>
      </c>
      <c r="AE1909" s="4">
        <v>200</v>
      </c>
      <c r="AF1909" s="6">
        <v>69</v>
      </c>
      <c r="AG1909" s="6"/>
      <c r="AH1909" s="7">
        <v>0.9519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>
        <v>56</v>
      </c>
      <c r="AQ1909" s="8">
        <v>1523.76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0.5073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816</v>
      </c>
      <c r="BK1909" s="8">
        <v>21469.79</v>
      </c>
      <c r="BL1909" s="2" t="s">
        <v>6278</v>
      </c>
      <c r="BM1909" s="7">
        <v>0.0686</v>
      </c>
      <c r="BN1909" s="7">
        <v>0.071</v>
      </c>
      <c r="BO1909" s="4">
        <v>56</v>
      </c>
      <c r="BP1909" s="8">
        <v>1523.76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125</v>
      </c>
      <c r="BX1909" s="2" t="s">
        <v>6279</v>
      </c>
      <c r="BY1909" s="2" t="s">
        <v>113</v>
      </c>
      <c r="BZ1909" s="2" t="s">
        <v>100</v>
      </c>
    </row>
    <row r="1910">
      <c r="A1910" s="2" t="s">
        <v>6280</v>
      </c>
      <c r="B1910" s="2" t="s">
        <v>5764</v>
      </c>
      <c r="C1910" s="2" t="s">
        <v>88</v>
      </c>
      <c r="D1910" s="2" t="s">
        <v>4473</v>
      </c>
      <c r="E1910" s="2" t="s">
        <v>5768</v>
      </c>
      <c r="F1910" s="2" t="s">
        <v>6273</v>
      </c>
      <c r="G1910" s="2" t="s">
        <v>6273</v>
      </c>
      <c r="H1910" s="2" t="s">
        <v>6273</v>
      </c>
      <c r="I1910" s="2" t="s">
        <v>5768</v>
      </c>
      <c r="J1910" s="2" t="s">
        <v>714</v>
      </c>
      <c r="K1910" s="2" t="s">
        <v>198</v>
      </c>
      <c r="L1910" s="3">
        <v>31.85</v>
      </c>
      <c r="M1910" s="3">
        <v>33.44</v>
      </c>
      <c r="N1910" s="3">
        <v>64.99</v>
      </c>
      <c r="O1910" s="2" t="s">
        <v>97</v>
      </c>
      <c r="P1910" s="2" t="s">
        <v>119</v>
      </c>
      <c r="Q1910" s="2" t="s">
        <v>99</v>
      </c>
      <c r="R1910" s="2" t="s">
        <v>100</v>
      </c>
      <c r="S1910" s="2" t="s">
        <v>6274</v>
      </c>
      <c r="T1910" s="2" t="s">
        <v>280</v>
      </c>
      <c r="U1910" s="2" t="s">
        <v>100</v>
      </c>
      <c r="V1910" s="2" t="s">
        <v>146</v>
      </c>
      <c r="W1910" s="2" t="s">
        <v>183</v>
      </c>
      <c r="X1910" s="2" t="s">
        <v>100</v>
      </c>
      <c r="Y1910" s="2" t="s">
        <v>240</v>
      </c>
      <c r="Z1910" s="4">
        <v>1098</v>
      </c>
      <c r="AA1910" s="4">
        <f>=ROUNDDOWN(45.75,0)</f>
      </c>
      <c r="AB1910" s="5">
        <v>24</v>
      </c>
      <c r="AC1910" s="2" t="s">
        <v>241</v>
      </c>
      <c r="AD1910" s="4">
        <v>700</v>
      </c>
      <c r="AE1910" s="4">
        <v>759</v>
      </c>
      <c r="AF1910" s="6">
        <v>69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>
        <v>42</v>
      </c>
      <c r="AQ1910" s="8">
        <v>1371.3</v>
      </c>
      <c r="AR1910" s="4"/>
      <c r="AS1910" s="8"/>
      <c r="AT1910" s="7"/>
      <c r="AU1910" s="7"/>
      <c r="AV1910" s="4" t="s">
        <v>100</v>
      </c>
      <c r="AW1910" s="8" t="s">
        <v>100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0.4565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 t="s">
        <v>100</v>
      </c>
      <c r="BJ1910" s="4">
        <v>743</v>
      </c>
      <c r="BK1910" s="8">
        <v>22057.11</v>
      </c>
      <c r="BL1910" s="2" t="s">
        <v>6281</v>
      </c>
      <c r="BM1910" s="7">
        <v>0.0565</v>
      </c>
      <c r="BN1910" s="7">
        <v>0.0622</v>
      </c>
      <c r="BO1910" s="4">
        <v>42</v>
      </c>
      <c r="BP1910" s="8">
        <v>1371.3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125</v>
      </c>
      <c r="BX1910" s="2" t="s">
        <v>5502</v>
      </c>
      <c r="BY1910" s="2" t="s">
        <v>113</v>
      </c>
      <c r="BZ1910" s="2" t="s">
        <v>100</v>
      </c>
    </row>
    <row r="1911">
      <c r="A1911" s="2" t="s">
        <v>6282</v>
      </c>
      <c r="B1911" s="2" t="s">
        <v>5764</v>
      </c>
      <c r="C1911" s="2" t="s">
        <v>88</v>
      </c>
      <c r="D1911" s="2" t="s">
        <v>4473</v>
      </c>
      <c r="E1911" s="2" t="s">
        <v>5768</v>
      </c>
      <c r="F1911" s="2" t="s">
        <v>6273</v>
      </c>
      <c r="G1911" s="2" t="s">
        <v>6273</v>
      </c>
      <c r="H1911" s="2" t="s">
        <v>6273</v>
      </c>
      <c r="I1911" s="2" t="s">
        <v>5768</v>
      </c>
      <c r="J1911" s="2" t="s">
        <v>1936</v>
      </c>
      <c r="K1911" s="2" t="s">
        <v>512</v>
      </c>
      <c r="L1911" s="3">
        <v>21.15</v>
      </c>
      <c r="M1911" s="3">
        <v>22.21</v>
      </c>
      <c r="N1911" s="3">
        <v>44.99</v>
      </c>
      <c r="O1911" s="2" t="s">
        <v>97</v>
      </c>
      <c r="P1911" s="2" t="s">
        <v>119</v>
      </c>
      <c r="Q1911" s="2" t="s">
        <v>99</v>
      </c>
      <c r="R1911" s="2" t="s">
        <v>100</v>
      </c>
      <c r="S1911" s="2" t="s">
        <v>6283</v>
      </c>
      <c r="T1911" s="2" t="s">
        <v>280</v>
      </c>
      <c r="U1911" s="2" t="s">
        <v>100</v>
      </c>
      <c r="V1911" s="2" t="s">
        <v>146</v>
      </c>
      <c r="W1911" s="2" t="s">
        <v>183</v>
      </c>
      <c r="X1911" s="2" t="s">
        <v>100</v>
      </c>
      <c r="Y1911" s="2" t="s">
        <v>240</v>
      </c>
      <c r="Z1911" s="4">
        <v>652</v>
      </c>
      <c r="AA1911" s="4">
        <f>=ROUNDDOWN(34.3157894736842,0)</f>
      </c>
      <c r="AB1911" s="5">
        <v>19</v>
      </c>
      <c r="AC1911" s="2" t="s">
        <v>241</v>
      </c>
      <c r="AD1911" s="4">
        <v>700</v>
      </c>
      <c r="AE1911" s="4">
        <v>960</v>
      </c>
      <c r="AF1911" s="6">
        <v>69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>
        <v>42</v>
      </c>
      <c r="AQ1911" s="8">
        <v>913.92</v>
      </c>
      <c r="AR1911" s="4"/>
      <c r="AS1911" s="8"/>
      <c r="AT1911" s="7"/>
      <c r="AU1911" s="7"/>
      <c r="AV1911" s="4">
        <v>77</v>
      </c>
      <c r="AW1911" s="8">
        <v>2007.71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0.4552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0.238</v>
      </c>
      <c r="BJ1911" s="4">
        <v>503</v>
      </c>
      <c r="BK1911" s="8">
        <v>10410</v>
      </c>
      <c r="BL1911" s="2" t="s">
        <v>6284</v>
      </c>
      <c r="BM1911" s="7">
        <v>0.0835</v>
      </c>
      <c r="BN1911" s="7">
        <v>0.0878</v>
      </c>
      <c r="BO1911" s="4">
        <v>42</v>
      </c>
      <c r="BP1911" s="8">
        <v>913.92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125</v>
      </c>
      <c r="BX1911" s="2" t="s">
        <v>2045</v>
      </c>
      <c r="BY1911" s="2" t="s">
        <v>113</v>
      </c>
      <c r="BZ1911" s="2" t="s">
        <v>100</v>
      </c>
    </row>
    <row r="1912">
      <c r="A1912" s="2" t="s">
        <v>6285</v>
      </c>
      <c r="B1912" s="2" t="s">
        <v>5764</v>
      </c>
      <c r="C1912" s="2" t="s">
        <v>88</v>
      </c>
      <c r="D1912" s="2" t="s">
        <v>4473</v>
      </c>
      <c r="E1912" s="2" t="s">
        <v>5768</v>
      </c>
      <c r="F1912" s="2" t="s">
        <v>6273</v>
      </c>
      <c r="G1912" s="2" t="s">
        <v>6273</v>
      </c>
      <c r="H1912" s="2" t="s">
        <v>6273</v>
      </c>
      <c r="I1912" s="2" t="s">
        <v>5768</v>
      </c>
      <c r="J1912" s="2" t="s">
        <v>247</v>
      </c>
      <c r="K1912" s="2" t="s">
        <v>512</v>
      </c>
      <c r="L1912" s="3">
        <v>26.4</v>
      </c>
      <c r="M1912" s="3">
        <v>27.72</v>
      </c>
      <c r="N1912" s="3">
        <v>54.99</v>
      </c>
      <c r="O1912" s="2" t="s">
        <v>97</v>
      </c>
      <c r="P1912" s="2" t="s">
        <v>119</v>
      </c>
      <c r="Q1912" s="2" t="s">
        <v>99</v>
      </c>
      <c r="R1912" s="2" t="s">
        <v>100</v>
      </c>
      <c r="S1912" s="2" t="s">
        <v>6283</v>
      </c>
      <c r="T1912" s="2" t="s">
        <v>280</v>
      </c>
      <c r="U1912" s="2" t="s">
        <v>100</v>
      </c>
      <c r="V1912" s="2" t="s">
        <v>146</v>
      </c>
      <c r="W1912" s="2" t="s">
        <v>183</v>
      </c>
      <c r="X1912" s="2" t="s">
        <v>100</v>
      </c>
      <c r="Y1912" s="2" t="s">
        <v>240</v>
      </c>
      <c r="Z1912" s="4">
        <v>765</v>
      </c>
      <c r="AA1912" s="4">
        <f>=ROUNDDOWN(28.3333333333333,0)</f>
      </c>
      <c r="AB1912" s="5">
        <v>27</v>
      </c>
      <c r="AC1912" s="2" t="s">
        <v>241</v>
      </c>
      <c r="AD1912" s="4">
        <v>350</v>
      </c>
      <c r="AE1912" s="4">
        <v>970</v>
      </c>
      <c r="AF1912" s="6">
        <v>69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>
        <v>9</v>
      </c>
      <c r="AQ1912" s="8">
        <v>244.89</v>
      </c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0.122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784</v>
      </c>
      <c r="BK1912" s="8">
        <v>20563.62</v>
      </c>
      <c r="BL1912" s="2" t="s">
        <v>6286</v>
      </c>
      <c r="BM1912" s="7">
        <v>0.0115</v>
      </c>
      <c r="BN1912" s="7">
        <v>0.0119</v>
      </c>
      <c r="BO1912" s="4">
        <v>9</v>
      </c>
      <c r="BP1912" s="8">
        <v>244.89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125</v>
      </c>
      <c r="BX1912" s="2" t="s">
        <v>6287</v>
      </c>
      <c r="BY1912" s="2" t="s">
        <v>113</v>
      </c>
      <c r="BZ1912" s="2" t="s">
        <v>100</v>
      </c>
    </row>
    <row r="1913">
      <c r="A1913" s="2" t="s">
        <v>6288</v>
      </c>
      <c r="B1913" s="2" t="s">
        <v>5764</v>
      </c>
      <c r="C1913" s="2" t="s">
        <v>88</v>
      </c>
      <c r="D1913" s="2" t="s">
        <v>4473</v>
      </c>
      <c r="E1913" s="2" t="s">
        <v>5768</v>
      </c>
      <c r="F1913" s="2" t="s">
        <v>6273</v>
      </c>
      <c r="G1913" s="2" t="s">
        <v>6273</v>
      </c>
      <c r="H1913" s="2" t="s">
        <v>6273</v>
      </c>
      <c r="I1913" s="2" t="s">
        <v>5768</v>
      </c>
      <c r="J1913" s="2" t="s">
        <v>714</v>
      </c>
      <c r="K1913" s="2" t="s">
        <v>512</v>
      </c>
      <c r="L1913" s="3">
        <v>31.85</v>
      </c>
      <c r="M1913" s="3">
        <v>33.44</v>
      </c>
      <c r="N1913" s="3">
        <v>64.99</v>
      </c>
      <c r="O1913" s="2" t="s">
        <v>97</v>
      </c>
      <c r="P1913" s="2" t="s">
        <v>119</v>
      </c>
      <c r="Q1913" s="2" t="s">
        <v>99</v>
      </c>
      <c r="R1913" s="2" t="s">
        <v>100</v>
      </c>
      <c r="S1913" s="2" t="s">
        <v>6283</v>
      </c>
      <c r="T1913" s="2" t="s">
        <v>280</v>
      </c>
      <c r="U1913" s="2" t="s">
        <v>100</v>
      </c>
      <c r="V1913" s="2" t="s">
        <v>146</v>
      </c>
      <c r="W1913" s="2" t="s">
        <v>183</v>
      </c>
      <c r="X1913" s="2" t="s">
        <v>100</v>
      </c>
      <c r="Y1913" s="2" t="s">
        <v>240</v>
      </c>
      <c r="Z1913" s="4">
        <v>716</v>
      </c>
      <c r="AA1913" s="4">
        <f>=ROUNDDOWN(37.6842105263158,0)</f>
      </c>
      <c r="AB1913" s="5">
        <v>19</v>
      </c>
      <c r="AC1913" s="2" t="s">
        <v>241</v>
      </c>
      <c r="AD1913" s="4">
        <v>420</v>
      </c>
      <c r="AE1913" s="4">
        <v>660</v>
      </c>
      <c r="AF1913" s="6">
        <v>69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>
        <v>26</v>
      </c>
      <c r="AQ1913" s="8">
        <v>848.9</v>
      </c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0.4228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611</v>
      </c>
      <c r="BK1913" s="8">
        <v>18912.41</v>
      </c>
      <c r="BL1913" s="2" t="s">
        <v>6289</v>
      </c>
      <c r="BM1913" s="7">
        <v>0.0426</v>
      </c>
      <c r="BN1913" s="7">
        <v>0.0449</v>
      </c>
      <c r="BO1913" s="4">
        <v>26</v>
      </c>
      <c r="BP1913" s="8">
        <v>848.9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125</v>
      </c>
      <c r="BX1913" s="2" t="s">
        <v>5504</v>
      </c>
      <c r="BY1913" s="2" t="s">
        <v>113</v>
      </c>
      <c r="BZ1913" s="2" t="s">
        <v>100</v>
      </c>
    </row>
    <row r="1914">
      <c r="A1914" s="2" t="s">
        <v>6290</v>
      </c>
      <c r="B1914" s="2" t="s">
        <v>5764</v>
      </c>
      <c r="C1914" s="2" t="s">
        <v>88</v>
      </c>
      <c r="D1914" s="2" t="s">
        <v>4473</v>
      </c>
      <c r="E1914" s="2" t="s">
        <v>5768</v>
      </c>
      <c r="F1914" s="2" t="s">
        <v>6273</v>
      </c>
      <c r="G1914" s="2" t="s">
        <v>6273</v>
      </c>
      <c r="H1914" s="2" t="s">
        <v>6273</v>
      </c>
      <c r="I1914" s="2" t="s">
        <v>5768</v>
      </c>
      <c r="J1914" s="2" t="s">
        <v>1936</v>
      </c>
      <c r="K1914" s="2" t="s">
        <v>189</v>
      </c>
      <c r="L1914" s="3">
        <v>21.15</v>
      </c>
      <c r="M1914" s="3">
        <v>22.21</v>
      </c>
      <c r="N1914" s="3">
        <v>44.99</v>
      </c>
      <c r="O1914" s="2" t="s">
        <v>97</v>
      </c>
      <c r="P1914" s="2" t="s">
        <v>119</v>
      </c>
      <c r="Q1914" s="2" t="s">
        <v>99</v>
      </c>
      <c r="R1914" s="2" t="s">
        <v>100</v>
      </c>
      <c r="S1914" s="2" t="s">
        <v>6291</v>
      </c>
      <c r="T1914" s="2" t="s">
        <v>280</v>
      </c>
      <c r="U1914" s="2" t="s">
        <v>100</v>
      </c>
      <c r="V1914" s="2" t="s">
        <v>146</v>
      </c>
      <c r="W1914" s="2" t="s">
        <v>183</v>
      </c>
      <c r="X1914" s="2" t="s">
        <v>100</v>
      </c>
      <c r="Y1914" s="2" t="s">
        <v>240</v>
      </c>
      <c r="Z1914" s="4">
        <v>231</v>
      </c>
      <c r="AA1914" s="4">
        <f>=ROUNDDOWN(13.5087719298246,0)</f>
      </c>
      <c r="AB1914" s="5">
        <v>17.1</v>
      </c>
      <c r="AC1914" s="2" t="s">
        <v>241</v>
      </c>
      <c r="AD1914" s="4">
        <v>700</v>
      </c>
      <c r="AE1914" s="4">
        <v>1390</v>
      </c>
      <c r="AF1914" s="6">
        <v>69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>
        <v>1</v>
      </c>
      <c r="AQ1914" s="8">
        <v>21.76</v>
      </c>
      <c r="AR1914" s="4"/>
      <c r="AS1914" s="8"/>
      <c r="AT1914" s="7"/>
      <c r="AU1914" s="7"/>
      <c r="AV1914" s="4">
        <v>42</v>
      </c>
      <c r="AW1914" s="8">
        <v>1322.33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0.0165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0.1568</v>
      </c>
      <c r="BJ1914" s="4">
        <v>538</v>
      </c>
      <c r="BK1914" s="8">
        <v>11298.77</v>
      </c>
      <c r="BL1914" s="2" t="s">
        <v>6292</v>
      </c>
      <c r="BM1914" s="7">
        <v>0.0019</v>
      </c>
      <c r="BN1914" s="7">
        <v>0.0019</v>
      </c>
      <c r="BO1914" s="4">
        <v>1</v>
      </c>
      <c r="BP1914" s="8">
        <v>21.76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125</v>
      </c>
      <c r="BX1914" s="2" t="s">
        <v>6293</v>
      </c>
      <c r="BY1914" s="2" t="s">
        <v>113</v>
      </c>
      <c r="BZ1914" s="2" t="s">
        <v>100</v>
      </c>
    </row>
    <row r="1915">
      <c r="A1915" s="2" t="s">
        <v>6294</v>
      </c>
      <c r="B1915" s="2" t="s">
        <v>5764</v>
      </c>
      <c r="C1915" s="2" t="s">
        <v>88</v>
      </c>
      <c r="D1915" s="2" t="s">
        <v>4473</v>
      </c>
      <c r="E1915" s="2" t="s">
        <v>5768</v>
      </c>
      <c r="F1915" s="2" t="s">
        <v>6273</v>
      </c>
      <c r="G1915" s="2" t="s">
        <v>6273</v>
      </c>
      <c r="H1915" s="2" t="s">
        <v>6273</v>
      </c>
      <c r="I1915" s="2" t="s">
        <v>5768</v>
      </c>
      <c r="J1915" s="2" t="s">
        <v>247</v>
      </c>
      <c r="K1915" s="2" t="s">
        <v>189</v>
      </c>
      <c r="L1915" s="3">
        <v>26.4</v>
      </c>
      <c r="M1915" s="3">
        <v>27.72</v>
      </c>
      <c r="N1915" s="3">
        <v>54.99</v>
      </c>
      <c r="O1915" s="2" t="s">
        <v>97</v>
      </c>
      <c r="P1915" s="2" t="s">
        <v>119</v>
      </c>
      <c r="Q1915" s="2" t="s">
        <v>99</v>
      </c>
      <c r="R1915" s="2" t="s">
        <v>100</v>
      </c>
      <c r="S1915" s="2" t="s">
        <v>6291</v>
      </c>
      <c r="T1915" s="2" t="s">
        <v>280</v>
      </c>
      <c r="U1915" s="2" t="s">
        <v>100</v>
      </c>
      <c r="V1915" s="2" t="s">
        <v>146</v>
      </c>
      <c r="W1915" s="2" t="s">
        <v>183</v>
      </c>
      <c r="X1915" s="2" t="s">
        <v>100</v>
      </c>
      <c r="Y1915" s="2" t="s">
        <v>240</v>
      </c>
      <c r="Z1915" s="4">
        <v>915</v>
      </c>
      <c r="AA1915" s="4">
        <f>=ROUNDDOWN(27.7272727272727,0)</f>
      </c>
      <c r="AB1915" s="5">
        <v>33</v>
      </c>
      <c r="AC1915" s="2" t="s">
        <v>241</v>
      </c>
      <c r="AD1915" s="4">
        <v>560</v>
      </c>
      <c r="AE1915" s="4">
        <v>1329</v>
      </c>
      <c r="AF1915" s="6">
        <v>69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>
        <v>7</v>
      </c>
      <c r="AQ1915" s="8">
        <v>190.47</v>
      </c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0.144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1225</v>
      </c>
      <c r="BK1915" s="8">
        <v>31782.35</v>
      </c>
      <c r="BL1915" s="2" t="s">
        <v>6295</v>
      </c>
      <c r="BM1915" s="7">
        <v>0.0057</v>
      </c>
      <c r="BN1915" s="7">
        <v>0.006</v>
      </c>
      <c r="BO1915" s="4">
        <v>7</v>
      </c>
      <c r="BP1915" s="8">
        <v>190.47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125</v>
      </c>
      <c r="BX1915" s="2" t="s">
        <v>6287</v>
      </c>
      <c r="BY1915" s="2" t="s">
        <v>113</v>
      </c>
      <c r="BZ1915" s="2" t="s">
        <v>100</v>
      </c>
    </row>
    <row r="1916">
      <c r="A1916" s="2" t="s">
        <v>6296</v>
      </c>
      <c r="B1916" s="2" t="s">
        <v>5764</v>
      </c>
      <c r="C1916" s="2" t="s">
        <v>88</v>
      </c>
      <c r="D1916" s="2" t="s">
        <v>4473</v>
      </c>
      <c r="E1916" s="2" t="s">
        <v>5768</v>
      </c>
      <c r="F1916" s="2" t="s">
        <v>6273</v>
      </c>
      <c r="G1916" s="2" t="s">
        <v>6273</v>
      </c>
      <c r="H1916" s="2" t="s">
        <v>6273</v>
      </c>
      <c r="I1916" s="2" t="s">
        <v>5768</v>
      </c>
      <c r="J1916" s="2" t="s">
        <v>714</v>
      </c>
      <c r="K1916" s="2" t="s">
        <v>189</v>
      </c>
      <c r="L1916" s="3">
        <v>31.85</v>
      </c>
      <c r="M1916" s="3">
        <v>33.44</v>
      </c>
      <c r="N1916" s="3">
        <v>64.99</v>
      </c>
      <c r="O1916" s="2" t="s">
        <v>97</v>
      </c>
      <c r="P1916" s="2" t="s">
        <v>119</v>
      </c>
      <c r="Q1916" s="2" t="s">
        <v>99</v>
      </c>
      <c r="R1916" s="2" t="s">
        <v>100</v>
      </c>
      <c r="S1916" s="2" t="s">
        <v>6291</v>
      </c>
      <c r="T1916" s="2" t="s">
        <v>280</v>
      </c>
      <c r="U1916" s="2" t="s">
        <v>100</v>
      </c>
      <c r="V1916" s="2" t="s">
        <v>146</v>
      </c>
      <c r="W1916" s="2" t="s">
        <v>183</v>
      </c>
      <c r="X1916" s="2" t="s">
        <v>100</v>
      </c>
      <c r="Y1916" s="2" t="s">
        <v>240</v>
      </c>
      <c r="Z1916" s="4">
        <v>1148</v>
      </c>
      <c r="AA1916" s="4">
        <f>=ROUNDDOWN(34.7878787878788,0)</f>
      </c>
      <c r="AB1916" s="5">
        <v>33</v>
      </c>
      <c r="AC1916" s="2" t="s">
        <v>2746</v>
      </c>
      <c r="AD1916" s="4">
        <v>100</v>
      </c>
      <c r="AE1916" s="4">
        <v>250</v>
      </c>
      <c r="AF1916" s="6">
        <v>69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>
        <v>34</v>
      </c>
      <c r="AQ1916" s="8">
        <v>1110.1</v>
      </c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>
        <v>0.8395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887</v>
      </c>
      <c r="BK1916" s="8">
        <v>27407.82</v>
      </c>
      <c r="BL1916" s="2" t="s">
        <v>6297</v>
      </c>
      <c r="BM1916" s="7">
        <v>0.0383</v>
      </c>
      <c r="BN1916" s="7">
        <v>0.0405</v>
      </c>
      <c r="BO1916" s="4">
        <v>34</v>
      </c>
      <c r="BP1916" s="8">
        <v>1110.1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125</v>
      </c>
      <c r="BX1916" s="2" t="s">
        <v>5504</v>
      </c>
      <c r="BY1916" s="2" t="s">
        <v>113</v>
      </c>
      <c r="BZ1916" s="2" t="s">
        <v>100</v>
      </c>
    </row>
    <row r="1917">
      <c r="A1917" s="2" t="s">
        <v>6298</v>
      </c>
      <c r="B1917" s="2" t="s">
        <v>5764</v>
      </c>
      <c r="C1917" s="2" t="s">
        <v>88</v>
      </c>
      <c r="D1917" s="2" t="s">
        <v>4473</v>
      </c>
      <c r="E1917" s="2" t="s">
        <v>5768</v>
      </c>
      <c r="F1917" s="2" t="s">
        <v>6273</v>
      </c>
      <c r="G1917" s="2" t="s">
        <v>6273</v>
      </c>
      <c r="H1917" s="2" t="s">
        <v>6273</v>
      </c>
      <c r="I1917" s="2" t="s">
        <v>5768</v>
      </c>
      <c r="J1917" s="2" t="s">
        <v>1936</v>
      </c>
      <c r="K1917" s="2" t="s">
        <v>118</v>
      </c>
      <c r="L1917" s="3">
        <v>21.15</v>
      </c>
      <c r="M1917" s="3">
        <v>22.21</v>
      </c>
      <c r="N1917" s="3">
        <v>44.99</v>
      </c>
      <c r="O1917" s="2" t="s">
        <v>97</v>
      </c>
      <c r="P1917" s="2" t="s">
        <v>119</v>
      </c>
      <c r="Q1917" s="2" t="s">
        <v>99</v>
      </c>
      <c r="R1917" s="2" t="s">
        <v>100</v>
      </c>
      <c r="S1917" s="2" t="s">
        <v>6299</v>
      </c>
      <c r="T1917" s="2" t="s">
        <v>280</v>
      </c>
      <c r="U1917" s="2" t="s">
        <v>100</v>
      </c>
      <c r="V1917" s="2" t="s">
        <v>146</v>
      </c>
      <c r="W1917" s="2" t="s">
        <v>183</v>
      </c>
      <c r="X1917" s="2" t="s">
        <v>100</v>
      </c>
      <c r="Y1917" s="2" t="s">
        <v>240</v>
      </c>
      <c r="Z1917" s="4">
        <v>291</v>
      </c>
      <c r="AA1917" s="4">
        <f>=ROUNDDOWN(32.3333333333333,0)</f>
      </c>
      <c r="AB1917" s="5">
        <v>9</v>
      </c>
      <c r="AC1917" s="2" t="s">
        <v>4334</v>
      </c>
      <c r="AD1917" s="4">
        <v>320</v>
      </c>
      <c r="AE1917" s="4">
        <v>400</v>
      </c>
      <c r="AF1917" s="6">
        <v>69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>
        <v>35</v>
      </c>
      <c r="AW1917" s="8">
        <v>1006.75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0.1194</v>
      </c>
      <c r="BJ1917" s="4">
        <v>242</v>
      </c>
      <c r="BK1917" s="8">
        <v>5026.31</v>
      </c>
      <c r="BL1917" s="2" t="s">
        <v>6300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125</v>
      </c>
      <c r="BX1917" s="2" t="s">
        <v>6301</v>
      </c>
      <c r="BY1917" s="2" t="s">
        <v>113</v>
      </c>
      <c r="BZ1917" s="2" t="s">
        <v>100</v>
      </c>
    </row>
    <row r="1918">
      <c r="A1918" s="2" t="s">
        <v>6302</v>
      </c>
      <c r="B1918" s="2" t="s">
        <v>5764</v>
      </c>
      <c r="C1918" s="2" t="s">
        <v>88</v>
      </c>
      <c r="D1918" s="2" t="s">
        <v>4473</v>
      </c>
      <c r="E1918" s="2" t="s">
        <v>5768</v>
      </c>
      <c r="F1918" s="2" t="s">
        <v>6273</v>
      </c>
      <c r="G1918" s="2" t="s">
        <v>6273</v>
      </c>
      <c r="H1918" s="2" t="s">
        <v>6273</v>
      </c>
      <c r="I1918" s="2" t="s">
        <v>5768</v>
      </c>
      <c r="J1918" s="2" t="s">
        <v>247</v>
      </c>
      <c r="K1918" s="2" t="s">
        <v>118</v>
      </c>
      <c r="L1918" s="3">
        <v>26.4</v>
      </c>
      <c r="M1918" s="3">
        <v>27.72</v>
      </c>
      <c r="N1918" s="3">
        <v>54.99</v>
      </c>
      <c r="O1918" s="2" t="s">
        <v>97</v>
      </c>
      <c r="P1918" s="2" t="s">
        <v>119</v>
      </c>
      <c r="Q1918" s="2" t="s">
        <v>99</v>
      </c>
      <c r="R1918" s="2" t="s">
        <v>100</v>
      </c>
      <c r="S1918" s="2" t="s">
        <v>6299</v>
      </c>
      <c r="T1918" s="2" t="s">
        <v>280</v>
      </c>
      <c r="U1918" s="2" t="s">
        <v>100</v>
      </c>
      <c r="V1918" s="2" t="s">
        <v>146</v>
      </c>
      <c r="W1918" s="2" t="s">
        <v>183</v>
      </c>
      <c r="X1918" s="2" t="s">
        <v>100</v>
      </c>
      <c r="Y1918" s="2" t="s">
        <v>240</v>
      </c>
      <c r="Z1918" s="4">
        <v>783</v>
      </c>
      <c r="AA1918" s="4">
        <f>=ROUNDDOWN(31.32,0)</f>
      </c>
      <c r="AB1918" s="5">
        <v>25</v>
      </c>
      <c r="AC1918" s="2" t="s">
        <v>241</v>
      </c>
      <c r="AD1918" s="4">
        <v>900</v>
      </c>
      <c r="AE1918" s="4">
        <v>1605</v>
      </c>
      <c r="AF1918" s="6">
        <v>69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>
        <v>25</v>
      </c>
      <c r="AQ1918" s="8">
        <v>680.25</v>
      </c>
      <c r="AR1918" s="4"/>
      <c r="AS1918" s="8"/>
      <c r="AT1918" s="7"/>
      <c r="AU1918" s="7"/>
      <c r="AV1918" s="4" t="s">
        <v>100</v>
      </c>
      <c r="AW1918" s="8" t="s">
        <v>100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>
        <v>0.6757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 t="s">
        <v>100</v>
      </c>
      <c r="BJ1918" s="4">
        <v>829</v>
      </c>
      <c r="BK1918" s="8">
        <v>21492.54</v>
      </c>
      <c r="BL1918" s="2" t="s">
        <v>6303</v>
      </c>
      <c r="BM1918" s="7">
        <v>0.0302</v>
      </c>
      <c r="BN1918" s="7">
        <v>0.0317</v>
      </c>
      <c r="BO1918" s="4">
        <v>25</v>
      </c>
      <c r="BP1918" s="8">
        <v>680.25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125</v>
      </c>
      <c r="BX1918" s="2" t="s">
        <v>916</v>
      </c>
      <c r="BY1918" s="2" t="s">
        <v>113</v>
      </c>
      <c r="BZ1918" s="2" t="s">
        <v>100</v>
      </c>
    </row>
    <row r="1919">
      <c r="A1919" s="2" t="s">
        <v>6304</v>
      </c>
      <c r="B1919" s="2" t="s">
        <v>5764</v>
      </c>
      <c r="C1919" s="2" t="s">
        <v>88</v>
      </c>
      <c r="D1919" s="2" t="s">
        <v>4473</v>
      </c>
      <c r="E1919" s="2" t="s">
        <v>5768</v>
      </c>
      <c r="F1919" s="2" t="s">
        <v>6273</v>
      </c>
      <c r="G1919" s="2" t="s">
        <v>6273</v>
      </c>
      <c r="H1919" s="2" t="s">
        <v>6273</v>
      </c>
      <c r="I1919" s="2" t="s">
        <v>5768</v>
      </c>
      <c r="J1919" s="2" t="s">
        <v>714</v>
      </c>
      <c r="K1919" s="2" t="s">
        <v>118</v>
      </c>
      <c r="L1919" s="3">
        <v>31.85</v>
      </c>
      <c r="M1919" s="3">
        <v>33.44</v>
      </c>
      <c r="N1919" s="3">
        <v>64.99</v>
      </c>
      <c r="O1919" s="2" t="s">
        <v>97</v>
      </c>
      <c r="P1919" s="2" t="s">
        <v>119</v>
      </c>
      <c r="Q1919" s="2" t="s">
        <v>99</v>
      </c>
      <c r="R1919" s="2" t="s">
        <v>100</v>
      </c>
      <c r="S1919" s="2" t="s">
        <v>6299</v>
      </c>
      <c r="T1919" s="2" t="s">
        <v>280</v>
      </c>
      <c r="U1919" s="2" t="s">
        <v>100</v>
      </c>
      <c r="V1919" s="2" t="s">
        <v>146</v>
      </c>
      <c r="W1919" s="2" t="s">
        <v>183</v>
      </c>
      <c r="X1919" s="2" t="s">
        <v>100</v>
      </c>
      <c r="Y1919" s="2" t="s">
        <v>240</v>
      </c>
      <c r="Z1919" s="4">
        <v>503</v>
      </c>
      <c r="AA1919" s="4">
        <f>=ROUNDDOWN(45.7272727272727,0)</f>
      </c>
      <c r="AB1919" s="5">
        <v>11</v>
      </c>
      <c r="AC1919" s="2" t="s">
        <v>241</v>
      </c>
      <c r="AD1919" s="4">
        <v>72</v>
      </c>
      <c r="AE1919" s="4">
        <v>750</v>
      </c>
      <c r="AF1919" s="6">
        <v>69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>
        <v>10</v>
      </c>
      <c r="AQ1919" s="8">
        <v>326.5</v>
      </c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0.3243</v>
      </c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308</v>
      </c>
      <c r="BK1919" s="8">
        <v>9585.67</v>
      </c>
      <c r="BL1919" s="2" t="s">
        <v>6305</v>
      </c>
      <c r="BM1919" s="7">
        <v>0.0325</v>
      </c>
      <c r="BN1919" s="7">
        <v>0.0341</v>
      </c>
      <c r="BO1919" s="4">
        <v>10</v>
      </c>
      <c r="BP1919" s="8">
        <v>326.5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125</v>
      </c>
      <c r="BX1919" s="2" t="s">
        <v>6306</v>
      </c>
      <c r="BY1919" s="2" t="s">
        <v>113</v>
      </c>
      <c r="BZ1919" s="2" t="s">
        <v>100</v>
      </c>
    </row>
    <row r="1920">
      <c r="A1920" s="2" t="s">
        <v>6307</v>
      </c>
      <c r="B1920" s="2" t="s">
        <v>5764</v>
      </c>
      <c r="C1920" s="2" t="s">
        <v>88</v>
      </c>
      <c r="D1920" s="2" t="s">
        <v>4473</v>
      </c>
      <c r="E1920" s="2" t="s">
        <v>5768</v>
      </c>
      <c r="F1920" s="2" t="s">
        <v>6273</v>
      </c>
      <c r="G1920" s="2" t="s">
        <v>6273</v>
      </c>
      <c r="H1920" s="2" t="s">
        <v>6273</v>
      </c>
      <c r="I1920" s="2" t="s">
        <v>5768</v>
      </c>
      <c r="J1920" s="2" t="s">
        <v>247</v>
      </c>
      <c r="K1920" s="2" t="s">
        <v>1614</v>
      </c>
      <c r="L1920" s="3">
        <v>26.4</v>
      </c>
      <c r="M1920" s="3">
        <v>27.72</v>
      </c>
      <c r="N1920" s="3">
        <v>54.99</v>
      </c>
      <c r="O1920" s="2" t="s">
        <v>97</v>
      </c>
      <c r="P1920" s="2" t="s">
        <v>119</v>
      </c>
      <c r="Q1920" s="2" t="s">
        <v>99</v>
      </c>
      <c r="R1920" s="2" t="s">
        <v>100</v>
      </c>
      <c r="S1920" s="2" t="s">
        <v>6308</v>
      </c>
      <c r="T1920" s="2" t="s">
        <v>280</v>
      </c>
      <c r="U1920" s="2" t="s">
        <v>100</v>
      </c>
      <c r="V1920" s="2" t="s">
        <v>146</v>
      </c>
      <c r="W1920" s="2" t="s">
        <v>183</v>
      </c>
      <c r="X1920" s="2" t="s">
        <v>100</v>
      </c>
      <c r="Y1920" s="2" t="s">
        <v>240</v>
      </c>
      <c r="Z1920" s="4">
        <v>834</v>
      </c>
      <c r="AA1920" s="4">
        <f>=ROUNDDOWN(46.3333333333333,0)</f>
      </c>
      <c r="AB1920" s="5">
        <v>18</v>
      </c>
      <c r="AC1920" s="2" t="s">
        <v>100</v>
      </c>
      <c r="AD1920" s="4"/>
      <c r="AE1920" s="4"/>
      <c r="AF1920" s="6">
        <v>69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>
        <v>1</v>
      </c>
      <c r="AQ1920" s="8">
        <v>27.21</v>
      </c>
      <c r="AR1920" s="4"/>
      <c r="AS1920" s="8"/>
      <c r="AT1920" s="7"/>
      <c r="AU1920" s="7"/>
      <c r="AV1920" s="4">
        <v>20</v>
      </c>
      <c r="AW1920" s="8">
        <v>647.56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0.042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0.0768</v>
      </c>
      <c r="BJ1920" s="4">
        <v>478</v>
      </c>
      <c r="BK1920" s="8">
        <v>12372.41</v>
      </c>
      <c r="BL1920" s="2" t="s">
        <v>6309</v>
      </c>
      <c r="BM1920" s="7">
        <v>0.0021</v>
      </c>
      <c r="BN1920" s="7">
        <v>0.0022</v>
      </c>
      <c r="BO1920" s="4">
        <v>1</v>
      </c>
      <c r="BP1920" s="8">
        <v>27.21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125</v>
      </c>
      <c r="BX1920" s="2" t="s">
        <v>6310</v>
      </c>
      <c r="BY1920" s="2" t="s">
        <v>113</v>
      </c>
      <c r="BZ1920" s="2" t="s">
        <v>100</v>
      </c>
    </row>
    <row r="1921">
      <c r="A1921" s="2" t="s">
        <v>6311</v>
      </c>
      <c r="B1921" s="2" t="s">
        <v>5764</v>
      </c>
      <c r="C1921" s="2" t="s">
        <v>88</v>
      </c>
      <c r="D1921" s="2" t="s">
        <v>4473</v>
      </c>
      <c r="E1921" s="2" t="s">
        <v>5768</v>
      </c>
      <c r="F1921" s="2" t="s">
        <v>6273</v>
      </c>
      <c r="G1921" s="2" t="s">
        <v>6273</v>
      </c>
      <c r="H1921" s="2" t="s">
        <v>6273</v>
      </c>
      <c r="I1921" s="2" t="s">
        <v>5768</v>
      </c>
      <c r="J1921" s="2" t="s">
        <v>714</v>
      </c>
      <c r="K1921" s="2" t="s">
        <v>1614</v>
      </c>
      <c r="L1921" s="3">
        <v>31.85</v>
      </c>
      <c r="M1921" s="3">
        <v>33.44</v>
      </c>
      <c r="N1921" s="3">
        <v>64.99</v>
      </c>
      <c r="O1921" s="2" t="s">
        <v>97</v>
      </c>
      <c r="P1921" s="2" t="s">
        <v>119</v>
      </c>
      <c r="Q1921" s="2" t="s">
        <v>99</v>
      </c>
      <c r="R1921" s="2" t="s">
        <v>100</v>
      </c>
      <c r="S1921" s="2" t="s">
        <v>6308</v>
      </c>
      <c r="T1921" s="2" t="s">
        <v>280</v>
      </c>
      <c r="U1921" s="2" t="s">
        <v>100</v>
      </c>
      <c r="V1921" s="2" t="s">
        <v>146</v>
      </c>
      <c r="W1921" s="2" t="s">
        <v>183</v>
      </c>
      <c r="X1921" s="2" t="s">
        <v>100</v>
      </c>
      <c r="Y1921" s="2" t="s">
        <v>240</v>
      </c>
      <c r="Z1921" s="4">
        <v>915</v>
      </c>
      <c r="AA1921" s="4">
        <f>=ROUNDDOWN(50.8333333333333,0)</f>
      </c>
      <c r="AB1921" s="5">
        <v>18</v>
      </c>
      <c r="AC1921" s="2" t="s">
        <v>241</v>
      </c>
      <c r="AD1921" s="4">
        <v>1020</v>
      </c>
      <c r="AE1921" s="4">
        <v>1070</v>
      </c>
      <c r="AF1921" s="6">
        <v>69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>
        <v>19</v>
      </c>
      <c r="AQ1921" s="8">
        <v>620.35</v>
      </c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0.958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 t="s">
        <v>100</v>
      </c>
      <c r="BJ1921" s="4">
        <v>441</v>
      </c>
      <c r="BK1921" s="8">
        <v>13297.58</v>
      </c>
      <c r="BL1921" s="2" t="s">
        <v>6312</v>
      </c>
      <c r="BM1921" s="7">
        <v>0.0431</v>
      </c>
      <c r="BN1921" s="7">
        <v>0.0467</v>
      </c>
      <c r="BO1921" s="4">
        <v>19</v>
      </c>
      <c r="BP1921" s="8">
        <v>620.35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125</v>
      </c>
      <c r="BX1921" s="2" t="s">
        <v>6313</v>
      </c>
      <c r="BY1921" s="2" t="s">
        <v>113</v>
      </c>
      <c r="BZ1921" s="2" t="s">
        <v>100</v>
      </c>
    </row>
    <row r="1922">
      <c r="A1922" s="2" t="s">
        <v>6314</v>
      </c>
      <c r="B1922" s="2" t="s">
        <v>5764</v>
      </c>
      <c r="C1922" s="2" t="s">
        <v>88</v>
      </c>
      <c r="D1922" s="2" t="s">
        <v>4473</v>
      </c>
      <c r="E1922" s="2" t="s">
        <v>5768</v>
      </c>
      <c r="F1922" s="2" t="s">
        <v>6273</v>
      </c>
      <c r="G1922" s="2" t="s">
        <v>6273</v>
      </c>
      <c r="H1922" s="2" t="s">
        <v>6273</v>
      </c>
      <c r="I1922" s="2" t="s">
        <v>5768</v>
      </c>
      <c r="J1922" s="2" t="s">
        <v>1936</v>
      </c>
      <c r="K1922" s="2" t="s">
        <v>2580</v>
      </c>
      <c r="L1922" s="3">
        <v>21.15</v>
      </c>
      <c r="M1922" s="3">
        <v>22.21</v>
      </c>
      <c r="N1922" s="3">
        <v>44.99</v>
      </c>
      <c r="O1922" s="2" t="s">
        <v>97</v>
      </c>
      <c r="P1922" s="2" t="s">
        <v>119</v>
      </c>
      <c r="Q1922" s="2" t="s">
        <v>99</v>
      </c>
      <c r="R1922" s="2" t="s">
        <v>100</v>
      </c>
      <c r="S1922" s="2" t="s">
        <v>6315</v>
      </c>
      <c r="T1922" s="2" t="s">
        <v>280</v>
      </c>
      <c r="U1922" s="2" t="s">
        <v>100</v>
      </c>
      <c r="V1922" s="2" t="s">
        <v>146</v>
      </c>
      <c r="W1922" s="2" t="s">
        <v>183</v>
      </c>
      <c r="X1922" s="2" t="s">
        <v>100</v>
      </c>
      <c r="Y1922" s="2" t="s">
        <v>240</v>
      </c>
      <c r="Z1922" s="4">
        <v>257</v>
      </c>
      <c r="AA1922" s="4">
        <f>=ROUNDDOWN(51.4,0)</f>
      </c>
      <c r="AB1922" s="5">
        <v>5</v>
      </c>
      <c r="AC1922" s="2" t="s">
        <v>6277</v>
      </c>
      <c r="AD1922" s="4">
        <v>70</v>
      </c>
      <c r="AE1922" s="4">
        <v>70</v>
      </c>
      <c r="AF1922" s="6">
        <v>69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>
        <v>7</v>
      </c>
      <c r="AQ1922" s="8">
        <v>152.32</v>
      </c>
      <c r="AR1922" s="4"/>
      <c r="AS1922" s="8"/>
      <c r="AT1922" s="7"/>
      <c r="AU1922" s="7"/>
      <c r="AV1922" s="4">
        <v>17</v>
      </c>
      <c r="AW1922" s="8">
        <v>446.18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0.3414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0.0529</v>
      </c>
      <c r="BJ1922" s="4">
        <v>165</v>
      </c>
      <c r="BK1922" s="8">
        <v>3408.14</v>
      </c>
      <c r="BL1922" s="2" t="s">
        <v>6316</v>
      </c>
      <c r="BM1922" s="7">
        <v>0.0424</v>
      </c>
      <c r="BN1922" s="7">
        <v>0.0447</v>
      </c>
      <c r="BO1922" s="4">
        <v>7</v>
      </c>
      <c r="BP1922" s="8">
        <v>152.32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125</v>
      </c>
      <c r="BX1922" s="2" t="s">
        <v>4495</v>
      </c>
      <c r="BY1922" s="2" t="s">
        <v>113</v>
      </c>
      <c r="BZ1922" s="2" t="s">
        <v>100</v>
      </c>
    </row>
    <row r="1923">
      <c r="A1923" s="2" t="s">
        <v>6317</v>
      </c>
      <c r="B1923" s="2" t="s">
        <v>5764</v>
      </c>
      <c r="C1923" s="2" t="s">
        <v>88</v>
      </c>
      <c r="D1923" s="2" t="s">
        <v>4473</v>
      </c>
      <c r="E1923" s="2" t="s">
        <v>5768</v>
      </c>
      <c r="F1923" s="2" t="s">
        <v>6273</v>
      </c>
      <c r="G1923" s="2" t="s">
        <v>6273</v>
      </c>
      <c r="H1923" s="2" t="s">
        <v>6273</v>
      </c>
      <c r="I1923" s="2" t="s">
        <v>5768</v>
      </c>
      <c r="J1923" s="2" t="s">
        <v>247</v>
      </c>
      <c r="K1923" s="2" t="s">
        <v>2580</v>
      </c>
      <c r="L1923" s="3">
        <v>26.4</v>
      </c>
      <c r="M1923" s="3">
        <v>27.72</v>
      </c>
      <c r="N1923" s="3">
        <v>54.99</v>
      </c>
      <c r="O1923" s="2" t="s">
        <v>97</v>
      </c>
      <c r="P1923" s="2" t="s">
        <v>119</v>
      </c>
      <c r="Q1923" s="2" t="s">
        <v>99</v>
      </c>
      <c r="R1923" s="2" t="s">
        <v>100</v>
      </c>
      <c r="S1923" s="2" t="s">
        <v>6315</v>
      </c>
      <c r="T1923" s="2" t="s">
        <v>280</v>
      </c>
      <c r="U1923" s="2" t="s">
        <v>100</v>
      </c>
      <c r="V1923" s="2" t="s">
        <v>146</v>
      </c>
      <c r="W1923" s="2" t="s">
        <v>183</v>
      </c>
      <c r="X1923" s="2" t="s">
        <v>100</v>
      </c>
      <c r="Y1923" s="2" t="s">
        <v>240</v>
      </c>
      <c r="Z1923" s="4">
        <v>308</v>
      </c>
      <c r="AA1923" s="4">
        <f>=ROUNDDOWN(28,0)</f>
      </c>
      <c r="AB1923" s="5">
        <v>11</v>
      </c>
      <c r="AC1923" s="2" t="s">
        <v>4334</v>
      </c>
      <c r="AD1923" s="4">
        <v>100</v>
      </c>
      <c r="AE1923" s="4">
        <v>200</v>
      </c>
      <c r="AF1923" s="6">
        <v>69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>
        <v>6</v>
      </c>
      <c r="AQ1923" s="8">
        <v>163.26</v>
      </c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0.3659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 t="s">
        <v>100</v>
      </c>
      <c r="BJ1923" s="4">
        <v>307</v>
      </c>
      <c r="BK1923" s="8">
        <v>8007</v>
      </c>
      <c r="BL1923" s="2" t="s">
        <v>6318</v>
      </c>
      <c r="BM1923" s="7">
        <v>0.0195</v>
      </c>
      <c r="BN1923" s="7">
        <v>0.0204</v>
      </c>
      <c r="BO1923" s="4">
        <v>6</v>
      </c>
      <c r="BP1923" s="8">
        <v>163.26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125</v>
      </c>
      <c r="BX1923" s="2" t="s">
        <v>6287</v>
      </c>
      <c r="BY1923" s="2" t="s">
        <v>113</v>
      </c>
      <c r="BZ1923" s="2" t="s">
        <v>100</v>
      </c>
    </row>
    <row r="1924">
      <c r="A1924" s="2" t="s">
        <v>6319</v>
      </c>
      <c r="B1924" s="2" t="s">
        <v>5764</v>
      </c>
      <c r="C1924" s="2" t="s">
        <v>88</v>
      </c>
      <c r="D1924" s="2" t="s">
        <v>4473</v>
      </c>
      <c r="E1924" s="2" t="s">
        <v>5768</v>
      </c>
      <c r="F1924" s="2" t="s">
        <v>6273</v>
      </c>
      <c r="G1924" s="2" t="s">
        <v>6273</v>
      </c>
      <c r="H1924" s="2" t="s">
        <v>6273</v>
      </c>
      <c r="I1924" s="2" t="s">
        <v>5768</v>
      </c>
      <c r="J1924" s="2" t="s">
        <v>714</v>
      </c>
      <c r="K1924" s="2" t="s">
        <v>2580</v>
      </c>
      <c r="L1924" s="3">
        <v>31.85</v>
      </c>
      <c r="M1924" s="3">
        <v>33.44</v>
      </c>
      <c r="N1924" s="3">
        <v>64.99</v>
      </c>
      <c r="O1924" s="2" t="s">
        <v>97</v>
      </c>
      <c r="P1924" s="2" t="s">
        <v>119</v>
      </c>
      <c r="Q1924" s="2" t="s">
        <v>99</v>
      </c>
      <c r="R1924" s="2" t="s">
        <v>100</v>
      </c>
      <c r="S1924" s="2" t="s">
        <v>6315</v>
      </c>
      <c r="T1924" s="2" t="s">
        <v>280</v>
      </c>
      <c r="U1924" s="2" t="s">
        <v>100</v>
      </c>
      <c r="V1924" s="2" t="s">
        <v>146</v>
      </c>
      <c r="W1924" s="2" t="s">
        <v>183</v>
      </c>
      <c r="X1924" s="2" t="s">
        <v>100</v>
      </c>
      <c r="Y1924" s="2" t="s">
        <v>240</v>
      </c>
      <c r="Z1924" s="4">
        <v>264</v>
      </c>
      <c r="AA1924" s="4">
        <f>=ROUNDDOWN(26.4,0)</f>
      </c>
      <c r="AB1924" s="5">
        <v>10</v>
      </c>
      <c r="AC1924" s="2" t="s">
        <v>4334</v>
      </c>
      <c r="AD1924" s="4">
        <v>150</v>
      </c>
      <c r="AE1924" s="4">
        <v>230</v>
      </c>
      <c r="AF1924" s="6">
        <v>69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>
        <v>4</v>
      </c>
      <c r="AQ1924" s="8">
        <v>130.6</v>
      </c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0.2927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 t="s">
        <v>100</v>
      </c>
      <c r="BJ1924" s="4">
        <v>260</v>
      </c>
      <c r="BK1924" s="8">
        <v>8121.22</v>
      </c>
      <c r="BL1924" s="2" t="s">
        <v>6320</v>
      </c>
      <c r="BM1924" s="7">
        <v>0.0154</v>
      </c>
      <c r="BN1924" s="7">
        <v>0.0161</v>
      </c>
      <c r="BO1924" s="4">
        <v>4</v>
      </c>
      <c r="BP1924" s="8">
        <v>130.6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125</v>
      </c>
      <c r="BX1924" s="2" t="s">
        <v>6321</v>
      </c>
      <c r="BY1924" s="2" t="s">
        <v>113</v>
      </c>
      <c r="BZ1924" s="2" t="s">
        <v>100</v>
      </c>
    </row>
    <row r="1925">
      <c r="A1925" s="2" t="s">
        <v>6322</v>
      </c>
      <c r="B1925" s="2" t="s">
        <v>5764</v>
      </c>
      <c r="C1925" s="2" t="s">
        <v>88</v>
      </c>
      <c r="D1925" s="2" t="s">
        <v>4473</v>
      </c>
      <c r="E1925" s="2" t="s">
        <v>5768</v>
      </c>
      <c r="F1925" s="2" t="s">
        <v>6273</v>
      </c>
      <c r="G1925" s="2" t="s">
        <v>6273</v>
      </c>
      <c r="H1925" s="2" t="s">
        <v>6273</v>
      </c>
      <c r="I1925" s="2" t="s">
        <v>5768</v>
      </c>
      <c r="J1925" s="2" t="s">
        <v>1936</v>
      </c>
      <c r="K1925" s="2" t="s">
        <v>1603</v>
      </c>
      <c r="L1925" s="3">
        <v>21.15</v>
      </c>
      <c r="M1925" s="3">
        <v>22.21</v>
      </c>
      <c r="N1925" s="3">
        <v>44.99</v>
      </c>
      <c r="O1925" s="2" t="s">
        <v>97</v>
      </c>
      <c r="P1925" s="2" t="s">
        <v>119</v>
      </c>
      <c r="Q1925" s="2" t="s">
        <v>99</v>
      </c>
      <c r="R1925" s="2" t="s">
        <v>100</v>
      </c>
      <c r="S1925" s="2" t="s">
        <v>6323</v>
      </c>
      <c r="T1925" s="2" t="s">
        <v>280</v>
      </c>
      <c r="U1925" s="2" t="s">
        <v>1847</v>
      </c>
      <c r="V1925" s="2" t="s">
        <v>146</v>
      </c>
      <c r="W1925" s="2" t="s">
        <v>183</v>
      </c>
      <c r="X1925" s="2" t="s">
        <v>100</v>
      </c>
      <c r="Y1925" s="2" t="s">
        <v>6324</v>
      </c>
      <c r="Z1925" s="4">
        <v>184</v>
      </c>
      <c r="AA1925" s="4">
        <f>=ROUNDDOWN(17.196261682243,0)</f>
      </c>
      <c r="AB1925" s="5">
        <v>10.7</v>
      </c>
      <c r="AC1925" s="2" t="s">
        <v>2746</v>
      </c>
      <c r="AD1925" s="4">
        <v>260</v>
      </c>
      <c r="AE1925" s="4">
        <v>310</v>
      </c>
      <c r="AF1925" s="6">
        <v>69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 t="s">
        <v>100</v>
      </c>
      <c r="BJ1925" s="4">
        <v>304</v>
      </c>
      <c r="BK1925" s="8">
        <v>6411.35</v>
      </c>
      <c r="BL1925" s="2" t="s">
        <v>6325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186</v>
      </c>
      <c r="BV1925" s="2" t="s">
        <v>97</v>
      </c>
      <c r="BW1925" s="2" t="s">
        <v>100</v>
      </c>
      <c r="BX1925" s="2" t="s">
        <v>100</v>
      </c>
      <c r="BY1925" s="2" t="s">
        <v>113</v>
      </c>
      <c r="BZ1925" s="2" t="s">
        <v>100</v>
      </c>
    </row>
    <row r="1926">
      <c r="A1926" s="2" t="s">
        <v>6326</v>
      </c>
      <c r="B1926" s="2" t="s">
        <v>5764</v>
      </c>
      <c r="C1926" s="2" t="s">
        <v>88</v>
      </c>
      <c r="D1926" s="2" t="s">
        <v>4473</v>
      </c>
      <c r="E1926" s="2" t="s">
        <v>5768</v>
      </c>
      <c r="F1926" s="2" t="s">
        <v>6273</v>
      </c>
      <c r="G1926" s="2" t="s">
        <v>6273</v>
      </c>
      <c r="H1926" s="2" t="s">
        <v>6273</v>
      </c>
      <c r="I1926" s="2" t="s">
        <v>5768</v>
      </c>
      <c r="J1926" s="2" t="s">
        <v>247</v>
      </c>
      <c r="K1926" s="2" t="s">
        <v>1603</v>
      </c>
      <c r="L1926" s="3">
        <v>26.4</v>
      </c>
      <c r="M1926" s="3">
        <v>27.72</v>
      </c>
      <c r="N1926" s="3">
        <v>54.99</v>
      </c>
      <c r="O1926" s="2" t="s">
        <v>97</v>
      </c>
      <c r="P1926" s="2" t="s">
        <v>119</v>
      </c>
      <c r="Q1926" s="2" t="s">
        <v>99</v>
      </c>
      <c r="R1926" s="2" t="s">
        <v>100</v>
      </c>
      <c r="S1926" s="2" t="s">
        <v>6323</v>
      </c>
      <c r="T1926" s="2" t="s">
        <v>280</v>
      </c>
      <c r="U1926" s="2" t="s">
        <v>1847</v>
      </c>
      <c r="V1926" s="2" t="s">
        <v>146</v>
      </c>
      <c r="W1926" s="2" t="s">
        <v>183</v>
      </c>
      <c r="X1926" s="2" t="s">
        <v>100</v>
      </c>
      <c r="Y1926" s="2" t="s">
        <v>6324</v>
      </c>
      <c r="Z1926" s="4">
        <v>340</v>
      </c>
      <c r="AA1926" s="4">
        <f>=ROUNDDOWN(17,0)</f>
      </c>
      <c r="AB1926" s="5">
        <v>20</v>
      </c>
      <c r="AC1926" s="2" t="s">
        <v>2746</v>
      </c>
      <c r="AD1926" s="4">
        <v>340</v>
      </c>
      <c r="AE1926" s="4">
        <v>490</v>
      </c>
      <c r="AF1926" s="6">
        <v>69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 t="s">
        <v>100</v>
      </c>
      <c r="BJ1926" s="4">
        <v>643</v>
      </c>
      <c r="BK1926" s="8">
        <v>16822.25</v>
      </c>
      <c r="BL1926" s="2" t="s">
        <v>6327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186</v>
      </c>
      <c r="BV1926" s="2" t="s">
        <v>97</v>
      </c>
      <c r="BW1926" s="2" t="s">
        <v>100</v>
      </c>
      <c r="BX1926" s="2" t="s">
        <v>100</v>
      </c>
      <c r="BY1926" s="2" t="s">
        <v>113</v>
      </c>
      <c r="BZ1926" s="2" t="s">
        <v>100</v>
      </c>
    </row>
    <row r="1927">
      <c r="A1927" s="2" t="s">
        <v>6328</v>
      </c>
      <c r="B1927" s="2" t="s">
        <v>5764</v>
      </c>
      <c r="C1927" s="2" t="s">
        <v>88</v>
      </c>
      <c r="D1927" s="2" t="s">
        <v>4473</v>
      </c>
      <c r="E1927" s="2" t="s">
        <v>5768</v>
      </c>
      <c r="F1927" s="2" t="s">
        <v>6273</v>
      </c>
      <c r="G1927" s="2" t="s">
        <v>6273</v>
      </c>
      <c r="H1927" s="2" t="s">
        <v>6273</v>
      </c>
      <c r="I1927" s="2" t="s">
        <v>5768</v>
      </c>
      <c r="J1927" s="2" t="s">
        <v>714</v>
      </c>
      <c r="K1927" s="2" t="s">
        <v>1603</v>
      </c>
      <c r="L1927" s="3">
        <v>31.85</v>
      </c>
      <c r="M1927" s="3">
        <v>33.44</v>
      </c>
      <c r="N1927" s="3">
        <v>64.99</v>
      </c>
      <c r="O1927" s="2" t="s">
        <v>97</v>
      </c>
      <c r="P1927" s="2" t="s">
        <v>119</v>
      </c>
      <c r="Q1927" s="2" t="s">
        <v>99</v>
      </c>
      <c r="R1927" s="2" t="s">
        <v>100</v>
      </c>
      <c r="S1927" s="2" t="s">
        <v>6323</v>
      </c>
      <c r="T1927" s="2" t="s">
        <v>280</v>
      </c>
      <c r="U1927" s="2" t="s">
        <v>1847</v>
      </c>
      <c r="V1927" s="2" t="s">
        <v>146</v>
      </c>
      <c r="W1927" s="2" t="s">
        <v>183</v>
      </c>
      <c r="X1927" s="2" t="s">
        <v>100</v>
      </c>
      <c r="Y1927" s="2" t="s">
        <v>6324</v>
      </c>
      <c r="Z1927" s="4">
        <v>416</v>
      </c>
      <c r="AA1927" s="4">
        <f>=ROUNDDOWN(32,0)</f>
      </c>
      <c r="AB1927" s="5">
        <v>13</v>
      </c>
      <c r="AC1927" s="2" t="s">
        <v>2746</v>
      </c>
      <c r="AD1927" s="4">
        <v>150</v>
      </c>
      <c r="AE1927" s="4">
        <v>180</v>
      </c>
      <c r="AF1927" s="6">
        <v>69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/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 t="s">
        <v>100</v>
      </c>
      <c r="BJ1927" s="4">
        <v>383</v>
      </c>
      <c r="BK1927" s="8">
        <v>12105.36</v>
      </c>
      <c r="BL1927" s="2" t="s">
        <v>1336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186</v>
      </c>
      <c r="BV1927" s="2" t="s">
        <v>97</v>
      </c>
      <c r="BW1927" s="2" t="s">
        <v>100</v>
      </c>
      <c r="BX1927" s="2" t="s">
        <v>100</v>
      </c>
      <c r="BY1927" s="2" t="s">
        <v>113</v>
      </c>
      <c r="BZ1927" s="2" t="s">
        <v>100</v>
      </c>
    </row>
    <row r="1928">
      <c r="A1928" s="2" t="s">
        <v>6329</v>
      </c>
      <c r="B1928" s="2" t="s">
        <v>5764</v>
      </c>
      <c r="C1928" s="2" t="s">
        <v>88</v>
      </c>
      <c r="D1928" s="2" t="s">
        <v>4473</v>
      </c>
      <c r="E1928" s="2" t="s">
        <v>5768</v>
      </c>
      <c r="F1928" s="2" t="s">
        <v>6273</v>
      </c>
      <c r="G1928" s="2" t="s">
        <v>6273</v>
      </c>
      <c r="H1928" s="2" t="s">
        <v>6273</v>
      </c>
      <c r="I1928" s="2" t="s">
        <v>5768</v>
      </c>
      <c r="J1928" s="2" t="s">
        <v>1936</v>
      </c>
      <c r="K1928" s="2" t="s">
        <v>360</v>
      </c>
      <c r="L1928" s="3">
        <v>21.15</v>
      </c>
      <c r="M1928" s="3">
        <v>22.21</v>
      </c>
      <c r="N1928" s="3">
        <v>44.99</v>
      </c>
      <c r="O1928" s="2" t="s">
        <v>97</v>
      </c>
      <c r="P1928" s="2" t="s">
        <v>119</v>
      </c>
      <c r="Q1928" s="2" t="s">
        <v>99</v>
      </c>
      <c r="R1928" s="2" t="s">
        <v>100</v>
      </c>
      <c r="S1928" s="2" t="s">
        <v>6330</v>
      </c>
      <c r="T1928" s="2" t="s">
        <v>280</v>
      </c>
      <c r="U1928" s="2" t="s">
        <v>1847</v>
      </c>
      <c r="V1928" s="2" t="s">
        <v>146</v>
      </c>
      <c r="W1928" s="2" t="s">
        <v>183</v>
      </c>
      <c r="X1928" s="2" t="s">
        <v>100</v>
      </c>
      <c r="Y1928" s="2" t="s">
        <v>2472</v>
      </c>
      <c r="Z1928" s="4">
        <v>326</v>
      </c>
      <c r="AA1928" s="4">
        <f>=ROUNDDOWN(40.75,0)</f>
      </c>
      <c r="AB1928" s="5">
        <v>8</v>
      </c>
      <c r="AC1928" s="2" t="s">
        <v>4334</v>
      </c>
      <c r="AD1928" s="4">
        <v>80</v>
      </c>
      <c r="AE1928" s="4">
        <v>160</v>
      </c>
      <c r="AF1928" s="6">
        <v>69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/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 t="s">
        <v>100</v>
      </c>
      <c r="BJ1928" s="4">
        <v>226</v>
      </c>
      <c r="BK1928" s="8">
        <v>4861.79</v>
      </c>
      <c r="BL1928" s="2" t="s">
        <v>6331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207</v>
      </c>
      <c r="BV1928" s="2" t="s">
        <v>97</v>
      </c>
      <c r="BW1928" s="2" t="s">
        <v>100</v>
      </c>
      <c r="BX1928" s="2" t="s">
        <v>100</v>
      </c>
      <c r="BY1928" s="2" t="s">
        <v>113</v>
      </c>
      <c r="BZ1928" s="2" t="s">
        <v>100</v>
      </c>
    </row>
    <row r="1929">
      <c r="A1929" s="2" t="s">
        <v>6332</v>
      </c>
      <c r="B1929" s="2" t="s">
        <v>5764</v>
      </c>
      <c r="C1929" s="2" t="s">
        <v>88</v>
      </c>
      <c r="D1929" s="2" t="s">
        <v>4473</v>
      </c>
      <c r="E1929" s="2" t="s">
        <v>5768</v>
      </c>
      <c r="F1929" s="2" t="s">
        <v>6273</v>
      </c>
      <c r="G1929" s="2" t="s">
        <v>6273</v>
      </c>
      <c r="H1929" s="2" t="s">
        <v>6273</v>
      </c>
      <c r="I1929" s="2" t="s">
        <v>5768</v>
      </c>
      <c r="J1929" s="2" t="s">
        <v>247</v>
      </c>
      <c r="K1929" s="2" t="s">
        <v>360</v>
      </c>
      <c r="L1929" s="3">
        <v>26.4</v>
      </c>
      <c r="M1929" s="3">
        <v>27.72</v>
      </c>
      <c r="N1929" s="3">
        <v>54.99</v>
      </c>
      <c r="O1929" s="2" t="s">
        <v>97</v>
      </c>
      <c r="P1929" s="2" t="s">
        <v>119</v>
      </c>
      <c r="Q1929" s="2" t="s">
        <v>99</v>
      </c>
      <c r="R1929" s="2" t="s">
        <v>100</v>
      </c>
      <c r="S1929" s="2" t="s">
        <v>6330</v>
      </c>
      <c r="T1929" s="2" t="s">
        <v>280</v>
      </c>
      <c r="U1929" s="2" t="s">
        <v>1847</v>
      </c>
      <c r="V1929" s="2" t="s">
        <v>146</v>
      </c>
      <c r="W1929" s="2" t="s">
        <v>183</v>
      </c>
      <c r="X1929" s="2" t="s">
        <v>100</v>
      </c>
      <c r="Y1929" s="2" t="s">
        <v>2472</v>
      </c>
      <c r="Z1929" s="4">
        <v>628</v>
      </c>
      <c r="AA1929" s="4">
        <f>=ROUNDDOWN(48.3076923076923,0)</f>
      </c>
      <c r="AB1929" s="5">
        <v>13</v>
      </c>
      <c r="AC1929" s="2" t="s">
        <v>241</v>
      </c>
      <c r="AD1929" s="4">
        <v>600</v>
      </c>
      <c r="AE1929" s="4">
        <v>660</v>
      </c>
      <c r="AF1929" s="6">
        <v>69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416</v>
      </c>
      <c r="BK1929" s="8">
        <v>11105.22</v>
      </c>
      <c r="BL1929" s="2" t="s">
        <v>1472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207</v>
      </c>
      <c r="BV1929" s="2" t="s">
        <v>97</v>
      </c>
      <c r="BW1929" s="2" t="s">
        <v>100</v>
      </c>
      <c r="BX1929" s="2" t="s">
        <v>100</v>
      </c>
      <c r="BY1929" s="2" t="s">
        <v>113</v>
      </c>
      <c r="BZ1929" s="2" t="s">
        <v>100</v>
      </c>
    </row>
    <row r="1930">
      <c r="A1930" s="2" t="s">
        <v>6333</v>
      </c>
      <c r="B1930" s="2" t="s">
        <v>5764</v>
      </c>
      <c r="C1930" s="2" t="s">
        <v>88</v>
      </c>
      <c r="D1930" s="2" t="s">
        <v>4473</v>
      </c>
      <c r="E1930" s="2" t="s">
        <v>5768</v>
      </c>
      <c r="F1930" s="2" t="s">
        <v>6273</v>
      </c>
      <c r="G1930" s="2" t="s">
        <v>6273</v>
      </c>
      <c r="H1930" s="2" t="s">
        <v>6273</v>
      </c>
      <c r="I1930" s="2" t="s">
        <v>5768</v>
      </c>
      <c r="J1930" s="2" t="s">
        <v>714</v>
      </c>
      <c r="K1930" s="2" t="s">
        <v>360</v>
      </c>
      <c r="L1930" s="3">
        <v>31.85</v>
      </c>
      <c r="M1930" s="3">
        <v>33.44</v>
      </c>
      <c r="N1930" s="3">
        <v>64.99</v>
      </c>
      <c r="O1930" s="2" t="s">
        <v>97</v>
      </c>
      <c r="P1930" s="2" t="s">
        <v>119</v>
      </c>
      <c r="Q1930" s="2" t="s">
        <v>99</v>
      </c>
      <c r="R1930" s="2" t="s">
        <v>100</v>
      </c>
      <c r="S1930" s="2" t="s">
        <v>6330</v>
      </c>
      <c r="T1930" s="2" t="s">
        <v>280</v>
      </c>
      <c r="U1930" s="2" t="s">
        <v>1847</v>
      </c>
      <c r="V1930" s="2" t="s">
        <v>146</v>
      </c>
      <c r="W1930" s="2" t="s">
        <v>183</v>
      </c>
      <c r="X1930" s="2" t="s">
        <v>100</v>
      </c>
      <c r="Y1930" s="2" t="s">
        <v>2472</v>
      </c>
      <c r="Z1930" s="4">
        <v>338</v>
      </c>
      <c r="AA1930" s="4">
        <f>=ROUNDDOWN(30.7272727272727,0)</f>
      </c>
      <c r="AB1930" s="5">
        <v>11</v>
      </c>
      <c r="AC1930" s="2" t="s">
        <v>241</v>
      </c>
      <c r="AD1930" s="4">
        <v>480</v>
      </c>
      <c r="AE1930" s="4">
        <v>760</v>
      </c>
      <c r="AF1930" s="6">
        <v>69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 t="s">
        <v>100</v>
      </c>
      <c r="BJ1930" s="4">
        <v>328</v>
      </c>
      <c r="BK1930" s="8">
        <v>10612.64</v>
      </c>
      <c r="BL1930" s="2" t="s">
        <v>6334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207</v>
      </c>
      <c r="BV1930" s="2" t="s">
        <v>97</v>
      </c>
      <c r="BW1930" s="2" t="s">
        <v>100</v>
      </c>
      <c r="BX1930" s="2" t="s">
        <v>100</v>
      </c>
      <c r="BY1930" s="2" t="s">
        <v>113</v>
      </c>
      <c r="BZ1930" s="2" t="s">
        <v>100</v>
      </c>
    </row>
    <row r="1931">
      <c r="A1931" s="2" t="s">
        <v>6335</v>
      </c>
      <c r="B1931" s="2" t="s">
        <v>5764</v>
      </c>
      <c r="C1931" s="2" t="s">
        <v>88</v>
      </c>
      <c r="D1931" s="2" t="s">
        <v>4473</v>
      </c>
      <c r="E1931" s="2" t="s">
        <v>5768</v>
      </c>
      <c r="F1931" s="2" t="s">
        <v>6336</v>
      </c>
      <c r="G1931" s="2" t="s">
        <v>6336</v>
      </c>
      <c r="H1931" s="2" t="s">
        <v>6336</v>
      </c>
      <c r="I1931" s="2" t="s">
        <v>5768</v>
      </c>
      <c r="J1931" s="2" t="s">
        <v>247</v>
      </c>
      <c r="K1931" s="2" t="s">
        <v>6337</v>
      </c>
      <c r="L1931" s="3">
        <v>32.2</v>
      </c>
      <c r="M1931" s="3">
        <v>33.81</v>
      </c>
      <c r="N1931" s="3">
        <v>69.99</v>
      </c>
      <c r="O1931" s="2" t="s">
        <v>97</v>
      </c>
      <c r="P1931" s="2" t="s">
        <v>950</v>
      </c>
      <c r="Q1931" s="2" t="s">
        <v>99</v>
      </c>
      <c r="R1931" s="2" t="s">
        <v>100</v>
      </c>
      <c r="S1931" s="2" t="s">
        <v>6338</v>
      </c>
      <c r="T1931" s="2" t="s">
        <v>280</v>
      </c>
      <c r="U1931" s="2" t="s">
        <v>1847</v>
      </c>
      <c r="V1931" s="2" t="s">
        <v>146</v>
      </c>
      <c r="W1931" s="2" t="s">
        <v>183</v>
      </c>
      <c r="X1931" s="2" t="s">
        <v>219</v>
      </c>
      <c r="Y1931" s="2" t="s">
        <v>6339</v>
      </c>
      <c r="Z1931" s="4">
        <v>429</v>
      </c>
      <c r="AA1931" s="4">
        <f>=ROUNDDOWN(12.6176470588235,0)</f>
      </c>
      <c r="AB1931" s="5">
        <v>34</v>
      </c>
      <c r="AC1931" s="2" t="s">
        <v>271</v>
      </c>
      <c r="AD1931" s="4">
        <v>100</v>
      </c>
      <c r="AE1931" s="4">
        <v>1140</v>
      </c>
      <c r="AF1931" s="6">
        <v>67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>
        <v>53</v>
      </c>
      <c r="AQ1931" s="8">
        <v>1730.98</v>
      </c>
      <c r="AR1931" s="4"/>
      <c r="AS1931" s="8"/>
      <c r="AT1931" s="7"/>
      <c r="AU1931" s="7"/>
      <c r="AV1931" s="4">
        <v>53</v>
      </c>
      <c r="AW1931" s="8">
        <v>1730.98</v>
      </c>
      <c r="AX1931" s="4"/>
      <c r="AY1931" s="8"/>
      <c r="AZ1931" s="7"/>
      <c r="BA1931" s="7"/>
      <c r="BB1931" s="7">
        <v>1</v>
      </c>
      <c r="BC1931" s="4">
        <v>65</v>
      </c>
      <c r="BD1931" s="8">
        <v>2068.5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0.8368</v>
      </c>
      <c r="BJ1931" s="4">
        <v>1232</v>
      </c>
      <c r="BK1931" s="8">
        <v>42381.8</v>
      </c>
      <c r="BL1931" s="2" t="s">
        <v>6340</v>
      </c>
      <c r="BM1931" s="7">
        <v>0.043</v>
      </c>
      <c r="BN1931" s="7">
        <v>0.0408</v>
      </c>
      <c r="BO1931" s="4">
        <v>53</v>
      </c>
      <c r="BP1931" s="8">
        <v>1730.98</v>
      </c>
      <c r="BQ1931" s="4"/>
      <c r="BR1931" s="8"/>
      <c r="BS1931" s="7"/>
      <c r="BT1931" s="7"/>
      <c r="BU1931" s="2" t="s">
        <v>109</v>
      </c>
      <c r="BV1931" s="2" t="s">
        <v>110</v>
      </c>
      <c r="BW1931" s="2" t="s">
        <v>1691</v>
      </c>
      <c r="BX1931" s="2" t="s">
        <v>6341</v>
      </c>
      <c r="BY1931" s="2" t="s">
        <v>113</v>
      </c>
      <c r="BZ1931" s="2" t="s">
        <v>100</v>
      </c>
    </row>
    <row r="1932">
      <c r="A1932" s="2" t="s">
        <v>6342</v>
      </c>
      <c r="B1932" s="2" t="s">
        <v>5764</v>
      </c>
      <c r="C1932" s="2" t="s">
        <v>88</v>
      </c>
      <c r="D1932" s="2" t="s">
        <v>4473</v>
      </c>
      <c r="E1932" s="2" t="s">
        <v>5768</v>
      </c>
      <c r="F1932" s="2" t="s">
        <v>6336</v>
      </c>
      <c r="G1932" s="2" t="s">
        <v>6336</v>
      </c>
      <c r="H1932" s="2" t="s">
        <v>6336</v>
      </c>
      <c r="I1932" s="2" t="s">
        <v>5768</v>
      </c>
      <c r="J1932" s="2" t="s">
        <v>1936</v>
      </c>
      <c r="K1932" s="2" t="s">
        <v>198</v>
      </c>
      <c r="L1932" s="3">
        <v>26.4</v>
      </c>
      <c r="M1932" s="3">
        <v>27.72</v>
      </c>
      <c r="N1932" s="3">
        <v>59.99</v>
      </c>
      <c r="O1932" s="2" t="s">
        <v>97</v>
      </c>
      <c r="P1932" s="2" t="s">
        <v>372</v>
      </c>
      <c r="Q1932" s="2" t="s">
        <v>99</v>
      </c>
      <c r="R1932" s="2" t="s">
        <v>100</v>
      </c>
      <c r="S1932" s="2" t="s">
        <v>100</v>
      </c>
      <c r="T1932" s="2" t="s">
        <v>280</v>
      </c>
      <c r="U1932" s="2" t="s">
        <v>100</v>
      </c>
      <c r="V1932" s="2" t="s">
        <v>146</v>
      </c>
      <c r="W1932" s="2" t="s">
        <v>183</v>
      </c>
      <c r="X1932" s="2" t="s">
        <v>100</v>
      </c>
      <c r="Y1932" s="2" t="s">
        <v>2054</v>
      </c>
      <c r="Z1932" s="4">
        <v>509</v>
      </c>
      <c r="AA1932" s="4">
        <f>=ROUNDDOWN(35.8450704225352,0)</f>
      </c>
      <c r="AB1932" s="5">
        <v>14.2</v>
      </c>
      <c r="AC1932" s="2" t="s">
        <v>2739</v>
      </c>
      <c r="AD1932" s="4">
        <v>160</v>
      </c>
      <c r="AE1932" s="4">
        <v>260</v>
      </c>
      <c r="AF1932" s="6">
        <v>67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>
        <v>5</v>
      </c>
      <c r="AQ1932" s="8">
        <v>136.1</v>
      </c>
      <c r="AR1932" s="4"/>
      <c r="AS1932" s="8"/>
      <c r="AT1932" s="7"/>
      <c r="AU1932" s="7"/>
      <c r="AV1932" s="4">
        <v>5</v>
      </c>
      <c r="AW1932" s="8">
        <v>136.1</v>
      </c>
      <c r="AX1932" s="4"/>
      <c r="AY1932" s="8"/>
      <c r="AZ1932" s="7"/>
      <c r="BA1932" s="7"/>
      <c r="BB1932" s="7">
        <v>1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0.0658</v>
      </c>
      <c r="BJ1932" s="4">
        <v>536</v>
      </c>
      <c r="BK1932" s="8">
        <v>14739.65</v>
      </c>
      <c r="BL1932" s="2" t="s">
        <v>6343</v>
      </c>
      <c r="BM1932" s="7">
        <v>0.0093</v>
      </c>
      <c r="BN1932" s="7">
        <v>0.0092</v>
      </c>
      <c r="BO1932" s="4">
        <v>5</v>
      </c>
      <c r="BP1932" s="8">
        <v>136.1</v>
      </c>
      <c r="BQ1932" s="4"/>
      <c r="BR1932" s="8"/>
      <c r="BS1932" s="7"/>
      <c r="BT1932" s="7"/>
      <c r="BU1932" s="2" t="s">
        <v>109</v>
      </c>
      <c r="BV1932" s="2" t="s">
        <v>110</v>
      </c>
      <c r="BW1932" s="2" t="s">
        <v>137</v>
      </c>
      <c r="BX1932" s="2" t="s">
        <v>4479</v>
      </c>
      <c r="BY1932" s="2" t="s">
        <v>113</v>
      </c>
      <c r="BZ1932" s="2" t="s">
        <v>100</v>
      </c>
    </row>
    <row r="1933">
      <c r="A1933" s="2" t="s">
        <v>6344</v>
      </c>
      <c r="B1933" s="2" t="s">
        <v>5764</v>
      </c>
      <c r="C1933" s="2" t="s">
        <v>88</v>
      </c>
      <c r="D1933" s="2" t="s">
        <v>4473</v>
      </c>
      <c r="E1933" s="2" t="s">
        <v>5768</v>
      </c>
      <c r="F1933" s="2" t="s">
        <v>6336</v>
      </c>
      <c r="G1933" s="2" t="s">
        <v>6336</v>
      </c>
      <c r="H1933" s="2" t="s">
        <v>6336</v>
      </c>
      <c r="I1933" s="2" t="s">
        <v>5768</v>
      </c>
      <c r="J1933" s="2" t="s">
        <v>1936</v>
      </c>
      <c r="K1933" s="2" t="s">
        <v>578</v>
      </c>
      <c r="L1933" s="3">
        <v>26.4</v>
      </c>
      <c r="M1933" s="3">
        <v>27.72</v>
      </c>
      <c r="N1933" s="3">
        <v>59.99</v>
      </c>
      <c r="O1933" s="2" t="s">
        <v>97</v>
      </c>
      <c r="P1933" s="2" t="s">
        <v>950</v>
      </c>
      <c r="Q1933" s="2" t="s">
        <v>99</v>
      </c>
      <c r="R1933" s="2" t="s">
        <v>100</v>
      </c>
      <c r="S1933" s="2" t="s">
        <v>6345</v>
      </c>
      <c r="T1933" s="2" t="s">
        <v>280</v>
      </c>
      <c r="U1933" s="2" t="s">
        <v>1847</v>
      </c>
      <c r="V1933" s="2" t="s">
        <v>146</v>
      </c>
      <c r="W1933" s="2" t="s">
        <v>183</v>
      </c>
      <c r="X1933" s="2" t="s">
        <v>219</v>
      </c>
      <c r="Y1933" s="2" t="s">
        <v>1928</v>
      </c>
      <c r="Z1933" s="4">
        <v>271</v>
      </c>
      <c r="AA1933" s="4">
        <f>=ROUNDDOWN(22.5833333333333,0)</f>
      </c>
      <c r="AB1933" s="5">
        <v>12</v>
      </c>
      <c r="AC1933" s="2" t="s">
        <v>271</v>
      </c>
      <c r="AD1933" s="4">
        <v>180</v>
      </c>
      <c r="AE1933" s="4">
        <v>240</v>
      </c>
      <c r="AF1933" s="6">
        <v>67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>
        <v>3</v>
      </c>
      <c r="AQ1933" s="8">
        <v>81.66</v>
      </c>
      <c r="AR1933" s="4"/>
      <c r="AS1933" s="8"/>
      <c r="AT1933" s="7"/>
      <c r="AU1933" s="7"/>
      <c r="AV1933" s="4">
        <v>3</v>
      </c>
      <c r="AW1933" s="8">
        <v>81.66</v>
      </c>
      <c r="AX1933" s="4"/>
      <c r="AY1933" s="8"/>
      <c r="AZ1933" s="7"/>
      <c r="BA1933" s="7"/>
      <c r="BB1933" s="7">
        <v>1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0.0395</v>
      </c>
      <c r="BJ1933" s="4">
        <v>347</v>
      </c>
      <c r="BK1933" s="8">
        <v>9613.62</v>
      </c>
      <c r="BL1933" s="2" t="s">
        <v>6346</v>
      </c>
      <c r="BM1933" s="7">
        <v>0.0086</v>
      </c>
      <c r="BN1933" s="7">
        <v>0.0085</v>
      </c>
      <c r="BO1933" s="4">
        <v>3</v>
      </c>
      <c r="BP1933" s="8">
        <v>81.66</v>
      </c>
      <c r="BQ1933" s="4"/>
      <c r="BR1933" s="8"/>
      <c r="BS1933" s="7"/>
      <c r="BT1933" s="7"/>
      <c r="BU1933" s="2" t="s">
        <v>109</v>
      </c>
      <c r="BV1933" s="2" t="s">
        <v>110</v>
      </c>
      <c r="BW1933" s="2" t="s">
        <v>6347</v>
      </c>
      <c r="BX1933" s="2" t="s">
        <v>6348</v>
      </c>
      <c r="BY1933" s="2" t="s">
        <v>113</v>
      </c>
      <c r="BZ1933" s="2" t="s">
        <v>100</v>
      </c>
    </row>
    <row r="1934">
      <c r="A1934" s="2" t="s">
        <v>6349</v>
      </c>
      <c r="B1934" s="2" t="s">
        <v>5764</v>
      </c>
      <c r="C1934" s="2" t="s">
        <v>88</v>
      </c>
      <c r="D1934" s="2" t="s">
        <v>4473</v>
      </c>
      <c r="E1934" s="2" t="s">
        <v>5768</v>
      </c>
      <c r="F1934" s="2" t="s">
        <v>6336</v>
      </c>
      <c r="G1934" s="2" t="s">
        <v>6336</v>
      </c>
      <c r="H1934" s="2" t="s">
        <v>6336</v>
      </c>
      <c r="I1934" s="2" t="s">
        <v>5768</v>
      </c>
      <c r="J1934" s="2" t="s">
        <v>1936</v>
      </c>
      <c r="K1934" s="2" t="s">
        <v>118</v>
      </c>
      <c r="L1934" s="3">
        <v>26.4</v>
      </c>
      <c r="M1934" s="3">
        <v>27.72</v>
      </c>
      <c r="N1934" s="3">
        <v>59.99</v>
      </c>
      <c r="O1934" s="2" t="s">
        <v>97</v>
      </c>
      <c r="P1934" s="2" t="s">
        <v>372</v>
      </c>
      <c r="Q1934" s="2" t="s">
        <v>99</v>
      </c>
      <c r="R1934" s="2" t="s">
        <v>100</v>
      </c>
      <c r="S1934" s="2" t="s">
        <v>6350</v>
      </c>
      <c r="T1934" s="2" t="s">
        <v>280</v>
      </c>
      <c r="U1934" s="2" t="s">
        <v>1847</v>
      </c>
      <c r="V1934" s="2" t="s">
        <v>146</v>
      </c>
      <c r="W1934" s="2" t="s">
        <v>183</v>
      </c>
      <c r="X1934" s="2" t="s">
        <v>219</v>
      </c>
      <c r="Y1934" s="2" t="s">
        <v>1650</v>
      </c>
      <c r="Z1934" s="4">
        <v>623</v>
      </c>
      <c r="AA1934" s="4">
        <f>=ROUNDDOWN(27.0869565217391,0)</f>
      </c>
      <c r="AB1934" s="5">
        <v>23</v>
      </c>
      <c r="AC1934" s="2" t="s">
        <v>2739</v>
      </c>
      <c r="AD1934" s="4">
        <v>120</v>
      </c>
      <c r="AE1934" s="4">
        <v>480</v>
      </c>
      <c r="AF1934" s="6">
        <v>67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>
        <v>2</v>
      </c>
      <c r="AW1934" s="8">
        <v>65.32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0.0316</v>
      </c>
      <c r="BJ1934" s="4">
        <v>887</v>
      </c>
      <c r="BK1934" s="8">
        <v>25692.6</v>
      </c>
      <c r="BL1934" s="2" t="s">
        <v>6351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6347</v>
      </c>
      <c r="BX1934" s="2" t="s">
        <v>1941</v>
      </c>
      <c r="BY1934" s="2" t="s">
        <v>113</v>
      </c>
      <c r="BZ1934" s="2" t="s">
        <v>100</v>
      </c>
    </row>
    <row r="1935">
      <c r="A1935" s="2" t="s">
        <v>6352</v>
      </c>
      <c r="B1935" s="2" t="s">
        <v>5764</v>
      </c>
      <c r="C1935" s="2" t="s">
        <v>88</v>
      </c>
      <c r="D1935" s="2" t="s">
        <v>4473</v>
      </c>
      <c r="E1935" s="2" t="s">
        <v>5768</v>
      </c>
      <c r="F1935" s="2" t="s">
        <v>6336</v>
      </c>
      <c r="G1935" s="2" t="s">
        <v>6336</v>
      </c>
      <c r="H1935" s="2" t="s">
        <v>6336</v>
      </c>
      <c r="I1935" s="2" t="s">
        <v>5768</v>
      </c>
      <c r="J1935" s="2" t="s">
        <v>247</v>
      </c>
      <c r="K1935" s="2" t="s">
        <v>118</v>
      </c>
      <c r="L1935" s="3">
        <v>32.2</v>
      </c>
      <c r="M1935" s="3">
        <v>33.81</v>
      </c>
      <c r="N1935" s="3">
        <v>69.99</v>
      </c>
      <c r="O1935" s="2" t="s">
        <v>97</v>
      </c>
      <c r="P1935" s="2" t="s">
        <v>372</v>
      </c>
      <c r="Q1935" s="2" t="s">
        <v>99</v>
      </c>
      <c r="R1935" s="2" t="s">
        <v>100</v>
      </c>
      <c r="S1935" s="2" t="s">
        <v>6350</v>
      </c>
      <c r="T1935" s="2" t="s">
        <v>280</v>
      </c>
      <c r="U1935" s="2" t="s">
        <v>1847</v>
      </c>
      <c r="V1935" s="2" t="s">
        <v>146</v>
      </c>
      <c r="W1935" s="2" t="s">
        <v>183</v>
      </c>
      <c r="X1935" s="2" t="s">
        <v>219</v>
      </c>
      <c r="Y1935" s="2" t="s">
        <v>1650</v>
      </c>
      <c r="Z1935" s="4">
        <v>542</v>
      </c>
      <c r="AA1935" s="4">
        <f>=ROUNDDOWN(12.4027459954233,0)</f>
      </c>
      <c r="AB1935" s="5">
        <v>43.7</v>
      </c>
      <c r="AC1935" s="2" t="s">
        <v>271</v>
      </c>
      <c r="AD1935" s="4">
        <v>150</v>
      </c>
      <c r="AE1935" s="4">
        <v>1730</v>
      </c>
      <c r="AF1935" s="6">
        <v>67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>
        <v>2</v>
      </c>
      <c r="AQ1935" s="8">
        <v>65.32</v>
      </c>
      <c r="AR1935" s="4"/>
      <c r="AS1935" s="8"/>
      <c r="AT1935" s="7"/>
      <c r="AU1935" s="7"/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>
        <v>1</v>
      </c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 t="s">
        <v>100</v>
      </c>
      <c r="BJ1935" s="4">
        <v>1614</v>
      </c>
      <c r="BK1935" s="8">
        <v>56338.76</v>
      </c>
      <c r="BL1935" s="2" t="s">
        <v>6353</v>
      </c>
      <c r="BM1935" s="7">
        <v>0.0012</v>
      </c>
      <c r="BN1935" s="7">
        <v>0.0012</v>
      </c>
      <c r="BO1935" s="4">
        <v>2</v>
      </c>
      <c r="BP1935" s="8">
        <v>65.32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6347</v>
      </c>
      <c r="BX1935" s="2" t="s">
        <v>5295</v>
      </c>
      <c r="BY1935" s="2" t="s">
        <v>113</v>
      </c>
      <c r="BZ1935" s="2" t="s">
        <v>100</v>
      </c>
    </row>
    <row r="1936">
      <c r="A1936" s="2" t="s">
        <v>6354</v>
      </c>
      <c r="B1936" s="2" t="s">
        <v>5764</v>
      </c>
      <c r="C1936" s="2" t="s">
        <v>88</v>
      </c>
      <c r="D1936" s="2" t="s">
        <v>4473</v>
      </c>
      <c r="E1936" s="2" t="s">
        <v>5768</v>
      </c>
      <c r="F1936" s="2" t="s">
        <v>6336</v>
      </c>
      <c r="G1936" s="2" t="s">
        <v>6336</v>
      </c>
      <c r="H1936" s="2" t="s">
        <v>6336</v>
      </c>
      <c r="I1936" s="2" t="s">
        <v>5768</v>
      </c>
      <c r="J1936" s="2" t="s">
        <v>714</v>
      </c>
      <c r="K1936" s="2" t="s">
        <v>118</v>
      </c>
      <c r="L1936" s="3">
        <v>36.8</v>
      </c>
      <c r="M1936" s="3">
        <v>38.64</v>
      </c>
      <c r="N1936" s="3">
        <v>79.99</v>
      </c>
      <c r="O1936" s="2" t="s">
        <v>97</v>
      </c>
      <c r="P1936" s="2" t="s">
        <v>372</v>
      </c>
      <c r="Q1936" s="2" t="s">
        <v>99</v>
      </c>
      <c r="R1936" s="2" t="s">
        <v>100</v>
      </c>
      <c r="S1936" s="2" t="s">
        <v>6350</v>
      </c>
      <c r="T1936" s="2" t="s">
        <v>280</v>
      </c>
      <c r="U1936" s="2" t="s">
        <v>1847</v>
      </c>
      <c r="V1936" s="2" t="s">
        <v>146</v>
      </c>
      <c r="W1936" s="2" t="s">
        <v>183</v>
      </c>
      <c r="X1936" s="2" t="s">
        <v>219</v>
      </c>
      <c r="Y1936" s="2" t="s">
        <v>1650</v>
      </c>
      <c r="Z1936" s="4">
        <v>622</v>
      </c>
      <c r="AA1936" s="4">
        <f>=ROUNDDOWN(16.3684210526316,0)</f>
      </c>
      <c r="AB1936" s="5">
        <v>38</v>
      </c>
      <c r="AC1936" s="2" t="s">
        <v>271</v>
      </c>
      <c r="AD1936" s="4">
        <v>300</v>
      </c>
      <c r="AE1936" s="4">
        <v>1050</v>
      </c>
      <c r="AF1936" s="6">
        <v>67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/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 t="s">
        <v>100</v>
      </c>
      <c r="BJ1936" s="4">
        <v>1174</v>
      </c>
      <c r="BK1936" s="8">
        <v>47399.52</v>
      </c>
      <c r="BL1936" s="2" t="s">
        <v>6355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6347</v>
      </c>
      <c r="BX1936" s="2" t="s">
        <v>837</v>
      </c>
      <c r="BY1936" s="2" t="s">
        <v>113</v>
      </c>
      <c r="BZ1936" s="2" t="s">
        <v>100</v>
      </c>
    </row>
    <row r="1937">
      <c r="A1937" s="2" t="s">
        <v>6356</v>
      </c>
      <c r="B1937" s="2" t="s">
        <v>5764</v>
      </c>
      <c r="C1937" s="2" t="s">
        <v>88</v>
      </c>
      <c r="D1937" s="2" t="s">
        <v>4473</v>
      </c>
      <c r="E1937" s="2" t="s">
        <v>5768</v>
      </c>
      <c r="F1937" s="2" t="s">
        <v>6336</v>
      </c>
      <c r="G1937" s="2" t="s">
        <v>6336</v>
      </c>
      <c r="H1937" s="2" t="s">
        <v>6336</v>
      </c>
      <c r="I1937" s="2" t="s">
        <v>5768</v>
      </c>
      <c r="J1937" s="2" t="s">
        <v>1936</v>
      </c>
      <c r="K1937" s="2" t="s">
        <v>4914</v>
      </c>
      <c r="L1937" s="3">
        <v>26.4</v>
      </c>
      <c r="M1937" s="3">
        <v>27.72</v>
      </c>
      <c r="N1937" s="3">
        <v>59.99</v>
      </c>
      <c r="O1937" s="2" t="s">
        <v>97</v>
      </c>
      <c r="P1937" s="2" t="s">
        <v>119</v>
      </c>
      <c r="Q1937" s="2" t="s">
        <v>99</v>
      </c>
      <c r="R1937" s="2" t="s">
        <v>100</v>
      </c>
      <c r="S1937" s="2" t="s">
        <v>6357</v>
      </c>
      <c r="T1937" s="2" t="s">
        <v>280</v>
      </c>
      <c r="U1937" s="2" t="s">
        <v>1847</v>
      </c>
      <c r="V1937" s="2" t="s">
        <v>146</v>
      </c>
      <c r="W1937" s="2" t="s">
        <v>183</v>
      </c>
      <c r="X1937" s="2" t="s">
        <v>219</v>
      </c>
      <c r="Y1937" s="2" t="s">
        <v>6358</v>
      </c>
      <c r="Z1937" s="4">
        <v>440</v>
      </c>
      <c r="AA1937" s="4">
        <f>=ROUNDDOWN(42.7184466019417,0)</f>
      </c>
      <c r="AB1937" s="5">
        <v>10.3</v>
      </c>
      <c r="AC1937" s="2" t="s">
        <v>2739</v>
      </c>
      <c r="AD1937" s="4">
        <v>230</v>
      </c>
      <c r="AE1937" s="4">
        <v>230</v>
      </c>
      <c r="AF1937" s="6">
        <v>67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>
        <v>2</v>
      </c>
      <c r="AQ1937" s="8">
        <v>54.44</v>
      </c>
      <c r="AR1937" s="4"/>
      <c r="AS1937" s="8"/>
      <c r="AT1937" s="7"/>
      <c r="AU1937" s="7"/>
      <c r="AV1937" s="4">
        <v>2</v>
      </c>
      <c r="AW1937" s="8">
        <v>54.44</v>
      </c>
      <c r="AX1937" s="4"/>
      <c r="AY1937" s="8"/>
      <c r="AZ1937" s="7"/>
      <c r="BA1937" s="7"/>
      <c r="BB1937" s="7">
        <v>1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0.0263</v>
      </c>
      <c r="BJ1937" s="4">
        <v>388</v>
      </c>
      <c r="BK1937" s="8">
        <v>11241.26</v>
      </c>
      <c r="BL1937" s="2" t="s">
        <v>6359</v>
      </c>
      <c r="BM1937" s="7">
        <v>0.0052</v>
      </c>
      <c r="BN1937" s="7">
        <v>0.0048</v>
      </c>
      <c r="BO1937" s="4">
        <v>2</v>
      </c>
      <c r="BP1937" s="8">
        <v>54.44</v>
      </c>
      <c r="BQ1937" s="4"/>
      <c r="BR1937" s="8"/>
      <c r="BS1937" s="7"/>
      <c r="BT1937" s="7"/>
      <c r="BU1937" s="2" t="s">
        <v>109</v>
      </c>
      <c r="BV1937" s="2" t="s">
        <v>110</v>
      </c>
      <c r="BW1937" s="2" t="s">
        <v>6358</v>
      </c>
      <c r="BX1937" s="2" t="s">
        <v>177</v>
      </c>
      <c r="BY1937" s="2" t="s">
        <v>113</v>
      </c>
      <c r="BZ1937" s="2" t="s">
        <v>100</v>
      </c>
    </row>
    <row r="1938">
      <c r="A1938" s="2" t="s">
        <v>6360</v>
      </c>
      <c r="B1938" s="2" t="s">
        <v>5764</v>
      </c>
      <c r="C1938" s="2" t="s">
        <v>88</v>
      </c>
      <c r="D1938" s="2" t="s">
        <v>4473</v>
      </c>
      <c r="E1938" s="2" t="s">
        <v>5768</v>
      </c>
      <c r="F1938" s="2" t="s">
        <v>6336</v>
      </c>
      <c r="G1938" s="2" t="s">
        <v>6336</v>
      </c>
      <c r="H1938" s="2" t="s">
        <v>6336</v>
      </c>
      <c r="I1938" s="2" t="s">
        <v>5768</v>
      </c>
      <c r="J1938" s="2" t="s">
        <v>1936</v>
      </c>
      <c r="K1938" s="2" t="s">
        <v>512</v>
      </c>
      <c r="L1938" s="3">
        <v>26.4</v>
      </c>
      <c r="M1938" s="3">
        <v>27.72</v>
      </c>
      <c r="N1938" s="3">
        <v>59.99</v>
      </c>
      <c r="O1938" s="2" t="s">
        <v>97</v>
      </c>
      <c r="P1938" s="2" t="s">
        <v>119</v>
      </c>
      <c r="Q1938" s="2" t="s">
        <v>99</v>
      </c>
      <c r="R1938" s="2" t="s">
        <v>100</v>
      </c>
      <c r="S1938" s="2" t="s">
        <v>100</v>
      </c>
      <c r="T1938" s="2" t="s">
        <v>280</v>
      </c>
      <c r="U1938" s="2" t="s">
        <v>100</v>
      </c>
      <c r="V1938" s="2" t="s">
        <v>146</v>
      </c>
      <c r="W1938" s="2" t="s">
        <v>183</v>
      </c>
      <c r="X1938" s="2" t="s">
        <v>100</v>
      </c>
      <c r="Y1938" s="2" t="s">
        <v>2054</v>
      </c>
      <c r="Z1938" s="4">
        <v>353</v>
      </c>
      <c r="AA1938" s="4">
        <f>=ROUNDDOWN(44.125,0)</f>
      </c>
      <c r="AB1938" s="5">
        <v>8</v>
      </c>
      <c r="AC1938" s="2" t="s">
        <v>2739</v>
      </c>
      <c r="AD1938" s="4">
        <v>80</v>
      </c>
      <c r="AE1938" s="4">
        <v>80</v>
      </c>
      <c r="AF1938" s="6">
        <v>67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/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 t="s">
        <v>100</v>
      </c>
      <c r="BJ1938" s="4">
        <v>245</v>
      </c>
      <c r="BK1938" s="8">
        <v>6917.1</v>
      </c>
      <c r="BL1938" s="2" t="s">
        <v>6361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137</v>
      </c>
      <c r="BX1938" s="2" t="s">
        <v>5175</v>
      </c>
      <c r="BY1938" s="2" t="s">
        <v>113</v>
      </c>
      <c r="BZ1938" s="2" t="s">
        <v>100</v>
      </c>
    </row>
    <row r="1939">
      <c r="A1939" s="2" t="s">
        <v>6362</v>
      </c>
      <c r="B1939" s="2" t="s">
        <v>5764</v>
      </c>
      <c r="C1939" s="2" t="s">
        <v>88</v>
      </c>
      <c r="D1939" s="2" t="s">
        <v>4473</v>
      </c>
      <c r="E1939" s="2" t="s">
        <v>5768</v>
      </c>
      <c r="F1939" s="2" t="s">
        <v>6336</v>
      </c>
      <c r="G1939" s="2" t="s">
        <v>6336</v>
      </c>
      <c r="H1939" s="2" t="s">
        <v>6336</v>
      </c>
      <c r="I1939" s="2" t="s">
        <v>5768</v>
      </c>
      <c r="J1939" s="2" t="s">
        <v>247</v>
      </c>
      <c r="K1939" s="2" t="s">
        <v>512</v>
      </c>
      <c r="L1939" s="3">
        <v>32.2</v>
      </c>
      <c r="M1939" s="3">
        <v>33.81</v>
      </c>
      <c r="N1939" s="3">
        <v>69.99</v>
      </c>
      <c r="O1939" s="2" t="s">
        <v>97</v>
      </c>
      <c r="P1939" s="2" t="s">
        <v>119</v>
      </c>
      <c r="Q1939" s="2" t="s">
        <v>99</v>
      </c>
      <c r="R1939" s="2" t="s">
        <v>100</v>
      </c>
      <c r="S1939" s="2" t="s">
        <v>100</v>
      </c>
      <c r="T1939" s="2" t="s">
        <v>280</v>
      </c>
      <c r="U1939" s="2" t="s">
        <v>100</v>
      </c>
      <c r="V1939" s="2" t="s">
        <v>146</v>
      </c>
      <c r="W1939" s="2" t="s">
        <v>183</v>
      </c>
      <c r="X1939" s="2" t="s">
        <v>100</v>
      </c>
      <c r="Y1939" s="2" t="s">
        <v>2054</v>
      </c>
      <c r="Z1939" s="4">
        <v>444</v>
      </c>
      <c r="AA1939" s="4">
        <f>=ROUNDDOWN(21.1428571428571,0)</f>
      </c>
      <c r="AB1939" s="5">
        <v>21</v>
      </c>
      <c r="AC1939" s="2" t="s">
        <v>2739</v>
      </c>
      <c r="AD1939" s="4">
        <v>150</v>
      </c>
      <c r="AE1939" s="4">
        <v>450</v>
      </c>
      <c r="AF1939" s="6">
        <v>67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100</v>
      </c>
      <c r="AW1939" s="8" t="s">
        <v>100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/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 t="s">
        <v>100</v>
      </c>
      <c r="BJ1939" s="4">
        <v>672</v>
      </c>
      <c r="BK1939" s="8">
        <v>22475.13</v>
      </c>
      <c r="BL1939" s="2" t="s">
        <v>6363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137</v>
      </c>
      <c r="BX1939" s="2" t="s">
        <v>2942</v>
      </c>
      <c r="BY1939" s="2" t="s">
        <v>113</v>
      </c>
      <c r="BZ1939" s="2" t="s">
        <v>100</v>
      </c>
    </row>
    <row r="1940">
      <c r="A1940" s="2" t="s">
        <v>6364</v>
      </c>
      <c r="B1940" s="2" t="s">
        <v>5764</v>
      </c>
      <c r="C1940" s="2" t="s">
        <v>88</v>
      </c>
      <c r="D1940" s="2" t="s">
        <v>4473</v>
      </c>
      <c r="E1940" s="2" t="s">
        <v>5768</v>
      </c>
      <c r="F1940" s="2" t="s">
        <v>6336</v>
      </c>
      <c r="G1940" s="2" t="s">
        <v>6336</v>
      </c>
      <c r="H1940" s="2" t="s">
        <v>6336</v>
      </c>
      <c r="I1940" s="2" t="s">
        <v>5768</v>
      </c>
      <c r="J1940" s="2" t="s">
        <v>714</v>
      </c>
      <c r="K1940" s="2" t="s">
        <v>512</v>
      </c>
      <c r="L1940" s="3">
        <v>36.8</v>
      </c>
      <c r="M1940" s="3">
        <v>38.64</v>
      </c>
      <c r="N1940" s="3">
        <v>79.99</v>
      </c>
      <c r="O1940" s="2" t="s">
        <v>97</v>
      </c>
      <c r="P1940" s="2" t="s">
        <v>119</v>
      </c>
      <c r="Q1940" s="2" t="s">
        <v>99</v>
      </c>
      <c r="R1940" s="2" t="s">
        <v>100</v>
      </c>
      <c r="S1940" s="2" t="s">
        <v>100</v>
      </c>
      <c r="T1940" s="2" t="s">
        <v>280</v>
      </c>
      <c r="U1940" s="2" t="s">
        <v>100</v>
      </c>
      <c r="V1940" s="2" t="s">
        <v>146</v>
      </c>
      <c r="W1940" s="2" t="s">
        <v>183</v>
      </c>
      <c r="X1940" s="2" t="s">
        <v>100</v>
      </c>
      <c r="Y1940" s="2" t="s">
        <v>2054</v>
      </c>
      <c r="Z1940" s="4">
        <v>495</v>
      </c>
      <c r="AA1940" s="4">
        <f>=ROUNDDOWN(26.0526315789474,0)</f>
      </c>
      <c r="AB1940" s="5">
        <v>19</v>
      </c>
      <c r="AC1940" s="2" t="s">
        <v>2739</v>
      </c>
      <c r="AD1940" s="4">
        <v>270</v>
      </c>
      <c r="AE1940" s="4">
        <v>470</v>
      </c>
      <c r="AF1940" s="6">
        <v>67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/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 t="s">
        <v>100</v>
      </c>
      <c r="BJ1940" s="4">
        <v>611</v>
      </c>
      <c r="BK1940" s="8">
        <v>23886.2</v>
      </c>
      <c r="BL1940" s="2" t="s">
        <v>6365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137</v>
      </c>
      <c r="BX1940" s="2" t="s">
        <v>6366</v>
      </c>
      <c r="BY1940" s="2" t="s">
        <v>113</v>
      </c>
      <c r="BZ1940" s="2" t="s">
        <v>100</v>
      </c>
    </row>
    <row r="1941">
      <c r="A1941" s="2" t="s">
        <v>6367</v>
      </c>
      <c r="B1941" s="2" t="s">
        <v>5764</v>
      </c>
      <c r="C1941" s="2" t="s">
        <v>88</v>
      </c>
      <c r="D1941" s="2" t="s">
        <v>4473</v>
      </c>
      <c r="E1941" s="2" t="s">
        <v>5768</v>
      </c>
      <c r="F1941" s="2" t="s">
        <v>6368</v>
      </c>
      <c r="G1941" s="2" t="s">
        <v>6368</v>
      </c>
      <c r="H1941" s="2" t="s">
        <v>6368</v>
      </c>
      <c r="I1941" s="2" t="s">
        <v>5768</v>
      </c>
      <c r="J1941" s="2" t="s">
        <v>1936</v>
      </c>
      <c r="K1941" s="2" t="s">
        <v>118</v>
      </c>
      <c r="L1941" s="3">
        <v>12.85</v>
      </c>
      <c r="M1941" s="3">
        <v>13.49</v>
      </c>
      <c r="N1941" s="3">
        <v>29.99</v>
      </c>
      <c r="O1941" s="2" t="s">
        <v>97</v>
      </c>
      <c r="P1941" s="2" t="s">
        <v>119</v>
      </c>
      <c r="Q1941" s="2" t="s">
        <v>99</v>
      </c>
      <c r="R1941" s="2" t="s">
        <v>100</v>
      </c>
      <c r="S1941" s="2" t="s">
        <v>6369</v>
      </c>
      <c r="T1941" s="2" t="s">
        <v>4441</v>
      </c>
      <c r="U1941" s="2" t="s">
        <v>1847</v>
      </c>
      <c r="V1941" s="2" t="s">
        <v>403</v>
      </c>
      <c r="W1941" s="2" t="s">
        <v>309</v>
      </c>
      <c r="X1941" s="2" t="s">
        <v>104</v>
      </c>
      <c r="Y1941" s="2" t="s">
        <v>3607</v>
      </c>
      <c r="Z1941" s="4">
        <v>229</v>
      </c>
      <c r="AA1941" s="4">
        <f>=ROUNDDOWN(25.4444444444444,0)</f>
      </c>
      <c r="AB1941" s="5">
        <v>9</v>
      </c>
      <c r="AC1941" s="2" t="s">
        <v>872</v>
      </c>
      <c r="AD1941" s="4">
        <v>150</v>
      </c>
      <c r="AE1941" s="4">
        <v>270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/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/>
      <c r="BJ1941" s="4">
        <v>139</v>
      </c>
      <c r="BK1941" s="8">
        <v>2021.05</v>
      </c>
      <c r="BL1941" s="2" t="s">
        <v>4942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207</v>
      </c>
      <c r="BV1941" s="2" t="s">
        <v>97</v>
      </c>
      <c r="BW1941" s="2" t="s">
        <v>100</v>
      </c>
      <c r="BX1941" s="2" t="s">
        <v>100</v>
      </c>
      <c r="BY1941" s="2" t="s">
        <v>113</v>
      </c>
      <c r="BZ1941" s="2" t="s">
        <v>100</v>
      </c>
    </row>
    <row r="1942">
      <c r="A1942" s="2" t="s">
        <v>6370</v>
      </c>
      <c r="B1942" s="2" t="s">
        <v>5764</v>
      </c>
      <c r="C1942" s="2" t="s">
        <v>88</v>
      </c>
      <c r="D1942" s="2" t="s">
        <v>4473</v>
      </c>
      <c r="E1942" s="2" t="s">
        <v>5768</v>
      </c>
      <c r="F1942" s="2" t="s">
        <v>6368</v>
      </c>
      <c r="G1942" s="2" t="s">
        <v>6368</v>
      </c>
      <c r="H1942" s="2" t="s">
        <v>6368</v>
      </c>
      <c r="I1942" s="2" t="s">
        <v>5768</v>
      </c>
      <c r="J1942" s="2" t="s">
        <v>247</v>
      </c>
      <c r="K1942" s="2" t="s">
        <v>118</v>
      </c>
      <c r="L1942" s="3">
        <v>16</v>
      </c>
      <c r="M1942" s="3">
        <v>16.8</v>
      </c>
      <c r="N1942" s="3">
        <v>34.99</v>
      </c>
      <c r="O1942" s="2" t="s">
        <v>97</v>
      </c>
      <c r="P1942" s="2" t="s">
        <v>119</v>
      </c>
      <c r="Q1942" s="2" t="s">
        <v>99</v>
      </c>
      <c r="R1942" s="2" t="s">
        <v>100</v>
      </c>
      <c r="S1942" s="2" t="s">
        <v>6369</v>
      </c>
      <c r="T1942" s="2" t="s">
        <v>4441</v>
      </c>
      <c r="U1942" s="2" t="s">
        <v>1847</v>
      </c>
      <c r="V1942" s="2" t="s">
        <v>403</v>
      </c>
      <c r="W1942" s="2" t="s">
        <v>309</v>
      </c>
      <c r="X1942" s="2" t="s">
        <v>104</v>
      </c>
      <c r="Y1942" s="2" t="s">
        <v>3614</v>
      </c>
      <c r="Z1942" s="4">
        <v>488</v>
      </c>
      <c r="AA1942" s="4">
        <f>=ROUNDDOWN(37.5384615384615,0)</f>
      </c>
      <c r="AB1942" s="5">
        <v>13</v>
      </c>
      <c r="AC1942" s="2" t="s">
        <v>872</v>
      </c>
      <c r="AD1942" s="4">
        <v>200</v>
      </c>
      <c r="AE1942" s="4">
        <v>400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/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/>
      <c r="BJ1942" s="4">
        <v>277</v>
      </c>
      <c r="BK1942" s="8">
        <v>5030.8</v>
      </c>
      <c r="BL1942" s="2" t="s">
        <v>3168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207</v>
      </c>
      <c r="BV1942" s="2" t="s">
        <v>97</v>
      </c>
      <c r="BW1942" s="2" t="s">
        <v>100</v>
      </c>
      <c r="BX1942" s="2" t="s">
        <v>100</v>
      </c>
      <c r="BY1942" s="2" t="s">
        <v>113</v>
      </c>
      <c r="BZ1942" s="2" t="s">
        <v>100</v>
      </c>
    </row>
    <row r="1943">
      <c r="A1943" s="2" t="s">
        <v>6371</v>
      </c>
      <c r="B1943" s="2" t="s">
        <v>5764</v>
      </c>
      <c r="C1943" s="2" t="s">
        <v>88</v>
      </c>
      <c r="D1943" s="2" t="s">
        <v>4473</v>
      </c>
      <c r="E1943" s="2" t="s">
        <v>5768</v>
      </c>
      <c r="F1943" s="2" t="s">
        <v>6368</v>
      </c>
      <c r="G1943" s="2" t="s">
        <v>6368</v>
      </c>
      <c r="H1943" s="2" t="s">
        <v>6368</v>
      </c>
      <c r="I1943" s="2" t="s">
        <v>5768</v>
      </c>
      <c r="J1943" s="2" t="s">
        <v>714</v>
      </c>
      <c r="K1943" s="2" t="s">
        <v>118</v>
      </c>
      <c r="L1943" s="3">
        <v>18.28</v>
      </c>
      <c r="M1943" s="3">
        <v>19.19</v>
      </c>
      <c r="N1943" s="3">
        <v>39.99</v>
      </c>
      <c r="O1943" s="2" t="s">
        <v>97</v>
      </c>
      <c r="P1943" s="2" t="s">
        <v>119</v>
      </c>
      <c r="Q1943" s="2" t="s">
        <v>99</v>
      </c>
      <c r="R1943" s="2" t="s">
        <v>100</v>
      </c>
      <c r="S1943" s="2" t="s">
        <v>6369</v>
      </c>
      <c r="T1943" s="2" t="s">
        <v>4441</v>
      </c>
      <c r="U1943" s="2" t="s">
        <v>1847</v>
      </c>
      <c r="V1943" s="2" t="s">
        <v>403</v>
      </c>
      <c r="W1943" s="2" t="s">
        <v>309</v>
      </c>
      <c r="X1943" s="2" t="s">
        <v>104</v>
      </c>
      <c r="Y1943" s="2" t="s">
        <v>3607</v>
      </c>
      <c r="Z1943" s="4">
        <v>348</v>
      </c>
      <c r="AA1943" s="4">
        <f>=ROUNDDOWN(38.6666666666667,0)</f>
      </c>
      <c r="AB1943" s="5">
        <v>9</v>
      </c>
      <c r="AC1943" s="2" t="s">
        <v>872</v>
      </c>
      <c r="AD1943" s="4">
        <v>40</v>
      </c>
      <c r="AE1943" s="4">
        <v>130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100</v>
      </c>
      <c r="AW1943" s="8" t="s">
        <v>100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/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/>
      <c r="BJ1943" s="4">
        <v>173</v>
      </c>
      <c r="BK1943" s="8">
        <v>3578.46</v>
      </c>
      <c r="BL1943" s="2" t="s">
        <v>4942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207</v>
      </c>
      <c r="BV1943" s="2" t="s">
        <v>97</v>
      </c>
      <c r="BW1943" s="2" t="s">
        <v>100</v>
      </c>
      <c r="BX1943" s="2" t="s">
        <v>100</v>
      </c>
      <c r="BY1943" s="2" t="s">
        <v>113</v>
      </c>
      <c r="BZ1943" s="2" t="s">
        <v>100</v>
      </c>
    </row>
    <row r="1944">
      <c r="A1944" s="2" t="s">
        <v>6372</v>
      </c>
      <c r="B1944" s="2" t="s">
        <v>5764</v>
      </c>
      <c r="C1944" s="2" t="s">
        <v>88</v>
      </c>
      <c r="D1944" s="2" t="s">
        <v>4473</v>
      </c>
      <c r="E1944" s="2" t="s">
        <v>5768</v>
      </c>
      <c r="F1944" s="2" t="s">
        <v>6368</v>
      </c>
      <c r="G1944" s="2" t="s">
        <v>6368</v>
      </c>
      <c r="H1944" s="2" t="s">
        <v>6368</v>
      </c>
      <c r="I1944" s="2" t="s">
        <v>5768</v>
      </c>
      <c r="J1944" s="2" t="s">
        <v>1936</v>
      </c>
      <c r="K1944" s="2" t="s">
        <v>913</v>
      </c>
      <c r="L1944" s="3">
        <v>12.85</v>
      </c>
      <c r="M1944" s="3">
        <v>13.49</v>
      </c>
      <c r="N1944" s="3">
        <v>29.99</v>
      </c>
      <c r="O1944" s="2" t="s">
        <v>97</v>
      </c>
      <c r="P1944" s="2" t="s">
        <v>119</v>
      </c>
      <c r="Q1944" s="2" t="s">
        <v>99</v>
      </c>
      <c r="R1944" s="2" t="s">
        <v>100</v>
      </c>
      <c r="S1944" s="2" t="s">
        <v>6373</v>
      </c>
      <c r="T1944" s="2" t="s">
        <v>4441</v>
      </c>
      <c r="U1944" s="2" t="s">
        <v>1847</v>
      </c>
      <c r="V1944" s="2" t="s">
        <v>403</v>
      </c>
      <c r="W1944" s="2" t="s">
        <v>309</v>
      </c>
      <c r="X1944" s="2" t="s">
        <v>104</v>
      </c>
      <c r="Y1944" s="2" t="s">
        <v>3614</v>
      </c>
      <c r="Z1944" s="4">
        <v>306</v>
      </c>
      <c r="AA1944" s="4">
        <f>=ROUNDDOWN(51,0)</f>
      </c>
      <c r="AB1944" s="5">
        <v>6</v>
      </c>
      <c r="AC1944" s="2" t="s">
        <v>931</v>
      </c>
      <c r="AD1944" s="4">
        <v>90</v>
      </c>
      <c r="AE1944" s="4">
        <v>90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/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/>
      <c r="BJ1944" s="4">
        <v>47</v>
      </c>
      <c r="BK1944" s="8">
        <v>681.44</v>
      </c>
      <c r="BL1944" s="2" t="s">
        <v>4942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207</v>
      </c>
      <c r="BV1944" s="2" t="s">
        <v>97</v>
      </c>
      <c r="BW1944" s="2" t="s">
        <v>100</v>
      </c>
      <c r="BX1944" s="2" t="s">
        <v>100</v>
      </c>
      <c r="BY1944" s="2" t="s">
        <v>113</v>
      </c>
      <c r="BZ1944" s="2" t="s">
        <v>100</v>
      </c>
    </row>
    <row r="1945">
      <c r="A1945" s="2" t="s">
        <v>6374</v>
      </c>
      <c r="B1945" s="2" t="s">
        <v>5764</v>
      </c>
      <c r="C1945" s="2" t="s">
        <v>88</v>
      </c>
      <c r="D1945" s="2" t="s">
        <v>4473</v>
      </c>
      <c r="E1945" s="2" t="s">
        <v>5768</v>
      </c>
      <c r="F1945" s="2" t="s">
        <v>6368</v>
      </c>
      <c r="G1945" s="2" t="s">
        <v>6368</v>
      </c>
      <c r="H1945" s="2" t="s">
        <v>6368</v>
      </c>
      <c r="I1945" s="2" t="s">
        <v>5768</v>
      </c>
      <c r="J1945" s="2" t="s">
        <v>247</v>
      </c>
      <c r="K1945" s="2" t="s">
        <v>913</v>
      </c>
      <c r="L1945" s="3">
        <v>16</v>
      </c>
      <c r="M1945" s="3">
        <v>16.8</v>
      </c>
      <c r="N1945" s="3">
        <v>34.99</v>
      </c>
      <c r="O1945" s="2" t="s">
        <v>97</v>
      </c>
      <c r="P1945" s="2" t="s">
        <v>119</v>
      </c>
      <c r="Q1945" s="2" t="s">
        <v>99</v>
      </c>
      <c r="R1945" s="2" t="s">
        <v>100</v>
      </c>
      <c r="S1945" s="2" t="s">
        <v>6373</v>
      </c>
      <c r="T1945" s="2" t="s">
        <v>4441</v>
      </c>
      <c r="U1945" s="2" t="s">
        <v>1847</v>
      </c>
      <c r="V1945" s="2" t="s">
        <v>403</v>
      </c>
      <c r="W1945" s="2" t="s">
        <v>309</v>
      </c>
      <c r="X1945" s="2" t="s">
        <v>104</v>
      </c>
      <c r="Y1945" s="2" t="s">
        <v>3607</v>
      </c>
      <c r="Z1945" s="4">
        <v>343</v>
      </c>
      <c r="AA1945" s="4">
        <f>=ROUNDDOWN(38.1111111111111,0)</f>
      </c>
      <c r="AB1945" s="5">
        <v>9</v>
      </c>
      <c r="AC1945" s="2" t="s">
        <v>931</v>
      </c>
      <c r="AD1945" s="4">
        <v>210</v>
      </c>
      <c r="AE1945" s="4">
        <v>210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100</v>
      </c>
      <c r="AW1945" s="8" t="s">
        <v>100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/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/>
      <c r="BJ1945" s="4">
        <v>110</v>
      </c>
      <c r="BK1945" s="8">
        <v>1993.08</v>
      </c>
      <c r="BL1945" s="2" t="s">
        <v>4942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207</v>
      </c>
      <c r="BV1945" s="2" t="s">
        <v>97</v>
      </c>
      <c r="BW1945" s="2" t="s">
        <v>100</v>
      </c>
      <c r="BX1945" s="2" t="s">
        <v>100</v>
      </c>
      <c r="BY1945" s="2" t="s">
        <v>113</v>
      </c>
      <c r="BZ1945" s="2" t="s">
        <v>100</v>
      </c>
    </row>
    <row r="1946">
      <c r="A1946" s="2" t="s">
        <v>6375</v>
      </c>
      <c r="B1946" s="2" t="s">
        <v>5764</v>
      </c>
      <c r="C1946" s="2" t="s">
        <v>88</v>
      </c>
      <c r="D1946" s="2" t="s">
        <v>4473</v>
      </c>
      <c r="E1946" s="2" t="s">
        <v>5768</v>
      </c>
      <c r="F1946" s="2" t="s">
        <v>6368</v>
      </c>
      <c r="G1946" s="2" t="s">
        <v>6368</v>
      </c>
      <c r="H1946" s="2" t="s">
        <v>6368</v>
      </c>
      <c r="I1946" s="2" t="s">
        <v>5768</v>
      </c>
      <c r="J1946" s="2" t="s">
        <v>714</v>
      </c>
      <c r="K1946" s="2" t="s">
        <v>913</v>
      </c>
      <c r="L1946" s="3">
        <v>18.28</v>
      </c>
      <c r="M1946" s="3">
        <v>19.19</v>
      </c>
      <c r="N1946" s="3">
        <v>39.99</v>
      </c>
      <c r="O1946" s="2" t="s">
        <v>97</v>
      </c>
      <c r="P1946" s="2" t="s">
        <v>119</v>
      </c>
      <c r="Q1946" s="2" t="s">
        <v>99</v>
      </c>
      <c r="R1946" s="2" t="s">
        <v>100</v>
      </c>
      <c r="S1946" s="2" t="s">
        <v>6373</v>
      </c>
      <c r="T1946" s="2" t="s">
        <v>4441</v>
      </c>
      <c r="U1946" s="2" t="s">
        <v>1847</v>
      </c>
      <c r="V1946" s="2" t="s">
        <v>403</v>
      </c>
      <c r="W1946" s="2" t="s">
        <v>309</v>
      </c>
      <c r="X1946" s="2" t="s">
        <v>104</v>
      </c>
      <c r="Y1946" s="2" t="s">
        <v>3614</v>
      </c>
      <c r="Z1946" s="4">
        <v>262</v>
      </c>
      <c r="AA1946" s="4">
        <f>=ROUNDDOWN(43.6666666666667,0)</f>
      </c>
      <c r="AB1946" s="5">
        <v>6</v>
      </c>
      <c r="AC1946" s="2" t="s">
        <v>931</v>
      </c>
      <c r="AD1946" s="4">
        <v>144</v>
      </c>
      <c r="AE1946" s="4">
        <v>144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/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/>
      <c r="BJ1946" s="4">
        <v>45</v>
      </c>
      <c r="BK1946" s="8">
        <v>928.79</v>
      </c>
      <c r="BL1946" s="2" t="s">
        <v>6376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207</v>
      </c>
      <c r="BV1946" s="2" t="s">
        <v>97</v>
      </c>
      <c r="BW1946" s="2" t="s">
        <v>100</v>
      </c>
      <c r="BX1946" s="2" t="s">
        <v>100</v>
      </c>
      <c r="BY1946" s="2" t="s">
        <v>113</v>
      </c>
      <c r="BZ1946" s="2" t="s">
        <v>100</v>
      </c>
    </row>
    <row r="1947">
      <c r="A1947" s="2" t="s">
        <v>6377</v>
      </c>
      <c r="B1947" s="2" t="s">
        <v>5764</v>
      </c>
      <c r="C1947" s="2" t="s">
        <v>88</v>
      </c>
      <c r="D1947" s="2" t="s">
        <v>4473</v>
      </c>
      <c r="E1947" s="2" t="s">
        <v>5768</v>
      </c>
      <c r="F1947" s="2" t="s">
        <v>6368</v>
      </c>
      <c r="G1947" s="2" t="s">
        <v>6368</v>
      </c>
      <c r="H1947" s="2" t="s">
        <v>6368</v>
      </c>
      <c r="I1947" s="2" t="s">
        <v>5768</v>
      </c>
      <c r="J1947" s="2" t="s">
        <v>1936</v>
      </c>
      <c r="K1947" s="2" t="s">
        <v>278</v>
      </c>
      <c r="L1947" s="3">
        <v>12.85</v>
      </c>
      <c r="M1947" s="3">
        <v>13.49</v>
      </c>
      <c r="N1947" s="3">
        <v>29.99</v>
      </c>
      <c r="O1947" s="2" t="s">
        <v>97</v>
      </c>
      <c r="P1947" s="2" t="s">
        <v>119</v>
      </c>
      <c r="Q1947" s="2" t="s">
        <v>99</v>
      </c>
      <c r="R1947" s="2" t="s">
        <v>100</v>
      </c>
      <c r="S1947" s="2" t="s">
        <v>6378</v>
      </c>
      <c r="T1947" s="2" t="s">
        <v>4441</v>
      </c>
      <c r="U1947" s="2" t="s">
        <v>1847</v>
      </c>
      <c r="V1947" s="2" t="s">
        <v>403</v>
      </c>
      <c r="W1947" s="2" t="s">
        <v>309</v>
      </c>
      <c r="X1947" s="2" t="s">
        <v>104</v>
      </c>
      <c r="Y1947" s="2" t="s">
        <v>3607</v>
      </c>
      <c r="Z1947" s="4">
        <v>338</v>
      </c>
      <c r="AA1947" s="4">
        <f>=ROUNDDOWN(67.6,0)</f>
      </c>
      <c r="AB1947" s="5">
        <v>5</v>
      </c>
      <c r="AC1947" s="2" t="s">
        <v>100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/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/>
      <c r="BJ1947" s="4">
        <v>112</v>
      </c>
      <c r="BK1947" s="8">
        <v>1638.39</v>
      </c>
      <c r="BL1947" s="2" t="s">
        <v>2908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207</v>
      </c>
      <c r="BV1947" s="2" t="s">
        <v>97</v>
      </c>
      <c r="BW1947" s="2" t="s">
        <v>100</v>
      </c>
      <c r="BX1947" s="2" t="s">
        <v>100</v>
      </c>
      <c r="BY1947" s="2" t="s">
        <v>113</v>
      </c>
      <c r="BZ1947" s="2" t="s">
        <v>100</v>
      </c>
    </row>
    <row r="1948">
      <c r="A1948" s="2" t="s">
        <v>6379</v>
      </c>
      <c r="B1948" s="2" t="s">
        <v>5764</v>
      </c>
      <c r="C1948" s="2" t="s">
        <v>88</v>
      </c>
      <c r="D1948" s="2" t="s">
        <v>4473</v>
      </c>
      <c r="E1948" s="2" t="s">
        <v>5768</v>
      </c>
      <c r="F1948" s="2" t="s">
        <v>6368</v>
      </c>
      <c r="G1948" s="2" t="s">
        <v>6368</v>
      </c>
      <c r="H1948" s="2" t="s">
        <v>6368</v>
      </c>
      <c r="I1948" s="2" t="s">
        <v>5768</v>
      </c>
      <c r="J1948" s="2" t="s">
        <v>247</v>
      </c>
      <c r="K1948" s="2" t="s">
        <v>278</v>
      </c>
      <c r="L1948" s="3">
        <v>16</v>
      </c>
      <c r="M1948" s="3">
        <v>16.8</v>
      </c>
      <c r="N1948" s="3">
        <v>34.99</v>
      </c>
      <c r="O1948" s="2" t="s">
        <v>97</v>
      </c>
      <c r="P1948" s="2" t="s">
        <v>119</v>
      </c>
      <c r="Q1948" s="2" t="s">
        <v>99</v>
      </c>
      <c r="R1948" s="2" t="s">
        <v>100</v>
      </c>
      <c r="S1948" s="2" t="s">
        <v>6378</v>
      </c>
      <c r="T1948" s="2" t="s">
        <v>4441</v>
      </c>
      <c r="U1948" s="2" t="s">
        <v>1847</v>
      </c>
      <c r="V1948" s="2" t="s">
        <v>403</v>
      </c>
      <c r="W1948" s="2" t="s">
        <v>309</v>
      </c>
      <c r="X1948" s="2" t="s">
        <v>104</v>
      </c>
      <c r="Y1948" s="2" t="s">
        <v>3614</v>
      </c>
      <c r="Z1948" s="4">
        <v>404</v>
      </c>
      <c r="AA1948" s="4">
        <f>=ROUNDDOWN(33.6666666666667,0)</f>
      </c>
      <c r="AB1948" s="5">
        <v>12</v>
      </c>
      <c r="AC1948" s="2" t="s">
        <v>5126</v>
      </c>
      <c r="AD1948" s="4">
        <v>250</v>
      </c>
      <c r="AE1948" s="4">
        <v>250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/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/>
      <c r="BJ1948" s="4">
        <v>234</v>
      </c>
      <c r="BK1948" s="8">
        <v>4234.36</v>
      </c>
      <c r="BL1948" s="2" t="s">
        <v>553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207</v>
      </c>
      <c r="BV1948" s="2" t="s">
        <v>97</v>
      </c>
      <c r="BW1948" s="2" t="s">
        <v>100</v>
      </c>
      <c r="BX1948" s="2" t="s">
        <v>100</v>
      </c>
      <c r="BY1948" s="2" t="s">
        <v>113</v>
      </c>
      <c r="BZ1948" s="2" t="s">
        <v>100</v>
      </c>
    </row>
    <row r="1949">
      <c r="A1949" s="2" t="s">
        <v>6380</v>
      </c>
      <c r="B1949" s="2" t="s">
        <v>5764</v>
      </c>
      <c r="C1949" s="2" t="s">
        <v>88</v>
      </c>
      <c r="D1949" s="2" t="s">
        <v>4473</v>
      </c>
      <c r="E1949" s="2" t="s">
        <v>5768</v>
      </c>
      <c r="F1949" s="2" t="s">
        <v>6368</v>
      </c>
      <c r="G1949" s="2" t="s">
        <v>6368</v>
      </c>
      <c r="H1949" s="2" t="s">
        <v>6368</v>
      </c>
      <c r="I1949" s="2" t="s">
        <v>5768</v>
      </c>
      <c r="J1949" s="2" t="s">
        <v>714</v>
      </c>
      <c r="K1949" s="2" t="s">
        <v>278</v>
      </c>
      <c r="L1949" s="3">
        <v>18.28</v>
      </c>
      <c r="M1949" s="3">
        <v>19.19</v>
      </c>
      <c r="N1949" s="3">
        <v>39.99</v>
      </c>
      <c r="O1949" s="2" t="s">
        <v>97</v>
      </c>
      <c r="P1949" s="2" t="s">
        <v>119</v>
      </c>
      <c r="Q1949" s="2" t="s">
        <v>99</v>
      </c>
      <c r="R1949" s="2" t="s">
        <v>100</v>
      </c>
      <c r="S1949" s="2" t="s">
        <v>6378</v>
      </c>
      <c r="T1949" s="2" t="s">
        <v>4441</v>
      </c>
      <c r="U1949" s="2" t="s">
        <v>1847</v>
      </c>
      <c r="V1949" s="2" t="s">
        <v>403</v>
      </c>
      <c r="W1949" s="2" t="s">
        <v>309</v>
      </c>
      <c r="X1949" s="2" t="s">
        <v>104</v>
      </c>
      <c r="Y1949" s="2" t="s">
        <v>3614</v>
      </c>
      <c r="Z1949" s="4">
        <v>273</v>
      </c>
      <c r="AA1949" s="4">
        <f>=ROUNDDOWN(36.4,0)</f>
      </c>
      <c r="AB1949" s="5">
        <v>7.5</v>
      </c>
      <c r="AC1949" s="2" t="s">
        <v>5126</v>
      </c>
      <c r="AD1949" s="4">
        <v>85</v>
      </c>
      <c r="AE1949" s="4">
        <v>85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/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/>
      <c r="BJ1949" s="4">
        <v>194</v>
      </c>
      <c r="BK1949" s="8">
        <v>4009.57</v>
      </c>
      <c r="BL1949" s="2" t="s">
        <v>553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207</v>
      </c>
      <c r="BV1949" s="2" t="s">
        <v>97</v>
      </c>
      <c r="BW1949" s="2" t="s">
        <v>100</v>
      </c>
      <c r="BX1949" s="2" t="s">
        <v>100</v>
      </c>
      <c r="BY1949" s="2" t="s">
        <v>113</v>
      </c>
      <c r="BZ1949" s="2" t="s">
        <v>100</v>
      </c>
    </row>
    <row r="1950">
      <c r="A1950" s="2" t="s">
        <v>6381</v>
      </c>
      <c r="B1950" s="2" t="s">
        <v>5764</v>
      </c>
      <c r="C1950" s="2" t="s">
        <v>88</v>
      </c>
      <c r="D1950" s="2" t="s">
        <v>4473</v>
      </c>
      <c r="E1950" s="2" t="s">
        <v>5768</v>
      </c>
      <c r="F1950" s="2" t="s">
        <v>6368</v>
      </c>
      <c r="G1950" s="2" t="s">
        <v>6368</v>
      </c>
      <c r="H1950" s="2" t="s">
        <v>6368</v>
      </c>
      <c r="I1950" s="2" t="s">
        <v>5768</v>
      </c>
      <c r="J1950" s="2" t="s">
        <v>1936</v>
      </c>
      <c r="K1950" s="2" t="s">
        <v>198</v>
      </c>
      <c r="L1950" s="3">
        <v>12.85</v>
      </c>
      <c r="M1950" s="3">
        <v>13.49</v>
      </c>
      <c r="N1950" s="3">
        <v>29.99</v>
      </c>
      <c r="O1950" s="2" t="s">
        <v>97</v>
      </c>
      <c r="P1950" s="2" t="s">
        <v>119</v>
      </c>
      <c r="Q1950" s="2" t="s">
        <v>99</v>
      </c>
      <c r="R1950" s="2" t="s">
        <v>100</v>
      </c>
      <c r="S1950" s="2" t="s">
        <v>6382</v>
      </c>
      <c r="T1950" s="2" t="s">
        <v>4441</v>
      </c>
      <c r="U1950" s="2" t="s">
        <v>1847</v>
      </c>
      <c r="V1950" s="2" t="s">
        <v>403</v>
      </c>
      <c r="W1950" s="2" t="s">
        <v>309</v>
      </c>
      <c r="X1950" s="2" t="s">
        <v>104</v>
      </c>
      <c r="Y1950" s="2" t="s">
        <v>3607</v>
      </c>
      <c r="Z1950" s="4">
        <v>180</v>
      </c>
      <c r="AA1950" s="4">
        <f>=ROUNDDOWN(30,0)</f>
      </c>
      <c r="AB1950" s="5">
        <v>6</v>
      </c>
      <c r="AC1950" s="2" t="s">
        <v>417</v>
      </c>
      <c r="AD1950" s="4">
        <v>100</v>
      </c>
      <c r="AE1950" s="4">
        <v>130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/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/>
      <c r="BJ1950" s="4">
        <v>146</v>
      </c>
      <c r="BK1950" s="8">
        <v>2120.59</v>
      </c>
      <c r="BL1950" s="2" t="s">
        <v>229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207</v>
      </c>
      <c r="BV1950" s="2" t="s">
        <v>97</v>
      </c>
      <c r="BW1950" s="2" t="s">
        <v>100</v>
      </c>
      <c r="BX1950" s="2" t="s">
        <v>100</v>
      </c>
      <c r="BY1950" s="2" t="s">
        <v>113</v>
      </c>
      <c r="BZ1950" s="2" t="s">
        <v>100</v>
      </c>
    </row>
    <row r="1951">
      <c r="A1951" s="2" t="s">
        <v>6383</v>
      </c>
      <c r="B1951" s="2" t="s">
        <v>5764</v>
      </c>
      <c r="C1951" s="2" t="s">
        <v>88</v>
      </c>
      <c r="D1951" s="2" t="s">
        <v>4473</v>
      </c>
      <c r="E1951" s="2" t="s">
        <v>5768</v>
      </c>
      <c r="F1951" s="2" t="s">
        <v>6368</v>
      </c>
      <c r="G1951" s="2" t="s">
        <v>6368</v>
      </c>
      <c r="H1951" s="2" t="s">
        <v>6368</v>
      </c>
      <c r="I1951" s="2" t="s">
        <v>5768</v>
      </c>
      <c r="J1951" s="2" t="s">
        <v>247</v>
      </c>
      <c r="K1951" s="2" t="s">
        <v>198</v>
      </c>
      <c r="L1951" s="3">
        <v>16</v>
      </c>
      <c r="M1951" s="3">
        <v>16.8</v>
      </c>
      <c r="N1951" s="3">
        <v>34.99</v>
      </c>
      <c r="O1951" s="2" t="s">
        <v>97</v>
      </c>
      <c r="P1951" s="2" t="s">
        <v>119</v>
      </c>
      <c r="Q1951" s="2" t="s">
        <v>99</v>
      </c>
      <c r="R1951" s="2" t="s">
        <v>100</v>
      </c>
      <c r="S1951" s="2" t="s">
        <v>6382</v>
      </c>
      <c r="T1951" s="2" t="s">
        <v>4441</v>
      </c>
      <c r="U1951" s="2" t="s">
        <v>1847</v>
      </c>
      <c r="V1951" s="2" t="s">
        <v>403</v>
      </c>
      <c r="W1951" s="2" t="s">
        <v>309</v>
      </c>
      <c r="X1951" s="2" t="s">
        <v>104</v>
      </c>
      <c r="Y1951" s="2" t="s">
        <v>3607</v>
      </c>
      <c r="Z1951" s="4">
        <v>329</v>
      </c>
      <c r="AA1951" s="4">
        <f>=ROUNDDOWN(25.3076923076923,0)</f>
      </c>
      <c r="AB1951" s="5">
        <v>13</v>
      </c>
      <c r="AC1951" s="2" t="s">
        <v>417</v>
      </c>
      <c r="AD1951" s="4">
        <v>200</v>
      </c>
      <c r="AE1951" s="4">
        <v>310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/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/>
      <c r="BJ1951" s="4">
        <v>271</v>
      </c>
      <c r="BK1951" s="8">
        <v>4914.66</v>
      </c>
      <c r="BL1951" s="2" t="s">
        <v>229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207</v>
      </c>
      <c r="BV1951" s="2" t="s">
        <v>97</v>
      </c>
      <c r="BW1951" s="2" t="s">
        <v>100</v>
      </c>
      <c r="BX1951" s="2" t="s">
        <v>100</v>
      </c>
      <c r="BY1951" s="2" t="s">
        <v>113</v>
      </c>
      <c r="BZ1951" s="2" t="s">
        <v>100</v>
      </c>
    </row>
    <row r="1952">
      <c r="A1952" s="2" t="s">
        <v>6384</v>
      </c>
      <c r="B1952" s="2" t="s">
        <v>5764</v>
      </c>
      <c r="C1952" s="2" t="s">
        <v>88</v>
      </c>
      <c r="D1952" s="2" t="s">
        <v>4473</v>
      </c>
      <c r="E1952" s="2" t="s">
        <v>5768</v>
      </c>
      <c r="F1952" s="2" t="s">
        <v>6368</v>
      </c>
      <c r="G1952" s="2" t="s">
        <v>6368</v>
      </c>
      <c r="H1952" s="2" t="s">
        <v>6368</v>
      </c>
      <c r="I1952" s="2" t="s">
        <v>5768</v>
      </c>
      <c r="J1952" s="2" t="s">
        <v>714</v>
      </c>
      <c r="K1952" s="2" t="s">
        <v>198</v>
      </c>
      <c r="L1952" s="3">
        <v>18.28</v>
      </c>
      <c r="M1952" s="3">
        <v>19.19</v>
      </c>
      <c r="N1952" s="3">
        <v>39.99</v>
      </c>
      <c r="O1952" s="2" t="s">
        <v>97</v>
      </c>
      <c r="P1952" s="2" t="s">
        <v>119</v>
      </c>
      <c r="Q1952" s="2" t="s">
        <v>99</v>
      </c>
      <c r="R1952" s="2" t="s">
        <v>100</v>
      </c>
      <c r="S1952" s="2" t="s">
        <v>6382</v>
      </c>
      <c r="T1952" s="2" t="s">
        <v>4441</v>
      </c>
      <c r="U1952" s="2" t="s">
        <v>1847</v>
      </c>
      <c r="V1952" s="2" t="s">
        <v>403</v>
      </c>
      <c r="W1952" s="2" t="s">
        <v>309</v>
      </c>
      <c r="X1952" s="2" t="s">
        <v>104</v>
      </c>
      <c r="Y1952" s="2" t="s">
        <v>3614</v>
      </c>
      <c r="Z1952" s="4">
        <v>264</v>
      </c>
      <c r="AA1952" s="4">
        <f>=ROUNDDOWN(22,0)</f>
      </c>
      <c r="AB1952" s="5">
        <v>12</v>
      </c>
      <c r="AC1952" s="2" t="s">
        <v>417</v>
      </c>
      <c r="AD1952" s="4">
        <v>100</v>
      </c>
      <c r="AE1952" s="4">
        <v>334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/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/>
      <c r="BJ1952" s="4">
        <v>350</v>
      </c>
      <c r="BK1952" s="8">
        <v>7237.74</v>
      </c>
      <c r="BL1952" s="2" t="s">
        <v>229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207</v>
      </c>
      <c r="BV1952" s="2" t="s">
        <v>97</v>
      </c>
      <c r="BW1952" s="2" t="s">
        <v>100</v>
      </c>
      <c r="BX1952" s="2" t="s">
        <v>100</v>
      </c>
      <c r="BY1952" s="2" t="s">
        <v>113</v>
      </c>
      <c r="BZ1952" s="2" t="s">
        <v>100</v>
      </c>
    </row>
    <row r="1953">
      <c r="A1953" s="2" t="s">
        <v>6385</v>
      </c>
      <c r="B1953" s="2" t="s">
        <v>5764</v>
      </c>
      <c r="C1953" s="2" t="s">
        <v>88</v>
      </c>
      <c r="D1953" s="2" t="s">
        <v>4473</v>
      </c>
      <c r="E1953" s="2" t="s">
        <v>5768</v>
      </c>
      <c r="F1953" s="2" t="s">
        <v>6368</v>
      </c>
      <c r="G1953" s="2" t="s">
        <v>6368</v>
      </c>
      <c r="H1953" s="2" t="s">
        <v>6368</v>
      </c>
      <c r="I1953" s="2" t="s">
        <v>5768</v>
      </c>
      <c r="J1953" s="2" t="s">
        <v>1936</v>
      </c>
      <c r="K1953" s="2" t="s">
        <v>469</v>
      </c>
      <c r="L1953" s="3">
        <v>12.85</v>
      </c>
      <c r="M1953" s="3">
        <v>13.49</v>
      </c>
      <c r="N1953" s="3">
        <v>29.99</v>
      </c>
      <c r="O1953" s="2" t="s">
        <v>97</v>
      </c>
      <c r="P1953" s="2" t="s">
        <v>119</v>
      </c>
      <c r="Q1953" s="2" t="s">
        <v>99</v>
      </c>
      <c r="R1953" s="2" t="s">
        <v>100</v>
      </c>
      <c r="S1953" s="2" t="s">
        <v>6386</v>
      </c>
      <c r="T1953" s="2" t="s">
        <v>4441</v>
      </c>
      <c r="U1953" s="2" t="s">
        <v>1847</v>
      </c>
      <c r="V1953" s="2" t="s">
        <v>403</v>
      </c>
      <c r="W1953" s="2" t="s">
        <v>309</v>
      </c>
      <c r="X1953" s="2" t="s">
        <v>104</v>
      </c>
      <c r="Y1953" s="2" t="s">
        <v>3607</v>
      </c>
      <c r="Z1953" s="4">
        <v>282</v>
      </c>
      <c r="AA1953" s="4">
        <f>=ROUNDDOWN(94,0)</f>
      </c>
      <c r="AB1953" s="5">
        <v>3</v>
      </c>
      <c r="AC1953" s="2" t="s">
        <v>934</v>
      </c>
      <c r="AD1953" s="4">
        <v>170</v>
      </c>
      <c r="AE1953" s="4">
        <v>170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/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/>
      <c r="BJ1953" s="4">
        <v>26</v>
      </c>
      <c r="BK1953" s="8">
        <v>378.25</v>
      </c>
      <c r="BL1953" s="2" t="s">
        <v>2174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207</v>
      </c>
      <c r="BV1953" s="2" t="s">
        <v>97</v>
      </c>
      <c r="BW1953" s="2" t="s">
        <v>100</v>
      </c>
      <c r="BX1953" s="2" t="s">
        <v>100</v>
      </c>
      <c r="BY1953" s="2" t="s">
        <v>113</v>
      </c>
      <c r="BZ1953" s="2" t="s">
        <v>100</v>
      </c>
    </row>
    <row r="1954">
      <c r="A1954" s="2" t="s">
        <v>6387</v>
      </c>
      <c r="B1954" s="2" t="s">
        <v>5764</v>
      </c>
      <c r="C1954" s="2" t="s">
        <v>88</v>
      </c>
      <c r="D1954" s="2" t="s">
        <v>4473</v>
      </c>
      <c r="E1954" s="2" t="s">
        <v>5768</v>
      </c>
      <c r="F1954" s="2" t="s">
        <v>6368</v>
      </c>
      <c r="G1954" s="2" t="s">
        <v>6368</v>
      </c>
      <c r="H1954" s="2" t="s">
        <v>6368</v>
      </c>
      <c r="I1954" s="2" t="s">
        <v>5768</v>
      </c>
      <c r="J1954" s="2" t="s">
        <v>247</v>
      </c>
      <c r="K1954" s="2" t="s">
        <v>469</v>
      </c>
      <c r="L1954" s="3">
        <v>16</v>
      </c>
      <c r="M1954" s="3">
        <v>16.8</v>
      </c>
      <c r="N1954" s="3">
        <v>34.99</v>
      </c>
      <c r="O1954" s="2" t="s">
        <v>97</v>
      </c>
      <c r="P1954" s="2" t="s">
        <v>119</v>
      </c>
      <c r="Q1954" s="2" t="s">
        <v>99</v>
      </c>
      <c r="R1954" s="2" t="s">
        <v>100</v>
      </c>
      <c r="S1954" s="2" t="s">
        <v>6386</v>
      </c>
      <c r="T1954" s="2" t="s">
        <v>4441</v>
      </c>
      <c r="U1954" s="2" t="s">
        <v>1847</v>
      </c>
      <c r="V1954" s="2" t="s">
        <v>403</v>
      </c>
      <c r="W1954" s="2" t="s">
        <v>309</v>
      </c>
      <c r="X1954" s="2" t="s">
        <v>104</v>
      </c>
      <c r="Y1954" s="2" t="s">
        <v>3614</v>
      </c>
      <c r="Z1954" s="4">
        <v>305</v>
      </c>
      <c r="AA1954" s="4">
        <f>=ROUNDDOWN(76.25,0)</f>
      </c>
      <c r="AB1954" s="5">
        <v>4</v>
      </c>
      <c r="AC1954" s="2" t="s">
        <v>934</v>
      </c>
      <c r="AD1954" s="4">
        <v>190</v>
      </c>
      <c r="AE1954" s="4">
        <v>190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/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/>
      <c r="BJ1954" s="4">
        <v>80</v>
      </c>
      <c r="BK1954" s="8">
        <v>1447.02</v>
      </c>
      <c r="BL1954" s="2" t="s">
        <v>229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207</v>
      </c>
      <c r="BV1954" s="2" t="s">
        <v>97</v>
      </c>
      <c r="BW1954" s="2" t="s">
        <v>100</v>
      </c>
      <c r="BX1954" s="2" t="s">
        <v>100</v>
      </c>
      <c r="BY1954" s="2" t="s">
        <v>113</v>
      </c>
      <c r="BZ1954" s="2" t="s">
        <v>100</v>
      </c>
    </row>
    <row r="1955">
      <c r="A1955" s="2" t="s">
        <v>6388</v>
      </c>
      <c r="B1955" s="2" t="s">
        <v>5764</v>
      </c>
      <c r="C1955" s="2" t="s">
        <v>88</v>
      </c>
      <c r="D1955" s="2" t="s">
        <v>4473</v>
      </c>
      <c r="E1955" s="2" t="s">
        <v>5768</v>
      </c>
      <c r="F1955" s="2" t="s">
        <v>6368</v>
      </c>
      <c r="G1955" s="2" t="s">
        <v>6368</v>
      </c>
      <c r="H1955" s="2" t="s">
        <v>6368</v>
      </c>
      <c r="I1955" s="2" t="s">
        <v>5768</v>
      </c>
      <c r="J1955" s="2" t="s">
        <v>714</v>
      </c>
      <c r="K1955" s="2" t="s">
        <v>469</v>
      </c>
      <c r="L1955" s="3">
        <v>18.28</v>
      </c>
      <c r="M1955" s="3">
        <v>19.19</v>
      </c>
      <c r="N1955" s="3">
        <v>39.99</v>
      </c>
      <c r="O1955" s="2" t="s">
        <v>97</v>
      </c>
      <c r="P1955" s="2" t="s">
        <v>119</v>
      </c>
      <c r="Q1955" s="2" t="s">
        <v>99</v>
      </c>
      <c r="R1955" s="2" t="s">
        <v>100</v>
      </c>
      <c r="S1955" s="2" t="s">
        <v>6386</v>
      </c>
      <c r="T1955" s="2" t="s">
        <v>4441</v>
      </c>
      <c r="U1955" s="2" t="s">
        <v>1847</v>
      </c>
      <c r="V1955" s="2" t="s">
        <v>403</v>
      </c>
      <c r="W1955" s="2" t="s">
        <v>309</v>
      </c>
      <c r="X1955" s="2" t="s">
        <v>104</v>
      </c>
      <c r="Y1955" s="2" t="s">
        <v>3607</v>
      </c>
      <c r="Z1955" s="4">
        <v>253</v>
      </c>
      <c r="AA1955" s="4">
        <f>=ROUNDDOWN(63.25,0)</f>
      </c>
      <c r="AB1955" s="5">
        <v>4</v>
      </c>
      <c r="AC1955" s="2" t="s">
        <v>934</v>
      </c>
      <c r="AD1955" s="4">
        <v>200</v>
      </c>
      <c r="AE1955" s="4">
        <v>200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/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/>
      <c r="BJ1955" s="4">
        <v>80</v>
      </c>
      <c r="BK1955" s="8">
        <v>1652.91</v>
      </c>
      <c r="BL1955" s="2" t="s">
        <v>3168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207</v>
      </c>
      <c r="BV1955" s="2" t="s">
        <v>97</v>
      </c>
      <c r="BW1955" s="2" t="s">
        <v>100</v>
      </c>
      <c r="BX1955" s="2" t="s">
        <v>100</v>
      </c>
      <c r="BY1955" s="2" t="s">
        <v>113</v>
      </c>
      <c r="BZ1955" s="2" t="s">
        <v>100</v>
      </c>
    </row>
    <row r="1956">
      <c r="A1956" s="2" t="s">
        <v>6389</v>
      </c>
      <c r="B1956" s="2" t="s">
        <v>5764</v>
      </c>
      <c r="C1956" s="2" t="s">
        <v>88</v>
      </c>
      <c r="D1956" s="2" t="s">
        <v>803</v>
      </c>
      <c r="E1956" s="2" t="s">
        <v>1532</v>
      </c>
      <c r="F1956" s="2" t="s">
        <v>6390</v>
      </c>
      <c r="G1956" s="2" t="s">
        <v>3921</v>
      </c>
      <c r="H1956" s="2" t="s">
        <v>6391</v>
      </c>
      <c r="I1956" s="2" t="s">
        <v>6392</v>
      </c>
      <c r="J1956" s="2" t="s">
        <v>1936</v>
      </c>
      <c r="K1956" s="2" t="s">
        <v>1614</v>
      </c>
      <c r="L1956" s="3">
        <v>33.86</v>
      </c>
      <c r="M1956" s="3">
        <v>35.55</v>
      </c>
      <c r="N1956" s="3">
        <v>69.99</v>
      </c>
      <c r="O1956" s="2" t="s">
        <v>97</v>
      </c>
      <c r="P1956" s="2" t="s">
        <v>950</v>
      </c>
      <c r="Q1956" s="2" t="s">
        <v>99</v>
      </c>
      <c r="R1956" s="2" t="s">
        <v>100</v>
      </c>
      <c r="S1956" s="2" t="s">
        <v>6393</v>
      </c>
      <c r="T1956" s="2" t="s">
        <v>6072</v>
      </c>
      <c r="U1956" s="2" t="s">
        <v>514</v>
      </c>
      <c r="V1956" s="2" t="s">
        <v>103</v>
      </c>
      <c r="W1956" s="2" t="s">
        <v>3013</v>
      </c>
      <c r="X1956" s="2" t="s">
        <v>104</v>
      </c>
      <c r="Y1956" s="2" t="s">
        <v>6394</v>
      </c>
      <c r="Z1956" s="4">
        <v>364</v>
      </c>
      <c r="AA1956" s="4">
        <f>=ROUNDDOWN(45.5,0)</f>
      </c>
      <c r="AB1956" s="5">
        <v>8</v>
      </c>
      <c r="AC1956" s="2" t="s">
        <v>1102</v>
      </c>
      <c r="AD1956" s="4">
        <v>120</v>
      </c>
      <c r="AE1956" s="4">
        <v>300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>
        <v>3</v>
      </c>
      <c r="AQ1956" s="8">
        <v>114.36</v>
      </c>
      <c r="AR1956" s="4"/>
      <c r="AS1956" s="8"/>
      <c r="AT1956" s="7"/>
      <c r="AU1956" s="7"/>
      <c r="AV1956" s="4">
        <v>18</v>
      </c>
      <c r="AW1956" s="8">
        <v>1029.42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0.1111</v>
      </c>
      <c r="BC1956" s="4">
        <v>39</v>
      </c>
      <c r="BD1956" s="8">
        <v>2096.94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0.4909</v>
      </c>
      <c r="BJ1956" s="4">
        <v>139</v>
      </c>
      <c r="BK1956" s="8">
        <v>4891.94</v>
      </c>
      <c r="BL1956" s="2" t="s">
        <v>6395</v>
      </c>
      <c r="BM1956" s="7">
        <v>0.0216</v>
      </c>
      <c r="BN1956" s="7">
        <v>0.0234</v>
      </c>
      <c r="BO1956" s="4">
        <v>3</v>
      </c>
      <c r="BP1956" s="8">
        <v>114.36</v>
      </c>
      <c r="BQ1956" s="4"/>
      <c r="BR1956" s="8"/>
      <c r="BS1956" s="7"/>
      <c r="BT1956" s="7"/>
      <c r="BU1956" s="2" t="s">
        <v>109</v>
      </c>
      <c r="BV1956" s="2" t="s">
        <v>110</v>
      </c>
      <c r="BW1956" s="2" t="s">
        <v>137</v>
      </c>
      <c r="BX1956" s="2" t="s">
        <v>1919</v>
      </c>
      <c r="BY1956" s="2" t="s">
        <v>113</v>
      </c>
      <c r="BZ1956" s="2" t="s">
        <v>100</v>
      </c>
    </row>
    <row r="1957">
      <c r="A1957" s="2" t="s">
        <v>6396</v>
      </c>
      <c r="B1957" s="2" t="s">
        <v>5764</v>
      </c>
      <c r="C1957" s="2" t="s">
        <v>88</v>
      </c>
      <c r="D1957" s="2" t="s">
        <v>803</v>
      </c>
      <c r="E1957" s="2" t="s">
        <v>1532</v>
      </c>
      <c r="F1957" s="2" t="s">
        <v>6390</v>
      </c>
      <c r="G1957" s="2" t="s">
        <v>3921</v>
      </c>
      <c r="H1957" s="2" t="s">
        <v>6391</v>
      </c>
      <c r="I1957" s="2" t="s">
        <v>6392</v>
      </c>
      <c r="J1957" s="2" t="s">
        <v>247</v>
      </c>
      <c r="K1957" s="2" t="s">
        <v>1614</v>
      </c>
      <c r="L1957" s="3">
        <v>48.58</v>
      </c>
      <c r="M1957" s="3">
        <v>51.01</v>
      </c>
      <c r="N1957" s="3">
        <v>99.99</v>
      </c>
      <c r="O1957" s="2" t="s">
        <v>97</v>
      </c>
      <c r="P1957" s="2" t="s">
        <v>307</v>
      </c>
      <c r="Q1957" s="2" t="s">
        <v>99</v>
      </c>
      <c r="R1957" s="2" t="s">
        <v>100</v>
      </c>
      <c r="S1957" s="2" t="s">
        <v>6393</v>
      </c>
      <c r="T1957" s="2" t="s">
        <v>6072</v>
      </c>
      <c r="U1957" s="2" t="s">
        <v>480</v>
      </c>
      <c r="V1957" s="2" t="s">
        <v>103</v>
      </c>
      <c r="W1957" s="2" t="s">
        <v>3013</v>
      </c>
      <c r="X1957" s="2" t="s">
        <v>104</v>
      </c>
      <c r="Y1957" s="2" t="s">
        <v>6394</v>
      </c>
      <c r="Z1957" s="4">
        <v>841</v>
      </c>
      <c r="AA1957" s="4">
        <f>=ROUNDDOWN(28.0333333333333,0)</f>
      </c>
      <c r="AB1957" s="5">
        <v>30</v>
      </c>
      <c r="AC1957" s="2" t="s">
        <v>1102</v>
      </c>
      <c r="AD1957" s="4">
        <v>800</v>
      </c>
      <c r="AE1957" s="4">
        <v>2110</v>
      </c>
      <c r="AF1957" s="6">
        <v>65</v>
      </c>
      <c r="AG1957" s="6">
        <v>48</v>
      </c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>
        <v>6</v>
      </c>
      <c r="AQ1957" s="8">
        <v>326.82</v>
      </c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0.3175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 t="s">
        <v>100</v>
      </c>
      <c r="BJ1957" s="4">
        <v>735</v>
      </c>
      <c r="BK1957" s="8">
        <v>38938.48</v>
      </c>
      <c r="BL1957" s="2" t="s">
        <v>6397</v>
      </c>
      <c r="BM1957" s="7">
        <v>0.0082</v>
      </c>
      <c r="BN1957" s="7">
        <v>0.0084</v>
      </c>
      <c r="BO1957" s="4">
        <v>6</v>
      </c>
      <c r="BP1957" s="8">
        <v>326.82</v>
      </c>
      <c r="BQ1957" s="4"/>
      <c r="BR1957" s="8"/>
      <c r="BS1957" s="7"/>
      <c r="BT1957" s="7"/>
      <c r="BU1957" s="2" t="s">
        <v>109</v>
      </c>
      <c r="BV1957" s="2" t="s">
        <v>110</v>
      </c>
      <c r="BW1957" s="2" t="s">
        <v>137</v>
      </c>
      <c r="BX1957" s="2" t="s">
        <v>2247</v>
      </c>
      <c r="BY1957" s="2" t="s">
        <v>113</v>
      </c>
      <c r="BZ1957" s="2" t="s">
        <v>100</v>
      </c>
    </row>
    <row r="1958">
      <c r="A1958" s="2" t="s">
        <v>6398</v>
      </c>
      <c r="B1958" s="2" t="s">
        <v>5764</v>
      </c>
      <c r="C1958" s="2" t="s">
        <v>88</v>
      </c>
      <c r="D1958" s="2" t="s">
        <v>803</v>
      </c>
      <c r="E1958" s="2" t="s">
        <v>1532</v>
      </c>
      <c r="F1958" s="2" t="s">
        <v>6390</v>
      </c>
      <c r="G1958" s="2" t="s">
        <v>3921</v>
      </c>
      <c r="H1958" s="2" t="s">
        <v>6391</v>
      </c>
      <c r="I1958" s="2" t="s">
        <v>6392</v>
      </c>
      <c r="J1958" s="2" t="s">
        <v>270</v>
      </c>
      <c r="K1958" s="2" t="s">
        <v>1614</v>
      </c>
      <c r="L1958" s="3">
        <v>58.6</v>
      </c>
      <c r="M1958" s="3">
        <v>61.53</v>
      </c>
      <c r="N1958" s="3">
        <v>119.99</v>
      </c>
      <c r="O1958" s="2" t="s">
        <v>97</v>
      </c>
      <c r="P1958" s="2" t="s">
        <v>307</v>
      </c>
      <c r="Q1958" s="2" t="s">
        <v>99</v>
      </c>
      <c r="R1958" s="2" t="s">
        <v>100</v>
      </c>
      <c r="S1958" s="2" t="s">
        <v>6393</v>
      </c>
      <c r="T1958" s="2" t="s">
        <v>6072</v>
      </c>
      <c r="U1958" s="2" t="s">
        <v>480</v>
      </c>
      <c r="V1958" s="2" t="s">
        <v>103</v>
      </c>
      <c r="W1958" s="2" t="s">
        <v>3013</v>
      </c>
      <c r="X1958" s="2" t="s">
        <v>104</v>
      </c>
      <c r="Y1958" s="2" t="s">
        <v>6394</v>
      </c>
      <c r="Z1958" s="4">
        <v>781</v>
      </c>
      <c r="AA1958" s="4">
        <f>=ROUNDDOWN(30.0384615384615,0)</f>
      </c>
      <c r="AB1958" s="5">
        <v>26</v>
      </c>
      <c r="AC1958" s="2" t="s">
        <v>1102</v>
      </c>
      <c r="AD1958" s="4">
        <v>280</v>
      </c>
      <c r="AE1958" s="4">
        <v>1228</v>
      </c>
      <c r="AF1958" s="6">
        <v>65</v>
      </c>
      <c r="AG1958" s="6">
        <v>48</v>
      </c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>
        <v>9</v>
      </c>
      <c r="AQ1958" s="8">
        <v>588.24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0.5714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596</v>
      </c>
      <c r="BK1958" s="8">
        <v>37340.06</v>
      </c>
      <c r="BL1958" s="2" t="s">
        <v>6399</v>
      </c>
      <c r="BM1958" s="7">
        <v>0.0151</v>
      </c>
      <c r="BN1958" s="7">
        <v>0.0158</v>
      </c>
      <c r="BO1958" s="4">
        <v>9</v>
      </c>
      <c r="BP1958" s="8">
        <v>588.24</v>
      </c>
      <c r="BQ1958" s="4"/>
      <c r="BR1958" s="8"/>
      <c r="BS1958" s="7"/>
      <c r="BT1958" s="7"/>
      <c r="BU1958" s="2" t="s">
        <v>109</v>
      </c>
      <c r="BV1958" s="2" t="s">
        <v>110</v>
      </c>
      <c r="BW1958" s="2" t="s">
        <v>137</v>
      </c>
      <c r="BX1958" s="2" t="s">
        <v>2247</v>
      </c>
      <c r="BY1958" s="2" t="s">
        <v>113</v>
      </c>
      <c r="BZ1958" s="2" t="s">
        <v>100</v>
      </c>
    </row>
    <row r="1959">
      <c r="A1959" s="2" t="s">
        <v>6400</v>
      </c>
      <c r="B1959" s="2" t="s">
        <v>5764</v>
      </c>
      <c r="C1959" s="2" t="s">
        <v>88</v>
      </c>
      <c r="D1959" s="2" t="s">
        <v>803</v>
      </c>
      <c r="E1959" s="2" t="s">
        <v>1532</v>
      </c>
      <c r="F1959" s="2" t="s">
        <v>6390</v>
      </c>
      <c r="G1959" s="2" t="s">
        <v>3921</v>
      </c>
      <c r="H1959" s="2" t="s">
        <v>6391</v>
      </c>
      <c r="I1959" s="2" t="s">
        <v>6392</v>
      </c>
      <c r="J1959" s="2" t="s">
        <v>1936</v>
      </c>
      <c r="K1959" s="2" t="s">
        <v>432</v>
      </c>
      <c r="L1959" s="3">
        <v>33.86</v>
      </c>
      <c r="M1959" s="3">
        <v>35.55</v>
      </c>
      <c r="N1959" s="3">
        <v>69.99</v>
      </c>
      <c r="O1959" s="2" t="s">
        <v>97</v>
      </c>
      <c r="P1959" s="2" t="s">
        <v>950</v>
      </c>
      <c r="Q1959" s="2" t="s">
        <v>99</v>
      </c>
      <c r="R1959" s="2" t="s">
        <v>100</v>
      </c>
      <c r="S1959" s="2" t="s">
        <v>6401</v>
      </c>
      <c r="T1959" s="2" t="s">
        <v>6072</v>
      </c>
      <c r="U1959" s="2" t="s">
        <v>514</v>
      </c>
      <c r="V1959" s="2" t="s">
        <v>103</v>
      </c>
      <c r="W1959" s="2" t="s">
        <v>3013</v>
      </c>
      <c r="X1959" s="2" t="s">
        <v>104</v>
      </c>
      <c r="Y1959" s="2" t="s">
        <v>6394</v>
      </c>
      <c r="Z1959" s="4">
        <v>334</v>
      </c>
      <c r="AA1959" s="4">
        <f>=ROUNDDOWN(41.75,0)</f>
      </c>
      <c r="AB1959" s="5">
        <v>8</v>
      </c>
      <c r="AC1959" s="2" t="s">
        <v>4334</v>
      </c>
      <c r="AD1959" s="4">
        <v>120</v>
      </c>
      <c r="AE1959" s="4">
        <v>120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>
        <v>8</v>
      </c>
      <c r="AQ1959" s="8">
        <v>304.96</v>
      </c>
      <c r="AR1959" s="4"/>
      <c r="AS1959" s="8"/>
      <c r="AT1959" s="7"/>
      <c r="AU1959" s="7"/>
      <c r="AV1959" s="4">
        <v>17</v>
      </c>
      <c r="AW1959" s="8">
        <v>827.86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0.3684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0.3948</v>
      </c>
      <c r="BJ1959" s="4">
        <v>138</v>
      </c>
      <c r="BK1959" s="8">
        <v>5091.19</v>
      </c>
      <c r="BL1959" s="2" t="s">
        <v>749</v>
      </c>
      <c r="BM1959" s="7">
        <v>0.058</v>
      </c>
      <c r="BN1959" s="7">
        <v>0.0599</v>
      </c>
      <c r="BO1959" s="4">
        <v>8</v>
      </c>
      <c r="BP1959" s="8">
        <v>304.96</v>
      </c>
      <c r="BQ1959" s="4"/>
      <c r="BR1959" s="8"/>
      <c r="BS1959" s="7"/>
      <c r="BT1959" s="7"/>
      <c r="BU1959" s="2" t="s">
        <v>109</v>
      </c>
      <c r="BV1959" s="2" t="s">
        <v>110</v>
      </c>
      <c r="BW1959" s="2" t="s">
        <v>137</v>
      </c>
      <c r="BX1959" s="2" t="s">
        <v>6402</v>
      </c>
      <c r="BY1959" s="2" t="s">
        <v>113</v>
      </c>
      <c r="BZ1959" s="2" t="s">
        <v>100</v>
      </c>
    </row>
    <row r="1960">
      <c r="A1960" s="2" t="s">
        <v>6403</v>
      </c>
      <c r="B1960" s="2" t="s">
        <v>5764</v>
      </c>
      <c r="C1960" s="2" t="s">
        <v>88</v>
      </c>
      <c r="D1960" s="2" t="s">
        <v>803</v>
      </c>
      <c r="E1960" s="2" t="s">
        <v>1532</v>
      </c>
      <c r="F1960" s="2" t="s">
        <v>6390</v>
      </c>
      <c r="G1960" s="2" t="s">
        <v>3921</v>
      </c>
      <c r="H1960" s="2" t="s">
        <v>6391</v>
      </c>
      <c r="I1960" s="2" t="s">
        <v>6392</v>
      </c>
      <c r="J1960" s="2" t="s">
        <v>247</v>
      </c>
      <c r="K1960" s="2" t="s">
        <v>432</v>
      </c>
      <c r="L1960" s="3">
        <v>48.58</v>
      </c>
      <c r="M1960" s="3">
        <v>51.01</v>
      </c>
      <c r="N1960" s="3">
        <v>99.99</v>
      </c>
      <c r="O1960" s="2" t="s">
        <v>97</v>
      </c>
      <c r="P1960" s="2" t="s">
        <v>950</v>
      </c>
      <c r="Q1960" s="2" t="s">
        <v>99</v>
      </c>
      <c r="R1960" s="2" t="s">
        <v>100</v>
      </c>
      <c r="S1960" s="2" t="s">
        <v>6401</v>
      </c>
      <c r="T1960" s="2" t="s">
        <v>6072</v>
      </c>
      <c r="U1960" s="2" t="s">
        <v>480</v>
      </c>
      <c r="V1960" s="2" t="s">
        <v>103</v>
      </c>
      <c r="W1960" s="2" t="s">
        <v>3013</v>
      </c>
      <c r="X1960" s="2" t="s">
        <v>104</v>
      </c>
      <c r="Y1960" s="2" t="s">
        <v>2844</v>
      </c>
      <c r="Z1960" s="4">
        <v>724</v>
      </c>
      <c r="AA1960" s="4">
        <f>=ROUNDDOWN(40.2222222222222,0)</f>
      </c>
      <c r="AB1960" s="5">
        <v>18</v>
      </c>
      <c r="AC1960" s="2" t="s">
        <v>4334</v>
      </c>
      <c r="AD1960" s="4">
        <v>350</v>
      </c>
      <c r="AE1960" s="4">
        <v>350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>
        <v>6</v>
      </c>
      <c r="AQ1960" s="8">
        <v>326.82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0.3948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316</v>
      </c>
      <c r="BK1960" s="8">
        <v>16686.43</v>
      </c>
      <c r="BL1960" s="2" t="s">
        <v>6404</v>
      </c>
      <c r="BM1960" s="7">
        <v>0.019</v>
      </c>
      <c r="BN1960" s="7">
        <v>0.0196</v>
      </c>
      <c r="BO1960" s="4">
        <v>6</v>
      </c>
      <c r="BP1960" s="8">
        <v>326.82</v>
      </c>
      <c r="BQ1960" s="4"/>
      <c r="BR1960" s="8"/>
      <c r="BS1960" s="7"/>
      <c r="BT1960" s="7"/>
      <c r="BU1960" s="2" t="s">
        <v>109</v>
      </c>
      <c r="BV1960" s="2" t="s">
        <v>110</v>
      </c>
      <c r="BW1960" s="2" t="s">
        <v>137</v>
      </c>
      <c r="BX1960" s="2" t="s">
        <v>6405</v>
      </c>
      <c r="BY1960" s="2" t="s">
        <v>113</v>
      </c>
      <c r="BZ1960" s="2" t="s">
        <v>100</v>
      </c>
    </row>
    <row r="1961">
      <c r="A1961" s="2" t="s">
        <v>6406</v>
      </c>
      <c r="B1961" s="2" t="s">
        <v>5764</v>
      </c>
      <c r="C1961" s="2" t="s">
        <v>88</v>
      </c>
      <c r="D1961" s="2" t="s">
        <v>803</v>
      </c>
      <c r="E1961" s="2" t="s">
        <v>1532</v>
      </c>
      <c r="F1961" s="2" t="s">
        <v>6390</v>
      </c>
      <c r="G1961" s="2" t="s">
        <v>3921</v>
      </c>
      <c r="H1961" s="2" t="s">
        <v>6391</v>
      </c>
      <c r="I1961" s="2" t="s">
        <v>6392</v>
      </c>
      <c r="J1961" s="2" t="s">
        <v>270</v>
      </c>
      <c r="K1961" s="2" t="s">
        <v>432</v>
      </c>
      <c r="L1961" s="3">
        <v>58.6</v>
      </c>
      <c r="M1961" s="3">
        <v>61.53</v>
      </c>
      <c r="N1961" s="3">
        <v>119.99</v>
      </c>
      <c r="O1961" s="2" t="s">
        <v>97</v>
      </c>
      <c r="P1961" s="2" t="s">
        <v>950</v>
      </c>
      <c r="Q1961" s="2" t="s">
        <v>99</v>
      </c>
      <c r="R1961" s="2" t="s">
        <v>100</v>
      </c>
      <c r="S1961" s="2" t="s">
        <v>6401</v>
      </c>
      <c r="T1961" s="2" t="s">
        <v>6072</v>
      </c>
      <c r="U1961" s="2" t="s">
        <v>480</v>
      </c>
      <c r="V1961" s="2" t="s">
        <v>103</v>
      </c>
      <c r="W1961" s="2" t="s">
        <v>3013</v>
      </c>
      <c r="X1961" s="2" t="s">
        <v>104</v>
      </c>
      <c r="Y1961" s="2" t="s">
        <v>2844</v>
      </c>
      <c r="Z1961" s="4">
        <v>355</v>
      </c>
      <c r="AA1961" s="4">
        <f>=ROUNDDOWN(50.7142857142857,0)</f>
      </c>
      <c r="AB1961" s="5">
        <v>7</v>
      </c>
      <c r="AC1961" s="2" t="s">
        <v>356</v>
      </c>
      <c r="AD1961" s="4">
        <v>160</v>
      </c>
      <c r="AE1961" s="4">
        <v>190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>
        <v>3</v>
      </c>
      <c r="AQ1961" s="8">
        <v>196.08</v>
      </c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0.2369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 t="s">
        <v>100</v>
      </c>
      <c r="BJ1961" s="4">
        <v>156</v>
      </c>
      <c r="BK1961" s="8">
        <v>9717.06</v>
      </c>
      <c r="BL1961" s="2" t="s">
        <v>6407</v>
      </c>
      <c r="BM1961" s="7">
        <v>0.0192</v>
      </c>
      <c r="BN1961" s="7">
        <v>0.0202</v>
      </c>
      <c r="BO1961" s="4">
        <v>3</v>
      </c>
      <c r="BP1961" s="8">
        <v>196.08</v>
      </c>
      <c r="BQ1961" s="4"/>
      <c r="BR1961" s="8"/>
      <c r="BS1961" s="7"/>
      <c r="BT1961" s="7"/>
      <c r="BU1961" s="2" t="s">
        <v>109</v>
      </c>
      <c r="BV1961" s="2" t="s">
        <v>110</v>
      </c>
      <c r="BW1961" s="2" t="s">
        <v>137</v>
      </c>
      <c r="BX1961" s="2" t="s">
        <v>812</v>
      </c>
      <c r="BY1961" s="2" t="s">
        <v>113</v>
      </c>
      <c r="BZ1961" s="2" t="s">
        <v>100</v>
      </c>
    </row>
    <row r="1962">
      <c r="A1962" s="2" t="s">
        <v>6408</v>
      </c>
      <c r="B1962" s="2" t="s">
        <v>5764</v>
      </c>
      <c r="C1962" s="2" t="s">
        <v>88</v>
      </c>
      <c r="D1962" s="2" t="s">
        <v>803</v>
      </c>
      <c r="E1962" s="2" t="s">
        <v>1532</v>
      </c>
      <c r="F1962" s="2" t="s">
        <v>6390</v>
      </c>
      <c r="G1962" s="2" t="s">
        <v>3921</v>
      </c>
      <c r="H1962" s="2" t="s">
        <v>6391</v>
      </c>
      <c r="I1962" s="2" t="s">
        <v>6392</v>
      </c>
      <c r="J1962" s="2" t="s">
        <v>247</v>
      </c>
      <c r="K1962" s="2" t="s">
        <v>198</v>
      </c>
      <c r="L1962" s="3">
        <v>48.58</v>
      </c>
      <c r="M1962" s="3">
        <v>51.01</v>
      </c>
      <c r="N1962" s="3">
        <v>99.99</v>
      </c>
      <c r="O1962" s="2" t="s">
        <v>97</v>
      </c>
      <c r="P1962" s="2" t="s">
        <v>119</v>
      </c>
      <c r="Q1962" s="2" t="s">
        <v>99</v>
      </c>
      <c r="R1962" s="2" t="s">
        <v>100</v>
      </c>
      <c r="S1962" s="2" t="s">
        <v>6409</v>
      </c>
      <c r="T1962" s="2" t="s">
        <v>6072</v>
      </c>
      <c r="U1962" s="2" t="s">
        <v>480</v>
      </c>
      <c r="V1962" s="2" t="s">
        <v>103</v>
      </c>
      <c r="W1962" s="2" t="s">
        <v>3013</v>
      </c>
      <c r="X1962" s="2" t="s">
        <v>104</v>
      </c>
      <c r="Y1962" s="2" t="s">
        <v>6410</v>
      </c>
      <c r="Z1962" s="4">
        <v>434</v>
      </c>
      <c r="AA1962" s="4">
        <f>=ROUNDDOWN(39.4545454545455,0)</f>
      </c>
      <c r="AB1962" s="5">
        <v>11</v>
      </c>
      <c r="AC1962" s="2" t="s">
        <v>123</v>
      </c>
      <c r="AD1962" s="4">
        <v>50</v>
      </c>
      <c r="AE1962" s="4">
        <v>290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>
        <v>2</v>
      </c>
      <c r="AQ1962" s="8">
        <v>108.94</v>
      </c>
      <c r="AR1962" s="4"/>
      <c r="AS1962" s="8"/>
      <c r="AT1962" s="7"/>
      <c r="AU1962" s="7"/>
      <c r="AV1962" s="4">
        <v>4</v>
      </c>
      <c r="AW1962" s="8">
        <v>239.66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0.4546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0.1143</v>
      </c>
      <c r="BJ1962" s="4">
        <v>196</v>
      </c>
      <c r="BK1962" s="8">
        <v>10169.54</v>
      </c>
      <c r="BL1962" s="2" t="s">
        <v>6411</v>
      </c>
      <c r="BM1962" s="7">
        <v>0.0102</v>
      </c>
      <c r="BN1962" s="7">
        <v>0.0107</v>
      </c>
      <c r="BO1962" s="4">
        <v>2</v>
      </c>
      <c r="BP1962" s="8">
        <v>108.94</v>
      </c>
      <c r="BQ1962" s="4"/>
      <c r="BR1962" s="8"/>
      <c r="BS1962" s="7"/>
      <c r="BT1962" s="7"/>
      <c r="BU1962" s="2" t="s">
        <v>109</v>
      </c>
      <c r="BV1962" s="2" t="s">
        <v>110</v>
      </c>
      <c r="BW1962" s="2" t="s">
        <v>6412</v>
      </c>
      <c r="BX1962" s="2" t="s">
        <v>6413</v>
      </c>
      <c r="BY1962" s="2" t="s">
        <v>113</v>
      </c>
      <c r="BZ1962" s="2" t="s">
        <v>100</v>
      </c>
    </row>
    <row r="1963">
      <c r="A1963" s="2" t="s">
        <v>6414</v>
      </c>
      <c r="B1963" s="2" t="s">
        <v>5764</v>
      </c>
      <c r="C1963" s="2" t="s">
        <v>88</v>
      </c>
      <c r="D1963" s="2" t="s">
        <v>803</v>
      </c>
      <c r="E1963" s="2" t="s">
        <v>1532</v>
      </c>
      <c r="F1963" s="2" t="s">
        <v>6390</v>
      </c>
      <c r="G1963" s="2" t="s">
        <v>3921</v>
      </c>
      <c r="H1963" s="2" t="s">
        <v>6391</v>
      </c>
      <c r="I1963" s="2" t="s">
        <v>6392</v>
      </c>
      <c r="J1963" s="2" t="s">
        <v>270</v>
      </c>
      <c r="K1963" s="2" t="s">
        <v>198</v>
      </c>
      <c r="L1963" s="3">
        <v>58.6</v>
      </c>
      <c r="M1963" s="3">
        <v>61.53</v>
      </c>
      <c r="N1963" s="3">
        <v>119.99</v>
      </c>
      <c r="O1963" s="2" t="s">
        <v>97</v>
      </c>
      <c r="P1963" s="2" t="s">
        <v>119</v>
      </c>
      <c r="Q1963" s="2" t="s">
        <v>99</v>
      </c>
      <c r="R1963" s="2" t="s">
        <v>100</v>
      </c>
      <c r="S1963" s="2" t="s">
        <v>6409</v>
      </c>
      <c r="T1963" s="2" t="s">
        <v>6072</v>
      </c>
      <c r="U1963" s="2" t="s">
        <v>480</v>
      </c>
      <c r="V1963" s="2" t="s">
        <v>103</v>
      </c>
      <c r="W1963" s="2" t="s">
        <v>3013</v>
      </c>
      <c r="X1963" s="2" t="s">
        <v>104</v>
      </c>
      <c r="Y1963" s="2" t="s">
        <v>6410</v>
      </c>
      <c r="Z1963" s="4">
        <v>437</v>
      </c>
      <c r="AA1963" s="4">
        <f>=ROUNDDOWN(39.7272727272727,0)</f>
      </c>
      <c r="AB1963" s="5">
        <v>11</v>
      </c>
      <c r="AC1963" s="2" t="s">
        <v>356</v>
      </c>
      <c r="AD1963" s="4">
        <v>172</v>
      </c>
      <c r="AE1963" s="4">
        <v>422</v>
      </c>
      <c r="AF1963" s="6">
        <v>65</v>
      </c>
      <c r="AG1963" s="6">
        <v>48</v>
      </c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>
        <v>2</v>
      </c>
      <c r="AQ1963" s="8">
        <v>130.72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0.5454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200</v>
      </c>
      <c r="BK1963" s="8">
        <v>12430.57</v>
      </c>
      <c r="BL1963" s="2" t="s">
        <v>6415</v>
      </c>
      <c r="BM1963" s="7">
        <v>0.01</v>
      </c>
      <c r="BN1963" s="7">
        <v>0.0105</v>
      </c>
      <c r="BO1963" s="4">
        <v>2</v>
      </c>
      <c r="BP1963" s="8">
        <v>130.72</v>
      </c>
      <c r="BQ1963" s="4"/>
      <c r="BR1963" s="8"/>
      <c r="BS1963" s="7"/>
      <c r="BT1963" s="7"/>
      <c r="BU1963" s="2" t="s">
        <v>109</v>
      </c>
      <c r="BV1963" s="2" t="s">
        <v>110</v>
      </c>
      <c r="BW1963" s="2" t="s">
        <v>177</v>
      </c>
      <c r="BX1963" s="2" t="s">
        <v>6088</v>
      </c>
      <c r="BY1963" s="2" t="s">
        <v>113</v>
      </c>
      <c r="BZ1963" s="2" t="s">
        <v>100</v>
      </c>
    </row>
    <row r="1964">
      <c r="A1964" s="2" t="s">
        <v>6416</v>
      </c>
      <c r="B1964" s="2" t="s">
        <v>5764</v>
      </c>
      <c r="C1964" s="2" t="s">
        <v>88</v>
      </c>
      <c r="D1964" s="2" t="s">
        <v>803</v>
      </c>
      <c r="E1964" s="2" t="s">
        <v>1532</v>
      </c>
      <c r="F1964" s="2" t="s">
        <v>6390</v>
      </c>
      <c r="G1964" s="2" t="s">
        <v>3921</v>
      </c>
      <c r="H1964" s="2" t="s">
        <v>6391</v>
      </c>
      <c r="I1964" s="2" t="s">
        <v>6392</v>
      </c>
      <c r="J1964" s="2" t="s">
        <v>247</v>
      </c>
      <c r="K1964" s="2" t="s">
        <v>96</v>
      </c>
      <c r="L1964" s="3">
        <v>48.58</v>
      </c>
      <c r="M1964" s="3">
        <v>51.01</v>
      </c>
      <c r="N1964" s="3">
        <v>99.99</v>
      </c>
      <c r="O1964" s="2" t="s">
        <v>97</v>
      </c>
      <c r="P1964" s="2" t="s">
        <v>119</v>
      </c>
      <c r="Q1964" s="2" t="s">
        <v>99</v>
      </c>
      <c r="R1964" s="2" t="s">
        <v>100</v>
      </c>
      <c r="S1964" s="2" t="s">
        <v>6417</v>
      </c>
      <c r="T1964" s="2" t="s">
        <v>6072</v>
      </c>
      <c r="U1964" s="2" t="s">
        <v>480</v>
      </c>
      <c r="V1964" s="2" t="s">
        <v>103</v>
      </c>
      <c r="W1964" s="2" t="s">
        <v>3013</v>
      </c>
      <c r="X1964" s="2" t="s">
        <v>104</v>
      </c>
      <c r="Y1964" s="2" t="s">
        <v>363</v>
      </c>
      <c r="Z1964" s="4">
        <v>433</v>
      </c>
      <c r="AA1964" s="4">
        <f>=ROUNDDOWN(61.8571428571429,0)</f>
      </c>
      <c r="AB1964" s="5">
        <v>7</v>
      </c>
      <c r="AC1964" s="2" t="s">
        <v>821</v>
      </c>
      <c r="AD1964" s="4">
        <v>60</v>
      </c>
      <c r="AE1964" s="4">
        <v>60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/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 t="s">
        <v>100</v>
      </c>
      <c r="BJ1964" s="4">
        <v>186</v>
      </c>
      <c r="BK1964" s="8">
        <v>9656.54</v>
      </c>
      <c r="BL1964" s="2" t="s">
        <v>852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207</v>
      </c>
      <c r="BV1964" s="2" t="s">
        <v>97</v>
      </c>
      <c r="BW1964" s="2" t="s">
        <v>100</v>
      </c>
      <c r="BX1964" s="2" t="s">
        <v>100</v>
      </c>
      <c r="BY1964" s="2" t="s">
        <v>113</v>
      </c>
      <c r="BZ1964" s="2" t="s">
        <v>100</v>
      </c>
    </row>
    <row r="1965">
      <c r="A1965" s="2" t="s">
        <v>6418</v>
      </c>
      <c r="B1965" s="2" t="s">
        <v>5764</v>
      </c>
      <c r="C1965" s="2" t="s">
        <v>88</v>
      </c>
      <c r="D1965" s="2" t="s">
        <v>803</v>
      </c>
      <c r="E1965" s="2" t="s">
        <v>1532</v>
      </c>
      <c r="F1965" s="2" t="s">
        <v>6390</v>
      </c>
      <c r="G1965" s="2" t="s">
        <v>3921</v>
      </c>
      <c r="H1965" s="2" t="s">
        <v>6391</v>
      </c>
      <c r="I1965" s="2" t="s">
        <v>6392</v>
      </c>
      <c r="J1965" s="2" t="s">
        <v>270</v>
      </c>
      <c r="K1965" s="2" t="s">
        <v>96</v>
      </c>
      <c r="L1965" s="3">
        <v>58.6</v>
      </c>
      <c r="M1965" s="3">
        <v>61.53</v>
      </c>
      <c r="N1965" s="3">
        <v>119.99</v>
      </c>
      <c r="O1965" s="2" t="s">
        <v>97</v>
      </c>
      <c r="P1965" s="2" t="s">
        <v>119</v>
      </c>
      <c r="Q1965" s="2" t="s">
        <v>99</v>
      </c>
      <c r="R1965" s="2" t="s">
        <v>100</v>
      </c>
      <c r="S1965" s="2" t="s">
        <v>6417</v>
      </c>
      <c r="T1965" s="2" t="s">
        <v>6072</v>
      </c>
      <c r="U1965" s="2" t="s">
        <v>480</v>
      </c>
      <c r="V1965" s="2" t="s">
        <v>103</v>
      </c>
      <c r="W1965" s="2" t="s">
        <v>3013</v>
      </c>
      <c r="X1965" s="2" t="s">
        <v>104</v>
      </c>
      <c r="Y1965" s="2" t="s">
        <v>363</v>
      </c>
      <c r="Z1965" s="4">
        <v>360</v>
      </c>
      <c r="AA1965" s="4">
        <f>=ROUNDDOWN(45,0)</f>
      </c>
      <c r="AB1965" s="5">
        <v>8</v>
      </c>
      <c r="AC1965" s="2" t="s">
        <v>821</v>
      </c>
      <c r="AD1965" s="4">
        <v>69</v>
      </c>
      <c r="AE1965" s="4">
        <v>69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/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148</v>
      </c>
      <c r="BK1965" s="8">
        <v>9187.45</v>
      </c>
      <c r="BL1965" s="2" t="s">
        <v>774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207</v>
      </c>
      <c r="BV1965" s="2" t="s">
        <v>97</v>
      </c>
      <c r="BW1965" s="2" t="s">
        <v>100</v>
      </c>
      <c r="BX1965" s="2" t="s">
        <v>100</v>
      </c>
      <c r="BY1965" s="2" t="s">
        <v>113</v>
      </c>
      <c r="BZ1965" s="2" t="s">
        <v>100</v>
      </c>
    </row>
    <row r="1966">
      <c r="A1966" s="2" t="s">
        <v>6419</v>
      </c>
      <c r="B1966" s="2" t="s">
        <v>5764</v>
      </c>
      <c r="C1966" s="2" t="s">
        <v>88</v>
      </c>
      <c r="D1966" s="2" t="s">
        <v>803</v>
      </c>
      <c r="E1966" s="2" t="s">
        <v>1532</v>
      </c>
      <c r="F1966" s="2" t="s">
        <v>6420</v>
      </c>
      <c r="G1966" s="2" t="s">
        <v>6421</v>
      </c>
      <c r="H1966" s="2" t="s">
        <v>6421</v>
      </c>
      <c r="I1966" s="2" t="s">
        <v>6422</v>
      </c>
      <c r="J1966" s="2" t="s">
        <v>247</v>
      </c>
      <c r="K1966" s="2" t="s">
        <v>335</v>
      </c>
      <c r="L1966" s="3">
        <v>39.1</v>
      </c>
      <c r="M1966" s="3">
        <v>41.06</v>
      </c>
      <c r="N1966" s="3">
        <v>84.99</v>
      </c>
      <c r="O1966" s="2" t="s">
        <v>97</v>
      </c>
      <c r="P1966" s="2" t="s">
        <v>372</v>
      </c>
      <c r="Q1966" s="2" t="s">
        <v>99</v>
      </c>
      <c r="R1966" s="2" t="s">
        <v>100</v>
      </c>
      <c r="S1966" s="2" t="s">
        <v>6423</v>
      </c>
      <c r="T1966" s="2" t="s">
        <v>6072</v>
      </c>
      <c r="U1966" s="2" t="s">
        <v>100</v>
      </c>
      <c r="V1966" s="2" t="s">
        <v>146</v>
      </c>
      <c r="W1966" s="2" t="s">
        <v>673</v>
      </c>
      <c r="X1966" s="2" t="s">
        <v>561</v>
      </c>
      <c r="Y1966" s="2" t="s">
        <v>240</v>
      </c>
      <c r="Z1966" s="4">
        <v>1493</v>
      </c>
      <c r="AA1966" s="4">
        <f>=ROUNDDOWN(53.3214285714286,0)</f>
      </c>
      <c r="AB1966" s="5">
        <v>28</v>
      </c>
      <c r="AC1966" s="2" t="s">
        <v>1069</v>
      </c>
      <c r="AD1966" s="4">
        <v>446</v>
      </c>
      <c r="AE1966" s="4">
        <v>796</v>
      </c>
      <c r="AF1966" s="6">
        <v>65</v>
      </c>
      <c r="AG1966" s="6">
        <v>48</v>
      </c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>
        <v>16</v>
      </c>
      <c r="AQ1966" s="8">
        <v>635.04</v>
      </c>
      <c r="AR1966" s="4"/>
      <c r="AS1966" s="8"/>
      <c r="AT1966" s="7"/>
      <c r="AU1966" s="7"/>
      <c r="AV1966" s="4">
        <v>16</v>
      </c>
      <c r="AW1966" s="8">
        <v>635.04</v>
      </c>
      <c r="AX1966" s="4"/>
      <c r="AY1966" s="8"/>
      <c r="AZ1966" s="7"/>
      <c r="BA1966" s="7"/>
      <c r="BB1966" s="7">
        <v>1</v>
      </c>
      <c r="BC1966" s="4">
        <v>40</v>
      </c>
      <c r="BD1966" s="8">
        <v>1574.58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>
        <v>0.4033</v>
      </c>
      <c r="BJ1966" s="4">
        <v>818</v>
      </c>
      <c r="BK1966" s="8">
        <v>33433.73</v>
      </c>
      <c r="BL1966" s="2" t="s">
        <v>6424</v>
      </c>
      <c r="BM1966" s="7">
        <v>0.0196</v>
      </c>
      <c r="BN1966" s="7">
        <v>0.019</v>
      </c>
      <c r="BO1966" s="4">
        <v>16</v>
      </c>
      <c r="BP1966" s="8">
        <v>635.04</v>
      </c>
      <c r="BQ1966" s="4"/>
      <c r="BR1966" s="8"/>
      <c r="BS1966" s="7"/>
      <c r="BT1966" s="7"/>
      <c r="BU1966" s="2" t="s">
        <v>109</v>
      </c>
      <c r="BV1966" s="2" t="s">
        <v>110</v>
      </c>
      <c r="BW1966" s="2" t="s">
        <v>4443</v>
      </c>
      <c r="BX1966" s="2" t="s">
        <v>6425</v>
      </c>
      <c r="BY1966" s="2" t="s">
        <v>113</v>
      </c>
      <c r="BZ1966" s="2" t="s">
        <v>100</v>
      </c>
    </row>
    <row r="1967">
      <c r="A1967" s="2" t="s">
        <v>6426</v>
      </c>
      <c r="B1967" s="2" t="s">
        <v>5764</v>
      </c>
      <c r="C1967" s="2" t="s">
        <v>88</v>
      </c>
      <c r="D1967" s="2" t="s">
        <v>803</v>
      </c>
      <c r="E1967" s="2" t="s">
        <v>1532</v>
      </c>
      <c r="F1967" s="2" t="s">
        <v>6420</v>
      </c>
      <c r="G1967" s="2" t="s">
        <v>6421</v>
      </c>
      <c r="H1967" s="2" t="s">
        <v>6421</v>
      </c>
      <c r="I1967" s="2" t="s">
        <v>6422</v>
      </c>
      <c r="J1967" s="2" t="s">
        <v>247</v>
      </c>
      <c r="K1967" s="2" t="s">
        <v>5943</v>
      </c>
      <c r="L1967" s="3">
        <v>39.1</v>
      </c>
      <c r="M1967" s="3">
        <v>41.06</v>
      </c>
      <c r="N1967" s="3">
        <v>84.99</v>
      </c>
      <c r="O1967" s="2" t="s">
        <v>97</v>
      </c>
      <c r="P1967" s="2" t="s">
        <v>950</v>
      </c>
      <c r="Q1967" s="2" t="s">
        <v>99</v>
      </c>
      <c r="R1967" s="2" t="s">
        <v>100</v>
      </c>
      <c r="S1967" s="2" t="s">
        <v>6427</v>
      </c>
      <c r="T1967" s="2" t="s">
        <v>6072</v>
      </c>
      <c r="U1967" s="2" t="s">
        <v>100</v>
      </c>
      <c r="V1967" s="2" t="s">
        <v>146</v>
      </c>
      <c r="W1967" s="2" t="s">
        <v>673</v>
      </c>
      <c r="X1967" s="2" t="s">
        <v>561</v>
      </c>
      <c r="Y1967" s="2" t="s">
        <v>240</v>
      </c>
      <c r="Z1967" s="4">
        <v>1107</v>
      </c>
      <c r="AA1967" s="4">
        <f>=ROUNDDOWN(79.0714285714286,0)</f>
      </c>
      <c r="AB1967" s="5">
        <v>14</v>
      </c>
      <c r="AC1967" s="2" t="s">
        <v>931</v>
      </c>
      <c r="AD1967" s="4">
        <v>150</v>
      </c>
      <c r="AE1967" s="4">
        <v>250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>
        <v>16</v>
      </c>
      <c r="AQ1967" s="8">
        <v>588</v>
      </c>
      <c r="AR1967" s="4"/>
      <c r="AS1967" s="8"/>
      <c r="AT1967" s="7"/>
      <c r="AU1967" s="7"/>
      <c r="AV1967" s="4">
        <v>16</v>
      </c>
      <c r="AW1967" s="8">
        <v>588</v>
      </c>
      <c r="AX1967" s="4"/>
      <c r="AY1967" s="8"/>
      <c r="AZ1967" s="7"/>
      <c r="BA1967" s="7"/>
      <c r="BB1967" s="7">
        <v>1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0.3734</v>
      </c>
      <c r="BJ1967" s="4">
        <v>358</v>
      </c>
      <c r="BK1967" s="8">
        <v>14754.98</v>
      </c>
      <c r="BL1967" s="2" t="s">
        <v>6428</v>
      </c>
      <c r="BM1967" s="7">
        <v>0.0447</v>
      </c>
      <c r="BN1967" s="7">
        <v>0.0399</v>
      </c>
      <c r="BO1967" s="4">
        <v>16</v>
      </c>
      <c r="BP1967" s="8">
        <v>588</v>
      </c>
      <c r="BQ1967" s="4"/>
      <c r="BR1967" s="8"/>
      <c r="BS1967" s="7"/>
      <c r="BT1967" s="7"/>
      <c r="BU1967" s="2" t="s">
        <v>109</v>
      </c>
      <c r="BV1967" s="2" t="s">
        <v>110</v>
      </c>
      <c r="BW1967" s="2" t="s">
        <v>4443</v>
      </c>
      <c r="BX1967" s="2" t="s">
        <v>4647</v>
      </c>
      <c r="BY1967" s="2" t="s">
        <v>113</v>
      </c>
      <c r="BZ1967" s="2" t="s">
        <v>100</v>
      </c>
    </row>
    <row r="1968">
      <c r="A1968" s="2" t="s">
        <v>6429</v>
      </c>
      <c r="B1968" s="2" t="s">
        <v>5764</v>
      </c>
      <c r="C1968" s="2" t="s">
        <v>88</v>
      </c>
      <c r="D1968" s="2" t="s">
        <v>803</v>
      </c>
      <c r="E1968" s="2" t="s">
        <v>1532</v>
      </c>
      <c r="F1968" s="2" t="s">
        <v>6420</v>
      </c>
      <c r="G1968" s="2" t="s">
        <v>6421</v>
      </c>
      <c r="H1968" s="2" t="s">
        <v>6421</v>
      </c>
      <c r="I1968" s="2" t="s">
        <v>6422</v>
      </c>
      <c r="J1968" s="2" t="s">
        <v>270</v>
      </c>
      <c r="K1968" s="2" t="s">
        <v>6430</v>
      </c>
      <c r="L1968" s="3">
        <v>44.65</v>
      </c>
      <c r="M1968" s="3">
        <v>46.88</v>
      </c>
      <c r="N1968" s="3">
        <v>94.99</v>
      </c>
      <c r="O1968" s="2" t="s">
        <v>97</v>
      </c>
      <c r="P1968" s="2" t="s">
        <v>119</v>
      </c>
      <c r="Q1968" s="2" t="s">
        <v>99</v>
      </c>
      <c r="R1968" s="2" t="s">
        <v>100</v>
      </c>
      <c r="S1968" s="2" t="s">
        <v>6431</v>
      </c>
      <c r="T1968" s="2" t="s">
        <v>6072</v>
      </c>
      <c r="U1968" s="2" t="s">
        <v>100</v>
      </c>
      <c r="V1968" s="2" t="s">
        <v>146</v>
      </c>
      <c r="W1968" s="2" t="s">
        <v>673</v>
      </c>
      <c r="X1968" s="2" t="s">
        <v>561</v>
      </c>
      <c r="Y1968" s="2" t="s">
        <v>240</v>
      </c>
      <c r="Z1968" s="4">
        <v>1044</v>
      </c>
      <c r="AA1968" s="4">
        <f>=ROUNDDOWN(61.4117647058824,0)</f>
      </c>
      <c r="AB1968" s="5">
        <v>17</v>
      </c>
      <c r="AC1968" s="2" t="s">
        <v>282</v>
      </c>
      <c r="AD1968" s="4">
        <v>200</v>
      </c>
      <c r="AE1968" s="4">
        <v>620</v>
      </c>
      <c r="AF1968" s="6">
        <v>65</v>
      </c>
      <c r="AG1968" s="6">
        <v>48</v>
      </c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>
        <v>6</v>
      </c>
      <c r="AQ1968" s="8">
        <v>272.16</v>
      </c>
      <c r="AR1968" s="4"/>
      <c r="AS1968" s="8"/>
      <c r="AT1968" s="7"/>
      <c r="AU1968" s="7"/>
      <c r="AV1968" s="4">
        <v>6</v>
      </c>
      <c r="AW1968" s="8">
        <v>272.16</v>
      </c>
      <c r="AX1968" s="4"/>
      <c r="AY1968" s="8"/>
      <c r="AZ1968" s="7"/>
      <c r="BA1968" s="7"/>
      <c r="BB1968" s="7">
        <v>1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>
        <v>0.1728</v>
      </c>
      <c r="BJ1968" s="4">
        <v>405</v>
      </c>
      <c r="BK1968" s="8">
        <v>18958.68</v>
      </c>
      <c r="BL1968" s="2" t="s">
        <v>6432</v>
      </c>
      <c r="BM1968" s="7">
        <v>0.0148</v>
      </c>
      <c r="BN1968" s="7">
        <v>0.0144</v>
      </c>
      <c r="BO1968" s="4">
        <v>6</v>
      </c>
      <c r="BP1968" s="8">
        <v>272.16</v>
      </c>
      <c r="BQ1968" s="4"/>
      <c r="BR1968" s="8"/>
      <c r="BS1968" s="7"/>
      <c r="BT1968" s="7"/>
      <c r="BU1968" s="2" t="s">
        <v>109</v>
      </c>
      <c r="BV1968" s="2" t="s">
        <v>110</v>
      </c>
      <c r="BW1968" s="2" t="s">
        <v>4443</v>
      </c>
      <c r="BX1968" s="2" t="s">
        <v>375</v>
      </c>
      <c r="BY1968" s="2" t="s">
        <v>113</v>
      </c>
      <c r="BZ1968" s="2" t="s">
        <v>100</v>
      </c>
    </row>
    <row r="1969">
      <c r="A1969" s="2" t="s">
        <v>6433</v>
      </c>
      <c r="B1969" s="2" t="s">
        <v>5764</v>
      </c>
      <c r="C1969" s="2" t="s">
        <v>88</v>
      </c>
      <c r="D1969" s="2" t="s">
        <v>803</v>
      </c>
      <c r="E1969" s="2" t="s">
        <v>1532</v>
      </c>
      <c r="F1969" s="2" t="s">
        <v>6420</v>
      </c>
      <c r="G1969" s="2" t="s">
        <v>6421</v>
      </c>
      <c r="H1969" s="2" t="s">
        <v>6421</v>
      </c>
      <c r="I1969" s="2" t="s">
        <v>6422</v>
      </c>
      <c r="J1969" s="2" t="s">
        <v>247</v>
      </c>
      <c r="K1969" s="2" t="s">
        <v>198</v>
      </c>
      <c r="L1969" s="3">
        <v>39.1</v>
      </c>
      <c r="M1969" s="3">
        <v>41.06</v>
      </c>
      <c r="N1969" s="3">
        <v>84.99</v>
      </c>
      <c r="O1969" s="2" t="s">
        <v>97</v>
      </c>
      <c r="P1969" s="2" t="s">
        <v>119</v>
      </c>
      <c r="Q1969" s="2" t="s">
        <v>99</v>
      </c>
      <c r="R1969" s="2" t="s">
        <v>100</v>
      </c>
      <c r="S1969" s="2" t="s">
        <v>6434</v>
      </c>
      <c r="T1969" s="2" t="s">
        <v>6072</v>
      </c>
      <c r="U1969" s="2" t="s">
        <v>100</v>
      </c>
      <c r="V1969" s="2" t="s">
        <v>146</v>
      </c>
      <c r="W1969" s="2" t="s">
        <v>673</v>
      </c>
      <c r="X1969" s="2" t="s">
        <v>561</v>
      </c>
      <c r="Y1969" s="2" t="s">
        <v>240</v>
      </c>
      <c r="Z1969" s="4">
        <v>832</v>
      </c>
      <c r="AA1969" s="4">
        <f>=ROUNDDOWN(43.7894736842105,0)</f>
      </c>
      <c r="AB1969" s="5">
        <v>19</v>
      </c>
      <c r="AC1969" s="2" t="s">
        <v>1069</v>
      </c>
      <c r="AD1969" s="4">
        <v>150</v>
      </c>
      <c r="AE1969" s="4">
        <v>600</v>
      </c>
      <c r="AF1969" s="6">
        <v>65</v>
      </c>
      <c r="AG1969" s="6">
        <v>48</v>
      </c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>
        <v>2</v>
      </c>
      <c r="AQ1969" s="8">
        <v>79.38</v>
      </c>
      <c r="AR1969" s="4"/>
      <c r="AS1969" s="8"/>
      <c r="AT1969" s="7"/>
      <c r="AU1969" s="7"/>
      <c r="AV1969" s="4">
        <v>2</v>
      </c>
      <c r="AW1969" s="8">
        <v>79.38</v>
      </c>
      <c r="AX1969" s="4"/>
      <c r="AY1969" s="8"/>
      <c r="AZ1969" s="7"/>
      <c r="BA1969" s="7"/>
      <c r="BB1969" s="7">
        <v>1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0.0504</v>
      </c>
      <c r="BJ1969" s="4">
        <v>421</v>
      </c>
      <c r="BK1969" s="8">
        <v>17495</v>
      </c>
      <c r="BL1969" s="2" t="s">
        <v>6435</v>
      </c>
      <c r="BM1969" s="7">
        <v>0.0048</v>
      </c>
      <c r="BN1969" s="7">
        <v>0.0045</v>
      </c>
      <c r="BO1969" s="4">
        <v>2</v>
      </c>
      <c r="BP1969" s="8">
        <v>79.38</v>
      </c>
      <c r="BQ1969" s="4"/>
      <c r="BR1969" s="8"/>
      <c r="BS1969" s="7"/>
      <c r="BT1969" s="7"/>
      <c r="BU1969" s="2" t="s">
        <v>109</v>
      </c>
      <c r="BV1969" s="2" t="s">
        <v>110</v>
      </c>
      <c r="BW1969" s="2" t="s">
        <v>4443</v>
      </c>
      <c r="BX1969" s="2" t="s">
        <v>2003</v>
      </c>
      <c r="BY1969" s="2" t="s">
        <v>113</v>
      </c>
      <c r="BZ1969" s="2" t="s">
        <v>100</v>
      </c>
    </row>
    <row r="1970">
      <c r="A1970" s="2" t="s">
        <v>6436</v>
      </c>
      <c r="B1970" s="2" t="s">
        <v>5764</v>
      </c>
      <c r="C1970" s="2" t="s">
        <v>88</v>
      </c>
      <c r="D1970" s="2" t="s">
        <v>803</v>
      </c>
      <c r="E1970" s="2" t="s">
        <v>1532</v>
      </c>
      <c r="F1970" s="2" t="s">
        <v>6420</v>
      </c>
      <c r="G1970" s="2" t="s">
        <v>6421</v>
      </c>
      <c r="H1970" s="2" t="s">
        <v>6421</v>
      </c>
      <c r="I1970" s="2" t="s">
        <v>6422</v>
      </c>
      <c r="J1970" s="2" t="s">
        <v>247</v>
      </c>
      <c r="K1970" s="2" t="s">
        <v>96</v>
      </c>
      <c r="L1970" s="3">
        <v>39.1</v>
      </c>
      <c r="M1970" s="3">
        <v>41.06</v>
      </c>
      <c r="N1970" s="3">
        <v>84.99</v>
      </c>
      <c r="O1970" s="2" t="s">
        <v>97</v>
      </c>
      <c r="P1970" s="2" t="s">
        <v>119</v>
      </c>
      <c r="Q1970" s="2" t="s">
        <v>99</v>
      </c>
      <c r="R1970" s="2" t="s">
        <v>100</v>
      </c>
      <c r="S1970" s="2" t="s">
        <v>6437</v>
      </c>
      <c r="T1970" s="2" t="s">
        <v>6072</v>
      </c>
      <c r="U1970" s="2" t="s">
        <v>480</v>
      </c>
      <c r="V1970" s="2" t="s">
        <v>146</v>
      </c>
      <c r="W1970" s="2" t="s">
        <v>673</v>
      </c>
      <c r="X1970" s="2" t="s">
        <v>561</v>
      </c>
      <c r="Y1970" s="2" t="s">
        <v>6438</v>
      </c>
      <c r="Z1970" s="4">
        <v>260</v>
      </c>
      <c r="AA1970" s="4">
        <f>=ROUNDDOWN(32.5,0)</f>
      </c>
      <c r="AB1970" s="5">
        <v>8</v>
      </c>
      <c r="AC1970" s="2" t="s">
        <v>1069</v>
      </c>
      <c r="AD1970" s="4">
        <v>250</v>
      </c>
      <c r="AE1970" s="4">
        <v>550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/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197</v>
      </c>
      <c r="BK1970" s="8">
        <v>7946.92</v>
      </c>
      <c r="BL1970" s="2" t="s">
        <v>6439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207</v>
      </c>
      <c r="BV1970" s="2" t="s">
        <v>97</v>
      </c>
      <c r="BW1970" s="2" t="s">
        <v>100</v>
      </c>
      <c r="BX1970" s="2" t="s">
        <v>100</v>
      </c>
      <c r="BY1970" s="2" t="s">
        <v>113</v>
      </c>
      <c r="BZ1970" s="2" t="s">
        <v>100</v>
      </c>
    </row>
    <row r="1971">
      <c r="A1971" s="2" t="s">
        <v>6440</v>
      </c>
      <c r="B1971" s="2" t="s">
        <v>5764</v>
      </c>
      <c r="C1971" s="2" t="s">
        <v>88</v>
      </c>
      <c r="D1971" s="2" t="s">
        <v>803</v>
      </c>
      <c r="E1971" s="2" t="s">
        <v>1532</v>
      </c>
      <c r="F1971" s="2" t="s">
        <v>6420</v>
      </c>
      <c r="G1971" s="2" t="s">
        <v>6421</v>
      </c>
      <c r="H1971" s="2" t="s">
        <v>6421</v>
      </c>
      <c r="I1971" s="2" t="s">
        <v>6422</v>
      </c>
      <c r="J1971" s="2" t="s">
        <v>270</v>
      </c>
      <c r="K1971" s="2" t="s">
        <v>96</v>
      </c>
      <c r="L1971" s="3">
        <v>44.65</v>
      </c>
      <c r="M1971" s="3">
        <v>46.88</v>
      </c>
      <c r="N1971" s="3">
        <v>94.99</v>
      </c>
      <c r="O1971" s="2" t="s">
        <v>97</v>
      </c>
      <c r="P1971" s="2" t="s">
        <v>119</v>
      </c>
      <c r="Q1971" s="2" t="s">
        <v>99</v>
      </c>
      <c r="R1971" s="2" t="s">
        <v>100</v>
      </c>
      <c r="S1971" s="2" t="s">
        <v>6437</v>
      </c>
      <c r="T1971" s="2" t="s">
        <v>6072</v>
      </c>
      <c r="U1971" s="2" t="s">
        <v>480</v>
      </c>
      <c r="V1971" s="2" t="s">
        <v>146</v>
      </c>
      <c r="W1971" s="2" t="s">
        <v>673</v>
      </c>
      <c r="X1971" s="2" t="s">
        <v>561</v>
      </c>
      <c r="Y1971" s="2" t="s">
        <v>6438</v>
      </c>
      <c r="Z1971" s="4">
        <v>400</v>
      </c>
      <c r="AA1971" s="4">
        <f>=ROUNDDOWN(44.4444444444444,0)</f>
      </c>
      <c r="AB1971" s="5">
        <v>9</v>
      </c>
      <c r="AC1971" s="2" t="s">
        <v>1069</v>
      </c>
      <c r="AD1971" s="4">
        <v>50</v>
      </c>
      <c r="AE1971" s="4">
        <v>430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/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163</v>
      </c>
      <c r="BK1971" s="8">
        <v>7545.81</v>
      </c>
      <c r="BL1971" s="2" t="s">
        <v>6441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207</v>
      </c>
      <c r="BV1971" s="2" t="s">
        <v>97</v>
      </c>
      <c r="BW1971" s="2" t="s">
        <v>100</v>
      </c>
      <c r="BX1971" s="2" t="s">
        <v>100</v>
      </c>
      <c r="BY1971" s="2" t="s">
        <v>113</v>
      </c>
      <c r="BZ1971" s="2" t="s">
        <v>100</v>
      </c>
    </row>
    <row r="1972">
      <c r="A1972" s="2" t="s">
        <v>6442</v>
      </c>
      <c r="B1972" s="2" t="s">
        <v>5764</v>
      </c>
      <c r="C1972" s="2" t="s">
        <v>88</v>
      </c>
      <c r="D1972" s="2" t="s">
        <v>803</v>
      </c>
      <c r="E1972" s="2" t="s">
        <v>1532</v>
      </c>
      <c r="F1972" s="2" t="s">
        <v>6443</v>
      </c>
      <c r="G1972" s="2" t="s">
        <v>856</v>
      </c>
      <c r="H1972" s="2" t="s">
        <v>856</v>
      </c>
      <c r="I1972" s="2" t="s">
        <v>6444</v>
      </c>
      <c r="J1972" s="2" t="s">
        <v>247</v>
      </c>
      <c r="K1972" s="2" t="s">
        <v>335</v>
      </c>
      <c r="L1972" s="3">
        <v>52.38</v>
      </c>
      <c r="M1972" s="3">
        <v>55</v>
      </c>
      <c r="N1972" s="3">
        <v>109.99</v>
      </c>
      <c r="O1972" s="2" t="s">
        <v>97</v>
      </c>
      <c r="P1972" s="2" t="s">
        <v>119</v>
      </c>
      <c r="Q1972" s="2" t="s">
        <v>99</v>
      </c>
      <c r="R1972" s="2" t="s">
        <v>100</v>
      </c>
      <c r="S1972" s="2" t="s">
        <v>6445</v>
      </c>
      <c r="T1972" s="2" t="s">
        <v>6072</v>
      </c>
      <c r="U1972" s="2" t="s">
        <v>480</v>
      </c>
      <c r="V1972" s="2" t="s">
        <v>146</v>
      </c>
      <c r="W1972" s="2" t="s">
        <v>673</v>
      </c>
      <c r="X1972" s="2" t="s">
        <v>183</v>
      </c>
      <c r="Y1972" s="2" t="s">
        <v>6158</v>
      </c>
      <c r="Z1972" s="4">
        <v>213</v>
      </c>
      <c r="AA1972" s="4">
        <f>=ROUNDDOWN(42.6,0)</f>
      </c>
      <c r="AB1972" s="5">
        <v>5</v>
      </c>
      <c r="AC1972" s="2" t="s">
        <v>1035</v>
      </c>
      <c r="AD1972" s="4">
        <v>180</v>
      </c>
      <c r="AE1972" s="4">
        <v>260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/>
      <c r="BJ1972" s="4">
        <v>120</v>
      </c>
      <c r="BK1972" s="8">
        <v>6835.82</v>
      </c>
      <c r="BL1972" s="2" t="s">
        <v>1198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207</v>
      </c>
      <c r="BV1972" s="2" t="s">
        <v>97</v>
      </c>
      <c r="BW1972" s="2" t="s">
        <v>100</v>
      </c>
      <c r="BX1972" s="2" t="s">
        <v>100</v>
      </c>
      <c r="BY1972" s="2" t="s">
        <v>113</v>
      </c>
      <c r="BZ1972" s="2" t="s">
        <v>100</v>
      </c>
    </row>
    <row r="1973">
      <c r="A1973" s="2" t="s">
        <v>6446</v>
      </c>
      <c r="B1973" s="2" t="s">
        <v>5764</v>
      </c>
      <c r="C1973" s="2" t="s">
        <v>88</v>
      </c>
      <c r="D1973" s="2" t="s">
        <v>803</v>
      </c>
      <c r="E1973" s="2" t="s">
        <v>1532</v>
      </c>
      <c r="F1973" s="2" t="s">
        <v>6443</v>
      </c>
      <c r="G1973" s="2" t="s">
        <v>856</v>
      </c>
      <c r="H1973" s="2" t="s">
        <v>856</v>
      </c>
      <c r="I1973" s="2" t="s">
        <v>6444</v>
      </c>
      <c r="J1973" s="2" t="s">
        <v>270</v>
      </c>
      <c r="K1973" s="2" t="s">
        <v>335</v>
      </c>
      <c r="L1973" s="3">
        <v>61.9</v>
      </c>
      <c r="M1973" s="3">
        <v>65</v>
      </c>
      <c r="N1973" s="3">
        <v>129.99</v>
      </c>
      <c r="O1973" s="2" t="s">
        <v>97</v>
      </c>
      <c r="P1973" s="2" t="s">
        <v>119</v>
      </c>
      <c r="Q1973" s="2" t="s">
        <v>99</v>
      </c>
      <c r="R1973" s="2" t="s">
        <v>100</v>
      </c>
      <c r="S1973" s="2" t="s">
        <v>6445</v>
      </c>
      <c r="T1973" s="2" t="s">
        <v>6072</v>
      </c>
      <c r="U1973" s="2" t="s">
        <v>480</v>
      </c>
      <c r="V1973" s="2" t="s">
        <v>146</v>
      </c>
      <c r="W1973" s="2" t="s">
        <v>673</v>
      </c>
      <c r="X1973" s="2" t="s">
        <v>183</v>
      </c>
      <c r="Y1973" s="2" t="s">
        <v>6158</v>
      </c>
      <c r="Z1973" s="4">
        <v>206</v>
      </c>
      <c r="AA1973" s="4">
        <f>=ROUNDDOWN(41.2,0)</f>
      </c>
      <c r="AB1973" s="5">
        <v>5</v>
      </c>
      <c r="AC1973" s="2" t="s">
        <v>1035</v>
      </c>
      <c r="AD1973" s="4">
        <v>100</v>
      </c>
      <c r="AE1973" s="4">
        <v>240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/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/>
      <c r="BJ1973" s="4">
        <v>131</v>
      </c>
      <c r="BK1973" s="8">
        <v>8754.93</v>
      </c>
      <c r="BL1973" s="2" t="s">
        <v>6447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207</v>
      </c>
      <c r="BV1973" s="2" t="s">
        <v>97</v>
      </c>
      <c r="BW1973" s="2" t="s">
        <v>100</v>
      </c>
      <c r="BX1973" s="2" t="s">
        <v>100</v>
      </c>
      <c r="BY1973" s="2" t="s">
        <v>113</v>
      </c>
      <c r="BZ1973" s="2" t="s">
        <v>100</v>
      </c>
    </row>
    <row r="1974">
      <c r="A1974" s="2" t="s">
        <v>6448</v>
      </c>
      <c r="B1974" s="2" t="s">
        <v>5764</v>
      </c>
      <c r="C1974" s="2" t="s">
        <v>88</v>
      </c>
      <c r="D1974" s="2" t="s">
        <v>803</v>
      </c>
      <c r="E1974" s="2" t="s">
        <v>1532</v>
      </c>
      <c r="F1974" s="2" t="s">
        <v>6443</v>
      </c>
      <c r="G1974" s="2" t="s">
        <v>856</v>
      </c>
      <c r="H1974" s="2" t="s">
        <v>856</v>
      </c>
      <c r="I1974" s="2" t="s">
        <v>6444</v>
      </c>
      <c r="J1974" s="2" t="s">
        <v>247</v>
      </c>
      <c r="K1974" s="2" t="s">
        <v>198</v>
      </c>
      <c r="L1974" s="3">
        <v>52.38</v>
      </c>
      <c r="M1974" s="3">
        <v>55</v>
      </c>
      <c r="N1974" s="3">
        <v>109.99</v>
      </c>
      <c r="O1974" s="2" t="s">
        <v>97</v>
      </c>
      <c r="P1974" s="2" t="s">
        <v>119</v>
      </c>
      <c r="Q1974" s="2" t="s">
        <v>99</v>
      </c>
      <c r="R1974" s="2" t="s">
        <v>100</v>
      </c>
      <c r="S1974" s="2" t="s">
        <v>6449</v>
      </c>
      <c r="T1974" s="2" t="s">
        <v>6072</v>
      </c>
      <c r="U1974" s="2" t="s">
        <v>480</v>
      </c>
      <c r="V1974" s="2" t="s">
        <v>146</v>
      </c>
      <c r="W1974" s="2" t="s">
        <v>673</v>
      </c>
      <c r="X1974" s="2" t="s">
        <v>183</v>
      </c>
      <c r="Y1974" s="2" t="s">
        <v>6158</v>
      </c>
      <c r="Z1974" s="4">
        <v>330</v>
      </c>
      <c r="AA1974" s="4">
        <f>=ROUNDDOWN(82.5,0)</f>
      </c>
      <c r="AB1974" s="5">
        <v>4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81</v>
      </c>
      <c r="BK1974" s="8">
        <v>4585.05</v>
      </c>
      <c r="BL1974" s="2" t="s">
        <v>492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207</v>
      </c>
      <c r="BV1974" s="2" t="s">
        <v>97</v>
      </c>
      <c r="BW1974" s="2" t="s">
        <v>100</v>
      </c>
      <c r="BX1974" s="2" t="s">
        <v>100</v>
      </c>
      <c r="BY1974" s="2" t="s">
        <v>113</v>
      </c>
      <c r="BZ1974" s="2" t="s">
        <v>100</v>
      </c>
    </row>
    <row r="1975">
      <c r="A1975" s="2" t="s">
        <v>6450</v>
      </c>
      <c r="B1975" s="2" t="s">
        <v>5764</v>
      </c>
      <c r="C1975" s="2" t="s">
        <v>88</v>
      </c>
      <c r="D1975" s="2" t="s">
        <v>803</v>
      </c>
      <c r="E1975" s="2" t="s">
        <v>1532</v>
      </c>
      <c r="F1975" s="2" t="s">
        <v>6443</v>
      </c>
      <c r="G1975" s="2" t="s">
        <v>856</v>
      </c>
      <c r="H1975" s="2" t="s">
        <v>856</v>
      </c>
      <c r="I1975" s="2" t="s">
        <v>6444</v>
      </c>
      <c r="J1975" s="2" t="s">
        <v>270</v>
      </c>
      <c r="K1975" s="2" t="s">
        <v>198</v>
      </c>
      <c r="L1975" s="3">
        <v>61.9</v>
      </c>
      <c r="M1975" s="3">
        <v>65</v>
      </c>
      <c r="N1975" s="3">
        <v>129.99</v>
      </c>
      <c r="O1975" s="2" t="s">
        <v>97</v>
      </c>
      <c r="P1975" s="2" t="s">
        <v>119</v>
      </c>
      <c r="Q1975" s="2" t="s">
        <v>99</v>
      </c>
      <c r="R1975" s="2" t="s">
        <v>100</v>
      </c>
      <c r="S1975" s="2" t="s">
        <v>6449</v>
      </c>
      <c r="T1975" s="2" t="s">
        <v>6072</v>
      </c>
      <c r="U1975" s="2" t="s">
        <v>480</v>
      </c>
      <c r="V1975" s="2" t="s">
        <v>146</v>
      </c>
      <c r="W1975" s="2" t="s">
        <v>673</v>
      </c>
      <c r="X1975" s="2" t="s">
        <v>183</v>
      </c>
      <c r="Y1975" s="2" t="s">
        <v>6158</v>
      </c>
      <c r="Z1975" s="4">
        <v>313</v>
      </c>
      <c r="AA1975" s="4">
        <f>=ROUNDDOWN(78.25,0)</f>
      </c>
      <c r="AB1975" s="5">
        <v>4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/>
      <c r="BJ1975" s="4">
        <v>64</v>
      </c>
      <c r="BK1975" s="8">
        <v>4378.71</v>
      </c>
      <c r="BL1975" s="2" t="s">
        <v>1795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207</v>
      </c>
      <c r="BV1975" s="2" t="s">
        <v>97</v>
      </c>
      <c r="BW1975" s="2" t="s">
        <v>100</v>
      </c>
      <c r="BX1975" s="2" t="s">
        <v>100</v>
      </c>
      <c r="BY1975" s="2" t="s">
        <v>113</v>
      </c>
      <c r="BZ1975" s="2" t="s">
        <v>100</v>
      </c>
    </row>
    <row r="1976">
      <c r="A1976" s="2" t="s">
        <v>6451</v>
      </c>
      <c r="B1976" s="2" t="s">
        <v>5764</v>
      </c>
      <c r="C1976" s="2" t="s">
        <v>88</v>
      </c>
      <c r="D1976" s="2" t="s">
        <v>803</v>
      </c>
      <c r="E1976" s="2" t="s">
        <v>1532</v>
      </c>
      <c r="F1976" s="2" t="s">
        <v>6443</v>
      </c>
      <c r="G1976" s="2" t="s">
        <v>856</v>
      </c>
      <c r="H1976" s="2" t="s">
        <v>856</v>
      </c>
      <c r="I1976" s="2" t="s">
        <v>6444</v>
      </c>
      <c r="J1976" s="2" t="s">
        <v>247</v>
      </c>
      <c r="K1976" s="2" t="s">
        <v>1614</v>
      </c>
      <c r="L1976" s="3">
        <v>52.38</v>
      </c>
      <c r="M1976" s="3">
        <v>55</v>
      </c>
      <c r="N1976" s="3">
        <v>109.99</v>
      </c>
      <c r="O1976" s="2" t="s">
        <v>97</v>
      </c>
      <c r="P1976" s="2" t="s">
        <v>119</v>
      </c>
      <c r="Q1976" s="2" t="s">
        <v>99</v>
      </c>
      <c r="R1976" s="2" t="s">
        <v>100</v>
      </c>
      <c r="S1976" s="2" t="s">
        <v>6452</v>
      </c>
      <c r="T1976" s="2" t="s">
        <v>6072</v>
      </c>
      <c r="U1976" s="2" t="s">
        <v>480</v>
      </c>
      <c r="V1976" s="2" t="s">
        <v>146</v>
      </c>
      <c r="W1976" s="2" t="s">
        <v>673</v>
      </c>
      <c r="X1976" s="2" t="s">
        <v>183</v>
      </c>
      <c r="Y1976" s="2" t="s">
        <v>6453</v>
      </c>
      <c r="Z1976" s="4">
        <v>432</v>
      </c>
      <c r="AA1976" s="4">
        <f>=ROUNDDOWN(48,0)</f>
      </c>
      <c r="AB1976" s="5">
        <v>9</v>
      </c>
      <c r="AC1976" s="2" t="s">
        <v>542</v>
      </c>
      <c r="AD1976" s="4">
        <v>200</v>
      </c>
      <c r="AE1976" s="4">
        <v>200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/>
      <c r="BJ1976" s="4">
        <v>178</v>
      </c>
      <c r="BK1976" s="8">
        <v>9973.67</v>
      </c>
      <c r="BL1976" s="2" t="s">
        <v>2292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207</v>
      </c>
      <c r="BV1976" s="2" t="s">
        <v>97</v>
      </c>
      <c r="BW1976" s="2" t="s">
        <v>100</v>
      </c>
      <c r="BX1976" s="2" t="s">
        <v>100</v>
      </c>
      <c r="BY1976" s="2" t="s">
        <v>113</v>
      </c>
      <c r="BZ1976" s="2" t="s">
        <v>100</v>
      </c>
    </row>
    <row r="1977">
      <c r="A1977" s="2" t="s">
        <v>6454</v>
      </c>
      <c r="B1977" s="2" t="s">
        <v>5764</v>
      </c>
      <c r="C1977" s="2" t="s">
        <v>88</v>
      </c>
      <c r="D1977" s="2" t="s">
        <v>803</v>
      </c>
      <c r="E1977" s="2" t="s">
        <v>1532</v>
      </c>
      <c r="F1977" s="2" t="s">
        <v>6443</v>
      </c>
      <c r="G1977" s="2" t="s">
        <v>856</v>
      </c>
      <c r="H1977" s="2" t="s">
        <v>856</v>
      </c>
      <c r="I1977" s="2" t="s">
        <v>6444</v>
      </c>
      <c r="J1977" s="2" t="s">
        <v>270</v>
      </c>
      <c r="K1977" s="2" t="s">
        <v>1614</v>
      </c>
      <c r="L1977" s="3">
        <v>61.9</v>
      </c>
      <c r="M1977" s="3">
        <v>65</v>
      </c>
      <c r="N1977" s="3">
        <v>129.99</v>
      </c>
      <c r="O1977" s="2" t="s">
        <v>97</v>
      </c>
      <c r="P1977" s="2" t="s">
        <v>119</v>
      </c>
      <c r="Q1977" s="2" t="s">
        <v>99</v>
      </c>
      <c r="R1977" s="2" t="s">
        <v>100</v>
      </c>
      <c r="S1977" s="2" t="s">
        <v>6452</v>
      </c>
      <c r="T1977" s="2" t="s">
        <v>6072</v>
      </c>
      <c r="U1977" s="2" t="s">
        <v>480</v>
      </c>
      <c r="V1977" s="2" t="s">
        <v>146</v>
      </c>
      <c r="W1977" s="2" t="s">
        <v>673</v>
      </c>
      <c r="X1977" s="2" t="s">
        <v>183</v>
      </c>
      <c r="Y1977" s="2" t="s">
        <v>6453</v>
      </c>
      <c r="Z1977" s="4">
        <v>260</v>
      </c>
      <c r="AA1977" s="4">
        <f>=ROUNDDOWN(32.5,0)</f>
      </c>
      <c r="AB1977" s="5">
        <v>8</v>
      </c>
      <c r="AC1977" s="2" t="s">
        <v>542</v>
      </c>
      <c r="AD1977" s="4">
        <v>270</v>
      </c>
      <c r="AE1977" s="4">
        <v>270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/>
      <c r="BJ1977" s="4">
        <v>153</v>
      </c>
      <c r="BK1977" s="8">
        <v>10178.29</v>
      </c>
      <c r="BL1977" s="2" t="s">
        <v>1336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207</v>
      </c>
      <c r="BV1977" s="2" t="s">
        <v>97</v>
      </c>
      <c r="BW1977" s="2" t="s">
        <v>100</v>
      </c>
      <c r="BX1977" s="2" t="s">
        <v>100</v>
      </c>
      <c r="BY1977" s="2" t="s">
        <v>113</v>
      </c>
      <c r="BZ1977" s="2" t="s">
        <v>100</v>
      </c>
    </row>
    <row r="1978">
      <c r="A1978" s="2" t="s">
        <v>6455</v>
      </c>
      <c r="B1978" s="2" t="s">
        <v>5764</v>
      </c>
      <c r="C1978" s="2" t="s">
        <v>88</v>
      </c>
      <c r="D1978" s="2" t="s">
        <v>803</v>
      </c>
      <c r="E1978" s="2" t="s">
        <v>1532</v>
      </c>
      <c r="F1978" s="2" t="s">
        <v>6456</v>
      </c>
      <c r="G1978" s="2" t="s">
        <v>6457</v>
      </c>
      <c r="H1978" s="2" t="s">
        <v>6457</v>
      </c>
      <c r="I1978" s="2" t="s">
        <v>6458</v>
      </c>
      <c r="J1978" s="2" t="s">
        <v>237</v>
      </c>
      <c r="K1978" s="2" t="s">
        <v>335</v>
      </c>
      <c r="L1978" s="3">
        <v>28.8</v>
      </c>
      <c r="M1978" s="3">
        <v>30.24</v>
      </c>
      <c r="N1978" s="3">
        <v>59.99</v>
      </c>
      <c r="O1978" s="2" t="s">
        <v>97</v>
      </c>
      <c r="P1978" s="2" t="s">
        <v>225</v>
      </c>
      <c r="Q1978" s="2" t="s">
        <v>99</v>
      </c>
      <c r="R1978" s="2" t="s">
        <v>100</v>
      </c>
      <c r="S1978" s="2" t="s">
        <v>6459</v>
      </c>
      <c r="T1978" s="2" t="s">
        <v>6072</v>
      </c>
      <c r="U1978" s="2" t="s">
        <v>514</v>
      </c>
      <c r="V1978" s="2" t="s">
        <v>146</v>
      </c>
      <c r="W1978" s="2" t="s">
        <v>673</v>
      </c>
      <c r="X1978" s="2" t="s">
        <v>104</v>
      </c>
      <c r="Y1978" s="2" t="s">
        <v>1069</v>
      </c>
      <c r="Z1978" s="4">
        <v>176</v>
      </c>
      <c r="AA1978" s="4">
        <f>=ROUNDDOWN({0},0)</f>
      </c>
      <c r="AB1978" s="5"/>
      <c r="AC1978" s="2" t="s">
        <v>356</v>
      </c>
      <c r="AD1978" s="4">
        <v>528</v>
      </c>
      <c r="AE1978" s="4">
        <v>702</v>
      </c>
      <c r="AF1978" s="6">
        <v>66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/>
      <c r="BJ1978" s="4"/>
      <c r="BK1978" s="8"/>
      <c r="BL1978" s="2" t="s">
        <v>100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207</v>
      </c>
      <c r="BV1978" s="2" t="s">
        <v>97</v>
      </c>
      <c r="BW1978" s="2" t="s">
        <v>100</v>
      </c>
      <c r="BX1978" s="2" t="s">
        <v>100</v>
      </c>
      <c r="BY1978" s="2" t="s">
        <v>113</v>
      </c>
      <c r="BZ1978" s="2" t="s">
        <v>100</v>
      </c>
    </row>
    <row r="1979">
      <c r="A1979" s="2" t="s">
        <v>6460</v>
      </c>
      <c r="B1979" s="2" t="s">
        <v>5764</v>
      </c>
      <c r="C1979" s="2" t="s">
        <v>88</v>
      </c>
      <c r="D1979" s="2" t="s">
        <v>803</v>
      </c>
      <c r="E1979" s="2" t="s">
        <v>1532</v>
      </c>
      <c r="F1979" s="2" t="s">
        <v>6456</v>
      </c>
      <c r="G1979" s="2" t="s">
        <v>6457</v>
      </c>
      <c r="H1979" s="2" t="s">
        <v>6457</v>
      </c>
      <c r="I1979" s="2" t="s">
        <v>6458</v>
      </c>
      <c r="J1979" s="2" t="s">
        <v>247</v>
      </c>
      <c r="K1979" s="2" t="s">
        <v>335</v>
      </c>
      <c r="L1979" s="3">
        <v>38.4</v>
      </c>
      <c r="M1979" s="3">
        <v>40.32</v>
      </c>
      <c r="N1979" s="3">
        <v>79.99</v>
      </c>
      <c r="O1979" s="2" t="s">
        <v>97</v>
      </c>
      <c r="P1979" s="2" t="s">
        <v>225</v>
      </c>
      <c r="Q1979" s="2" t="s">
        <v>99</v>
      </c>
      <c r="R1979" s="2" t="s">
        <v>100</v>
      </c>
      <c r="S1979" s="2" t="s">
        <v>6459</v>
      </c>
      <c r="T1979" s="2" t="s">
        <v>6072</v>
      </c>
      <c r="U1979" s="2" t="s">
        <v>480</v>
      </c>
      <c r="V1979" s="2" t="s">
        <v>146</v>
      </c>
      <c r="W1979" s="2" t="s">
        <v>673</v>
      </c>
      <c r="X1979" s="2" t="s">
        <v>104</v>
      </c>
      <c r="Y1979" s="2" t="s">
        <v>1069</v>
      </c>
      <c r="Z1979" s="4">
        <v>496</v>
      </c>
      <c r="AA1979" s="4">
        <f>=ROUNDDOWN({0},0)</f>
      </c>
      <c r="AB1979" s="5"/>
      <c r="AC1979" s="2" t="s">
        <v>356</v>
      </c>
      <c r="AD1979" s="4">
        <v>1500</v>
      </c>
      <c r="AE1979" s="4">
        <v>2070</v>
      </c>
      <c r="AF1979" s="6">
        <v>66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/>
      <c r="BJ1979" s="4"/>
      <c r="BK1979" s="8"/>
      <c r="BL1979" s="2" t="s">
        <v>100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207</v>
      </c>
      <c r="BV1979" s="2" t="s">
        <v>97</v>
      </c>
      <c r="BW1979" s="2" t="s">
        <v>100</v>
      </c>
      <c r="BX1979" s="2" t="s">
        <v>100</v>
      </c>
      <c r="BY1979" s="2" t="s">
        <v>113</v>
      </c>
      <c r="BZ1979" s="2" t="s">
        <v>100</v>
      </c>
    </row>
    <row r="1980">
      <c r="A1980" s="2" t="s">
        <v>6461</v>
      </c>
      <c r="B1980" s="2" t="s">
        <v>5764</v>
      </c>
      <c r="C1980" s="2" t="s">
        <v>88</v>
      </c>
      <c r="D1980" s="2" t="s">
        <v>803</v>
      </c>
      <c r="E1980" s="2" t="s">
        <v>1532</v>
      </c>
      <c r="F1980" s="2" t="s">
        <v>6456</v>
      </c>
      <c r="G1980" s="2" t="s">
        <v>6457</v>
      </c>
      <c r="H1980" s="2" t="s">
        <v>6457</v>
      </c>
      <c r="I1980" s="2" t="s">
        <v>6458</v>
      </c>
      <c r="J1980" s="2" t="s">
        <v>270</v>
      </c>
      <c r="K1980" s="2" t="s">
        <v>335</v>
      </c>
      <c r="L1980" s="3">
        <v>45</v>
      </c>
      <c r="M1980" s="3">
        <v>47.25</v>
      </c>
      <c r="N1980" s="3">
        <v>89.99</v>
      </c>
      <c r="O1980" s="2" t="s">
        <v>97</v>
      </c>
      <c r="P1980" s="2" t="s">
        <v>225</v>
      </c>
      <c r="Q1980" s="2" t="s">
        <v>99</v>
      </c>
      <c r="R1980" s="2" t="s">
        <v>100</v>
      </c>
      <c r="S1980" s="2" t="s">
        <v>6459</v>
      </c>
      <c r="T1980" s="2" t="s">
        <v>6072</v>
      </c>
      <c r="U1980" s="2" t="s">
        <v>480</v>
      </c>
      <c r="V1980" s="2" t="s">
        <v>146</v>
      </c>
      <c r="W1980" s="2" t="s">
        <v>673</v>
      </c>
      <c r="X1980" s="2" t="s">
        <v>104</v>
      </c>
      <c r="Y1980" s="2" t="s">
        <v>1069</v>
      </c>
      <c r="Z1980" s="4">
        <v>494</v>
      </c>
      <c r="AA1980" s="4">
        <f>=ROUNDDOWN({0},0)</f>
      </c>
      <c r="AB1980" s="5"/>
      <c r="AC1980" s="2" t="s">
        <v>356</v>
      </c>
      <c r="AD1980" s="4">
        <v>1500</v>
      </c>
      <c r="AE1980" s="4">
        <v>2110</v>
      </c>
      <c r="AF1980" s="6">
        <v>66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/>
      <c r="BK1980" s="8"/>
      <c r="BL1980" s="2" t="s">
        <v>100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207</v>
      </c>
      <c r="BV1980" s="2" t="s">
        <v>97</v>
      </c>
      <c r="BW1980" s="2" t="s">
        <v>100</v>
      </c>
      <c r="BX1980" s="2" t="s">
        <v>100</v>
      </c>
      <c r="BY1980" s="2" t="s">
        <v>113</v>
      </c>
      <c r="BZ1980" s="2" t="s">
        <v>100</v>
      </c>
    </row>
    <row r="1981">
      <c r="A1981" s="2" t="s">
        <v>6462</v>
      </c>
      <c r="B1981" s="2" t="s">
        <v>5764</v>
      </c>
      <c r="C1981" s="2" t="s">
        <v>88</v>
      </c>
      <c r="D1981" s="2" t="s">
        <v>803</v>
      </c>
      <c r="E1981" s="2" t="s">
        <v>1532</v>
      </c>
      <c r="F1981" s="2" t="s">
        <v>6456</v>
      </c>
      <c r="G1981" s="2" t="s">
        <v>6457</v>
      </c>
      <c r="H1981" s="2" t="s">
        <v>6457</v>
      </c>
      <c r="I1981" s="2" t="s">
        <v>6463</v>
      </c>
      <c r="J1981" s="2" t="s">
        <v>247</v>
      </c>
      <c r="K1981" s="2" t="s">
        <v>6464</v>
      </c>
      <c r="L1981" s="3">
        <v>43.2</v>
      </c>
      <c r="M1981" s="3">
        <v>45.36</v>
      </c>
      <c r="N1981" s="3">
        <v>89.99</v>
      </c>
      <c r="O1981" s="2" t="s">
        <v>97</v>
      </c>
      <c r="P1981" s="2" t="s">
        <v>98</v>
      </c>
      <c r="Q1981" s="2" t="s">
        <v>99</v>
      </c>
      <c r="R1981" s="2" t="s">
        <v>100</v>
      </c>
      <c r="S1981" s="2" t="s">
        <v>6465</v>
      </c>
      <c r="T1981" s="2" t="s">
        <v>6072</v>
      </c>
      <c r="U1981" s="2" t="s">
        <v>480</v>
      </c>
      <c r="V1981" s="2" t="s">
        <v>2661</v>
      </c>
      <c r="W1981" s="2" t="s">
        <v>673</v>
      </c>
      <c r="X1981" s="2" t="s">
        <v>104</v>
      </c>
      <c r="Y1981" s="2" t="s">
        <v>6466</v>
      </c>
      <c r="Z1981" s="4">
        <v>2135</v>
      </c>
      <c r="AA1981" s="4">
        <f>=ROUNDDOWN(82.1153846153846,0)</f>
      </c>
      <c r="AB1981" s="5">
        <v>26</v>
      </c>
      <c r="AC1981" s="2" t="s">
        <v>1102</v>
      </c>
      <c r="AD1981" s="4">
        <v>1200</v>
      </c>
      <c r="AE1981" s="4">
        <v>1450</v>
      </c>
      <c r="AF1981" s="6">
        <v>66</v>
      </c>
      <c r="AG1981" s="6">
        <v>49</v>
      </c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591</v>
      </c>
      <c r="BK1981" s="8">
        <v>26427.92</v>
      </c>
      <c r="BL1981" s="2" t="s">
        <v>6467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6468</v>
      </c>
      <c r="BX1981" s="2" t="s">
        <v>6469</v>
      </c>
      <c r="BY1981" s="2" t="s">
        <v>113</v>
      </c>
      <c r="BZ1981" s="2" t="s">
        <v>100</v>
      </c>
    </row>
    <row r="1982">
      <c r="A1982" s="2" t="s">
        <v>6470</v>
      </c>
      <c r="B1982" s="2" t="s">
        <v>5764</v>
      </c>
      <c r="C1982" s="2" t="s">
        <v>88</v>
      </c>
      <c r="D1982" s="2" t="s">
        <v>803</v>
      </c>
      <c r="E1982" s="2" t="s">
        <v>1532</v>
      </c>
      <c r="F1982" s="2" t="s">
        <v>6456</v>
      </c>
      <c r="G1982" s="2" t="s">
        <v>6457</v>
      </c>
      <c r="H1982" s="2" t="s">
        <v>6457</v>
      </c>
      <c r="I1982" s="2" t="s">
        <v>6463</v>
      </c>
      <c r="J1982" s="2" t="s">
        <v>270</v>
      </c>
      <c r="K1982" s="2" t="s">
        <v>6464</v>
      </c>
      <c r="L1982" s="3">
        <v>49</v>
      </c>
      <c r="M1982" s="3">
        <v>51.45</v>
      </c>
      <c r="N1982" s="3">
        <v>99.99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6465</v>
      </c>
      <c r="T1982" s="2" t="s">
        <v>6072</v>
      </c>
      <c r="U1982" s="2" t="s">
        <v>480</v>
      </c>
      <c r="V1982" s="2" t="s">
        <v>2661</v>
      </c>
      <c r="W1982" s="2" t="s">
        <v>673</v>
      </c>
      <c r="X1982" s="2" t="s">
        <v>104</v>
      </c>
      <c r="Y1982" s="2" t="s">
        <v>2227</v>
      </c>
      <c r="Z1982" s="4">
        <v>1916</v>
      </c>
      <c r="AA1982" s="4">
        <f>=ROUNDDOWN(100.842105263158,0)</f>
      </c>
      <c r="AB1982" s="5">
        <v>19</v>
      </c>
      <c r="AC1982" s="2" t="s">
        <v>1102</v>
      </c>
      <c r="AD1982" s="4">
        <v>1300</v>
      </c>
      <c r="AE1982" s="4">
        <v>1460</v>
      </c>
      <c r="AF1982" s="6">
        <v>66</v>
      </c>
      <c r="AG1982" s="6">
        <v>49</v>
      </c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369</v>
      </c>
      <c r="BK1982" s="8">
        <v>19085.56</v>
      </c>
      <c r="BL1982" s="2" t="s">
        <v>418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6471</v>
      </c>
      <c r="BX1982" s="2" t="s">
        <v>6472</v>
      </c>
      <c r="BY1982" s="2" t="s">
        <v>113</v>
      </c>
      <c r="BZ1982" s="2" t="s">
        <v>100</v>
      </c>
    </row>
    <row r="1983">
      <c r="A1983" s="2" t="s">
        <v>6473</v>
      </c>
      <c r="B1983" s="2" t="s">
        <v>5764</v>
      </c>
      <c r="C1983" s="2" t="s">
        <v>88</v>
      </c>
      <c r="D1983" s="2" t="s">
        <v>803</v>
      </c>
      <c r="E1983" s="2" t="s">
        <v>1532</v>
      </c>
      <c r="F1983" s="2" t="s">
        <v>6456</v>
      </c>
      <c r="G1983" s="2" t="s">
        <v>6457</v>
      </c>
      <c r="H1983" s="2" t="s">
        <v>6457</v>
      </c>
      <c r="I1983" s="2" t="s">
        <v>6458</v>
      </c>
      <c r="J1983" s="2" t="s">
        <v>237</v>
      </c>
      <c r="K1983" s="2" t="s">
        <v>1148</v>
      </c>
      <c r="L1983" s="3">
        <v>28.8</v>
      </c>
      <c r="M1983" s="3">
        <v>30.24</v>
      </c>
      <c r="N1983" s="3">
        <v>59.99</v>
      </c>
      <c r="O1983" s="2" t="s">
        <v>97</v>
      </c>
      <c r="P1983" s="2" t="s">
        <v>225</v>
      </c>
      <c r="Q1983" s="2" t="s">
        <v>99</v>
      </c>
      <c r="R1983" s="2" t="s">
        <v>100</v>
      </c>
      <c r="S1983" s="2" t="s">
        <v>6474</v>
      </c>
      <c r="T1983" s="2" t="s">
        <v>6072</v>
      </c>
      <c r="U1983" s="2" t="s">
        <v>514</v>
      </c>
      <c r="V1983" s="2" t="s">
        <v>146</v>
      </c>
      <c r="W1983" s="2" t="s">
        <v>673</v>
      </c>
      <c r="X1983" s="2" t="s">
        <v>104</v>
      </c>
      <c r="Y1983" s="2" t="s">
        <v>1069</v>
      </c>
      <c r="Z1983" s="4">
        <v>176</v>
      </c>
      <c r="AA1983" s="4">
        <f>=ROUNDDOWN({0},0)</f>
      </c>
      <c r="AB1983" s="5"/>
      <c r="AC1983" s="2" t="s">
        <v>356</v>
      </c>
      <c r="AD1983" s="4">
        <v>528</v>
      </c>
      <c r="AE1983" s="4">
        <v>702</v>
      </c>
      <c r="AF1983" s="6">
        <v>66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/>
      <c r="BK1983" s="8"/>
      <c r="BL1983" s="2" t="s">
        <v>100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207</v>
      </c>
      <c r="BV1983" s="2" t="s">
        <v>97</v>
      </c>
      <c r="BW1983" s="2" t="s">
        <v>100</v>
      </c>
      <c r="BX1983" s="2" t="s">
        <v>100</v>
      </c>
      <c r="BY1983" s="2" t="s">
        <v>113</v>
      </c>
      <c r="BZ1983" s="2" t="s">
        <v>100</v>
      </c>
    </row>
    <row r="1984">
      <c r="A1984" s="2" t="s">
        <v>6475</v>
      </c>
      <c r="B1984" s="2" t="s">
        <v>5764</v>
      </c>
      <c r="C1984" s="2" t="s">
        <v>88</v>
      </c>
      <c r="D1984" s="2" t="s">
        <v>803</v>
      </c>
      <c r="E1984" s="2" t="s">
        <v>1532</v>
      </c>
      <c r="F1984" s="2" t="s">
        <v>6456</v>
      </c>
      <c r="G1984" s="2" t="s">
        <v>6457</v>
      </c>
      <c r="H1984" s="2" t="s">
        <v>6457</v>
      </c>
      <c r="I1984" s="2" t="s">
        <v>6458</v>
      </c>
      <c r="J1984" s="2" t="s">
        <v>247</v>
      </c>
      <c r="K1984" s="2" t="s">
        <v>1148</v>
      </c>
      <c r="L1984" s="3">
        <v>38.4</v>
      </c>
      <c r="M1984" s="3">
        <v>40.32</v>
      </c>
      <c r="N1984" s="3">
        <v>79.99</v>
      </c>
      <c r="O1984" s="2" t="s">
        <v>97</v>
      </c>
      <c r="P1984" s="2" t="s">
        <v>225</v>
      </c>
      <c r="Q1984" s="2" t="s">
        <v>99</v>
      </c>
      <c r="R1984" s="2" t="s">
        <v>100</v>
      </c>
      <c r="S1984" s="2" t="s">
        <v>6474</v>
      </c>
      <c r="T1984" s="2" t="s">
        <v>6072</v>
      </c>
      <c r="U1984" s="2" t="s">
        <v>480</v>
      </c>
      <c r="V1984" s="2" t="s">
        <v>146</v>
      </c>
      <c r="W1984" s="2" t="s">
        <v>673</v>
      </c>
      <c r="X1984" s="2" t="s">
        <v>104</v>
      </c>
      <c r="Y1984" s="2" t="s">
        <v>1069</v>
      </c>
      <c r="Z1984" s="4">
        <v>495</v>
      </c>
      <c r="AA1984" s="4">
        <f>=ROUNDDOWN({0},0)</f>
      </c>
      <c r="AB1984" s="5"/>
      <c r="AC1984" s="2" t="s">
        <v>356</v>
      </c>
      <c r="AD1984" s="4">
        <v>1500</v>
      </c>
      <c r="AE1984" s="4">
        <v>2070</v>
      </c>
      <c r="AF1984" s="6">
        <v>66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/>
      <c r="BK1984" s="8"/>
      <c r="BL1984" s="2" t="s">
        <v>100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207</v>
      </c>
      <c r="BV1984" s="2" t="s">
        <v>97</v>
      </c>
      <c r="BW1984" s="2" t="s">
        <v>100</v>
      </c>
      <c r="BX1984" s="2" t="s">
        <v>100</v>
      </c>
      <c r="BY1984" s="2" t="s">
        <v>113</v>
      </c>
      <c r="BZ1984" s="2" t="s">
        <v>100</v>
      </c>
    </row>
    <row r="1985">
      <c r="A1985" s="2" t="s">
        <v>6476</v>
      </c>
      <c r="B1985" s="2" t="s">
        <v>5764</v>
      </c>
      <c r="C1985" s="2" t="s">
        <v>88</v>
      </c>
      <c r="D1985" s="2" t="s">
        <v>803</v>
      </c>
      <c r="E1985" s="2" t="s">
        <v>1532</v>
      </c>
      <c r="F1985" s="2" t="s">
        <v>6456</v>
      </c>
      <c r="G1985" s="2" t="s">
        <v>6457</v>
      </c>
      <c r="H1985" s="2" t="s">
        <v>6457</v>
      </c>
      <c r="I1985" s="2" t="s">
        <v>6458</v>
      </c>
      <c r="J1985" s="2" t="s">
        <v>270</v>
      </c>
      <c r="K1985" s="2" t="s">
        <v>1148</v>
      </c>
      <c r="L1985" s="3">
        <v>45</v>
      </c>
      <c r="M1985" s="3">
        <v>47.25</v>
      </c>
      <c r="N1985" s="3">
        <v>89.99</v>
      </c>
      <c r="O1985" s="2" t="s">
        <v>97</v>
      </c>
      <c r="P1985" s="2" t="s">
        <v>225</v>
      </c>
      <c r="Q1985" s="2" t="s">
        <v>99</v>
      </c>
      <c r="R1985" s="2" t="s">
        <v>100</v>
      </c>
      <c r="S1985" s="2" t="s">
        <v>6474</v>
      </c>
      <c r="T1985" s="2" t="s">
        <v>6072</v>
      </c>
      <c r="U1985" s="2" t="s">
        <v>480</v>
      </c>
      <c r="V1985" s="2" t="s">
        <v>146</v>
      </c>
      <c r="W1985" s="2" t="s">
        <v>673</v>
      </c>
      <c r="X1985" s="2" t="s">
        <v>104</v>
      </c>
      <c r="Y1985" s="2" t="s">
        <v>1069</v>
      </c>
      <c r="Z1985" s="4">
        <v>492</v>
      </c>
      <c r="AA1985" s="4">
        <f>=ROUNDDOWN({0},0)</f>
      </c>
      <c r="AB1985" s="5"/>
      <c r="AC1985" s="2" t="s">
        <v>356</v>
      </c>
      <c r="AD1985" s="4">
        <v>1500</v>
      </c>
      <c r="AE1985" s="4">
        <v>2110</v>
      </c>
      <c r="AF1985" s="6">
        <v>66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/>
      <c r="BK1985" s="8"/>
      <c r="BL1985" s="2" t="s">
        <v>100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207</v>
      </c>
      <c r="BV1985" s="2" t="s">
        <v>97</v>
      </c>
      <c r="BW1985" s="2" t="s">
        <v>100</v>
      </c>
      <c r="BX1985" s="2" t="s">
        <v>100</v>
      </c>
      <c r="BY1985" s="2" t="s">
        <v>113</v>
      </c>
      <c r="BZ1985" s="2" t="s">
        <v>100</v>
      </c>
    </row>
    <row r="1986">
      <c r="A1986" s="2" t="s">
        <v>6477</v>
      </c>
      <c r="B1986" s="2" t="s">
        <v>5764</v>
      </c>
      <c r="C1986" s="2" t="s">
        <v>88</v>
      </c>
      <c r="D1986" s="2" t="s">
        <v>803</v>
      </c>
      <c r="E1986" s="2" t="s">
        <v>1532</v>
      </c>
      <c r="F1986" s="2" t="s">
        <v>6456</v>
      </c>
      <c r="G1986" s="2" t="s">
        <v>6457</v>
      </c>
      <c r="H1986" s="2" t="s">
        <v>6457</v>
      </c>
      <c r="I1986" s="2" t="s">
        <v>6463</v>
      </c>
      <c r="J1986" s="2" t="s">
        <v>237</v>
      </c>
      <c r="K1986" s="2" t="s">
        <v>6478</v>
      </c>
      <c r="L1986" s="3">
        <v>32.2</v>
      </c>
      <c r="M1986" s="3">
        <v>33.81</v>
      </c>
      <c r="N1986" s="3">
        <v>69.99</v>
      </c>
      <c r="O1986" s="2" t="s">
        <v>97</v>
      </c>
      <c r="P1986" s="2" t="s">
        <v>950</v>
      </c>
      <c r="Q1986" s="2" t="s">
        <v>99</v>
      </c>
      <c r="R1986" s="2" t="s">
        <v>100</v>
      </c>
      <c r="S1986" s="2" t="s">
        <v>6479</v>
      </c>
      <c r="T1986" s="2" t="s">
        <v>6072</v>
      </c>
      <c r="U1986" s="2" t="s">
        <v>514</v>
      </c>
      <c r="V1986" s="2" t="s">
        <v>2661</v>
      </c>
      <c r="W1986" s="2" t="s">
        <v>673</v>
      </c>
      <c r="X1986" s="2" t="s">
        <v>104</v>
      </c>
      <c r="Y1986" s="2" t="s">
        <v>6480</v>
      </c>
      <c r="Z1986" s="4">
        <v>716</v>
      </c>
      <c r="AA1986" s="4">
        <f>=ROUNDDOWN(79.5555555555555,0)</f>
      </c>
      <c r="AB1986" s="5">
        <v>9</v>
      </c>
      <c r="AC1986" s="2" t="s">
        <v>1102</v>
      </c>
      <c r="AD1986" s="4">
        <v>400</v>
      </c>
      <c r="AE1986" s="4">
        <v>730</v>
      </c>
      <c r="AF1986" s="6">
        <v>66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197</v>
      </c>
      <c r="BK1986" s="8">
        <v>6620.53</v>
      </c>
      <c r="BL1986" s="2" t="s">
        <v>1979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207</v>
      </c>
      <c r="BV1986" s="2" t="s">
        <v>97</v>
      </c>
      <c r="BW1986" s="2" t="s">
        <v>100</v>
      </c>
      <c r="BX1986" s="2" t="s">
        <v>100</v>
      </c>
      <c r="BY1986" s="2" t="s">
        <v>113</v>
      </c>
      <c r="BZ1986" s="2" t="s">
        <v>100</v>
      </c>
    </row>
    <row r="1987">
      <c r="A1987" s="2" t="s">
        <v>6481</v>
      </c>
      <c r="B1987" s="2" t="s">
        <v>5764</v>
      </c>
      <c r="C1987" s="2" t="s">
        <v>88</v>
      </c>
      <c r="D1987" s="2" t="s">
        <v>803</v>
      </c>
      <c r="E1987" s="2" t="s">
        <v>1532</v>
      </c>
      <c r="F1987" s="2" t="s">
        <v>6456</v>
      </c>
      <c r="G1987" s="2" t="s">
        <v>6457</v>
      </c>
      <c r="H1987" s="2" t="s">
        <v>6457</v>
      </c>
      <c r="I1987" s="2" t="s">
        <v>6463</v>
      </c>
      <c r="J1987" s="2" t="s">
        <v>247</v>
      </c>
      <c r="K1987" s="2" t="s">
        <v>6478</v>
      </c>
      <c r="L1987" s="3">
        <v>43.2</v>
      </c>
      <c r="M1987" s="3">
        <v>45.36</v>
      </c>
      <c r="N1987" s="3">
        <v>89.99</v>
      </c>
      <c r="O1987" s="2" t="s">
        <v>97</v>
      </c>
      <c r="P1987" s="2" t="s">
        <v>950</v>
      </c>
      <c r="Q1987" s="2" t="s">
        <v>99</v>
      </c>
      <c r="R1987" s="2" t="s">
        <v>100</v>
      </c>
      <c r="S1987" s="2" t="s">
        <v>6479</v>
      </c>
      <c r="T1987" s="2" t="s">
        <v>6072</v>
      </c>
      <c r="U1987" s="2" t="s">
        <v>480</v>
      </c>
      <c r="V1987" s="2" t="s">
        <v>2661</v>
      </c>
      <c r="W1987" s="2" t="s">
        <v>673</v>
      </c>
      <c r="X1987" s="2" t="s">
        <v>104</v>
      </c>
      <c r="Y1987" s="2" t="s">
        <v>6480</v>
      </c>
      <c r="Z1987" s="4">
        <v>1464</v>
      </c>
      <c r="AA1987" s="4">
        <f>=ROUNDDOWN(81.3333333333333,0)</f>
      </c>
      <c r="AB1987" s="5">
        <v>18</v>
      </c>
      <c r="AC1987" s="2" t="s">
        <v>1102</v>
      </c>
      <c r="AD1987" s="4">
        <v>1000</v>
      </c>
      <c r="AE1987" s="4">
        <v>1400</v>
      </c>
      <c r="AF1987" s="6">
        <v>66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/>
      <c r="BJ1987" s="4">
        <v>421</v>
      </c>
      <c r="BK1987" s="8">
        <v>18342.17</v>
      </c>
      <c r="BL1987" s="2" t="s">
        <v>1241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207</v>
      </c>
      <c r="BV1987" s="2" t="s">
        <v>97</v>
      </c>
      <c r="BW1987" s="2" t="s">
        <v>100</v>
      </c>
      <c r="BX1987" s="2" t="s">
        <v>100</v>
      </c>
      <c r="BY1987" s="2" t="s">
        <v>113</v>
      </c>
      <c r="BZ1987" s="2" t="s">
        <v>100</v>
      </c>
    </row>
    <row r="1988">
      <c r="A1988" s="2" t="s">
        <v>6482</v>
      </c>
      <c r="B1988" s="2" t="s">
        <v>5764</v>
      </c>
      <c r="C1988" s="2" t="s">
        <v>88</v>
      </c>
      <c r="D1988" s="2" t="s">
        <v>803</v>
      </c>
      <c r="E1988" s="2" t="s">
        <v>1532</v>
      </c>
      <c r="F1988" s="2" t="s">
        <v>6456</v>
      </c>
      <c r="G1988" s="2" t="s">
        <v>6457</v>
      </c>
      <c r="H1988" s="2" t="s">
        <v>6457</v>
      </c>
      <c r="I1988" s="2" t="s">
        <v>6463</v>
      </c>
      <c r="J1988" s="2" t="s">
        <v>270</v>
      </c>
      <c r="K1988" s="2" t="s">
        <v>6478</v>
      </c>
      <c r="L1988" s="3">
        <v>49</v>
      </c>
      <c r="M1988" s="3">
        <v>51.45</v>
      </c>
      <c r="N1988" s="3">
        <v>99.99</v>
      </c>
      <c r="O1988" s="2" t="s">
        <v>97</v>
      </c>
      <c r="P1988" s="2" t="s">
        <v>950</v>
      </c>
      <c r="Q1988" s="2" t="s">
        <v>99</v>
      </c>
      <c r="R1988" s="2" t="s">
        <v>100</v>
      </c>
      <c r="S1988" s="2" t="s">
        <v>6479</v>
      </c>
      <c r="T1988" s="2" t="s">
        <v>6072</v>
      </c>
      <c r="U1988" s="2" t="s">
        <v>480</v>
      </c>
      <c r="V1988" s="2" t="s">
        <v>2661</v>
      </c>
      <c r="W1988" s="2" t="s">
        <v>673</v>
      </c>
      <c r="X1988" s="2" t="s">
        <v>104</v>
      </c>
      <c r="Y1988" s="2" t="s">
        <v>6480</v>
      </c>
      <c r="Z1988" s="4">
        <v>1372</v>
      </c>
      <c r="AA1988" s="4">
        <f>=ROUNDDOWN(80.7058823529412,0)</f>
      </c>
      <c r="AB1988" s="5">
        <v>17</v>
      </c>
      <c r="AC1988" s="2" t="s">
        <v>1102</v>
      </c>
      <c r="AD1988" s="4">
        <v>1200</v>
      </c>
      <c r="AE1988" s="4">
        <v>1480</v>
      </c>
      <c r="AF1988" s="6">
        <v>66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396</v>
      </c>
      <c r="BK1988" s="8">
        <v>19602.55</v>
      </c>
      <c r="BL1988" s="2" t="s">
        <v>6467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207</v>
      </c>
      <c r="BV1988" s="2" t="s">
        <v>97</v>
      </c>
      <c r="BW1988" s="2" t="s">
        <v>100</v>
      </c>
      <c r="BX1988" s="2" t="s">
        <v>100</v>
      </c>
      <c r="BY1988" s="2" t="s">
        <v>113</v>
      </c>
      <c r="BZ1988" s="2" t="s">
        <v>100</v>
      </c>
    </row>
    <row r="1989">
      <c r="A1989" s="2" t="s">
        <v>6483</v>
      </c>
      <c r="B1989" s="2" t="s">
        <v>5764</v>
      </c>
      <c r="C1989" s="2" t="s">
        <v>88</v>
      </c>
      <c r="D1989" s="2" t="s">
        <v>803</v>
      </c>
      <c r="E1989" s="2" t="s">
        <v>1532</v>
      </c>
      <c r="F1989" s="2" t="s">
        <v>6484</v>
      </c>
      <c r="G1989" s="2" t="s">
        <v>4249</v>
      </c>
      <c r="H1989" s="2" t="s">
        <v>4249</v>
      </c>
      <c r="I1989" s="2" t="s">
        <v>6485</v>
      </c>
      <c r="J1989" s="2" t="s">
        <v>1936</v>
      </c>
      <c r="K1989" s="2" t="s">
        <v>3050</v>
      </c>
      <c r="L1989" s="3">
        <v>26.28</v>
      </c>
      <c r="M1989" s="3">
        <v>27.59</v>
      </c>
      <c r="N1989" s="3">
        <v>59.99</v>
      </c>
      <c r="O1989" s="2" t="s">
        <v>97</v>
      </c>
      <c r="P1989" s="2" t="s">
        <v>119</v>
      </c>
      <c r="Q1989" s="2" t="s">
        <v>99</v>
      </c>
      <c r="R1989" s="2" t="s">
        <v>100</v>
      </c>
      <c r="S1989" s="2" t="s">
        <v>6486</v>
      </c>
      <c r="T1989" s="2" t="s">
        <v>5945</v>
      </c>
      <c r="U1989" s="2" t="s">
        <v>514</v>
      </c>
      <c r="V1989" s="2" t="s">
        <v>350</v>
      </c>
      <c r="W1989" s="2" t="s">
        <v>415</v>
      </c>
      <c r="X1989" s="2" t="s">
        <v>219</v>
      </c>
      <c r="Y1989" s="2" t="s">
        <v>6487</v>
      </c>
      <c r="Z1989" s="4">
        <v>69</v>
      </c>
      <c r="AA1989" s="4">
        <f>=ROUNDDOWN(34.5,0)</f>
      </c>
      <c r="AB1989" s="5">
        <v>2</v>
      </c>
      <c r="AC1989" s="2" t="s">
        <v>123</v>
      </c>
      <c r="AD1989" s="4">
        <v>20</v>
      </c>
      <c r="AE1989" s="4">
        <v>42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28</v>
      </c>
      <c r="BK1989" s="8">
        <v>845.34</v>
      </c>
      <c r="BL1989" s="2" t="s">
        <v>1795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207</v>
      </c>
      <c r="BV1989" s="2" t="s">
        <v>97</v>
      </c>
      <c r="BW1989" s="2" t="s">
        <v>100</v>
      </c>
      <c r="BX1989" s="2" t="s">
        <v>100</v>
      </c>
      <c r="BY1989" s="2" t="s">
        <v>113</v>
      </c>
      <c r="BZ1989" s="2" t="s">
        <v>100</v>
      </c>
    </row>
    <row r="1990">
      <c r="A1990" s="2" t="s">
        <v>6488</v>
      </c>
      <c r="B1990" s="2" t="s">
        <v>5764</v>
      </c>
      <c r="C1990" s="2" t="s">
        <v>88</v>
      </c>
      <c r="D1990" s="2" t="s">
        <v>803</v>
      </c>
      <c r="E1990" s="2" t="s">
        <v>1532</v>
      </c>
      <c r="F1990" s="2" t="s">
        <v>6484</v>
      </c>
      <c r="G1990" s="2" t="s">
        <v>4249</v>
      </c>
      <c r="H1990" s="2" t="s">
        <v>4249</v>
      </c>
      <c r="I1990" s="2" t="s">
        <v>6485</v>
      </c>
      <c r="J1990" s="2" t="s">
        <v>247</v>
      </c>
      <c r="K1990" s="2" t="s">
        <v>3050</v>
      </c>
      <c r="L1990" s="3">
        <v>33.33</v>
      </c>
      <c r="M1990" s="3">
        <v>35</v>
      </c>
      <c r="N1990" s="3">
        <v>69.99</v>
      </c>
      <c r="O1990" s="2" t="s">
        <v>97</v>
      </c>
      <c r="P1990" s="2" t="s">
        <v>119</v>
      </c>
      <c r="Q1990" s="2" t="s">
        <v>99</v>
      </c>
      <c r="R1990" s="2" t="s">
        <v>100</v>
      </c>
      <c r="S1990" s="2" t="s">
        <v>6486</v>
      </c>
      <c r="T1990" s="2" t="s">
        <v>5945</v>
      </c>
      <c r="U1990" s="2" t="s">
        <v>480</v>
      </c>
      <c r="V1990" s="2" t="s">
        <v>350</v>
      </c>
      <c r="W1990" s="2" t="s">
        <v>415</v>
      </c>
      <c r="X1990" s="2" t="s">
        <v>219</v>
      </c>
      <c r="Y1990" s="2" t="s">
        <v>6487</v>
      </c>
      <c r="Z1990" s="4">
        <v>133</v>
      </c>
      <c r="AA1990" s="4">
        <f>=ROUNDDOWN(26.6,0)</f>
      </c>
      <c r="AB1990" s="5">
        <v>5</v>
      </c>
      <c r="AC1990" s="2" t="s">
        <v>123</v>
      </c>
      <c r="AD1990" s="4">
        <v>30</v>
      </c>
      <c r="AE1990" s="4">
        <v>196</v>
      </c>
      <c r="AF1990" s="6">
        <v>65</v>
      </c>
      <c r="AG1990" s="6"/>
      <c r="AH1990" s="7">
        <v>0.7861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/>
      <c r="BJ1990" s="4">
        <v>97</v>
      </c>
      <c r="BK1990" s="8">
        <v>3562.66</v>
      </c>
      <c r="BL1990" s="2" t="s">
        <v>1570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207</v>
      </c>
      <c r="BV1990" s="2" t="s">
        <v>97</v>
      </c>
      <c r="BW1990" s="2" t="s">
        <v>100</v>
      </c>
      <c r="BX1990" s="2" t="s">
        <v>100</v>
      </c>
      <c r="BY1990" s="2" t="s">
        <v>113</v>
      </c>
      <c r="BZ1990" s="2" t="s">
        <v>100</v>
      </c>
    </row>
    <row r="1991">
      <c r="A1991" s="2" t="s">
        <v>6489</v>
      </c>
      <c r="B1991" s="2" t="s">
        <v>5764</v>
      </c>
      <c r="C1991" s="2" t="s">
        <v>88</v>
      </c>
      <c r="D1991" s="2" t="s">
        <v>803</v>
      </c>
      <c r="E1991" s="2" t="s">
        <v>1532</v>
      </c>
      <c r="F1991" s="2" t="s">
        <v>6484</v>
      </c>
      <c r="G1991" s="2" t="s">
        <v>4249</v>
      </c>
      <c r="H1991" s="2" t="s">
        <v>4249</v>
      </c>
      <c r="I1991" s="2" t="s">
        <v>6485</v>
      </c>
      <c r="J1991" s="2" t="s">
        <v>270</v>
      </c>
      <c r="K1991" s="2" t="s">
        <v>3050</v>
      </c>
      <c r="L1991" s="3">
        <v>38.09</v>
      </c>
      <c r="M1991" s="3">
        <v>39.99</v>
      </c>
      <c r="N1991" s="3">
        <v>79.99</v>
      </c>
      <c r="O1991" s="2" t="s">
        <v>97</v>
      </c>
      <c r="P1991" s="2" t="s">
        <v>119</v>
      </c>
      <c r="Q1991" s="2" t="s">
        <v>99</v>
      </c>
      <c r="R1991" s="2" t="s">
        <v>100</v>
      </c>
      <c r="S1991" s="2" t="s">
        <v>6486</v>
      </c>
      <c r="T1991" s="2" t="s">
        <v>5945</v>
      </c>
      <c r="U1991" s="2" t="s">
        <v>480</v>
      </c>
      <c r="V1991" s="2" t="s">
        <v>350</v>
      </c>
      <c r="W1991" s="2" t="s">
        <v>415</v>
      </c>
      <c r="X1991" s="2" t="s">
        <v>219</v>
      </c>
      <c r="Y1991" s="2" t="s">
        <v>6487</v>
      </c>
      <c r="Z1991" s="4">
        <v>158</v>
      </c>
      <c r="AA1991" s="4">
        <f>=ROUNDDOWN(22.5714285714286,0)</f>
      </c>
      <c r="AB1991" s="5">
        <v>7</v>
      </c>
      <c r="AC1991" s="2" t="s">
        <v>123</v>
      </c>
      <c r="AD1991" s="4">
        <v>40</v>
      </c>
      <c r="AE1991" s="4">
        <v>93</v>
      </c>
      <c r="AF1991" s="6">
        <v>65</v>
      </c>
      <c r="AG1991" s="6"/>
      <c r="AH1991" s="7">
        <v>0.615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81</v>
      </c>
      <c r="BK1991" s="8">
        <v>3356.23</v>
      </c>
      <c r="BL1991" s="2" t="s">
        <v>494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207</v>
      </c>
      <c r="BV1991" s="2" t="s">
        <v>97</v>
      </c>
      <c r="BW1991" s="2" t="s">
        <v>100</v>
      </c>
      <c r="BX1991" s="2" t="s">
        <v>100</v>
      </c>
      <c r="BY1991" s="2" t="s">
        <v>113</v>
      </c>
      <c r="BZ1991" s="2" t="s">
        <v>100</v>
      </c>
    </row>
    <row r="1992">
      <c r="A1992" s="2" t="s">
        <v>6490</v>
      </c>
      <c r="B1992" s="2" t="s">
        <v>5764</v>
      </c>
      <c r="C1992" s="2" t="s">
        <v>88</v>
      </c>
      <c r="D1992" s="2" t="s">
        <v>803</v>
      </c>
      <c r="E1992" s="2" t="s">
        <v>1532</v>
      </c>
      <c r="F1992" s="2" t="s">
        <v>6491</v>
      </c>
      <c r="G1992" s="2" t="s">
        <v>1574</v>
      </c>
      <c r="H1992" s="2" t="s">
        <v>1574</v>
      </c>
      <c r="I1992" s="2" t="s">
        <v>6492</v>
      </c>
      <c r="J1992" s="2" t="s">
        <v>247</v>
      </c>
      <c r="K1992" s="2" t="s">
        <v>335</v>
      </c>
      <c r="L1992" s="3">
        <v>47.61</v>
      </c>
      <c r="M1992" s="3">
        <v>49.99</v>
      </c>
      <c r="N1992" s="3">
        <v>99.99</v>
      </c>
      <c r="O1992" s="2" t="s">
        <v>97</v>
      </c>
      <c r="P1992" s="2" t="s">
        <v>225</v>
      </c>
      <c r="Q1992" s="2" t="s">
        <v>99</v>
      </c>
      <c r="R1992" s="2" t="s">
        <v>100</v>
      </c>
      <c r="S1992" s="2" t="s">
        <v>6493</v>
      </c>
      <c r="T1992" s="2" t="s">
        <v>6072</v>
      </c>
      <c r="U1992" s="2" t="s">
        <v>480</v>
      </c>
      <c r="V1992" s="2" t="s">
        <v>350</v>
      </c>
      <c r="W1992" s="2" t="s">
        <v>673</v>
      </c>
      <c r="X1992" s="2" t="s">
        <v>415</v>
      </c>
      <c r="Y1992" s="2" t="s">
        <v>6494</v>
      </c>
      <c r="Z1992" s="4"/>
      <c r="AA1992" s="4">
        <f>=ROUNDDOWN({0},0)</f>
      </c>
      <c r="AB1992" s="5">
        <v>11</v>
      </c>
      <c r="AC1992" s="2" t="s">
        <v>6495</v>
      </c>
      <c r="AD1992" s="4">
        <v>200</v>
      </c>
      <c r="AE1992" s="4">
        <v>400</v>
      </c>
      <c r="AF1992" s="6">
        <v>65</v>
      </c>
      <c r="AG1992" s="6"/>
      <c r="AH1992" s="7">
        <v>0.9785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253</v>
      </c>
      <c r="BK1992" s="8">
        <v>13510.43</v>
      </c>
      <c r="BL1992" s="2" t="s">
        <v>5008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207</v>
      </c>
      <c r="BV1992" s="2" t="s">
        <v>97</v>
      </c>
      <c r="BW1992" s="2" t="s">
        <v>100</v>
      </c>
      <c r="BX1992" s="2" t="s">
        <v>100</v>
      </c>
      <c r="BY1992" s="2" t="s">
        <v>113</v>
      </c>
      <c r="BZ1992" s="2" t="s">
        <v>100</v>
      </c>
    </row>
    <row r="1993">
      <c r="A1993" s="2" t="s">
        <v>6496</v>
      </c>
      <c r="B1993" s="2" t="s">
        <v>5764</v>
      </c>
      <c r="C1993" s="2" t="s">
        <v>88</v>
      </c>
      <c r="D1993" s="2" t="s">
        <v>803</v>
      </c>
      <c r="E1993" s="2" t="s">
        <v>1532</v>
      </c>
      <c r="F1993" s="2" t="s">
        <v>6491</v>
      </c>
      <c r="G1993" s="2" t="s">
        <v>1574</v>
      </c>
      <c r="H1993" s="2" t="s">
        <v>1574</v>
      </c>
      <c r="I1993" s="2" t="s">
        <v>6492</v>
      </c>
      <c r="J1993" s="2" t="s">
        <v>714</v>
      </c>
      <c r="K1993" s="2" t="s">
        <v>335</v>
      </c>
      <c r="L1993" s="3">
        <v>57.14</v>
      </c>
      <c r="M1993" s="3">
        <v>60</v>
      </c>
      <c r="N1993" s="3">
        <v>119.99</v>
      </c>
      <c r="O1993" s="2" t="s">
        <v>97</v>
      </c>
      <c r="P1993" s="2" t="s">
        <v>225</v>
      </c>
      <c r="Q1993" s="2" t="s">
        <v>99</v>
      </c>
      <c r="R1993" s="2" t="s">
        <v>100</v>
      </c>
      <c r="S1993" s="2" t="s">
        <v>6493</v>
      </c>
      <c r="T1993" s="2" t="s">
        <v>6072</v>
      </c>
      <c r="U1993" s="2" t="s">
        <v>480</v>
      </c>
      <c r="V1993" s="2" t="s">
        <v>350</v>
      </c>
      <c r="W1993" s="2" t="s">
        <v>673</v>
      </c>
      <c r="X1993" s="2" t="s">
        <v>415</v>
      </c>
      <c r="Y1993" s="2" t="s">
        <v>6497</v>
      </c>
      <c r="Z1993" s="4">
        <v>30</v>
      </c>
      <c r="AA1993" s="4">
        <f>=ROUNDDOWN(2.72727272727273,0)</f>
      </c>
      <c r="AB1993" s="5">
        <v>11</v>
      </c>
      <c r="AC1993" s="2" t="s">
        <v>6495</v>
      </c>
      <c r="AD1993" s="4">
        <v>200</v>
      </c>
      <c r="AE1993" s="4">
        <v>400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314</v>
      </c>
      <c r="BK1993" s="8">
        <v>20075.56</v>
      </c>
      <c r="BL1993" s="2" t="s">
        <v>6498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207</v>
      </c>
      <c r="BV1993" s="2" t="s">
        <v>97</v>
      </c>
      <c r="BW1993" s="2" t="s">
        <v>100</v>
      </c>
      <c r="BX1993" s="2" t="s">
        <v>100</v>
      </c>
      <c r="BY1993" s="2" t="s">
        <v>113</v>
      </c>
      <c r="BZ1993" s="2" t="s">
        <v>100</v>
      </c>
    </row>
    <row r="1994">
      <c r="A1994" s="2" t="s">
        <v>6499</v>
      </c>
      <c r="B1994" s="2" t="s">
        <v>5764</v>
      </c>
      <c r="C1994" s="2" t="s">
        <v>88</v>
      </c>
      <c r="D1994" s="2" t="s">
        <v>803</v>
      </c>
      <c r="E1994" s="2" t="s">
        <v>1532</v>
      </c>
      <c r="F1994" s="2" t="s">
        <v>6491</v>
      </c>
      <c r="G1994" s="2" t="s">
        <v>1574</v>
      </c>
      <c r="H1994" s="2" t="s">
        <v>1574</v>
      </c>
      <c r="I1994" s="2" t="s">
        <v>6492</v>
      </c>
      <c r="J1994" s="2" t="s">
        <v>247</v>
      </c>
      <c r="K1994" s="2" t="s">
        <v>629</v>
      </c>
      <c r="L1994" s="3">
        <v>47.61</v>
      </c>
      <c r="M1994" s="3">
        <v>49.99</v>
      </c>
      <c r="N1994" s="3">
        <v>99.99</v>
      </c>
      <c r="O1994" s="2" t="s">
        <v>97</v>
      </c>
      <c r="P1994" s="2" t="s">
        <v>225</v>
      </c>
      <c r="Q1994" s="2" t="s">
        <v>99</v>
      </c>
      <c r="R1994" s="2" t="s">
        <v>100</v>
      </c>
      <c r="S1994" s="2" t="s">
        <v>6500</v>
      </c>
      <c r="T1994" s="2" t="s">
        <v>6072</v>
      </c>
      <c r="U1994" s="2" t="s">
        <v>480</v>
      </c>
      <c r="V1994" s="2" t="s">
        <v>350</v>
      </c>
      <c r="W1994" s="2" t="s">
        <v>673</v>
      </c>
      <c r="X1994" s="2" t="s">
        <v>415</v>
      </c>
      <c r="Y1994" s="2" t="s">
        <v>6494</v>
      </c>
      <c r="Z1994" s="4">
        <v>5</v>
      </c>
      <c r="AA1994" s="4">
        <f>=ROUNDDOWN(0.454545454545455,0)</f>
      </c>
      <c r="AB1994" s="5">
        <v>11</v>
      </c>
      <c r="AC1994" s="2" t="s">
        <v>6495</v>
      </c>
      <c r="AD1994" s="4">
        <v>200</v>
      </c>
      <c r="AE1994" s="4">
        <v>400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281</v>
      </c>
      <c r="BK1994" s="8">
        <v>14997.81</v>
      </c>
      <c r="BL1994" s="2" t="s">
        <v>5008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207</v>
      </c>
      <c r="BV1994" s="2" t="s">
        <v>97</v>
      </c>
      <c r="BW1994" s="2" t="s">
        <v>100</v>
      </c>
      <c r="BX1994" s="2" t="s">
        <v>100</v>
      </c>
      <c r="BY1994" s="2" t="s">
        <v>113</v>
      </c>
      <c r="BZ1994" s="2" t="s">
        <v>100</v>
      </c>
    </row>
    <row r="1995">
      <c r="A1995" s="2" t="s">
        <v>6501</v>
      </c>
      <c r="B1995" s="2" t="s">
        <v>5764</v>
      </c>
      <c r="C1995" s="2" t="s">
        <v>88</v>
      </c>
      <c r="D1995" s="2" t="s">
        <v>803</v>
      </c>
      <c r="E1995" s="2" t="s">
        <v>1532</v>
      </c>
      <c r="F1995" s="2" t="s">
        <v>6491</v>
      </c>
      <c r="G1995" s="2" t="s">
        <v>1574</v>
      </c>
      <c r="H1995" s="2" t="s">
        <v>1574</v>
      </c>
      <c r="I1995" s="2" t="s">
        <v>6492</v>
      </c>
      <c r="J1995" s="2" t="s">
        <v>714</v>
      </c>
      <c r="K1995" s="2" t="s">
        <v>629</v>
      </c>
      <c r="L1995" s="3">
        <v>57.14</v>
      </c>
      <c r="M1995" s="3">
        <v>60</v>
      </c>
      <c r="N1995" s="3">
        <v>119.99</v>
      </c>
      <c r="O1995" s="2" t="s">
        <v>97</v>
      </c>
      <c r="P1995" s="2" t="s">
        <v>225</v>
      </c>
      <c r="Q1995" s="2" t="s">
        <v>99</v>
      </c>
      <c r="R1995" s="2" t="s">
        <v>100</v>
      </c>
      <c r="S1995" s="2" t="s">
        <v>6500</v>
      </c>
      <c r="T1995" s="2" t="s">
        <v>6072</v>
      </c>
      <c r="U1995" s="2" t="s">
        <v>480</v>
      </c>
      <c r="V1995" s="2" t="s">
        <v>350</v>
      </c>
      <c r="W1995" s="2" t="s">
        <v>673</v>
      </c>
      <c r="X1995" s="2" t="s">
        <v>415</v>
      </c>
      <c r="Y1995" s="2" t="s">
        <v>6497</v>
      </c>
      <c r="Z1995" s="4">
        <v>1</v>
      </c>
      <c r="AA1995" s="4">
        <f>=ROUNDDOWN(0.0833333333333333,0)</f>
      </c>
      <c r="AB1995" s="5">
        <v>12</v>
      </c>
      <c r="AC1995" s="2" t="s">
        <v>6495</v>
      </c>
      <c r="AD1995" s="4">
        <v>200</v>
      </c>
      <c r="AE1995" s="4">
        <v>400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365</v>
      </c>
      <c r="BK1995" s="8">
        <v>23446.95</v>
      </c>
      <c r="BL1995" s="2" t="s">
        <v>5008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207</v>
      </c>
      <c r="BV1995" s="2" t="s">
        <v>97</v>
      </c>
      <c r="BW1995" s="2" t="s">
        <v>100</v>
      </c>
      <c r="BX1995" s="2" t="s">
        <v>100</v>
      </c>
      <c r="BY1995" s="2" t="s">
        <v>113</v>
      </c>
      <c r="BZ1995" s="2" t="s">
        <v>100</v>
      </c>
    </row>
    <row r="1996">
      <c r="A1996" s="2" t="s">
        <v>6502</v>
      </c>
      <c r="B1996" s="2" t="s">
        <v>5764</v>
      </c>
      <c r="C1996" s="2" t="s">
        <v>88</v>
      </c>
      <c r="D1996" s="2" t="s">
        <v>803</v>
      </c>
      <c r="E1996" s="2" t="s">
        <v>1532</v>
      </c>
      <c r="F1996" s="2" t="s">
        <v>1870</v>
      </c>
      <c r="G1996" s="2" t="s">
        <v>6503</v>
      </c>
      <c r="H1996" s="2" t="s">
        <v>6503</v>
      </c>
      <c r="I1996" s="2" t="s">
        <v>6504</v>
      </c>
      <c r="J1996" s="2" t="s">
        <v>247</v>
      </c>
      <c r="K1996" s="2" t="s">
        <v>913</v>
      </c>
      <c r="L1996" s="3">
        <v>50.6</v>
      </c>
      <c r="M1996" s="3">
        <v>53.13</v>
      </c>
      <c r="N1996" s="3">
        <v>109.99</v>
      </c>
      <c r="O1996" s="2" t="s">
        <v>97</v>
      </c>
      <c r="P1996" s="2" t="s">
        <v>119</v>
      </c>
      <c r="Q1996" s="2" t="s">
        <v>99</v>
      </c>
      <c r="R1996" s="2" t="s">
        <v>100</v>
      </c>
      <c r="S1996" s="2" t="s">
        <v>6505</v>
      </c>
      <c r="T1996" s="2" t="s">
        <v>4441</v>
      </c>
      <c r="U1996" s="2" t="s">
        <v>100</v>
      </c>
      <c r="V1996" s="2" t="s">
        <v>146</v>
      </c>
      <c r="W1996" s="2" t="s">
        <v>183</v>
      </c>
      <c r="X1996" s="2" t="s">
        <v>546</v>
      </c>
      <c r="Y1996" s="2" t="s">
        <v>240</v>
      </c>
      <c r="Z1996" s="4">
        <v>311</v>
      </c>
      <c r="AA1996" s="4">
        <f>=ROUNDDOWN(28.2727272727273,0)</f>
      </c>
      <c r="AB1996" s="5">
        <v>11</v>
      </c>
      <c r="AC1996" s="2" t="s">
        <v>356</v>
      </c>
      <c r="AD1996" s="4">
        <v>880</v>
      </c>
      <c r="AE1996" s="4">
        <v>990</v>
      </c>
      <c r="AF1996" s="6">
        <v>65</v>
      </c>
      <c r="AG1996" s="6"/>
      <c r="AH1996" s="7">
        <v>0.6578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220</v>
      </c>
      <c r="BK1996" s="8">
        <v>11602.99</v>
      </c>
      <c r="BL1996" s="2" t="s">
        <v>6506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4443</v>
      </c>
      <c r="BX1996" s="2" t="s">
        <v>6425</v>
      </c>
      <c r="BY1996" s="2" t="s">
        <v>113</v>
      </c>
      <c r="BZ1996" s="2" t="s">
        <v>100</v>
      </c>
    </row>
    <row r="1997">
      <c r="A1997" s="2" t="s">
        <v>6507</v>
      </c>
      <c r="B1997" s="2" t="s">
        <v>5764</v>
      </c>
      <c r="C1997" s="2" t="s">
        <v>88</v>
      </c>
      <c r="D1997" s="2" t="s">
        <v>803</v>
      </c>
      <c r="E1997" s="2" t="s">
        <v>1532</v>
      </c>
      <c r="F1997" s="2" t="s">
        <v>1870</v>
      </c>
      <c r="G1997" s="2" t="s">
        <v>6503</v>
      </c>
      <c r="H1997" s="2" t="s">
        <v>6503</v>
      </c>
      <c r="I1997" s="2" t="s">
        <v>6504</v>
      </c>
      <c r="J1997" s="2" t="s">
        <v>270</v>
      </c>
      <c r="K1997" s="2" t="s">
        <v>913</v>
      </c>
      <c r="L1997" s="3">
        <v>55.2</v>
      </c>
      <c r="M1997" s="3">
        <v>57.96</v>
      </c>
      <c r="N1997" s="3">
        <v>119.99</v>
      </c>
      <c r="O1997" s="2" t="s">
        <v>97</v>
      </c>
      <c r="P1997" s="2" t="s">
        <v>119</v>
      </c>
      <c r="Q1997" s="2" t="s">
        <v>99</v>
      </c>
      <c r="R1997" s="2" t="s">
        <v>100</v>
      </c>
      <c r="S1997" s="2" t="s">
        <v>6505</v>
      </c>
      <c r="T1997" s="2" t="s">
        <v>4441</v>
      </c>
      <c r="U1997" s="2" t="s">
        <v>100</v>
      </c>
      <c r="V1997" s="2" t="s">
        <v>146</v>
      </c>
      <c r="W1997" s="2" t="s">
        <v>183</v>
      </c>
      <c r="X1997" s="2" t="s">
        <v>546</v>
      </c>
      <c r="Y1997" s="2" t="s">
        <v>240</v>
      </c>
      <c r="Z1997" s="4">
        <v>490</v>
      </c>
      <c r="AA1997" s="4">
        <f>=ROUNDDOWN(30.625,0)</f>
      </c>
      <c r="AB1997" s="5">
        <v>16</v>
      </c>
      <c r="AC1997" s="2" t="s">
        <v>356</v>
      </c>
      <c r="AD1997" s="4">
        <v>1160</v>
      </c>
      <c r="AE1997" s="4">
        <v>1350</v>
      </c>
      <c r="AF1997" s="6">
        <v>65</v>
      </c>
      <c r="AG1997" s="6"/>
      <c r="AH1997" s="7">
        <v>0.6524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274</v>
      </c>
      <c r="BK1997" s="8">
        <v>15850.44</v>
      </c>
      <c r="BL1997" s="2" t="s">
        <v>6508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4443</v>
      </c>
      <c r="BX1997" s="2" t="s">
        <v>6509</v>
      </c>
      <c r="BY1997" s="2" t="s">
        <v>113</v>
      </c>
      <c r="BZ1997" s="2" t="s">
        <v>100</v>
      </c>
    </row>
    <row r="1998">
      <c r="A1998" s="2" t="s">
        <v>6510</v>
      </c>
      <c r="B1998" s="2" t="s">
        <v>5764</v>
      </c>
      <c r="C1998" s="2" t="s">
        <v>88</v>
      </c>
      <c r="D1998" s="2" t="s">
        <v>803</v>
      </c>
      <c r="E1998" s="2" t="s">
        <v>1532</v>
      </c>
      <c r="F1998" s="2" t="s">
        <v>1870</v>
      </c>
      <c r="G1998" s="2" t="s">
        <v>6503</v>
      </c>
      <c r="H1998" s="2" t="s">
        <v>6503</v>
      </c>
      <c r="I1998" s="2" t="s">
        <v>6504</v>
      </c>
      <c r="J1998" s="2" t="s">
        <v>247</v>
      </c>
      <c r="K1998" s="2" t="s">
        <v>198</v>
      </c>
      <c r="L1998" s="3">
        <v>50.6</v>
      </c>
      <c r="M1998" s="3">
        <v>53.13</v>
      </c>
      <c r="N1998" s="3">
        <v>109.99</v>
      </c>
      <c r="O1998" s="2" t="s">
        <v>97</v>
      </c>
      <c r="P1998" s="2" t="s">
        <v>119</v>
      </c>
      <c r="Q1998" s="2" t="s">
        <v>99</v>
      </c>
      <c r="R1998" s="2" t="s">
        <v>100</v>
      </c>
      <c r="S1998" s="2" t="s">
        <v>6511</v>
      </c>
      <c r="T1998" s="2" t="s">
        <v>4441</v>
      </c>
      <c r="U1998" s="2" t="s">
        <v>100</v>
      </c>
      <c r="V1998" s="2" t="s">
        <v>146</v>
      </c>
      <c r="W1998" s="2" t="s">
        <v>183</v>
      </c>
      <c r="X1998" s="2" t="s">
        <v>546</v>
      </c>
      <c r="Y1998" s="2" t="s">
        <v>240</v>
      </c>
      <c r="Z1998" s="4">
        <v>588</v>
      </c>
      <c r="AA1998" s="4">
        <f>=ROUNDDOWN(28,0)</f>
      </c>
      <c r="AB1998" s="5">
        <v>21</v>
      </c>
      <c r="AC1998" s="2" t="s">
        <v>356</v>
      </c>
      <c r="AD1998" s="4">
        <v>1440</v>
      </c>
      <c r="AE1998" s="4">
        <v>1610</v>
      </c>
      <c r="AF1998" s="6">
        <v>65</v>
      </c>
      <c r="AG1998" s="6"/>
      <c r="AH1998" s="7">
        <v>0.6578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273</v>
      </c>
      <c r="BK1998" s="8">
        <v>14313.47</v>
      </c>
      <c r="BL1998" s="2" t="s">
        <v>1795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4443</v>
      </c>
      <c r="BX1998" s="2" t="s">
        <v>6512</v>
      </c>
      <c r="BY1998" s="2" t="s">
        <v>113</v>
      </c>
      <c r="BZ1998" s="2" t="s">
        <v>100</v>
      </c>
    </row>
    <row r="1999">
      <c r="A1999" s="2" t="s">
        <v>6513</v>
      </c>
      <c r="B1999" s="2" t="s">
        <v>5764</v>
      </c>
      <c r="C1999" s="2" t="s">
        <v>88</v>
      </c>
      <c r="D1999" s="2" t="s">
        <v>803</v>
      </c>
      <c r="E1999" s="2" t="s">
        <v>1532</v>
      </c>
      <c r="F1999" s="2" t="s">
        <v>1870</v>
      </c>
      <c r="G1999" s="2" t="s">
        <v>6503</v>
      </c>
      <c r="H1999" s="2" t="s">
        <v>6503</v>
      </c>
      <c r="I1999" s="2" t="s">
        <v>6504</v>
      </c>
      <c r="J1999" s="2" t="s">
        <v>270</v>
      </c>
      <c r="K1999" s="2" t="s">
        <v>198</v>
      </c>
      <c r="L1999" s="3">
        <v>55.2</v>
      </c>
      <c r="M1999" s="3">
        <v>57.96</v>
      </c>
      <c r="N1999" s="3">
        <v>119.99</v>
      </c>
      <c r="O1999" s="2" t="s">
        <v>97</v>
      </c>
      <c r="P1999" s="2" t="s">
        <v>119</v>
      </c>
      <c r="Q1999" s="2" t="s">
        <v>99</v>
      </c>
      <c r="R1999" s="2" t="s">
        <v>100</v>
      </c>
      <c r="S1999" s="2" t="s">
        <v>6511</v>
      </c>
      <c r="T1999" s="2" t="s">
        <v>4441</v>
      </c>
      <c r="U1999" s="2" t="s">
        <v>100</v>
      </c>
      <c r="V1999" s="2" t="s">
        <v>146</v>
      </c>
      <c r="W1999" s="2" t="s">
        <v>183</v>
      </c>
      <c r="X1999" s="2" t="s">
        <v>546</v>
      </c>
      <c r="Y1999" s="2" t="s">
        <v>240</v>
      </c>
      <c r="Z1999" s="4">
        <v>324</v>
      </c>
      <c r="AA1999" s="4">
        <f>=ROUNDDOWN(12.4615384615385,0)</f>
      </c>
      <c r="AB1999" s="5">
        <v>26</v>
      </c>
      <c r="AC1999" s="2" t="s">
        <v>184</v>
      </c>
      <c r="AD1999" s="4">
        <v>390</v>
      </c>
      <c r="AE1999" s="4">
        <v>650</v>
      </c>
      <c r="AF1999" s="6">
        <v>65</v>
      </c>
      <c r="AG1999" s="6"/>
      <c r="AH1999" s="7">
        <v>0.6578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353</v>
      </c>
      <c r="BK1999" s="8">
        <v>20450.08</v>
      </c>
      <c r="BL1999" s="2" t="s">
        <v>6514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4443</v>
      </c>
      <c r="BX1999" s="2" t="s">
        <v>2003</v>
      </c>
      <c r="BY1999" s="2" t="s">
        <v>113</v>
      </c>
      <c r="BZ1999" s="2" t="s">
        <v>100</v>
      </c>
    </row>
    <row r="2000">
      <c r="A2000" s="2" t="s">
        <v>6515</v>
      </c>
      <c r="B2000" s="2" t="s">
        <v>5764</v>
      </c>
      <c r="C2000" s="2" t="s">
        <v>88</v>
      </c>
      <c r="D2000" s="2" t="s">
        <v>803</v>
      </c>
      <c r="E2000" s="2" t="s">
        <v>1532</v>
      </c>
      <c r="F2000" s="2" t="s">
        <v>1870</v>
      </c>
      <c r="G2000" s="2" t="s">
        <v>6503</v>
      </c>
      <c r="H2000" s="2" t="s">
        <v>6503</v>
      </c>
      <c r="I2000" s="2" t="s">
        <v>6504</v>
      </c>
      <c r="J2000" s="2" t="s">
        <v>247</v>
      </c>
      <c r="K2000" s="2" t="s">
        <v>360</v>
      </c>
      <c r="L2000" s="3">
        <v>50.6</v>
      </c>
      <c r="M2000" s="3">
        <v>53.13</v>
      </c>
      <c r="N2000" s="3">
        <v>109.99</v>
      </c>
      <c r="O2000" s="2" t="s">
        <v>97</v>
      </c>
      <c r="P2000" s="2" t="s">
        <v>119</v>
      </c>
      <c r="Q2000" s="2" t="s">
        <v>99</v>
      </c>
      <c r="R2000" s="2" t="s">
        <v>100</v>
      </c>
      <c r="S2000" s="2" t="s">
        <v>6516</v>
      </c>
      <c r="T2000" s="2" t="s">
        <v>4441</v>
      </c>
      <c r="U2000" s="2" t="s">
        <v>100</v>
      </c>
      <c r="V2000" s="2" t="s">
        <v>146</v>
      </c>
      <c r="W2000" s="2" t="s">
        <v>183</v>
      </c>
      <c r="X2000" s="2" t="s">
        <v>546</v>
      </c>
      <c r="Y2000" s="2" t="s">
        <v>240</v>
      </c>
      <c r="Z2000" s="4">
        <v>478</v>
      </c>
      <c r="AA2000" s="4">
        <f>=ROUNDDOWN(33.1944444444444,0)</f>
      </c>
      <c r="AB2000" s="5">
        <v>14.4</v>
      </c>
      <c r="AC2000" s="2" t="s">
        <v>356</v>
      </c>
      <c r="AD2000" s="4">
        <v>1040</v>
      </c>
      <c r="AE2000" s="4">
        <v>1170</v>
      </c>
      <c r="AF2000" s="6">
        <v>65</v>
      </c>
      <c r="AG2000" s="6"/>
      <c r="AH2000" s="7">
        <v>0.6578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165</v>
      </c>
      <c r="BK2000" s="8">
        <v>8653.9</v>
      </c>
      <c r="BL2000" s="2" t="s">
        <v>6506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4443</v>
      </c>
      <c r="BX2000" s="2" t="s">
        <v>6517</v>
      </c>
      <c r="BY2000" s="2" t="s">
        <v>113</v>
      </c>
      <c r="BZ2000" s="2" t="s">
        <v>100</v>
      </c>
    </row>
    <row r="2001">
      <c r="A2001" s="2" t="s">
        <v>6518</v>
      </c>
      <c r="B2001" s="2" t="s">
        <v>5764</v>
      </c>
      <c r="C2001" s="2" t="s">
        <v>88</v>
      </c>
      <c r="D2001" s="2" t="s">
        <v>803</v>
      </c>
      <c r="E2001" s="2" t="s">
        <v>1532</v>
      </c>
      <c r="F2001" s="2" t="s">
        <v>1870</v>
      </c>
      <c r="G2001" s="2" t="s">
        <v>6503</v>
      </c>
      <c r="H2001" s="2" t="s">
        <v>6503</v>
      </c>
      <c r="I2001" s="2" t="s">
        <v>6504</v>
      </c>
      <c r="J2001" s="2" t="s">
        <v>270</v>
      </c>
      <c r="K2001" s="2" t="s">
        <v>360</v>
      </c>
      <c r="L2001" s="3">
        <v>55.2</v>
      </c>
      <c r="M2001" s="3">
        <v>57.96</v>
      </c>
      <c r="N2001" s="3">
        <v>119.99</v>
      </c>
      <c r="O2001" s="2" t="s">
        <v>97</v>
      </c>
      <c r="P2001" s="2" t="s">
        <v>119</v>
      </c>
      <c r="Q2001" s="2" t="s">
        <v>99</v>
      </c>
      <c r="R2001" s="2" t="s">
        <v>100</v>
      </c>
      <c r="S2001" s="2" t="s">
        <v>6516</v>
      </c>
      <c r="T2001" s="2" t="s">
        <v>4441</v>
      </c>
      <c r="U2001" s="2" t="s">
        <v>100</v>
      </c>
      <c r="V2001" s="2" t="s">
        <v>146</v>
      </c>
      <c r="W2001" s="2" t="s">
        <v>183</v>
      </c>
      <c r="X2001" s="2" t="s">
        <v>546</v>
      </c>
      <c r="Y2001" s="2" t="s">
        <v>240</v>
      </c>
      <c r="Z2001" s="4">
        <v>223</v>
      </c>
      <c r="AA2001" s="4">
        <f>=ROUNDDOWN(14.1139240506329,0)</f>
      </c>
      <c r="AB2001" s="5">
        <v>15.8</v>
      </c>
      <c r="AC2001" s="2" t="s">
        <v>184</v>
      </c>
      <c r="AD2001" s="4">
        <v>220</v>
      </c>
      <c r="AE2001" s="4">
        <v>380</v>
      </c>
      <c r="AF2001" s="6">
        <v>65</v>
      </c>
      <c r="AG2001" s="6"/>
      <c r="AH2001" s="7">
        <v>0.6578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174</v>
      </c>
      <c r="BK2001" s="8">
        <v>10151.92</v>
      </c>
      <c r="BL2001" s="2" t="s">
        <v>6514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4443</v>
      </c>
      <c r="BX2001" s="2" t="s">
        <v>6425</v>
      </c>
      <c r="BY2001" s="2" t="s">
        <v>113</v>
      </c>
      <c r="BZ2001" s="2" t="s">
        <v>100</v>
      </c>
    </row>
    <row r="2002">
      <c r="A2002" s="2" t="s">
        <v>6519</v>
      </c>
      <c r="B2002" s="2" t="s">
        <v>5764</v>
      </c>
      <c r="C2002" s="2" t="s">
        <v>88</v>
      </c>
      <c r="D2002" s="2" t="s">
        <v>803</v>
      </c>
      <c r="E2002" s="2" t="s">
        <v>1532</v>
      </c>
      <c r="F2002" s="2" t="s">
        <v>6520</v>
      </c>
      <c r="G2002" s="2" t="s">
        <v>6521</v>
      </c>
      <c r="H2002" s="2" t="s">
        <v>6521</v>
      </c>
      <c r="I2002" s="2" t="s">
        <v>6522</v>
      </c>
      <c r="J2002" s="2" t="s">
        <v>1936</v>
      </c>
      <c r="K2002" s="2" t="s">
        <v>913</v>
      </c>
      <c r="L2002" s="3">
        <v>47.61</v>
      </c>
      <c r="M2002" s="3">
        <v>49.99</v>
      </c>
      <c r="N2002" s="3">
        <v>99.99</v>
      </c>
      <c r="O2002" s="2" t="s">
        <v>97</v>
      </c>
      <c r="P2002" s="2" t="s">
        <v>225</v>
      </c>
      <c r="Q2002" s="2" t="s">
        <v>99</v>
      </c>
      <c r="R2002" s="2" t="s">
        <v>100</v>
      </c>
      <c r="S2002" s="2" t="s">
        <v>6523</v>
      </c>
      <c r="T2002" s="2" t="s">
        <v>6524</v>
      </c>
      <c r="U2002" s="2" t="s">
        <v>514</v>
      </c>
      <c r="V2002" s="2" t="s">
        <v>146</v>
      </c>
      <c r="W2002" s="2" t="s">
        <v>415</v>
      </c>
      <c r="X2002" s="2" t="s">
        <v>202</v>
      </c>
      <c r="Y2002" s="2" t="s">
        <v>5000</v>
      </c>
      <c r="Z2002" s="4">
        <v>112</v>
      </c>
      <c r="AA2002" s="4">
        <f>=ROUNDDOWN(22.4,0)</f>
      </c>
      <c r="AB2002" s="5">
        <v>5</v>
      </c>
      <c r="AC2002" s="2" t="s">
        <v>6525</v>
      </c>
      <c r="AD2002" s="4">
        <v>150</v>
      </c>
      <c r="AE2002" s="4">
        <v>150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8</v>
      </c>
      <c r="BK2002" s="8">
        <v>420.92</v>
      </c>
      <c r="BL2002" s="2" t="s">
        <v>6526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207</v>
      </c>
      <c r="BV2002" s="2" t="s">
        <v>97</v>
      </c>
      <c r="BW2002" s="2" t="s">
        <v>100</v>
      </c>
      <c r="BX2002" s="2" t="s">
        <v>100</v>
      </c>
      <c r="BY2002" s="2" t="s">
        <v>113</v>
      </c>
      <c r="BZ2002" s="2" t="s">
        <v>100</v>
      </c>
    </row>
    <row r="2003">
      <c r="A2003" s="2" t="s">
        <v>6527</v>
      </c>
      <c r="B2003" s="2" t="s">
        <v>5764</v>
      </c>
      <c r="C2003" s="2" t="s">
        <v>88</v>
      </c>
      <c r="D2003" s="2" t="s">
        <v>803</v>
      </c>
      <c r="E2003" s="2" t="s">
        <v>1532</v>
      </c>
      <c r="F2003" s="2" t="s">
        <v>6520</v>
      </c>
      <c r="G2003" s="2" t="s">
        <v>6521</v>
      </c>
      <c r="H2003" s="2" t="s">
        <v>6521</v>
      </c>
      <c r="I2003" s="2" t="s">
        <v>6522</v>
      </c>
      <c r="J2003" s="2" t="s">
        <v>247</v>
      </c>
      <c r="K2003" s="2" t="s">
        <v>913</v>
      </c>
      <c r="L2003" s="3">
        <v>61.9</v>
      </c>
      <c r="M2003" s="3">
        <v>65</v>
      </c>
      <c r="N2003" s="3">
        <v>129.99</v>
      </c>
      <c r="O2003" s="2" t="s">
        <v>97</v>
      </c>
      <c r="P2003" s="2" t="s">
        <v>225</v>
      </c>
      <c r="Q2003" s="2" t="s">
        <v>99</v>
      </c>
      <c r="R2003" s="2" t="s">
        <v>100</v>
      </c>
      <c r="S2003" s="2" t="s">
        <v>6523</v>
      </c>
      <c r="T2003" s="2" t="s">
        <v>6524</v>
      </c>
      <c r="U2003" s="2" t="s">
        <v>480</v>
      </c>
      <c r="V2003" s="2" t="s">
        <v>146</v>
      </c>
      <c r="W2003" s="2" t="s">
        <v>415</v>
      </c>
      <c r="X2003" s="2" t="s">
        <v>202</v>
      </c>
      <c r="Y2003" s="2" t="s">
        <v>5000</v>
      </c>
      <c r="Z2003" s="4">
        <v>263</v>
      </c>
      <c r="AA2003" s="4">
        <f>=ROUNDDOWN(26.3,0)</f>
      </c>
      <c r="AB2003" s="5">
        <v>10</v>
      </c>
      <c r="AC2003" s="2" t="s">
        <v>6525</v>
      </c>
      <c r="AD2003" s="4">
        <v>250</v>
      </c>
      <c r="AE2003" s="4">
        <v>250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37</v>
      </c>
      <c r="BK2003" s="8">
        <v>2596.62</v>
      </c>
      <c r="BL2003" s="2" t="s">
        <v>482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207</v>
      </c>
      <c r="BV2003" s="2" t="s">
        <v>97</v>
      </c>
      <c r="BW2003" s="2" t="s">
        <v>100</v>
      </c>
      <c r="BX2003" s="2" t="s">
        <v>100</v>
      </c>
      <c r="BY2003" s="2" t="s">
        <v>113</v>
      </c>
      <c r="BZ2003" s="2" t="s">
        <v>100</v>
      </c>
    </row>
    <row r="2004">
      <c r="A2004" s="2" t="s">
        <v>6528</v>
      </c>
      <c r="B2004" s="2" t="s">
        <v>5764</v>
      </c>
      <c r="C2004" s="2" t="s">
        <v>88</v>
      </c>
      <c r="D2004" s="2" t="s">
        <v>803</v>
      </c>
      <c r="E2004" s="2" t="s">
        <v>1532</v>
      </c>
      <c r="F2004" s="2" t="s">
        <v>6520</v>
      </c>
      <c r="G2004" s="2" t="s">
        <v>6521</v>
      </c>
      <c r="H2004" s="2" t="s">
        <v>6521</v>
      </c>
      <c r="I2004" s="2" t="s">
        <v>6522</v>
      </c>
      <c r="J2004" s="2" t="s">
        <v>714</v>
      </c>
      <c r="K2004" s="2" t="s">
        <v>913</v>
      </c>
      <c r="L2004" s="3">
        <v>71.42</v>
      </c>
      <c r="M2004" s="3">
        <v>74.99</v>
      </c>
      <c r="N2004" s="3">
        <v>149.99</v>
      </c>
      <c r="O2004" s="2" t="s">
        <v>97</v>
      </c>
      <c r="P2004" s="2" t="s">
        <v>225</v>
      </c>
      <c r="Q2004" s="2" t="s">
        <v>99</v>
      </c>
      <c r="R2004" s="2" t="s">
        <v>100</v>
      </c>
      <c r="S2004" s="2" t="s">
        <v>6523</v>
      </c>
      <c r="T2004" s="2" t="s">
        <v>6524</v>
      </c>
      <c r="U2004" s="2" t="s">
        <v>480</v>
      </c>
      <c r="V2004" s="2" t="s">
        <v>146</v>
      </c>
      <c r="W2004" s="2" t="s">
        <v>415</v>
      </c>
      <c r="X2004" s="2" t="s">
        <v>202</v>
      </c>
      <c r="Y2004" s="2" t="s">
        <v>5000</v>
      </c>
      <c r="Z2004" s="4">
        <v>330</v>
      </c>
      <c r="AA2004" s="4">
        <f>=ROUNDDOWN(47.1428571428571,0)</f>
      </c>
      <c r="AB2004" s="5">
        <v>7</v>
      </c>
      <c r="AC2004" s="2" t="s">
        <v>6525</v>
      </c>
      <c r="AD2004" s="4">
        <v>100</v>
      </c>
      <c r="AE2004" s="4">
        <v>100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39</v>
      </c>
      <c r="BK2004" s="8">
        <v>3149.61</v>
      </c>
      <c r="BL2004" s="2" t="s">
        <v>1210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207</v>
      </c>
      <c r="BV2004" s="2" t="s">
        <v>97</v>
      </c>
      <c r="BW2004" s="2" t="s">
        <v>100</v>
      </c>
      <c r="BX2004" s="2" t="s">
        <v>100</v>
      </c>
      <c r="BY2004" s="2" t="s">
        <v>113</v>
      </c>
      <c r="BZ2004" s="2" t="s">
        <v>100</v>
      </c>
    </row>
    <row r="2005">
      <c r="A2005" s="2" t="s">
        <v>6529</v>
      </c>
      <c r="B2005" s="2" t="s">
        <v>5764</v>
      </c>
      <c r="C2005" s="2" t="s">
        <v>88</v>
      </c>
      <c r="D2005" s="2" t="s">
        <v>803</v>
      </c>
      <c r="E2005" s="2" t="s">
        <v>1532</v>
      </c>
      <c r="F2005" s="2" t="s">
        <v>6530</v>
      </c>
      <c r="G2005" s="2" t="s">
        <v>6531</v>
      </c>
      <c r="H2005" s="2" t="s">
        <v>6531</v>
      </c>
      <c r="I2005" s="2" t="s">
        <v>2559</v>
      </c>
      <c r="J2005" s="2" t="s">
        <v>1936</v>
      </c>
      <c r="K2005" s="2" t="s">
        <v>198</v>
      </c>
      <c r="L2005" s="3">
        <v>28.57</v>
      </c>
      <c r="M2005" s="3">
        <v>30</v>
      </c>
      <c r="N2005" s="3">
        <v>59.99</v>
      </c>
      <c r="O2005" s="2" t="s">
        <v>97</v>
      </c>
      <c r="P2005" s="2" t="s">
        <v>225</v>
      </c>
      <c r="Q2005" s="2" t="s">
        <v>99</v>
      </c>
      <c r="R2005" s="2" t="s">
        <v>100</v>
      </c>
      <c r="S2005" s="2" t="s">
        <v>6532</v>
      </c>
      <c r="T2005" s="2" t="s">
        <v>200</v>
      </c>
      <c r="U2005" s="2" t="s">
        <v>514</v>
      </c>
      <c r="V2005" s="2" t="s">
        <v>146</v>
      </c>
      <c r="W2005" s="2" t="s">
        <v>183</v>
      </c>
      <c r="X2005" s="2" t="s">
        <v>415</v>
      </c>
      <c r="Y2005" s="2" t="s">
        <v>5724</v>
      </c>
      <c r="Z2005" s="4">
        <v>107</v>
      </c>
      <c r="AA2005" s="4">
        <f>=ROUNDDOWN(118.888888888889,0)</f>
      </c>
      <c r="AB2005" s="5">
        <v>0.9</v>
      </c>
      <c r="AC2005" s="2" t="s">
        <v>4745</v>
      </c>
      <c r="AD2005" s="4">
        <v>130</v>
      </c>
      <c r="AE2005" s="4">
        <v>180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10</v>
      </c>
      <c r="BK2005" s="8">
        <v>327.22</v>
      </c>
      <c r="BL2005" s="2" t="s">
        <v>6533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207</v>
      </c>
      <c r="BV2005" s="2" t="s">
        <v>97</v>
      </c>
      <c r="BW2005" s="2" t="s">
        <v>100</v>
      </c>
      <c r="BX2005" s="2" t="s">
        <v>100</v>
      </c>
      <c r="BY2005" s="2" t="s">
        <v>113</v>
      </c>
      <c r="BZ2005" s="2" t="s">
        <v>100</v>
      </c>
    </row>
    <row r="2006">
      <c r="A2006" s="2" t="s">
        <v>6534</v>
      </c>
      <c r="B2006" s="2" t="s">
        <v>5764</v>
      </c>
      <c r="C2006" s="2" t="s">
        <v>88</v>
      </c>
      <c r="D2006" s="2" t="s">
        <v>803</v>
      </c>
      <c r="E2006" s="2" t="s">
        <v>1532</v>
      </c>
      <c r="F2006" s="2" t="s">
        <v>6530</v>
      </c>
      <c r="G2006" s="2" t="s">
        <v>6531</v>
      </c>
      <c r="H2006" s="2" t="s">
        <v>6531</v>
      </c>
      <c r="I2006" s="2" t="s">
        <v>2559</v>
      </c>
      <c r="J2006" s="2" t="s">
        <v>247</v>
      </c>
      <c r="K2006" s="2" t="s">
        <v>198</v>
      </c>
      <c r="L2006" s="3">
        <v>33.33</v>
      </c>
      <c r="M2006" s="3">
        <v>35</v>
      </c>
      <c r="N2006" s="3">
        <v>69.99</v>
      </c>
      <c r="O2006" s="2" t="s">
        <v>97</v>
      </c>
      <c r="P2006" s="2" t="s">
        <v>225</v>
      </c>
      <c r="Q2006" s="2" t="s">
        <v>99</v>
      </c>
      <c r="R2006" s="2" t="s">
        <v>100</v>
      </c>
      <c r="S2006" s="2" t="s">
        <v>6532</v>
      </c>
      <c r="T2006" s="2" t="s">
        <v>200</v>
      </c>
      <c r="U2006" s="2" t="s">
        <v>480</v>
      </c>
      <c r="V2006" s="2" t="s">
        <v>146</v>
      </c>
      <c r="W2006" s="2" t="s">
        <v>183</v>
      </c>
      <c r="X2006" s="2" t="s">
        <v>415</v>
      </c>
      <c r="Y2006" s="2" t="s">
        <v>5724</v>
      </c>
      <c r="Z2006" s="4">
        <v>303</v>
      </c>
      <c r="AA2006" s="4">
        <f>=ROUNDDOWN(43.2857142857143,0)</f>
      </c>
      <c r="AB2006" s="5">
        <v>7</v>
      </c>
      <c r="AC2006" s="2" t="s">
        <v>4745</v>
      </c>
      <c r="AD2006" s="4">
        <v>250</v>
      </c>
      <c r="AE2006" s="4">
        <v>350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22</v>
      </c>
      <c r="BK2006" s="8">
        <v>839.56</v>
      </c>
      <c r="BL2006" s="2" t="s">
        <v>3806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207</v>
      </c>
      <c r="BV2006" s="2" t="s">
        <v>97</v>
      </c>
      <c r="BW2006" s="2" t="s">
        <v>100</v>
      </c>
      <c r="BX2006" s="2" t="s">
        <v>100</v>
      </c>
      <c r="BY2006" s="2" t="s">
        <v>113</v>
      </c>
      <c r="BZ2006" s="2" t="s">
        <v>100</v>
      </c>
    </row>
    <row r="2007">
      <c r="A2007" s="2" t="s">
        <v>6535</v>
      </c>
      <c r="B2007" s="2" t="s">
        <v>5764</v>
      </c>
      <c r="C2007" s="2" t="s">
        <v>88</v>
      </c>
      <c r="D2007" s="2" t="s">
        <v>803</v>
      </c>
      <c r="E2007" s="2" t="s">
        <v>1532</v>
      </c>
      <c r="F2007" s="2" t="s">
        <v>6530</v>
      </c>
      <c r="G2007" s="2" t="s">
        <v>6531</v>
      </c>
      <c r="H2007" s="2" t="s">
        <v>6531</v>
      </c>
      <c r="I2007" s="2" t="s">
        <v>2559</v>
      </c>
      <c r="J2007" s="2" t="s">
        <v>714</v>
      </c>
      <c r="K2007" s="2" t="s">
        <v>198</v>
      </c>
      <c r="L2007" s="3">
        <v>38.09</v>
      </c>
      <c r="M2007" s="3">
        <v>39.99</v>
      </c>
      <c r="N2007" s="3">
        <v>79.99</v>
      </c>
      <c r="O2007" s="2" t="s">
        <v>97</v>
      </c>
      <c r="P2007" s="2" t="s">
        <v>225</v>
      </c>
      <c r="Q2007" s="2" t="s">
        <v>99</v>
      </c>
      <c r="R2007" s="2" t="s">
        <v>100</v>
      </c>
      <c r="S2007" s="2" t="s">
        <v>6532</v>
      </c>
      <c r="T2007" s="2" t="s">
        <v>200</v>
      </c>
      <c r="U2007" s="2" t="s">
        <v>480</v>
      </c>
      <c r="V2007" s="2" t="s">
        <v>146</v>
      </c>
      <c r="W2007" s="2" t="s">
        <v>183</v>
      </c>
      <c r="X2007" s="2" t="s">
        <v>415</v>
      </c>
      <c r="Y2007" s="2" t="s">
        <v>5724</v>
      </c>
      <c r="Z2007" s="4">
        <v>287</v>
      </c>
      <c r="AA2007" s="4">
        <f>=ROUNDDOWN(41,0)</f>
      </c>
      <c r="AB2007" s="5">
        <v>7</v>
      </c>
      <c r="AC2007" s="2" t="s">
        <v>4745</v>
      </c>
      <c r="AD2007" s="4">
        <v>170</v>
      </c>
      <c r="AE2007" s="4">
        <v>270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20</v>
      </c>
      <c r="BK2007" s="8">
        <v>873.58</v>
      </c>
      <c r="BL2007" s="2" t="s">
        <v>6536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207</v>
      </c>
      <c r="BV2007" s="2" t="s">
        <v>97</v>
      </c>
      <c r="BW2007" s="2" t="s">
        <v>100</v>
      </c>
      <c r="BX2007" s="2" t="s">
        <v>100</v>
      </c>
      <c r="BY2007" s="2" t="s">
        <v>113</v>
      </c>
      <c r="BZ2007" s="2" t="s">
        <v>100</v>
      </c>
    </row>
    <row r="2008">
      <c r="A2008" s="2" t="s">
        <v>6537</v>
      </c>
      <c r="B2008" s="2" t="s">
        <v>5764</v>
      </c>
      <c r="C2008" s="2" t="s">
        <v>88</v>
      </c>
      <c r="D2008" s="2" t="s">
        <v>803</v>
      </c>
      <c r="E2008" s="2" t="s">
        <v>804</v>
      </c>
      <c r="F2008" s="2" t="s">
        <v>6067</v>
      </c>
      <c r="G2008" s="2" t="s">
        <v>6068</v>
      </c>
      <c r="H2008" s="2" t="s">
        <v>6068</v>
      </c>
      <c r="I2008" s="2" t="s">
        <v>6538</v>
      </c>
      <c r="J2008" s="2" t="s">
        <v>247</v>
      </c>
      <c r="K2008" s="2" t="s">
        <v>913</v>
      </c>
      <c r="L2008" s="3">
        <v>49.68</v>
      </c>
      <c r="M2008" s="3">
        <v>52.16</v>
      </c>
      <c r="N2008" s="3">
        <v>109.99</v>
      </c>
      <c r="O2008" s="2" t="s">
        <v>97</v>
      </c>
      <c r="P2008" s="2" t="s">
        <v>119</v>
      </c>
      <c r="Q2008" s="2" t="s">
        <v>99</v>
      </c>
      <c r="R2008" s="2" t="s">
        <v>100</v>
      </c>
      <c r="S2008" s="2" t="s">
        <v>6539</v>
      </c>
      <c r="T2008" s="2" t="s">
        <v>6072</v>
      </c>
      <c r="U2008" s="2" t="s">
        <v>100</v>
      </c>
      <c r="V2008" s="2" t="s">
        <v>2508</v>
      </c>
      <c r="W2008" s="2" t="s">
        <v>673</v>
      </c>
      <c r="X2008" s="2" t="s">
        <v>6540</v>
      </c>
      <c r="Y2008" s="2" t="s">
        <v>240</v>
      </c>
      <c r="Z2008" s="4">
        <v>448</v>
      </c>
      <c r="AA2008" s="4">
        <f>=ROUNDDOWN(49.7777777777778,0)</f>
      </c>
      <c r="AB2008" s="5">
        <v>9</v>
      </c>
      <c r="AC2008" s="2" t="s">
        <v>931</v>
      </c>
      <c r="AD2008" s="4">
        <v>200</v>
      </c>
      <c r="AE2008" s="4">
        <v>350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>
        <v>1</v>
      </c>
      <c r="AQ2008" s="8">
        <v>44.42</v>
      </c>
      <c r="AR2008" s="4"/>
      <c r="AS2008" s="8"/>
      <c r="AT2008" s="7"/>
      <c r="AU2008" s="7"/>
      <c r="AV2008" s="4">
        <v>1</v>
      </c>
      <c r="AW2008" s="8">
        <v>44.42</v>
      </c>
      <c r="AX2008" s="4"/>
      <c r="AY2008" s="8"/>
      <c r="AZ2008" s="7"/>
      <c r="BA2008" s="7"/>
      <c r="BB2008" s="7">
        <v>1</v>
      </c>
      <c r="BC2008" s="4">
        <v>1</v>
      </c>
      <c r="BD2008" s="8">
        <v>44.42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1</v>
      </c>
      <c r="BJ2008" s="4">
        <v>137</v>
      </c>
      <c r="BK2008" s="8">
        <v>7258.6</v>
      </c>
      <c r="BL2008" s="2" t="s">
        <v>6541</v>
      </c>
      <c r="BM2008" s="7">
        <v>0.0073</v>
      </c>
      <c r="BN2008" s="7">
        <v>0.0061</v>
      </c>
      <c r="BO2008" s="4">
        <v>1</v>
      </c>
      <c r="BP2008" s="8">
        <v>44.42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4443</v>
      </c>
      <c r="BX2008" s="2" t="s">
        <v>2003</v>
      </c>
      <c r="BY2008" s="2" t="s">
        <v>113</v>
      </c>
      <c r="BZ2008" s="2" t="s">
        <v>100</v>
      </c>
    </row>
    <row r="2009">
      <c r="A2009" s="2" t="s">
        <v>6542</v>
      </c>
      <c r="B2009" s="2" t="s">
        <v>5764</v>
      </c>
      <c r="C2009" s="2" t="s">
        <v>88</v>
      </c>
      <c r="D2009" s="2" t="s">
        <v>803</v>
      </c>
      <c r="E2009" s="2" t="s">
        <v>804</v>
      </c>
      <c r="F2009" s="2" t="s">
        <v>6067</v>
      </c>
      <c r="G2009" s="2" t="s">
        <v>6068</v>
      </c>
      <c r="H2009" s="2" t="s">
        <v>6068</v>
      </c>
      <c r="I2009" s="2" t="s">
        <v>6538</v>
      </c>
      <c r="J2009" s="2" t="s">
        <v>247</v>
      </c>
      <c r="K2009" s="2" t="s">
        <v>1952</v>
      </c>
      <c r="L2009" s="3">
        <v>49.68</v>
      </c>
      <c r="M2009" s="3">
        <v>52.16</v>
      </c>
      <c r="N2009" s="3">
        <v>109.99</v>
      </c>
      <c r="O2009" s="2" t="s">
        <v>97</v>
      </c>
      <c r="P2009" s="2" t="s">
        <v>119</v>
      </c>
      <c r="Q2009" s="2" t="s">
        <v>99</v>
      </c>
      <c r="R2009" s="2" t="s">
        <v>100</v>
      </c>
      <c r="S2009" s="2" t="s">
        <v>6543</v>
      </c>
      <c r="T2009" s="2" t="s">
        <v>6072</v>
      </c>
      <c r="U2009" s="2" t="s">
        <v>402</v>
      </c>
      <c r="V2009" s="2" t="s">
        <v>2508</v>
      </c>
      <c r="W2009" s="2" t="s">
        <v>673</v>
      </c>
      <c r="X2009" s="2" t="s">
        <v>561</v>
      </c>
      <c r="Y2009" s="2" t="s">
        <v>6468</v>
      </c>
      <c r="Z2009" s="4">
        <v>357</v>
      </c>
      <c r="AA2009" s="4">
        <f>=ROUNDDOWN(59.5,0)</f>
      </c>
      <c r="AB2009" s="5">
        <v>6</v>
      </c>
      <c r="AC2009" s="2" t="s">
        <v>340</v>
      </c>
      <c r="AD2009" s="4">
        <v>120</v>
      </c>
      <c r="AE2009" s="4">
        <v>200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94</v>
      </c>
      <c r="BK2009" s="8">
        <v>4849.41</v>
      </c>
      <c r="BL2009" s="2" t="s">
        <v>6544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186</v>
      </c>
      <c r="BV2009" s="2" t="s">
        <v>97</v>
      </c>
      <c r="BW2009" s="2" t="s">
        <v>100</v>
      </c>
      <c r="BX2009" s="2" t="s">
        <v>100</v>
      </c>
      <c r="BY2009" s="2" t="s">
        <v>113</v>
      </c>
      <c r="BZ2009" s="2" t="s">
        <v>100</v>
      </c>
    </row>
    <row r="2010">
      <c r="A2010" s="2" t="s">
        <v>6545</v>
      </c>
      <c r="B2010" s="2" t="s">
        <v>5764</v>
      </c>
      <c r="C2010" s="2" t="s">
        <v>88</v>
      </c>
      <c r="D2010" s="2" t="s">
        <v>803</v>
      </c>
      <c r="E2010" s="2" t="s">
        <v>804</v>
      </c>
      <c r="F2010" s="2" t="s">
        <v>6067</v>
      </c>
      <c r="G2010" s="2" t="s">
        <v>6068</v>
      </c>
      <c r="H2010" s="2" t="s">
        <v>6068</v>
      </c>
      <c r="I2010" s="2" t="s">
        <v>6538</v>
      </c>
      <c r="J2010" s="2" t="s">
        <v>714</v>
      </c>
      <c r="K2010" s="2" t="s">
        <v>1952</v>
      </c>
      <c r="L2010" s="3">
        <v>57.13</v>
      </c>
      <c r="M2010" s="3">
        <v>59.99</v>
      </c>
      <c r="N2010" s="3">
        <v>124.99</v>
      </c>
      <c r="O2010" s="2" t="s">
        <v>97</v>
      </c>
      <c r="P2010" s="2" t="s">
        <v>119</v>
      </c>
      <c r="Q2010" s="2" t="s">
        <v>99</v>
      </c>
      <c r="R2010" s="2" t="s">
        <v>100</v>
      </c>
      <c r="S2010" s="2" t="s">
        <v>6543</v>
      </c>
      <c r="T2010" s="2" t="s">
        <v>6072</v>
      </c>
      <c r="U2010" s="2" t="s">
        <v>402</v>
      </c>
      <c r="V2010" s="2" t="s">
        <v>2508</v>
      </c>
      <c r="W2010" s="2" t="s">
        <v>673</v>
      </c>
      <c r="X2010" s="2" t="s">
        <v>561</v>
      </c>
      <c r="Y2010" s="2" t="s">
        <v>6468</v>
      </c>
      <c r="Z2010" s="4">
        <v>507</v>
      </c>
      <c r="AA2010" s="4">
        <f>=ROUNDDOWN(50.7,0)</f>
      </c>
      <c r="AB2010" s="5">
        <v>10</v>
      </c>
      <c r="AC2010" s="2" t="s">
        <v>340</v>
      </c>
      <c r="AD2010" s="4">
        <v>200</v>
      </c>
      <c r="AE2010" s="4">
        <v>300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190</v>
      </c>
      <c r="BK2010" s="8">
        <v>11062.17</v>
      </c>
      <c r="BL2010" s="2" t="s">
        <v>6546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186</v>
      </c>
      <c r="BV2010" s="2" t="s">
        <v>97</v>
      </c>
      <c r="BW2010" s="2" t="s">
        <v>100</v>
      </c>
      <c r="BX2010" s="2" t="s">
        <v>100</v>
      </c>
      <c r="BY2010" s="2" t="s">
        <v>113</v>
      </c>
      <c r="BZ2010" s="2" t="s">
        <v>100</v>
      </c>
    </row>
    <row r="2011">
      <c r="A2011" s="2" t="s">
        <v>6547</v>
      </c>
      <c r="B2011" s="2" t="s">
        <v>5764</v>
      </c>
      <c r="C2011" s="2" t="s">
        <v>88</v>
      </c>
      <c r="D2011" s="2" t="s">
        <v>803</v>
      </c>
      <c r="E2011" s="2" t="s">
        <v>804</v>
      </c>
      <c r="F2011" s="2" t="s">
        <v>6067</v>
      </c>
      <c r="G2011" s="2" t="s">
        <v>6068</v>
      </c>
      <c r="H2011" s="2" t="s">
        <v>6068</v>
      </c>
      <c r="I2011" s="2" t="s">
        <v>6538</v>
      </c>
      <c r="J2011" s="2" t="s">
        <v>247</v>
      </c>
      <c r="K2011" s="2" t="s">
        <v>198</v>
      </c>
      <c r="L2011" s="3">
        <v>49.68</v>
      </c>
      <c r="M2011" s="3">
        <v>52.16</v>
      </c>
      <c r="N2011" s="3">
        <v>109.99</v>
      </c>
      <c r="O2011" s="2" t="s">
        <v>97</v>
      </c>
      <c r="P2011" s="2" t="s">
        <v>119</v>
      </c>
      <c r="Q2011" s="2" t="s">
        <v>99</v>
      </c>
      <c r="R2011" s="2" t="s">
        <v>100</v>
      </c>
      <c r="S2011" s="2" t="s">
        <v>6548</v>
      </c>
      <c r="T2011" s="2" t="s">
        <v>6072</v>
      </c>
      <c r="U2011" s="2" t="s">
        <v>100</v>
      </c>
      <c r="V2011" s="2" t="s">
        <v>2508</v>
      </c>
      <c r="W2011" s="2" t="s">
        <v>673</v>
      </c>
      <c r="X2011" s="2" t="s">
        <v>6540</v>
      </c>
      <c r="Y2011" s="2" t="s">
        <v>240</v>
      </c>
      <c r="Z2011" s="4">
        <v>712</v>
      </c>
      <c r="AA2011" s="4">
        <f>=ROUNDDOWN(71.2,0)</f>
      </c>
      <c r="AB2011" s="5">
        <v>10</v>
      </c>
      <c r="AC2011" s="2" t="s">
        <v>872</v>
      </c>
      <c r="AD2011" s="4">
        <v>80</v>
      </c>
      <c r="AE2011" s="4">
        <v>480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167</v>
      </c>
      <c r="BK2011" s="8">
        <v>8584.4</v>
      </c>
      <c r="BL2011" s="2" t="s">
        <v>6549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4443</v>
      </c>
      <c r="BX2011" s="2" t="s">
        <v>6550</v>
      </c>
      <c r="BY2011" s="2" t="s">
        <v>113</v>
      </c>
      <c r="BZ2011" s="2" t="s">
        <v>100</v>
      </c>
    </row>
    <row r="2012">
      <c r="A2012" s="2" t="s">
        <v>6551</v>
      </c>
      <c r="B2012" s="2" t="s">
        <v>5764</v>
      </c>
      <c r="C2012" s="2" t="s">
        <v>88</v>
      </c>
      <c r="D2012" s="2" t="s">
        <v>803</v>
      </c>
      <c r="E2012" s="2" t="s">
        <v>804</v>
      </c>
      <c r="F2012" s="2" t="s">
        <v>6067</v>
      </c>
      <c r="G2012" s="2" t="s">
        <v>6068</v>
      </c>
      <c r="H2012" s="2" t="s">
        <v>6068</v>
      </c>
      <c r="I2012" s="2" t="s">
        <v>6538</v>
      </c>
      <c r="J2012" s="2" t="s">
        <v>714</v>
      </c>
      <c r="K2012" s="2" t="s">
        <v>198</v>
      </c>
      <c r="L2012" s="3">
        <v>57.13</v>
      </c>
      <c r="M2012" s="3">
        <v>59.99</v>
      </c>
      <c r="N2012" s="3">
        <v>124.99</v>
      </c>
      <c r="O2012" s="2" t="s">
        <v>97</v>
      </c>
      <c r="P2012" s="2" t="s">
        <v>119</v>
      </c>
      <c r="Q2012" s="2" t="s">
        <v>99</v>
      </c>
      <c r="R2012" s="2" t="s">
        <v>100</v>
      </c>
      <c r="S2012" s="2" t="s">
        <v>6548</v>
      </c>
      <c r="T2012" s="2" t="s">
        <v>6072</v>
      </c>
      <c r="U2012" s="2" t="s">
        <v>100</v>
      </c>
      <c r="V2012" s="2" t="s">
        <v>2508</v>
      </c>
      <c r="W2012" s="2" t="s">
        <v>673</v>
      </c>
      <c r="X2012" s="2" t="s">
        <v>6540</v>
      </c>
      <c r="Y2012" s="2" t="s">
        <v>240</v>
      </c>
      <c r="Z2012" s="4">
        <v>773</v>
      </c>
      <c r="AA2012" s="4">
        <f>=ROUNDDOWN(64.4166666666667,0)</f>
      </c>
      <c r="AB2012" s="5">
        <v>12</v>
      </c>
      <c r="AC2012" s="2" t="s">
        <v>872</v>
      </c>
      <c r="AD2012" s="4">
        <v>120</v>
      </c>
      <c r="AE2012" s="4">
        <v>540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269</v>
      </c>
      <c r="BK2012" s="8">
        <v>15767.42</v>
      </c>
      <c r="BL2012" s="2" t="s">
        <v>6552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4443</v>
      </c>
      <c r="BX2012" s="2" t="s">
        <v>6553</v>
      </c>
      <c r="BY2012" s="2" t="s">
        <v>113</v>
      </c>
      <c r="BZ2012" s="2" t="s">
        <v>100</v>
      </c>
    </row>
    <row r="2013">
      <c r="A2013" s="2" t="s">
        <v>6554</v>
      </c>
      <c r="B2013" s="2" t="s">
        <v>5764</v>
      </c>
      <c r="C2013" s="2" t="s">
        <v>88</v>
      </c>
      <c r="D2013" s="2" t="s">
        <v>803</v>
      </c>
      <c r="E2013" s="2" t="s">
        <v>804</v>
      </c>
      <c r="F2013" s="2" t="s">
        <v>6067</v>
      </c>
      <c r="G2013" s="2" t="s">
        <v>6068</v>
      </c>
      <c r="H2013" s="2" t="s">
        <v>6068</v>
      </c>
      <c r="I2013" s="2" t="s">
        <v>6538</v>
      </c>
      <c r="J2013" s="2" t="s">
        <v>247</v>
      </c>
      <c r="K2013" s="2" t="s">
        <v>6555</v>
      </c>
      <c r="L2013" s="3">
        <v>49.68</v>
      </c>
      <c r="M2013" s="3">
        <v>52.16</v>
      </c>
      <c r="N2013" s="3">
        <v>109.99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6556</v>
      </c>
      <c r="T2013" s="2" t="s">
        <v>6072</v>
      </c>
      <c r="U2013" s="2" t="s">
        <v>402</v>
      </c>
      <c r="V2013" s="2" t="s">
        <v>2508</v>
      </c>
      <c r="W2013" s="2" t="s">
        <v>673</v>
      </c>
      <c r="X2013" s="2" t="s">
        <v>561</v>
      </c>
      <c r="Y2013" s="2" t="s">
        <v>6471</v>
      </c>
      <c r="Z2013" s="4">
        <v>652</v>
      </c>
      <c r="AA2013" s="4">
        <f>=ROUNDDOWN(50.1538461538462,0)</f>
      </c>
      <c r="AB2013" s="5">
        <v>13</v>
      </c>
      <c r="AC2013" s="2" t="s">
        <v>872</v>
      </c>
      <c r="AD2013" s="4">
        <v>200</v>
      </c>
      <c r="AE2013" s="4">
        <v>626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349</v>
      </c>
      <c r="BK2013" s="8">
        <v>18236</v>
      </c>
      <c r="BL2013" s="2" t="s">
        <v>6557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186</v>
      </c>
      <c r="BV2013" s="2" t="s">
        <v>97</v>
      </c>
      <c r="BW2013" s="2" t="s">
        <v>100</v>
      </c>
      <c r="BX2013" s="2" t="s">
        <v>100</v>
      </c>
      <c r="BY2013" s="2" t="s">
        <v>113</v>
      </c>
      <c r="BZ2013" s="2" t="s">
        <v>100</v>
      </c>
    </row>
    <row r="2014">
      <c r="A2014" s="2" t="s">
        <v>6558</v>
      </c>
      <c r="B2014" s="2" t="s">
        <v>5764</v>
      </c>
      <c r="C2014" s="2" t="s">
        <v>88</v>
      </c>
      <c r="D2014" s="2" t="s">
        <v>803</v>
      </c>
      <c r="E2014" s="2" t="s">
        <v>804</v>
      </c>
      <c r="F2014" s="2" t="s">
        <v>6067</v>
      </c>
      <c r="G2014" s="2" t="s">
        <v>6068</v>
      </c>
      <c r="H2014" s="2" t="s">
        <v>6068</v>
      </c>
      <c r="I2014" s="2" t="s">
        <v>6538</v>
      </c>
      <c r="J2014" s="2" t="s">
        <v>714</v>
      </c>
      <c r="K2014" s="2" t="s">
        <v>6555</v>
      </c>
      <c r="L2014" s="3">
        <v>57.13</v>
      </c>
      <c r="M2014" s="3">
        <v>59.99</v>
      </c>
      <c r="N2014" s="3">
        <v>124.99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6556</v>
      </c>
      <c r="T2014" s="2" t="s">
        <v>6072</v>
      </c>
      <c r="U2014" s="2" t="s">
        <v>402</v>
      </c>
      <c r="V2014" s="2" t="s">
        <v>2508</v>
      </c>
      <c r="W2014" s="2" t="s">
        <v>673</v>
      </c>
      <c r="X2014" s="2" t="s">
        <v>561</v>
      </c>
      <c r="Y2014" s="2" t="s">
        <v>6471</v>
      </c>
      <c r="Z2014" s="4">
        <v>885</v>
      </c>
      <c r="AA2014" s="4">
        <f>=ROUNDDOWN(44.0298507462687,0)</f>
      </c>
      <c r="AB2014" s="5">
        <v>20.1</v>
      </c>
      <c r="AC2014" s="2" t="s">
        <v>872</v>
      </c>
      <c r="AD2014" s="4">
        <v>350</v>
      </c>
      <c r="AE2014" s="4">
        <v>816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 t="s">
        <v>100</v>
      </c>
      <c r="BJ2014" s="4">
        <v>618</v>
      </c>
      <c r="BK2014" s="8">
        <v>36559.28</v>
      </c>
      <c r="BL2014" s="2" t="s">
        <v>6546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186</v>
      </c>
      <c r="BV2014" s="2" t="s">
        <v>97</v>
      </c>
      <c r="BW2014" s="2" t="s">
        <v>100</v>
      </c>
      <c r="BX2014" s="2" t="s">
        <v>100</v>
      </c>
      <c r="BY2014" s="2" t="s">
        <v>113</v>
      </c>
      <c r="BZ2014" s="2" t="s">
        <v>100</v>
      </c>
    </row>
    <row r="2015">
      <c r="A2015" s="2" t="s">
        <v>6559</v>
      </c>
      <c r="B2015" s="2" t="s">
        <v>5764</v>
      </c>
      <c r="C2015" s="2" t="s">
        <v>88</v>
      </c>
      <c r="D2015" s="2" t="s">
        <v>803</v>
      </c>
      <c r="E2015" s="2" t="s">
        <v>804</v>
      </c>
      <c r="F2015" s="2" t="s">
        <v>6067</v>
      </c>
      <c r="G2015" s="2" t="s">
        <v>6068</v>
      </c>
      <c r="H2015" s="2" t="s">
        <v>6068</v>
      </c>
      <c r="I2015" s="2" t="s">
        <v>6538</v>
      </c>
      <c r="J2015" s="2" t="s">
        <v>247</v>
      </c>
      <c r="K2015" s="2" t="s">
        <v>1172</v>
      </c>
      <c r="L2015" s="3">
        <v>49.68</v>
      </c>
      <c r="M2015" s="3">
        <v>52.16</v>
      </c>
      <c r="N2015" s="3">
        <v>109.99</v>
      </c>
      <c r="O2015" s="2" t="s">
        <v>97</v>
      </c>
      <c r="P2015" s="2" t="s">
        <v>119</v>
      </c>
      <c r="Q2015" s="2" t="s">
        <v>99</v>
      </c>
      <c r="R2015" s="2" t="s">
        <v>100</v>
      </c>
      <c r="S2015" s="2" t="s">
        <v>6560</v>
      </c>
      <c r="T2015" s="2" t="s">
        <v>6072</v>
      </c>
      <c r="U2015" s="2" t="s">
        <v>100</v>
      </c>
      <c r="V2015" s="2" t="s">
        <v>2508</v>
      </c>
      <c r="W2015" s="2" t="s">
        <v>673</v>
      </c>
      <c r="X2015" s="2" t="s">
        <v>6540</v>
      </c>
      <c r="Y2015" s="2" t="s">
        <v>240</v>
      </c>
      <c r="Z2015" s="4">
        <v>350</v>
      </c>
      <c r="AA2015" s="4">
        <f>=ROUNDDOWN(87.5,0)</f>
      </c>
      <c r="AB2015" s="5">
        <v>4</v>
      </c>
      <c r="AC2015" s="2" t="s">
        <v>100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85</v>
      </c>
      <c r="BK2015" s="8">
        <v>4494.66</v>
      </c>
      <c r="BL2015" s="2" t="s">
        <v>6561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4443</v>
      </c>
      <c r="BX2015" s="2" t="s">
        <v>6550</v>
      </c>
      <c r="BY2015" s="2" t="s">
        <v>113</v>
      </c>
      <c r="BZ2015" s="2" t="s">
        <v>100</v>
      </c>
    </row>
    <row r="2016">
      <c r="A2016" s="2" t="s">
        <v>6562</v>
      </c>
      <c r="B2016" s="2" t="s">
        <v>5764</v>
      </c>
      <c r="C2016" s="2" t="s">
        <v>88</v>
      </c>
      <c r="D2016" s="2" t="s">
        <v>803</v>
      </c>
      <c r="E2016" s="2" t="s">
        <v>804</v>
      </c>
      <c r="F2016" s="2" t="s">
        <v>6067</v>
      </c>
      <c r="G2016" s="2" t="s">
        <v>6068</v>
      </c>
      <c r="H2016" s="2" t="s">
        <v>6068</v>
      </c>
      <c r="I2016" s="2" t="s">
        <v>6538</v>
      </c>
      <c r="J2016" s="2" t="s">
        <v>714</v>
      </c>
      <c r="K2016" s="2" t="s">
        <v>1172</v>
      </c>
      <c r="L2016" s="3">
        <v>57.13</v>
      </c>
      <c r="M2016" s="3">
        <v>59.99</v>
      </c>
      <c r="N2016" s="3">
        <v>124.99</v>
      </c>
      <c r="O2016" s="2" t="s">
        <v>97</v>
      </c>
      <c r="P2016" s="2" t="s">
        <v>119</v>
      </c>
      <c r="Q2016" s="2" t="s">
        <v>99</v>
      </c>
      <c r="R2016" s="2" t="s">
        <v>100</v>
      </c>
      <c r="S2016" s="2" t="s">
        <v>6560</v>
      </c>
      <c r="T2016" s="2" t="s">
        <v>6072</v>
      </c>
      <c r="U2016" s="2" t="s">
        <v>402</v>
      </c>
      <c r="V2016" s="2" t="s">
        <v>2508</v>
      </c>
      <c r="W2016" s="2" t="s">
        <v>673</v>
      </c>
      <c r="X2016" s="2" t="s">
        <v>6540</v>
      </c>
      <c r="Y2016" s="2" t="s">
        <v>240</v>
      </c>
      <c r="Z2016" s="4">
        <v>492</v>
      </c>
      <c r="AA2016" s="4">
        <f>=ROUNDDOWN(61.5,0)</f>
      </c>
      <c r="AB2016" s="5">
        <v>8</v>
      </c>
      <c r="AC2016" s="2" t="s">
        <v>872</v>
      </c>
      <c r="AD2016" s="4">
        <v>100</v>
      </c>
      <c r="AE2016" s="4">
        <v>100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179</v>
      </c>
      <c r="BK2016" s="8">
        <v>10573.04</v>
      </c>
      <c r="BL2016" s="2" t="s">
        <v>6563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4443</v>
      </c>
      <c r="BX2016" s="2" t="s">
        <v>6425</v>
      </c>
      <c r="BY2016" s="2" t="s">
        <v>113</v>
      </c>
      <c r="BZ2016" s="2" t="s">
        <v>100</v>
      </c>
    </row>
    <row r="2017">
      <c r="A2017" s="2" t="s">
        <v>6564</v>
      </c>
      <c r="B2017" s="2" t="s">
        <v>5764</v>
      </c>
      <c r="C2017" s="2" t="s">
        <v>88</v>
      </c>
      <c r="D2017" s="2" t="s">
        <v>1842</v>
      </c>
      <c r="E2017" s="2" t="s">
        <v>6020</v>
      </c>
      <c r="F2017" s="2" t="s">
        <v>6565</v>
      </c>
      <c r="G2017" s="2" t="s">
        <v>2985</v>
      </c>
      <c r="H2017" s="2" t="s">
        <v>2985</v>
      </c>
      <c r="I2017" s="2" t="s">
        <v>6566</v>
      </c>
      <c r="J2017" s="2" t="s">
        <v>5024</v>
      </c>
      <c r="K2017" s="2" t="s">
        <v>432</v>
      </c>
      <c r="L2017" s="3">
        <v>17.86</v>
      </c>
      <c r="M2017" s="3">
        <v>18.75</v>
      </c>
      <c r="N2017" s="3">
        <v>39.99</v>
      </c>
      <c r="O2017" s="2" t="s">
        <v>97</v>
      </c>
      <c r="P2017" s="2" t="s">
        <v>119</v>
      </c>
      <c r="Q2017" s="2" t="s">
        <v>99</v>
      </c>
      <c r="R2017" s="2" t="s">
        <v>100</v>
      </c>
      <c r="S2017" s="2" t="s">
        <v>6567</v>
      </c>
      <c r="T2017" s="2" t="s">
        <v>100</v>
      </c>
      <c r="U2017" s="2" t="s">
        <v>1847</v>
      </c>
      <c r="V2017" s="2" t="s">
        <v>1150</v>
      </c>
      <c r="W2017" s="2" t="s">
        <v>3013</v>
      </c>
      <c r="X2017" s="2" t="s">
        <v>100</v>
      </c>
      <c r="Y2017" s="2" t="s">
        <v>6568</v>
      </c>
      <c r="Z2017" s="4">
        <v>1046</v>
      </c>
      <c r="AA2017" s="4">
        <f>=ROUNDDOWN(69.7333333333333,0)</f>
      </c>
      <c r="AB2017" s="5">
        <v>15</v>
      </c>
      <c r="AC2017" s="2" t="s">
        <v>6495</v>
      </c>
      <c r="AD2017" s="4">
        <v>489</v>
      </c>
      <c r="AE2017" s="4">
        <v>489</v>
      </c>
      <c r="AF2017" s="6">
        <v>69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>
        <v>22</v>
      </c>
      <c r="AQ2017" s="8">
        <v>392.92</v>
      </c>
      <c r="AR2017" s="4"/>
      <c r="AS2017" s="8"/>
      <c r="AT2017" s="7"/>
      <c r="AU2017" s="7"/>
      <c r="AV2017" s="4">
        <v>22</v>
      </c>
      <c r="AW2017" s="8">
        <v>392.92</v>
      </c>
      <c r="AX2017" s="4"/>
      <c r="AY2017" s="8"/>
      <c r="AZ2017" s="7"/>
      <c r="BA2017" s="7"/>
      <c r="BB2017" s="7">
        <v>1</v>
      </c>
      <c r="BC2017" s="4">
        <v>24</v>
      </c>
      <c r="BD2017" s="8">
        <v>428.64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0.9167</v>
      </c>
      <c r="BJ2017" s="4">
        <v>549</v>
      </c>
      <c r="BK2017" s="8">
        <v>10860.35</v>
      </c>
      <c r="BL2017" s="2" t="s">
        <v>6569</v>
      </c>
      <c r="BM2017" s="7">
        <v>0.0401</v>
      </c>
      <c r="BN2017" s="7">
        <v>0.0362</v>
      </c>
      <c r="BO2017" s="4">
        <v>22</v>
      </c>
      <c r="BP2017" s="8">
        <v>392.92</v>
      </c>
      <c r="BQ2017" s="4"/>
      <c r="BR2017" s="8"/>
      <c r="BS2017" s="7"/>
      <c r="BT2017" s="7"/>
      <c r="BU2017" s="2" t="s">
        <v>109</v>
      </c>
      <c r="BV2017" s="2" t="s">
        <v>110</v>
      </c>
      <c r="BW2017" s="2" t="s">
        <v>6570</v>
      </c>
      <c r="BX2017" s="2" t="s">
        <v>6571</v>
      </c>
      <c r="BY2017" s="2" t="s">
        <v>113</v>
      </c>
      <c r="BZ2017" s="2" t="s">
        <v>100</v>
      </c>
    </row>
    <row r="2018">
      <c r="A2018" s="2" t="s">
        <v>6572</v>
      </c>
      <c r="B2018" s="2" t="s">
        <v>5764</v>
      </c>
      <c r="C2018" s="2" t="s">
        <v>88</v>
      </c>
      <c r="D2018" s="2" t="s">
        <v>1842</v>
      </c>
      <c r="E2018" s="2" t="s">
        <v>6020</v>
      </c>
      <c r="F2018" s="2" t="s">
        <v>6565</v>
      </c>
      <c r="G2018" s="2" t="s">
        <v>2985</v>
      </c>
      <c r="H2018" s="2" t="s">
        <v>2985</v>
      </c>
      <c r="I2018" s="2" t="s">
        <v>6566</v>
      </c>
      <c r="J2018" s="2" t="s">
        <v>5024</v>
      </c>
      <c r="K2018" s="2" t="s">
        <v>198</v>
      </c>
      <c r="L2018" s="3">
        <v>17.86</v>
      </c>
      <c r="M2018" s="3">
        <v>18.75</v>
      </c>
      <c r="N2018" s="3">
        <v>39.99</v>
      </c>
      <c r="O2018" s="2" t="s">
        <v>97</v>
      </c>
      <c r="P2018" s="2" t="s">
        <v>119</v>
      </c>
      <c r="Q2018" s="2" t="s">
        <v>99</v>
      </c>
      <c r="R2018" s="2" t="s">
        <v>100</v>
      </c>
      <c r="S2018" s="2" t="s">
        <v>6567</v>
      </c>
      <c r="T2018" s="2" t="s">
        <v>100</v>
      </c>
      <c r="U2018" s="2" t="s">
        <v>1847</v>
      </c>
      <c r="V2018" s="2" t="s">
        <v>1150</v>
      </c>
      <c r="W2018" s="2" t="s">
        <v>3013</v>
      </c>
      <c r="X2018" s="2" t="s">
        <v>100</v>
      </c>
      <c r="Y2018" s="2" t="s">
        <v>6568</v>
      </c>
      <c r="Z2018" s="4">
        <v>670</v>
      </c>
      <c r="AA2018" s="4">
        <f>=ROUNDDOWN(74.4444444444444,0)</f>
      </c>
      <c r="AB2018" s="5">
        <v>9</v>
      </c>
      <c r="AC2018" s="2" t="s">
        <v>100</v>
      </c>
      <c r="AD2018" s="4"/>
      <c r="AE2018" s="4"/>
      <c r="AF2018" s="6">
        <v>69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>
        <v>2</v>
      </c>
      <c r="AQ2018" s="8">
        <v>35.72</v>
      </c>
      <c r="AR2018" s="4"/>
      <c r="AS2018" s="8"/>
      <c r="AT2018" s="7"/>
      <c r="AU2018" s="7"/>
      <c r="AV2018" s="4">
        <v>2</v>
      </c>
      <c r="AW2018" s="8">
        <v>35.72</v>
      </c>
      <c r="AX2018" s="4"/>
      <c r="AY2018" s="8"/>
      <c r="AZ2018" s="7"/>
      <c r="BA2018" s="7"/>
      <c r="BB2018" s="7">
        <v>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0.0833</v>
      </c>
      <c r="BJ2018" s="4">
        <v>221</v>
      </c>
      <c r="BK2018" s="8">
        <v>4338.12</v>
      </c>
      <c r="BL2018" s="2" t="s">
        <v>6573</v>
      </c>
      <c r="BM2018" s="7">
        <v>0.009</v>
      </c>
      <c r="BN2018" s="7">
        <v>0.0082</v>
      </c>
      <c r="BO2018" s="4">
        <v>2</v>
      </c>
      <c r="BP2018" s="8">
        <v>35.72</v>
      </c>
      <c r="BQ2018" s="4"/>
      <c r="BR2018" s="8"/>
      <c r="BS2018" s="7"/>
      <c r="BT2018" s="7"/>
      <c r="BU2018" s="2" t="s">
        <v>109</v>
      </c>
      <c r="BV2018" s="2" t="s">
        <v>110</v>
      </c>
      <c r="BW2018" s="2" t="s">
        <v>6570</v>
      </c>
      <c r="BX2018" s="2" t="s">
        <v>1044</v>
      </c>
      <c r="BY2018" s="2" t="s">
        <v>113</v>
      </c>
      <c r="BZ2018" s="2" t="s">
        <v>100</v>
      </c>
    </row>
    <row r="2019">
      <c r="A2019" s="2" t="s">
        <v>6574</v>
      </c>
      <c r="B2019" s="2" t="s">
        <v>5764</v>
      </c>
      <c r="C2019" s="2" t="s">
        <v>88</v>
      </c>
      <c r="D2019" s="2" t="s">
        <v>1842</v>
      </c>
      <c r="E2019" s="2" t="s">
        <v>6020</v>
      </c>
      <c r="F2019" s="2" t="s">
        <v>6575</v>
      </c>
      <c r="G2019" s="2" t="s">
        <v>6575</v>
      </c>
      <c r="H2019" s="2" t="s">
        <v>6575</v>
      </c>
      <c r="I2019" s="2" t="s">
        <v>6576</v>
      </c>
      <c r="J2019" s="2" t="s">
        <v>5024</v>
      </c>
      <c r="K2019" s="2" t="s">
        <v>198</v>
      </c>
      <c r="L2019" s="3">
        <v>41.98</v>
      </c>
      <c r="M2019" s="3">
        <v>44.08</v>
      </c>
      <c r="N2019" s="3">
        <v>89.99</v>
      </c>
      <c r="O2019" s="2" t="s">
        <v>97</v>
      </c>
      <c r="P2019" s="2" t="s">
        <v>950</v>
      </c>
      <c r="Q2019" s="2" t="s">
        <v>99</v>
      </c>
      <c r="R2019" s="2" t="s">
        <v>100</v>
      </c>
      <c r="S2019" s="2" t="s">
        <v>6577</v>
      </c>
      <c r="T2019" s="2" t="s">
        <v>6578</v>
      </c>
      <c r="U2019" s="2" t="s">
        <v>1847</v>
      </c>
      <c r="V2019" s="2" t="s">
        <v>146</v>
      </c>
      <c r="W2019" s="2" t="s">
        <v>183</v>
      </c>
      <c r="X2019" s="2" t="s">
        <v>219</v>
      </c>
      <c r="Y2019" s="2" t="s">
        <v>6579</v>
      </c>
      <c r="Z2019" s="4">
        <v>766</v>
      </c>
      <c r="AA2019" s="4">
        <f>=ROUNDDOWN(40.3157894736842,0)</f>
      </c>
      <c r="AB2019" s="5">
        <v>19</v>
      </c>
      <c r="AC2019" s="2" t="s">
        <v>6580</v>
      </c>
      <c r="AD2019" s="4">
        <v>370</v>
      </c>
      <c r="AE2019" s="4">
        <v>670</v>
      </c>
      <c r="AF2019" s="6">
        <v>64</v>
      </c>
      <c r="AG2019" s="6">
        <v>47</v>
      </c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>
        <v>1</v>
      </c>
      <c r="AQ2019" s="8">
        <v>46.27</v>
      </c>
      <c r="AR2019" s="4"/>
      <c r="AS2019" s="8"/>
      <c r="AT2019" s="7"/>
      <c r="AU2019" s="7"/>
      <c r="AV2019" s="4">
        <v>1</v>
      </c>
      <c r="AW2019" s="8">
        <v>46.27</v>
      </c>
      <c r="AX2019" s="4"/>
      <c r="AY2019" s="8"/>
      <c r="AZ2019" s="7"/>
      <c r="BA2019" s="7"/>
      <c r="BB2019" s="7">
        <v>1</v>
      </c>
      <c r="BC2019" s="4">
        <v>1</v>
      </c>
      <c r="BD2019" s="8">
        <v>46.27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1</v>
      </c>
      <c r="BJ2019" s="4">
        <v>372</v>
      </c>
      <c r="BK2019" s="8">
        <v>16312.73</v>
      </c>
      <c r="BL2019" s="2" t="s">
        <v>6581</v>
      </c>
      <c r="BM2019" s="7">
        <v>0.0027</v>
      </c>
      <c r="BN2019" s="7">
        <v>0.0028</v>
      </c>
      <c r="BO2019" s="4">
        <v>1</v>
      </c>
      <c r="BP2019" s="8">
        <v>46.27</v>
      </c>
      <c r="BQ2019" s="4"/>
      <c r="BR2019" s="8"/>
      <c r="BS2019" s="7"/>
      <c r="BT2019" s="7"/>
      <c r="BU2019" s="2" t="s">
        <v>109</v>
      </c>
      <c r="BV2019" s="2" t="s">
        <v>110</v>
      </c>
      <c r="BW2019" s="2" t="s">
        <v>6088</v>
      </c>
      <c r="BX2019" s="2" t="s">
        <v>6582</v>
      </c>
      <c r="BY2019" s="2" t="s">
        <v>113</v>
      </c>
      <c r="BZ2019" s="2" t="s">
        <v>100</v>
      </c>
    </row>
    <row r="2020">
      <c r="A2020" s="2" t="s">
        <v>6583</v>
      </c>
      <c r="B2020" s="2" t="s">
        <v>5764</v>
      </c>
      <c r="C2020" s="2" t="s">
        <v>88</v>
      </c>
      <c r="D2020" s="2" t="s">
        <v>1842</v>
      </c>
      <c r="E2020" s="2" t="s">
        <v>6020</v>
      </c>
      <c r="F2020" s="2" t="s">
        <v>6575</v>
      </c>
      <c r="G2020" s="2" t="s">
        <v>6575</v>
      </c>
      <c r="H2020" s="2" t="s">
        <v>6575</v>
      </c>
      <c r="I2020" s="2" t="s">
        <v>6576</v>
      </c>
      <c r="J2020" s="2" t="s">
        <v>5024</v>
      </c>
      <c r="K2020" s="2" t="s">
        <v>2477</v>
      </c>
      <c r="L2020" s="3">
        <v>41.98</v>
      </c>
      <c r="M2020" s="3">
        <v>44.08</v>
      </c>
      <c r="N2020" s="3">
        <v>89.99</v>
      </c>
      <c r="O2020" s="2" t="s">
        <v>97</v>
      </c>
      <c r="P2020" s="2" t="s">
        <v>950</v>
      </c>
      <c r="Q2020" s="2" t="s">
        <v>99</v>
      </c>
      <c r="R2020" s="2" t="s">
        <v>100</v>
      </c>
      <c r="S2020" s="2" t="s">
        <v>6577</v>
      </c>
      <c r="T2020" s="2" t="s">
        <v>6578</v>
      </c>
      <c r="U2020" s="2" t="s">
        <v>1847</v>
      </c>
      <c r="V2020" s="2" t="s">
        <v>146</v>
      </c>
      <c r="W2020" s="2" t="s">
        <v>183</v>
      </c>
      <c r="X2020" s="2" t="s">
        <v>219</v>
      </c>
      <c r="Y2020" s="2" t="s">
        <v>5626</v>
      </c>
      <c r="Z2020" s="4">
        <v>872</v>
      </c>
      <c r="AA2020" s="4">
        <f>=ROUNDDOWN(63.6496350364963,0)</f>
      </c>
      <c r="AB2020" s="5">
        <v>13.7</v>
      </c>
      <c r="AC2020" s="2" t="s">
        <v>100</v>
      </c>
      <c r="AD2020" s="4"/>
      <c r="AE2020" s="4"/>
      <c r="AF2020" s="6">
        <v>64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378</v>
      </c>
      <c r="BK2020" s="8">
        <v>16199.44</v>
      </c>
      <c r="BL2020" s="2" t="s">
        <v>6584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207</v>
      </c>
      <c r="BV2020" s="2" t="s">
        <v>97</v>
      </c>
      <c r="BW2020" s="2" t="s">
        <v>100</v>
      </c>
      <c r="BX2020" s="2" t="s">
        <v>100</v>
      </c>
      <c r="BY2020" s="2" t="s">
        <v>113</v>
      </c>
      <c r="BZ2020" s="2" t="s">
        <v>100</v>
      </c>
    </row>
    <row r="2021">
      <c r="A2021" s="2" t="s">
        <v>6585</v>
      </c>
      <c r="B2021" s="2" t="s">
        <v>5764</v>
      </c>
      <c r="C2021" s="2" t="s">
        <v>88</v>
      </c>
      <c r="D2021" s="2" t="s">
        <v>1842</v>
      </c>
      <c r="E2021" s="2" t="s">
        <v>6020</v>
      </c>
      <c r="F2021" s="2" t="s">
        <v>6575</v>
      </c>
      <c r="G2021" s="2" t="s">
        <v>6575</v>
      </c>
      <c r="H2021" s="2" t="s">
        <v>6575</v>
      </c>
      <c r="I2021" s="2" t="s">
        <v>6576</v>
      </c>
      <c r="J2021" s="2" t="s">
        <v>5024</v>
      </c>
      <c r="K2021" s="2" t="s">
        <v>496</v>
      </c>
      <c r="L2021" s="3">
        <v>41.98</v>
      </c>
      <c r="M2021" s="3">
        <v>44.08</v>
      </c>
      <c r="N2021" s="3">
        <v>89.99</v>
      </c>
      <c r="O2021" s="2" t="s">
        <v>97</v>
      </c>
      <c r="P2021" s="2" t="s">
        <v>307</v>
      </c>
      <c r="Q2021" s="2" t="s">
        <v>99</v>
      </c>
      <c r="R2021" s="2" t="s">
        <v>100</v>
      </c>
      <c r="S2021" s="2" t="s">
        <v>6577</v>
      </c>
      <c r="T2021" s="2" t="s">
        <v>6578</v>
      </c>
      <c r="U2021" s="2" t="s">
        <v>1847</v>
      </c>
      <c r="V2021" s="2" t="s">
        <v>146</v>
      </c>
      <c r="W2021" s="2" t="s">
        <v>183</v>
      </c>
      <c r="X2021" s="2" t="s">
        <v>219</v>
      </c>
      <c r="Y2021" s="2" t="s">
        <v>5626</v>
      </c>
      <c r="Z2021" s="4">
        <v>2013</v>
      </c>
      <c r="AA2021" s="4">
        <f>=ROUNDDOWN(47.7014218009479,0)</f>
      </c>
      <c r="AB2021" s="5">
        <v>42.2</v>
      </c>
      <c r="AC2021" s="2" t="s">
        <v>1164</v>
      </c>
      <c r="AD2021" s="4">
        <v>350</v>
      </c>
      <c r="AE2021" s="4">
        <v>700</v>
      </c>
      <c r="AF2021" s="6">
        <v>64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1384</v>
      </c>
      <c r="BK2021" s="8">
        <v>59398.36</v>
      </c>
      <c r="BL2021" s="2" t="s">
        <v>6586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207</v>
      </c>
      <c r="BV2021" s="2" t="s">
        <v>97</v>
      </c>
      <c r="BW2021" s="2" t="s">
        <v>100</v>
      </c>
      <c r="BX2021" s="2" t="s">
        <v>100</v>
      </c>
      <c r="BY2021" s="2" t="s">
        <v>113</v>
      </c>
      <c r="BZ2021" s="2" t="s">
        <v>100</v>
      </c>
    </row>
    <row r="2022">
      <c r="A2022" s="2" t="s">
        <v>6587</v>
      </c>
      <c r="B2022" s="2" t="s">
        <v>5764</v>
      </c>
      <c r="C2022" s="2" t="s">
        <v>88</v>
      </c>
      <c r="D2022" s="2" t="s">
        <v>1842</v>
      </c>
      <c r="E2022" s="2" t="s">
        <v>6020</v>
      </c>
      <c r="F2022" s="2" t="s">
        <v>6575</v>
      </c>
      <c r="G2022" s="2" t="s">
        <v>6575</v>
      </c>
      <c r="H2022" s="2" t="s">
        <v>6575</v>
      </c>
      <c r="I2022" s="2" t="s">
        <v>6576</v>
      </c>
      <c r="J2022" s="2" t="s">
        <v>5024</v>
      </c>
      <c r="K2022" s="2" t="s">
        <v>469</v>
      </c>
      <c r="L2022" s="3">
        <v>41.98</v>
      </c>
      <c r="M2022" s="3">
        <v>44.08</v>
      </c>
      <c r="N2022" s="3">
        <v>89.99</v>
      </c>
      <c r="O2022" s="2" t="s">
        <v>97</v>
      </c>
      <c r="P2022" s="2" t="s">
        <v>119</v>
      </c>
      <c r="Q2022" s="2" t="s">
        <v>99</v>
      </c>
      <c r="R2022" s="2" t="s">
        <v>100</v>
      </c>
      <c r="S2022" s="2" t="s">
        <v>6588</v>
      </c>
      <c r="T2022" s="2" t="s">
        <v>6578</v>
      </c>
      <c r="U2022" s="2" t="s">
        <v>1847</v>
      </c>
      <c r="V2022" s="2" t="s">
        <v>146</v>
      </c>
      <c r="W2022" s="2" t="s">
        <v>219</v>
      </c>
      <c r="X2022" s="2" t="s">
        <v>158</v>
      </c>
      <c r="Y2022" s="2" t="s">
        <v>4207</v>
      </c>
      <c r="Z2022" s="4">
        <v>378</v>
      </c>
      <c r="AA2022" s="4">
        <f>=ROUNDDOWN(37.8,0)</f>
      </c>
      <c r="AB2022" s="5">
        <v>10</v>
      </c>
      <c r="AC2022" s="2" t="s">
        <v>931</v>
      </c>
      <c r="AD2022" s="4">
        <v>310</v>
      </c>
      <c r="AE2022" s="4">
        <v>310</v>
      </c>
      <c r="AF2022" s="6">
        <v>64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195</v>
      </c>
      <c r="BK2022" s="8">
        <v>8292.71</v>
      </c>
      <c r="BL2022" s="2" t="s">
        <v>6589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207</v>
      </c>
      <c r="BV2022" s="2" t="s">
        <v>97</v>
      </c>
      <c r="BW2022" s="2" t="s">
        <v>100</v>
      </c>
      <c r="BX2022" s="2" t="s">
        <v>100</v>
      </c>
      <c r="BY2022" s="2" t="s">
        <v>113</v>
      </c>
      <c r="BZ2022" s="2" t="s">
        <v>100</v>
      </c>
    </row>
    <row r="2023">
      <c r="A2023" s="2" t="s">
        <v>6590</v>
      </c>
      <c r="B2023" s="2" t="s">
        <v>5764</v>
      </c>
      <c r="C2023" s="2" t="s">
        <v>88</v>
      </c>
      <c r="D2023" s="2" t="s">
        <v>1842</v>
      </c>
      <c r="E2023" s="2" t="s">
        <v>6020</v>
      </c>
      <c r="F2023" s="2" t="s">
        <v>6575</v>
      </c>
      <c r="G2023" s="2" t="s">
        <v>6575</v>
      </c>
      <c r="H2023" s="2" t="s">
        <v>6575</v>
      </c>
      <c r="I2023" s="2" t="s">
        <v>6576</v>
      </c>
      <c r="J2023" s="2" t="s">
        <v>5024</v>
      </c>
      <c r="K2023" s="2" t="s">
        <v>440</v>
      </c>
      <c r="L2023" s="3">
        <v>41.98</v>
      </c>
      <c r="M2023" s="3">
        <v>44.08</v>
      </c>
      <c r="N2023" s="3">
        <v>89.99</v>
      </c>
      <c r="O2023" s="2" t="s">
        <v>97</v>
      </c>
      <c r="P2023" s="2" t="s">
        <v>119</v>
      </c>
      <c r="Q2023" s="2" t="s">
        <v>99</v>
      </c>
      <c r="R2023" s="2" t="s">
        <v>100</v>
      </c>
      <c r="S2023" s="2" t="s">
        <v>6591</v>
      </c>
      <c r="T2023" s="2" t="s">
        <v>6578</v>
      </c>
      <c r="U2023" s="2" t="s">
        <v>1847</v>
      </c>
      <c r="V2023" s="2" t="s">
        <v>146</v>
      </c>
      <c r="W2023" s="2" t="s">
        <v>219</v>
      </c>
      <c r="X2023" s="2" t="s">
        <v>158</v>
      </c>
      <c r="Y2023" s="2" t="s">
        <v>4207</v>
      </c>
      <c r="Z2023" s="4">
        <v>363</v>
      </c>
      <c r="AA2023" s="4">
        <f>=ROUNDDOWN(36.3,0)</f>
      </c>
      <c r="AB2023" s="5">
        <v>10</v>
      </c>
      <c r="AC2023" s="2" t="s">
        <v>6580</v>
      </c>
      <c r="AD2023" s="4">
        <v>300</v>
      </c>
      <c r="AE2023" s="4">
        <v>600</v>
      </c>
      <c r="AF2023" s="6">
        <v>64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235</v>
      </c>
      <c r="BK2023" s="8">
        <v>9863.97</v>
      </c>
      <c r="BL2023" s="2" t="s">
        <v>6592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207</v>
      </c>
      <c r="BV2023" s="2" t="s">
        <v>97</v>
      </c>
      <c r="BW2023" s="2" t="s">
        <v>100</v>
      </c>
      <c r="BX2023" s="2" t="s">
        <v>100</v>
      </c>
      <c r="BY2023" s="2" t="s">
        <v>113</v>
      </c>
      <c r="BZ2023" s="2" t="s">
        <v>100</v>
      </c>
    </row>
    <row r="2024">
      <c r="A2024" s="2" t="s">
        <v>6593</v>
      </c>
      <c r="B2024" s="2" t="s">
        <v>5764</v>
      </c>
      <c r="C2024" s="2" t="s">
        <v>88</v>
      </c>
      <c r="D2024" s="2" t="s">
        <v>1842</v>
      </c>
      <c r="E2024" s="2" t="s">
        <v>6020</v>
      </c>
      <c r="F2024" s="2" t="s">
        <v>6575</v>
      </c>
      <c r="G2024" s="2" t="s">
        <v>6575</v>
      </c>
      <c r="H2024" s="2" t="s">
        <v>6575</v>
      </c>
      <c r="I2024" s="2" t="s">
        <v>6576</v>
      </c>
      <c r="J2024" s="2" t="s">
        <v>5024</v>
      </c>
      <c r="K2024" s="2" t="s">
        <v>1172</v>
      </c>
      <c r="L2024" s="3">
        <v>41.98</v>
      </c>
      <c r="M2024" s="3">
        <v>44.08</v>
      </c>
      <c r="N2024" s="3">
        <v>89.99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6594</v>
      </c>
      <c r="T2024" s="2" t="s">
        <v>6578</v>
      </c>
      <c r="U2024" s="2" t="s">
        <v>1847</v>
      </c>
      <c r="V2024" s="2" t="s">
        <v>146</v>
      </c>
      <c r="W2024" s="2" t="s">
        <v>219</v>
      </c>
      <c r="X2024" s="2" t="s">
        <v>158</v>
      </c>
      <c r="Y2024" s="2" t="s">
        <v>2722</v>
      </c>
      <c r="Z2024" s="4">
        <v>1181</v>
      </c>
      <c r="AA2024" s="4">
        <f>=ROUNDDOWN(34.7352941176471,0)</f>
      </c>
      <c r="AB2024" s="5">
        <v>34</v>
      </c>
      <c r="AC2024" s="2" t="s">
        <v>6580</v>
      </c>
      <c r="AD2024" s="4">
        <v>500</v>
      </c>
      <c r="AE2024" s="4">
        <v>800</v>
      </c>
      <c r="AF2024" s="6">
        <v>64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821</v>
      </c>
      <c r="BK2024" s="8">
        <v>35444.74</v>
      </c>
      <c r="BL2024" s="2" t="s">
        <v>6595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207</v>
      </c>
      <c r="BV2024" s="2" t="s">
        <v>97</v>
      </c>
      <c r="BW2024" s="2" t="s">
        <v>100</v>
      </c>
      <c r="BX2024" s="2" t="s">
        <v>100</v>
      </c>
      <c r="BY2024" s="2" t="s">
        <v>113</v>
      </c>
      <c r="BZ2024" s="2" t="s">
        <v>100</v>
      </c>
    </row>
    <row r="2025">
      <c r="A2025" s="2" t="s">
        <v>6596</v>
      </c>
      <c r="B2025" s="2" t="s">
        <v>5764</v>
      </c>
      <c r="C2025" s="2" t="s">
        <v>88</v>
      </c>
      <c r="D2025" s="2" t="s">
        <v>1842</v>
      </c>
      <c r="E2025" s="2" t="s">
        <v>6020</v>
      </c>
      <c r="F2025" s="2" t="s">
        <v>6575</v>
      </c>
      <c r="G2025" s="2" t="s">
        <v>6575</v>
      </c>
      <c r="H2025" s="2" t="s">
        <v>6575</v>
      </c>
      <c r="I2025" s="2" t="s">
        <v>6576</v>
      </c>
      <c r="J2025" s="2" t="s">
        <v>5024</v>
      </c>
      <c r="K2025" s="2" t="s">
        <v>297</v>
      </c>
      <c r="L2025" s="3">
        <v>41.98</v>
      </c>
      <c r="M2025" s="3">
        <v>44.08</v>
      </c>
      <c r="N2025" s="3">
        <v>89.99</v>
      </c>
      <c r="O2025" s="2" t="s">
        <v>97</v>
      </c>
      <c r="P2025" s="2" t="s">
        <v>119</v>
      </c>
      <c r="Q2025" s="2" t="s">
        <v>99</v>
      </c>
      <c r="R2025" s="2" t="s">
        <v>100</v>
      </c>
      <c r="S2025" s="2" t="s">
        <v>6597</v>
      </c>
      <c r="T2025" s="2" t="s">
        <v>6578</v>
      </c>
      <c r="U2025" s="2" t="s">
        <v>1847</v>
      </c>
      <c r="V2025" s="2" t="s">
        <v>146</v>
      </c>
      <c r="W2025" s="2" t="s">
        <v>219</v>
      </c>
      <c r="X2025" s="2" t="s">
        <v>158</v>
      </c>
      <c r="Y2025" s="2" t="s">
        <v>4207</v>
      </c>
      <c r="Z2025" s="4">
        <v>517</v>
      </c>
      <c r="AA2025" s="4">
        <f>=ROUNDDOWN(39.7692307692308,0)</f>
      </c>
      <c r="AB2025" s="5">
        <v>13</v>
      </c>
      <c r="AC2025" s="2" t="s">
        <v>1164</v>
      </c>
      <c r="AD2025" s="4">
        <v>150</v>
      </c>
      <c r="AE2025" s="4">
        <v>300</v>
      </c>
      <c r="AF2025" s="6">
        <v>64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320</v>
      </c>
      <c r="BK2025" s="8">
        <v>13576.79</v>
      </c>
      <c r="BL2025" s="2" t="s">
        <v>6598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207</v>
      </c>
      <c r="BV2025" s="2" t="s">
        <v>97</v>
      </c>
      <c r="BW2025" s="2" t="s">
        <v>100</v>
      </c>
      <c r="BX2025" s="2" t="s">
        <v>100</v>
      </c>
      <c r="BY2025" s="2" t="s">
        <v>113</v>
      </c>
      <c r="BZ2025" s="2" t="s">
        <v>100</v>
      </c>
    </row>
    <row r="2026">
      <c r="A2026" s="2" t="s">
        <v>6599</v>
      </c>
      <c r="B2026" s="2" t="s">
        <v>5764</v>
      </c>
      <c r="C2026" s="2" t="s">
        <v>88</v>
      </c>
      <c r="D2026" s="2" t="s">
        <v>1842</v>
      </c>
      <c r="E2026" s="2" t="s">
        <v>6020</v>
      </c>
      <c r="F2026" s="2" t="s">
        <v>6600</v>
      </c>
      <c r="G2026" s="2" t="s">
        <v>6600</v>
      </c>
      <c r="H2026" s="2" t="s">
        <v>6600</v>
      </c>
      <c r="I2026" s="2" t="s">
        <v>6020</v>
      </c>
      <c r="J2026" s="2" t="s">
        <v>5024</v>
      </c>
      <c r="K2026" s="2" t="s">
        <v>432</v>
      </c>
      <c r="L2026" s="3">
        <v>42.34</v>
      </c>
      <c r="M2026" s="3">
        <v>44.46</v>
      </c>
      <c r="N2026" s="3">
        <v>84.99</v>
      </c>
      <c r="O2026" s="2" t="s">
        <v>97</v>
      </c>
      <c r="P2026" s="2" t="s">
        <v>372</v>
      </c>
      <c r="Q2026" s="2" t="s">
        <v>99</v>
      </c>
      <c r="R2026" s="2" t="s">
        <v>100</v>
      </c>
      <c r="S2026" s="2" t="s">
        <v>6601</v>
      </c>
      <c r="T2026" s="2" t="s">
        <v>100</v>
      </c>
      <c r="U2026" s="2" t="s">
        <v>1847</v>
      </c>
      <c r="V2026" s="2" t="s">
        <v>146</v>
      </c>
      <c r="W2026" s="2" t="s">
        <v>183</v>
      </c>
      <c r="X2026" s="2" t="s">
        <v>673</v>
      </c>
      <c r="Y2026" s="2" t="s">
        <v>4486</v>
      </c>
      <c r="Z2026" s="4">
        <v>860</v>
      </c>
      <c r="AA2026" s="4">
        <f>=ROUNDDOWN(31.8518518518519,0)</f>
      </c>
      <c r="AB2026" s="5">
        <v>27</v>
      </c>
      <c r="AC2026" s="2" t="s">
        <v>542</v>
      </c>
      <c r="AD2026" s="4">
        <v>400</v>
      </c>
      <c r="AE2026" s="4">
        <v>1170</v>
      </c>
      <c r="AF2026" s="6">
        <v>64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667</v>
      </c>
      <c r="BK2026" s="8">
        <v>29657.59</v>
      </c>
      <c r="BL2026" s="2" t="s">
        <v>6602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207</v>
      </c>
      <c r="BV2026" s="2" t="s">
        <v>97</v>
      </c>
      <c r="BW2026" s="2" t="s">
        <v>100</v>
      </c>
      <c r="BX2026" s="2" t="s">
        <v>100</v>
      </c>
      <c r="BY2026" s="2" t="s">
        <v>113</v>
      </c>
      <c r="BZ2026" s="2" t="s">
        <v>100</v>
      </c>
    </row>
    <row r="2027">
      <c r="A2027" s="2" t="s">
        <v>6603</v>
      </c>
      <c r="B2027" s="2" t="s">
        <v>5764</v>
      </c>
      <c r="C2027" s="2" t="s">
        <v>88</v>
      </c>
      <c r="D2027" s="2" t="s">
        <v>1842</v>
      </c>
      <c r="E2027" s="2" t="s">
        <v>6020</v>
      </c>
      <c r="F2027" s="2" t="s">
        <v>6600</v>
      </c>
      <c r="G2027" s="2" t="s">
        <v>6600</v>
      </c>
      <c r="H2027" s="2" t="s">
        <v>6600</v>
      </c>
      <c r="I2027" s="2" t="s">
        <v>6020</v>
      </c>
      <c r="J2027" s="2" t="s">
        <v>5024</v>
      </c>
      <c r="K2027" s="2" t="s">
        <v>913</v>
      </c>
      <c r="L2027" s="3">
        <v>42.34</v>
      </c>
      <c r="M2027" s="3">
        <v>44.46</v>
      </c>
      <c r="N2027" s="3">
        <v>84.99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6604</v>
      </c>
      <c r="T2027" s="2" t="s">
        <v>100</v>
      </c>
      <c r="U2027" s="2" t="s">
        <v>1847</v>
      </c>
      <c r="V2027" s="2" t="s">
        <v>146</v>
      </c>
      <c r="W2027" s="2" t="s">
        <v>183</v>
      </c>
      <c r="X2027" s="2" t="s">
        <v>673</v>
      </c>
      <c r="Y2027" s="2" t="s">
        <v>6605</v>
      </c>
      <c r="Z2027" s="4">
        <v>1141</v>
      </c>
      <c r="AA2027" s="4">
        <f>=ROUNDDOWN(51.8636363636364,0)</f>
      </c>
      <c r="AB2027" s="5">
        <v>22</v>
      </c>
      <c r="AC2027" s="2" t="s">
        <v>872</v>
      </c>
      <c r="AD2027" s="4">
        <v>330</v>
      </c>
      <c r="AE2027" s="4">
        <v>330</v>
      </c>
      <c r="AF2027" s="6">
        <v>64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538</v>
      </c>
      <c r="BK2027" s="8">
        <v>23271.29</v>
      </c>
      <c r="BL2027" s="2" t="s">
        <v>6606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207</v>
      </c>
      <c r="BV2027" s="2" t="s">
        <v>97</v>
      </c>
      <c r="BW2027" s="2" t="s">
        <v>100</v>
      </c>
      <c r="BX2027" s="2" t="s">
        <v>100</v>
      </c>
      <c r="BY2027" s="2" t="s">
        <v>113</v>
      </c>
      <c r="BZ2027" s="2" t="s">
        <v>100</v>
      </c>
    </row>
    <row r="2028">
      <c r="A2028" s="2" t="s">
        <v>6607</v>
      </c>
      <c r="B2028" s="2" t="s">
        <v>5764</v>
      </c>
      <c r="C2028" s="2" t="s">
        <v>88</v>
      </c>
      <c r="D2028" s="2" t="s">
        <v>1842</v>
      </c>
      <c r="E2028" s="2" t="s">
        <v>6020</v>
      </c>
      <c r="F2028" s="2" t="s">
        <v>6600</v>
      </c>
      <c r="G2028" s="2" t="s">
        <v>6600</v>
      </c>
      <c r="H2028" s="2" t="s">
        <v>6600</v>
      </c>
      <c r="I2028" s="2" t="s">
        <v>6020</v>
      </c>
      <c r="J2028" s="2" t="s">
        <v>5024</v>
      </c>
      <c r="K2028" s="2" t="s">
        <v>198</v>
      </c>
      <c r="L2028" s="3">
        <v>42.34</v>
      </c>
      <c r="M2028" s="3">
        <v>44.46</v>
      </c>
      <c r="N2028" s="3">
        <v>84.99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6608</v>
      </c>
      <c r="T2028" s="2" t="s">
        <v>100</v>
      </c>
      <c r="U2028" s="2" t="s">
        <v>1847</v>
      </c>
      <c r="V2028" s="2" t="s">
        <v>146</v>
      </c>
      <c r="W2028" s="2" t="s">
        <v>183</v>
      </c>
      <c r="X2028" s="2" t="s">
        <v>673</v>
      </c>
      <c r="Y2028" s="2" t="s">
        <v>4486</v>
      </c>
      <c r="Z2028" s="4">
        <v>1353</v>
      </c>
      <c r="AA2028" s="4">
        <f>=ROUNDDOWN(50.1111111111111,0)</f>
      </c>
      <c r="AB2028" s="5">
        <v>27</v>
      </c>
      <c r="AC2028" s="2" t="s">
        <v>271</v>
      </c>
      <c r="AD2028" s="4">
        <v>700</v>
      </c>
      <c r="AE2028" s="4">
        <v>1000</v>
      </c>
      <c r="AF2028" s="6">
        <v>64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634</v>
      </c>
      <c r="BK2028" s="8">
        <v>27931.65</v>
      </c>
      <c r="BL2028" s="2" t="s">
        <v>6609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207</v>
      </c>
      <c r="BV2028" s="2" t="s">
        <v>97</v>
      </c>
      <c r="BW2028" s="2" t="s">
        <v>100</v>
      </c>
      <c r="BX2028" s="2" t="s">
        <v>100</v>
      </c>
      <c r="BY2028" s="2" t="s">
        <v>113</v>
      </c>
      <c r="BZ2028" s="2" t="s">
        <v>100</v>
      </c>
    </row>
    <row r="2029">
      <c r="A2029" s="2" t="s">
        <v>6610</v>
      </c>
      <c r="B2029" s="2" t="s">
        <v>5764</v>
      </c>
      <c r="C2029" s="2" t="s">
        <v>88</v>
      </c>
      <c r="D2029" s="2" t="s">
        <v>1842</v>
      </c>
      <c r="E2029" s="2" t="s">
        <v>6020</v>
      </c>
      <c r="F2029" s="2" t="s">
        <v>6600</v>
      </c>
      <c r="G2029" s="2" t="s">
        <v>6600</v>
      </c>
      <c r="H2029" s="2" t="s">
        <v>6600</v>
      </c>
      <c r="I2029" s="2" t="s">
        <v>6020</v>
      </c>
      <c r="J2029" s="2" t="s">
        <v>5024</v>
      </c>
      <c r="K2029" s="2" t="s">
        <v>1614</v>
      </c>
      <c r="L2029" s="3">
        <v>42.34</v>
      </c>
      <c r="M2029" s="3">
        <v>44.46</v>
      </c>
      <c r="N2029" s="3">
        <v>84.99</v>
      </c>
      <c r="O2029" s="2" t="s">
        <v>97</v>
      </c>
      <c r="P2029" s="2" t="s">
        <v>372</v>
      </c>
      <c r="Q2029" s="2" t="s">
        <v>99</v>
      </c>
      <c r="R2029" s="2" t="s">
        <v>100</v>
      </c>
      <c r="S2029" s="2" t="s">
        <v>6611</v>
      </c>
      <c r="T2029" s="2" t="s">
        <v>100</v>
      </c>
      <c r="U2029" s="2" t="s">
        <v>1847</v>
      </c>
      <c r="V2029" s="2" t="s">
        <v>146</v>
      </c>
      <c r="W2029" s="2" t="s">
        <v>183</v>
      </c>
      <c r="X2029" s="2" t="s">
        <v>673</v>
      </c>
      <c r="Y2029" s="2" t="s">
        <v>4486</v>
      </c>
      <c r="Z2029" s="4">
        <v>1723</v>
      </c>
      <c r="AA2029" s="4">
        <f>=ROUNDDOWN(45.7029177718833,0)</f>
      </c>
      <c r="AB2029" s="5">
        <v>37.7</v>
      </c>
      <c r="AC2029" s="2" t="s">
        <v>271</v>
      </c>
      <c r="AD2029" s="4">
        <v>800</v>
      </c>
      <c r="AE2029" s="4">
        <v>1100</v>
      </c>
      <c r="AF2029" s="6">
        <v>64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1028</v>
      </c>
      <c r="BK2029" s="8">
        <v>46032.5</v>
      </c>
      <c r="BL2029" s="2" t="s">
        <v>6612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207</v>
      </c>
      <c r="BV2029" s="2" t="s">
        <v>97</v>
      </c>
      <c r="BW2029" s="2" t="s">
        <v>100</v>
      </c>
      <c r="BX2029" s="2" t="s">
        <v>100</v>
      </c>
      <c r="BY2029" s="2" t="s">
        <v>113</v>
      </c>
      <c r="BZ2029" s="2" t="s">
        <v>100</v>
      </c>
    </row>
    <row r="2030">
      <c r="A2030" s="2" t="s">
        <v>6613</v>
      </c>
      <c r="B2030" s="2" t="s">
        <v>5764</v>
      </c>
      <c r="C2030" s="2" t="s">
        <v>88</v>
      </c>
      <c r="D2030" s="2" t="s">
        <v>1842</v>
      </c>
      <c r="E2030" s="2" t="s">
        <v>6020</v>
      </c>
      <c r="F2030" s="2" t="s">
        <v>6600</v>
      </c>
      <c r="G2030" s="2" t="s">
        <v>6600</v>
      </c>
      <c r="H2030" s="2" t="s">
        <v>6600</v>
      </c>
      <c r="I2030" s="2" t="s">
        <v>6020</v>
      </c>
      <c r="J2030" s="2" t="s">
        <v>5024</v>
      </c>
      <c r="K2030" s="2" t="s">
        <v>6173</v>
      </c>
      <c r="L2030" s="3">
        <v>42.34</v>
      </c>
      <c r="M2030" s="3">
        <v>44.46</v>
      </c>
      <c r="N2030" s="3">
        <v>84.99</v>
      </c>
      <c r="O2030" s="2" t="s">
        <v>97</v>
      </c>
      <c r="P2030" s="2" t="s">
        <v>372</v>
      </c>
      <c r="Q2030" s="2" t="s">
        <v>99</v>
      </c>
      <c r="R2030" s="2" t="s">
        <v>100</v>
      </c>
      <c r="S2030" s="2" t="s">
        <v>6614</v>
      </c>
      <c r="T2030" s="2" t="s">
        <v>100</v>
      </c>
      <c r="U2030" s="2" t="s">
        <v>1847</v>
      </c>
      <c r="V2030" s="2" t="s">
        <v>146</v>
      </c>
      <c r="W2030" s="2" t="s">
        <v>183</v>
      </c>
      <c r="X2030" s="2" t="s">
        <v>673</v>
      </c>
      <c r="Y2030" s="2" t="s">
        <v>6605</v>
      </c>
      <c r="Z2030" s="4">
        <v>890</v>
      </c>
      <c r="AA2030" s="4">
        <f>=ROUNDDOWN(29.6666666666667,0)</f>
      </c>
      <c r="AB2030" s="5">
        <v>30</v>
      </c>
      <c r="AC2030" s="2" t="s">
        <v>542</v>
      </c>
      <c r="AD2030" s="4">
        <v>500</v>
      </c>
      <c r="AE2030" s="4">
        <v>1350</v>
      </c>
      <c r="AF2030" s="6">
        <v>64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>
        <v>719</v>
      </c>
      <c r="BK2030" s="8">
        <v>31205.59</v>
      </c>
      <c r="BL2030" s="2" t="s">
        <v>3079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207</v>
      </c>
      <c r="BV2030" s="2" t="s">
        <v>97</v>
      </c>
      <c r="BW2030" s="2" t="s">
        <v>100</v>
      </c>
      <c r="BX2030" s="2" t="s">
        <v>100</v>
      </c>
      <c r="BY2030" s="2" t="s">
        <v>113</v>
      </c>
      <c r="BZ2030" s="2" t="s">
        <v>100</v>
      </c>
    </row>
    <row r="2031">
      <c r="A2031" s="2" t="s">
        <v>6615</v>
      </c>
      <c r="B2031" s="2" t="s">
        <v>5764</v>
      </c>
      <c r="C2031" s="2" t="s">
        <v>88</v>
      </c>
      <c r="D2031" s="2" t="s">
        <v>1842</v>
      </c>
      <c r="E2031" s="2" t="s">
        <v>6020</v>
      </c>
      <c r="F2031" s="2" t="s">
        <v>6600</v>
      </c>
      <c r="G2031" s="2" t="s">
        <v>6600</v>
      </c>
      <c r="H2031" s="2" t="s">
        <v>6600</v>
      </c>
      <c r="I2031" s="2" t="s">
        <v>6020</v>
      </c>
      <c r="J2031" s="2" t="s">
        <v>5024</v>
      </c>
      <c r="K2031" s="2" t="s">
        <v>469</v>
      </c>
      <c r="L2031" s="3">
        <v>42.34</v>
      </c>
      <c r="M2031" s="3">
        <v>44.46</v>
      </c>
      <c r="N2031" s="3">
        <v>84.99</v>
      </c>
      <c r="O2031" s="2" t="s">
        <v>97</v>
      </c>
      <c r="P2031" s="2" t="s">
        <v>119</v>
      </c>
      <c r="Q2031" s="2" t="s">
        <v>99</v>
      </c>
      <c r="R2031" s="2" t="s">
        <v>100</v>
      </c>
      <c r="S2031" s="2" t="s">
        <v>6616</v>
      </c>
      <c r="T2031" s="2" t="s">
        <v>100</v>
      </c>
      <c r="U2031" s="2" t="s">
        <v>1847</v>
      </c>
      <c r="V2031" s="2" t="s">
        <v>146</v>
      </c>
      <c r="W2031" s="2" t="s">
        <v>183</v>
      </c>
      <c r="X2031" s="2" t="s">
        <v>673</v>
      </c>
      <c r="Y2031" s="2" t="s">
        <v>6605</v>
      </c>
      <c r="Z2031" s="4">
        <v>422</v>
      </c>
      <c r="AA2031" s="4">
        <f>=ROUNDDOWN(38.3636363636364,0)</f>
      </c>
      <c r="AB2031" s="5">
        <v>11</v>
      </c>
      <c r="AC2031" s="2" t="s">
        <v>1164</v>
      </c>
      <c r="AD2031" s="4">
        <v>500</v>
      </c>
      <c r="AE2031" s="4">
        <v>500</v>
      </c>
      <c r="AF2031" s="6">
        <v>64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>
        <v>218</v>
      </c>
      <c r="BK2031" s="8">
        <v>9217.04</v>
      </c>
      <c r="BL2031" s="2" t="s">
        <v>3138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207</v>
      </c>
      <c r="BV2031" s="2" t="s">
        <v>97</v>
      </c>
      <c r="BW2031" s="2" t="s">
        <v>100</v>
      </c>
      <c r="BX2031" s="2" t="s">
        <v>100</v>
      </c>
      <c r="BY2031" s="2" t="s">
        <v>113</v>
      </c>
      <c r="BZ2031" s="2" t="s">
        <v>100</v>
      </c>
    </row>
    <row r="2032">
      <c r="A2032" s="2" t="s">
        <v>6617</v>
      </c>
      <c r="B2032" s="2" t="s">
        <v>5764</v>
      </c>
      <c r="C2032" s="2" t="s">
        <v>88</v>
      </c>
      <c r="D2032" s="2" t="s">
        <v>1842</v>
      </c>
      <c r="E2032" s="2" t="s">
        <v>6020</v>
      </c>
      <c r="F2032" s="2" t="s">
        <v>6600</v>
      </c>
      <c r="G2032" s="2" t="s">
        <v>6600</v>
      </c>
      <c r="H2032" s="2" t="s">
        <v>6600</v>
      </c>
      <c r="I2032" s="2" t="s">
        <v>6020</v>
      </c>
      <c r="J2032" s="2" t="s">
        <v>5024</v>
      </c>
      <c r="K2032" s="2" t="s">
        <v>440</v>
      </c>
      <c r="L2032" s="3">
        <v>42.34</v>
      </c>
      <c r="M2032" s="3">
        <v>44.46</v>
      </c>
      <c r="N2032" s="3">
        <v>84.99</v>
      </c>
      <c r="O2032" s="2" t="s">
        <v>97</v>
      </c>
      <c r="P2032" s="2" t="s">
        <v>950</v>
      </c>
      <c r="Q2032" s="2" t="s">
        <v>99</v>
      </c>
      <c r="R2032" s="2" t="s">
        <v>100</v>
      </c>
      <c r="S2032" s="2" t="s">
        <v>6618</v>
      </c>
      <c r="T2032" s="2" t="s">
        <v>100</v>
      </c>
      <c r="U2032" s="2" t="s">
        <v>1847</v>
      </c>
      <c r="V2032" s="2" t="s">
        <v>146</v>
      </c>
      <c r="W2032" s="2" t="s">
        <v>183</v>
      </c>
      <c r="X2032" s="2" t="s">
        <v>673</v>
      </c>
      <c r="Y2032" s="2" t="s">
        <v>6605</v>
      </c>
      <c r="Z2032" s="4">
        <v>525</v>
      </c>
      <c r="AA2032" s="4">
        <f>=ROUNDDOWN(29.1666666666667,0)</f>
      </c>
      <c r="AB2032" s="5">
        <v>18</v>
      </c>
      <c r="AC2032" s="2" t="s">
        <v>271</v>
      </c>
      <c r="AD2032" s="4">
        <v>470</v>
      </c>
      <c r="AE2032" s="4">
        <v>770</v>
      </c>
      <c r="AF2032" s="6">
        <v>64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428</v>
      </c>
      <c r="BK2032" s="8">
        <v>18285.18</v>
      </c>
      <c r="BL2032" s="2" t="s">
        <v>1649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207</v>
      </c>
      <c r="BV2032" s="2" t="s">
        <v>97</v>
      </c>
      <c r="BW2032" s="2" t="s">
        <v>100</v>
      </c>
      <c r="BX2032" s="2" t="s">
        <v>100</v>
      </c>
      <c r="BY2032" s="2" t="s">
        <v>113</v>
      </c>
      <c r="BZ2032" s="2" t="s">
        <v>100</v>
      </c>
    </row>
    <row r="2033">
      <c r="A2033" s="2" t="s">
        <v>6619</v>
      </c>
      <c r="B2033" s="2" t="s">
        <v>5764</v>
      </c>
      <c r="C2033" s="2" t="s">
        <v>88</v>
      </c>
      <c r="D2033" s="2" t="s">
        <v>1842</v>
      </c>
      <c r="E2033" s="2" t="s">
        <v>6020</v>
      </c>
      <c r="F2033" s="2" t="s">
        <v>6620</v>
      </c>
      <c r="G2033" s="2" t="s">
        <v>6620</v>
      </c>
      <c r="H2033" s="2" t="s">
        <v>6620</v>
      </c>
      <c r="I2033" s="2" t="s">
        <v>6621</v>
      </c>
      <c r="J2033" s="2" t="s">
        <v>6021</v>
      </c>
      <c r="K2033" s="2" t="s">
        <v>335</v>
      </c>
      <c r="L2033" s="3">
        <v>11.64</v>
      </c>
      <c r="M2033" s="3">
        <v>12.22</v>
      </c>
      <c r="N2033" s="3">
        <v>25.99</v>
      </c>
      <c r="O2033" s="2" t="s">
        <v>97</v>
      </c>
      <c r="P2033" s="2" t="s">
        <v>119</v>
      </c>
      <c r="Q2033" s="2" t="s">
        <v>99</v>
      </c>
      <c r="R2033" s="2" t="s">
        <v>100</v>
      </c>
      <c r="S2033" s="2" t="s">
        <v>6622</v>
      </c>
      <c r="T2033" s="2" t="s">
        <v>4441</v>
      </c>
      <c r="U2033" s="2" t="s">
        <v>100</v>
      </c>
      <c r="V2033" s="2" t="s">
        <v>403</v>
      </c>
      <c r="W2033" s="2" t="s">
        <v>183</v>
      </c>
      <c r="X2033" s="2" t="s">
        <v>104</v>
      </c>
      <c r="Y2033" s="2" t="s">
        <v>240</v>
      </c>
      <c r="Z2033" s="4">
        <v>363</v>
      </c>
      <c r="AA2033" s="4">
        <f>=ROUNDDOWN(30.25,0)</f>
      </c>
      <c r="AB2033" s="5">
        <v>12</v>
      </c>
      <c r="AC2033" s="2" t="s">
        <v>456</v>
      </c>
      <c r="AD2033" s="4">
        <v>200</v>
      </c>
      <c r="AE2033" s="4">
        <v>400</v>
      </c>
      <c r="AF2033" s="6">
        <v>64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273</v>
      </c>
      <c r="BK2033" s="8">
        <v>3132.99</v>
      </c>
      <c r="BL2033" s="2" t="s">
        <v>6623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4840</v>
      </c>
      <c r="BX2033" s="2" t="s">
        <v>2001</v>
      </c>
      <c r="BY2033" s="2" t="s">
        <v>113</v>
      </c>
      <c r="BZ2033" s="2" t="s">
        <v>100</v>
      </c>
    </row>
    <row r="2034">
      <c r="A2034" s="2" t="s">
        <v>6624</v>
      </c>
      <c r="B2034" s="2" t="s">
        <v>5764</v>
      </c>
      <c r="C2034" s="2" t="s">
        <v>88</v>
      </c>
      <c r="D2034" s="2" t="s">
        <v>1842</v>
      </c>
      <c r="E2034" s="2" t="s">
        <v>6020</v>
      </c>
      <c r="F2034" s="2" t="s">
        <v>6620</v>
      </c>
      <c r="G2034" s="2" t="s">
        <v>6620</v>
      </c>
      <c r="H2034" s="2" t="s">
        <v>6620</v>
      </c>
      <c r="I2034" s="2" t="s">
        <v>6621</v>
      </c>
      <c r="J2034" s="2" t="s">
        <v>6021</v>
      </c>
      <c r="K2034" s="2" t="s">
        <v>360</v>
      </c>
      <c r="L2034" s="3">
        <v>11.64</v>
      </c>
      <c r="M2034" s="3">
        <v>12.22</v>
      </c>
      <c r="N2034" s="3">
        <v>25.99</v>
      </c>
      <c r="O2034" s="2" t="s">
        <v>97</v>
      </c>
      <c r="P2034" s="2" t="s">
        <v>119</v>
      </c>
      <c r="Q2034" s="2" t="s">
        <v>99</v>
      </c>
      <c r="R2034" s="2" t="s">
        <v>100</v>
      </c>
      <c r="S2034" s="2" t="s">
        <v>6625</v>
      </c>
      <c r="T2034" s="2" t="s">
        <v>4441</v>
      </c>
      <c r="U2034" s="2" t="s">
        <v>100</v>
      </c>
      <c r="V2034" s="2" t="s">
        <v>403</v>
      </c>
      <c r="W2034" s="2" t="s">
        <v>183</v>
      </c>
      <c r="X2034" s="2" t="s">
        <v>104</v>
      </c>
      <c r="Y2034" s="2" t="s">
        <v>240</v>
      </c>
      <c r="Z2034" s="4">
        <v>194</v>
      </c>
      <c r="AA2034" s="4">
        <f>=ROUNDDOWN(11.3450292397661,0)</f>
      </c>
      <c r="AB2034" s="5">
        <v>17.1</v>
      </c>
      <c r="AC2034" s="2" t="s">
        <v>1012</v>
      </c>
      <c r="AD2034" s="4">
        <v>200</v>
      </c>
      <c r="AE2034" s="4">
        <v>400</v>
      </c>
      <c r="AF2034" s="6">
        <v>64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678</v>
      </c>
      <c r="BK2034" s="8">
        <v>7997.21</v>
      </c>
      <c r="BL2034" s="2" t="s">
        <v>6626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1085</v>
      </c>
      <c r="BX2034" s="2" t="s">
        <v>6057</v>
      </c>
      <c r="BY2034" s="2" t="s">
        <v>113</v>
      </c>
      <c r="BZ2034" s="2" t="s">
        <v>100</v>
      </c>
    </row>
    <row r="2035">
      <c r="A2035" s="2" t="s">
        <v>6627</v>
      </c>
      <c r="B2035" s="2" t="s">
        <v>5764</v>
      </c>
      <c r="C2035" s="2" t="s">
        <v>88</v>
      </c>
      <c r="D2035" s="2" t="s">
        <v>1842</v>
      </c>
      <c r="E2035" s="2" t="s">
        <v>6020</v>
      </c>
      <c r="F2035" s="2" t="s">
        <v>2040</v>
      </c>
      <c r="G2035" s="2" t="s">
        <v>2039</v>
      </c>
      <c r="H2035" s="2" t="s">
        <v>2039</v>
      </c>
      <c r="I2035" s="2" t="s">
        <v>6628</v>
      </c>
      <c r="J2035" s="2" t="s">
        <v>5024</v>
      </c>
      <c r="K2035" s="2" t="s">
        <v>913</v>
      </c>
      <c r="L2035" s="3">
        <v>23.8</v>
      </c>
      <c r="M2035" s="3">
        <v>24.99</v>
      </c>
      <c r="N2035" s="3">
        <v>49.99</v>
      </c>
      <c r="O2035" s="2" t="s">
        <v>97</v>
      </c>
      <c r="P2035" s="2" t="s">
        <v>119</v>
      </c>
      <c r="Q2035" s="2" t="s">
        <v>99</v>
      </c>
      <c r="R2035" s="2" t="s">
        <v>100</v>
      </c>
      <c r="S2035" s="2" t="s">
        <v>6629</v>
      </c>
      <c r="T2035" s="2" t="s">
        <v>100</v>
      </c>
      <c r="U2035" s="2" t="s">
        <v>1847</v>
      </c>
      <c r="V2035" s="2" t="s">
        <v>146</v>
      </c>
      <c r="W2035" s="2" t="s">
        <v>183</v>
      </c>
      <c r="X2035" s="2" t="s">
        <v>100</v>
      </c>
      <c r="Y2035" s="2" t="s">
        <v>4611</v>
      </c>
      <c r="Z2035" s="4">
        <v>196</v>
      </c>
      <c r="AA2035" s="4">
        <f>=ROUNDDOWN(24.5,0)</f>
      </c>
      <c r="AB2035" s="5">
        <v>8</v>
      </c>
      <c r="AC2035" s="2" t="s">
        <v>3031</v>
      </c>
      <c r="AD2035" s="4">
        <v>500</v>
      </c>
      <c r="AE2035" s="4">
        <v>500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195</v>
      </c>
      <c r="BK2035" s="8">
        <v>5384.76</v>
      </c>
      <c r="BL2035" s="2" t="s">
        <v>6630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207</v>
      </c>
      <c r="BV2035" s="2" t="s">
        <v>97</v>
      </c>
      <c r="BW2035" s="2" t="s">
        <v>100</v>
      </c>
      <c r="BX2035" s="2" t="s">
        <v>100</v>
      </c>
      <c r="BY2035" s="2" t="s">
        <v>113</v>
      </c>
      <c r="BZ2035" s="2" t="s">
        <v>245</v>
      </c>
    </row>
    <row r="2036">
      <c r="A2036" s="2" t="s">
        <v>6631</v>
      </c>
      <c r="B2036" s="2" t="s">
        <v>5764</v>
      </c>
      <c r="C2036" s="2" t="s">
        <v>88</v>
      </c>
      <c r="D2036" s="2" t="s">
        <v>1842</v>
      </c>
      <c r="E2036" s="2" t="s">
        <v>6020</v>
      </c>
      <c r="F2036" s="2" t="s">
        <v>2040</v>
      </c>
      <c r="G2036" s="2" t="s">
        <v>2039</v>
      </c>
      <c r="H2036" s="2" t="s">
        <v>2039</v>
      </c>
      <c r="I2036" s="2" t="s">
        <v>6628</v>
      </c>
      <c r="J2036" s="2" t="s">
        <v>5024</v>
      </c>
      <c r="K2036" s="2" t="s">
        <v>278</v>
      </c>
      <c r="L2036" s="3">
        <v>23.8</v>
      </c>
      <c r="M2036" s="3">
        <v>24.99</v>
      </c>
      <c r="N2036" s="3">
        <v>49.99</v>
      </c>
      <c r="O2036" s="2" t="s">
        <v>97</v>
      </c>
      <c r="P2036" s="2" t="s">
        <v>119</v>
      </c>
      <c r="Q2036" s="2" t="s">
        <v>99</v>
      </c>
      <c r="R2036" s="2" t="s">
        <v>100</v>
      </c>
      <c r="S2036" s="2" t="s">
        <v>6632</v>
      </c>
      <c r="T2036" s="2" t="s">
        <v>100</v>
      </c>
      <c r="U2036" s="2" t="s">
        <v>1847</v>
      </c>
      <c r="V2036" s="2" t="s">
        <v>146</v>
      </c>
      <c r="W2036" s="2" t="s">
        <v>183</v>
      </c>
      <c r="X2036" s="2" t="s">
        <v>100</v>
      </c>
      <c r="Y2036" s="2" t="s">
        <v>6633</v>
      </c>
      <c r="Z2036" s="4">
        <v>605</v>
      </c>
      <c r="AA2036" s="4">
        <f>=ROUNDDOWN(86.4285714285714,0)</f>
      </c>
      <c r="AB2036" s="5">
        <v>7</v>
      </c>
      <c r="AC2036" s="2" t="s">
        <v>100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206</v>
      </c>
      <c r="BK2036" s="8">
        <v>5465.18</v>
      </c>
      <c r="BL2036" s="2" t="s">
        <v>1827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207</v>
      </c>
      <c r="BV2036" s="2" t="s">
        <v>97</v>
      </c>
      <c r="BW2036" s="2" t="s">
        <v>100</v>
      </c>
      <c r="BX2036" s="2" t="s">
        <v>100</v>
      </c>
      <c r="BY2036" s="2" t="s">
        <v>113</v>
      </c>
      <c r="BZ2036" s="2" t="s">
        <v>245</v>
      </c>
    </row>
    <row r="2037">
      <c r="A2037" s="2" t="s">
        <v>6634</v>
      </c>
      <c r="B2037" s="2" t="s">
        <v>5764</v>
      </c>
      <c r="C2037" s="2" t="s">
        <v>88</v>
      </c>
      <c r="D2037" s="2" t="s">
        <v>1842</v>
      </c>
      <c r="E2037" s="2" t="s">
        <v>6020</v>
      </c>
      <c r="F2037" s="2" t="s">
        <v>2040</v>
      </c>
      <c r="G2037" s="2" t="s">
        <v>2039</v>
      </c>
      <c r="H2037" s="2" t="s">
        <v>2039</v>
      </c>
      <c r="I2037" s="2" t="s">
        <v>6628</v>
      </c>
      <c r="J2037" s="2" t="s">
        <v>5024</v>
      </c>
      <c r="K2037" s="2" t="s">
        <v>1614</v>
      </c>
      <c r="L2037" s="3">
        <v>23.8</v>
      </c>
      <c r="M2037" s="3">
        <v>24.99</v>
      </c>
      <c r="N2037" s="3">
        <v>49.99</v>
      </c>
      <c r="O2037" s="2" t="s">
        <v>97</v>
      </c>
      <c r="P2037" s="2" t="s">
        <v>119</v>
      </c>
      <c r="Q2037" s="2" t="s">
        <v>99</v>
      </c>
      <c r="R2037" s="2" t="s">
        <v>100</v>
      </c>
      <c r="S2037" s="2" t="s">
        <v>6635</v>
      </c>
      <c r="T2037" s="2" t="s">
        <v>100</v>
      </c>
      <c r="U2037" s="2" t="s">
        <v>1847</v>
      </c>
      <c r="V2037" s="2" t="s">
        <v>146</v>
      </c>
      <c r="W2037" s="2" t="s">
        <v>183</v>
      </c>
      <c r="X2037" s="2" t="s">
        <v>100</v>
      </c>
      <c r="Y2037" s="2" t="s">
        <v>4611</v>
      </c>
      <c r="Z2037" s="4">
        <v>526</v>
      </c>
      <c r="AA2037" s="4">
        <f>=ROUNDDOWN(40.4615384615385,0)</f>
      </c>
      <c r="AB2037" s="5">
        <v>13</v>
      </c>
      <c r="AC2037" s="2" t="s">
        <v>3031</v>
      </c>
      <c r="AD2037" s="4">
        <v>500</v>
      </c>
      <c r="AE2037" s="4">
        <v>500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278</v>
      </c>
      <c r="BK2037" s="8">
        <v>7567.83</v>
      </c>
      <c r="BL2037" s="2" t="s">
        <v>6636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207</v>
      </c>
      <c r="BV2037" s="2" t="s">
        <v>97</v>
      </c>
      <c r="BW2037" s="2" t="s">
        <v>100</v>
      </c>
      <c r="BX2037" s="2" t="s">
        <v>100</v>
      </c>
      <c r="BY2037" s="2" t="s">
        <v>113</v>
      </c>
      <c r="BZ2037" s="2" t="s">
        <v>245</v>
      </c>
    </row>
    <row r="2038">
      <c r="A2038" s="2" t="s">
        <v>6637</v>
      </c>
      <c r="B2038" s="2" t="s">
        <v>5764</v>
      </c>
      <c r="C2038" s="2" t="s">
        <v>88</v>
      </c>
      <c r="D2038" s="2" t="s">
        <v>1842</v>
      </c>
      <c r="E2038" s="2" t="s">
        <v>6020</v>
      </c>
      <c r="F2038" s="2" t="s">
        <v>2040</v>
      </c>
      <c r="G2038" s="2" t="s">
        <v>2039</v>
      </c>
      <c r="H2038" s="2" t="s">
        <v>2039</v>
      </c>
      <c r="I2038" s="2" t="s">
        <v>6628</v>
      </c>
      <c r="J2038" s="2" t="s">
        <v>5024</v>
      </c>
      <c r="K2038" s="2" t="s">
        <v>469</v>
      </c>
      <c r="L2038" s="3">
        <v>23.8</v>
      </c>
      <c r="M2038" s="3">
        <v>24.99</v>
      </c>
      <c r="N2038" s="3">
        <v>49.99</v>
      </c>
      <c r="O2038" s="2" t="s">
        <v>97</v>
      </c>
      <c r="P2038" s="2" t="s">
        <v>119</v>
      </c>
      <c r="Q2038" s="2" t="s">
        <v>99</v>
      </c>
      <c r="R2038" s="2" t="s">
        <v>100</v>
      </c>
      <c r="S2038" s="2" t="s">
        <v>6638</v>
      </c>
      <c r="T2038" s="2" t="s">
        <v>100</v>
      </c>
      <c r="U2038" s="2" t="s">
        <v>1847</v>
      </c>
      <c r="V2038" s="2" t="s">
        <v>146</v>
      </c>
      <c r="W2038" s="2" t="s">
        <v>183</v>
      </c>
      <c r="X2038" s="2" t="s">
        <v>100</v>
      </c>
      <c r="Y2038" s="2" t="s">
        <v>4611</v>
      </c>
      <c r="Z2038" s="4">
        <v>252</v>
      </c>
      <c r="AA2038" s="4">
        <f>=ROUNDDOWN(50.4,0)</f>
      </c>
      <c r="AB2038" s="5">
        <v>5</v>
      </c>
      <c r="AC2038" s="2" t="s">
        <v>100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113</v>
      </c>
      <c r="BK2038" s="8">
        <v>3026.37</v>
      </c>
      <c r="BL2038" s="2" t="s">
        <v>6639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207</v>
      </c>
      <c r="BV2038" s="2" t="s">
        <v>97</v>
      </c>
      <c r="BW2038" s="2" t="s">
        <v>100</v>
      </c>
      <c r="BX2038" s="2" t="s">
        <v>100</v>
      </c>
      <c r="BY2038" s="2" t="s">
        <v>113</v>
      </c>
      <c r="BZ2038" s="2" t="s">
        <v>245</v>
      </c>
    </row>
    <row r="2039">
      <c r="A2039" s="2" t="s">
        <v>6640</v>
      </c>
      <c r="B2039" s="2" t="s">
        <v>5764</v>
      </c>
      <c r="C2039" s="2" t="s">
        <v>88</v>
      </c>
      <c r="D2039" s="2" t="s">
        <v>1842</v>
      </c>
      <c r="E2039" s="2" t="s">
        <v>6020</v>
      </c>
      <c r="F2039" s="2" t="s">
        <v>6641</v>
      </c>
      <c r="G2039" s="2" t="s">
        <v>6641</v>
      </c>
      <c r="H2039" s="2" t="s">
        <v>6641</v>
      </c>
      <c r="I2039" s="2" t="s">
        <v>6020</v>
      </c>
      <c r="J2039" s="2" t="s">
        <v>5024</v>
      </c>
      <c r="K2039" s="2" t="s">
        <v>96</v>
      </c>
      <c r="L2039" s="3">
        <v>18.09</v>
      </c>
      <c r="M2039" s="3">
        <v>18.99</v>
      </c>
      <c r="N2039" s="3">
        <v>39.99</v>
      </c>
      <c r="O2039" s="2" t="s">
        <v>97</v>
      </c>
      <c r="P2039" s="2" t="s">
        <v>119</v>
      </c>
      <c r="Q2039" s="2" t="s">
        <v>99</v>
      </c>
      <c r="R2039" s="2" t="s">
        <v>100</v>
      </c>
      <c r="S2039" s="2" t="s">
        <v>6642</v>
      </c>
      <c r="T2039" s="2" t="s">
        <v>6072</v>
      </c>
      <c r="U2039" s="2" t="s">
        <v>1847</v>
      </c>
      <c r="V2039" s="2" t="s">
        <v>146</v>
      </c>
      <c r="W2039" s="2" t="s">
        <v>673</v>
      </c>
      <c r="X2039" s="2" t="s">
        <v>100</v>
      </c>
      <c r="Y2039" s="2" t="s">
        <v>1798</v>
      </c>
      <c r="Z2039" s="4">
        <v>2135</v>
      </c>
      <c r="AA2039" s="4">
        <f>=ROUNDDOWN(85.4,0)</f>
      </c>
      <c r="AB2039" s="5">
        <v>25</v>
      </c>
      <c r="AC2039" s="2" t="s">
        <v>562</v>
      </c>
      <c r="AD2039" s="4">
        <v>500</v>
      </c>
      <c r="AE2039" s="4">
        <v>800</v>
      </c>
      <c r="AF2039" s="6">
        <v>64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511</v>
      </c>
      <c r="BK2039" s="8">
        <v>9408.65</v>
      </c>
      <c r="BL2039" s="2" t="s">
        <v>6643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6644</v>
      </c>
      <c r="BX2039" s="2" t="s">
        <v>137</v>
      </c>
      <c r="BY2039" s="2" t="s">
        <v>113</v>
      </c>
      <c r="BZ2039" s="2" t="s">
        <v>100</v>
      </c>
    </row>
    <row r="2040">
      <c r="A2040" s="2" t="s">
        <v>6645</v>
      </c>
      <c r="B2040" s="2" t="s">
        <v>5764</v>
      </c>
      <c r="C2040" s="2" t="s">
        <v>88</v>
      </c>
      <c r="D2040" s="2" t="s">
        <v>1842</v>
      </c>
      <c r="E2040" s="2" t="s">
        <v>6020</v>
      </c>
      <c r="F2040" s="2" t="s">
        <v>6641</v>
      </c>
      <c r="G2040" s="2" t="s">
        <v>6641</v>
      </c>
      <c r="H2040" s="2" t="s">
        <v>6641</v>
      </c>
      <c r="I2040" s="2" t="s">
        <v>6020</v>
      </c>
      <c r="J2040" s="2" t="s">
        <v>5024</v>
      </c>
      <c r="K2040" s="2" t="s">
        <v>335</v>
      </c>
      <c r="L2040" s="3">
        <v>18.09</v>
      </c>
      <c r="M2040" s="3">
        <v>18.99</v>
      </c>
      <c r="N2040" s="3">
        <v>39.99</v>
      </c>
      <c r="O2040" s="2" t="s">
        <v>97</v>
      </c>
      <c r="P2040" s="2" t="s">
        <v>119</v>
      </c>
      <c r="Q2040" s="2" t="s">
        <v>99</v>
      </c>
      <c r="R2040" s="2" t="s">
        <v>100</v>
      </c>
      <c r="S2040" s="2" t="s">
        <v>6646</v>
      </c>
      <c r="T2040" s="2" t="s">
        <v>6072</v>
      </c>
      <c r="U2040" s="2" t="s">
        <v>1847</v>
      </c>
      <c r="V2040" s="2" t="s">
        <v>146</v>
      </c>
      <c r="W2040" s="2" t="s">
        <v>673</v>
      </c>
      <c r="X2040" s="2" t="s">
        <v>100</v>
      </c>
      <c r="Y2040" s="2" t="s">
        <v>6647</v>
      </c>
      <c r="Z2040" s="4">
        <v>2435</v>
      </c>
      <c r="AA2040" s="4">
        <f>=ROUNDDOWN(101.458333333333,0)</f>
      </c>
      <c r="AB2040" s="5">
        <v>24</v>
      </c>
      <c r="AC2040" s="2" t="s">
        <v>562</v>
      </c>
      <c r="AD2040" s="4">
        <v>630</v>
      </c>
      <c r="AE2040" s="4">
        <v>630</v>
      </c>
      <c r="AF2040" s="6">
        <v>64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600</v>
      </c>
      <c r="BK2040" s="8">
        <v>11394.95</v>
      </c>
      <c r="BL2040" s="2" t="s">
        <v>6648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207</v>
      </c>
      <c r="BV2040" s="2" t="s">
        <v>97</v>
      </c>
      <c r="BW2040" s="2" t="s">
        <v>100</v>
      </c>
      <c r="BX2040" s="2" t="s">
        <v>100</v>
      </c>
      <c r="BY2040" s="2" t="s">
        <v>113</v>
      </c>
      <c r="BZ2040" s="2" t="s">
        <v>100</v>
      </c>
    </row>
    <row r="2041">
      <c r="A2041" s="2" t="s">
        <v>6649</v>
      </c>
      <c r="B2041" s="2" t="s">
        <v>5764</v>
      </c>
      <c r="C2041" s="2" t="s">
        <v>88</v>
      </c>
      <c r="D2041" s="2" t="s">
        <v>1842</v>
      </c>
      <c r="E2041" s="2" t="s">
        <v>6020</v>
      </c>
      <c r="F2041" s="2" t="s">
        <v>6641</v>
      </c>
      <c r="G2041" s="2" t="s">
        <v>6641</v>
      </c>
      <c r="H2041" s="2" t="s">
        <v>6641</v>
      </c>
      <c r="I2041" s="2" t="s">
        <v>6020</v>
      </c>
      <c r="J2041" s="2" t="s">
        <v>5024</v>
      </c>
      <c r="K2041" s="2" t="s">
        <v>432</v>
      </c>
      <c r="L2041" s="3">
        <v>18.09</v>
      </c>
      <c r="M2041" s="3">
        <v>18.99</v>
      </c>
      <c r="N2041" s="3">
        <v>39.99</v>
      </c>
      <c r="O2041" s="2" t="s">
        <v>97</v>
      </c>
      <c r="P2041" s="2" t="s">
        <v>307</v>
      </c>
      <c r="Q2041" s="2" t="s">
        <v>99</v>
      </c>
      <c r="R2041" s="2" t="s">
        <v>100</v>
      </c>
      <c r="S2041" s="2" t="s">
        <v>6642</v>
      </c>
      <c r="T2041" s="2" t="s">
        <v>6072</v>
      </c>
      <c r="U2041" s="2" t="s">
        <v>1847</v>
      </c>
      <c r="V2041" s="2" t="s">
        <v>146</v>
      </c>
      <c r="W2041" s="2" t="s">
        <v>673</v>
      </c>
      <c r="X2041" s="2" t="s">
        <v>100</v>
      </c>
      <c r="Y2041" s="2" t="s">
        <v>1798</v>
      </c>
      <c r="Z2041" s="4">
        <v>166</v>
      </c>
      <c r="AA2041" s="4">
        <f>=ROUNDDOWN(1.69387755102041,0)</f>
      </c>
      <c r="AB2041" s="5">
        <v>98</v>
      </c>
      <c r="AC2041" s="2" t="s">
        <v>356</v>
      </c>
      <c r="AD2041" s="4">
        <v>583</v>
      </c>
      <c r="AE2041" s="4">
        <v>6583</v>
      </c>
      <c r="AF2041" s="6">
        <v>64</v>
      </c>
      <c r="AG2041" s="6">
        <v>47</v>
      </c>
      <c r="AH2041" s="7">
        <v>0.893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3893</v>
      </c>
      <c r="BK2041" s="8">
        <v>71036.01</v>
      </c>
      <c r="BL2041" s="2" t="s">
        <v>6650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6644</v>
      </c>
      <c r="BX2041" s="2" t="s">
        <v>4495</v>
      </c>
      <c r="BY2041" s="2" t="s">
        <v>113</v>
      </c>
      <c r="BZ2041" s="2" t="s">
        <v>100</v>
      </c>
    </row>
    <row r="2042">
      <c r="A2042" s="2" t="s">
        <v>6651</v>
      </c>
      <c r="B2042" s="2" t="s">
        <v>5764</v>
      </c>
      <c r="C2042" s="2" t="s">
        <v>88</v>
      </c>
      <c r="D2042" s="2" t="s">
        <v>1842</v>
      </c>
      <c r="E2042" s="2" t="s">
        <v>6020</v>
      </c>
      <c r="F2042" s="2" t="s">
        <v>6641</v>
      </c>
      <c r="G2042" s="2" t="s">
        <v>6641</v>
      </c>
      <c r="H2042" s="2" t="s">
        <v>6641</v>
      </c>
      <c r="I2042" s="2" t="s">
        <v>6020</v>
      </c>
      <c r="J2042" s="2" t="s">
        <v>5024</v>
      </c>
      <c r="K2042" s="2" t="s">
        <v>198</v>
      </c>
      <c r="L2042" s="3">
        <v>18.09</v>
      </c>
      <c r="M2042" s="3">
        <v>18.99</v>
      </c>
      <c r="N2042" s="3">
        <v>39.99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6652</v>
      </c>
      <c r="T2042" s="2" t="s">
        <v>6072</v>
      </c>
      <c r="U2042" s="2" t="s">
        <v>1847</v>
      </c>
      <c r="V2042" s="2" t="s">
        <v>146</v>
      </c>
      <c r="W2042" s="2" t="s">
        <v>673</v>
      </c>
      <c r="X2042" s="2" t="s">
        <v>100</v>
      </c>
      <c r="Y2042" s="2" t="s">
        <v>240</v>
      </c>
      <c r="Z2042" s="4">
        <v>4107</v>
      </c>
      <c r="AA2042" s="4">
        <f>=ROUNDDOWN(77.4905660377358,0)</f>
      </c>
      <c r="AB2042" s="5">
        <v>53</v>
      </c>
      <c r="AC2042" s="2" t="s">
        <v>1102</v>
      </c>
      <c r="AD2042" s="4">
        <v>700</v>
      </c>
      <c r="AE2042" s="4">
        <v>1500</v>
      </c>
      <c r="AF2042" s="6">
        <v>64</v>
      </c>
      <c r="AG2042" s="6">
        <v>47</v>
      </c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1435</v>
      </c>
      <c r="BK2042" s="8">
        <v>26420.55</v>
      </c>
      <c r="BL2042" s="2" t="s">
        <v>6653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4840</v>
      </c>
      <c r="BX2042" s="2" t="s">
        <v>6654</v>
      </c>
      <c r="BY2042" s="2" t="s">
        <v>113</v>
      </c>
      <c r="BZ2042" s="2" t="s">
        <v>100</v>
      </c>
    </row>
    <row r="2043">
      <c r="A2043" s="2" t="s">
        <v>6655</v>
      </c>
      <c r="B2043" s="2" t="s">
        <v>5764</v>
      </c>
      <c r="C2043" s="2" t="s">
        <v>88</v>
      </c>
      <c r="D2043" s="2" t="s">
        <v>1842</v>
      </c>
      <c r="E2043" s="2" t="s">
        <v>6020</v>
      </c>
      <c r="F2043" s="2" t="s">
        <v>6641</v>
      </c>
      <c r="G2043" s="2" t="s">
        <v>6641</v>
      </c>
      <c r="H2043" s="2" t="s">
        <v>6641</v>
      </c>
      <c r="I2043" s="2" t="s">
        <v>6020</v>
      </c>
      <c r="J2043" s="2" t="s">
        <v>5024</v>
      </c>
      <c r="K2043" s="2" t="s">
        <v>1614</v>
      </c>
      <c r="L2043" s="3">
        <v>18.09</v>
      </c>
      <c r="M2043" s="3">
        <v>18.99</v>
      </c>
      <c r="N2043" s="3">
        <v>39.99</v>
      </c>
      <c r="O2043" s="2" t="s">
        <v>97</v>
      </c>
      <c r="P2043" s="2" t="s">
        <v>307</v>
      </c>
      <c r="Q2043" s="2" t="s">
        <v>99</v>
      </c>
      <c r="R2043" s="2" t="s">
        <v>100</v>
      </c>
      <c r="S2043" s="2" t="s">
        <v>6656</v>
      </c>
      <c r="T2043" s="2" t="s">
        <v>6072</v>
      </c>
      <c r="U2043" s="2" t="s">
        <v>1847</v>
      </c>
      <c r="V2043" s="2" t="s">
        <v>146</v>
      </c>
      <c r="W2043" s="2" t="s">
        <v>673</v>
      </c>
      <c r="X2043" s="2" t="s">
        <v>100</v>
      </c>
      <c r="Y2043" s="2" t="s">
        <v>240</v>
      </c>
      <c r="Z2043" s="4">
        <v>5201</v>
      </c>
      <c r="AA2043" s="4">
        <f>=ROUNDDOWN(46.8558558558559,0)</f>
      </c>
      <c r="AB2043" s="5">
        <v>111</v>
      </c>
      <c r="AC2043" s="2" t="s">
        <v>123</v>
      </c>
      <c r="AD2043" s="4">
        <v>300</v>
      </c>
      <c r="AE2043" s="4">
        <v>4500</v>
      </c>
      <c r="AF2043" s="6">
        <v>64</v>
      </c>
      <c r="AG2043" s="6">
        <v>47</v>
      </c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4302</v>
      </c>
      <c r="BK2043" s="8">
        <v>81124.3</v>
      </c>
      <c r="BL2043" s="2" t="s">
        <v>6650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4840</v>
      </c>
      <c r="BX2043" s="2" t="s">
        <v>6228</v>
      </c>
      <c r="BY2043" s="2" t="s">
        <v>113</v>
      </c>
      <c r="BZ2043" s="2" t="s">
        <v>100</v>
      </c>
    </row>
    <row r="2044">
      <c r="A2044" s="2" t="s">
        <v>6657</v>
      </c>
      <c r="B2044" s="2" t="s">
        <v>5764</v>
      </c>
      <c r="C2044" s="2" t="s">
        <v>88</v>
      </c>
      <c r="D2044" s="2" t="s">
        <v>1842</v>
      </c>
      <c r="E2044" s="2" t="s">
        <v>6020</v>
      </c>
      <c r="F2044" s="2" t="s">
        <v>6641</v>
      </c>
      <c r="G2044" s="2" t="s">
        <v>6641</v>
      </c>
      <c r="H2044" s="2" t="s">
        <v>6641</v>
      </c>
      <c r="I2044" s="2" t="s">
        <v>6020</v>
      </c>
      <c r="J2044" s="2" t="s">
        <v>5024</v>
      </c>
      <c r="K2044" s="2" t="s">
        <v>5794</v>
      </c>
      <c r="L2044" s="3">
        <v>18.09</v>
      </c>
      <c r="M2044" s="3">
        <v>18.99</v>
      </c>
      <c r="N2044" s="3">
        <v>39.99</v>
      </c>
      <c r="O2044" s="2" t="s">
        <v>97</v>
      </c>
      <c r="P2044" s="2" t="s">
        <v>950</v>
      </c>
      <c r="Q2044" s="2" t="s">
        <v>99</v>
      </c>
      <c r="R2044" s="2" t="s">
        <v>100</v>
      </c>
      <c r="S2044" s="2" t="s">
        <v>6642</v>
      </c>
      <c r="T2044" s="2" t="s">
        <v>6072</v>
      </c>
      <c r="U2044" s="2" t="s">
        <v>1847</v>
      </c>
      <c r="V2044" s="2" t="s">
        <v>146</v>
      </c>
      <c r="W2044" s="2" t="s">
        <v>673</v>
      </c>
      <c r="X2044" s="2" t="s">
        <v>100</v>
      </c>
      <c r="Y2044" s="2" t="s">
        <v>1798</v>
      </c>
      <c r="Z2044" s="4">
        <v>3455</v>
      </c>
      <c r="AA2044" s="4">
        <f>=ROUNDDOWN(76.7777777777778,0)</f>
      </c>
      <c r="AB2044" s="5">
        <v>45</v>
      </c>
      <c r="AC2044" s="2" t="s">
        <v>562</v>
      </c>
      <c r="AD2044" s="4">
        <v>400</v>
      </c>
      <c r="AE2044" s="4">
        <v>800</v>
      </c>
      <c r="AF2044" s="6">
        <v>64</v>
      </c>
      <c r="AG2044" s="6">
        <v>47</v>
      </c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1573</v>
      </c>
      <c r="BK2044" s="8">
        <v>28843.13</v>
      </c>
      <c r="BL2044" s="2" t="s">
        <v>1154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6644</v>
      </c>
      <c r="BX2044" s="2" t="s">
        <v>6658</v>
      </c>
      <c r="BY2044" s="2" t="s">
        <v>113</v>
      </c>
      <c r="BZ2044" s="2" t="s">
        <v>100</v>
      </c>
    </row>
    <row r="2045">
      <c r="A2045" s="2" t="s">
        <v>6659</v>
      </c>
      <c r="B2045" s="2" t="s">
        <v>5764</v>
      </c>
      <c r="C2045" s="2" t="s">
        <v>88</v>
      </c>
      <c r="D2045" s="2" t="s">
        <v>1842</v>
      </c>
      <c r="E2045" s="2" t="s">
        <v>6020</v>
      </c>
      <c r="F2045" s="2" t="s">
        <v>6641</v>
      </c>
      <c r="G2045" s="2" t="s">
        <v>6641</v>
      </c>
      <c r="H2045" s="2" t="s">
        <v>6641</v>
      </c>
      <c r="I2045" s="2" t="s">
        <v>6020</v>
      </c>
      <c r="J2045" s="2" t="s">
        <v>5024</v>
      </c>
      <c r="K2045" s="2" t="s">
        <v>6660</v>
      </c>
      <c r="L2045" s="3">
        <v>18.09</v>
      </c>
      <c r="M2045" s="3">
        <v>18.99</v>
      </c>
      <c r="N2045" s="3">
        <v>39.99</v>
      </c>
      <c r="O2045" s="2" t="s">
        <v>97</v>
      </c>
      <c r="P2045" s="2" t="s">
        <v>119</v>
      </c>
      <c r="Q2045" s="2" t="s">
        <v>99</v>
      </c>
      <c r="R2045" s="2" t="s">
        <v>100</v>
      </c>
      <c r="S2045" s="2" t="s">
        <v>6661</v>
      </c>
      <c r="T2045" s="2" t="s">
        <v>6072</v>
      </c>
      <c r="U2045" s="2" t="s">
        <v>1847</v>
      </c>
      <c r="V2045" s="2" t="s">
        <v>104</v>
      </c>
      <c r="W2045" s="2" t="s">
        <v>673</v>
      </c>
      <c r="X2045" s="2" t="s">
        <v>100</v>
      </c>
      <c r="Y2045" s="2" t="s">
        <v>5664</v>
      </c>
      <c r="Z2045" s="4">
        <v>2557</v>
      </c>
      <c r="AA2045" s="4">
        <f>=ROUNDDOWN(75.2058823529412,0)</f>
      </c>
      <c r="AB2045" s="5">
        <v>34</v>
      </c>
      <c r="AC2045" s="2" t="s">
        <v>6580</v>
      </c>
      <c r="AD2045" s="4">
        <v>790</v>
      </c>
      <c r="AE2045" s="4">
        <v>1590</v>
      </c>
      <c r="AF2045" s="6">
        <v>64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680</v>
      </c>
      <c r="BK2045" s="8">
        <v>13300.07</v>
      </c>
      <c r="BL2045" s="2" t="s">
        <v>6662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207</v>
      </c>
      <c r="BV2045" s="2" t="s">
        <v>97</v>
      </c>
      <c r="BW2045" s="2" t="s">
        <v>100</v>
      </c>
      <c r="BX2045" s="2" t="s">
        <v>100</v>
      </c>
      <c r="BY2045" s="2" t="s">
        <v>113</v>
      </c>
      <c r="BZ2045" s="2" t="s">
        <v>100</v>
      </c>
    </row>
    <row r="2046">
      <c r="A2046" s="2" t="s">
        <v>6663</v>
      </c>
      <c r="B2046" s="2" t="s">
        <v>5764</v>
      </c>
      <c r="C2046" s="2" t="s">
        <v>88</v>
      </c>
      <c r="D2046" s="2" t="s">
        <v>1842</v>
      </c>
      <c r="E2046" s="2" t="s">
        <v>6020</v>
      </c>
      <c r="F2046" s="2" t="s">
        <v>6641</v>
      </c>
      <c r="G2046" s="2" t="s">
        <v>6641</v>
      </c>
      <c r="H2046" s="2" t="s">
        <v>6641</v>
      </c>
      <c r="I2046" s="2" t="s">
        <v>6020</v>
      </c>
      <c r="J2046" s="2" t="s">
        <v>5024</v>
      </c>
      <c r="K2046" s="2" t="s">
        <v>4580</v>
      </c>
      <c r="L2046" s="3">
        <v>18.09</v>
      </c>
      <c r="M2046" s="3">
        <v>18.99</v>
      </c>
      <c r="N2046" s="3">
        <v>39.99</v>
      </c>
      <c r="O2046" s="2" t="s">
        <v>97</v>
      </c>
      <c r="P2046" s="2" t="s">
        <v>950</v>
      </c>
      <c r="Q2046" s="2" t="s">
        <v>99</v>
      </c>
      <c r="R2046" s="2" t="s">
        <v>100</v>
      </c>
      <c r="S2046" s="2" t="s">
        <v>6664</v>
      </c>
      <c r="T2046" s="2" t="s">
        <v>6072</v>
      </c>
      <c r="U2046" s="2" t="s">
        <v>1847</v>
      </c>
      <c r="V2046" s="2" t="s">
        <v>104</v>
      </c>
      <c r="W2046" s="2" t="s">
        <v>673</v>
      </c>
      <c r="X2046" s="2" t="s">
        <v>100</v>
      </c>
      <c r="Y2046" s="2" t="s">
        <v>5210</v>
      </c>
      <c r="Z2046" s="4">
        <v>2470</v>
      </c>
      <c r="AA2046" s="4">
        <f>=ROUNDDOWN(82.3333333333333,0)</f>
      </c>
      <c r="AB2046" s="5">
        <v>30</v>
      </c>
      <c r="AC2046" s="2" t="s">
        <v>562</v>
      </c>
      <c r="AD2046" s="4">
        <v>800</v>
      </c>
      <c r="AE2046" s="4">
        <v>1460</v>
      </c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929</v>
      </c>
      <c r="BK2046" s="8">
        <v>17786.01</v>
      </c>
      <c r="BL2046" s="2" t="s">
        <v>6665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207</v>
      </c>
      <c r="BV2046" s="2" t="s">
        <v>97</v>
      </c>
      <c r="BW2046" s="2" t="s">
        <v>100</v>
      </c>
      <c r="BX2046" s="2" t="s">
        <v>100</v>
      </c>
      <c r="BY2046" s="2" t="s">
        <v>113</v>
      </c>
      <c r="BZ2046" s="2" t="s">
        <v>100</v>
      </c>
    </row>
    <row r="2047">
      <c r="A2047" s="2" t="s">
        <v>6666</v>
      </c>
      <c r="B2047" s="2" t="s">
        <v>5764</v>
      </c>
      <c r="C2047" s="2" t="s">
        <v>88</v>
      </c>
      <c r="D2047" s="2" t="s">
        <v>1842</v>
      </c>
      <c r="E2047" s="2" t="s">
        <v>6020</v>
      </c>
      <c r="F2047" s="2" t="s">
        <v>6641</v>
      </c>
      <c r="G2047" s="2" t="s">
        <v>6641</v>
      </c>
      <c r="H2047" s="2" t="s">
        <v>6641</v>
      </c>
      <c r="I2047" s="2" t="s">
        <v>6020</v>
      </c>
      <c r="J2047" s="2" t="s">
        <v>5024</v>
      </c>
      <c r="K2047" s="2" t="s">
        <v>578</v>
      </c>
      <c r="L2047" s="3">
        <v>18.09</v>
      </c>
      <c r="M2047" s="3">
        <v>18.99</v>
      </c>
      <c r="N2047" s="3">
        <v>39.99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6667</v>
      </c>
      <c r="T2047" s="2" t="s">
        <v>6072</v>
      </c>
      <c r="U2047" s="2" t="s">
        <v>1847</v>
      </c>
      <c r="V2047" s="2" t="s">
        <v>146</v>
      </c>
      <c r="W2047" s="2" t="s">
        <v>673</v>
      </c>
      <c r="X2047" s="2" t="s">
        <v>100</v>
      </c>
      <c r="Y2047" s="2" t="s">
        <v>240</v>
      </c>
      <c r="Z2047" s="4">
        <v>4002</v>
      </c>
      <c r="AA2047" s="4">
        <f>=ROUNDDOWN(81.6734693877551,0)</f>
      </c>
      <c r="AB2047" s="5">
        <v>49</v>
      </c>
      <c r="AC2047" s="2" t="s">
        <v>356</v>
      </c>
      <c r="AD2047" s="4">
        <v>720</v>
      </c>
      <c r="AE2047" s="4">
        <v>1420</v>
      </c>
      <c r="AF2047" s="6">
        <v>64</v>
      </c>
      <c r="AG2047" s="6">
        <v>47</v>
      </c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1273</v>
      </c>
      <c r="BK2047" s="8">
        <v>23528.3</v>
      </c>
      <c r="BL2047" s="2" t="s">
        <v>6668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4840</v>
      </c>
      <c r="BX2047" s="2" t="s">
        <v>1993</v>
      </c>
      <c r="BY2047" s="2" t="s">
        <v>113</v>
      </c>
      <c r="BZ2047" s="2" t="s">
        <v>100</v>
      </c>
    </row>
    <row r="2048">
      <c r="A2048" s="2" t="s">
        <v>6669</v>
      </c>
      <c r="B2048" s="2" t="s">
        <v>5764</v>
      </c>
      <c r="C2048" s="2" t="s">
        <v>88</v>
      </c>
      <c r="D2048" s="2" t="s">
        <v>1842</v>
      </c>
      <c r="E2048" s="2" t="s">
        <v>6020</v>
      </c>
      <c r="F2048" s="2" t="s">
        <v>6670</v>
      </c>
      <c r="G2048" s="2" t="s">
        <v>6671</v>
      </c>
      <c r="H2048" s="2" t="s">
        <v>6671</v>
      </c>
      <c r="I2048" s="2" t="s">
        <v>6672</v>
      </c>
      <c r="J2048" s="2" t="s">
        <v>6021</v>
      </c>
      <c r="K2048" s="2" t="s">
        <v>432</v>
      </c>
      <c r="L2048" s="3">
        <v>14.85</v>
      </c>
      <c r="M2048" s="3">
        <v>15.59</v>
      </c>
      <c r="N2048" s="3">
        <v>32.99</v>
      </c>
      <c r="O2048" s="2" t="s">
        <v>97</v>
      </c>
      <c r="P2048" s="2" t="s">
        <v>119</v>
      </c>
      <c r="Q2048" s="2" t="s">
        <v>99</v>
      </c>
      <c r="R2048" s="2" t="s">
        <v>100</v>
      </c>
      <c r="S2048" s="2" t="s">
        <v>6673</v>
      </c>
      <c r="T2048" s="2" t="s">
        <v>6072</v>
      </c>
      <c r="U2048" s="2" t="s">
        <v>1847</v>
      </c>
      <c r="V2048" s="2" t="s">
        <v>1150</v>
      </c>
      <c r="W2048" s="2" t="s">
        <v>561</v>
      </c>
      <c r="X2048" s="2" t="s">
        <v>673</v>
      </c>
      <c r="Y2048" s="2" t="s">
        <v>6674</v>
      </c>
      <c r="Z2048" s="4">
        <v>1431</v>
      </c>
      <c r="AA2048" s="4">
        <f>=ROUNDDOWN(143.1,0)</f>
      </c>
      <c r="AB2048" s="5">
        <v>10</v>
      </c>
      <c r="AC2048" s="2" t="s">
        <v>821</v>
      </c>
      <c r="AD2048" s="4">
        <v>500</v>
      </c>
      <c r="AE2048" s="4">
        <v>500</v>
      </c>
      <c r="AF2048" s="6">
        <v>64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308</v>
      </c>
      <c r="BK2048" s="8">
        <v>4582.45</v>
      </c>
      <c r="BL2048" s="2" t="s">
        <v>6675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207</v>
      </c>
      <c r="BV2048" s="2" t="s">
        <v>97</v>
      </c>
      <c r="BW2048" s="2" t="s">
        <v>100</v>
      </c>
      <c r="BX2048" s="2" t="s">
        <v>100</v>
      </c>
      <c r="BY2048" s="2" t="s">
        <v>113</v>
      </c>
      <c r="BZ2048" s="2" t="s">
        <v>100</v>
      </c>
    </row>
    <row r="2049">
      <c r="A2049" s="2" t="s">
        <v>6676</v>
      </c>
      <c r="B2049" s="2" t="s">
        <v>5764</v>
      </c>
      <c r="C2049" s="2" t="s">
        <v>88</v>
      </c>
      <c r="D2049" s="2" t="s">
        <v>1842</v>
      </c>
      <c r="E2049" s="2" t="s">
        <v>6020</v>
      </c>
      <c r="F2049" s="2" t="s">
        <v>6670</v>
      </c>
      <c r="G2049" s="2" t="s">
        <v>6671</v>
      </c>
      <c r="H2049" s="2" t="s">
        <v>6671</v>
      </c>
      <c r="I2049" s="2" t="s">
        <v>6672</v>
      </c>
      <c r="J2049" s="2" t="s">
        <v>6021</v>
      </c>
      <c r="K2049" s="2" t="s">
        <v>198</v>
      </c>
      <c r="L2049" s="3">
        <v>14.85</v>
      </c>
      <c r="M2049" s="3">
        <v>15.59</v>
      </c>
      <c r="N2049" s="3">
        <v>32.99</v>
      </c>
      <c r="O2049" s="2" t="s">
        <v>97</v>
      </c>
      <c r="P2049" s="2" t="s">
        <v>119</v>
      </c>
      <c r="Q2049" s="2" t="s">
        <v>99</v>
      </c>
      <c r="R2049" s="2" t="s">
        <v>100</v>
      </c>
      <c r="S2049" s="2" t="s">
        <v>6677</v>
      </c>
      <c r="T2049" s="2" t="s">
        <v>6072</v>
      </c>
      <c r="U2049" s="2" t="s">
        <v>100</v>
      </c>
      <c r="V2049" s="2" t="s">
        <v>1150</v>
      </c>
      <c r="W2049" s="2" t="s">
        <v>561</v>
      </c>
      <c r="X2049" s="2" t="s">
        <v>673</v>
      </c>
      <c r="Y2049" s="2" t="s">
        <v>4696</v>
      </c>
      <c r="Z2049" s="4">
        <v>2453</v>
      </c>
      <c r="AA2049" s="4">
        <f>=ROUNDDOWN(116.809523809524,0)</f>
      </c>
      <c r="AB2049" s="5">
        <v>21</v>
      </c>
      <c r="AC2049" s="2" t="s">
        <v>821</v>
      </c>
      <c r="AD2049" s="4">
        <v>750</v>
      </c>
      <c r="AE2049" s="4">
        <v>750</v>
      </c>
      <c r="AF2049" s="6">
        <v>64</v>
      </c>
      <c r="AG2049" s="6">
        <v>47</v>
      </c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637</v>
      </c>
      <c r="BK2049" s="8">
        <v>9762.81</v>
      </c>
      <c r="BL2049" s="2" t="s">
        <v>6678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6644</v>
      </c>
      <c r="BX2049" s="2" t="s">
        <v>2208</v>
      </c>
      <c r="BY2049" s="2" t="s">
        <v>113</v>
      </c>
      <c r="BZ2049" s="2" t="s">
        <v>100</v>
      </c>
    </row>
    <row r="2050">
      <c r="A2050" s="2" t="s">
        <v>6679</v>
      </c>
      <c r="B2050" s="2" t="s">
        <v>5764</v>
      </c>
      <c r="C2050" s="2" t="s">
        <v>88</v>
      </c>
      <c r="D2050" s="2" t="s">
        <v>1842</v>
      </c>
      <c r="E2050" s="2" t="s">
        <v>6020</v>
      </c>
      <c r="F2050" s="2" t="s">
        <v>6670</v>
      </c>
      <c r="G2050" s="2" t="s">
        <v>6671</v>
      </c>
      <c r="H2050" s="2" t="s">
        <v>6671</v>
      </c>
      <c r="I2050" s="2" t="s">
        <v>6672</v>
      </c>
      <c r="J2050" s="2" t="s">
        <v>6021</v>
      </c>
      <c r="K2050" s="2" t="s">
        <v>858</v>
      </c>
      <c r="L2050" s="3">
        <v>14.85</v>
      </c>
      <c r="M2050" s="3">
        <v>15.59</v>
      </c>
      <c r="N2050" s="3">
        <v>32.99</v>
      </c>
      <c r="O2050" s="2" t="s">
        <v>97</v>
      </c>
      <c r="P2050" s="2" t="s">
        <v>119</v>
      </c>
      <c r="Q2050" s="2" t="s">
        <v>99</v>
      </c>
      <c r="R2050" s="2" t="s">
        <v>100</v>
      </c>
      <c r="S2050" s="2" t="s">
        <v>6680</v>
      </c>
      <c r="T2050" s="2" t="s">
        <v>6072</v>
      </c>
      <c r="U2050" s="2" t="s">
        <v>100</v>
      </c>
      <c r="V2050" s="2" t="s">
        <v>1150</v>
      </c>
      <c r="W2050" s="2" t="s">
        <v>561</v>
      </c>
      <c r="X2050" s="2" t="s">
        <v>673</v>
      </c>
      <c r="Y2050" s="2" t="s">
        <v>4696</v>
      </c>
      <c r="Z2050" s="4">
        <v>3366</v>
      </c>
      <c r="AA2050" s="4">
        <f>=ROUNDDOWN(134.64,0)</f>
      </c>
      <c r="AB2050" s="5">
        <v>25</v>
      </c>
      <c r="AC2050" s="2" t="s">
        <v>100</v>
      </c>
      <c r="AD2050" s="4"/>
      <c r="AE2050" s="4"/>
      <c r="AF2050" s="6">
        <v>64</v>
      </c>
      <c r="AG2050" s="6">
        <v>47</v>
      </c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820</v>
      </c>
      <c r="BK2050" s="8">
        <v>12856.53</v>
      </c>
      <c r="BL2050" s="2" t="s">
        <v>6681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6644</v>
      </c>
      <c r="BX2050" s="2" t="s">
        <v>2439</v>
      </c>
      <c r="BY2050" s="2" t="s">
        <v>113</v>
      </c>
      <c r="BZ2050" s="2" t="s">
        <v>100</v>
      </c>
    </row>
    <row r="2051">
      <c r="A2051" s="2" t="s">
        <v>6682</v>
      </c>
      <c r="B2051" s="2" t="s">
        <v>5764</v>
      </c>
      <c r="C2051" s="2" t="s">
        <v>88</v>
      </c>
      <c r="D2051" s="2" t="s">
        <v>1842</v>
      </c>
      <c r="E2051" s="2" t="s">
        <v>6020</v>
      </c>
      <c r="F2051" s="2" t="s">
        <v>6683</v>
      </c>
      <c r="G2051" s="2" t="s">
        <v>6684</v>
      </c>
      <c r="H2051" s="2" t="s">
        <v>6684</v>
      </c>
      <c r="I2051" s="2" t="s">
        <v>6685</v>
      </c>
      <c r="J2051" s="2" t="s">
        <v>5024</v>
      </c>
      <c r="K2051" s="2" t="s">
        <v>198</v>
      </c>
      <c r="L2051" s="3">
        <v>20.57</v>
      </c>
      <c r="M2051" s="3">
        <v>21.6</v>
      </c>
      <c r="N2051" s="3">
        <v>44.99</v>
      </c>
      <c r="O2051" s="2" t="s">
        <v>97</v>
      </c>
      <c r="P2051" s="2" t="s">
        <v>119</v>
      </c>
      <c r="Q2051" s="2" t="s">
        <v>99</v>
      </c>
      <c r="R2051" s="2" t="s">
        <v>100</v>
      </c>
      <c r="S2051" s="2" t="s">
        <v>6686</v>
      </c>
      <c r="T2051" s="2" t="s">
        <v>6072</v>
      </c>
      <c r="U2051" s="2" t="s">
        <v>1847</v>
      </c>
      <c r="V2051" s="2" t="s">
        <v>146</v>
      </c>
      <c r="W2051" s="2" t="s">
        <v>673</v>
      </c>
      <c r="X2051" s="2" t="s">
        <v>100</v>
      </c>
      <c r="Y2051" s="2" t="s">
        <v>6687</v>
      </c>
      <c r="Z2051" s="4">
        <v>342</v>
      </c>
      <c r="AA2051" s="4">
        <f>=ROUNDDOWN(24.4285714285714,0)</f>
      </c>
      <c r="AB2051" s="5">
        <v>14</v>
      </c>
      <c r="AC2051" s="2" t="s">
        <v>1509</v>
      </c>
      <c r="AD2051" s="4">
        <v>300</v>
      </c>
      <c r="AE2051" s="4">
        <v>780</v>
      </c>
      <c r="AF2051" s="6">
        <v>64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362</v>
      </c>
      <c r="BK2051" s="8">
        <v>8406.94</v>
      </c>
      <c r="BL2051" s="2" t="s">
        <v>1336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207</v>
      </c>
      <c r="BV2051" s="2" t="s">
        <v>97</v>
      </c>
      <c r="BW2051" s="2" t="s">
        <v>100</v>
      </c>
      <c r="BX2051" s="2" t="s">
        <v>100</v>
      </c>
      <c r="BY2051" s="2" t="s">
        <v>113</v>
      </c>
      <c r="BZ2051" s="2" t="s">
        <v>100</v>
      </c>
    </row>
    <row r="2052">
      <c r="A2052" s="2" t="s">
        <v>6688</v>
      </c>
      <c r="B2052" s="2" t="s">
        <v>5764</v>
      </c>
      <c r="C2052" s="2" t="s">
        <v>88</v>
      </c>
      <c r="D2052" s="2" t="s">
        <v>1842</v>
      </c>
      <c r="E2052" s="2" t="s">
        <v>6020</v>
      </c>
      <c r="F2052" s="2" t="s">
        <v>6683</v>
      </c>
      <c r="G2052" s="2" t="s">
        <v>6684</v>
      </c>
      <c r="H2052" s="2" t="s">
        <v>6684</v>
      </c>
      <c r="I2052" s="2" t="s">
        <v>6685</v>
      </c>
      <c r="J2052" s="2" t="s">
        <v>5024</v>
      </c>
      <c r="K2052" s="2" t="s">
        <v>1614</v>
      </c>
      <c r="L2052" s="3">
        <v>20.57</v>
      </c>
      <c r="M2052" s="3">
        <v>21.6</v>
      </c>
      <c r="N2052" s="3">
        <v>44.99</v>
      </c>
      <c r="O2052" s="2" t="s">
        <v>97</v>
      </c>
      <c r="P2052" s="2" t="s">
        <v>119</v>
      </c>
      <c r="Q2052" s="2" t="s">
        <v>99</v>
      </c>
      <c r="R2052" s="2" t="s">
        <v>100</v>
      </c>
      <c r="S2052" s="2" t="s">
        <v>6689</v>
      </c>
      <c r="T2052" s="2" t="s">
        <v>6072</v>
      </c>
      <c r="U2052" s="2" t="s">
        <v>1847</v>
      </c>
      <c r="V2052" s="2" t="s">
        <v>146</v>
      </c>
      <c r="W2052" s="2" t="s">
        <v>673</v>
      </c>
      <c r="X2052" s="2" t="s">
        <v>100</v>
      </c>
      <c r="Y2052" s="2" t="s">
        <v>6690</v>
      </c>
      <c r="Z2052" s="4">
        <v>369</v>
      </c>
      <c r="AA2052" s="4">
        <f>=ROUNDDOWN(18.45,0)</f>
      </c>
      <c r="AB2052" s="5">
        <v>20</v>
      </c>
      <c r="AC2052" s="2" t="s">
        <v>123</v>
      </c>
      <c r="AD2052" s="4">
        <v>70</v>
      </c>
      <c r="AE2052" s="4">
        <v>700</v>
      </c>
      <c r="AF2052" s="6">
        <v>64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497</v>
      </c>
      <c r="BK2052" s="8">
        <v>11646.68</v>
      </c>
      <c r="BL2052" s="2" t="s">
        <v>1056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207</v>
      </c>
      <c r="BV2052" s="2" t="s">
        <v>97</v>
      </c>
      <c r="BW2052" s="2" t="s">
        <v>100</v>
      </c>
      <c r="BX2052" s="2" t="s">
        <v>100</v>
      </c>
      <c r="BY2052" s="2" t="s">
        <v>113</v>
      </c>
      <c r="BZ2052" s="2" t="s">
        <v>100</v>
      </c>
    </row>
    <row r="2053">
      <c r="A2053" s="2" t="s">
        <v>6691</v>
      </c>
      <c r="B2053" s="2" t="s">
        <v>5764</v>
      </c>
      <c r="C2053" s="2" t="s">
        <v>88</v>
      </c>
      <c r="D2053" s="2" t="s">
        <v>1842</v>
      </c>
      <c r="E2053" s="2" t="s">
        <v>1843</v>
      </c>
      <c r="F2053" s="2" t="s">
        <v>1870</v>
      </c>
      <c r="G2053" s="2" t="s">
        <v>6503</v>
      </c>
      <c r="H2053" s="2" t="s">
        <v>6503</v>
      </c>
      <c r="I2053" s="2" t="s">
        <v>6692</v>
      </c>
      <c r="J2053" s="2" t="s">
        <v>6021</v>
      </c>
      <c r="K2053" s="2" t="s">
        <v>913</v>
      </c>
      <c r="L2053" s="3">
        <v>15.18</v>
      </c>
      <c r="M2053" s="3">
        <v>15.94</v>
      </c>
      <c r="N2053" s="3">
        <v>32.99</v>
      </c>
      <c r="O2053" s="2" t="s">
        <v>97</v>
      </c>
      <c r="P2053" s="2" t="s">
        <v>119</v>
      </c>
      <c r="Q2053" s="2" t="s">
        <v>99</v>
      </c>
      <c r="R2053" s="2" t="s">
        <v>100</v>
      </c>
      <c r="S2053" s="2" t="s">
        <v>6505</v>
      </c>
      <c r="T2053" s="2" t="s">
        <v>4441</v>
      </c>
      <c r="U2053" s="2" t="s">
        <v>100</v>
      </c>
      <c r="V2053" s="2" t="s">
        <v>146</v>
      </c>
      <c r="W2053" s="2" t="s">
        <v>183</v>
      </c>
      <c r="X2053" s="2" t="s">
        <v>100</v>
      </c>
      <c r="Y2053" s="2" t="s">
        <v>240</v>
      </c>
      <c r="Z2053" s="4">
        <v>422</v>
      </c>
      <c r="AA2053" s="4">
        <f>=ROUNDDOWN(10.55,0)</f>
      </c>
      <c r="AB2053" s="5">
        <v>40</v>
      </c>
      <c r="AC2053" s="2" t="s">
        <v>184</v>
      </c>
      <c r="AD2053" s="4">
        <v>790</v>
      </c>
      <c r="AE2053" s="4">
        <v>2170</v>
      </c>
      <c r="AF2053" s="6">
        <v>65</v>
      </c>
      <c r="AG2053" s="6"/>
      <c r="AH2053" s="7">
        <v>0.6631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>
        <v>6</v>
      </c>
      <c r="AQ2053" s="8">
        <v>85.08</v>
      </c>
      <c r="AR2053" s="4"/>
      <c r="AS2053" s="8"/>
      <c r="AT2053" s="7"/>
      <c r="AU2053" s="7"/>
      <c r="AV2053" s="4">
        <v>6</v>
      </c>
      <c r="AW2053" s="8">
        <v>85.08</v>
      </c>
      <c r="AX2053" s="4"/>
      <c r="AY2053" s="8"/>
      <c r="AZ2053" s="7"/>
      <c r="BA2053" s="7"/>
      <c r="BB2053" s="7">
        <v>1</v>
      </c>
      <c r="BC2053" s="4">
        <v>15</v>
      </c>
      <c r="BD2053" s="8">
        <v>213.83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>
        <v>0.3979</v>
      </c>
      <c r="BJ2053" s="4">
        <v>1012</v>
      </c>
      <c r="BK2053" s="8">
        <v>14676.69</v>
      </c>
      <c r="BL2053" s="2" t="s">
        <v>1703</v>
      </c>
      <c r="BM2053" s="7">
        <v>0.0059</v>
      </c>
      <c r="BN2053" s="7">
        <v>0.0058</v>
      </c>
      <c r="BO2053" s="4">
        <v>6</v>
      </c>
      <c r="BP2053" s="8">
        <v>85.08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4571</v>
      </c>
      <c r="BX2053" s="2" t="s">
        <v>2184</v>
      </c>
      <c r="BY2053" s="2" t="s">
        <v>113</v>
      </c>
      <c r="BZ2053" s="2" t="s">
        <v>100</v>
      </c>
    </row>
    <row r="2054">
      <c r="A2054" s="2" t="s">
        <v>6693</v>
      </c>
      <c r="B2054" s="2" t="s">
        <v>5764</v>
      </c>
      <c r="C2054" s="2" t="s">
        <v>88</v>
      </c>
      <c r="D2054" s="2" t="s">
        <v>1842</v>
      </c>
      <c r="E2054" s="2" t="s">
        <v>1843</v>
      </c>
      <c r="F2054" s="2" t="s">
        <v>1870</v>
      </c>
      <c r="G2054" s="2" t="s">
        <v>6503</v>
      </c>
      <c r="H2054" s="2" t="s">
        <v>6503</v>
      </c>
      <c r="I2054" s="2" t="s">
        <v>6692</v>
      </c>
      <c r="J2054" s="2" t="s">
        <v>6021</v>
      </c>
      <c r="K2054" s="2" t="s">
        <v>198</v>
      </c>
      <c r="L2054" s="3">
        <v>15.18</v>
      </c>
      <c r="M2054" s="3">
        <v>15.94</v>
      </c>
      <c r="N2054" s="3">
        <v>32.99</v>
      </c>
      <c r="O2054" s="2" t="s">
        <v>97</v>
      </c>
      <c r="P2054" s="2" t="s">
        <v>119</v>
      </c>
      <c r="Q2054" s="2" t="s">
        <v>99</v>
      </c>
      <c r="R2054" s="2" t="s">
        <v>100</v>
      </c>
      <c r="S2054" s="2" t="s">
        <v>6511</v>
      </c>
      <c r="T2054" s="2" t="s">
        <v>4441</v>
      </c>
      <c r="U2054" s="2" t="s">
        <v>100</v>
      </c>
      <c r="V2054" s="2" t="s">
        <v>146</v>
      </c>
      <c r="W2054" s="2" t="s">
        <v>183</v>
      </c>
      <c r="X2054" s="2" t="s">
        <v>100</v>
      </c>
      <c r="Y2054" s="2" t="s">
        <v>240</v>
      </c>
      <c r="Z2054" s="4">
        <v>2231</v>
      </c>
      <c r="AA2054" s="4">
        <f>=ROUNDDOWN(29.7466666666667,0)</f>
      </c>
      <c r="AB2054" s="5">
        <v>75</v>
      </c>
      <c r="AC2054" s="2" t="s">
        <v>356</v>
      </c>
      <c r="AD2054" s="4">
        <v>90</v>
      </c>
      <c r="AE2054" s="4">
        <v>4900</v>
      </c>
      <c r="AF2054" s="6">
        <v>65</v>
      </c>
      <c r="AG2054" s="6"/>
      <c r="AH2054" s="7">
        <v>0.6631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>
        <v>6</v>
      </c>
      <c r="AQ2054" s="8">
        <v>85.08</v>
      </c>
      <c r="AR2054" s="4"/>
      <c r="AS2054" s="8"/>
      <c r="AT2054" s="7"/>
      <c r="AU2054" s="7"/>
      <c r="AV2054" s="4">
        <v>6</v>
      </c>
      <c r="AW2054" s="8">
        <v>85.08</v>
      </c>
      <c r="AX2054" s="4"/>
      <c r="AY2054" s="8"/>
      <c r="AZ2054" s="7"/>
      <c r="BA2054" s="7"/>
      <c r="BB2054" s="7">
        <v>1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0.3979</v>
      </c>
      <c r="BJ2054" s="4">
        <v>1106</v>
      </c>
      <c r="BK2054" s="8">
        <v>15847.17</v>
      </c>
      <c r="BL2054" s="2" t="s">
        <v>6694</v>
      </c>
      <c r="BM2054" s="7">
        <v>0.0054</v>
      </c>
      <c r="BN2054" s="7">
        <v>0.0054</v>
      </c>
      <c r="BO2054" s="4">
        <v>6</v>
      </c>
      <c r="BP2054" s="8">
        <v>85.08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4571</v>
      </c>
      <c r="BX2054" s="2" t="s">
        <v>4794</v>
      </c>
      <c r="BY2054" s="2" t="s">
        <v>113</v>
      </c>
      <c r="BZ2054" s="2" t="s">
        <v>100</v>
      </c>
    </row>
    <row r="2055">
      <c r="A2055" s="2" t="s">
        <v>6695</v>
      </c>
      <c r="B2055" s="2" t="s">
        <v>5764</v>
      </c>
      <c r="C2055" s="2" t="s">
        <v>88</v>
      </c>
      <c r="D2055" s="2" t="s">
        <v>1842</v>
      </c>
      <c r="E2055" s="2" t="s">
        <v>1843</v>
      </c>
      <c r="F2055" s="2" t="s">
        <v>1870</v>
      </c>
      <c r="G2055" s="2" t="s">
        <v>6503</v>
      </c>
      <c r="H2055" s="2" t="s">
        <v>6503</v>
      </c>
      <c r="I2055" s="2" t="s">
        <v>6692</v>
      </c>
      <c r="J2055" s="2" t="s">
        <v>6021</v>
      </c>
      <c r="K2055" s="2" t="s">
        <v>360</v>
      </c>
      <c r="L2055" s="3">
        <v>15.18</v>
      </c>
      <c r="M2055" s="3">
        <v>15.94</v>
      </c>
      <c r="N2055" s="3">
        <v>32.99</v>
      </c>
      <c r="O2055" s="2" t="s">
        <v>97</v>
      </c>
      <c r="P2055" s="2" t="s">
        <v>119</v>
      </c>
      <c r="Q2055" s="2" t="s">
        <v>99</v>
      </c>
      <c r="R2055" s="2" t="s">
        <v>100</v>
      </c>
      <c r="S2055" s="2" t="s">
        <v>6516</v>
      </c>
      <c r="T2055" s="2" t="s">
        <v>4441</v>
      </c>
      <c r="U2055" s="2" t="s">
        <v>100</v>
      </c>
      <c r="V2055" s="2" t="s">
        <v>146</v>
      </c>
      <c r="W2055" s="2" t="s">
        <v>183</v>
      </c>
      <c r="X2055" s="2" t="s">
        <v>100</v>
      </c>
      <c r="Y2055" s="2" t="s">
        <v>240</v>
      </c>
      <c r="Z2055" s="4">
        <v>1051</v>
      </c>
      <c r="AA2055" s="4">
        <f>=ROUNDDOWN(25.0238095238095,0)</f>
      </c>
      <c r="AB2055" s="5">
        <v>42</v>
      </c>
      <c r="AC2055" s="2" t="s">
        <v>184</v>
      </c>
      <c r="AD2055" s="4">
        <v>990</v>
      </c>
      <c r="AE2055" s="4">
        <v>2720</v>
      </c>
      <c r="AF2055" s="6">
        <v>65</v>
      </c>
      <c r="AG2055" s="6"/>
      <c r="AH2055" s="7">
        <v>0.6631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>
        <v>2</v>
      </c>
      <c r="AQ2055" s="8">
        <v>28.36</v>
      </c>
      <c r="AR2055" s="4"/>
      <c r="AS2055" s="8"/>
      <c r="AT2055" s="7"/>
      <c r="AU2055" s="7"/>
      <c r="AV2055" s="4">
        <v>2</v>
      </c>
      <c r="AW2055" s="8">
        <v>28.36</v>
      </c>
      <c r="AX2055" s="4"/>
      <c r="AY2055" s="8"/>
      <c r="AZ2055" s="7"/>
      <c r="BA2055" s="7"/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0.1326</v>
      </c>
      <c r="BJ2055" s="4">
        <v>790</v>
      </c>
      <c r="BK2055" s="8">
        <v>11340.03</v>
      </c>
      <c r="BL2055" s="2" t="s">
        <v>6696</v>
      </c>
      <c r="BM2055" s="7">
        <v>0.0025</v>
      </c>
      <c r="BN2055" s="7">
        <v>0.0025</v>
      </c>
      <c r="BO2055" s="4">
        <v>2</v>
      </c>
      <c r="BP2055" s="8">
        <v>28.36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4571</v>
      </c>
      <c r="BX2055" s="2" t="s">
        <v>4733</v>
      </c>
      <c r="BY2055" s="2" t="s">
        <v>113</v>
      </c>
      <c r="BZ2055" s="2" t="s">
        <v>100</v>
      </c>
    </row>
    <row r="2056">
      <c r="A2056" s="2" t="s">
        <v>6697</v>
      </c>
      <c r="B2056" s="2" t="s">
        <v>5764</v>
      </c>
      <c r="C2056" s="2" t="s">
        <v>88</v>
      </c>
      <c r="D2056" s="2" t="s">
        <v>1842</v>
      </c>
      <c r="E2056" s="2" t="s">
        <v>1843</v>
      </c>
      <c r="F2056" s="2" t="s">
        <v>1870</v>
      </c>
      <c r="G2056" s="2" t="s">
        <v>6503</v>
      </c>
      <c r="H2056" s="2" t="s">
        <v>6503</v>
      </c>
      <c r="I2056" s="2" t="s">
        <v>6692</v>
      </c>
      <c r="J2056" s="2" t="s">
        <v>6021</v>
      </c>
      <c r="K2056" s="2" t="s">
        <v>1614</v>
      </c>
      <c r="L2056" s="3">
        <v>15.18</v>
      </c>
      <c r="M2056" s="3">
        <v>15.94</v>
      </c>
      <c r="N2056" s="3">
        <v>32.99</v>
      </c>
      <c r="O2056" s="2" t="s">
        <v>97</v>
      </c>
      <c r="P2056" s="2" t="s">
        <v>119</v>
      </c>
      <c r="Q2056" s="2" t="s">
        <v>99</v>
      </c>
      <c r="R2056" s="2" t="s">
        <v>100</v>
      </c>
      <c r="S2056" s="2" t="s">
        <v>6698</v>
      </c>
      <c r="T2056" s="2" t="s">
        <v>4441</v>
      </c>
      <c r="U2056" s="2" t="s">
        <v>100</v>
      </c>
      <c r="V2056" s="2" t="s">
        <v>146</v>
      </c>
      <c r="W2056" s="2" t="s">
        <v>183</v>
      </c>
      <c r="X2056" s="2" t="s">
        <v>100</v>
      </c>
      <c r="Y2056" s="2" t="s">
        <v>240</v>
      </c>
      <c r="Z2056" s="4">
        <v>1194</v>
      </c>
      <c r="AA2056" s="4">
        <f>=ROUNDDOWN(24.3177189409369,0)</f>
      </c>
      <c r="AB2056" s="5">
        <v>49.1</v>
      </c>
      <c r="AC2056" s="2" t="s">
        <v>184</v>
      </c>
      <c r="AD2056" s="4">
        <v>1090</v>
      </c>
      <c r="AE2056" s="4">
        <v>2990</v>
      </c>
      <c r="AF2056" s="6">
        <v>65</v>
      </c>
      <c r="AG2056" s="6"/>
      <c r="AH2056" s="7">
        <v>0.6631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>
        <v>1</v>
      </c>
      <c r="AQ2056" s="8">
        <v>15.31</v>
      </c>
      <c r="AR2056" s="4"/>
      <c r="AS2056" s="8"/>
      <c r="AT2056" s="7"/>
      <c r="AU2056" s="7"/>
      <c r="AV2056" s="4">
        <v>1</v>
      </c>
      <c r="AW2056" s="8">
        <v>15.31</v>
      </c>
      <c r="AX2056" s="4"/>
      <c r="AY2056" s="8"/>
      <c r="AZ2056" s="7"/>
      <c r="BA2056" s="7"/>
      <c r="BB2056" s="7">
        <v>1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0.0716</v>
      </c>
      <c r="BJ2056" s="4">
        <v>823</v>
      </c>
      <c r="BK2056" s="8">
        <v>11877.86</v>
      </c>
      <c r="BL2056" s="2" t="s">
        <v>6699</v>
      </c>
      <c r="BM2056" s="7">
        <v>0.0012</v>
      </c>
      <c r="BN2056" s="7">
        <v>0.0013</v>
      </c>
      <c r="BO2056" s="4">
        <v>1</v>
      </c>
      <c r="BP2056" s="8">
        <v>15.31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4571</v>
      </c>
      <c r="BX2056" s="2" t="s">
        <v>4733</v>
      </c>
      <c r="BY2056" s="2" t="s">
        <v>113</v>
      </c>
      <c r="BZ2056" s="2" t="s">
        <v>100</v>
      </c>
    </row>
    <row r="2057">
      <c r="A2057" s="2" t="s">
        <v>6700</v>
      </c>
      <c r="B2057" s="2" t="s">
        <v>5764</v>
      </c>
      <c r="C2057" s="2" t="s">
        <v>88</v>
      </c>
      <c r="D2057" s="2" t="s">
        <v>1842</v>
      </c>
      <c r="E2057" s="2" t="s">
        <v>1843</v>
      </c>
      <c r="F2057" s="2" t="s">
        <v>6701</v>
      </c>
      <c r="G2057" s="2" t="s">
        <v>6702</v>
      </c>
      <c r="H2057" s="2" t="s">
        <v>6702</v>
      </c>
      <c r="I2057" s="2" t="s">
        <v>6703</v>
      </c>
      <c r="J2057" s="2" t="s">
        <v>5024</v>
      </c>
      <c r="K2057" s="2" t="s">
        <v>1614</v>
      </c>
      <c r="L2057" s="3">
        <v>14.59</v>
      </c>
      <c r="M2057" s="3">
        <v>15.32</v>
      </c>
      <c r="N2057" s="3">
        <v>30.99</v>
      </c>
      <c r="O2057" s="2" t="s">
        <v>97</v>
      </c>
      <c r="P2057" s="2" t="s">
        <v>119</v>
      </c>
      <c r="Q2057" s="2" t="s">
        <v>99</v>
      </c>
      <c r="R2057" s="2" t="s">
        <v>100</v>
      </c>
      <c r="S2057" s="2" t="s">
        <v>6704</v>
      </c>
      <c r="T2057" s="2" t="s">
        <v>6072</v>
      </c>
      <c r="U2057" s="2" t="s">
        <v>100</v>
      </c>
      <c r="V2057" s="2" t="s">
        <v>403</v>
      </c>
      <c r="W2057" s="2" t="s">
        <v>183</v>
      </c>
      <c r="X2057" s="2" t="s">
        <v>100</v>
      </c>
      <c r="Y2057" s="2" t="s">
        <v>918</v>
      </c>
      <c r="Z2057" s="4">
        <v>1882</v>
      </c>
      <c r="AA2057" s="4">
        <f>=ROUNDDOWN(31.3666666666667,0)</f>
      </c>
      <c r="AB2057" s="5">
        <v>60</v>
      </c>
      <c r="AC2057" s="2" t="s">
        <v>417</v>
      </c>
      <c r="AD2057" s="4">
        <v>1800</v>
      </c>
      <c r="AE2057" s="4">
        <v>3500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>
        <v>1</v>
      </c>
      <c r="AQ2057" s="8">
        <v>12.76</v>
      </c>
      <c r="AR2057" s="4"/>
      <c r="AS2057" s="8"/>
      <c r="AT2057" s="7"/>
      <c r="AU2057" s="7"/>
      <c r="AV2057" s="4">
        <v>1</v>
      </c>
      <c r="AW2057" s="8">
        <v>12.76</v>
      </c>
      <c r="AX2057" s="4"/>
      <c r="AY2057" s="8"/>
      <c r="AZ2057" s="7"/>
      <c r="BA2057" s="7"/>
      <c r="BB2057" s="7">
        <v>1</v>
      </c>
      <c r="BC2057" s="4">
        <v>1</v>
      </c>
      <c r="BD2057" s="8">
        <v>12.76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1</v>
      </c>
      <c r="BJ2057" s="4">
        <v>1201</v>
      </c>
      <c r="BK2057" s="8">
        <v>17633.33</v>
      </c>
      <c r="BL2057" s="2" t="s">
        <v>6705</v>
      </c>
      <c r="BM2057" s="7">
        <v>0.0008</v>
      </c>
      <c r="BN2057" s="7">
        <v>0.0007</v>
      </c>
      <c r="BO2057" s="4">
        <v>1</v>
      </c>
      <c r="BP2057" s="8">
        <v>12.76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4571</v>
      </c>
      <c r="BX2057" s="2" t="s">
        <v>2045</v>
      </c>
      <c r="BY2057" s="2" t="s">
        <v>113</v>
      </c>
      <c r="BZ2057" s="2" t="s">
        <v>100</v>
      </c>
    </row>
    <row r="2058">
      <c r="A2058" s="2" t="s">
        <v>6706</v>
      </c>
      <c r="B2058" s="2" t="s">
        <v>5764</v>
      </c>
      <c r="C2058" s="2" t="s">
        <v>88</v>
      </c>
      <c r="D2058" s="2" t="s">
        <v>1842</v>
      </c>
      <c r="E2058" s="2" t="s">
        <v>1843</v>
      </c>
      <c r="F2058" s="2" t="s">
        <v>6701</v>
      </c>
      <c r="G2058" s="2" t="s">
        <v>6702</v>
      </c>
      <c r="H2058" s="2" t="s">
        <v>6702</v>
      </c>
      <c r="I2058" s="2" t="s">
        <v>6703</v>
      </c>
      <c r="J2058" s="2" t="s">
        <v>5024</v>
      </c>
      <c r="K2058" s="2" t="s">
        <v>5943</v>
      </c>
      <c r="L2058" s="3">
        <v>14.59</v>
      </c>
      <c r="M2058" s="3">
        <v>15.32</v>
      </c>
      <c r="N2058" s="3">
        <v>30.99</v>
      </c>
      <c r="O2058" s="2" t="s">
        <v>97</v>
      </c>
      <c r="P2058" s="2" t="s">
        <v>119</v>
      </c>
      <c r="Q2058" s="2" t="s">
        <v>99</v>
      </c>
      <c r="R2058" s="2" t="s">
        <v>100</v>
      </c>
      <c r="S2058" s="2" t="s">
        <v>6707</v>
      </c>
      <c r="T2058" s="2" t="s">
        <v>6072</v>
      </c>
      <c r="U2058" s="2" t="s">
        <v>100</v>
      </c>
      <c r="V2058" s="2" t="s">
        <v>403</v>
      </c>
      <c r="W2058" s="2" t="s">
        <v>183</v>
      </c>
      <c r="X2058" s="2" t="s">
        <v>100</v>
      </c>
      <c r="Y2058" s="2" t="s">
        <v>240</v>
      </c>
      <c r="Z2058" s="4">
        <v>1469</v>
      </c>
      <c r="AA2058" s="4">
        <f>=ROUNDDOWN(32.6444444444444,0)</f>
      </c>
      <c r="AB2058" s="5">
        <v>45</v>
      </c>
      <c r="AC2058" s="2" t="s">
        <v>417</v>
      </c>
      <c r="AD2058" s="4">
        <v>1300</v>
      </c>
      <c r="AE2058" s="4">
        <v>1900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944</v>
      </c>
      <c r="BK2058" s="8">
        <v>13901.72</v>
      </c>
      <c r="BL2058" s="2" t="s">
        <v>1749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4571</v>
      </c>
      <c r="BX2058" s="2" t="s">
        <v>6708</v>
      </c>
      <c r="BY2058" s="2" t="s">
        <v>113</v>
      </c>
      <c r="BZ2058" s="2" t="s">
        <v>100</v>
      </c>
    </row>
    <row r="2059">
      <c r="A2059" s="2" t="s">
        <v>6709</v>
      </c>
      <c r="B2059" s="2" t="s">
        <v>5764</v>
      </c>
      <c r="C2059" s="2" t="s">
        <v>88</v>
      </c>
      <c r="D2059" s="2" t="s">
        <v>1842</v>
      </c>
      <c r="E2059" s="2" t="s">
        <v>1843</v>
      </c>
      <c r="F2059" s="2" t="s">
        <v>6701</v>
      </c>
      <c r="G2059" s="2" t="s">
        <v>6702</v>
      </c>
      <c r="H2059" s="2" t="s">
        <v>6702</v>
      </c>
      <c r="I2059" s="2" t="s">
        <v>6703</v>
      </c>
      <c r="J2059" s="2" t="s">
        <v>5024</v>
      </c>
      <c r="K2059" s="2" t="s">
        <v>198</v>
      </c>
      <c r="L2059" s="3">
        <v>14.59</v>
      </c>
      <c r="M2059" s="3">
        <v>15.32</v>
      </c>
      <c r="N2059" s="3">
        <v>30.99</v>
      </c>
      <c r="O2059" s="2" t="s">
        <v>97</v>
      </c>
      <c r="P2059" s="2" t="s">
        <v>119</v>
      </c>
      <c r="Q2059" s="2" t="s">
        <v>99</v>
      </c>
      <c r="R2059" s="2" t="s">
        <v>100</v>
      </c>
      <c r="S2059" s="2" t="s">
        <v>6704</v>
      </c>
      <c r="T2059" s="2" t="s">
        <v>6072</v>
      </c>
      <c r="U2059" s="2" t="s">
        <v>100</v>
      </c>
      <c r="V2059" s="2" t="s">
        <v>403</v>
      </c>
      <c r="W2059" s="2" t="s">
        <v>183</v>
      </c>
      <c r="X2059" s="2" t="s">
        <v>100</v>
      </c>
      <c r="Y2059" s="2" t="s">
        <v>3313</v>
      </c>
      <c r="Z2059" s="4">
        <v>1831</v>
      </c>
      <c r="AA2059" s="4">
        <f>=ROUNDDOWN(28.1692307692308,0)</f>
      </c>
      <c r="AB2059" s="5">
        <v>65</v>
      </c>
      <c r="AC2059" s="2" t="s">
        <v>417</v>
      </c>
      <c r="AD2059" s="4">
        <v>1300</v>
      </c>
      <c r="AE2059" s="4">
        <v>3900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1259</v>
      </c>
      <c r="BK2059" s="8">
        <v>18407.29</v>
      </c>
      <c r="BL2059" s="2" t="s">
        <v>6710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4571</v>
      </c>
      <c r="BX2059" s="2" t="s">
        <v>1993</v>
      </c>
      <c r="BY2059" s="2" t="s">
        <v>113</v>
      </c>
      <c r="BZ2059" s="2" t="s">
        <v>100</v>
      </c>
    </row>
    <row r="2060">
      <c r="A2060" s="2" t="s">
        <v>6711</v>
      </c>
      <c r="B2060" s="2" t="s">
        <v>5764</v>
      </c>
      <c r="C2060" s="2" t="s">
        <v>88</v>
      </c>
      <c r="D2060" s="2" t="s">
        <v>2503</v>
      </c>
      <c r="E2060" s="2" t="s">
        <v>2504</v>
      </c>
      <c r="F2060" s="2" t="s">
        <v>6067</v>
      </c>
      <c r="G2060" s="2" t="s">
        <v>6068</v>
      </c>
      <c r="H2060" s="2" t="s">
        <v>6068</v>
      </c>
      <c r="I2060" s="2" t="s">
        <v>6712</v>
      </c>
      <c r="J2060" s="2" t="s">
        <v>3174</v>
      </c>
      <c r="K2060" s="2" t="s">
        <v>6555</v>
      </c>
      <c r="L2060" s="3">
        <v>14.83</v>
      </c>
      <c r="M2060" s="3">
        <v>15.57</v>
      </c>
      <c r="N2060" s="3">
        <v>31.99</v>
      </c>
      <c r="O2060" s="2" t="s">
        <v>97</v>
      </c>
      <c r="P2060" s="2" t="s">
        <v>119</v>
      </c>
      <c r="Q2060" s="2" t="s">
        <v>99</v>
      </c>
      <c r="R2060" s="2" t="s">
        <v>100</v>
      </c>
      <c r="S2060" s="2" t="s">
        <v>6713</v>
      </c>
      <c r="T2060" s="2" t="s">
        <v>6072</v>
      </c>
      <c r="U2060" s="2" t="s">
        <v>1847</v>
      </c>
      <c r="V2060" s="2" t="s">
        <v>2508</v>
      </c>
      <c r="W2060" s="2" t="s">
        <v>673</v>
      </c>
      <c r="X2060" s="2" t="s">
        <v>100</v>
      </c>
      <c r="Y2060" s="2" t="s">
        <v>6714</v>
      </c>
      <c r="Z2060" s="4">
        <v>934</v>
      </c>
      <c r="AA2060" s="4">
        <f>=ROUNDDOWN(54.9411764705882,0)</f>
      </c>
      <c r="AB2060" s="5">
        <v>17</v>
      </c>
      <c r="AC2060" s="2" t="s">
        <v>356</v>
      </c>
      <c r="AD2060" s="4">
        <v>2000</v>
      </c>
      <c r="AE2060" s="4">
        <v>2000</v>
      </c>
      <c r="AF2060" s="6">
        <v>64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>
        <v>6</v>
      </c>
      <c r="AQ2060" s="8">
        <v>66.18</v>
      </c>
      <c r="AR2060" s="4"/>
      <c r="AS2060" s="8"/>
      <c r="AT2060" s="7"/>
      <c r="AU2060" s="7"/>
      <c r="AV2060" s="4">
        <v>6</v>
      </c>
      <c r="AW2060" s="8">
        <v>66.18</v>
      </c>
      <c r="AX2060" s="4"/>
      <c r="AY2060" s="8"/>
      <c r="AZ2060" s="7"/>
      <c r="BA2060" s="7"/>
      <c r="BB2060" s="7">
        <v>1</v>
      </c>
      <c r="BC2060" s="4">
        <v>12</v>
      </c>
      <c r="BD2060" s="8">
        <v>129.12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0.5125</v>
      </c>
      <c r="BJ2060" s="4">
        <v>328</v>
      </c>
      <c r="BK2060" s="8">
        <v>4923.59</v>
      </c>
      <c r="BL2060" s="2" t="s">
        <v>6715</v>
      </c>
      <c r="BM2060" s="7">
        <v>0.0183</v>
      </c>
      <c r="BN2060" s="7">
        <v>0.0134</v>
      </c>
      <c r="BO2060" s="4">
        <v>6</v>
      </c>
      <c r="BP2060" s="8">
        <v>66.18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1662</v>
      </c>
      <c r="BX2060" s="2" t="s">
        <v>837</v>
      </c>
      <c r="BY2060" s="2" t="s">
        <v>113</v>
      </c>
      <c r="BZ2060" s="2" t="s">
        <v>100</v>
      </c>
    </row>
    <row r="2061">
      <c r="A2061" s="2" t="s">
        <v>6716</v>
      </c>
      <c r="B2061" s="2" t="s">
        <v>5764</v>
      </c>
      <c r="C2061" s="2" t="s">
        <v>88</v>
      </c>
      <c r="D2061" s="2" t="s">
        <v>2503</v>
      </c>
      <c r="E2061" s="2" t="s">
        <v>2504</v>
      </c>
      <c r="F2061" s="2" t="s">
        <v>6067</v>
      </c>
      <c r="G2061" s="2" t="s">
        <v>6068</v>
      </c>
      <c r="H2061" s="2" t="s">
        <v>6068</v>
      </c>
      <c r="I2061" s="2" t="s">
        <v>6712</v>
      </c>
      <c r="J2061" s="2" t="s">
        <v>3174</v>
      </c>
      <c r="K2061" s="2" t="s">
        <v>1952</v>
      </c>
      <c r="L2061" s="3">
        <v>14.83</v>
      </c>
      <c r="M2061" s="3">
        <v>15.57</v>
      </c>
      <c r="N2061" s="3">
        <v>31.99</v>
      </c>
      <c r="O2061" s="2" t="s">
        <v>97</v>
      </c>
      <c r="P2061" s="2" t="s">
        <v>119</v>
      </c>
      <c r="Q2061" s="2" t="s">
        <v>99</v>
      </c>
      <c r="R2061" s="2" t="s">
        <v>100</v>
      </c>
      <c r="S2061" s="2" t="s">
        <v>6075</v>
      </c>
      <c r="T2061" s="2" t="s">
        <v>6072</v>
      </c>
      <c r="U2061" s="2" t="s">
        <v>1847</v>
      </c>
      <c r="V2061" s="2" t="s">
        <v>350</v>
      </c>
      <c r="W2061" s="2" t="s">
        <v>673</v>
      </c>
      <c r="X2061" s="2" t="s">
        <v>100</v>
      </c>
      <c r="Y2061" s="2" t="s">
        <v>6717</v>
      </c>
      <c r="Z2061" s="4">
        <v>573</v>
      </c>
      <c r="AA2061" s="4">
        <f>=ROUNDDOWN(47.75,0)</f>
      </c>
      <c r="AB2061" s="5">
        <v>12</v>
      </c>
      <c r="AC2061" s="2" t="s">
        <v>931</v>
      </c>
      <c r="AD2061" s="4">
        <v>260</v>
      </c>
      <c r="AE2061" s="4">
        <v>260</v>
      </c>
      <c r="AF2061" s="6">
        <v>64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>
        <v>2</v>
      </c>
      <c r="AQ2061" s="8">
        <v>20.98</v>
      </c>
      <c r="AR2061" s="4"/>
      <c r="AS2061" s="8"/>
      <c r="AT2061" s="7"/>
      <c r="AU2061" s="7"/>
      <c r="AV2061" s="4">
        <v>2</v>
      </c>
      <c r="AW2061" s="8">
        <v>20.98</v>
      </c>
      <c r="AX2061" s="4"/>
      <c r="AY2061" s="8"/>
      <c r="AZ2061" s="7"/>
      <c r="BA2061" s="7"/>
      <c r="BB2061" s="7">
        <v>1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0.1625</v>
      </c>
      <c r="BJ2061" s="4">
        <v>255</v>
      </c>
      <c r="BK2061" s="8">
        <v>3600.28</v>
      </c>
      <c r="BL2061" s="2" t="s">
        <v>6718</v>
      </c>
      <c r="BM2061" s="7">
        <v>0.0078</v>
      </c>
      <c r="BN2061" s="7">
        <v>0.0058</v>
      </c>
      <c r="BO2061" s="4">
        <v>2</v>
      </c>
      <c r="BP2061" s="8">
        <v>20.98</v>
      </c>
      <c r="BQ2061" s="4"/>
      <c r="BR2061" s="8"/>
      <c r="BS2061" s="7"/>
      <c r="BT2061" s="7"/>
      <c r="BU2061" s="2" t="s">
        <v>109</v>
      </c>
      <c r="BV2061" s="2" t="s">
        <v>110</v>
      </c>
      <c r="BW2061" s="2" t="s">
        <v>1662</v>
      </c>
      <c r="BX2061" s="2" t="s">
        <v>6719</v>
      </c>
      <c r="BY2061" s="2" t="s">
        <v>113</v>
      </c>
      <c r="BZ2061" s="2" t="s">
        <v>100</v>
      </c>
    </row>
    <row r="2062">
      <c r="A2062" s="2" t="s">
        <v>6720</v>
      </c>
      <c r="B2062" s="2" t="s">
        <v>5764</v>
      </c>
      <c r="C2062" s="2" t="s">
        <v>88</v>
      </c>
      <c r="D2062" s="2" t="s">
        <v>2503</v>
      </c>
      <c r="E2062" s="2" t="s">
        <v>2504</v>
      </c>
      <c r="F2062" s="2" t="s">
        <v>6067</v>
      </c>
      <c r="G2062" s="2" t="s">
        <v>6068</v>
      </c>
      <c r="H2062" s="2" t="s">
        <v>6068</v>
      </c>
      <c r="I2062" s="2" t="s">
        <v>6712</v>
      </c>
      <c r="J2062" s="2" t="s">
        <v>3174</v>
      </c>
      <c r="K2062" s="2" t="s">
        <v>913</v>
      </c>
      <c r="L2062" s="3">
        <v>14.83</v>
      </c>
      <c r="M2062" s="3">
        <v>15.57</v>
      </c>
      <c r="N2062" s="3">
        <v>31.99</v>
      </c>
      <c r="O2062" s="2" t="s">
        <v>97</v>
      </c>
      <c r="P2062" s="2" t="s">
        <v>119</v>
      </c>
      <c r="Q2062" s="2" t="s">
        <v>99</v>
      </c>
      <c r="R2062" s="2" t="s">
        <v>100</v>
      </c>
      <c r="S2062" s="2" t="s">
        <v>6539</v>
      </c>
      <c r="T2062" s="2" t="s">
        <v>6072</v>
      </c>
      <c r="U2062" s="2" t="s">
        <v>100</v>
      </c>
      <c r="V2062" s="2" t="s">
        <v>2508</v>
      </c>
      <c r="W2062" s="2" t="s">
        <v>673</v>
      </c>
      <c r="X2062" s="2" t="s">
        <v>100</v>
      </c>
      <c r="Y2062" s="2" t="s">
        <v>240</v>
      </c>
      <c r="Z2062" s="4">
        <v>858</v>
      </c>
      <c r="AA2062" s="4">
        <f>=ROUNDDOWN(61.2857142857143,0)</f>
      </c>
      <c r="AB2062" s="5">
        <v>14</v>
      </c>
      <c r="AC2062" s="2" t="s">
        <v>356</v>
      </c>
      <c r="AD2062" s="4">
        <v>990</v>
      </c>
      <c r="AE2062" s="4">
        <v>1590</v>
      </c>
      <c r="AF2062" s="6">
        <v>64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>
        <v>2</v>
      </c>
      <c r="AQ2062" s="8">
        <v>20.98</v>
      </c>
      <c r="AR2062" s="4"/>
      <c r="AS2062" s="8"/>
      <c r="AT2062" s="7"/>
      <c r="AU2062" s="7"/>
      <c r="AV2062" s="4">
        <v>2</v>
      </c>
      <c r="AW2062" s="8">
        <v>20.98</v>
      </c>
      <c r="AX2062" s="4"/>
      <c r="AY2062" s="8"/>
      <c r="AZ2062" s="7"/>
      <c r="BA2062" s="7"/>
      <c r="BB2062" s="7">
        <v>1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>
        <v>0.1625</v>
      </c>
      <c r="BJ2062" s="4">
        <v>286</v>
      </c>
      <c r="BK2062" s="8">
        <v>4176.83</v>
      </c>
      <c r="BL2062" s="2" t="s">
        <v>6721</v>
      </c>
      <c r="BM2062" s="7">
        <v>0.007</v>
      </c>
      <c r="BN2062" s="7">
        <v>0.005</v>
      </c>
      <c r="BO2062" s="4">
        <v>2</v>
      </c>
      <c r="BP2062" s="8">
        <v>20.98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1085</v>
      </c>
      <c r="BX2062" s="2" t="s">
        <v>1526</v>
      </c>
      <c r="BY2062" s="2" t="s">
        <v>113</v>
      </c>
      <c r="BZ2062" s="2" t="s">
        <v>100</v>
      </c>
    </row>
    <row r="2063">
      <c r="A2063" s="2" t="s">
        <v>6722</v>
      </c>
      <c r="B2063" s="2" t="s">
        <v>5764</v>
      </c>
      <c r="C2063" s="2" t="s">
        <v>88</v>
      </c>
      <c r="D2063" s="2" t="s">
        <v>2503</v>
      </c>
      <c r="E2063" s="2" t="s">
        <v>2504</v>
      </c>
      <c r="F2063" s="2" t="s">
        <v>6067</v>
      </c>
      <c r="G2063" s="2" t="s">
        <v>6068</v>
      </c>
      <c r="H2063" s="2" t="s">
        <v>6068</v>
      </c>
      <c r="I2063" s="2" t="s">
        <v>6712</v>
      </c>
      <c r="J2063" s="2" t="s">
        <v>3174</v>
      </c>
      <c r="K2063" s="2" t="s">
        <v>198</v>
      </c>
      <c r="L2063" s="3">
        <v>14.83</v>
      </c>
      <c r="M2063" s="3">
        <v>15.57</v>
      </c>
      <c r="N2063" s="3">
        <v>31.99</v>
      </c>
      <c r="O2063" s="2" t="s">
        <v>97</v>
      </c>
      <c r="P2063" s="2" t="s">
        <v>950</v>
      </c>
      <c r="Q2063" s="2" t="s">
        <v>99</v>
      </c>
      <c r="R2063" s="2" t="s">
        <v>100</v>
      </c>
      <c r="S2063" s="2" t="s">
        <v>6548</v>
      </c>
      <c r="T2063" s="2" t="s">
        <v>6072</v>
      </c>
      <c r="U2063" s="2" t="s">
        <v>100</v>
      </c>
      <c r="V2063" s="2" t="s">
        <v>2508</v>
      </c>
      <c r="W2063" s="2" t="s">
        <v>673</v>
      </c>
      <c r="X2063" s="2" t="s">
        <v>100</v>
      </c>
      <c r="Y2063" s="2" t="s">
        <v>258</v>
      </c>
      <c r="Z2063" s="4">
        <v>1009</v>
      </c>
      <c r="AA2063" s="4">
        <f>=ROUNDDOWN(36.0357142857143,0)</f>
      </c>
      <c r="AB2063" s="5">
        <v>28</v>
      </c>
      <c r="AC2063" s="2" t="s">
        <v>271</v>
      </c>
      <c r="AD2063" s="4">
        <v>300</v>
      </c>
      <c r="AE2063" s="4">
        <v>900</v>
      </c>
      <c r="AF2063" s="6">
        <v>64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>
        <v>2</v>
      </c>
      <c r="AQ2063" s="8">
        <v>20.98</v>
      </c>
      <c r="AR2063" s="4"/>
      <c r="AS2063" s="8"/>
      <c r="AT2063" s="7"/>
      <c r="AU2063" s="7"/>
      <c r="AV2063" s="4">
        <v>2</v>
      </c>
      <c r="AW2063" s="8">
        <v>20.98</v>
      </c>
      <c r="AX2063" s="4"/>
      <c r="AY2063" s="8"/>
      <c r="AZ2063" s="7"/>
      <c r="BA2063" s="7"/>
      <c r="BB2063" s="7">
        <v>1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0.1625</v>
      </c>
      <c r="BJ2063" s="4">
        <v>751</v>
      </c>
      <c r="BK2063" s="8">
        <v>10601.65</v>
      </c>
      <c r="BL2063" s="2" t="s">
        <v>6723</v>
      </c>
      <c r="BM2063" s="7">
        <v>0.0027</v>
      </c>
      <c r="BN2063" s="7">
        <v>0.002</v>
      </c>
      <c r="BO2063" s="4">
        <v>2</v>
      </c>
      <c r="BP2063" s="8">
        <v>20.98</v>
      </c>
      <c r="BQ2063" s="4"/>
      <c r="BR2063" s="8"/>
      <c r="BS2063" s="7"/>
      <c r="BT2063" s="7"/>
      <c r="BU2063" s="2" t="s">
        <v>109</v>
      </c>
      <c r="BV2063" s="2" t="s">
        <v>110</v>
      </c>
      <c r="BW2063" s="2" t="s">
        <v>4840</v>
      </c>
      <c r="BX2063" s="2" t="s">
        <v>6724</v>
      </c>
      <c r="BY2063" s="2" t="s">
        <v>113</v>
      </c>
      <c r="BZ2063" s="2" t="s">
        <v>100</v>
      </c>
    </row>
    <row r="2064">
      <c r="A2064" s="2" t="s">
        <v>6725</v>
      </c>
      <c r="B2064" s="2" t="s">
        <v>5764</v>
      </c>
      <c r="C2064" s="2" t="s">
        <v>88</v>
      </c>
      <c r="D2064" s="2" t="s">
        <v>2503</v>
      </c>
      <c r="E2064" s="2" t="s">
        <v>2504</v>
      </c>
      <c r="F2064" s="2" t="s">
        <v>6420</v>
      </c>
      <c r="G2064" s="2" t="s">
        <v>6421</v>
      </c>
      <c r="H2064" s="2" t="s">
        <v>6421</v>
      </c>
      <c r="I2064" s="2" t="s">
        <v>6712</v>
      </c>
      <c r="J2064" s="2" t="s">
        <v>3174</v>
      </c>
      <c r="K2064" s="2" t="s">
        <v>198</v>
      </c>
      <c r="L2064" s="3">
        <v>14.86</v>
      </c>
      <c r="M2064" s="3">
        <v>15.6</v>
      </c>
      <c r="N2064" s="3">
        <v>34.99</v>
      </c>
      <c r="O2064" s="2" t="s">
        <v>97</v>
      </c>
      <c r="P2064" s="2" t="s">
        <v>98</v>
      </c>
      <c r="Q2064" s="2" t="s">
        <v>99</v>
      </c>
      <c r="R2064" s="2" t="s">
        <v>100</v>
      </c>
      <c r="S2064" s="2" t="s">
        <v>6726</v>
      </c>
      <c r="T2064" s="2" t="s">
        <v>6072</v>
      </c>
      <c r="U2064" s="2" t="s">
        <v>100</v>
      </c>
      <c r="V2064" s="2" t="s">
        <v>146</v>
      </c>
      <c r="W2064" s="2" t="s">
        <v>673</v>
      </c>
      <c r="X2064" s="2" t="s">
        <v>100</v>
      </c>
      <c r="Y2064" s="2" t="s">
        <v>240</v>
      </c>
      <c r="Z2064" s="4">
        <v>1113</v>
      </c>
      <c r="AA2064" s="4">
        <f>=ROUNDDOWN(30.0810810810811,0)</f>
      </c>
      <c r="AB2064" s="5">
        <v>37</v>
      </c>
      <c r="AC2064" s="2" t="s">
        <v>1509</v>
      </c>
      <c r="AD2064" s="4">
        <v>300</v>
      </c>
      <c r="AE2064" s="4">
        <v>1600</v>
      </c>
      <c r="AF2064" s="6">
        <v>64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>
        <v>3</v>
      </c>
      <c r="AQ2064" s="8">
        <v>35.43</v>
      </c>
      <c r="AR2064" s="4"/>
      <c r="AS2064" s="8"/>
      <c r="AT2064" s="7"/>
      <c r="AU2064" s="7"/>
      <c r="AV2064" s="4">
        <v>3</v>
      </c>
      <c r="AW2064" s="8">
        <v>35.43</v>
      </c>
      <c r="AX2064" s="4"/>
      <c r="AY2064" s="8"/>
      <c r="AZ2064" s="7"/>
      <c r="BA2064" s="7"/>
      <c r="BB2064" s="7">
        <v>1</v>
      </c>
      <c r="BC2064" s="4">
        <v>7</v>
      </c>
      <c r="BD2064" s="8">
        <v>82.67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0.4286</v>
      </c>
      <c r="BJ2064" s="4">
        <v>1249</v>
      </c>
      <c r="BK2064" s="8">
        <v>18795.72</v>
      </c>
      <c r="BL2064" s="2" t="s">
        <v>6727</v>
      </c>
      <c r="BM2064" s="7">
        <v>0.0024</v>
      </c>
      <c r="BN2064" s="7">
        <v>0.0019</v>
      </c>
      <c r="BO2064" s="4">
        <v>3</v>
      </c>
      <c r="BP2064" s="8">
        <v>35.43</v>
      </c>
      <c r="BQ2064" s="4"/>
      <c r="BR2064" s="8"/>
      <c r="BS2064" s="7"/>
      <c r="BT2064" s="7"/>
      <c r="BU2064" s="2" t="s">
        <v>109</v>
      </c>
      <c r="BV2064" s="2" t="s">
        <v>110</v>
      </c>
      <c r="BW2064" s="2" t="s">
        <v>4571</v>
      </c>
      <c r="BX2064" s="2" t="s">
        <v>6257</v>
      </c>
      <c r="BY2064" s="2" t="s">
        <v>113</v>
      </c>
      <c r="BZ2064" s="2" t="s">
        <v>100</v>
      </c>
    </row>
    <row r="2065">
      <c r="A2065" s="2" t="s">
        <v>6728</v>
      </c>
      <c r="B2065" s="2" t="s">
        <v>5764</v>
      </c>
      <c r="C2065" s="2" t="s">
        <v>88</v>
      </c>
      <c r="D2065" s="2" t="s">
        <v>2503</v>
      </c>
      <c r="E2065" s="2" t="s">
        <v>2504</v>
      </c>
      <c r="F2065" s="2" t="s">
        <v>6420</v>
      </c>
      <c r="G2065" s="2" t="s">
        <v>6421</v>
      </c>
      <c r="H2065" s="2" t="s">
        <v>6421</v>
      </c>
      <c r="I2065" s="2" t="s">
        <v>6712</v>
      </c>
      <c r="J2065" s="2" t="s">
        <v>3174</v>
      </c>
      <c r="K2065" s="2" t="s">
        <v>335</v>
      </c>
      <c r="L2065" s="3">
        <v>14.86</v>
      </c>
      <c r="M2065" s="3">
        <v>15.6</v>
      </c>
      <c r="N2065" s="3">
        <v>34.99</v>
      </c>
      <c r="O2065" s="2" t="s">
        <v>97</v>
      </c>
      <c r="P2065" s="2" t="s">
        <v>950</v>
      </c>
      <c r="Q2065" s="2" t="s">
        <v>99</v>
      </c>
      <c r="R2065" s="2" t="s">
        <v>100</v>
      </c>
      <c r="S2065" s="2" t="s">
        <v>6729</v>
      </c>
      <c r="T2065" s="2" t="s">
        <v>6072</v>
      </c>
      <c r="U2065" s="2" t="s">
        <v>100</v>
      </c>
      <c r="V2065" s="2" t="s">
        <v>146</v>
      </c>
      <c r="W2065" s="2" t="s">
        <v>673</v>
      </c>
      <c r="X2065" s="2" t="s">
        <v>100</v>
      </c>
      <c r="Y2065" s="2" t="s">
        <v>240</v>
      </c>
      <c r="Z2065" s="4">
        <v>301</v>
      </c>
      <c r="AA2065" s="4">
        <f>=ROUNDDOWN(11.4015151515152,0)</f>
      </c>
      <c r="AB2065" s="5">
        <v>26.4</v>
      </c>
      <c r="AC2065" s="2" t="s">
        <v>417</v>
      </c>
      <c r="AD2065" s="4">
        <v>300</v>
      </c>
      <c r="AE2065" s="4">
        <v>1370</v>
      </c>
      <c r="AF2065" s="6">
        <v>64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2</v>
      </c>
      <c r="AQ2065" s="8">
        <v>23.62</v>
      </c>
      <c r="AR2065" s="4"/>
      <c r="AS2065" s="8"/>
      <c r="AT2065" s="7"/>
      <c r="AU2065" s="7"/>
      <c r="AV2065" s="4">
        <v>2</v>
      </c>
      <c r="AW2065" s="8">
        <v>23.62</v>
      </c>
      <c r="AX2065" s="4"/>
      <c r="AY2065" s="8"/>
      <c r="AZ2065" s="7"/>
      <c r="BA2065" s="7"/>
      <c r="BB2065" s="7">
        <v>1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0.2857</v>
      </c>
      <c r="BJ2065" s="4">
        <v>807</v>
      </c>
      <c r="BK2065" s="8">
        <v>12215.87</v>
      </c>
      <c r="BL2065" s="2" t="s">
        <v>6730</v>
      </c>
      <c r="BM2065" s="7">
        <v>0.0025</v>
      </c>
      <c r="BN2065" s="7">
        <v>0.0019</v>
      </c>
      <c r="BO2065" s="4">
        <v>2</v>
      </c>
      <c r="BP2065" s="8">
        <v>23.62</v>
      </c>
      <c r="BQ2065" s="4"/>
      <c r="BR2065" s="8"/>
      <c r="BS2065" s="7"/>
      <c r="BT2065" s="7"/>
      <c r="BU2065" s="2" t="s">
        <v>109</v>
      </c>
      <c r="BV2065" s="2" t="s">
        <v>110</v>
      </c>
      <c r="BW2065" s="2" t="s">
        <v>4840</v>
      </c>
      <c r="BX2065" s="2" t="s">
        <v>6731</v>
      </c>
      <c r="BY2065" s="2" t="s">
        <v>113</v>
      </c>
      <c r="BZ2065" s="2" t="s">
        <v>100</v>
      </c>
    </row>
    <row r="2066">
      <c r="A2066" s="2" t="s">
        <v>6732</v>
      </c>
      <c r="B2066" s="2" t="s">
        <v>5764</v>
      </c>
      <c r="C2066" s="2" t="s">
        <v>88</v>
      </c>
      <c r="D2066" s="2" t="s">
        <v>2503</v>
      </c>
      <c r="E2066" s="2" t="s">
        <v>2504</v>
      </c>
      <c r="F2066" s="2" t="s">
        <v>6420</v>
      </c>
      <c r="G2066" s="2" t="s">
        <v>6421</v>
      </c>
      <c r="H2066" s="2" t="s">
        <v>6421</v>
      </c>
      <c r="I2066" s="2" t="s">
        <v>6712</v>
      </c>
      <c r="J2066" s="2" t="s">
        <v>3174</v>
      </c>
      <c r="K2066" s="2" t="s">
        <v>432</v>
      </c>
      <c r="L2066" s="3">
        <v>14.86</v>
      </c>
      <c r="M2066" s="3">
        <v>15.6</v>
      </c>
      <c r="N2066" s="3">
        <v>34.99</v>
      </c>
      <c r="O2066" s="2" t="s">
        <v>97</v>
      </c>
      <c r="P2066" s="2" t="s">
        <v>119</v>
      </c>
      <c r="Q2066" s="2" t="s">
        <v>99</v>
      </c>
      <c r="R2066" s="2" t="s">
        <v>100</v>
      </c>
      <c r="S2066" s="2" t="s">
        <v>6733</v>
      </c>
      <c r="T2066" s="2" t="s">
        <v>6072</v>
      </c>
      <c r="U2066" s="2" t="s">
        <v>100</v>
      </c>
      <c r="V2066" s="2" t="s">
        <v>146</v>
      </c>
      <c r="W2066" s="2" t="s">
        <v>673</v>
      </c>
      <c r="X2066" s="2" t="s">
        <v>100</v>
      </c>
      <c r="Y2066" s="2" t="s">
        <v>962</v>
      </c>
      <c r="Z2066" s="4">
        <v>594</v>
      </c>
      <c r="AA2066" s="4">
        <f>=ROUNDDOWN(45.6923076923077,0)</f>
      </c>
      <c r="AB2066" s="5">
        <v>13</v>
      </c>
      <c r="AC2066" s="2" t="s">
        <v>931</v>
      </c>
      <c r="AD2066" s="4">
        <v>200</v>
      </c>
      <c r="AE2066" s="4">
        <v>200</v>
      </c>
      <c r="AF2066" s="6">
        <v>64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>
        <v>2</v>
      </c>
      <c r="AQ2066" s="8">
        <v>23.62</v>
      </c>
      <c r="AR2066" s="4"/>
      <c r="AS2066" s="8"/>
      <c r="AT2066" s="7"/>
      <c r="AU2066" s="7"/>
      <c r="AV2066" s="4">
        <v>2</v>
      </c>
      <c r="AW2066" s="8">
        <v>23.62</v>
      </c>
      <c r="AX2066" s="4"/>
      <c r="AY2066" s="8"/>
      <c r="AZ2066" s="7"/>
      <c r="BA2066" s="7"/>
      <c r="BB2066" s="7">
        <v>1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0.2857</v>
      </c>
      <c r="BJ2066" s="4">
        <v>401</v>
      </c>
      <c r="BK2066" s="8">
        <v>6105.33</v>
      </c>
      <c r="BL2066" s="2" t="s">
        <v>6734</v>
      </c>
      <c r="BM2066" s="7">
        <v>0.005</v>
      </c>
      <c r="BN2066" s="7">
        <v>0.0039</v>
      </c>
      <c r="BO2066" s="4">
        <v>2</v>
      </c>
      <c r="BP2066" s="8">
        <v>23.62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6644</v>
      </c>
      <c r="BX2066" s="2" t="s">
        <v>6321</v>
      </c>
      <c r="BY2066" s="2" t="s">
        <v>113</v>
      </c>
      <c r="BZ2066" s="2" t="s">
        <v>100</v>
      </c>
    </row>
    <row r="2067">
      <c r="A2067" s="2" t="s">
        <v>6735</v>
      </c>
      <c r="B2067" s="2" t="s">
        <v>5764</v>
      </c>
      <c r="C2067" s="2" t="s">
        <v>88</v>
      </c>
      <c r="D2067" s="2" t="s">
        <v>2503</v>
      </c>
      <c r="E2067" s="2" t="s">
        <v>2504</v>
      </c>
      <c r="F2067" s="2" t="s">
        <v>6420</v>
      </c>
      <c r="G2067" s="2" t="s">
        <v>6421</v>
      </c>
      <c r="H2067" s="2" t="s">
        <v>6421</v>
      </c>
      <c r="I2067" s="2" t="s">
        <v>6712</v>
      </c>
      <c r="J2067" s="2" t="s">
        <v>3174</v>
      </c>
      <c r="K2067" s="2" t="s">
        <v>118</v>
      </c>
      <c r="L2067" s="3">
        <v>14.86</v>
      </c>
      <c r="M2067" s="3">
        <v>15.6</v>
      </c>
      <c r="N2067" s="3">
        <v>34.99</v>
      </c>
      <c r="O2067" s="2" t="s">
        <v>97</v>
      </c>
      <c r="P2067" s="2" t="s">
        <v>119</v>
      </c>
      <c r="Q2067" s="2" t="s">
        <v>99</v>
      </c>
      <c r="R2067" s="2" t="s">
        <v>100</v>
      </c>
      <c r="S2067" s="2" t="s">
        <v>6437</v>
      </c>
      <c r="T2067" s="2" t="s">
        <v>100</v>
      </c>
      <c r="U2067" s="2" t="s">
        <v>100</v>
      </c>
      <c r="V2067" s="2" t="s">
        <v>146</v>
      </c>
      <c r="W2067" s="2" t="s">
        <v>673</v>
      </c>
      <c r="X2067" s="2" t="s">
        <v>100</v>
      </c>
      <c r="Y2067" s="2" t="s">
        <v>5481</v>
      </c>
      <c r="Z2067" s="4">
        <v>394</v>
      </c>
      <c r="AA2067" s="4">
        <f>=ROUNDDOWN(26.2666666666667,0)</f>
      </c>
      <c r="AB2067" s="5">
        <v>15</v>
      </c>
      <c r="AC2067" s="2" t="s">
        <v>1509</v>
      </c>
      <c r="AD2067" s="4">
        <v>100</v>
      </c>
      <c r="AE2067" s="4">
        <v>820</v>
      </c>
      <c r="AF2067" s="6">
        <v>64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494</v>
      </c>
      <c r="BK2067" s="8">
        <v>7463.05</v>
      </c>
      <c r="BL2067" s="2" t="s">
        <v>6736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207</v>
      </c>
      <c r="BV2067" s="2" t="s">
        <v>97</v>
      </c>
      <c r="BW2067" s="2" t="s">
        <v>100</v>
      </c>
      <c r="BX2067" s="2" t="s">
        <v>100</v>
      </c>
      <c r="BY2067" s="2" t="s">
        <v>113</v>
      </c>
      <c r="BZ2067" s="2" t="s">
        <v>100</v>
      </c>
    </row>
    <row r="2068">
      <c r="A2068" s="2" t="s">
        <v>6737</v>
      </c>
      <c r="B2068" s="2" t="s">
        <v>5764</v>
      </c>
      <c r="C2068" s="2" t="s">
        <v>88</v>
      </c>
      <c r="D2068" s="2" t="s">
        <v>1638</v>
      </c>
      <c r="E2068" s="2" t="s">
        <v>1639</v>
      </c>
      <c r="F2068" s="2" t="s">
        <v>6738</v>
      </c>
      <c r="G2068" s="2" t="s">
        <v>4340</v>
      </c>
      <c r="H2068" s="2" t="s">
        <v>4340</v>
      </c>
      <c r="I2068" s="2" t="s">
        <v>6739</v>
      </c>
      <c r="J2068" s="2" t="s">
        <v>247</v>
      </c>
      <c r="K2068" s="2" t="s">
        <v>1614</v>
      </c>
      <c r="L2068" s="3">
        <v>32.5</v>
      </c>
      <c r="M2068" s="3">
        <v>34.13</v>
      </c>
      <c r="N2068" s="3">
        <v>64.99</v>
      </c>
      <c r="O2068" s="2" t="s">
        <v>97</v>
      </c>
      <c r="P2068" s="2" t="s">
        <v>119</v>
      </c>
      <c r="Q2068" s="2" t="s">
        <v>99</v>
      </c>
      <c r="R2068" s="2" t="s">
        <v>100</v>
      </c>
      <c r="S2068" s="2" t="s">
        <v>6740</v>
      </c>
      <c r="T2068" s="2" t="s">
        <v>6072</v>
      </c>
      <c r="U2068" s="2" t="s">
        <v>480</v>
      </c>
      <c r="V2068" s="2" t="s">
        <v>403</v>
      </c>
      <c r="W2068" s="2" t="s">
        <v>673</v>
      </c>
      <c r="X2068" s="2" t="s">
        <v>561</v>
      </c>
      <c r="Y2068" s="2" t="s">
        <v>6741</v>
      </c>
      <c r="Z2068" s="4">
        <v>373</v>
      </c>
      <c r="AA2068" s="4">
        <f>=ROUNDDOWN(186.5,0)</f>
      </c>
      <c r="AB2068" s="5">
        <v>2</v>
      </c>
      <c r="AC2068" s="2" t="s">
        <v>100</v>
      </c>
      <c r="AD2068" s="4"/>
      <c r="AE2068" s="4"/>
      <c r="AF2068" s="6">
        <v>65</v>
      </c>
      <c r="AG2068" s="6">
        <v>48</v>
      </c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53</v>
      </c>
      <c r="BK2068" s="8">
        <v>1906.9</v>
      </c>
      <c r="BL2068" s="2" t="s">
        <v>6742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207</v>
      </c>
      <c r="BV2068" s="2" t="s">
        <v>97</v>
      </c>
      <c r="BW2068" s="2" t="s">
        <v>100</v>
      </c>
      <c r="BX2068" s="2" t="s">
        <v>100</v>
      </c>
      <c r="BY2068" s="2" t="s">
        <v>113</v>
      </c>
      <c r="BZ2068" s="2" t="s">
        <v>100</v>
      </c>
    </row>
    <row r="2069">
      <c r="A2069" s="2" t="s">
        <v>6743</v>
      </c>
      <c r="B2069" s="2" t="s">
        <v>5764</v>
      </c>
      <c r="C2069" s="2" t="s">
        <v>88</v>
      </c>
      <c r="D2069" s="2" t="s">
        <v>1638</v>
      </c>
      <c r="E2069" s="2" t="s">
        <v>1639</v>
      </c>
      <c r="F2069" s="2" t="s">
        <v>6738</v>
      </c>
      <c r="G2069" s="2" t="s">
        <v>4340</v>
      </c>
      <c r="H2069" s="2" t="s">
        <v>4340</v>
      </c>
      <c r="I2069" s="2" t="s">
        <v>6739</v>
      </c>
      <c r="J2069" s="2" t="s">
        <v>270</v>
      </c>
      <c r="K2069" s="2" t="s">
        <v>1614</v>
      </c>
      <c r="L2069" s="3">
        <v>37.5</v>
      </c>
      <c r="M2069" s="3">
        <v>39.38</v>
      </c>
      <c r="N2069" s="3">
        <v>74.99</v>
      </c>
      <c r="O2069" s="2" t="s">
        <v>97</v>
      </c>
      <c r="P2069" s="2" t="s">
        <v>119</v>
      </c>
      <c r="Q2069" s="2" t="s">
        <v>99</v>
      </c>
      <c r="R2069" s="2" t="s">
        <v>100</v>
      </c>
      <c r="S2069" s="2" t="s">
        <v>6740</v>
      </c>
      <c r="T2069" s="2" t="s">
        <v>6072</v>
      </c>
      <c r="U2069" s="2" t="s">
        <v>480</v>
      </c>
      <c r="V2069" s="2" t="s">
        <v>403</v>
      </c>
      <c r="W2069" s="2" t="s">
        <v>673</v>
      </c>
      <c r="X2069" s="2" t="s">
        <v>561</v>
      </c>
      <c r="Y2069" s="2" t="s">
        <v>6744</v>
      </c>
      <c r="Z2069" s="4">
        <v>722</v>
      </c>
      <c r="AA2069" s="4">
        <f>=ROUNDDOWN(180.5,0)</f>
      </c>
      <c r="AB2069" s="5">
        <v>4</v>
      </c>
      <c r="AC2069" s="2" t="s">
        <v>100</v>
      </c>
      <c r="AD2069" s="4"/>
      <c r="AE2069" s="4"/>
      <c r="AF2069" s="6">
        <v>65</v>
      </c>
      <c r="AG2069" s="6">
        <v>48</v>
      </c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98</v>
      </c>
      <c r="BK2069" s="8">
        <v>4082.07</v>
      </c>
      <c r="BL2069" s="2" t="s">
        <v>6745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207</v>
      </c>
      <c r="BV2069" s="2" t="s">
        <v>97</v>
      </c>
      <c r="BW2069" s="2" t="s">
        <v>100</v>
      </c>
      <c r="BX2069" s="2" t="s">
        <v>100</v>
      </c>
      <c r="BY2069" s="2" t="s">
        <v>113</v>
      </c>
      <c r="BZ2069" s="2" t="s">
        <v>100</v>
      </c>
    </row>
    <row r="2070">
      <c r="A2070" s="2" t="s">
        <v>6746</v>
      </c>
      <c r="B2070" s="2" t="s">
        <v>5764</v>
      </c>
      <c r="C2070" s="2" t="s">
        <v>88</v>
      </c>
      <c r="D2070" s="2" t="s">
        <v>1638</v>
      </c>
      <c r="E2070" s="2" t="s">
        <v>1639</v>
      </c>
      <c r="F2070" s="2" t="s">
        <v>6390</v>
      </c>
      <c r="G2070" s="2" t="s">
        <v>3921</v>
      </c>
      <c r="H2070" s="2" t="s">
        <v>6391</v>
      </c>
      <c r="I2070" s="2" t="s">
        <v>6747</v>
      </c>
      <c r="J2070" s="2" t="s">
        <v>247</v>
      </c>
      <c r="K2070" s="2" t="s">
        <v>1614</v>
      </c>
      <c r="L2070" s="3">
        <v>37.14</v>
      </c>
      <c r="M2070" s="3">
        <v>39</v>
      </c>
      <c r="N2070" s="3">
        <v>74.99</v>
      </c>
      <c r="O2070" s="2" t="s">
        <v>97</v>
      </c>
      <c r="P2070" s="2" t="s">
        <v>119</v>
      </c>
      <c r="Q2070" s="2" t="s">
        <v>99</v>
      </c>
      <c r="R2070" s="2" t="s">
        <v>100</v>
      </c>
      <c r="S2070" s="2" t="s">
        <v>6748</v>
      </c>
      <c r="T2070" s="2" t="s">
        <v>6072</v>
      </c>
      <c r="U2070" s="2" t="s">
        <v>480</v>
      </c>
      <c r="V2070" s="2" t="s">
        <v>103</v>
      </c>
      <c r="W2070" s="2" t="s">
        <v>3013</v>
      </c>
      <c r="X2070" s="2" t="s">
        <v>104</v>
      </c>
      <c r="Y2070" s="2" t="s">
        <v>6749</v>
      </c>
      <c r="Z2070" s="4">
        <v>334</v>
      </c>
      <c r="AA2070" s="4">
        <f>=ROUNDDOWN(111.333333333333,0)</f>
      </c>
      <c r="AB2070" s="5">
        <v>3</v>
      </c>
      <c r="AC2070" s="2" t="s">
        <v>100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74</v>
      </c>
      <c r="BK2070" s="8">
        <v>3029.69</v>
      </c>
      <c r="BL2070" s="2" t="s">
        <v>3099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207</v>
      </c>
      <c r="BV2070" s="2" t="s">
        <v>97</v>
      </c>
      <c r="BW2070" s="2" t="s">
        <v>100</v>
      </c>
      <c r="BX2070" s="2" t="s">
        <v>100</v>
      </c>
      <c r="BY2070" s="2" t="s">
        <v>113</v>
      </c>
      <c r="BZ2070" s="2" t="s">
        <v>100</v>
      </c>
    </row>
    <row r="2071">
      <c r="A2071" s="2" t="s">
        <v>6750</v>
      </c>
      <c r="B2071" s="2" t="s">
        <v>5764</v>
      </c>
      <c r="C2071" s="2" t="s">
        <v>88</v>
      </c>
      <c r="D2071" s="2" t="s">
        <v>1638</v>
      </c>
      <c r="E2071" s="2" t="s">
        <v>1639</v>
      </c>
      <c r="F2071" s="2" t="s">
        <v>6390</v>
      </c>
      <c r="G2071" s="2" t="s">
        <v>3921</v>
      </c>
      <c r="H2071" s="2" t="s">
        <v>6391</v>
      </c>
      <c r="I2071" s="2" t="s">
        <v>6747</v>
      </c>
      <c r="J2071" s="2" t="s">
        <v>714</v>
      </c>
      <c r="K2071" s="2" t="s">
        <v>1614</v>
      </c>
      <c r="L2071" s="3">
        <v>42.09</v>
      </c>
      <c r="M2071" s="3">
        <v>44.19</v>
      </c>
      <c r="N2071" s="3">
        <v>84.99</v>
      </c>
      <c r="O2071" s="2" t="s">
        <v>97</v>
      </c>
      <c r="P2071" s="2" t="s">
        <v>119</v>
      </c>
      <c r="Q2071" s="2" t="s">
        <v>99</v>
      </c>
      <c r="R2071" s="2" t="s">
        <v>100</v>
      </c>
      <c r="S2071" s="2" t="s">
        <v>6748</v>
      </c>
      <c r="T2071" s="2" t="s">
        <v>6072</v>
      </c>
      <c r="U2071" s="2" t="s">
        <v>480</v>
      </c>
      <c r="V2071" s="2" t="s">
        <v>103</v>
      </c>
      <c r="W2071" s="2" t="s">
        <v>3013</v>
      </c>
      <c r="X2071" s="2" t="s">
        <v>104</v>
      </c>
      <c r="Y2071" s="2" t="s">
        <v>6749</v>
      </c>
      <c r="Z2071" s="4">
        <v>477</v>
      </c>
      <c r="AA2071" s="4">
        <f>=ROUNDDOWN(251.052631578947,0)</f>
      </c>
      <c r="AB2071" s="5">
        <v>1.9</v>
      </c>
      <c r="AC2071" s="2" t="s">
        <v>1102</v>
      </c>
      <c r="AD2071" s="4">
        <v>360</v>
      </c>
      <c r="AE2071" s="4">
        <v>360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105</v>
      </c>
      <c r="BK2071" s="8">
        <v>4881.88</v>
      </c>
      <c r="BL2071" s="2" t="s">
        <v>6751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207</v>
      </c>
      <c r="BV2071" s="2" t="s">
        <v>97</v>
      </c>
      <c r="BW2071" s="2" t="s">
        <v>100</v>
      </c>
      <c r="BX2071" s="2" t="s">
        <v>100</v>
      </c>
      <c r="BY2071" s="2" t="s">
        <v>113</v>
      </c>
      <c r="BZ2071" s="2" t="s">
        <v>100</v>
      </c>
    </row>
    <row r="2072">
      <c r="A2072" s="2" t="s">
        <v>6752</v>
      </c>
      <c r="B2072" s="2" t="s">
        <v>5764</v>
      </c>
      <c r="C2072" s="2" t="s">
        <v>6753</v>
      </c>
      <c r="D2072" s="2" t="s">
        <v>6111</v>
      </c>
      <c r="E2072" s="2" t="s">
        <v>6112</v>
      </c>
      <c r="F2072" s="2" t="s">
        <v>6754</v>
      </c>
      <c r="G2072" s="2" t="s">
        <v>6754</v>
      </c>
      <c r="H2072" s="2" t="s">
        <v>6754</v>
      </c>
      <c r="I2072" s="2" t="s">
        <v>6114</v>
      </c>
      <c r="J2072" s="2" t="s">
        <v>1936</v>
      </c>
      <c r="K2072" s="2" t="s">
        <v>189</v>
      </c>
      <c r="L2072" s="3">
        <v>44.52</v>
      </c>
      <c r="M2072" s="3">
        <v>46.75</v>
      </c>
      <c r="N2072" s="3">
        <v>94.99</v>
      </c>
      <c r="O2072" s="2" t="s">
        <v>97</v>
      </c>
      <c r="P2072" s="2" t="s">
        <v>119</v>
      </c>
      <c r="Q2072" s="2" t="s">
        <v>99</v>
      </c>
      <c r="R2072" s="2" t="s">
        <v>100</v>
      </c>
      <c r="S2072" s="2" t="s">
        <v>100</v>
      </c>
      <c r="T2072" s="2" t="s">
        <v>4972</v>
      </c>
      <c r="U2072" s="2" t="s">
        <v>1847</v>
      </c>
      <c r="V2072" s="2" t="s">
        <v>146</v>
      </c>
      <c r="W2072" s="2" t="s">
        <v>183</v>
      </c>
      <c r="X2072" s="2" t="s">
        <v>100</v>
      </c>
      <c r="Y2072" s="2" t="s">
        <v>6755</v>
      </c>
      <c r="Z2072" s="4">
        <v>408</v>
      </c>
      <c r="AA2072" s="4">
        <f>=ROUNDDOWN(44.3478260869565,0)</f>
      </c>
      <c r="AB2072" s="5">
        <v>9.2</v>
      </c>
      <c r="AC2072" s="2" t="s">
        <v>100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>
        <v>3</v>
      </c>
      <c r="AQ2072" s="8">
        <v>139.92</v>
      </c>
      <c r="AR2072" s="4"/>
      <c r="AS2072" s="8"/>
      <c r="AT2072" s="7"/>
      <c r="AU2072" s="7"/>
      <c r="AV2072" s="4">
        <v>82</v>
      </c>
      <c r="AW2072" s="8">
        <v>5811.84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0.0241</v>
      </c>
      <c r="BC2072" s="4">
        <v>82</v>
      </c>
      <c r="BD2072" s="8">
        <v>5811.84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1</v>
      </c>
      <c r="BJ2072" s="4">
        <v>61</v>
      </c>
      <c r="BK2072" s="8">
        <v>3025.11</v>
      </c>
      <c r="BL2072" s="2" t="s">
        <v>6756</v>
      </c>
      <c r="BM2072" s="7">
        <v>0.0492</v>
      </c>
      <c r="BN2072" s="7">
        <v>0.0463</v>
      </c>
      <c r="BO2072" s="4">
        <v>3</v>
      </c>
      <c r="BP2072" s="8">
        <v>139.92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6757</v>
      </c>
      <c r="BX2072" s="2" t="s">
        <v>2338</v>
      </c>
      <c r="BY2072" s="2" t="s">
        <v>113</v>
      </c>
      <c r="BZ2072" s="2" t="s">
        <v>100</v>
      </c>
    </row>
    <row r="2073">
      <c r="A2073" s="2" t="s">
        <v>6758</v>
      </c>
      <c r="B2073" s="2" t="s">
        <v>5764</v>
      </c>
      <c r="C2073" s="2" t="s">
        <v>6753</v>
      </c>
      <c r="D2073" s="2" t="s">
        <v>6111</v>
      </c>
      <c r="E2073" s="2" t="s">
        <v>6112</v>
      </c>
      <c r="F2073" s="2" t="s">
        <v>6754</v>
      </c>
      <c r="G2073" s="2" t="s">
        <v>6754</v>
      </c>
      <c r="H2073" s="2" t="s">
        <v>6754</v>
      </c>
      <c r="I2073" s="2" t="s">
        <v>6114</v>
      </c>
      <c r="J2073" s="2" t="s">
        <v>2072</v>
      </c>
      <c r="K2073" s="2" t="s">
        <v>189</v>
      </c>
      <c r="L2073" s="3">
        <v>44.52</v>
      </c>
      <c r="M2073" s="3">
        <v>46.75</v>
      </c>
      <c r="N2073" s="3">
        <v>94.99</v>
      </c>
      <c r="O2073" s="2" t="s">
        <v>97</v>
      </c>
      <c r="P2073" s="2" t="s">
        <v>119</v>
      </c>
      <c r="Q2073" s="2" t="s">
        <v>99</v>
      </c>
      <c r="R2073" s="2" t="s">
        <v>100</v>
      </c>
      <c r="S2073" s="2" t="s">
        <v>100</v>
      </c>
      <c r="T2073" s="2" t="s">
        <v>4972</v>
      </c>
      <c r="U2073" s="2" t="s">
        <v>1847</v>
      </c>
      <c r="V2073" s="2" t="s">
        <v>146</v>
      </c>
      <c r="W2073" s="2" t="s">
        <v>183</v>
      </c>
      <c r="X2073" s="2" t="s">
        <v>100</v>
      </c>
      <c r="Y2073" s="2" t="s">
        <v>6755</v>
      </c>
      <c r="Z2073" s="4">
        <v>499</v>
      </c>
      <c r="AA2073" s="4">
        <f>=ROUNDDOWN(26.2631578947368,0)</f>
      </c>
      <c r="AB2073" s="5">
        <v>19</v>
      </c>
      <c r="AC2073" s="2" t="s">
        <v>1069</v>
      </c>
      <c r="AD2073" s="4">
        <v>240</v>
      </c>
      <c r="AE2073" s="4">
        <v>500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>
        <v>12</v>
      </c>
      <c r="AQ2073" s="8">
        <v>559.68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0.0963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163</v>
      </c>
      <c r="BK2073" s="8">
        <v>8013.63</v>
      </c>
      <c r="BL2073" s="2" t="s">
        <v>6759</v>
      </c>
      <c r="BM2073" s="7">
        <v>0.0736</v>
      </c>
      <c r="BN2073" s="7">
        <v>0.0698</v>
      </c>
      <c r="BO2073" s="4">
        <v>12</v>
      </c>
      <c r="BP2073" s="8">
        <v>559.68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6757</v>
      </c>
      <c r="BX2073" s="2" t="s">
        <v>6760</v>
      </c>
      <c r="BY2073" s="2" t="s">
        <v>113</v>
      </c>
      <c r="BZ2073" s="2" t="s">
        <v>100</v>
      </c>
    </row>
    <row r="2074">
      <c r="A2074" s="2" t="s">
        <v>6761</v>
      </c>
      <c r="B2074" s="2" t="s">
        <v>5764</v>
      </c>
      <c r="C2074" s="2" t="s">
        <v>6753</v>
      </c>
      <c r="D2074" s="2" t="s">
        <v>6111</v>
      </c>
      <c r="E2074" s="2" t="s">
        <v>6112</v>
      </c>
      <c r="F2074" s="2" t="s">
        <v>6754</v>
      </c>
      <c r="G2074" s="2" t="s">
        <v>6754</v>
      </c>
      <c r="H2074" s="2" t="s">
        <v>6754</v>
      </c>
      <c r="I2074" s="2" t="s">
        <v>6114</v>
      </c>
      <c r="J2074" s="2" t="s">
        <v>717</v>
      </c>
      <c r="K2074" s="2" t="s">
        <v>189</v>
      </c>
      <c r="L2074" s="3">
        <v>50.08</v>
      </c>
      <c r="M2074" s="3">
        <v>52.58</v>
      </c>
      <c r="N2074" s="3">
        <v>107.99</v>
      </c>
      <c r="O2074" s="2" t="s">
        <v>97</v>
      </c>
      <c r="P2074" s="2" t="s">
        <v>119</v>
      </c>
      <c r="Q2074" s="2" t="s">
        <v>99</v>
      </c>
      <c r="R2074" s="2" t="s">
        <v>100</v>
      </c>
      <c r="S2074" s="2" t="s">
        <v>100</v>
      </c>
      <c r="T2074" s="2" t="s">
        <v>4972</v>
      </c>
      <c r="U2074" s="2" t="s">
        <v>1847</v>
      </c>
      <c r="V2074" s="2" t="s">
        <v>146</v>
      </c>
      <c r="W2074" s="2" t="s">
        <v>183</v>
      </c>
      <c r="X2074" s="2" t="s">
        <v>100</v>
      </c>
      <c r="Y2074" s="2" t="s">
        <v>6755</v>
      </c>
      <c r="Z2074" s="4">
        <v>672</v>
      </c>
      <c r="AA2074" s="4">
        <f>=ROUNDDOWN(51.6923076923077,0)</f>
      </c>
      <c r="AB2074" s="5">
        <v>13</v>
      </c>
      <c r="AC2074" s="2" t="s">
        <v>100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>
        <v>5</v>
      </c>
      <c r="AQ2074" s="8">
        <v>262.3</v>
      </c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0.0451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 t="s">
        <v>100</v>
      </c>
      <c r="BJ2074" s="4">
        <v>127</v>
      </c>
      <c r="BK2074" s="8">
        <v>6925.79</v>
      </c>
      <c r="BL2074" s="2" t="s">
        <v>6759</v>
      </c>
      <c r="BM2074" s="7">
        <v>0.0394</v>
      </c>
      <c r="BN2074" s="7">
        <v>0.0379</v>
      </c>
      <c r="BO2074" s="4">
        <v>5</v>
      </c>
      <c r="BP2074" s="8">
        <v>262.3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6757</v>
      </c>
      <c r="BX2074" s="2" t="s">
        <v>6762</v>
      </c>
      <c r="BY2074" s="2" t="s">
        <v>113</v>
      </c>
      <c r="BZ2074" s="2" t="s">
        <v>100</v>
      </c>
    </row>
    <row r="2075">
      <c r="A2075" s="2" t="s">
        <v>6763</v>
      </c>
      <c r="B2075" s="2" t="s">
        <v>5764</v>
      </c>
      <c r="C2075" s="2" t="s">
        <v>6753</v>
      </c>
      <c r="D2075" s="2" t="s">
        <v>6111</v>
      </c>
      <c r="E2075" s="2" t="s">
        <v>6112</v>
      </c>
      <c r="F2075" s="2" t="s">
        <v>6754</v>
      </c>
      <c r="G2075" s="2" t="s">
        <v>6754</v>
      </c>
      <c r="H2075" s="2" t="s">
        <v>6754</v>
      </c>
      <c r="I2075" s="2" t="s">
        <v>6114</v>
      </c>
      <c r="J2075" s="2" t="s">
        <v>706</v>
      </c>
      <c r="K2075" s="2" t="s">
        <v>189</v>
      </c>
      <c r="L2075" s="3">
        <v>72.34</v>
      </c>
      <c r="M2075" s="3">
        <v>75.96</v>
      </c>
      <c r="N2075" s="3">
        <v>154.99</v>
      </c>
      <c r="O2075" s="2" t="s">
        <v>97</v>
      </c>
      <c r="P2075" s="2" t="s">
        <v>119</v>
      </c>
      <c r="Q2075" s="2" t="s">
        <v>99</v>
      </c>
      <c r="R2075" s="2" t="s">
        <v>100</v>
      </c>
      <c r="S2075" s="2" t="s">
        <v>100</v>
      </c>
      <c r="T2075" s="2" t="s">
        <v>4972</v>
      </c>
      <c r="U2075" s="2" t="s">
        <v>1847</v>
      </c>
      <c r="V2075" s="2" t="s">
        <v>146</v>
      </c>
      <c r="W2075" s="2" t="s">
        <v>183</v>
      </c>
      <c r="X2075" s="2" t="s">
        <v>100</v>
      </c>
      <c r="Y2075" s="2" t="s">
        <v>6755</v>
      </c>
      <c r="Z2075" s="4">
        <v>1831</v>
      </c>
      <c r="AA2075" s="4">
        <f>=ROUNDDOWN(30.6700167504188,0)</f>
      </c>
      <c r="AB2075" s="5">
        <v>59.7</v>
      </c>
      <c r="AC2075" s="2" t="s">
        <v>1069</v>
      </c>
      <c r="AD2075" s="4">
        <v>588</v>
      </c>
      <c r="AE2075" s="4">
        <v>1770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>
        <v>36</v>
      </c>
      <c r="AQ2075" s="8">
        <v>2728.08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0.4694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511</v>
      </c>
      <c r="BK2075" s="8">
        <v>40063.18</v>
      </c>
      <c r="BL2075" s="2" t="s">
        <v>6759</v>
      </c>
      <c r="BM2075" s="7">
        <v>0.0705</v>
      </c>
      <c r="BN2075" s="7">
        <v>0.0681</v>
      </c>
      <c r="BO2075" s="4">
        <v>36</v>
      </c>
      <c r="BP2075" s="8">
        <v>2728.08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6757</v>
      </c>
      <c r="BX2075" s="2" t="s">
        <v>6762</v>
      </c>
      <c r="BY2075" s="2" t="s">
        <v>113</v>
      </c>
      <c r="BZ2075" s="2" t="s">
        <v>100</v>
      </c>
    </row>
    <row r="2076">
      <c r="A2076" s="2" t="s">
        <v>6764</v>
      </c>
      <c r="B2076" s="2" t="s">
        <v>5764</v>
      </c>
      <c r="C2076" s="2" t="s">
        <v>6753</v>
      </c>
      <c r="D2076" s="2" t="s">
        <v>6111</v>
      </c>
      <c r="E2076" s="2" t="s">
        <v>6112</v>
      </c>
      <c r="F2076" s="2" t="s">
        <v>6754</v>
      </c>
      <c r="G2076" s="2" t="s">
        <v>6754</v>
      </c>
      <c r="H2076" s="2" t="s">
        <v>6754</v>
      </c>
      <c r="I2076" s="2" t="s">
        <v>6114</v>
      </c>
      <c r="J2076" s="2" t="s">
        <v>714</v>
      </c>
      <c r="K2076" s="2" t="s">
        <v>189</v>
      </c>
      <c r="L2076" s="3">
        <v>77.9</v>
      </c>
      <c r="M2076" s="3">
        <v>81.8</v>
      </c>
      <c r="N2076" s="3">
        <v>166.99</v>
      </c>
      <c r="O2076" s="2" t="s">
        <v>97</v>
      </c>
      <c r="P2076" s="2" t="s">
        <v>119</v>
      </c>
      <c r="Q2076" s="2" t="s">
        <v>99</v>
      </c>
      <c r="R2076" s="2" t="s">
        <v>100</v>
      </c>
      <c r="S2076" s="2" t="s">
        <v>100</v>
      </c>
      <c r="T2076" s="2" t="s">
        <v>4972</v>
      </c>
      <c r="U2076" s="2" t="s">
        <v>1847</v>
      </c>
      <c r="V2076" s="2" t="s">
        <v>146</v>
      </c>
      <c r="W2076" s="2" t="s">
        <v>183</v>
      </c>
      <c r="X2076" s="2" t="s">
        <v>100</v>
      </c>
      <c r="Y2076" s="2" t="s">
        <v>6755</v>
      </c>
      <c r="Z2076" s="4">
        <v>768</v>
      </c>
      <c r="AA2076" s="4">
        <f>=ROUNDDOWN(19.2,0)</f>
      </c>
      <c r="AB2076" s="5">
        <v>40</v>
      </c>
      <c r="AC2076" s="2" t="s">
        <v>1069</v>
      </c>
      <c r="AD2076" s="4">
        <v>528</v>
      </c>
      <c r="AE2076" s="4">
        <v>1100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>
        <v>21</v>
      </c>
      <c r="AQ2076" s="8">
        <v>1713.81</v>
      </c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0.2949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322</v>
      </c>
      <c r="BK2076" s="8">
        <v>27513.33</v>
      </c>
      <c r="BL2076" s="2" t="s">
        <v>2033</v>
      </c>
      <c r="BM2076" s="7">
        <v>0.0652</v>
      </c>
      <c r="BN2076" s="7">
        <v>0.0623</v>
      </c>
      <c r="BO2076" s="4">
        <v>21</v>
      </c>
      <c r="BP2076" s="8">
        <v>1713.81</v>
      </c>
      <c r="BQ2076" s="4"/>
      <c r="BR2076" s="8"/>
      <c r="BS2076" s="7"/>
      <c r="BT2076" s="7"/>
      <c r="BU2076" s="2" t="s">
        <v>109</v>
      </c>
      <c r="BV2076" s="2" t="s">
        <v>110</v>
      </c>
      <c r="BW2076" s="2" t="s">
        <v>6757</v>
      </c>
      <c r="BX2076" s="2" t="s">
        <v>6762</v>
      </c>
      <c r="BY2076" s="2" t="s">
        <v>113</v>
      </c>
      <c r="BZ2076" s="2" t="s">
        <v>100</v>
      </c>
    </row>
    <row r="2077">
      <c r="A2077" s="2" t="s">
        <v>6765</v>
      </c>
      <c r="B2077" s="2" t="s">
        <v>5764</v>
      </c>
      <c r="C2077" s="2" t="s">
        <v>6753</v>
      </c>
      <c r="D2077" s="2" t="s">
        <v>6111</v>
      </c>
      <c r="E2077" s="2" t="s">
        <v>6112</v>
      </c>
      <c r="F2077" s="2" t="s">
        <v>6754</v>
      </c>
      <c r="G2077" s="2" t="s">
        <v>6754</v>
      </c>
      <c r="H2077" s="2" t="s">
        <v>6754</v>
      </c>
      <c r="I2077" s="2" t="s">
        <v>6114</v>
      </c>
      <c r="J2077" s="2" t="s">
        <v>817</v>
      </c>
      <c r="K2077" s="2" t="s">
        <v>189</v>
      </c>
      <c r="L2077" s="3">
        <v>77.9</v>
      </c>
      <c r="M2077" s="3">
        <v>81.8</v>
      </c>
      <c r="N2077" s="3">
        <v>166.99</v>
      </c>
      <c r="O2077" s="2" t="s">
        <v>97</v>
      </c>
      <c r="P2077" s="2" t="s">
        <v>119</v>
      </c>
      <c r="Q2077" s="2" t="s">
        <v>99</v>
      </c>
      <c r="R2077" s="2" t="s">
        <v>100</v>
      </c>
      <c r="S2077" s="2" t="s">
        <v>100</v>
      </c>
      <c r="T2077" s="2" t="s">
        <v>4972</v>
      </c>
      <c r="U2077" s="2" t="s">
        <v>1847</v>
      </c>
      <c r="V2077" s="2" t="s">
        <v>146</v>
      </c>
      <c r="W2077" s="2" t="s">
        <v>183</v>
      </c>
      <c r="X2077" s="2" t="s">
        <v>100</v>
      </c>
      <c r="Y2077" s="2" t="s">
        <v>6755</v>
      </c>
      <c r="Z2077" s="4">
        <v>202</v>
      </c>
      <c r="AA2077" s="4">
        <f>=ROUNDDOWN(20.2,0)</f>
      </c>
      <c r="AB2077" s="5">
        <v>10</v>
      </c>
      <c r="AC2077" s="2" t="s">
        <v>1164</v>
      </c>
      <c r="AD2077" s="4">
        <v>350</v>
      </c>
      <c r="AE2077" s="4">
        <v>350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>
        <v>5</v>
      </c>
      <c r="AQ2077" s="8">
        <v>408.05</v>
      </c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0.0702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 t="s">
        <v>100</v>
      </c>
      <c r="BJ2077" s="4">
        <v>71</v>
      </c>
      <c r="BK2077" s="8">
        <v>6179.49</v>
      </c>
      <c r="BL2077" s="2" t="s">
        <v>6766</v>
      </c>
      <c r="BM2077" s="7">
        <v>0.0704</v>
      </c>
      <c r="BN2077" s="7">
        <v>0.066</v>
      </c>
      <c r="BO2077" s="4">
        <v>5</v>
      </c>
      <c r="BP2077" s="8">
        <v>408.05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6757</v>
      </c>
      <c r="BX2077" s="2" t="s">
        <v>6767</v>
      </c>
      <c r="BY2077" s="2" t="s">
        <v>113</v>
      </c>
      <c r="BZ2077" s="2" t="s">
        <v>100</v>
      </c>
    </row>
    <row r="2078">
      <c r="A2078" s="2" t="s">
        <v>6768</v>
      </c>
      <c r="B2078" s="2" t="s">
        <v>5764</v>
      </c>
      <c r="C2078" s="2" t="s">
        <v>6753</v>
      </c>
      <c r="D2078" s="2" t="s">
        <v>6111</v>
      </c>
      <c r="E2078" s="2" t="s">
        <v>6112</v>
      </c>
      <c r="F2078" s="2" t="s">
        <v>4441</v>
      </c>
      <c r="G2078" s="2" t="s">
        <v>4441</v>
      </c>
      <c r="H2078" s="2" t="s">
        <v>4441</v>
      </c>
      <c r="I2078" s="2" t="s">
        <v>6114</v>
      </c>
      <c r="J2078" s="2" t="s">
        <v>2072</v>
      </c>
      <c r="K2078" s="2" t="s">
        <v>189</v>
      </c>
      <c r="L2078" s="3">
        <v>38.09</v>
      </c>
      <c r="M2078" s="3">
        <v>39.99</v>
      </c>
      <c r="N2078" s="3">
        <v>79.99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6769</v>
      </c>
      <c r="T2078" s="2" t="s">
        <v>4441</v>
      </c>
      <c r="U2078" s="2" t="s">
        <v>1847</v>
      </c>
      <c r="V2078" s="2" t="s">
        <v>146</v>
      </c>
      <c r="W2078" s="2" t="s">
        <v>183</v>
      </c>
      <c r="X2078" s="2" t="s">
        <v>100</v>
      </c>
      <c r="Y2078" s="2" t="s">
        <v>6770</v>
      </c>
      <c r="Z2078" s="4">
        <v>1732</v>
      </c>
      <c r="AA2078" s="4">
        <f>=ROUNDDOWN(54.125,0)</f>
      </c>
      <c r="AB2078" s="5">
        <v>32</v>
      </c>
      <c r="AC2078" s="2" t="s">
        <v>100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>
        <v>31</v>
      </c>
      <c r="AW2078" s="8">
        <v>1865.29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>
        <v>31</v>
      </c>
      <c r="BD2078" s="8">
        <v>1865.29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1</v>
      </c>
      <c r="BJ2078" s="4">
        <v>258</v>
      </c>
      <c r="BK2078" s="8">
        <v>10886.22</v>
      </c>
      <c r="BL2078" s="2" t="s">
        <v>6771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2480</v>
      </c>
      <c r="BV2078" s="2" t="s">
        <v>97</v>
      </c>
      <c r="BW2078" s="2" t="s">
        <v>100</v>
      </c>
      <c r="BX2078" s="2" t="s">
        <v>100</v>
      </c>
      <c r="BY2078" s="2" t="s">
        <v>113</v>
      </c>
      <c r="BZ2078" s="2" t="s">
        <v>100</v>
      </c>
    </row>
    <row r="2079">
      <c r="A2079" s="2" t="s">
        <v>6772</v>
      </c>
      <c r="B2079" s="2" t="s">
        <v>5764</v>
      </c>
      <c r="C2079" s="2" t="s">
        <v>6753</v>
      </c>
      <c r="D2079" s="2" t="s">
        <v>6111</v>
      </c>
      <c r="E2079" s="2" t="s">
        <v>6112</v>
      </c>
      <c r="F2079" s="2" t="s">
        <v>4441</v>
      </c>
      <c r="G2079" s="2" t="s">
        <v>4441</v>
      </c>
      <c r="H2079" s="2" t="s">
        <v>4441</v>
      </c>
      <c r="I2079" s="2" t="s">
        <v>6114</v>
      </c>
      <c r="J2079" s="2" t="s">
        <v>717</v>
      </c>
      <c r="K2079" s="2" t="s">
        <v>189</v>
      </c>
      <c r="L2079" s="3">
        <v>44.51</v>
      </c>
      <c r="M2079" s="3">
        <v>46.74</v>
      </c>
      <c r="N2079" s="3">
        <v>89.99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100</v>
      </c>
      <c r="T2079" s="2" t="s">
        <v>4441</v>
      </c>
      <c r="U2079" s="2" t="s">
        <v>1847</v>
      </c>
      <c r="V2079" s="2" t="s">
        <v>146</v>
      </c>
      <c r="W2079" s="2" t="s">
        <v>183</v>
      </c>
      <c r="X2079" s="2" t="s">
        <v>100</v>
      </c>
      <c r="Y2079" s="2" t="s">
        <v>6773</v>
      </c>
      <c r="Z2079" s="4">
        <v>515</v>
      </c>
      <c r="AA2079" s="4">
        <f>=ROUNDDOWN(20.6,0)</f>
      </c>
      <c r="AB2079" s="5">
        <v>25</v>
      </c>
      <c r="AC2079" s="2" t="s">
        <v>542</v>
      </c>
      <c r="AD2079" s="4">
        <v>130</v>
      </c>
      <c r="AE2079" s="4">
        <v>260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>
        <v>10</v>
      </c>
      <c r="AQ2079" s="8">
        <v>466.3</v>
      </c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0.25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 t="s">
        <v>100</v>
      </c>
      <c r="BJ2079" s="4">
        <v>299</v>
      </c>
      <c r="BK2079" s="8">
        <v>14397.93</v>
      </c>
      <c r="BL2079" s="2" t="s">
        <v>6774</v>
      </c>
      <c r="BM2079" s="7">
        <v>0.0334</v>
      </c>
      <c r="BN2079" s="7">
        <v>0.0324</v>
      </c>
      <c r="BO2079" s="4">
        <v>10</v>
      </c>
      <c r="BP2079" s="8">
        <v>466.3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6757</v>
      </c>
      <c r="BX2079" s="2" t="s">
        <v>6775</v>
      </c>
      <c r="BY2079" s="2" t="s">
        <v>113</v>
      </c>
      <c r="BZ2079" s="2" t="s">
        <v>100</v>
      </c>
    </row>
    <row r="2080">
      <c r="A2080" s="2" t="s">
        <v>6776</v>
      </c>
      <c r="B2080" s="2" t="s">
        <v>5764</v>
      </c>
      <c r="C2080" s="2" t="s">
        <v>6753</v>
      </c>
      <c r="D2080" s="2" t="s">
        <v>6111</v>
      </c>
      <c r="E2080" s="2" t="s">
        <v>6112</v>
      </c>
      <c r="F2080" s="2" t="s">
        <v>4441</v>
      </c>
      <c r="G2080" s="2" t="s">
        <v>4441</v>
      </c>
      <c r="H2080" s="2" t="s">
        <v>4441</v>
      </c>
      <c r="I2080" s="2" t="s">
        <v>6114</v>
      </c>
      <c r="J2080" s="2" t="s">
        <v>706</v>
      </c>
      <c r="K2080" s="2" t="s">
        <v>189</v>
      </c>
      <c r="L2080" s="3">
        <v>61.2</v>
      </c>
      <c r="M2080" s="3">
        <v>64.26</v>
      </c>
      <c r="N2080" s="3">
        <v>134.99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100</v>
      </c>
      <c r="T2080" s="2" t="s">
        <v>4441</v>
      </c>
      <c r="U2080" s="2" t="s">
        <v>1847</v>
      </c>
      <c r="V2080" s="2" t="s">
        <v>146</v>
      </c>
      <c r="W2080" s="2" t="s">
        <v>183</v>
      </c>
      <c r="X2080" s="2" t="s">
        <v>100</v>
      </c>
      <c r="Y2080" s="2" t="s">
        <v>6773</v>
      </c>
      <c r="Z2080" s="4">
        <v>3369</v>
      </c>
      <c r="AA2080" s="4">
        <f>=ROUNDDOWN(21.6377649325626,0)</f>
      </c>
      <c r="AB2080" s="5">
        <v>155.7</v>
      </c>
      <c r="AC2080" s="2" t="s">
        <v>542</v>
      </c>
      <c r="AD2080" s="4">
        <v>980</v>
      </c>
      <c r="AE2080" s="4">
        <v>1900</v>
      </c>
      <c r="AF2080" s="6">
        <v>65</v>
      </c>
      <c r="AG2080" s="6"/>
      <c r="AH2080" s="7">
        <v>0.6631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12</v>
      </c>
      <c r="AQ2080" s="8">
        <v>769.44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0.4125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1149</v>
      </c>
      <c r="BK2080" s="8">
        <v>75160.23</v>
      </c>
      <c r="BL2080" s="2" t="s">
        <v>6777</v>
      </c>
      <c r="BM2080" s="7">
        <v>0.0104</v>
      </c>
      <c r="BN2080" s="7">
        <v>0.0102</v>
      </c>
      <c r="BO2080" s="4">
        <v>12</v>
      </c>
      <c r="BP2080" s="8">
        <v>769.44</v>
      </c>
      <c r="BQ2080" s="4"/>
      <c r="BR2080" s="8"/>
      <c r="BS2080" s="7"/>
      <c r="BT2080" s="7"/>
      <c r="BU2080" s="2" t="s">
        <v>109</v>
      </c>
      <c r="BV2080" s="2" t="s">
        <v>110</v>
      </c>
      <c r="BW2080" s="2" t="s">
        <v>6144</v>
      </c>
      <c r="BX2080" s="2" t="s">
        <v>6647</v>
      </c>
      <c r="BY2080" s="2" t="s">
        <v>113</v>
      </c>
      <c r="BZ2080" s="2" t="s">
        <v>100</v>
      </c>
    </row>
    <row r="2081">
      <c r="A2081" s="2" t="s">
        <v>6778</v>
      </c>
      <c r="B2081" s="2" t="s">
        <v>5764</v>
      </c>
      <c r="C2081" s="2" t="s">
        <v>6753</v>
      </c>
      <c r="D2081" s="2" t="s">
        <v>6111</v>
      </c>
      <c r="E2081" s="2" t="s">
        <v>6112</v>
      </c>
      <c r="F2081" s="2" t="s">
        <v>4441</v>
      </c>
      <c r="G2081" s="2" t="s">
        <v>4441</v>
      </c>
      <c r="H2081" s="2" t="s">
        <v>4441</v>
      </c>
      <c r="I2081" s="2" t="s">
        <v>6114</v>
      </c>
      <c r="J2081" s="2" t="s">
        <v>714</v>
      </c>
      <c r="K2081" s="2" t="s">
        <v>189</v>
      </c>
      <c r="L2081" s="3">
        <v>66.77</v>
      </c>
      <c r="M2081" s="3">
        <v>70.11</v>
      </c>
      <c r="N2081" s="3">
        <v>144.99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100</v>
      </c>
      <c r="T2081" s="2" t="s">
        <v>4441</v>
      </c>
      <c r="U2081" s="2" t="s">
        <v>1847</v>
      </c>
      <c r="V2081" s="2" t="s">
        <v>146</v>
      </c>
      <c r="W2081" s="2" t="s">
        <v>183</v>
      </c>
      <c r="X2081" s="2" t="s">
        <v>100</v>
      </c>
      <c r="Y2081" s="2" t="s">
        <v>6773</v>
      </c>
      <c r="Z2081" s="4">
        <v>1928</v>
      </c>
      <c r="AA2081" s="4">
        <f>=ROUNDDOWN(19.28,0)</f>
      </c>
      <c r="AB2081" s="5">
        <v>100</v>
      </c>
      <c r="AC2081" s="2" t="s">
        <v>542</v>
      </c>
      <c r="AD2081" s="4">
        <v>490</v>
      </c>
      <c r="AE2081" s="4">
        <v>1270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>
        <v>6</v>
      </c>
      <c r="AQ2081" s="8">
        <v>419.7</v>
      </c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0.225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 t="s">
        <v>100</v>
      </c>
      <c r="BJ2081" s="4">
        <v>944</v>
      </c>
      <c r="BK2081" s="8">
        <v>67768.55</v>
      </c>
      <c r="BL2081" s="2" t="s">
        <v>6779</v>
      </c>
      <c r="BM2081" s="7">
        <v>0.0064</v>
      </c>
      <c r="BN2081" s="7">
        <v>0.0062</v>
      </c>
      <c r="BO2081" s="4">
        <v>6</v>
      </c>
      <c r="BP2081" s="8">
        <v>419.7</v>
      </c>
      <c r="BQ2081" s="4"/>
      <c r="BR2081" s="8"/>
      <c r="BS2081" s="7"/>
      <c r="BT2081" s="7"/>
      <c r="BU2081" s="2" t="s">
        <v>109</v>
      </c>
      <c r="BV2081" s="2" t="s">
        <v>110</v>
      </c>
      <c r="BW2081" s="2" t="s">
        <v>6780</v>
      </c>
      <c r="BX2081" s="2" t="s">
        <v>6781</v>
      </c>
      <c r="BY2081" s="2" t="s">
        <v>113</v>
      </c>
      <c r="BZ2081" s="2" t="s">
        <v>100</v>
      </c>
    </row>
    <row r="2082">
      <c r="A2082" s="2" t="s">
        <v>6782</v>
      </c>
      <c r="B2082" s="2" t="s">
        <v>5764</v>
      </c>
      <c r="C2082" s="2" t="s">
        <v>6753</v>
      </c>
      <c r="D2082" s="2" t="s">
        <v>6111</v>
      </c>
      <c r="E2082" s="2" t="s">
        <v>6112</v>
      </c>
      <c r="F2082" s="2" t="s">
        <v>4441</v>
      </c>
      <c r="G2082" s="2" t="s">
        <v>4441</v>
      </c>
      <c r="H2082" s="2" t="s">
        <v>4441</v>
      </c>
      <c r="I2082" s="2" t="s">
        <v>6114</v>
      </c>
      <c r="J2082" s="2" t="s">
        <v>817</v>
      </c>
      <c r="K2082" s="2" t="s">
        <v>189</v>
      </c>
      <c r="L2082" s="3">
        <v>66.77</v>
      </c>
      <c r="M2082" s="3">
        <v>70.11</v>
      </c>
      <c r="N2082" s="3">
        <v>144.99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100</v>
      </c>
      <c r="T2082" s="2" t="s">
        <v>4441</v>
      </c>
      <c r="U2082" s="2" t="s">
        <v>1847</v>
      </c>
      <c r="V2082" s="2" t="s">
        <v>146</v>
      </c>
      <c r="W2082" s="2" t="s">
        <v>183</v>
      </c>
      <c r="X2082" s="2" t="s">
        <v>100</v>
      </c>
      <c r="Y2082" s="2" t="s">
        <v>6773</v>
      </c>
      <c r="Z2082" s="4">
        <v>668</v>
      </c>
      <c r="AA2082" s="4">
        <f>=ROUNDDOWN(22.2666666666667,0)</f>
      </c>
      <c r="AB2082" s="5">
        <v>30</v>
      </c>
      <c r="AC2082" s="2" t="s">
        <v>1069</v>
      </c>
      <c r="AD2082" s="4">
        <v>138</v>
      </c>
      <c r="AE2082" s="4">
        <v>480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>
        <v>3</v>
      </c>
      <c r="AQ2082" s="8">
        <v>209.85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0.1125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164</v>
      </c>
      <c r="BK2082" s="8">
        <v>11929.89</v>
      </c>
      <c r="BL2082" s="2" t="s">
        <v>6783</v>
      </c>
      <c r="BM2082" s="7">
        <v>0.0183</v>
      </c>
      <c r="BN2082" s="7">
        <v>0.0176</v>
      </c>
      <c r="BO2082" s="4">
        <v>3</v>
      </c>
      <c r="BP2082" s="8">
        <v>209.85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6757</v>
      </c>
      <c r="BX2082" s="2" t="s">
        <v>6784</v>
      </c>
      <c r="BY2082" s="2" t="s">
        <v>113</v>
      </c>
      <c r="BZ2082" s="2" t="s">
        <v>100</v>
      </c>
    </row>
    <row r="2083">
      <c r="A2083" s="2" t="s">
        <v>6785</v>
      </c>
      <c r="B2083" s="2" t="s">
        <v>5764</v>
      </c>
      <c r="C2083" s="2" t="s">
        <v>6753</v>
      </c>
      <c r="D2083" s="2" t="s">
        <v>6111</v>
      </c>
      <c r="E2083" s="2" t="s">
        <v>6112</v>
      </c>
      <c r="F2083" s="2" t="s">
        <v>6786</v>
      </c>
      <c r="G2083" s="2" t="s">
        <v>6786</v>
      </c>
      <c r="H2083" s="2" t="s">
        <v>6786</v>
      </c>
      <c r="I2083" s="2" t="s">
        <v>4436</v>
      </c>
      <c r="J2083" s="2" t="s">
        <v>1936</v>
      </c>
      <c r="K2083" s="2" t="s">
        <v>189</v>
      </c>
      <c r="L2083" s="3">
        <v>35.71</v>
      </c>
      <c r="M2083" s="3">
        <v>37.5</v>
      </c>
      <c r="N2083" s="3">
        <v>74.99</v>
      </c>
      <c r="O2083" s="2" t="s">
        <v>97</v>
      </c>
      <c r="P2083" s="2" t="s">
        <v>119</v>
      </c>
      <c r="Q2083" s="2" t="s">
        <v>99</v>
      </c>
      <c r="R2083" s="2" t="s">
        <v>100</v>
      </c>
      <c r="S2083" s="2" t="s">
        <v>6787</v>
      </c>
      <c r="T2083" s="2" t="s">
        <v>218</v>
      </c>
      <c r="U2083" s="2" t="s">
        <v>1847</v>
      </c>
      <c r="V2083" s="2" t="s">
        <v>146</v>
      </c>
      <c r="W2083" s="2" t="s">
        <v>183</v>
      </c>
      <c r="X2083" s="2" t="s">
        <v>100</v>
      </c>
      <c r="Y2083" s="2" t="s">
        <v>6158</v>
      </c>
      <c r="Z2083" s="4">
        <v>267</v>
      </c>
      <c r="AA2083" s="4">
        <f>=ROUNDDOWN(26.7,0)</f>
      </c>
      <c r="AB2083" s="5">
        <v>10</v>
      </c>
      <c r="AC2083" s="2" t="s">
        <v>100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61</v>
      </c>
      <c r="BK2083" s="8">
        <v>2538.47</v>
      </c>
      <c r="BL2083" s="2" t="s">
        <v>4787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2480</v>
      </c>
      <c r="BV2083" s="2" t="s">
        <v>97</v>
      </c>
      <c r="BW2083" s="2" t="s">
        <v>100</v>
      </c>
      <c r="BX2083" s="2" t="s">
        <v>100</v>
      </c>
      <c r="BY2083" s="2" t="s">
        <v>113</v>
      </c>
      <c r="BZ2083" s="2" t="s">
        <v>100</v>
      </c>
    </row>
    <row r="2084">
      <c r="A2084" s="2" t="s">
        <v>6788</v>
      </c>
      <c r="B2084" s="2" t="s">
        <v>5764</v>
      </c>
      <c r="C2084" s="2" t="s">
        <v>6753</v>
      </c>
      <c r="D2084" s="2" t="s">
        <v>6111</v>
      </c>
      <c r="E2084" s="2" t="s">
        <v>6112</v>
      </c>
      <c r="F2084" s="2" t="s">
        <v>6786</v>
      </c>
      <c r="G2084" s="2" t="s">
        <v>6786</v>
      </c>
      <c r="H2084" s="2" t="s">
        <v>6786</v>
      </c>
      <c r="I2084" s="2" t="s">
        <v>4436</v>
      </c>
      <c r="J2084" s="2" t="s">
        <v>2072</v>
      </c>
      <c r="K2084" s="2" t="s">
        <v>189</v>
      </c>
      <c r="L2084" s="3">
        <v>35.71</v>
      </c>
      <c r="M2084" s="3">
        <v>37.5</v>
      </c>
      <c r="N2084" s="3">
        <v>74.99</v>
      </c>
      <c r="O2084" s="2" t="s">
        <v>97</v>
      </c>
      <c r="P2084" s="2" t="s">
        <v>119</v>
      </c>
      <c r="Q2084" s="2" t="s">
        <v>99</v>
      </c>
      <c r="R2084" s="2" t="s">
        <v>100</v>
      </c>
      <c r="S2084" s="2" t="s">
        <v>6787</v>
      </c>
      <c r="T2084" s="2" t="s">
        <v>218</v>
      </c>
      <c r="U2084" s="2" t="s">
        <v>1847</v>
      </c>
      <c r="V2084" s="2" t="s">
        <v>146</v>
      </c>
      <c r="W2084" s="2" t="s">
        <v>183</v>
      </c>
      <c r="X2084" s="2" t="s">
        <v>100</v>
      </c>
      <c r="Y2084" s="2" t="s">
        <v>6158</v>
      </c>
      <c r="Z2084" s="4">
        <v>483</v>
      </c>
      <c r="AA2084" s="4">
        <f>=ROUNDDOWN(36.044776119403,0)</f>
      </c>
      <c r="AB2084" s="5">
        <v>13.4</v>
      </c>
      <c r="AC2084" s="2" t="s">
        <v>100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147</v>
      </c>
      <c r="BK2084" s="8">
        <v>6030.44</v>
      </c>
      <c r="BL2084" s="2" t="s">
        <v>1749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2480</v>
      </c>
      <c r="BV2084" s="2" t="s">
        <v>97</v>
      </c>
      <c r="BW2084" s="2" t="s">
        <v>100</v>
      </c>
      <c r="BX2084" s="2" t="s">
        <v>100</v>
      </c>
      <c r="BY2084" s="2" t="s">
        <v>113</v>
      </c>
      <c r="BZ2084" s="2" t="s">
        <v>100</v>
      </c>
    </row>
    <row r="2085">
      <c r="A2085" s="2" t="s">
        <v>6789</v>
      </c>
      <c r="B2085" s="2" t="s">
        <v>5764</v>
      </c>
      <c r="C2085" s="2" t="s">
        <v>6753</v>
      </c>
      <c r="D2085" s="2" t="s">
        <v>6111</v>
      </c>
      <c r="E2085" s="2" t="s">
        <v>6112</v>
      </c>
      <c r="F2085" s="2" t="s">
        <v>6786</v>
      </c>
      <c r="G2085" s="2" t="s">
        <v>6786</v>
      </c>
      <c r="H2085" s="2" t="s">
        <v>6786</v>
      </c>
      <c r="I2085" s="2" t="s">
        <v>4436</v>
      </c>
      <c r="J2085" s="2" t="s">
        <v>717</v>
      </c>
      <c r="K2085" s="2" t="s">
        <v>189</v>
      </c>
      <c r="L2085" s="3">
        <v>40.47</v>
      </c>
      <c r="M2085" s="3">
        <v>42.49</v>
      </c>
      <c r="N2085" s="3">
        <v>84.99</v>
      </c>
      <c r="O2085" s="2" t="s">
        <v>97</v>
      </c>
      <c r="P2085" s="2" t="s">
        <v>119</v>
      </c>
      <c r="Q2085" s="2" t="s">
        <v>99</v>
      </c>
      <c r="R2085" s="2" t="s">
        <v>100</v>
      </c>
      <c r="S2085" s="2" t="s">
        <v>6787</v>
      </c>
      <c r="T2085" s="2" t="s">
        <v>218</v>
      </c>
      <c r="U2085" s="2" t="s">
        <v>1847</v>
      </c>
      <c r="V2085" s="2" t="s">
        <v>146</v>
      </c>
      <c r="W2085" s="2" t="s">
        <v>183</v>
      </c>
      <c r="X2085" s="2" t="s">
        <v>100</v>
      </c>
      <c r="Y2085" s="2" t="s">
        <v>6158</v>
      </c>
      <c r="Z2085" s="4">
        <v>554</v>
      </c>
      <c r="AA2085" s="4">
        <f>=ROUNDDOWN(34.625,0)</f>
      </c>
      <c r="AB2085" s="5">
        <v>16</v>
      </c>
      <c r="AC2085" s="2" t="s">
        <v>1069</v>
      </c>
      <c r="AD2085" s="4">
        <v>408</v>
      </c>
      <c r="AE2085" s="4">
        <v>1000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118</v>
      </c>
      <c r="BK2085" s="8">
        <v>5224.49</v>
      </c>
      <c r="BL2085" s="2" t="s">
        <v>492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2480</v>
      </c>
      <c r="BV2085" s="2" t="s">
        <v>97</v>
      </c>
      <c r="BW2085" s="2" t="s">
        <v>100</v>
      </c>
      <c r="BX2085" s="2" t="s">
        <v>100</v>
      </c>
      <c r="BY2085" s="2" t="s">
        <v>113</v>
      </c>
      <c r="BZ2085" s="2" t="s">
        <v>100</v>
      </c>
    </row>
    <row r="2086">
      <c r="A2086" s="2" t="s">
        <v>6790</v>
      </c>
      <c r="B2086" s="2" t="s">
        <v>5764</v>
      </c>
      <c r="C2086" s="2" t="s">
        <v>6753</v>
      </c>
      <c r="D2086" s="2" t="s">
        <v>6111</v>
      </c>
      <c r="E2086" s="2" t="s">
        <v>6112</v>
      </c>
      <c r="F2086" s="2" t="s">
        <v>6786</v>
      </c>
      <c r="G2086" s="2" t="s">
        <v>6786</v>
      </c>
      <c r="H2086" s="2" t="s">
        <v>6786</v>
      </c>
      <c r="I2086" s="2" t="s">
        <v>4436</v>
      </c>
      <c r="J2086" s="2" t="s">
        <v>706</v>
      </c>
      <c r="K2086" s="2" t="s">
        <v>189</v>
      </c>
      <c r="L2086" s="3">
        <v>54.76</v>
      </c>
      <c r="M2086" s="3">
        <v>57.5</v>
      </c>
      <c r="N2086" s="3">
        <v>114.99</v>
      </c>
      <c r="O2086" s="2" t="s">
        <v>97</v>
      </c>
      <c r="P2086" s="2" t="s">
        <v>119</v>
      </c>
      <c r="Q2086" s="2" t="s">
        <v>99</v>
      </c>
      <c r="R2086" s="2" t="s">
        <v>100</v>
      </c>
      <c r="S2086" s="2" t="s">
        <v>6787</v>
      </c>
      <c r="T2086" s="2" t="s">
        <v>218</v>
      </c>
      <c r="U2086" s="2" t="s">
        <v>1847</v>
      </c>
      <c r="V2086" s="2" t="s">
        <v>146</v>
      </c>
      <c r="W2086" s="2" t="s">
        <v>183</v>
      </c>
      <c r="X2086" s="2" t="s">
        <v>100</v>
      </c>
      <c r="Y2086" s="2" t="s">
        <v>6770</v>
      </c>
      <c r="Z2086" s="4">
        <v>3233</v>
      </c>
      <c r="AA2086" s="4">
        <f>=ROUNDDOWN(44.6546961325967,0)</f>
      </c>
      <c r="AB2086" s="5">
        <v>72.4</v>
      </c>
      <c r="AC2086" s="2" t="s">
        <v>1069</v>
      </c>
      <c r="AD2086" s="4">
        <v>656</v>
      </c>
      <c r="AE2086" s="4">
        <v>6284</v>
      </c>
      <c r="AF2086" s="6">
        <v>65</v>
      </c>
      <c r="AG2086" s="6"/>
      <c r="AH2086" s="7">
        <v>0.5829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429</v>
      </c>
      <c r="BK2086" s="8">
        <v>26434.4</v>
      </c>
      <c r="BL2086" s="2" t="s">
        <v>6791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2480</v>
      </c>
      <c r="BV2086" s="2" t="s">
        <v>97</v>
      </c>
      <c r="BW2086" s="2" t="s">
        <v>100</v>
      </c>
      <c r="BX2086" s="2" t="s">
        <v>100</v>
      </c>
      <c r="BY2086" s="2" t="s">
        <v>113</v>
      </c>
      <c r="BZ2086" s="2" t="s">
        <v>100</v>
      </c>
    </row>
    <row r="2087">
      <c r="A2087" s="2" t="s">
        <v>6792</v>
      </c>
      <c r="B2087" s="2" t="s">
        <v>5764</v>
      </c>
      <c r="C2087" s="2" t="s">
        <v>6753</v>
      </c>
      <c r="D2087" s="2" t="s">
        <v>6111</v>
      </c>
      <c r="E2087" s="2" t="s">
        <v>6112</v>
      </c>
      <c r="F2087" s="2" t="s">
        <v>6786</v>
      </c>
      <c r="G2087" s="2" t="s">
        <v>6786</v>
      </c>
      <c r="H2087" s="2" t="s">
        <v>6786</v>
      </c>
      <c r="I2087" s="2" t="s">
        <v>4436</v>
      </c>
      <c r="J2087" s="2" t="s">
        <v>714</v>
      </c>
      <c r="K2087" s="2" t="s">
        <v>189</v>
      </c>
      <c r="L2087" s="3">
        <v>59.52</v>
      </c>
      <c r="M2087" s="3">
        <v>62.5</v>
      </c>
      <c r="N2087" s="3">
        <v>124.99</v>
      </c>
      <c r="O2087" s="2" t="s">
        <v>97</v>
      </c>
      <c r="P2087" s="2" t="s">
        <v>119</v>
      </c>
      <c r="Q2087" s="2" t="s">
        <v>99</v>
      </c>
      <c r="R2087" s="2" t="s">
        <v>100</v>
      </c>
      <c r="S2087" s="2" t="s">
        <v>6787</v>
      </c>
      <c r="T2087" s="2" t="s">
        <v>218</v>
      </c>
      <c r="U2087" s="2" t="s">
        <v>1847</v>
      </c>
      <c r="V2087" s="2" t="s">
        <v>146</v>
      </c>
      <c r="W2087" s="2" t="s">
        <v>183</v>
      </c>
      <c r="X2087" s="2" t="s">
        <v>100</v>
      </c>
      <c r="Y2087" s="2" t="s">
        <v>6770</v>
      </c>
      <c r="Z2087" s="4">
        <v>1377</v>
      </c>
      <c r="AA2087" s="4">
        <f>=ROUNDDOWN(26.4807692307692,0)</f>
      </c>
      <c r="AB2087" s="5">
        <v>52</v>
      </c>
      <c r="AC2087" s="2" t="s">
        <v>1069</v>
      </c>
      <c r="AD2087" s="4">
        <v>456</v>
      </c>
      <c r="AE2087" s="4">
        <v>1800</v>
      </c>
      <c r="AF2087" s="6">
        <v>65</v>
      </c>
      <c r="AG2087" s="6"/>
      <c r="AH2087" s="7">
        <v>0.5829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274</v>
      </c>
      <c r="BK2087" s="8">
        <v>18324.39</v>
      </c>
      <c r="BL2087" s="2" t="s">
        <v>6791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2480</v>
      </c>
      <c r="BV2087" s="2" t="s">
        <v>97</v>
      </c>
      <c r="BW2087" s="2" t="s">
        <v>100</v>
      </c>
      <c r="BX2087" s="2" t="s">
        <v>100</v>
      </c>
      <c r="BY2087" s="2" t="s">
        <v>113</v>
      </c>
      <c r="BZ2087" s="2" t="s">
        <v>100</v>
      </c>
    </row>
    <row r="2088">
      <c r="A2088" s="2" t="s">
        <v>6793</v>
      </c>
      <c r="B2088" s="2" t="s">
        <v>5764</v>
      </c>
      <c r="C2088" s="2" t="s">
        <v>6753</v>
      </c>
      <c r="D2088" s="2" t="s">
        <v>6111</v>
      </c>
      <c r="E2088" s="2" t="s">
        <v>6112</v>
      </c>
      <c r="F2088" s="2" t="s">
        <v>6786</v>
      </c>
      <c r="G2088" s="2" t="s">
        <v>6786</v>
      </c>
      <c r="H2088" s="2" t="s">
        <v>6786</v>
      </c>
      <c r="I2088" s="2" t="s">
        <v>4436</v>
      </c>
      <c r="J2088" s="2" t="s">
        <v>817</v>
      </c>
      <c r="K2088" s="2" t="s">
        <v>189</v>
      </c>
      <c r="L2088" s="3">
        <v>59.52</v>
      </c>
      <c r="M2088" s="3">
        <v>62.5</v>
      </c>
      <c r="N2088" s="3">
        <v>124.99</v>
      </c>
      <c r="O2088" s="2" t="s">
        <v>97</v>
      </c>
      <c r="P2088" s="2" t="s">
        <v>119</v>
      </c>
      <c r="Q2088" s="2" t="s">
        <v>99</v>
      </c>
      <c r="R2088" s="2" t="s">
        <v>100</v>
      </c>
      <c r="S2088" s="2" t="s">
        <v>6787</v>
      </c>
      <c r="T2088" s="2" t="s">
        <v>218</v>
      </c>
      <c r="U2088" s="2" t="s">
        <v>1847</v>
      </c>
      <c r="V2088" s="2" t="s">
        <v>146</v>
      </c>
      <c r="W2088" s="2" t="s">
        <v>183</v>
      </c>
      <c r="X2088" s="2" t="s">
        <v>100</v>
      </c>
      <c r="Y2088" s="2" t="s">
        <v>6770</v>
      </c>
      <c r="Z2088" s="4">
        <v>449</v>
      </c>
      <c r="AA2088" s="4">
        <f>=ROUNDDOWN(14.8675496688742,0)</f>
      </c>
      <c r="AB2088" s="5">
        <v>30.2</v>
      </c>
      <c r="AC2088" s="2" t="s">
        <v>1069</v>
      </c>
      <c r="AD2088" s="4">
        <v>160</v>
      </c>
      <c r="AE2088" s="4">
        <v>1330</v>
      </c>
      <c r="AF2088" s="6">
        <v>65</v>
      </c>
      <c r="AG2088" s="6"/>
      <c r="AH2088" s="7">
        <v>0.5829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56</v>
      </c>
      <c r="BK2088" s="8">
        <v>3719.26</v>
      </c>
      <c r="BL2088" s="2" t="s">
        <v>6794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2480</v>
      </c>
      <c r="BV2088" s="2" t="s">
        <v>97</v>
      </c>
      <c r="BW2088" s="2" t="s">
        <v>100</v>
      </c>
      <c r="BX2088" s="2" t="s">
        <v>100</v>
      </c>
      <c r="BY2088" s="2" t="s">
        <v>113</v>
      </c>
      <c r="BZ2088" s="2" t="s">
        <v>100</v>
      </c>
    </row>
    <row r="2089">
      <c r="A2089" s="2" t="s">
        <v>6795</v>
      </c>
      <c r="B2089" s="2" t="s">
        <v>5764</v>
      </c>
      <c r="C2089" s="2" t="s">
        <v>6753</v>
      </c>
      <c r="D2089" s="2" t="s">
        <v>5765</v>
      </c>
      <c r="E2089" s="2" t="s">
        <v>5766</v>
      </c>
      <c r="F2089" s="2" t="s">
        <v>6796</v>
      </c>
      <c r="G2089" s="2" t="s">
        <v>6796</v>
      </c>
      <c r="H2089" s="2" t="s">
        <v>6796</v>
      </c>
      <c r="I2089" s="2" t="s">
        <v>5768</v>
      </c>
      <c r="J2089" s="2" t="s">
        <v>717</v>
      </c>
      <c r="K2089" s="2" t="s">
        <v>878</v>
      </c>
      <c r="L2089" s="3">
        <v>50.08</v>
      </c>
      <c r="M2089" s="3">
        <v>52.58</v>
      </c>
      <c r="N2089" s="3">
        <v>106.99</v>
      </c>
      <c r="O2089" s="2" t="s">
        <v>97</v>
      </c>
      <c r="P2089" s="2" t="s">
        <v>119</v>
      </c>
      <c r="Q2089" s="2" t="s">
        <v>99</v>
      </c>
      <c r="R2089" s="2" t="s">
        <v>100</v>
      </c>
      <c r="S2089" s="2" t="s">
        <v>100</v>
      </c>
      <c r="T2089" s="2" t="s">
        <v>4441</v>
      </c>
      <c r="U2089" s="2" t="s">
        <v>1847</v>
      </c>
      <c r="V2089" s="2" t="s">
        <v>146</v>
      </c>
      <c r="W2089" s="2" t="s">
        <v>183</v>
      </c>
      <c r="X2089" s="2" t="s">
        <v>100</v>
      </c>
      <c r="Y2089" s="2" t="s">
        <v>6755</v>
      </c>
      <c r="Z2089" s="4">
        <v>293</v>
      </c>
      <c r="AA2089" s="4">
        <f>=ROUNDDOWN(29.3,0)</f>
      </c>
      <c r="AB2089" s="5">
        <v>10</v>
      </c>
      <c r="AC2089" s="2" t="s">
        <v>100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>
        <v>11</v>
      </c>
      <c r="AW2089" s="8">
        <v>891.88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>
        <v>22</v>
      </c>
      <c r="BD2089" s="8">
        <v>1643.84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0.5426</v>
      </c>
      <c r="BJ2089" s="4">
        <v>93</v>
      </c>
      <c r="BK2089" s="8">
        <v>5099.2</v>
      </c>
      <c r="BL2089" s="2" t="s">
        <v>6797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6757</v>
      </c>
      <c r="BX2089" s="2" t="s">
        <v>4352</v>
      </c>
      <c r="BY2089" s="2" t="s">
        <v>113</v>
      </c>
      <c r="BZ2089" s="2" t="s">
        <v>100</v>
      </c>
    </row>
    <row r="2090">
      <c r="A2090" s="2" t="s">
        <v>6798</v>
      </c>
      <c r="B2090" s="2" t="s">
        <v>5764</v>
      </c>
      <c r="C2090" s="2" t="s">
        <v>6753</v>
      </c>
      <c r="D2090" s="2" t="s">
        <v>5765</v>
      </c>
      <c r="E2090" s="2" t="s">
        <v>5766</v>
      </c>
      <c r="F2090" s="2" t="s">
        <v>6796</v>
      </c>
      <c r="G2090" s="2" t="s">
        <v>6796</v>
      </c>
      <c r="H2090" s="2" t="s">
        <v>6796</v>
      </c>
      <c r="I2090" s="2" t="s">
        <v>5768</v>
      </c>
      <c r="J2090" s="2" t="s">
        <v>706</v>
      </c>
      <c r="K2090" s="2" t="s">
        <v>878</v>
      </c>
      <c r="L2090" s="3">
        <v>72.34</v>
      </c>
      <c r="M2090" s="3">
        <v>75.96</v>
      </c>
      <c r="N2090" s="3">
        <v>149.99</v>
      </c>
      <c r="O2090" s="2" t="s">
        <v>97</v>
      </c>
      <c r="P2090" s="2" t="s">
        <v>119</v>
      </c>
      <c r="Q2090" s="2" t="s">
        <v>99</v>
      </c>
      <c r="R2090" s="2" t="s">
        <v>100</v>
      </c>
      <c r="S2090" s="2" t="s">
        <v>100</v>
      </c>
      <c r="T2090" s="2" t="s">
        <v>4441</v>
      </c>
      <c r="U2090" s="2" t="s">
        <v>1847</v>
      </c>
      <c r="V2090" s="2" t="s">
        <v>146</v>
      </c>
      <c r="W2090" s="2" t="s">
        <v>183</v>
      </c>
      <c r="X2090" s="2" t="s">
        <v>100</v>
      </c>
      <c r="Y2090" s="2" t="s">
        <v>6755</v>
      </c>
      <c r="Z2090" s="4">
        <v>246</v>
      </c>
      <c r="AA2090" s="4">
        <f>=ROUNDDOWN(33.2432432432432,0)</f>
      </c>
      <c r="AB2090" s="5">
        <v>7.4</v>
      </c>
      <c r="AC2090" s="2" t="s">
        <v>100</v>
      </c>
      <c r="AD2090" s="4"/>
      <c r="AE2090" s="4"/>
      <c r="AF2090" s="6">
        <v>65</v>
      </c>
      <c r="AG2090" s="6"/>
      <c r="AH2090" s="7">
        <v>0.8717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>
        <v>1</v>
      </c>
      <c r="AQ2090" s="8">
        <v>75.78</v>
      </c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0.085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 t="s">
        <v>100</v>
      </c>
      <c r="BJ2090" s="4">
        <v>95</v>
      </c>
      <c r="BK2090" s="8">
        <v>7535.94</v>
      </c>
      <c r="BL2090" s="2" t="s">
        <v>6759</v>
      </c>
      <c r="BM2090" s="7">
        <v>0.0105</v>
      </c>
      <c r="BN2090" s="7">
        <v>0.0101</v>
      </c>
      <c r="BO2090" s="4">
        <v>1</v>
      </c>
      <c r="BP2090" s="8">
        <v>75.78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6757</v>
      </c>
      <c r="BX2090" s="2" t="s">
        <v>6799</v>
      </c>
      <c r="BY2090" s="2" t="s">
        <v>113</v>
      </c>
      <c r="BZ2090" s="2" t="s">
        <v>100</v>
      </c>
    </row>
    <row r="2091">
      <c r="A2091" s="2" t="s">
        <v>6800</v>
      </c>
      <c r="B2091" s="2" t="s">
        <v>5764</v>
      </c>
      <c r="C2091" s="2" t="s">
        <v>6753</v>
      </c>
      <c r="D2091" s="2" t="s">
        <v>5765</v>
      </c>
      <c r="E2091" s="2" t="s">
        <v>5766</v>
      </c>
      <c r="F2091" s="2" t="s">
        <v>6796</v>
      </c>
      <c r="G2091" s="2" t="s">
        <v>6796</v>
      </c>
      <c r="H2091" s="2" t="s">
        <v>6796</v>
      </c>
      <c r="I2091" s="2" t="s">
        <v>5768</v>
      </c>
      <c r="J2091" s="2" t="s">
        <v>714</v>
      </c>
      <c r="K2091" s="2" t="s">
        <v>878</v>
      </c>
      <c r="L2091" s="3">
        <v>77.9</v>
      </c>
      <c r="M2091" s="3">
        <v>81.8</v>
      </c>
      <c r="N2091" s="3">
        <v>166.99</v>
      </c>
      <c r="O2091" s="2" t="s">
        <v>97</v>
      </c>
      <c r="P2091" s="2" t="s">
        <v>119</v>
      </c>
      <c r="Q2091" s="2" t="s">
        <v>99</v>
      </c>
      <c r="R2091" s="2" t="s">
        <v>100</v>
      </c>
      <c r="S2091" s="2" t="s">
        <v>100</v>
      </c>
      <c r="T2091" s="2" t="s">
        <v>4441</v>
      </c>
      <c r="U2091" s="2" t="s">
        <v>1847</v>
      </c>
      <c r="V2091" s="2" t="s">
        <v>146</v>
      </c>
      <c r="W2091" s="2" t="s">
        <v>183</v>
      </c>
      <c r="X2091" s="2" t="s">
        <v>100</v>
      </c>
      <c r="Y2091" s="2" t="s">
        <v>6755</v>
      </c>
      <c r="Z2091" s="4">
        <v>220</v>
      </c>
      <c r="AA2091" s="4">
        <f>=ROUNDDOWN(24.7191011235955,0)</f>
      </c>
      <c r="AB2091" s="5">
        <v>8.9</v>
      </c>
      <c r="AC2091" s="2" t="s">
        <v>282</v>
      </c>
      <c r="AD2091" s="4">
        <v>110</v>
      </c>
      <c r="AE2091" s="4">
        <v>110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>
        <v>10</v>
      </c>
      <c r="AQ2091" s="8">
        <v>816.1</v>
      </c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0.915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 t="s">
        <v>100</v>
      </c>
      <c r="BJ2091" s="4">
        <v>102</v>
      </c>
      <c r="BK2091" s="8">
        <v>8676.16</v>
      </c>
      <c r="BL2091" s="2" t="s">
        <v>6759</v>
      </c>
      <c r="BM2091" s="7">
        <v>0.098</v>
      </c>
      <c r="BN2091" s="7">
        <v>0.0941</v>
      </c>
      <c r="BO2091" s="4">
        <v>10</v>
      </c>
      <c r="BP2091" s="8">
        <v>816.1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6757</v>
      </c>
      <c r="BX2091" s="2" t="s">
        <v>6801</v>
      </c>
      <c r="BY2091" s="2" t="s">
        <v>113</v>
      </c>
      <c r="BZ2091" s="2" t="s">
        <v>100</v>
      </c>
    </row>
    <row r="2092">
      <c r="A2092" s="2" t="s">
        <v>6802</v>
      </c>
      <c r="B2092" s="2" t="s">
        <v>5764</v>
      </c>
      <c r="C2092" s="2" t="s">
        <v>6753</v>
      </c>
      <c r="D2092" s="2" t="s">
        <v>5765</v>
      </c>
      <c r="E2092" s="2" t="s">
        <v>5766</v>
      </c>
      <c r="F2092" s="2" t="s">
        <v>6796</v>
      </c>
      <c r="G2092" s="2" t="s">
        <v>6796</v>
      </c>
      <c r="H2092" s="2" t="s">
        <v>6796</v>
      </c>
      <c r="I2092" s="2" t="s">
        <v>5768</v>
      </c>
      <c r="J2092" s="2" t="s">
        <v>717</v>
      </c>
      <c r="K2092" s="2" t="s">
        <v>718</v>
      </c>
      <c r="L2092" s="3">
        <v>50.08</v>
      </c>
      <c r="M2092" s="3">
        <v>52.58</v>
      </c>
      <c r="N2092" s="3">
        <v>106.99</v>
      </c>
      <c r="O2092" s="2" t="s">
        <v>97</v>
      </c>
      <c r="P2092" s="2" t="s">
        <v>119</v>
      </c>
      <c r="Q2092" s="2" t="s">
        <v>99</v>
      </c>
      <c r="R2092" s="2" t="s">
        <v>100</v>
      </c>
      <c r="S2092" s="2" t="s">
        <v>100</v>
      </c>
      <c r="T2092" s="2" t="s">
        <v>4441</v>
      </c>
      <c r="U2092" s="2" t="s">
        <v>1847</v>
      </c>
      <c r="V2092" s="2" t="s">
        <v>146</v>
      </c>
      <c r="W2092" s="2" t="s">
        <v>183</v>
      </c>
      <c r="X2092" s="2" t="s">
        <v>100</v>
      </c>
      <c r="Y2092" s="2" t="s">
        <v>6755</v>
      </c>
      <c r="Z2092" s="4">
        <v>407</v>
      </c>
      <c r="AA2092" s="4">
        <f>=ROUNDDOWN(20.35,0)</f>
      </c>
      <c r="AB2092" s="5">
        <v>20</v>
      </c>
      <c r="AC2092" s="2" t="s">
        <v>282</v>
      </c>
      <c r="AD2092" s="4">
        <v>160</v>
      </c>
      <c r="AE2092" s="4">
        <v>160</v>
      </c>
      <c r="AF2092" s="6">
        <v>65</v>
      </c>
      <c r="AG2092" s="6"/>
      <c r="AH2092" s="7">
        <v>0.6524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>
        <v>2</v>
      </c>
      <c r="AQ2092" s="8">
        <v>104.92</v>
      </c>
      <c r="AR2092" s="4"/>
      <c r="AS2092" s="8"/>
      <c r="AT2092" s="7"/>
      <c r="AU2092" s="7"/>
      <c r="AV2092" s="4">
        <v>5</v>
      </c>
      <c r="AW2092" s="8">
        <v>338.09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0.3103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0.2057</v>
      </c>
      <c r="BJ2092" s="4">
        <v>142</v>
      </c>
      <c r="BK2092" s="8">
        <v>7853.1</v>
      </c>
      <c r="BL2092" s="2" t="s">
        <v>6759</v>
      </c>
      <c r="BM2092" s="7">
        <v>0.0141</v>
      </c>
      <c r="BN2092" s="7">
        <v>0.0134</v>
      </c>
      <c r="BO2092" s="4">
        <v>2</v>
      </c>
      <c r="BP2092" s="8">
        <v>104.92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6757</v>
      </c>
      <c r="BX2092" s="2" t="s">
        <v>2906</v>
      </c>
      <c r="BY2092" s="2" t="s">
        <v>113</v>
      </c>
      <c r="BZ2092" s="2" t="s">
        <v>100</v>
      </c>
    </row>
    <row r="2093">
      <c r="A2093" s="2" t="s">
        <v>6803</v>
      </c>
      <c r="B2093" s="2" t="s">
        <v>5764</v>
      </c>
      <c r="C2093" s="2" t="s">
        <v>6753</v>
      </c>
      <c r="D2093" s="2" t="s">
        <v>5765</v>
      </c>
      <c r="E2093" s="2" t="s">
        <v>5766</v>
      </c>
      <c r="F2093" s="2" t="s">
        <v>6796</v>
      </c>
      <c r="G2093" s="2" t="s">
        <v>6796</v>
      </c>
      <c r="H2093" s="2" t="s">
        <v>6796</v>
      </c>
      <c r="I2093" s="2" t="s">
        <v>5768</v>
      </c>
      <c r="J2093" s="2" t="s">
        <v>706</v>
      </c>
      <c r="K2093" s="2" t="s">
        <v>718</v>
      </c>
      <c r="L2093" s="3">
        <v>72.34</v>
      </c>
      <c r="M2093" s="3">
        <v>75.96</v>
      </c>
      <c r="N2093" s="3">
        <v>149.99</v>
      </c>
      <c r="O2093" s="2" t="s">
        <v>97</v>
      </c>
      <c r="P2093" s="2" t="s">
        <v>119</v>
      </c>
      <c r="Q2093" s="2" t="s">
        <v>99</v>
      </c>
      <c r="R2093" s="2" t="s">
        <v>100</v>
      </c>
      <c r="S2093" s="2" t="s">
        <v>100</v>
      </c>
      <c r="T2093" s="2" t="s">
        <v>4441</v>
      </c>
      <c r="U2093" s="2" t="s">
        <v>1847</v>
      </c>
      <c r="V2093" s="2" t="s">
        <v>146</v>
      </c>
      <c r="W2093" s="2" t="s">
        <v>183</v>
      </c>
      <c r="X2093" s="2" t="s">
        <v>100</v>
      </c>
      <c r="Y2093" s="2" t="s">
        <v>6755</v>
      </c>
      <c r="Z2093" s="4">
        <v>740</v>
      </c>
      <c r="AA2093" s="4">
        <f>=ROUNDDOWN(44.311377245509,0)</f>
      </c>
      <c r="AB2093" s="5">
        <v>16.7</v>
      </c>
      <c r="AC2093" s="2" t="s">
        <v>100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>
        <v>2</v>
      </c>
      <c r="AQ2093" s="8">
        <v>151.56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0.4483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170</v>
      </c>
      <c r="BK2093" s="8">
        <v>13483.92</v>
      </c>
      <c r="BL2093" s="2" t="s">
        <v>6759</v>
      </c>
      <c r="BM2093" s="7">
        <v>0.0118</v>
      </c>
      <c r="BN2093" s="7">
        <v>0.0112</v>
      </c>
      <c r="BO2093" s="4">
        <v>2</v>
      </c>
      <c r="BP2093" s="8">
        <v>151.56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6757</v>
      </c>
      <c r="BX2093" s="2" t="s">
        <v>6804</v>
      </c>
      <c r="BY2093" s="2" t="s">
        <v>113</v>
      </c>
      <c r="BZ2093" s="2" t="s">
        <v>100</v>
      </c>
    </row>
    <row r="2094">
      <c r="A2094" s="2" t="s">
        <v>6805</v>
      </c>
      <c r="B2094" s="2" t="s">
        <v>5764</v>
      </c>
      <c r="C2094" s="2" t="s">
        <v>6753</v>
      </c>
      <c r="D2094" s="2" t="s">
        <v>5765</v>
      </c>
      <c r="E2094" s="2" t="s">
        <v>5766</v>
      </c>
      <c r="F2094" s="2" t="s">
        <v>6796</v>
      </c>
      <c r="G2094" s="2" t="s">
        <v>6796</v>
      </c>
      <c r="H2094" s="2" t="s">
        <v>6796</v>
      </c>
      <c r="I2094" s="2" t="s">
        <v>5768</v>
      </c>
      <c r="J2094" s="2" t="s">
        <v>714</v>
      </c>
      <c r="K2094" s="2" t="s">
        <v>718</v>
      </c>
      <c r="L2094" s="3">
        <v>77.9</v>
      </c>
      <c r="M2094" s="3">
        <v>81.8</v>
      </c>
      <c r="N2094" s="3">
        <v>166.99</v>
      </c>
      <c r="O2094" s="2" t="s">
        <v>97</v>
      </c>
      <c r="P2094" s="2" t="s">
        <v>119</v>
      </c>
      <c r="Q2094" s="2" t="s">
        <v>99</v>
      </c>
      <c r="R2094" s="2" t="s">
        <v>100</v>
      </c>
      <c r="S2094" s="2" t="s">
        <v>100</v>
      </c>
      <c r="T2094" s="2" t="s">
        <v>4441</v>
      </c>
      <c r="U2094" s="2" t="s">
        <v>1847</v>
      </c>
      <c r="V2094" s="2" t="s">
        <v>146</v>
      </c>
      <c r="W2094" s="2" t="s">
        <v>183</v>
      </c>
      <c r="X2094" s="2" t="s">
        <v>100</v>
      </c>
      <c r="Y2094" s="2" t="s">
        <v>6755</v>
      </c>
      <c r="Z2094" s="4">
        <v>569</v>
      </c>
      <c r="AA2094" s="4">
        <f>=ROUNDDOWN(19.6206896551724,0)</f>
      </c>
      <c r="AB2094" s="5">
        <v>29</v>
      </c>
      <c r="AC2094" s="2" t="s">
        <v>282</v>
      </c>
      <c r="AD2094" s="4">
        <v>150</v>
      </c>
      <c r="AE2094" s="4">
        <v>250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>
        <v>1</v>
      </c>
      <c r="AQ2094" s="8">
        <v>81.61</v>
      </c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0.2414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 t="s">
        <v>100</v>
      </c>
      <c r="BJ2094" s="4">
        <v>181</v>
      </c>
      <c r="BK2094" s="8">
        <v>15308.61</v>
      </c>
      <c r="BL2094" s="2" t="s">
        <v>6783</v>
      </c>
      <c r="BM2094" s="7">
        <v>0.0055</v>
      </c>
      <c r="BN2094" s="7">
        <v>0.0053</v>
      </c>
      <c r="BO2094" s="4">
        <v>1</v>
      </c>
      <c r="BP2094" s="8">
        <v>81.61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6757</v>
      </c>
      <c r="BX2094" s="2" t="s">
        <v>6806</v>
      </c>
      <c r="BY2094" s="2" t="s">
        <v>113</v>
      </c>
      <c r="BZ2094" s="2" t="s">
        <v>100</v>
      </c>
    </row>
    <row r="2095">
      <c r="A2095" s="2" t="s">
        <v>6807</v>
      </c>
      <c r="B2095" s="2" t="s">
        <v>5764</v>
      </c>
      <c r="C2095" s="2" t="s">
        <v>6753</v>
      </c>
      <c r="D2095" s="2" t="s">
        <v>5765</v>
      </c>
      <c r="E2095" s="2" t="s">
        <v>5766</v>
      </c>
      <c r="F2095" s="2" t="s">
        <v>6796</v>
      </c>
      <c r="G2095" s="2" t="s">
        <v>6796</v>
      </c>
      <c r="H2095" s="2" t="s">
        <v>6796</v>
      </c>
      <c r="I2095" s="2" t="s">
        <v>5768</v>
      </c>
      <c r="J2095" s="2" t="s">
        <v>717</v>
      </c>
      <c r="K2095" s="2" t="s">
        <v>1614</v>
      </c>
      <c r="L2095" s="3">
        <v>50.08</v>
      </c>
      <c r="M2095" s="3">
        <v>52.58</v>
      </c>
      <c r="N2095" s="3">
        <v>106.99</v>
      </c>
      <c r="O2095" s="2" t="s">
        <v>97</v>
      </c>
      <c r="P2095" s="2" t="s">
        <v>119</v>
      </c>
      <c r="Q2095" s="2" t="s">
        <v>99</v>
      </c>
      <c r="R2095" s="2" t="s">
        <v>100</v>
      </c>
      <c r="S2095" s="2" t="s">
        <v>100</v>
      </c>
      <c r="T2095" s="2" t="s">
        <v>4441</v>
      </c>
      <c r="U2095" s="2" t="s">
        <v>1847</v>
      </c>
      <c r="V2095" s="2" t="s">
        <v>146</v>
      </c>
      <c r="W2095" s="2" t="s">
        <v>183</v>
      </c>
      <c r="X2095" s="2" t="s">
        <v>100</v>
      </c>
      <c r="Y2095" s="2" t="s">
        <v>6755</v>
      </c>
      <c r="Z2095" s="4">
        <v>417</v>
      </c>
      <c r="AA2095" s="4">
        <f>=ROUNDDOWN(29.7857142857143,0)</f>
      </c>
      <c r="AB2095" s="5">
        <v>14</v>
      </c>
      <c r="AC2095" s="2" t="s">
        <v>100</v>
      </c>
      <c r="AD2095" s="4"/>
      <c r="AE2095" s="4"/>
      <c r="AF2095" s="6">
        <v>65</v>
      </c>
      <c r="AG2095" s="6"/>
      <c r="AH2095" s="7">
        <v>0.6524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>
        <v>3</v>
      </c>
      <c r="AW2095" s="8">
        <v>233.17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0.1418</v>
      </c>
      <c r="BJ2095" s="4">
        <v>85</v>
      </c>
      <c r="BK2095" s="8">
        <v>4638.99</v>
      </c>
      <c r="BL2095" s="2" t="s">
        <v>6808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6757</v>
      </c>
      <c r="BX2095" s="2" t="s">
        <v>6760</v>
      </c>
      <c r="BY2095" s="2" t="s">
        <v>113</v>
      </c>
      <c r="BZ2095" s="2" t="s">
        <v>100</v>
      </c>
    </row>
    <row r="2096">
      <c r="A2096" s="2" t="s">
        <v>6809</v>
      </c>
      <c r="B2096" s="2" t="s">
        <v>5764</v>
      </c>
      <c r="C2096" s="2" t="s">
        <v>6753</v>
      </c>
      <c r="D2096" s="2" t="s">
        <v>5765</v>
      </c>
      <c r="E2096" s="2" t="s">
        <v>5766</v>
      </c>
      <c r="F2096" s="2" t="s">
        <v>6796</v>
      </c>
      <c r="G2096" s="2" t="s">
        <v>6796</v>
      </c>
      <c r="H2096" s="2" t="s">
        <v>6796</v>
      </c>
      <c r="I2096" s="2" t="s">
        <v>5768</v>
      </c>
      <c r="J2096" s="2" t="s">
        <v>706</v>
      </c>
      <c r="K2096" s="2" t="s">
        <v>1614</v>
      </c>
      <c r="L2096" s="3">
        <v>72.34</v>
      </c>
      <c r="M2096" s="3">
        <v>75.96</v>
      </c>
      <c r="N2096" s="3">
        <v>149.99</v>
      </c>
      <c r="O2096" s="2" t="s">
        <v>97</v>
      </c>
      <c r="P2096" s="2" t="s">
        <v>119</v>
      </c>
      <c r="Q2096" s="2" t="s">
        <v>99</v>
      </c>
      <c r="R2096" s="2" t="s">
        <v>100</v>
      </c>
      <c r="S2096" s="2" t="s">
        <v>100</v>
      </c>
      <c r="T2096" s="2" t="s">
        <v>4441</v>
      </c>
      <c r="U2096" s="2" t="s">
        <v>1847</v>
      </c>
      <c r="V2096" s="2" t="s">
        <v>146</v>
      </c>
      <c r="W2096" s="2" t="s">
        <v>183</v>
      </c>
      <c r="X2096" s="2" t="s">
        <v>100</v>
      </c>
      <c r="Y2096" s="2" t="s">
        <v>6755</v>
      </c>
      <c r="Z2096" s="4">
        <v>397</v>
      </c>
      <c r="AA2096" s="4">
        <f>=ROUNDDOWN(15.6299212598425,0)</f>
      </c>
      <c r="AB2096" s="5">
        <v>25.4</v>
      </c>
      <c r="AC2096" s="2" t="s">
        <v>282</v>
      </c>
      <c r="AD2096" s="4">
        <v>170</v>
      </c>
      <c r="AE2096" s="4">
        <v>170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>
        <v>2</v>
      </c>
      <c r="AQ2096" s="8">
        <v>151.56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0.65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188</v>
      </c>
      <c r="BK2096" s="8">
        <v>14749.92</v>
      </c>
      <c r="BL2096" s="2" t="s">
        <v>6810</v>
      </c>
      <c r="BM2096" s="7">
        <v>0.0106</v>
      </c>
      <c r="BN2096" s="7">
        <v>0.0103</v>
      </c>
      <c r="BO2096" s="4">
        <v>2</v>
      </c>
      <c r="BP2096" s="8">
        <v>151.56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6757</v>
      </c>
      <c r="BX2096" s="2" t="s">
        <v>767</v>
      </c>
      <c r="BY2096" s="2" t="s">
        <v>113</v>
      </c>
      <c r="BZ2096" s="2" t="s">
        <v>100</v>
      </c>
    </row>
    <row r="2097">
      <c r="A2097" s="2" t="s">
        <v>6811</v>
      </c>
      <c r="B2097" s="2" t="s">
        <v>5764</v>
      </c>
      <c r="C2097" s="2" t="s">
        <v>6753</v>
      </c>
      <c r="D2097" s="2" t="s">
        <v>5765</v>
      </c>
      <c r="E2097" s="2" t="s">
        <v>5766</v>
      </c>
      <c r="F2097" s="2" t="s">
        <v>6796</v>
      </c>
      <c r="G2097" s="2" t="s">
        <v>6796</v>
      </c>
      <c r="H2097" s="2" t="s">
        <v>6796</v>
      </c>
      <c r="I2097" s="2" t="s">
        <v>5768</v>
      </c>
      <c r="J2097" s="2" t="s">
        <v>714</v>
      </c>
      <c r="K2097" s="2" t="s">
        <v>1614</v>
      </c>
      <c r="L2097" s="3">
        <v>77.9</v>
      </c>
      <c r="M2097" s="3">
        <v>81.8</v>
      </c>
      <c r="N2097" s="3">
        <v>166.99</v>
      </c>
      <c r="O2097" s="2" t="s">
        <v>97</v>
      </c>
      <c r="P2097" s="2" t="s">
        <v>119</v>
      </c>
      <c r="Q2097" s="2" t="s">
        <v>99</v>
      </c>
      <c r="R2097" s="2" t="s">
        <v>100</v>
      </c>
      <c r="S2097" s="2" t="s">
        <v>100</v>
      </c>
      <c r="T2097" s="2" t="s">
        <v>4441</v>
      </c>
      <c r="U2097" s="2" t="s">
        <v>1847</v>
      </c>
      <c r="V2097" s="2" t="s">
        <v>146</v>
      </c>
      <c r="W2097" s="2" t="s">
        <v>183</v>
      </c>
      <c r="X2097" s="2" t="s">
        <v>100</v>
      </c>
      <c r="Y2097" s="2" t="s">
        <v>6755</v>
      </c>
      <c r="Z2097" s="4">
        <v>352</v>
      </c>
      <c r="AA2097" s="4">
        <f>=ROUNDDOWN(12.1379310344828,0)</f>
      </c>
      <c r="AB2097" s="5">
        <v>29</v>
      </c>
      <c r="AC2097" s="2" t="s">
        <v>282</v>
      </c>
      <c r="AD2097" s="4">
        <v>30</v>
      </c>
      <c r="AE2097" s="4">
        <v>30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>
        <v>1</v>
      </c>
      <c r="AQ2097" s="8">
        <v>81.61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0.35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218</v>
      </c>
      <c r="BK2097" s="8">
        <v>18232.16</v>
      </c>
      <c r="BL2097" s="2" t="s">
        <v>6779</v>
      </c>
      <c r="BM2097" s="7">
        <v>0.0046</v>
      </c>
      <c r="BN2097" s="7">
        <v>0.0045</v>
      </c>
      <c r="BO2097" s="4">
        <v>1</v>
      </c>
      <c r="BP2097" s="8">
        <v>81.61</v>
      </c>
      <c r="BQ2097" s="4"/>
      <c r="BR2097" s="8"/>
      <c r="BS2097" s="7"/>
      <c r="BT2097" s="7"/>
      <c r="BU2097" s="2" t="s">
        <v>109</v>
      </c>
      <c r="BV2097" s="2" t="s">
        <v>110</v>
      </c>
      <c r="BW2097" s="2" t="s">
        <v>6757</v>
      </c>
      <c r="BX2097" s="2" t="s">
        <v>6812</v>
      </c>
      <c r="BY2097" s="2" t="s">
        <v>113</v>
      </c>
      <c r="BZ2097" s="2" t="s">
        <v>100</v>
      </c>
    </row>
    <row r="2098">
      <c r="A2098" s="2" t="s">
        <v>6813</v>
      </c>
      <c r="B2098" s="2" t="s">
        <v>5764</v>
      </c>
      <c r="C2098" s="2" t="s">
        <v>6753</v>
      </c>
      <c r="D2098" s="2" t="s">
        <v>5765</v>
      </c>
      <c r="E2098" s="2" t="s">
        <v>5766</v>
      </c>
      <c r="F2098" s="2" t="s">
        <v>6796</v>
      </c>
      <c r="G2098" s="2" t="s">
        <v>6796</v>
      </c>
      <c r="H2098" s="2" t="s">
        <v>6796</v>
      </c>
      <c r="I2098" s="2" t="s">
        <v>5768</v>
      </c>
      <c r="J2098" s="2" t="s">
        <v>717</v>
      </c>
      <c r="K2098" s="2" t="s">
        <v>3515</v>
      </c>
      <c r="L2098" s="3">
        <v>50.08</v>
      </c>
      <c r="M2098" s="3">
        <v>52.58</v>
      </c>
      <c r="N2098" s="3">
        <v>106.99</v>
      </c>
      <c r="O2098" s="2" t="s">
        <v>97</v>
      </c>
      <c r="P2098" s="2" t="s">
        <v>119</v>
      </c>
      <c r="Q2098" s="2" t="s">
        <v>99</v>
      </c>
      <c r="R2098" s="2" t="s">
        <v>100</v>
      </c>
      <c r="S2098" s="2" t="s">
        <v>100</v>
      </c>
      <c r="T2098" s="2" t="s">
        <v>4441</v>
      </c>
      <c r="U2098" s="2" t="s">
        <v>1847</v>
      </c>
      <c r="V2098" s="2" t="s">
        <v>146</v>
      </c>
      <c r="W2098" s="2" t="s">
        <v>183</v>
      </c>
      <c r="X2098" s="2" t="s">
        <v>100</v>
      </c>
      <c r="Y2098" s="2" t="s">
        <v>6814</v>
      </c>
      <c r="Z2098" s="4">
        <v>242</v>
      </c>
      <c r="AA2098" s="4">
        <f>=ROUNDDOWN(24.2,0)</f>
      </c>
      <c r="AB2098" s="5">
        <v>10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>
        <v>2</v>
      </c>
      <c r="AQ2098" s="8">
        <v>104.92</v>
      </c>
      <c r="AR2098" s="4"/>
      <c r="AS2098" s="8"/>
      <c r="AT2098" s="7"/>
      <c r="AU2098" s="7"/>
      <c r="AV2098" s="4">
        <v>2</v>
      </c>
      <c r="AW2098" s="8">
        <v>104.92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1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>
        <v>0.0638</v>
      </c>
      <c r="BJ2098" s="4">
        <v>118</v>
      </c>
      <c r="BK2098" s="8">
        <v>6444.98</v>
      </c>
      <c r="BL2098" s="2" t="s">
        <v>6815</v>
      </c>
      <c r="BM2098" s="7">
        <v>0.0169</v>
      </c>
      <c r="BN2098" s="7">
        <v>0.0163</v>
      </c>
      <c r="BO2098" s="4">
        <v>2</v>
      </c>
      <c r="BP2098" s="8">
        <v>104.92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6757</v>
      </c>
      <c r="BX2098" s="2" t="s">
        <v>6767</v>
      </c>
      <c r="BY2098" s="2" t="s">
        <v>113</v>
      </c>
      <c r="BZ2098" s="2" t="s">
        <v>100</v>
      </c>
    </row>
    <row r="2099">
      <c r="A2099" s="2" t="s">
        <v>6816</v>
      </c>
      <c r="B2099" s="2" t="s">
        <v>5764</v>
      </c>
      <c r="C2099" s="2" t="s">
        <v>6753</v>
      </c>
      <c r="D2099" s="2" t="s">
        <v>5765</v>
      </c>
      <c r="E2099" s="2" t="s">
        <v>5766</v>
      </c>
      <c r="F2099" s="2" t="s">
        <v>6796</v>
      </c>
      <c r="G2099" s="2" t="s">
        <v>6796</v>
      </c>
      <c r="H2099" s="2" t="s">
        <v>6796</v>
      </c>
      <c r="I2099" s="2" t="s">
        <v>5768</v>
      </c>
      <c r="J2099" s="2" t="s">
        <v>706</v>
      </c>
      <c r="K2099" s="2" t="s">
        <v>3515</v>
      </c>
      <c r="L2099" s="3">
        <v>72.34</v>
      </c>
      <c r="M2099" s="3">
        <v>75.96</v>
      </c>
      <c r="N2099" s="3">
        <v>149.99</v>
      </c>
      <c r="O2099" s="2" t="s">
        <v>97</v>
      </c>
      <c r="P2099" s="2" t="s">
        <v>119</v>
      </c>
      <c r="Q2099" s="2" t="s">
        <v>99</v>
      </c>
      <c r="R2099" s="2" t="s">
        <v>100</v>
      </c>
      <c r="S2099" s="2" t="s">
        <v>100</v>
      </c>
      <c r="T2099" s="2" t="s">
        <v>4441</v>
      </c>
      <c r="U2099" s="2" t="s">
        <v>1847</v>
      </c>
      <c r="V2099" s="2" t="s">
        <v>146</v>
      </c>
      <c r="W2099" s="2" t="s">
        <v>183</v>
      </c>
      <c r="X2099" s="2" t="s">
        <v>100</v>
      </c>
      <c r="Y2099" s="2" t="s">
        <v>6814</v>
      </c>
      <c r="Z2099" s="4">
        <v>211</v>
      </c>
      <c r="AA2099" s="4">
        <f>=ROUNDDOWN(16.7460317460317,0)</f>
      </c>
      <c r="AB2099" s="5">
        <v>12.6</v>
      </c>
      <c r="AC2099" s="2" t="s">
        <v>282</v>
      </c>
      <c r="AD2099" s="4">
        <v>99</v>
      </c>
      <c r="AE2099" s="4">
        <v>99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 t="s">
        <v>100</v>
      </c>
      <c r="BJ2099" s="4">
        <v>151</v>
      </c>
      <c r="BK2099" s="8">
        <v>11754.73</v>
      </c>
      <c r="BL2099" s="2" t="s">
        <v>6817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6757</v>
      </c>
      <c r="BX2099" s="2" t="s">
        <v>6818</v>
      </c>
      <c r="BY2099" s="2" t="s">
        <v>113</v>
      </c>
      <c r="BZ2099" s="2" t="s">
        <v>100</v>
      </c>
    </row>
    <row r="2100">
      <c r="A2100" s="2" t="s">
        <v>6819</v>
      </c>
      <c r="B2100" s="2" t="s">
        <v>5764</v>
      </c>
      <c r="C2100" s="2" t="s">
        <v>6753</v>
      </c>
      <c r="D2100" s="2" t="s">
        <v>5765</v>
      </c>
      <c r="E2100" s="2" t="s">
        <v>5766</v>
      </c>
      <c r="F2100" s="2" t="s">
        <v>6796</v>
      </c>
      <c r="G2100" s="2" t="s">
        <v>6796</v>
      </c>
      <c r="H2100" s="2" t="s">
        <v>6796</v>
      </c>
      <c r="I2100" s="2" t="s">
        <v>5768</v>
      </c>
      <c r="J2100" s="2" t="s">
        <v>714</v>
      </c>
      <c r="K2100" s="2" t="s">
        <v>3515</v>
      </c>
      <c r="L2100" s="3">
        <v>77.9</v>
      </c>
      <c r="M2100" s="3">
        <v>81.8</v>
      </c>
      <c r="N2100" s="3">
        <v>166.99</v>
      </c>
      <c r="O2100" s="2" t="s">
        <v>97</v>
      </c>
      <c r="P2100" s="2" t="s">
        <v>119</v>
      </c>
      <c r="Q2100" s="2" t="s">
        <v>99</v>
      </c>
      <c r="R2100" s="2" t="s">
        <v>100</v>
      </c>
      <c r="S2100" s="2" t="s">
        <v>100</v>
      </c>
      <c r="T2100" s="2" t="s">
        <v>4441</v>
      </c>
      <c r="U2100" s="2" t="s">
        <v>1847</v>
      </c>
      <c r="V2100" s="2" t="s">
        <v>146</v>
      </c>
      <c r="W2100" s="2" t="s">
        <v>183</v>
      </c>
      <c r="X2100" s="2" t="s">
        <v>100</v>
      </c>
      <c r="Y2100" s="2" t="s">
        <v>6814</v>
      </c>
      <c r="Z2100" s="4">
        <v>229</v>
      </c>
      <c r="AA2100" s="4">
        <f>=ROUNDDOWN(19.2436974789916,0)</f>
      </c>
      <c r="AB2100" s="5">
        <v>11.9</v>
      </c>
      <c r="AC2100" s="2" t="s">
        <v>282</v>
      </c>
      <c r="AD2100" s="4">
        <v>82</v>
      </c>
      <c r="AE2100" s="4">
        <v>82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152</v>
      </c>
      <c r="BK2100" s="8">
        <v>12849</v>
      </c>
      <c r="BL2100" s="2" t="s">
        <v>1839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6757</v>
      </c>
      <c r="BX2100" s="2" t="s">
        <v>6820</v>
      </c>
      <c r="BY2100" s="2" t="s">
        <v>113</v>
      </c>
      <c r="BZ2100" s="2" t="s">
        <v>100</v>
      </c>
    </row>
    <row r="2101">
      <c r="A2101" s="2" t="s">
        <v>6821</v>
      </c>
      <c r="B2101" s="2" t="s">
        <v>5764</v>
      </c>
      <c r="C2101" s="2" t="s">
        <v>6753</v>
      </c>
      <c r="D2101" s="2" t="s">
        <v>5765</v>
      </c>
      <c r="E2101" s="2" t="s">
        <v>5766</v>
      </c>
      <c r="F2101" s="2" t="s">
        <v>6796</v>
      </c>
      <c r="G2101" s="2" t="s">
        <v>6796</v>
      </c>
      <c r="H2101" s="2" t="s">
        <v>6796</v>
      </c>
      <c r="I2101" s="2" t="s">
        <v>5768</v>
      </c>
      <c r="J2101" s="2" t="s">
        <v>717</v>
      </c>
      <c r="K2101" s="2" t="s">
        <v>578</v>
      </c>
      <c r="L2101" s="3">
        <v>50.08</v>
      </c>
      <c r="M2101" s="3">
        <v>52.58</v>
      </c>
      <c r="N2101" s="3">
        <v>106.99</v>
      </c>
      <c r="O2101" s="2" t="s">
        <v>97</v>
      </c>
      <c r="P2101" s="2" t="s">
        <v>119</v>
      </c>
      <c r="Q2101" s="2" t="s">
        <v>99</v>
      </c>
      <c r="R2101" s="2" t="s">
        <v>100</v>
      </c>
      <c r="S2101" s="2" t="s">
        <v>100</v>
      </c>
      <c r="T2101" s="2" t="s">
        <v>4441</v>
      </c>
      <c r="U2101" s="2" t="s">
        <v>1847</v>
      </c>
      <c r="V2101" s="2" t="s">
        <v>146</v>
      </c>
      <c r="W2101" s="2" t="s">
        <v>183</v>
      </c>
      <c r="X2101" s="2" t="s">
        <v>100</v>
      </c>
      <c r="Y2101" s="2" t="s">
        <v>6755</v>
      </c>
      <c r="Z2101" s="4">
        <v>271</v>
      </c>
      <c r="AA2101" s="4">
        <f>=ROUNDDOWN(30.1111111111111,0)</f>
      </c>
      <c r="AB2101" s="5">
        <v>9</v>
      </c>
      <c r="AC2101" s="2" t="s">
        <v>100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>
        <v>1</v>
      </c>
      <c r="AW2101" s="8">
        <v>75.78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0.0461</v>
      </c>
      <c r="BJ2101" s="4">
        <v>90</v>
      </c>
      <c r="BK2101" s="8">
        <v>4904.68</v>
      </c>
      <c r="BL2101" s="2" t="s">
        <v>6822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6757</v>
      </c>
      <c r="BX2101" s="2" t="s">
        <v>6760</v>
      </c>
      <c r="BY2101" s="2" t="s">
        <v>113</v>
      </c>
      <c r="BZ2101" s="2" t="s">
        <v>100</v>
      </c>
    </row>
    <row r="2102">
      <c r="A2102" s="2" t="s">
        <v>6823</v>
      </c>
      <c r="B2102" s="2" t="s">
        <v>5764</v>
      </c>
      <c r="C2102" s="2" t="s">
        <v>6753</v>
      </c>
      <c r="D2102" s="2" t="s">
        <v>5765</v>
      </c>
      <c r="E2102" s="2" t="s">
        <v>5766</v>
      </c>
      <c r="F2102" s="2" t="s">
        <v>6796</v>
      </c>
      <c r="G2102" s="2" t="s">
        <v>6796</v>
      </c>
      <c r="H2102" s="2" t="s">
        <v>6796</v>
      </c>
      <c r="I2102" s="2" t="s">
        <v>5768</v>
      </c>
      <c r="J2102" s="2" t="s">
        <v>706</v>
      </c>
      <c r="K2102" s="2" t="s">
        <v>578</v>
      </c>
      <c r="L2102" s="3">
        <v>72.34</v>
      </c>
      <c r="M2102" s="3">
        <v>75.96</v>
      </c>
      <c r="N2102" s="3">
        <v>149.99</v>
      </c>
      <c r="O2102" s="2" t="s">
        <v>97</v>
      </c>
      <c r="P2102" s="2" t="s">
        <v>119</v>
      </c>
      <c r="Q2102" s="2" t="s">
        <v>99</v>
      </c>
      <c r="R2102" s="2" t="s">
        <v>100</v>
      </c>
      <c r="S2102" s="2" t="s">
        <v>100</v>
      </c>
      <c r="T2102" s="2" t="s">
        <v>4441</v>
      </c>
      <c r="U2102" s="2" t="s">
        <v>1847</v>
      </c>
      <c r="V2102" s="2" t="s">
        <v>146</v>
      </c>
      <c r="W2102" s="2" t="s">
        <v>183</v>
      </c>
      <c r="X2102" s="2" t="s">
        <v>100</v>
      </c>
      <c r="Y2102" s="2" t="s">
        <v>6755</v>
      </c>
      <c r="Z2102" s="4">
        <v>312</v>
      </c>
      <c r="AA2102" s="4">
        <f>=ROUNDDOWN(26.4406779661017,0)</f>
      </c>
      <c r="AB2102" s="5">
        <v>11.8</v>
      </c>
      <c r="AC2102" s="2" t="s">
        <v>100</v>
      </c>
      <c r="AD2102" s="4"/>
      <c r="AE2102" s="4"/>
      <c r="AF2102" s="6">
        <v>65</v>
      </c>
      <c r="AG2102" s="6"/>
      <c r="AH2102" s="7">
        <v>0.9947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>
        <v>1</v>
      </c>
      <c r="AQ2102" s="8">
        <v>75.78</v>
      </c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1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 t="s">
        <v>100</v>
      </c>
      <c r="BJ2102" s="4">
        <v>104</v>
      </c>
      <c r="BK2102" s="8">
        <v>8153.65</v>
      </c>
      <c r="BL2102" s="2" t="s">
        <v>6824</v>
      </c>
      <c r="BM2102" s="7">
        <v>0.0096</v>
      </c>
      <c r="BN2102" s="7">
        <v>0.0093</v>
      </c>
      <c r="BO2102" s="4">
        <v>1</v>
      </c>
      <c r="BP2102" s="8">
        <v>75.78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6757</v>
      </c>
      <c r="BX2102" s="2" t="s">
        <v>6825</v>
      </c>
      <c r="BY2102" s="2" t="s">
        <v>113</v>
      </c>
      <c r="BZ2102" s="2" t="s">
        <v>100</v>
      </c>
    </row>
    <row r="2103">
      <c r="A2103" s="2" t="s">
        <v>6826</v>
      </c>
      <c r="B2103" s="2" t="s">
        <v>5764</v>
      </c>
      <c r="C2103" s="2" t="s">
        <v>6753</v>
      </c>
      <c r="D2103" s="2" t="s">
        <v>5765</v>
      </c>
      <c r="E2103" s="2" t="s">
        <v>5766</v>
      </c>
      <c r="F2103" s="2" t="s">
        <v>6796</v>
      </c>
      <c r="G2103" s="2" t="s">
        <v>6796</v>
      </c>
      <c r="H2103" s="2" t="s">
        <v>6796</v>
      </c>
      <c r="I2103" s="2" t="s">
        <v>5768</v>
      </c>
      <c r="J2103" s="2" t="s">
        <v>714</v>
      </c>
      <c r="K2103" s="2" t="s">
        <v>578</v>
      </c>
      <c r="L2103" s="3">
        <v>77.9</v>
      </c>
      <c r="M2103" s="3">
        <v>81.8</v>
      </c>
      <c r="N2103" s="3">
        <v>166.99</v>
      </c>
      <c r="O2103" s="2" t="s">
        <v>97</v>
      </c>
      <c r="P2103" s="2" t="s">
        <v>119</v>
      </c>
      <c r="Q2103" s="2" t="s">
        <v>99</v>
      </c>
      <c r="R2103" s="2" t="s">
        <v>100</v>
      </c>
      <c r="S2103" s="2" t="s">
        <v>100</v>
      </c>
      <c r="T2103" s="2" t="s">
        <v>4441</v>
      </c>
      <c r="U2103" s="2" t="s">
        <v>1847</v>
      </c>
      <c r="V2103" s="2" t="s">
        <v>146</v>
      </c>
      <c r="W2103" s="2" t="s">
        <v>183</v>
      </c>
      <c r="X2103" s="2" t="s">
        <v>100</v>
      </c>
      <c r="Y2103" s="2" t="s">
        <v>6755</v>
      </c>
      <c r="Z2103" s="4">
        <v>277</v>
      </c>
      <c r="AA2103" s="4">
        <f>=ROUNDDOWN(27.7,0)</f>
      </c>
      <c r="AB2103" s="5">
        <v>10</v>
      </c>
      <c r="AC2103" s="2" t="s">
        <v>100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76</v>
      </c>
      <c r="BK2103" s="8">
        <v>6544.3</v>
      </c>
      <c r="BL2103" s="2" t="s">
        <v>6827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6757</v>
      </c>
      <c r="BX2103" s="2" t="s">
        <v>6828</v>
      </c>
      <c r="BY2103" s="2" t="s">
        <v>113</v>
      </c>
      <c r="BZ2103" s="2" t="s">
        <v>100</v>
      </c>
    </row>
    <row r="2104">
      <c r="A2104" s="2" t="s">
        <v>6829</v>
      </c>
      <c r="B2104" s="2" t="s">
        <v>5764</v>
      </c>
      <c r="C2104" s="2" t="s">
        <v>6753</v>
      </c>
      <c r="D2104" s="2" t="s">
        <v>5765</v>
      </c>
      <c r="E2104" s="2" t="s">
        <v>5766</v>
      </c>
      <c r="F2104" s="2" t="s">
        <v>6796</v>
      </c>
      <c r="G2104" s="2" t="s">
        <v>6796</v>
      </c>
      <c r="H2104" s="2" t="s">
        <v>6796</v>
      </c>
      <c r="I2104" s="2" t="s">
        <v>5768</v>
      </c>
      <c r="J2104" s="2" t="s">
        <v>717</v>
      </c>
      <c r="K2104" s="2" t="s">
        <v>6337</v>
      </c>
      <c r="L2104" s="3">
        <v>50.08</v>
      </c>
      <c r="M2104" s="3">
        <v>52.58</v>
      </c>
      <c r="N2104" s="3">
        <v>106.99</v>
      </c>
      <c r="O2104" s="2" t="s">
        <v>97</v>
      </c>
      <c r="P2104" s="2" t="s">
        <v>119</v>
      </c>
      <c r="Q2104" s="2" t="s">
        <v>99</v>
      </c>
      <c r="R2104" s="2" t="s">
        <v>100</v>
      </c>
      <c r="S2104" s="2" t="s">
        <v>100</v>
      </c>
      <c r="T2104" s="2" t="s">
        <v>4441</v>
      </c>
      <c r="U2104" s="2" t="s">
        <v>1847</v>
      </c>
      <c r="V2104" s="2" t="s">
        <v>146</v>
      </c>
      <c r="W2104" s="2" t="s">
        <v>183</v>
      </c>
      <c r="X2104" s="2" t="s">
        <v>100</v>
      </c>
      <c r="Y2104" s="2" t="s">
        <v>6814</v>
      </c>
      <c r="Z2104" s="4">
        <v>184</v>
      </c>
      <c r="AA2104" s="4">
        <f>=ROUNDDOWN(16.7272727272727,0)</f>
      </c>
      <c r="AB2104" s="5">
        <v>11</v>
      </c>
      <c r="AC2104" s="2" t="s">
        <v>100</v>
      </c>
      <c r="AD2104" s="4"/>
      <c r="AE2104" s="4"/>
      <c r="AF2104" s="6">
        <v>65</v>
      </c>
      <c r="AG2104" s="6"/>
      <c r="AH2104" s="7">
        <v>0.6898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 t="s">
        <v>100</v>
      </c>
      <c r="BJ2104" s="4">
        <v>114</v>
      </c>
      <c r="BK2104" s="8">
        <v>6182.81</v>
      </c>
      <c r="BL2104" s="2" t="s">
        <v>6822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6757</v>
      </c>
      <c r="BX2104" s="2" t="s">
        <v>6760</v>
      </c>
      <c r="BY2104" s="2" t="s">
        <v>113</v>
      </c>
      <c r="BZ2104" s="2" t="s">
        <v>100</v>
      </c>
    </row>
    <row r="2105">
      <c r="A2105" s="2" t="s">
        <v>6830</v>
      </c>
      <c r="B2105" s="2" t="s">
        <v>5764</v>
      </c>
      <c r="C2105" s="2" t="s">
        <v>6753</v>
      </c>
      <c r="D2105" s="2" t="s">
        <v>5765</v>
      </c>
      <c r="E2105" s="2" t="s">
        <v>5766</v>
      </c>
      <c r="F2105" s="2" t="s">
        <v>6796</v>
      </c>
      <c r="G2105" s="2" t="s">
        <v>6796</v>
      </c>
      <c r="H2105" s="2" t="s">
        <v>6796</v>
      </c>
      <c r="I2105" s="2" t="s">
        <v>5768</v>
      </c>
      <c r="J2105" s="2" t="s">
        <v>706</v>
      </c>
      <c r="K2105" s="2" t="s">
        <v>6337</v>
      </c>
      <c r="L2105" s="3">
        <v>72.34</v>
      </c>
      <c r="M2105" s="3">
        <v>75.96</v>
      </c>
      <c r="N2105" s="3">
        <v>149.99</v>
      </c>
      <c r="O2105" s="2" t="s">
        <v>97</v>
      </c>
      <c r="P2105" s="2" t="s">
        <v>119</v>
      </c>
      <c r="Q2105" s="2" t="s">
        <v>99</v>
      </c>
      <c r="R2105" s="2" t="s">
        <v>100</v>
      </c>
      <c r="S2105" s="2" t="s">
        <v>100</v>
      </c>
      <c r="T2105" s="2" t="s">
        <v>4441</v>
      </c>
      <c r="U2105" s="2" t="s">
        <v>1847</v>
      </c>
      <c r="V2105" s="2" t="s">
        <v>146</v>
      </c>
      <c r="W2105" s="2" t="s">
        <v>183</v>
      </c>
      <c r="X2105" s="2" t="s">
        <v>100</v>
      </c>
      <c r="Y2105" s="2" t="s">
        <v>6814</v>
      </c>
      <c r="Z2105" s="4">
        <v>176</v>
      </c>
      <c r="AA2105" s="4">
        <f>=ROUNDDOWN(17.6,0)</f>
      </c>
      <c r="AB2105" s="5">
        <v>10</v>
      </c>
      <c r="AC2105" s="2" t="s">
        <v>100</v>
      </c>
      <c r="AD2105" s="4"/>
      <c r="AE2105" s="4"/>
      <c r="AF2105" s="6">
        <v>65</v>
      </c>
      <c r="AG2105" s="6"/>
      <c r="AH2105" s="7">
        <v>0.6524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146</v>
      </c>
      <c r="BK2105" s="8">
        <v>11421.42</v>
      </c>
      <c r="BL2105" s="2" t="s">
        <v>6831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6757</v>
      </c>
      <c r="BX2105" s="2" t="s">
        <v>6818</v>
      </c>
      <c r="BY2105" s="2" t="s">
        <v>113</v>
      </c>
      <c r="BZ2105" s="2" t="s">
        <v>100</v>
      </c>
    </row>
    <row r="2106">
      <c r="A2106" s="2" t="s">
        <v>6832</v>
      </c>
      <c r="B2106" s="2" t="s">
        <v>5764</v>
      </c>
      <c r="C2106" s="2" t="s">
        <v>6753</v>
      </c>
      <c r="D2106" s="2" t="s">
        <v>5765</v>
      </c>
      <c r="E2106" s="2" t="s">
        <v>5766</v>
      </c>
      <c r="F2106" s="2" t="s">
        <v>6796</v>
      </c>
      <c r="G2106" s="2" t="s">
        <v>6796</v>
      </c>
      <c r="H2106" s="2" t="s">
        <v>6796</v>
      </c>
      <c r="I2106" s="2" t="s">
        <v>5768</v>
      </c>
      <c r="J2106" s="2" t="s">
        <v>714</v>
      </c>
      <c r="K2106" s="2" t="s">
        <v>6337</v>
      </c>
      <c r="L2106" s="3">
        <v>77.9</v>
      </c>
      <c r="M2106" s="3">
        <v>81.8</v>
      </c>
      <c r="N2106" s="3">
        <v>166.99</v>
      </c>
      <c r="O2106" s="2" t="s">
        <v>97</v>
      </c>
      <c r="P2106" s="2" t="s">
        <v>119</v>
      </c>
      <c r="Q2106" s="2" t="s">
        <v>99</v>
      </c>
      <c r="R2106" s="2" t="s">
        <v>100</v>
      </c>
      <c r="S2106" s="2" t="s">
        <v>100</v>
      </c>
      <c r="T2106" s="2" t="s">
        <v>4441</v>
      </c>
      <c r="U2106" s="2" t="s">
        <v>1847</v>
      </c>
      <c r="V2106" s="2" t="s">
        <v>146</v>
      </c>
      <c r="W2106" s="2" t="s">
        <v>183</v>
      </c>
      <c r="X2106" s="2" t="s">
        <v>100</v>
      </c>
      <c r="Y2106" s="2" t="s">
        <v>6773</v>
      </c>
      <c r="Z2106" s="4">
        <v>218</v>
      </c>
      <c r="AA2106" s="4">
        <f>=ROUNDDOWN(18.0165289256198,0)</f>
      </c>
      <c r="AB2106" s="5">
        <v>12.1</v>
      </c>
      <c r="AC2106" s="2" t="s">
        <v>282</v>
      </c>
      <c r="AD2106" s="4">
        <v>120</v>
      </c>
      <c r="AE2106" s="4">
        <v>120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 t="s">
        <v>100</v>
      </c>
      <c r="BJ2106" s="4">
        <v>127</v>
      </c>
      <c r="BK2106" s="8">
        <v>10781.69</v>
      </c>
      <c r="BL2106" s="2" t="s">
        <v>6833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6757</v>
      </c>
      <c r="BX2106" s="2" t="s">
        <v>4352</v>
      </c>
      <c r="BY2106" s="2" t="s">
        <v>113</v>
      </c>
      <c r="BZ2106" s="2" t="s">
        <v>100</v>
      </c>
    </row>
    <row r="2107">
      <c r="A2107" s="2" t="s">
        <v>6834</v>
      </c>
      <c r="B2107" s="2" t="s">
        <v>5764</v>
      </c>
      <c r="C2107" s="2" t="s">
        <v>6753</v>
      </c>
      <c r="D2107" s="2" t="s">
        <v>5765</v>
      </c>
      <c r="E2107" s="2" t="s">
        <v>5766</v>
      </c>
      <c r="F2107" s="2" t="s">
        <v>6835</v>
      </c>
      <c r="G2107" s="2" t="s">
        <v>6835</v>
      </c>
      <c r="H2107" s="2" t="s">
        <v>6835</v>
      </c>
      <c r="I2107" s="2" t="s">
        <v>5867</v>
      </c>
      <c r="J2107" s="2" t="s">
        <v>1936</v>
      </c>
      <c r="K2107" s="2" t="s">
        <v>718</v>
      </c>
      <c r="L2107" s="3">
        <v>41.73</v>
      </c>
      <c r="M2107" s="3">
        <v>43.82</v>
      </c>
      <c r="N2107" s="3">
        <v>89.99</v>
      </c>
      <c r="O2107" s="2" t="s">
        <v>97</v>
      </c>
      <c r="P2107" s="2" t="s">
        <v>950</v>
      </c>
      <c r="Q2107" s="2" t="s">
        <v>99</v>
      </c>
      <c r="R2107" s="2" t="s">
        <v>100</v>
      </c>
      <c r="S2107" s="2" t="s">
        <v>100</v>
      </c>
      <c r="T2107" s="2" t="s">
        <v>5869</v>
      </c>
      <c r="U2107" s="2" t="s">
        <v>1847</v>
      </c>
      <c r="V2107" s="2" t="s">
        <v>146</v>
      </c>
      <c r="W2107" s="2" t="s">
        <v>183</v>
      </c>
      <c r="X2107" s="2" t="s">
        <v>100</v>
      </c>
      <c r="Y2107" s="2" t="s">
        <v>6755</v>
      </c>
      <c r="Z2107" s="4">
        <v>500</v>
      </c>
      <c r="AA2107" s="4">
        <f>=ROUNDDOWN(35.7142857142857,0)</f>
      </c>
      <c r="AB2107" s="5">
        <v>14</v>
      </c>
      <c r="AC2107" s="2" t="s">
        <v>282</v>
      </c>
      <c r="AD2107" s="4">
        <v>114</v>
      </c>
      <c r="AE2107" s="4">
        <v>114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>
        <v>1</v>
      </c>
      <c r="AQ2107" s="8">
        <v>43.71</v>
      </c>
      <c r="AR2107" s="4"/>
      <c r="AS2107" s="8"/>
      <c r="AT2107" s="7"/>
      <c r="AU2107" s="7"/>
      <c r="AV2107" s="4">
        <v>6</v>
      </c>
      <c r="AW2107" s="8">
        <v>367.26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0.119</v>
      </c>
      <c r="BC2107" s="4">
        <v>21</v>
      </c>
      <c r="BD2107" s="8">
        <v>1332.06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0.2757</v>
      </c>
      <c r="BJ2107" s="4">
        <v>135</v>
      </c>
      <c r="BK2107" s="8">
        <v>6338.54</v>
      </c>
      <c r="BL2107" s="2" t="s">
        <v>2033</v>
      </c>
      <c r="BM2107" s="7">
        <v>0.0074</v>
      </c>
      <c r="BN2107" s="7">
        <v>0.0069</v>
      </c>
      <c r="BO2107" s="4">
        <v>1</v>
      </c>
      <c r="BP2107" s="8">
        <v>43.71</v>
      </c>
      <c r="BQ2107" s="4"/>
      <c r="BR2107" s="8"/>
      <c r="BS2107" s="7"/>
      <c r="BT2107" s="7"/>
      <c r="BU2107" s="2" t="s">
        <v>109</v>
      </c>
      <c r="BV2107" s="2" t="s">
        <v>110</v>
      </c>
      <c r="BW2107" s="2" t="s">
        <v>6836</v>
      </c>
      <c r="BX2107" s="2" t="s">
        <v>6837</v>
      </c>
      <c r="BY2107" s="2" t="s">
        <v>113</v>
      </c>
      <c r="BZ2107" s="2" t="s">
        <v>100</v>
      </c>
    </row>
    <row r="2108">
      <c r="A2108" s="2" t="s">
        <v>6838</v>
      </c>
      <c r="B2108" s="2" t="s">
        <v>5764</v>
      </c>
      <c r="C2108" s="2" t="s">
        <v>6753</v>
      </c>
      <c r="D2108" s="2" t="s">
        <v>5765</v>
      </c>
      <c r="E2108" s="2" t="s">
        <v>5766</v>
      </c>
      <c r="F2108" s="2" t="s">
        <v>6835</v>
      </c>
      <c r="G2108" s="2" t="s">
        <v>6835</v>
      </c>
      <c r="H2108" s="2" t="s">
        <v>6835</v>
      </c>
      <c r="I2108" s="2" t="s">
        <v>5867</v>
      </c>
      <c r="J2108" s="2" t="s">
        <v>717</v>
      </c>
      <c r="K2108" s="2" t="s">
        <v>718</v>
      </c>
      <c r="L2108" s="3">
        <v>47.3</v>
      </c>
      <c r="M2108" s="3">
        <v>49.66</v>
      </c>
      <c r="N2108" s="3">
        <v>101.99</v>
      </c>
      <c r="O2108" s="2" t="s">
        <v>97</v>
      </c>
      <c r="P2108" s="2" t="s">
        <v>950</v>
      </c>
      <c r="Q2108" s="2" t="s">
        <v>99</v>
      </c>
      <c r="R2108" s="2" t="s">
        <v>100</v>
      </c>
      <c r="S2108" s="2" t="s">
        <v>100</v>
      </c>
      <c r="T2108" s="2" t="s">
        <v>5869</v>
      </c>
      <c r="U2108" s="2" t="s">
        <v>1847</v>
      </c>
      <c r="V2108" s="2" t="s">
        <v>146</v>
      </c>
      <c r="W2108" s="2" t="s">
        <v>183</v>
      </c>
      <c r="X2108" s="2" t="s">
        <v>100</v>
      </c>
      <c r="Y2108" s="2" t="s">
        <v>6755</v>
      </c>
      <c r="Z2108" s="4">
        <v>705</v>
      </c>
      <c r="AA2108" s="4">
        <f>=ROUNDDOWN(35.25,0)</f>
      </c>
      <c r="AB2108" s="5">
        <v>20</v>
      </c>
      <c r="AC2108" s="2" t="s">
        <v>100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>
        <v>2</v>
      </c>
      <c r="AQ2108" s="8">
        <v>99.12</v>
      </c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0.2699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 t="s">
        <v>100</v>
      </c>
      <c r="BJ2108" s="4">
        <v>126</v>
      </c>
      <c r="BK2108" s="8">
        <v>6493.13</v>
      </c>
      <c r="BL2108" s="2" t="s">
        <v>2033</v>
      </c>
      <c r="BM2108" s="7">
        <v>0.0159</v>
      </c>
      <c r="BN2108" s="7">
        <v>0.0153</v>
      </c>
      <c r="BO2108" s="4">
        <v>2</v>
      </c>
      <c r="BP2108" s="8">
        <v>99.12</v>
      </c>
      <c r="BQ2108" s="4"/>
      <c r="BR2108" s="8"/>
      <c r="BS2108" s="7"/>
      <c r="BT2108" s="7"/>
      <c r="BU2108" s="2" t="s">
        <v>109</v>
      </c>
      <c r="BV2108" s="2" t="s">
        <v>110</v>
      </c>
      <c r="BW2108" s="2" t="s">
        <v>6839</v>
      </c>
      <c r="BX2108" s="2" t="s">
        <v>6840</v>
      </c>
      <c r="BY2108" s="2" t="s">
        <v>113</v>
      </c>
      <c r="BZ2108" s="2" t="s">
        <v>100</v>
      </c>
    </row>
    <row r="2109">
      <c r="A2109" s="2" t="s">
        <v>6841</v>
      </c>
      <c r="B2109" s="2" t="s">
        <v>5764</v>
      </c>
      <c r="C2109" s="2" t="s">
        <v>6753</v>
      </c>
      <c r="D2109" s="2" t="s">
        <v>5765</v>
      </c>
      <c r="E2109" s="2" t="s">
        <v>5766</v>
      </c>
      <c r="F2109" s="2" t="s">
        <v>6835</v>
      </c>
      <c r="G2109" s="2" t="s">
        <v>6835</v>
      </c>
      <c r="H2109" s="2" t="s">
        <v>6835</v>
      </c>
      <c r="I2109" s="2" t="s">
        <v>5867</v>
      </c>
      <c r="J2109" s="2" t="s">
        <v>706</v>
      </c>
      <c r="K2109" s="2" t="s">
        <v>718</v>
      </c>
      <c r="L2109" s="3">
        <v>69.56</v>
      </c>
      <c r="M2109" s="3">
        <v>73.04</v>
      </c>
      <c r="N2109" s="3">
        <v>149.99</v>
      </c>
      <c r="O2109" s="2" t="s">
        <v>97</v>
      </c>
      <c r="P2109" s="2" t="s">
        <v>950</v>
      </c>
      <c r="Q2109" s="2" t="s">
        <v>99</v>
      </c>
      <c r="R2109" s="2" t="s">
        <v>100</v>
      </c>
      <c r="S2109" s="2" t="s">
        <v>100</v>
      </c>
      <c r="T2109" s="2" t="s">
        <v>5869</v>
      </c>
      <c r="U2109" s="2" t="s">
        <v>1847</v>
      </c>
      <c r="V2109" s="2" t="s">
        <v>146</v>
      </c>
      <c r="W2109" s="2" t="s">
        <v>183</v>
      </c>
      <c r="X2109" s="2" t="s">
        <v>100</v>
      </c>
      <c r="Y2109" s="2" t="s">
        <v>6755</v>
      </c>
      <c r="Z2109" s="4">
        <v>661</v>
      </c>
      <c r="AA2109" s="4">
        <f>=ROUNDDOWN(22.0333333333333,0)</f>
      </c>
      <c r="AB2109" s="5">
        <v>30</v>
      </c>
      <c r="AC2109" s="2" t="s">
        <v>282</v>
      </c>
      <c r="AD2109" s="4">
        <v>142</v>
      </c>
      <c r="AE2109" s="4">
        <v>252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>
        <v>2</v>
      </c>
      <c r="AQ2109" s="8">
        <v>145.72</v>
      </c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0.3968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 t="s">
        <v>100</v>
      </c>
      <c r="BJ2109" s="4">
        <v>158</v>
      </c>
      <c r="BK2109" s="8">
        <v>12451.26</v>
      </c>
      <c r="BL2109" s="2" t="s">
        <v>6779</v>
      </c>
      <c r="BM2109" s="7">
        <v>0.0127</v>
      </c>
      <c r="BN2109" s="7">
        <v>0.0117</v>
      </c>
      <c r="BO2109" s="4">
        <v>2</v>
      </c>
      <c r="BP2109" s="8">
        <v>145.72</v>
      </c>
      <c r="BQ2109" s="4"/>
      <c r="BR2109" s="8"/>
      <c r="BS2109" s="7"/>
      <c r="BT2109" s="7"/>
      <c r="BU2109" s="2" t="s">
        <v>109</v>
      </c>
      <c r="BV2109" s="2" t="s">
        <v>110</v>
      </c>
      <c r="BW2109" s="2" t="s">
        <v>6757</v>
      </c>
      <c r="BX2109" s="2" t="s">
        <v>6842</v>
      </c>
      <c r="BY2109" s="2" t="s">
        <v>113</v>
      </c>
      <c r="BZ2109" s="2" t="s">
        <v>100</v>
      </c>
    </row>
    <row r="2110">
      <c r="A2110" s="2" t="s">
        <v>6843</v>
      </c>
      <c r="B2110" s="2" t="s">
        <v>5764</v>
      </c>
      <c r="C2110" s="2" t="s">
        <v>6753</v>
      </c>
      <c r="D2110" s="2" t="s">
        <v>5765</v>
      </c>
      <c r="E2110" s="2" t="s">
        <v>5766</v>
      </c>
      <c r="F2110" s="2" t="s">
        <v>6835</v>
      </c>
      <c r="G2110" s="2" t="s">
        <v>6835</v>
      </c>
      <c r="H2110" s="2" t="s">
        <v>6835</v>
      </c>
      <c r="I2110" s="2" t="s">
        <v>5867</v>
      </c>
      <c r="J2110" s="2" t="s">
        <v>714</v>
      </c>
      <c r="K2110" s="2" t="s">
        <v>718</v>
      </c>
      <c r="L2110" s="3">
        <v>75.13</v>
      </c>
      <c r="M2110" s="3">
        <v>78.89</v>
      </c>
      <c r="N2110" s="3">
        <v>159.99</v>
      </c>
      <c r="O2110" s="2" t="s">
        <v>97</v>
      </c>
      <c r="P2110" s="2" t="s">
        <v>950</v>
      </c>
      <c r="Q2110" s="2" t="s">
        <v>99</v>
      </c>
      <c r="R2110" s="2" t="s">
        <v>100</v>
      </c>
      <c r="S2110" s="2" t="s">
        <v>100</v>
      </c>
      <c r="T2110" s="2" t="s">
        <v>5869</v>
      </c>
      <c r="U2110" s="2" t="s">
        <v>1847</v>
      </c>
      <c r="V2110" s="2" t="s">
        <v>146</v>
      </c>
      <c r="W2110" s="2" t="s">
        <v>183</v>
      </c>
      <c r="X2110" s="2" t="s">
        <v>100</v>
      </c>
      <c r="Y2110" s="2" t="s">
        <v>6755</v>
      </c>
      <c r="Z2110" s="4">
        <v>542</v>
      </c>
      <c r="AA2110" s="4">
        <f>=ROUNDDOWN(21.68,0)</f>
      </c>
      <c r="AB2110" s="5">
        <v>25</v>
      </c>
      <c r="AC2110" s="2" t="s">
        <v>282</v>
      </c>
      <c r="AD2110" s="4">
        <v>150</v>
      </c>
      <c r="AE2110" s="4">
        <v>250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>
        <v>1</v>
      </c>
      <c r="AQ2110" s="8">
        <v>78.71</v>
      </c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>
        <v>0.2143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 t="s">
        <v>100</v>
      </c>
      <c r="BJ2110" s="4">
        <v>199</v>
      </c>
      <c r="BK2110" s="8">
        <v>16882.79</v>
      </c>
      <c r="BL2110" s="2" t="s">
        <v>6779</v>
      </c>
      <c r="BM2110" s="7">
        <v>0.005</v>
      </c>
      <c r="BN2110" s="7">
        <v>0.0047</v>
      </c>
      <c r="BO2110" s="4">
        <v>1</v>
      </c>
      <c r="BP2110" s="8">
        <v>78.71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6757</v>
      </c>
      <c r="BX2110" s="2" t="s">
        <v>6842</v>
      </c>
      <c r="BY2110" s="2" t="s">
        <v>113</v>
      </c>
      <c r="BZ2110" s="2" t="s">
        <v>100</v>
      </c>
    </row>
    <row r="2111">
      <c r="A2111" s="2" t="s">
        <v>6844</v>
      </c>
      <c r="B2111" s="2" t="s">
        <v>5764</v>
      </c>
      <c r="C2111" s="2" t="s">
        <v>6753</v>
      </c>
      <c r="D2111" s="2" t="s">
        <v>5765</v>
      </c>
      <c r="E2111" s="2" t="s">
        <v>5766</v>
      </c>
      <c r="F2111" s="2" t="s">
        <v>6835</v>
      </c>
      <c r="G2111" s="2" t="s">
        <v>6835</v>
      </c>
      <c r="H2111" s="2" t="s">
        <v>6835</v>
      </c>
      <c r="I2111" s="2" t="s">
        <v>5867</v>
      </c>
      <c r="J2111" s="2" t="s">
        <v>1936</v>
      </c>
      <c r="K2111" s="2" t="s">
        <v>118</v>
      </c>
      <c r="L2111" s="3">
        <v>41.73</v>
      </c>
      <c r="M2111" s="3">
        <v>43.82</v>
      </c>
      <c r="N2111" s="3">
        <v>89.99</v>
      </c>
      <c r="O2111" s="2" t="s">
        <v>97</v>
      </c>
      <c r="P2111" s="2" t="s">
        <v>119</v>
      </c>
      <c r="Q2111" s="2" t="s">
        <v>99</v>
      </c>
      <c r="R2111" s="2" t="s">
        <v>100</v>
      </c>
      <c r="S2111" s="2" t="s">
        <v>100</v>
      </c>
      <c r="T2111" s="2" t="s">
        <v>5869</v>
      </c>
      <c r="U2111" s="2" t="s">
        <v>1847</v>
      </c>
      <c r="V2111" s="2" t="s">
        <v>146</v>
      </c>
      <c r="W2111" s="2" t="s">
        <v>183</v>
      </c>
      <c r="X2111" s="2" t="s">
        <v>100</v>
      </c>
      <c r="Y2111" s="2" t="s">
        <v>6755</v>
      </c>
      <c r="Z2111" s="4">
        <v>520</v>
      </c>
      <c r="AA2111" s="4">
        <f>=ROUNDDOWN(32.5,0)</f>
      </c>
      <c r="AB2111" s="5">
        <v>16</v>
      </c>
      <c r="AC2111" s="2" t="s">
        <v>821</v>
      </c>
      <c r="AD2111" s="4">
        <v>100</v>
      </c>
      <c r="AE2111" s="4">
        <v>100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>
        <v>4</v>
      </c>
      <c r="AW2111" s="8">
        <v>273.99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0.2057</v>
      </c>
      <c r="BJ2111" s="4">
        <v>117</v>
      </c>
      <c r="BK2111" s="8">
        <v>5291.36</v>
      </c>
      <c r="BL2111" s="2" t="s">
        <v>6845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1433</v>
      </c>
      <c r="BX2111" s="2" t="s">
        <v>6846</v>
      </c>
      <c r="BY2111" s="2" t="s">
        <v>113</v>
      </c>
      <c r="BZ2111" s="2" t="s">
        <v>100</v>
      </c>
    </row>
    <row r="2112">
      <c r="A2112" s="2" t="s">
        <v>6847</v>
      </c>
      <c r="B2112" s="2" t="s">
        <v>5764</v>
      </c>
      <c r="C2112" s="2" t="s">
        <v>6753</v>
      </c>
      <c r="D2112" s="2" t="s">
        <v>5765</v>
      </c>
      <c r="E2112" s="2" t="s">
        <v>5766</v>
      </c>
      <c r="F2112" s="2" t="s">
        <v>6835</v>
      </c>
      <c r="G2112" s="2" t="s">
        <v>6835</v>
      </c>
      <c r="H2112" s="2" t="s">
        <v>6835</v>
      </c>
      <c r="I2112" s="2" t="s">
        <v>5867</v>
      </c>
      <c r="J2112" s="2" t="s">
        <v>717</v>
      </c>
      <c r="K2112" s="2" t="s">
        <v>118</v>
      </c>
      <c r="L2112" s="3">
        <v>47.3</v>
      </c>
      <c r="M2112" s="3">
        <v>49.66</v>
      </c>
      <c r="N2112" s="3">
        <v>101.99</v>
      </c>
      <c r="O2112" s="2" t="s">
        <v>97</v>
      </c>
      <c r="P2112" s="2" t="s">
        <v>119</v>
      </c>
      <c r="Q2112" s="2" t="s">
        <v>99</v>
      </c>
      <c r="R2112" s="2" t="s">
        <v>100</v>
      </c>
      <c r="S2112" s="2" t="s">
        <v>100</v>
      </c>
      <c r="T2112" s="2" t="s">
        <v>5869</v>
      </c>
      <c r="U2112" s="2" t="s">
        <v>1847</v>
      </c>
      <c r="V2112" s="2" t="s">
        <v>146</v>
      </c>
      <c r="W2112" s="2" t="s">
        <v>183</v>
      </c>
      <c r="X2112" s="2" t="s">
        <v>100</v>
      </c>
      <c r="Y2112" s="2" t="s">
        <v>6755</v>
      </c>
      <c r="Z2112" s="4">
        <v>509</v>
      </c>
      <c r="AA2112" s="4">
        <f>=ROUNDDOWN(23.1363636363636,0)</f>
      </c>
      <c r="AB2112" s="5">
        <v>22</v>
      </c>
      <c r="AC2112" s="2" t="s">
        <v>282</v>
      </c>
      <c r="AD2112" s="4">
        <v>180</v>
      </c>
      <c r="AE2112" s="4">
        <v>180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>
        <v>1</v>
      </c>
      <c r="AQ2112" s="8">
        <v>49.56</v>
      </c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>
        <v>0.1809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 t="s">
        <v>100</v>
      </c>
      <c r="BJ2112" s="4">
        <v>160</v>
      </c>
      <c r="BK2112" s="8">
        <v>8175.86</v>
      </c>
      <c r="BL2112" s="2" t="s">
        <v>6848</v>
      </c>
      <c r="BM2112" s="7">
        <v>0.0062</v>
      </c>
      <c r="BN2112" s="7">
        <v>0.0061</v>
      </c>
      <c r="BO2112" s="4">
        <v>1</v>
      </c>
      <c r="BP2112" s="8">
        <v>49.56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6849</v>
      </c>
      <c r="BX2112" s="2" t="s">
        <v>6850</v>
      </c>
      <c r="BY2112" s="2" t="s">
        <v>113</v>
      </c>
      <c r="BZ2112" s="2" t="s">
        <v>100</v>
      </c>
    </row>
    <row r="2113">
      <c r="A2113" s="2" t="s">
        <v>6851</v>
      </c>
      <c r="B2113" s="2" t="s">
        <v>5764</v>
      </c>
      <c r="C2113" s="2" t="s">
        <v>6753</v>
      </c>
      <c r="D2113" s="2" t="s">
        <v>5765</v>
      </c>
      <c r="E2113" s="2" t="s">
        <v>5766</v>
      </c>
      <c r="F2113" s="2" t="s">
        <v>6835</v>
      </c>
      <c r="G2113" s="2" t="s">
        <v>6835</v>
      </c>
      <c r="H2113" s="2" t="s">
        <v>6835</v>
      </c>
      <c r="I2113" s="2" t="s">
        <v>5867</v>
      </c>
      <c r="J2113" s="2" t="s">
        <v>706</v>
      </c>
      <c r="K2113" s="2" t="s">
        <v>118</v>
      </c>
      <c r="L2113" s="3">
        <v>69.56</v>
      </c>
      <c r="M2113" s="3">
        <v>73.04</v>
      </c>
      <c r="N2113" s="3">
        <v>149.99</v>
      </c>
      <c r="O2113" s="2" t="s">
        <v>97</v>
      </c>
      <c r="P2113" s="2" t="s">
        <v>119</v>
      </c>
      <c r="Q2113" s="2" t="s">
        <v>99</v>
      </c>
      <c r="R2113" s="2" t="s">
        <v>100</v>
      </c>
      <c r="S2113" s="2" t="s">
        <v>100</v>
      </c>
      <c r="T2113" s="2" t="s">
        <v>5869</v>
      </c>
      <c r="U2113" s="2" t="s">
        <v>1847</v>
      </c>
      <c r="V2113" s="2" t="s">
        <v>146</v>
      </c>
      <c r="W2113" s="2" t="s">
        <v>183</v>
      </c>
      <c r="X2113" s="2" t="s">
        <v>100</v>
      </c>
      <c r="Y2113" s="2" t="s">
        <v>6755</v>
      </c>
      <c r="Z2113" s="4">
        <v>786</v>
      </c>
      <c r="AA2113" s="4">
        <f>=ROUNDDOWN(30.2307692307692,0)</f>
      </c>
      <c r="AB2113" s="5">
        <v>26</v>
      </c>
      <c r="AC2113" s="2" t="s">
        <v>100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145.72</v>
      </c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>
        <v>0.5318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 t="s">
        <v>100</v>
      </c>
      <c r="BJ2113" s="4">
        <v>187</v>
      </c>
      <c r="BK2113" s="8">
        <v>14255.29</v>
      </c>
      <c r="BL2113" s="2" t="s">
        <v>6852</v>
      </c>
      <c r="BM2113" s="7">
        <v>0.0107</v>
      </c>
      <c r="BN2113" s="7">
        <v>0.0102</v>
      </c>
      <c r="BO2113" s="4">
        <v>2</v>
      </c>
      <c r="BP2113" s="8">
        <v>145.72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6757</v>
      </c>
      <c r="BX2113" s="2" t="s">
        <v>6853</v>
      </c>
      <c r="BY2113" s="2" t="s">
        <v>113</v>
      </c>
      <c r="BZ2113" s="2" t="s">
        <v>100</v>
      </c>
    </row>
    <row r="2114">
      <c r="A2114" s="2" t="s">
        <v>6854</v>
      </c>
      <c r="B2114" s="2" t="s">
        <v>5764</v>
      </c>
      <c r="C2114" s="2" t="s">
        <v>6753</v>
      </c>
      <c r="D2114" s="2" t="s">
        <v>5765</v>
      </c>
      <c r="E2114" s="2" t="s">
        <v>5766</v>
      </c>
      <c r="F2114" s="2" t="s">
        <v>6835</v>
      </c>
      <c r="G2114" s="2" t="s">
        <v>6835</v>
      </c>
      <c r="H2114" s="2" t="s">
        <v>6835</v>
      </c>
      <c r="I2114" s="2" t="s">
        <v>5867</v>
      </c>
      <c r="J2114" s="2" t="s">
        <v>714</v>
      </c>
      <c r="K2114" s="2" t="s">
        <v>118</v>
      </c>
      <c r="L2114" s="3">
        <v>75.13</v>
      </c>
      <c r="M2114" s="3">
        <v>78.89</v>
      </c>
      <c r="N2114" s="3">
        <v>159.99</v>
      </c>
      <c r="O2114" s="2" t="s">
        <v>97</v>
      </c>
      <c r="P2114" s="2" t="s">
        <v>119</v>
      </c>
      <c r="Q2114" s="2" t="s">
        <v>99</v>
      </c>
      <c r="R2114" s="2" t="s">
        <v>100</v>
      </c>
      <c r="S2114" s="2" t="s">
        <v>100</v>
      </c>
      <c r="T2114" s="2" t="s">
        <v>5869</v>
      </c>
      <c r="U2114" s="2" t="s">
        <v>1847</v>
      </c>
      <c r="V2114" s="2" t="s">
        <v>146</v>
      </c>
      <c r="W2114" s="2" t="s">
        <v>183</v>
      </c>
      <c r="X2114" s="2" t="s">
        <v>100</v>
      </c>
      <c r="Y2114" s="2" t="s">
        <v>6755</v>
      </c>
      <c r="Z2114" s="4">
        <v>386</v>
      </c>
      <c r="AA2114" s="4">
        <f>=ROUNDDOWN(25.0649350649351,0)</f>
      </c>
      <c r="AB2114" s="5">
        <v>15.4</v>
      </c>
      <c r="AC2114" s="2" t="s">
        <v>282</v>
      </c>
      <c r="AD2114" s="4">
        <v>180</v>
      </c>
      <c r="AE2114" s="4">
        <v>180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>
        <v>1</v>
      </c>
      <c r="AQ2114" s="8">
        <v>78.71</v>
      </c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>
        <v>0.2873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 t="s">
        <v>100</v>
      </c>
      <c r="BJ2114" s="4">
        <v>194</v>
      </c>
      <c r="BK2114" s="8">
        <v>15918.61</v>
      </c>
      <c r="BL2114" s="2" t="s">
        <v>6779</v>
      </c>
      <c r="BM2114" s="7">
        <v>0.0052</v>
      </c>
      <c r="BN2114" s="7">
        <v>0.0049</v>
      </c>
      <c r="BO2114" s="4">
        <v>1</v>
      </c>
      <c r="BP2114" s="8">
        <v>78.71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6757</v>
      </c>
      <c r="BX2114" s="2" t="s">
        <v>6842</v>
      </c>
      <c r="BY2114" s="2" t="s">
        <v>113</v>
      </c>
      <c r="BZ2114" s="2" t="s">
        <v>100</v>
      </c>
    </row>
    <row r="2115">
      <c r="A2115" s="2" t="s">
        <v>6855</v>
      </c>
      <c r="B2115" s="2" t="s">
        <v>5764</v>
      </c>
      <c r="C2115" s="2" t="s">
        <v>6753</v>
      </c>
      <c r="D2115" s="2" t="s">
        <v>5765</v>
      </c>
      <c r="E2115" s="2" t="s">
        <v>5766</v>
      </c>
      <c r="F2115" s="2" t="s">
        <v>6835</v>
      </c>
      <c r="G2115" s="2" t="s">
        <v>6835</v>
      </c>
      <c r="H2115" s="2" t="s">
        <v>6835</v>
      </c>
      <c r="I2115" s="2" t="s">
        <v>5867</v>
      </c>
      <c r="J2115" s="2" t="s">
        <v>1936</v>
      </c>
      <c r="K2115" s="2" t="s">
        <v>765</v>
      </c>
      <c r="L2115" s="3">
        <v>41.73</v>
      </c>
      <c r="M2115" s="3">
        <v>43.82</v>
      </c>
      <c r="N2115" s="3">
        <v>89.99</v>
      </c>
      <c r="O2115" s="2" t="s">
        <v>97</v>
      </c>
      <c r="P2115" s="2" t="s">
        <v>119</v>
      </c>
      <c r="Q2115" s="2" t="s">
        <v>99</v>
      </c>
      <c r="R2115" s="2" t="s">
        <v>100</v>
      </c>
      <c r="S2115" s="2" t="s">
        <v>100</v>
      </c>
      <c r="T2115" s="2" t="s">
        <v>5869</v>
      </c>
      <c r="U2115" s="2" t="s">
        <v>1847</v>
      </c>
      <c r="V2115" s="2" t="s">
        <v>146</v>
      </c>
      <c r="W2115" s="2" t="s">
        <v>183</v>
      </c>
      <c r="X2115" s="2" t="s">
        <v>100</v>
      </c>
      <c r="Y2115" s="2" t="s">
        <v>6856</v>
      </c>
      <c r="Z2115" s="4">
        <v>254</v>
      </c>
      <c r="AA2115" s="4">
        <f>=ROUNDDOWN(36.2857142857143,0)</f>
      </c>
      <c r="AB2115" s="5">
        <v>7</v>
      </c>
      <c r="AC2115" s="2" t="s">
        <v>100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>
        <v>4</v>
      </c>
      <c r="AW2115" s="8">
        <v>268.14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0.2013</v>
      </c>
      <c r="BJ2115" s="4">
        <v>101</v>
      </c>
      <c r="BK2115" s="8">
        <v>4571.64</v>
      </c>
      <c r="BL2115" s="2" t="s">
        <v>6857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6757</v>
      </c>
      <c r="BX2115" s="2" t="s">
        <v>6858</v>
      </c>
      <c r="BY2115" s="2" t="s">
        <v>113</v>
      </c>
      <c r="BZ2115" s="2" t="s">
        <v>100</v>
      </c>
    </row>
    <row r="2116">
      <c r="A2116" s="2" t="s">
        <v>6859</v>
      </c>
      <c r="B2116" s="2" t="s">
        <v>5764</v>
      </c>
      <c r="C2116" s="2" t="s">
        <v>6753</v>
      </c>
      <c r="D2116" s="2" t="s">
        <v>5765</v>
      </c>
      <c r="E2116" s="2" t="s">
        <v>5766</v>
      </c>
      <c r="F2116" s="2" t="s">
        <v>6835</v>
      </c>
      <c r="G2116" s="2" t="s">
        <v>6835</v>
      </c>
      <c r="H2116" s="2" t="s">
        <v>6835</v>
      </c>
      <c r="I2116" s="2" t="s">
        <v>5867</v>
      </c>
      <c r="J2116" s="2" t="s">
        <v>717</v>
      </c>
      <c r="K2116" s="2" t="s">
        <v>765</v>
      </c>
      <c r="L2116" s="3">
        <v>47.3</v>
      </c>
      <c r="M2116" s="3">
        <v>49.66</v>
      </c>
      <c r="N2116" s="3">
        <v>101.99</v>
      </c>
      <c r="O2116" s="2" t="s">
        <v>97</v>
      </c>
      <c r="P2116" s="2" t="s">
        <v>119</v>
      </c>
      <c r="Q2116" s="2" t="s">
        <v>99</v>
      </c>
      <c r="R2116" s="2" t="s">
        <v>100</v>
      </c>
      <c r="S2116" s="2" t="s">
        <v>100</v>
      </c>
      <c r="T2116" s="2" t="s">
        <v>5869</v>
      </c>
      <c r="U2116" s="2" t="s">
        <v>1847</v>
      </c>
      <c r="V2116" s="2" t="s">
        <v>146</v>
      </c>
      <c r="W2116" s="2" t="s">
        <v>183</v>
      </c>
      <c r="X2116" s="2" t="s">
        <v>100</v>
      </c>
      <c r="Y2116" s="2" t="s">
        <v>6856</v>
      </c>
      <c r="Z2116" s="4">
        <v>259</v>
      </c>
      <c r="AA2116" s="4">
        <f>=ROUNDDOWN(28.7777777777778,0)</f>
      </c>
      <c r="AB2116" s="5">
        <v>9</v>
      </c>
      <c r="AC2116" s="2" t="s">
        <v>282</v>
      </c>
      <c r="AD2116" s="4">
        <v>130</v>
      </c>
      <c r="AE2116" s="4">
        <v>130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>
        <v>1</v>
      </c>
      <c r="AQ2116" s="8">
        <v>49.56</v>
      </c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0.1848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 t="s">
        <v>100</v>
      </c>
      <c r="BJ2116" s="4">
        <v>103</v>
      </c>
      <c r="BK2116" s="8">
        <v>5364.81</v>
      </c>
      <c r="BL2116" s="2" t="s">
        <v>6766</v>
      </c>
      <c r="BM2116" s="7">
        <v>0.0097</v>
      </c>
      <c r="BN2116" s="7">
        <v>0.0092</v>
      </c>
      <c r="BO2116" s="4">
        <v>1</v>
      </c>
      <c r="BP2116" s="8">
        <v>49.56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6757</v>
      </c>
      <c r="BX2116" s="2" t="s">
        <v>6860</v>
      </c>
      <c r="BY2116" s="2" t="s">
        <v>113</v>
      </c>
      <c r="BZ2116" s="2" t="s">
        <v>100</v>
      </c>
    </row>
    <row r="2117">
      <c r="A2117" s="2" t="s">
        <v>6861</v>
      </c>
      <c r="B2117" s="2" t="s">
        <v>5764</v>
      </c>
      <c r="C2117" s="2" t="s">
        <v>6753</v>
      </c>
      <c r="D2117" s="2" t="s">
        <v>5765</v>
      </c>
      <c r="E2117" s="2" t="s">
        <v>5766</v>
      </c>
      <c r="F2117" s="2" t="s">
        <v>6835</v>
      </c>
      <c r="G2117" s="2" t="s">
        <v>6835</v>
      </c>
      <c r="H2117" s="2" t="s">
        <v>6835</v>
      </c>
      <c r="I2117" s="2" t="s">
        <v>5867</v>
      </c>
      <c r="J2117" s="2" t="s">
        <v>706</v>
      </c>
      <c r="K2117" s="2" t="s">
        <v>765</v>
      </c>
      <c r="L2117" s="3">
        <v>69.56</v>
      </c>
      <c r="M2117" s="3">
        <v>73.04</v>
      </c>
      <c r="N2117" s="3">
        <v>149.99</v>
      </c>
      <c r="O2117" s="2" t="s">
        <v>97</v>
      </c>
      <c r="P2117" s="2" t="s">
        <v>119</v>
      </c>
      <c r="Q2117" s="2" t="s">
        <v>99</v>
      </c>
      <c r="R2117" s="2" t="s">
        <v>100</v>
      </c>
      <c r="S2117" s="2" t="s">
        <v>100</v>
      </c>
      <c r="T2117" s="2" t="s">
        <v>5869</v>
      </c>
      <c r="U2117" s="2" t="s">
        <v>1847</v>
      </c>
      <c r="V2117" s="2" t="s">
        <v>146</v>
      </c>
      <c r="W2117" s="2" t="s">
        <v>183</v>
      </c>
      <c r="X2117" s="2" t="s">
        <v>100</v>
      </c>
      <c r="Y2117" s="2" t="s">
        <v>6856</v>
      </c>
      <c r="Z2117" s="4">
        <v>493</v>
      </c>
      <c r="AA2117" s="4">
        <f>=ROUNDDOWN(41.0833333333333,0)</f>
      </c>
      <c r="AB2117" s="5">
        <v>12</v>
      </c>
      <c r="AC2117" s="2" t="s">
        <v>100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>
        <v>3</v>
      </c>
      <c r="AQ2117" s="8">
        <v>218.58</v>
      </c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0.8152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 t="s">
        <v>100</v>
      </c>
      <c r="BJ2117" s="4">
        <v>122</v>
      </c>
      <c r="BK2117" s="8">
        <v>9383.01</v>
      </c>
      <c r="BL2117" s="2" t="s">
        <v>6766</v>
      </c>
      <c r="BM2117" s="7">
        <v>0.0246</v>
      </c>
      <c r="BN2117" s="7">
        <v>0.0233</v>
      </c>
      <c r="BO2117" s="4">
        <v>3</v>
      </c>
      <c r="BP2117" s="8">
        <v>218.58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6757</v>
      </c>
      <c r="BX2117" s="2" t="s">
        <v>6767</v>
      </c>
      <c r="BY2117" s="2" t="s">
        <v>113</v>
      </c>
      <c r="BZ2117" s="2" t="s">
        <v>100</v>
      </c>
    </row>
    <row r="2118">
      <c r="A2118" s="2" t="s">
        <v>6862</v>
      </c>
      <c r="B2118" s="2" t="s">
        <v>5764</v>
      </c>
      <c r="C2118" s="2" t="s">
        <v>6753</v>
      </c>
      <c r="D2118" s="2" t="s">
        <v>5765</v>
      </c>
      <c r="E2118" s="2" t="s">
        <v>5766</v>
      </c>
      <c r="F2118" s="2" t="s">
        <v>6835</v>
      </c>
      <c r="G2118" s="2" t="s">
        <v>6835</v>
      </c>
      <c r="H2118" s="2" t="s">
        <v>6835</v>
      </c>
      <c r="I2118" s="2" t="s">
        <v>5867</v>
      </c>
      <c r="J2118" s="2" t="s">
        <v>714</v>
      </c>
      <c r="K2118" s="2" t="s">
        <v>765</v>
      </c>
      <c r="L2118" s="3">
        <v>75.13</v>
      </c>
      <c r="M2118" s="3">
        <v>78.89</v>
      </c>
      <c r="N2118" s="3">
        <v>159.99</v>
      </c>
      <c r="O2118" s="2" t="s">
        <v>97</v>
      </c>
      <c r="P2118" s="2" t="s">
        <v>119</v>
      </c>
      <c r="Q2118" s="2" t="s">
        <v>99</v>
      </c>
      <c r="R2118" s="2" t="s">
        <v>100</v>
      </c>
      <c r="S2118" s="2" t="s">
        <v>100</v>
      </c>
      <c r="T2118" s="2" t="s">
        <v>5869</v>
      </c>
      <c r="U2118" s="2" t="s">
        <v>1847</v>
      </c>
      <c r="V2118" s="2" t="s">
        <v>146</v>
      </c>
      <c r="W2118" s="2" t="s">
        <v>183</v>
      </c>
      <c r="X2118" s="2" t="s">
        <v>100</v>
      </c>
      <c r="Y2118" s="2" t="s">
        <v>6856</v>
      </c>
      <c r="Z2118" s="4">
        <v>660</v>
      </c>
      <c r="AA2118" s="4">
        <f>=ROUNDDOWN(60,0)</f>
      </c>
      <c r="AB2118" s="5">
        <v>11</v>
      </c>
      <c r="AC2118" s="2" t="s">
        <v>100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 t="s">
        <v>100</v>
      </c>
      <c r="BJ2118" s="4">
        <v>109</v>
      </c>
      <c r="BK2118" s="8">
        <v>8992.09</v>
      </c>
      <c r="BL2118" s="2" t="s">
        <v>6863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6757</v>
      </c>
      <c r="BX2118" s="2" t="s">
        <v>6864</v>
      </c>
      <c r="BY2118" s="2" t="s">
        <v>113</v>
      </c>
      <c r="BZ2118" s="2" t="s">
        <v>100</v>
      </c>
    </row>
    <row r="2119">
      <c r="A2119" s="2" t="s">
        <v>6865</v>
      </c>
      <c r="B2119" s="2" t="s">
        <v>5764</v>
      </c>
      <c r="C2119" s="2" t="s">
        <v>6753</v>
      </c>
      <c r="D2119" s="2" t="s">
        <v>5765</v>
      </c>
      <c r="E2119" s="2" t="s">
        <v>5766</v>
      </c>
      <c r="F2119" s="2" t="s">
        <v>6835</v>
      </c>
      <c r="G2119" s="2" t="s">
        <v>6835</v>
      </c>
      <c r="H2119" s="2" t="s">
        <v>6835</v>
      </c>
      <c r="I2119" s="2" t="s">
        <v>5867</v>
      </c>
      <c r="J2119" s="2" t="s">
        <v>1936</v>
      </c>
      <c r="K2119" s="2" t="s">
        <v>3515</v>
      </c>
      <c r="L2119" s="3">
        <v>41.73</v>
      </c>
      <c r="M2119" s="3">
        <v>43.82</v>
      </c>
      <c r="N2119" s="3">
        <v>89.99</v>
      </c>
      <c r="O2119" s="2" t="s">
        <v>97</v>
      </c>
      <c r="P2119" s="2" t="s">
        <v>119</v>
      </c>
      <c r="Q2119" s="2" t="s">
        <v>99</v>
      </c>
      <c r="R2119" s="2" t="s">
        <v>100</v>
      </c>
      <c r="S2119" s="2" t="s">
        <v>100</v>
      </c>
      <c r="T2119" s="2" t="s">
        <v>5869</v>
      </c>
      <c r="U2119" s="2" t="s">
        <v>1847</v>
      </c>
      <c r="V2119" s="2" t="s">
        <v>146</v>
      </c>
      <c r="W2119" s="2" t="s">
        <v>183</v>
      </c>
      <c r="X2119" s="2" t="s">
        <v>100</v>
      </c>
      <c r="Y2119" s="2" t="s">
        <v>6856</v>
      </c>
      <c r="Z2119" s="4">
        <v>259</v>
      </c>
      <c r="AA2119" s="4">
        <f>=ROUNDDOWN(28.1521739130435,0)</f>
      </c>
      <c r="AB2119" s="5">
        <v>9.2</v>
      </c>
      <c r="AC2119" s="2" t="s">
        <v>100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>
        <v>3</v>
      </c>
      <c r="AW2119" s="8">
        <v>201.13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0.151</v>
      </c>
      <c r="BJ2119" s="4">
        <v>120</v>
      </c>
      <c r="BK2119" s="8">
        <v>5504.25</v>
      </c>
      <c r="BL2119" s="2" t="s">
        <v>6866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6757</v>
      </c>
      <c r="BX2119" s="2" t="s">
        <v>6828</v>
      </c>
      <c r="BY2119" s="2" t="s">
        <v>113</v>
      </c>
      <c r="BZ2119" s="2" t="s">
        <v>100</v>
      </c>
    </row>
    <row r="2120">
      <c r="A2120" s="2" t="s">
        <v>6867</v>
      </c>
      <c r="B2120" s="2" t="s">
        <v>5764</v>
      </c>
      <c r="C2120" s="2" t="s">
        <v>6753</v>
      </c>
      <c r="D2120" s="2" t="s">
        <v>5765</v>
      </c>
      <c r="E2120" s="2" t="s">
        <v>5766</v>
      </c>
      <c r="F2120" s="2" t="s">
        <v>6835</v>
      </c>
      <c r="G2120" s="2" t="s">
        <v>6835</v>
      </c>
      <c r="H2120" s="2" t="s">
        <v>6835</v>
      </c>
      <c r="I2120" s="2" t="s">
        <v>5867</v>
      </c>
      <c r="J2120" s="2" t="s">
        <v>717</v>
      </c>
      <c r="K2120" s="2" t="s">
        <v>3515</v>
      </c>
      <c r="L2120" s="3">
        <v>47.3</v>
      </c>
      <c r="M2120" s="3">
        <v>49.66</v>
      </c>
      <c r="N2120" s="3">
        <v>101.99</v>
      </c>
      <c r="O2120" s="2" t="s">
        <v>97</v>
      </c>
      <c r="P2120" s="2" t="s">
        <v>119</v>
      </c>
      <c r="Q2120" s="2" t="s">
        <v>99</v>
      </c>
      <c r="R2120" s="2" t="s">
        <v>100</v>
      </c>
      <c r="S2120" s="2" t="s">
        <v>100</v>
      </c>
      <c r="T2120" s="2" t="s">
        <v>5869</v>
      </c>
      <c r="U2120" s="2" t="s">
        <v>1847</v>
      </c>
      <c r="V2120" s="2" t="s">
        <v>146</v>
      </c>
      <c r="W2120" s="2" t="s">
        <v>183</v>
      </c>
      <c r="X2120" s="2" t="s">
        <v>100</v>
      </c>
      <c r="Y2120" s="2" t="s">
        <v>6856</v>
      </c>
      <c r="Z2120" s="4">
        <v>276</v>
      </c>
      <c r="AA2120" s="4">
        <f>=ROUNDDOWN(23,0)</f>
      </c>
      <c r="AB2120" s="5">
        <v>12</v>
      </c>
      <c r="AC2120" s="2" t="s">
        <v>100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>
        <v>1</v>
      </c>
      <c r="AQ2120" s="8">
        <v>49.56</v>
      </c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0.2464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 t="s">
        <v>100</v>
      </c>
      <c r="BJ2120" s="4">
        <v>142</v>
      </c>
      <c r="BK2120" s="8">
        <v>7247.39</v>
      </c>
      <c r="BL2120" s="2" t="s">
        <v>6868</v>
      </c>
      <c r="BM2120" s="7">
        <v>0.007</v>
      </c>
      <c r="BN2120" s="7">
        <v>0.0068</v>
      </c>
      <c r="BO2120" s="4">
        <v>1</v>
      </c>
      <c r="BP2120" s="8">
        <v>49.56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6757</v>
      </c>
      <c r="BX2120" s="2" t="s">
        <v>6828</v>
      </c>
      <c r="BY2120" s="2" t="s">
        <v>113</v>
      </c>
      <c r="BZ2120" s="2" t="s">
        <v>100</v>
      </c>
    </row>
    <row r="2121">
      <c r="A2121" s="2" t="s">
        <v>6869</v>
      </c>
      <c r="B2121" s="2" t="s">
        <v>5764</v>
      </c>
      <c r="C2121" s="2" t="s">
        <v>6753</v>
      </c>
      <c r="D2121" s="2" t="s">
        <v>5765</v>
      </c>
      <c r="E2121" s="2" t="s">
        <v>5766</v>
      </c>
      <c r="F2121" s="2" t="s">
        <v>6835</v>
      </c>
      <c r="G2121" s="2" t="s">
        <v>6835</v>
      </c>
      <c r="H2121" s="2" t="s">
        <v>6835</v>
      </c>
      <c r="I2121" s="2" t="s">
        <v>5867</v>
      </c>
      <c r="J2121" s="2" t="s">
        <v>706</v>
      </c>
      <c r="K2121" s="2" t="s">
        <v>3515</v>
      </c>
      <c r="L2121" s="3">
        <v>69.56</v>
      </c>
      <c r="M2121" s="3">
        <v>73.04</v>
      </c>
      <c r="N2121" s="3">
        <v>149.99</v>
      </c>
      <c r="O2121" s="2" t="s">
        <v>97</v>
      </c>
      <c r="P2121" s="2" t="s">
        <v>119</v>
      </c>
      <c r="Q2121" s="2" t="s">
        <v>99</v>
      </c>
      <c r="R2121" s="2" t="s">
        <v>100</v>
      </c>
      <c r="S2121" s="2" t="s">
        <v>100</v>
      </c>
      <c r="T2121" s="2" t="s">
        <v>5869</v>
      </c>
      <c r="U2121" s="2" t="s">
        <v>1847</v>
      </c>
      <c r="V2121" s="2" t="s">
        <v>146</v>
      </c>
      <c r="W2121" s="2" t="s">
        <v>183</v>
      </c>
      <c r="X2121" s="2" t="s">
        <v>100</v>
      </c>
      <c r="Y2121" s="2" t="s">
        <v>6856</v>
      </c>
      <c r="Z2121" s="4">
        <v>394</v>
      </c>
      <c r="AA2121" s="4">
        <f>=ROUNDDOWN(24.625,0)</f>
      </c>
      <c r="AB2121" s="5">
        <v>16</v>
      </c>
      <c r="AC2121" s="2" t="s">
        <v>100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>
        <v>1</v>
      </c>
      <c r="AQ2121" s="8">
        <v>72.86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0.3623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156</v>
      </c>
      <c r="BK2121" s="8">
        <v>11921.46</v>
      </c>
      <c r="BL2121" s="2" t="s">
        <v>6766</v>
      </c>
      <c r="BM2121" s="7">
        <v>0.0064</v>
      </c>
      <c r="BN2121" s="7">
        <v>0.0061</v>
      </c>
      <c r="BO2121" s="4">
        <v>1</v>
      </c>
      <c r="BP2121" s="8">
        <v>72.86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6757</v>
      </c>
      <c r="BX2121" s="2" t="s">
        <v>847</v>
      </c>
      <c r="BY2121" s="2" t="s">
        <v>113</v>
      </c>
      <c r="BZ2121" s="2" t="s">
        <v>100</v>
      </c>
    </row>
    <row r="2122">
      <c r="A2122" s="2" t="s">
        <v>6870</v>
      </c>
      <c r="B2122" s="2" t="s">
        <v>5764</v>
      </c>
      <c r="C2122" s="2" t="s">
        <v>6753</v>
      </c>
      <c r="D2122" s="2" t="s">
        <v>5765</v>
      </c>
      <c r="E2122" s="2" t="s">
        <v>5766</v>
      </c>
      <c r="F2122" s="2" t="s">
        <v>6835</v>
      </c>
      <c r="G2122" s="2" t="s">
        <v>6835</v>
      </c>
      <c r="H2122" s="2" t="s">
        <v>6835</v>
      </c>
      <c r="I2122" s="2" t="s">
        <v>5867</v>
      </c>
      <c r="J2122" s="2" t="s">
        <v>714</v>
      </c>
      <c r="K2122" s="2" t="s">
        <v>3515</v>
      </c>
      <c r="L2122" s="3">
        <v>75.13</v>
      </c>
      <c r="M2122" s="3">
        <v>78.89</v>
      </c>
      <c r="N2122" s="3">
        <v>159.99</v>
      </c>
      <c r="O2122" s="2" t="s">
        <v>97</v>
      </c>
      <c r="P2122" s="2" t="s">
        <v>119</v>
      </c>
      <c r="Q2122" s="2" t="s">
        <v>99</v>
      </c>
      <c r="R2122" s="2" t="s">
        <v>100</v>
      </c>
      <c r="S2122" s="2" t="s">
        <v>100</v>
      </c>
      <c r="T2122" s="2" t="s">
        <v>5869</v>
      </c>
      <c r="U2122" s="2" t="s">
        <v>1847</v>
      </c>
      <c r="V2122" s="2" t="s">
        <v>146</v>
      </c>
      <c r="W2122" s="2" t="s">
        <v>183</v>
      </c>
      <c r="X2122" s="2" t="s">
        <v>100</v>
      </c>
      <c r="Y2122" s="2" t="s">
        <v>6856</v>
      </c>
      <c r="Z2122" s="4">
        <v>306</v>
      </c>
      <c r="AA2122" s="4">
        <f>=ROUNDDOWN(21.8571428571429,0)</f>
      </c>
      <c r="AB2122" s="5">
        <v>14</v>
      </c>
      <c r="AC2122" s="2" t="s">
        <v>100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>
        <v>1</v>
      </c>
      <c r="AQ2122" s="8">
        <v>78.71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0.3913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201</v>
      </c>
      <c r="BK2122" s="8">
        <v>16443.73</v>
      </c>
      <c r="BL2122" s="2" t="s">
        <v>6779</v>
      </c>
      <c r="BM2122" s="7">
        <v>0.005</v>
      </c>
      <c r="BN2122" s="7">
        <v>0.0048</v>
      </c>
      <c r="BO2122" s="4">
        <v>1</v>
      </c>
      <c r="BP2122" s="8">
        <v>78.71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6757</v>
      </c>
      <c r="BX2122" s="2" t="s">
        <v>6871</v>
      </c>
      <c r="BY2122" s="2" t="s">
        <v>113</v>
      </c>
      <c r="BZ2122" s="2" t="s">
        <v>100</v>
      </c>
    </row>
    <row r="2123">
      <c r="A2123" s="2" t="s">
        <v>6872</v>
      </c>
      <c r="B2123" s="2" t="s">
        <v>5764</v>
      </c>
      <c r="C2123" s="2" t="s">
        <v>6753</v>
      </c>
      <c r="D2123" s="2" t="s">
        <v>5765</v>
      </c>
      <c r="E2123" s="2" t="s">
        <v>5766</v>
      </c>
      <c r="F2123" s="2" t="s">
        <v>6835</v>
      </c>
      <c r="G2123" s="2" t="s">
        <v>6835</v>
      </c>
      <c r="H2123" s="2" t="s">
        <v>6835</v>
      </c>
      <c r="I2123" s="2" t="s">
        <v>5867</v>
      </c>
      <c r="J2123" s="2" t="s">
        <v>1936</v>
      </c>
      <c r="K2123" s="2" t="s">
        <v>1172</v>
      </c>
      <c r="L2123" s="3">
        <v>41.73</v>
      </c>
      <c r="M2123" s="3">
        <v>43.82</v>
      </c>
      <c r="N2123" s="3">
        <v>89.99</v>
      </c>
      <c r="O2123" s="2" t="s">
        <v>97</v>
      </c>
      <c r="P2123" s="2" t="s">
        <v>119</v>
      </c>
      <c r="Q2123" s="2" t="s">
        <v>99</v>
      </c>
      <c r="R2123" s="2" t="s">
        <v>100</v>
      </c>
      <c r="S2123" s="2" t="s">
        <v>100</v>
      </c>
      <c r="T2123" s="2" t="s">
        <v>5869</v>
      </c>
      <c r="U2123" s="2" t="s">
        <v>1847</v>
      </c>
      <c r="V2123" s="2" t="s">
        <v>146</v>
      </c>
      <c r="W2123" s="2" t="s">
        <v>183</v>
      </c>
      <c r="X2123" s="2" t="s">
        <v>100</v>
      </c>
      <c r="Y2123" s="2" t="s">
        <v>6755</v>
      </c>
      <c r="Z2123" s="4">
        <v>256</v>
      </c>
      <c r="AA2123" s="4">
        <f>=ROUNDDOWN(36.5714285714286,0)</f>
      </c>
      <c r="AB2123" s="5">
        <v>7</v>
      </c>
      <c r="AC2123" s="2" t="s">
        <v>100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>
        <v>2</v>
      </c>
      <c r="AW2123" s="8">
        <v>128.27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0.0963</v>
      </c>
      <c r="BJ2123" s="4">
        <v>51</v>
      </c>
      <c r="BK2123" s="8">
        <v>2316.94</v>
      </c>
      <c r="BL2123" s="2" t="s">
        <v>6873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6757</v>
      </c>
      <c r="BX2123" s="2" t="s">
        <v>6874</v>
      </c>
      <c r="BY2123" s="2" t="s">
        <v>113</v>
      </c>
      <c r="BZ2123" s="2" t="s">
        <v>100</v>
      </c>
    </row>
    <row r="2124">
      <c r="A2124" s="2" t="s">
        <v>6875</v>
      </c>
      <c r="B2124" s="2" t="s">
        <v>5764</v>
      </c>
      <c r="C2124" s="2" t="s">
        <v>6753</v>
      </c>
      <c r="D2124" s="2" t="s">
        <v>5765</v>
      </c>
      <c r="E2124" s="2" t="s">
        <v>5766</v>
      </c>
      <c r="F2124" s="2" t="s">
        <v>6835</v>
      </c>
      <c r="G2124" s="2" t="s">
        <v>6835</v>
      </c>
      <c r="H2124" s="2" t="s">
        <v>6835</v>
      </c>
      <c r="I2124" s="2" t="s">
        <v>5867</v>
      </c>
      <c r="J2124" s="2" t="s">
        <v>717</v>
      </c>
      <c r="K2124" s="2" t="s">
        <v>1172</v>
      </c>
      <c r="L2124" s="3">
        <v>47.3</v>
      </c>
      <c r="M2124" s="3">
        <v>49.66</v>
      </c>
      <c r="N2124" s="3">
        <v>101.99</v>
      </c>
      <c r="O2124" s="2" t="s">
        <v>97</v>
      </c>
      <c r="P2124" s="2" t="s">
        <v>119</v>
      </c>
      <c r="Q2124" s="2" t="s">
        <v>99</v>
      </c>
      <c r="R2124" s="2" t="s">
        <v>100</v>
      </c>
      <c r="S2124" s="2" t="s">
        <v>100</v>
      </c>
      <c r="T2124" s="2" t="s">
        <v>5869</v>
      </c>
      <c r="U2124" s="2" t="s">
        <v>1847</v>
      </c>
      <c r="V2124" s="2" t="s">
        <v>146</v>
      </c>
      <c r="W2124" s="2" t="s">
        <v>183</v>
      </c>
      <c r="X2124" s="2" t="s">
        <v>100</v>
      </c>
      <c r="Y2124" s="2" t="s">
        <v>6755</v>
      </c>
      <c r="Z2124" s="4">
        <v>190</v>
      </c>
      <c r="AA2124" s="4">
        <f>=ROUNDDOWN(23.75,0)</f>
      </c>
      <c r="AB2124" s="5">
        <v>8</v>
      </c>
      <c r="AC2124" s="2" t="s">
        <v>100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>
        <v>1</v>
      </c>
      <c r="AQ2124" s="8">
        <v>49.56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0.3864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40</v>
      </c>
      <c r="BK2124" s="8">
        <v>2055.16</v>
      </c>
      <c r="BL2124" s="2" t="s">
        <v>6876</v>
      </c>
      <c r="BM2124" s="7">
        <v>0.025</v>
      </c>
      <c r="BN2124" s="7">
        <v>0.0241</v>
      </c>
      <c r="BO2124" s="4">
        <v>1</v>
      </c>
      <c r="BP2124" s="8">
        <v>49.56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6757</v>
      </c>
      <c r="BX2124" s="2" t="s">
        <v>6877</v>
      </c>
      <c r="BY2124" s="2" t="s">
        <v>113</v>
      </c>
      <c r="BZ2124" s="2" t="s">
        <v>100</v>
      </c>
    </row>
    <row r="2125">
      <c r="A2125" s="2" t="s">
        <v>6878</v>
      </c>
      <c r="B2125" s="2" t="s">
        <v>5764</v>
      </c>
      <c r="C2125" s="2" t="s">
        <v>6753</v>
      </c>
      <c r="D2125" s="2" t="s">
        <v>5765</v>
      </c>
      <c r="E2125" s="2" t="s">
        <v>5766</v>
      </c>
      <c r="F2125" s="2" t="s">
        <v>6835</v>
      </c>
      <c r="G2125" s="2" t="s">
        <v>6835</v>
      </c>
      <c r="H2125" s="2" t="s">
        <v>6835</v>
      </c>
      <c r="I2125" s="2" t="s">
        <v>5867</v>
      </c>
      <c r="J2125" s="2" t="s">
        <v>706</v>
      </c>
      <c r="K2125" s="2" t="s">
        <v>1172</v>
      </c>
      <c r="L2125" s="3">
        <v>69.56</v>
      </c>
      <c r="M2125" s="3">
        <v>73.04</v>
      </c>
      <c r="N2125" s="3">
        <v>149.99</v>
      </c>
      <c r="O2125" s="2" t="s">
        <v>97</v>
      </c>
      <c r="P2125" s="2" t="s">
        <v>119</v>
      </c>
      <c r="Q2125" s="2" t="s">
        <v>99</v>
      </c>
      <c r="R2125" s="2" t="s">
        <v>100</v>
      </c>
      <c r="S2125" s="2" t="s">
        <v>100</v>
      </c>
      <c r="T2125" s="2" t="s">
        <v>5869</v>
      </c>
      <c r="U2125" s="2" t="s">
        <v>1847</v>
      </c>
      <c r="V2125" s="2" t="s">
        <v>146</v>
      </c>
      <c r="W2125" s="2" t="s">
        <v>183</v>
      </c>
      <c r="X2125" s="2" t="s">
        <v>100</v>
      </c>
      <c r="Y2125" s="2" t="s">
        <v>6755</v>
      </c>
      <c r="Z2125" s="4">
        <v>425</v>
      </c>
      <c r="AA2125" s="4">
        <f>=ROUNDDOWN(35.4166666666667,0)</f>
      </c>
      <c r="AB2125" s="5">
        <v>12</v>
      </c>
      <c r="AC2125" s="2" t="s">
        <v>100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 t="s">
        <v>100</v>
      </c>
      <c r="BJ2125" s="4">
        <v>71</v>
      </c>
      <c r="BK2125" s="8">
        <v>5368.32</v>
      </c>
      <c r="BL2125" s="2" t="s">
        <v>6736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6757</v>
      </c>
      <c r="BX2125" s="2" t="s">
        <v>6760</v>
      </c>
      <c r="BY2125" s="2" t="s">
        <v>113</v>
      </c>
      <c r="BZ2125" s="2" t="s">
        <v>100</v>
      </c>
    </row>
    <row r="2126">
      <c r="A2126" s="2" t="s">
        <v>6879</v>
      </c>
      <c r="B2126" s="2" t="s">
        <v>5764</v>
      </c>
      <c r="C2126" s="2" t="s">
        <v>6753</v>
      </c>
      <c r="D2126" s="2" t="s">
        <v>5765</v>
      </c>
      <c r="E2126" s="2" t="s">
        <v>5766</v>
      </c>
      <c r="F2126" s="2" t="s">
        <v>6835</v>
      </c>
      <c r="G2126" s="2" t="s">
        <v>6835</v>
      </c>
      <c r="H2126" s="2" t="s">
        <v>6835</v>
      </c>
      <c r="I2126" s="2" t="s">
        <v>5867</v>
      </c>
      <c r="J2126" s="2" t="s">
        <v>714</v>
      </c>
      <c r="K2126" s="2" t="s">
        <v>1172</v>
      </c>
      <c r="L2126" s="3">
        <v>75.13</v>
      </c>
      <c r="M2126" s="3">
        <v>78.89</v>
      </c>
      <c r="N2126" s="3">
        <v>159.99</v>
      </c>
      <c r="O2126" s="2" t="s">
        <v>97</v>
      </c>
      <c r="P2126" s="2" t="s">
        <v>119</v>
      </c>
      <c r="Q2126" s="2" t="s">
        <v>99</v>
      </c>
      <c r="R2126" s="2" t="s">
        <v>100</v>
      </c>
      <c r="S2126" s="2" t="s">
        <v>100</v>
      </c>
      <c r="T2126" s="2" t="s">
        <v>5869</v>
      </c>
      <c r="U2126" s="2" t="s">
        <v>1847</v>
      </c>
      <c r="V2126" s="2" t="s">
        <v>146</v>
      </c>
      <c r="W2126" s="2" t="s">
        <v>183</v>
      </c>
      <c r="X2126" s="2" t="s">
        <v>100</v>
      </c>
      <c r="Y2126" s="2" t="s">
        <v>6755</v>
      </c>
      <c r="Z2126" s="4">
        <v>266</v>
      </c>
      <c r="AA2126" s="4">
        <f>=ROUNDDOWN(36.9444444444444,0)</f>
      </c>
      <c r="AB2126" s="5">
        <v>7.2</v>
      </c>
      <c r="AC2126" s="2" t="s">
        <v>100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>
        <v>1</v>
      </c>
      <c r="AQ2126" s="8">
        <v>78.71</v>
      </c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0.6136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 t="s">
        <v>100</v>
      </c>
      <c r="BJ2126" s="4">
        <v>73</v>
      </c>
      <c r="BK2126" s="8">
        <v>6033.58</v>
      </c>
      <c r="BL2126" s="2" t="s">
        <v>6880</v>
      </c>
      <c r="BM2126" s="7">
        <v>0.0137</v>
      </c>
      <c r="BN2126" s="7">
        <v>0.013</v>
      </c>
      <c r="BO2126" s="4">
        <v>1</v>
      </c>
      <c r="BP2126" s="8">
        <v>78.71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6757</v>
      </c>
      <c r="BX2126" s="2" t="s">
        <v>6760</v>
      </c>
      <c r="BY2126" s="2" t="s">
        <v>113</v>
      </c>
      <c r="BZ2126" s="2" t="s">
        <v>100</v>
      </c>
    </row>
    <row r="2127">
      <c r="A2127" s="2" t="s">
        <v>6881</v>
      </c>
      <c r="B2127" s="2" t="s">
        <v>5764</v>
      </c>
      <c r="C2127" s="2" t="s">
        <v>6753</v>
      </c>
      <c r="D2127" s="2" t="s">
        <v>5765</v>
      </c>
      <c r="E2127" s="2" t="s">
        <v>5766</v>
      </c>
      <c r="F2127" s="2" t="s">
        <v>6835</v>
      </c>
      <c r="G2127" s="2" t="s">
        <v>6835</v>
      </c>
      <c r="H2127" s="2" t="s">
        <v>6835</v>
      </c>
      <c r="I2127" s="2" t="s">
        <v>5867</v>
      </c>
      <c r="J2127" s="2" t="s">
        <v>1936</v>
      </c>
      <c r="K2127" s="2" t="s">
        <v>913</v>
      </c>
      <c r="L2127" s="3">
        <v>41.73</v>
      </c>
      <c r="M2127" s="3">
        <v>43.82</v>
      </c>
      <c r="N2127" s="3">
        <v>89.99</v>
      </c>
      <c r="O2127" s="2" t="s">
        <v>97</v>
      </c>
      <c r="P2127" s="2" t="s">
        <v>119</v>
      </c>
      <c r="Q2127" s="2" t="s">
        <v>99</v>
      </c>
      <c r="R2127" s="2" t="s">
        <v>100</v>
      </c>
      <c r="S2127" s="2" t="s">
        <v>100</v>
      </c>
      <c r="T2127" s="2" t="s">
        <v>5869</v>
      </c>
      <c r="U2127" s="2" t="s">
        <v>1847</v>
      </c>
      <c r="V2127" s="2" t="s">
        <v>146</v>
      </c>
      <c r="W2127" s="2" t="s">
        <v>183</v>
      </c>
      <c r="X2127" s="2" t="s">
        <v>100</v>
      </c>
      <c r="Y2127" s="2" t="s">
        <v>6856</v>
      </c>
      <c r="Z2127" s="4">
        <v>302</v>
      </c>
      <c r="AA2127" s="4">
        <f>=ROUNDDOWN(43.1428571428571,0)</f>
      </c>
      <c r="AB2127" s="5">
        <v>7</v>
      </c>
      <c r="AC2127" s="2" t="s">
        <v>100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>
        <v>1</v>
      </c>
      <c r="AW2127" s="8">
        <v>49.56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0.0372</v>
      </c>
      <c r="BJ2127" s="4">
        <v>98</v>
      </c>
      <c r="BK2127" s="8">
        <v>4403.98</v>
      </c>
      <c r="BL2127" s="2" t="s">
        <v>6831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6757</v>
      </c>
      <c r="BX2127" s="2" t="s">
        <v>2338</v>
      </c>
      <c r="BY2127" s="2" t="s">
        <v>113</v>
      </c>
      <c r="BZ2127" s="2" t="s">
        <v>100</v>
      </c>
    </row>
    <row r="2128">
      <c r="A2128" s="2" t="s">
        <v>6882</v>
      </c>
      <c r="B2128" s="2" t="s">
        <v>5764</v>
      </c>
      <c r="C2128" s="2" t="s">
        <v>6753</v>
      </c>
      <c r="D2128" s="2" t="s">
        <v>5765</v>
      </c>
      <c r="E2128" s="2" t="s">
        <v>5766</v>
      </c>
      <c r="F2128" s="2" t="s">
        <v>6835</v>
      </c>
      <c r="G2128" s="2" t="s">
        <v>6835</v>
      </c>
      <c r="H2128" s="2" t="s">
        <v>6835</v>
      </c>
      <c r="I2128" s="2" t="s">
        <v>5867</v>
      </c>
      <c r="J2128" s="2" t="s">
        <v>717</v>
      </c>
      <c r="K2128" s="2" t="s">
        <v>913</v>
      </c>
      <c r="L2128" s="3">
        <v>47.3</v>
      </c>
      <c r="M2128" s="3">
        <v>49.66</v>
      </c>
      <c r="N2128" s="3">
        <v>101.99</v>
      </c>
      <c r="O2128" s="2" t="s">
        <v>97</v>
      </c>
      <c r="P2128" s="2" t="s">
        <v>119</v>
      </c>
      <c r="Q2128" s="2" t="s">
        <v>99</v>
      </c>
      <c r="R2128" s="2" t="s">
        <v>100</v>
      </c>
      <c r="S2128" s="2" t="s">
        <v>100</v>
      </c>
      <c r="T2128" s="2" t="s">
        <v>5869</v>
      </c>
      <c r="U2128" s="2" t="s">
        <v>1847</v>
      </c>
      <c r="V2128" s="2" t="s">
        <v>146</v>
      </c>
      <c r="W2128" s="2" t="s">
        <v>183</v>
      </c>
      <c r="X2128" s="2" t="s">
        <v>100</v>
      </c>
      <c r="Y2128" s="2" t="s">
        <v>6856</v>
      </c>
      <c r="Z2128" s="4">
        <v>1301</v>
      </c>
      <c r="AA2128" s="4">
        <f>=ROUNDDOWN(173.466666666667,0)</f>
      </c>
      <c r="AB2128" s="5">
        <v>7.5</v>
      </c>
      <c r="AC2128" s="2" t="s">
        <v>100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>
        <v>1</v>
      </c>
      <c r="AQ2128" s="8">
        <v>49.56</v>
      </c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1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 t="s">
        <v>100</v>
      </c>
      <c r="BJ2128" s="4">
        <v>76</v>
      </c>
      <c r="BK2128" s="8">
        <v>3848.09</v>
      </c>
      <c r="BL2128" s="2" t="s">
        <v>6883</v>
      </c>
      <c r="BM2128" s="7">
        <v>0.0132</v>
      </c>
      <c r="BN2128" s="7">
        <v>0.0129</v>
      </c>
      <c r="BO2128" s="4">
        <v>1</v>
      </c>
      <c r="BP2128" s="8">
        <v>49.56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6757</v>
      </c>
      <c r="BX2128" s="2" t="s">
        <v>6762</v>
      </c>
      <c r="BY2128" s="2" t="s">
        <v>113</v>
      </c>
      <c r="BZ2128" s="2" t="s">
        <v>100</v>
      </c>
    </row>
    <row r="2129">
      <c r="A2129" s="2" t="s">
        <v>6884</v>
      </c>
      <c r="B2129" s="2" t="s">
        <v>5764</v>
      </c>
      <c r="C2129" s="2" t="s">
        <v>6753</v>
      </c>
      <c r="D2129" s="2" t="s">
        <v>5765</v>
      </c>
      <c r="E2129" s="2" t="s">
        <v>5766</v>
      </c>
      <c r="F2129" s="2" t="s">
        <v>6835</v>
      </c>
      <c r="G2129" s="2" t="s">
        <v>6835</v>
      </c>
      <c r="H2129" s="2" t="s">
        <v>6835</v>
      </c>
      <c r="I2129" s="2" t="s">
        <v>5867</v>
      </c>
      <c r="J2129" s="2" t="s">
        <v>706</v>
      </c>
      <c r="K2129" s="2" t="s">
        <v>913</v>
      </c>
      <c r="L2129" s="3">
        <v>69.56</v>
      </c>
      <c r="M2129" s="3">
        <v>73.04</v>
      </c>
      <c r="N2129" s="3">
        <v>149.99</v>
      </c>
      <c r="O2129" s="2" t="s">
        <v>97</v>
      </c>
      <c r="P2129" s="2" t="s">
        <v>119</v>
      </c>
      <c r="Q2129" s="2" t="s">
        <v>99</v>
      </c>
      <c r="R2129" s="2" t="s">
        <v>100</v>
      </c>
      <c r="S2129" s="2" t="s">
        <v>100</v>
      </c>
      <c r="T2129" s="2" t="s">
        <v>5869</v>
      </c>
      <c r="U2129" s="2" t="s">
        <v>1847</v>
      </c>
      <c r="V2129" s="2" t="s">
        <v>146</v>
      </c>
      <c r="W2129" s="2" t="s">
        <v>183</v>
      </c>
      <c r="X2129" s="2" t="s">
        <v>100</v>
      </c>
      <c r="Y2129" s="2" t="s">
        <v>6856</v>
      </c>
      <c r="Z2129" s="4">
        <v>311</v>
      </c>
      <c r="AA2129" s="4">
        <f>=ROUNDDOWN(39.3670886075949,0)</f>
      </c>
      <c r="AB2129" s="5">
        <v>7.9</v>
      </c>
      <c r="AC2129" s="2" t="s">
        <v>282</v>
      </c>
      <c r="AD2129" s="4">
        <v>140</v>
      </c>
      <c r="AE2129" s="4">
        <v>140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 t="s">
        <v>100</v>
      </c>
      <c r="BJ2129" s="4">
        <v>108</v>
      </c>
      <c r="BK2129" s="8">
        <v>8144.62</v>
      </c>
      <c r="BL2129" s="2" t="s">
        <v>6866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6757</v>
      </c>
      <c r="BX2129" s="2" t="s">
        <v>6885</v>
      </c>
      <c r="BY2129" s="2" t="s">
        <v>113</v>
      </c>
      <c r="BZ2129" s="2" t="s">
        <v>100</v>
      </c>
    </row>
    <row r="2130">
      <c r="A2130" s="2" t="s">
        <v>6886</v>
      </c>
      <c r="B2130" s="2" t="s">
        <v>5764</v>
      </c>
      <c r="C2130" s="2" t="s">
        <v>6753</v>
      </c>
      <c r="D2130" s="2" t="s">
        <v>5765</v>
      </c>
      <c r="E2130" s="2" t="s">
        <v>5766</v>
      </c>
      <c r="F2130" s="2" t="s">
        <v>6835</v>
      </c>
      <c r="G2130" s="2" t="s">
        <v>6835</v>
      </c>
      <c r="H2130" s="2" t="s">
        <v>6835</v>
      </c>
      <c r="I2130" s="2" t="s">
        <v>5867</v>
      </c>
      <c r="J2130" s="2" t="s">
        <v>714</v>
      </c>
      <c r="K2130" s="2" t="s">
        <v>913</v>
      </c>
      <c r="L2130" s="3">
        <v>75.13</v>
      </c>
      <c r="M2130" s="3">
        <v>78.89</v>
      </c>
      <c r="N2130" s="3">
        <v>159.99</v>
      </c>
      <c r="O2130" s="2" t="s">
        <v>97</v>
      </c>
      <c r="P2130" s="2" t="s">
        <v>119</v>
      </c>
      <c r="Q2130" s="2" t="s">
        <v>99</v>
      </c>
      <c r="R2130" s="2" t="s">
        <v>100</v>
      </c>
      <c r="S2130" s="2" t="s">
        <v>100</v>
      </c>
      <c r="T2130" s="2" t="s">
        <v>5869</v>
      </c>
      <c r="U2130" s="2" t="s">
        <v>1847</v>
      </c>
      <c r="V2130" s="2" t="s">
        <v>146</v>
      </c>
      <c r="W2130" s="2" t="s">
        <v>183</v>
      </c>
      <c r="X2130" s="2" t="s">
        <v>100</v>
      </c>
      <c r="Y2130" s="2" t="s">
        <v>6856</v>
      </c>
      <c r="Z2130" s="4">
        <v>366</v>
      </c>
      <c r="AA2130" s="4">
        <f>=ROUNDDOWN(36.6,0)</f>
      </c>
      <c r="AB2130" s="5">
        <v>10</v>
      </c>
      <c r="AC2130" s="2" t="s">
        <v>100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 t="s">
        <v>100</v>
      </c>
      <c r="BJ2130" s="4">
        <v>100</v>
      </c>
      <c r="BK2130" s="8">
        <v>8169.6</v>
      </c>
      <c r="BL2130" s="2" t="s">
        <v>6863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6757</v>
      </c>
      <c r="BX2130" s="2" t="s">
        <v>6760</v>
      </c>
      <c r="BY2130" s="2" t="s">
        <v>113</v>
      </c>
      <c r="BZ2130" s="2" t="s">
        <v>100</v>
      </c>
    </row>
    <row r="2131">
      <c r="A2131" s="2" t="s">
        <v>6887</v>
      </c>
      <c r="B2131" s="2" t="s">
        <v>5764</v>
      </c>
      <c r="C2131" s="2" t="s">
        <v>6753</v>
      </c>
      <c r="D2131" s="2" t="s">
        <v>5765</v>
      </c>
      <c r="E2131" s="2" t="s">
        <v>5766</v>
      </c>
      <c r="F2131" s="2" t="s">
        <v>6835</v>
      </c>
      <c r="G2131" s="2" t="s">
        <v>6835</v>
      </c>
      <c r="H2131" s="2" t="s">
        <v>6835</v>
      </c>
      <c r="I2131" s="2" t="s">
        <v>5867</v>
      </c>
      <c r="J2131" s="2" t="s">
        <v>1936</v>
      </c>
      <c r="K2131" s="2" t="s">
        <v>1614</v>
      </c>
      <c r="L2131" s="3">
        <v>41.73</v>
      </c>
      <c r="M2131" s="3">
        <v>43.82</v>
      </c>
      <c r="N2131" s="3">
        <v>89.99</v>
      </c>
      <c r="O2131" s="2" t="s">
        <v>97</v>
      </c>
      <c r="P2131" s="2" t="s">
        <v>119</v>
      </c>
      <c r="Q2131" s="2" t="s">
        <v>99</v>
      </c>
      <c r="R2131" s="2" t="s">
        <v>100</v>
      </c>
      <c r="S2131" s="2" t="s">
        <v>100</v>
      </c>
      <c r="T2131" s="2" t="s">
        <v>5869</v>
      </c>
      <c r="U2131" s="2" t="s">
        <v>1847</v>
      </c>
      <c r="V2131" s="2" t="s">
        <v>146</v>
      </c>
      <c r="W2131" s="2" t="s">
        <v>183</v>
      </c>
      <c r="X2131" s="2" t="s">
        <v>100</v>
      </c>
      <c r="Y2131" s="2" t="s">
        <v>6755</v>
      </c>
      <c r="Z2131" s="4">
        <v>352</v>
      </c>
      <c r="AA2131" s="4">
        <f>=ROUNDDOWN(35.2,0)</f>
      </c>
      <c r="AB2131" s="5">
        <v>10</v>
      </c>
      <c r="AC2131" s="2" t="s">
        <v>100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>
        <v>1</v>
      </c>
      <c r="AQ2131" s="8">
        <v>43.71</v>
      </c>
      <c r="AR2131" s="4"/>
      <c r="AS2131" s="8"/>
      <c r="AT2131" s="7"/>
      <c r="AU2131" s="7"/>
      <c r="AV2131" s="4">
        <v>1</v>
      </c>
      <c r="AW2131" s="8">
        <v>43.71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0.0328</v>
      </c>
      <c r="BJ2131" s="4">
        <v>91</v>
      </c>
      <c r="BK2131" s="8">
        <v>4184.11</v>
      </c>
      <c r="BL2131" s="2" t="s">
        <v>2033</v>
      </c>
      <c r="BM2131" s="7">
        <v>0.011</v>
      </c>
      <c r="BN2131" s="7">
        <v>0.0104</v>
      </c>
      <c r="BO2131" s="4">
        <v>1</v>
      </c>
      <c r="BP2131" s="8">
        <v>43.71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6757</v>
      </c>
      <c r="BX2131" s="2" t="s">
        <v>6858</v>
      </c>
      <c r="BY2131" s="2" t="s">
        <v>113</v>
      </c>
      <c r="BZ2131" s="2" t="s">
        <v>100</v>
      </c>
    </row>
    <row r="2132">
      <c r="A2132" s="2" t="s">
        <v>6888</v>
      </c>
      <c r="B2132" s="2" t="s">
        <v>5764</v>
      </c>
      <c r="C2132" s="2" t="s">
        <v>6753</v>
      </c>
      <c r="D2132" s="2" t="s">
        <v>5765</v>
      </c>
      <c r="E2132" s="2" t="s">
        <v>5766</v>
      </c>
      <c r="F2132" s="2" t="s">
        <v>6835</v>
      </c>
      <c r="G2132" s="2" t="s">
        <v>6835</v>
      </c>
      <c r="H2132" s="2" t="s">
        <v>6835</v>
      </c>
      <c r="I2132" s="2" t="s">
        <v>5867</v>
      </c>
      <c r="J2132" s="2" t="s">
        <v>717</v>
      </c>
      <c r="K2132" s="2" t="s">
        <v>1614</v>
      </c>
      <c r="L2132" s="3">
        <v>47.3</v>
      </c>
      <c r="M2132" s="3">
        <v>49.66</v>
      </c>
      <c r="N2132" s="3">
        <v>101.99</v>
      </c>
      <c r="O2132" s="2" t="s">
        <v>97</v>
      </c>
      <c r="P2132" s="2" t="s">
        <v>119</v>
      </c>
      <c r="Q2132" s="2" t="s">
        <v>99</v>
      </c>
      <c r="R2132" s="2" t="s">
        <v>100</v>
      </c>
      <c r="S2132" s="2" t="s">
        <v>100</v>
      </c>
      <c r="T2132" s="2" t="s">
        <v>5869</v>
      </c>
      <c r="U2132" s="2" t="s">
        <v>1847</v>
      </c>
      <c r="V2132" s="2" t="s">
        <v>146</v>
      </c>
      <c r="W2132" s="2" t="s">
        <v>183</v>
      </c>
      <c r="X2132" s="2" t="s">
        <v>100</v>
      </c>
      <c r="Y2132" s="2" t="s">
        <v>6755</v>
      </c>
      <c r="Z2132" s="4">
        <v>325</v>
      </c>
      <c r="AA2132" s="4">
        <f>=ROUNDDOWN(27.0833333333333,0)</f>
      </c>
      <c r="AB2132" s="5">
        <v>12</v>
      </c>
      <c r="AC2132" s="2" t="s">
        <v>100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 t="s">
        <v>100</v>
      </c>
      <c r="BJ2132" s="4">
        <v>92</v>
      </c>
      <c r="BK2132" s="8">
        <v>4859.13</v>
      </c>
      <c r="BL2132" s="2" t="s">
        <v>6863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6757</v>
      </c>
      <c r="BX2132" s="2" t="s">
        <v>6889</v>
      </c>
      <c r="BY2132" s="2" t="s">
        <v>113</v>
      </c>
      <c r="BZ2132" s="2" t="s">
        <v>100</v>
      </c>
    </row>
    <row r="2133">
      <c r="A2133" s="2" t="s">
        <v>6890</v>
      </c>
      <c r="B2133" s="2" t="s">
        <v>5764</v>
      </c>
      <c r="C2133" s="2" t="s">
        <v>6753</v>
      </c>
      <c r="D2133" s="2" t="s">
        <v>5765</v>
      </c>
      <c r="E2133" s="2" t="s">
        <v>5766</v>
      </c>
      <c r="F2133" s="2" t="s">
        <v>6835</v>
      </c>
      <c r="G2133" s="2" t="s">
        <v>6835</v>
      </c>
      <c r="H2133" s="2" t="s">
        <v>6835</v>
      </c>
      <c r="I2133" s="2" t="s">
        <v>5867</v>
      </c>
      <c r="J2133" s="2" t="s">
        <v>706</v>
      </c>
      <c r="K2133" s="2" t="s">
        <v>1614</v>
      </c>
      <c r="L2133" s="3">
        <v>69.56</v>
      </c>
      <c r="M2133" s="3">
        <v>73.04</v>
      </c>
      <c r="N2133" s="3">
        <v>149.99</v>
      </c>
      <c r="O2133" s="2" t="s">
        <v>97</v>
      </c>
      <c r="P2133" s="2" t="s">
        <v>119</v>
      </c>
      <c r="Q2133" s="2" t="s">
        <v>99</v>
      </c>
      <c r="R2133" s="2" t="s">
        <v>100</v>
      </c>
      <c r="S2133" s="2" t="s">
        <v>100</v>
      </c>
      <c r="T2133" s="2" t="s">
        <v>5869</v>
      </c>
      <c r="U2133" s="2" t="s">
        <v>1847</v>
      </c>
      <c r="V2133" s="2" t="s">
        <v>146</v>
      </c>
      <c r="W2133" s="2" t="s">
        <v>183</v>
      </c>
      <c r="X2133" s="2" t="s">
        <v>100</v>
      </c>
      <c r="Y2133" s="2" t="s">
        <v>6755</v>
      </c>
      <c r="Z2133" s="4">
        <v>445</v>
      </c>
      <c r="AA2133" s="4">
        <f>=ROUNDDOWN(21.1904761904762,0)</f>
      </c>
      <c r="AB2133" s="5">
        <v>21</v>
      </c>
      <c r="AC2133" s="2" t="s">
        <v>282</v>
      </c>
      <c r="AD2133" s="4">
        <v>170</v>
      </c>
      <c r="AE2133" s="4">
        <v>170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 t="s">
        <v>100</v>
      </c>
      <c r="BJ2133" s="4">
        <v>147</v>
      </c>
      <c r="BK2133" s="8">
        <v>11169.29</v>
      </c>
      <c r="BL2133" s="2" t="s">
        <v>6863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6757</v>
      </c>
      <c r="BX2133" s="2" t="s">
        <v>6762</v>
      </c>
      <c r="BY2133" s="2" t="s">
        <v>113</v>
      </c>
      <c r="BZ2133" s="2" t="s">
        <v>100</v>
      </c>
    </row>
    <row r="2134">
      <c r="A2134" s="2" t="s">
        <v>6891</v>
      </c>
      <c r="B2134" s="2" t="s">
        <v>5764</v>
      </c>
      <c r="C2134" s="2" t="s">
        <v>6753</v>
      </c>
      <c r="D2134" s="2" t="s">
        <v>5765</v>
      </c>
      <c r="E2134" s="2" t="s">
        <v>5766</v>
      </c>
      <c r="F2134" s="2" t="s">
        <v>6892</v>
      </c>
      <c r="G2134" s="2" t="s">
        <v>6892</v>
      </c>
      <c r="H2134" s="2" t="s">
        <v>6892</v>
      </c>
      <c r="I2134" s="2" t="s">
        <v>5867</v>
      </c>
      <c r="J2134" s="2" t="s">
        <v>1936</v>
      </c>
      <c r="K2134" s="2" t="s">
        <v>118</v>
      </c>
      <c r="L2134" s="3">
        <v>45.23</v>
      </c>
      <c r="M2134" s="3">
        <v>47.49</v>
      </c>
      <c r="N2134" s="3">
        <v>94.99</v>
      </c>
      <c r="O2134" s="2" t="s">
        <v>97</v>
      </c>
      <c r="P2134" s="2" t="s">
        <v>119</v>
      </c>
      <c r="Q2134" s="2" t="s">
        <v>99</v>
      </c>
      <c r="R2134" s="2" t="s">
        <v>100</v>
      </c>
      <c r="S2134" s="2" t="s">
        <v>6893</v>
      </c>
      <c r="T2134" s="2" t="s">
        <v>4441</v>
      </c>
      <c r="U2134" s="2" t="s">
        <v>1847</v>
      </c>
      <c r="V2134" s="2" t="s">
        <v>146</v>
      </c>
      <c r="W2134" s="2" t="s">
        <v>183</v>
      </c>
      <c r="X2134" s="2" t="s">
        <v>100</v>
      </c>
      <c r="Y2134" s="2" t="s">
        <v>4611</v>
      </c>
      <c r="Z2134" s="4">
        <v>224</v>
      </c>
      <c r="AA2134" s="4">
        <f>=ROUNDDOWN(112,0)</f>
      </c>
      <c r="AB2134" s="5">
        <v>2</v>
      </c>
      <c r="AC2134" s="2" t="s">
        <v>100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29</v>
      </c>
      <c r="BK2134" s="8">
        <v>1461.81</v>
      </c>
      <c r="BL2134" s="2" t="s">
        <v>1518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2480</v>
      </c>
      <c r="BV2134" s="2" t="s">
        <v>97</v>
      </c>
      <c r="BW2134" s="2" t="s">
        <v>100</v>
      </c>
      <c r="BX2134" s="2" t="s">
        <v>100</v>
      </c>
      <c r="BY2134" s="2" t="s">
        <v>113</v>
      </c>
      <c r="BZ2134" s="2" t="s">
        <v>100</v>
      </c>
    </row>
    <row r="2135">
      <c r="A2135" s="2" t="s">
        <v>6894</v>
      </c>
      <c r="B2135" s="2" t="s">
        <v>5764</v>
      </c>
      <c r="C2135" s="2" t="s">
        <v>6753</v>
      </c>
      <c r="D2135" s="2" t="s">
        <v>5765</v>
      </c>
      <c r="E2135" s="2" t="s">
        <v>5766</v>
      </c>
      <c r="F2135" s="2" t="s">
        <v>6892</v>
      </c>
      <c r="G2135" s="2" t="s">
        <v>6892</v>
      </c>
      <c r="H2135" s="2" t="s">
        <v>6892</v>
      </c>
      <c r="I2135" s="2" t="s">
        <v>5867</v>
      </c>
      <c r="J2135" s="2" t="s">
        <v>717</v>
      </c>
      <c r="K2135" s="2" t="s">
        <v>118</v>
      </c>
      <c r="L2135" s="3">
        <v>50</v>
      </c>
      <c r="M2135" s="3">
        <v>52.5</v>
      </c>
      <c r="N2135" s="3">
        <v>104.99</v>
      </c>
      <c r="O2135" s="2" t="s">
        <v>97</v>
      </c>
      <c r="P2135" s="2" t="s">
        <v>119</v>
      </c>
      <c r="Q2135" s="2" t="s">
        <v>99</v>
      </c>
      <c r="R2135" s="2" t="s">
        <v>100</v>
      </c>
      <c r="S2135" s="2" t="s">
        <v>6893</v>
      </c>
      <c r="T2135" s="2" t="s">
        <v>4441</v>
      </c>
      <c r="U2135" s="2" t="s">
        <v>1847</v>
      </c>
      <c r="V2135" s="2" t="s">
        <v>146</v>
      </c>
      <c r="W2135" s="2" t="s">
        <v>183</v>
      </c>
      <c r="X2135" s="2" t="s">
        <v>100</v>
      </c>
      <c r="Y2135" s="2" t="s">
        <v>6895</v>
      </c>
      <c r="Z2135" s="4">
        <v>191</v>
      </c>
      <c r="AA2135" s="4">
        <f>=ROUNDDOWN(47.75,0)</f>
      </c>
      <c r="AB2135" s="5">
        <v>4</v>
      </c>
      <c r="AC2135" s="2" t="s">
        <v>100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44</v>
      </c>
      <c r="BK2135" s="8">
        <v>2530.98</v>
      </c>
      <c r="BL2135" s="2" t="s">
        <v>6896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2480</v>
      </c>
      <c r="BV2135" s="2" t="s">
        <v>97</v>
      </c>
      <c r="BW2135" s="2" t="s">
        <v>100</v>
      </c>
      <c r="BX2135" s="2" t="s">
        <v>100</v>
      </c>
      <c r="BY2135" s="2" t="s">
        <v>113</v>
      </c>
      <c r="BZ2135" s="2" t="s">
        <v>100</v>
      </c>
    </row>
    <row r="2136">
      <c r="A2136" s="2" t="s">
        <v>6897</v>
      </c>
      <c r="B2136" s="2" t="s">
        <v>5764</v>
      </c>
      <c r="C2136" s="2" t="s">
        <v>6753</v>
      </c>
      <c r="D2136" s="2" t="s">
        <v>5765</v>
      </c>
      <c r="E2136" s="2" t="s">
        <v>5766</v>
      </c>
      <c r="F2136" s="2" t="s">
        <v>6892</v>
      </c>
      <c r="G2136" s="2" t="s">
        <v>6892</v>
      </c>
      <c r="H2136" s="2" t="s">
        <v>6892</v>
      </c>
      <c r="I2136" s="2" t="s">
        <v>5867</v>
      </c>
      <c r="J2136" s="2" t="s">
        <v>706</v>
      </c>
      <c r="K2136" s="2" t="s">
        <v>118</v>
      </c>
      <c r="L2136" s="3">
        <v>71.42</v>
      </c>
      <c r="M2136" s="3">
        <v>74.99</v>
      </c>
      <c r="N2136" s="3">
        <v>149.99</v>
      </c>
      <c r="O2136" s="2" t="s">
        <v>97</v>
      </c>
      <c r="P2136" s="2" t="s">
        <v>119</v>
      </c>
      <c r="Q2136" s="2" t="s">
        <v>99</v>
      </c>
      <c r="R2136" s="2" t="s">
        <v>100</v>
      </c>
      <c r="S2136" s="2" t="s">
        <v>6893</v>
      </c>
      <c r="T2136" s="2" t="s">
        <v>4441</v>
      </c>
      <c r="U2136" s="2" t="s">
        <v>1847</v>
      </c>
      <c r="V2136" s="2" t="s">
        <v>146</v>
      </c>
      <c r="W2136" s="2" t="s">
        <v>183</v>
      </c>
      <c r="X2136" s="2" t="s">
        <v>100</v>
      </c>
      <c r="Y2136" s="2" t="s">
        <v>6895</v>
      </c>
      <c r="Z2136" s="4">
        <v>198</v>
      </c>
      <c r="AA2136" s="4">
        <f>=ROUNDDOWN(99,0)</f>
      </c>
      <c r="AB2136" s="5">
        <v>2</v>
      </c>
      <c r="AC2136" s="2" t="s">
        <v>100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40</v>
      </c>
      <c r="BK2136" s="8">
        <v>3201.35</v>
      </c>
      <c r="BL2136" s="2" t="s">
        <v>6898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2480</v>
      </c>
      <c r="BV2136" s="2" t="s">
        <v>97</v>
      </c>
      <c r="BW2136" s="2" t="s">
        <v>100</v>
      </c>
      <c r="BX2136" s="2" t="s">
        <v>100</v>
      </c>
      <c r="BY2136" s="2" t="s">
        <v>113</v>
      </c>
      <c r="BZ2136" s="2" t="s">
        <v>100</v>
      </c>
    </row>
    <row r="2137">
      <c r="A2137" s="2" t="s">
        <v>6899</v>
      </c>
      <c r="B2137" s="2" t="s">
        <v>5764</v>
      </c>
      <c r="C2137" s="2" t="s">
        <v>6753</v>
      </c>
      <c r="D2137" s="2" t="s">
        <v>5765</v>
      </c>
      <c r="E2137" s="2" t="s">
        <v>5766</v>
      </c>
      <c r="F2137" s="2" t="s">
        <v>6892</v>
      </c>
      <c r="G2137" s="2" t="s">
        <v>6892</v>
      </c>
      <c r="H2137" s="2" t="s">
        <v>6892</v>
      </c>
      <c r="I2137" s="2" t="s">
        <v>5867</v>
      </c>
      <c r="J2137" s="2" t="s">
        <v>714</v>
      </c>
      <c r="K2137" s="2" t="s">
        <v>118</v>
      </c>
      <c r="L2137" s="3">
        <v>78.57</v>
      </c>
      <c r="M2137" s="3">
        <v>82.5</v>
      </c>
      <c r="N2137" s="3">
        <v>164.99</v>
      </c>
      <c r="O2137" s="2" t="s">
        <v>97</v>
      </c>
      <c r="P2137" s="2" t="s">
        <v>119</v>
      </c>
      <c r="Q2137" s="2" t="s">
        <v>99</v>
      </c>
      <c r="R2137" s="2" t="s">
        <v>100</v>
      </c>
      <c r="S2137" s="2" t="s">
        <v>6893</v>
      </c>
      <c r="T2137" s="2" t="s">
        <v>4441</v>
      </c>
      <c r="U2137" s="2" t="s">
        <v>1847</v>
      </c>
      <c r="V2137" s="2" t="s">
        <v>146</v>
      </c>
      <c r="W2137" s="2" t="s">
        <v>183</v>
      </c>
      <c r="X2137" s="2" t="s">
        <v>100</v>
      </c>
      <c r="Y2137" s="2" t="s">
        <v>6895</v>
      </c>
      <c r="Z2137" s="4">
        <v>187</v>
      </c>
      <c r="AA2137" s="4">
        <f>=ROUNDDOWN(62.3333333333333,0)</f>
      </c>
      <c r="AB2137" s="5">
        <v>3</v>
      </c>
      <c r="AC2137" s="2" t="s">
        <v>100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47</v>
      </c>
      <c r="BK2137" s="8">
        <v>4127.38</v>
      </c>
      <c r="BL2137" s="2" t="s">
        <v>6900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2480</v>
      </c>
      <c r="BV2137" s="2" t="s">
        <v>97</v>
      </c>
      <c r="BW2137" s="2" t="s">
        <v>100</v>
      </c>
      <c r="BX2137" s="2" t="s">
        <v>100</v>
      </c>
      <c r="BY2137" s="2" t="s">
        <v>113</v>
      </c>
      <c r="BZ2137" s="2" t="s">
        <v>100</v>
      </c>
    </row>
    <row r="2138">
      <c r="A2138" s="2" t="s">
        <v>6901</v>
      </c>
      <c r="B2138" s="2" t="s">
        <v>5764</v>
      </c>
      <c r="C2138" s="2" t="s">
        <v>6753</v>
      </c>
      <c r="D2138" s="2" t="s">
        <v>5765</v>
      </c>
      <c r="E2138" s="2" t="s">
        <v>5766</v>
      </c>
      <c r="F2138" s="2" t="s">
        <v>6892</v>
      </c>
      <c r="G2138" s="2" t="s">
        <v>6892</v>
      </c>
      <c r="H2138" s="2" t="s">
        <v>6892</v>
      </c>
      <c r="I2138" s="2" t="s">
        <v>5867</v>
      </c>
      <c r="J2138" s="2" t="s">
        <v>1936</v>
      </c>
      <c r="K2138" s="2" t="s">
        <v>913</v>
      </c>
      <c r="L2138" s="3">
        <v>45.23</v>
      </c>
      <c r="M2138" s="3">
        <v>47.49</v>
      </c>
      <c r="N2138" s="3">
        <v>94.99</v>
      </c>
      <c r="O2138" s="2" t="s">
        <v>97</v>
      </c>
      <c r="P2138" s="2" t="s">
        <v>119</v>
      </c>
      <c r="Q2138" s="2" t="s">
        <v>99</v>
      </c>
      <c r="R2138" s="2" t="s">
        <v>100</v>
      </c>
      <c r="S2138" s="2" t="s">
        <v>6902</v>
      </c>
      <c r="T2138" s="2" t="s">
        <v>4441</v>
      </c>
      <c r="U2138" s="2" t="s">
        <v>1847</v>
      </c>
      <c r="V2138" s="2" t="s">
        <v>146</v>
      </c>
      <c r="W2138" s="2" t="s">
        <v>183</v>
      </c>
      <c r="X2138" s="2" t="s">
        <v>100</v>
      </c>
      <c r="Y2138" s="2" t="s">
        <v>6895</v>
      </c>
      <c r="Z2138" s="4">
        <v>236</v>
      </c>
      <c r="AA2138" s="4">
        <f>=ROUNDDOWN(118,0)</f>
      </c>
      <c r="AB2138" s="5">
        <v>2</v>
      </c>
      <c r="AC2138" s="2" t="s">
        <v>100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32</v>
      </c>
      <c r="BK2138" s="8">
        <v>1664.36</v>
      </c>
      <c r="BL2138" s="2" t="s">
        <v>6903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2480</v>
      </c>
      <c r="BV2138" s="2" t="s">
        <v>97</v>
      </c>
      <c r="BW2138" s="2" t="s">
        <v>100</v>
      </c>
      <c r="BX2138" s="2" t="s">
        <v>100</v>
      </c>
      <c r="BY2138" s="2" t="s">
        <v>113</v>
      </c>
      <c r="BZ2138" s="2" t="s">
        <v>100</v>
      </c>
    </row>
    <row r="2139">
      <c r="A2139" s="2" t="s">
        <v>6904</v>
      </c>
      <c r="B2139" s="2" t="s">
        <v>5764</v>
      </c>
      <c r="C2139" s="2" t="s">
        <v>6753</v>
      </c>
      <c r="D2139" s="2" t="s">
        <v>5765</v>
      </c>
      <c r="E2139" s="2" t="s">
        <v>5766</v>
      </c>
      <c r="F2139" s="2" t="s">
        <v>6892</v>
      </c>
      <c r="G2139" s="2" t="s">
        <v>6892</v>
      </c>
      <c r="H2139" s="2" t="s">
        <v>6892</v>
      </c>
      <c r="I2139" s="2" t="s">
        <v>5867</v>
      </c>
      <c r="J2139" s="2" t="s">
        <v>717</v>
      </c>
      <c r="K2139" s="2" t="s">
        <v>913</v>
      </c>
      <c r="L2139" s="3">
        <v>50</v>
      </c>
      <c r="M2139" s="3">
        <v>52.5</v>
      </c>
      <c r="N2139" s="3">
        <v>104.99</v>
      </c>
      <c r="O2139" s="2" t="s">
        <v>97</v>
      </c>
      <c r="P2139" s="2" t="s">
        <v>119</v>
      </c>
      <c r="Q2139" s="2" t="s">
        <v>99</v>
      </c>
      <c r="R2139" s="2" t="s">
        <v>100</v>
      </c>
      <c r="S2139" s="2" t="s">
        <v>6902</v>
      </c>
      <c r="T2139" s="2" t="s">
        <v>4441</v>
      </c>
      <c r="U2139" s="2" t="s">
        <v>1847</v>
      </c>
      <c r="V2139" s="2" t="s">
        <v>146</v>
      </c>
      <c r="W2139" s="2" t="s">
        <v>183</v>
      </c>
      <c r="X2139" s="2" t="s">
        <v>100</v>
      </c>
      <c r="Y2139" s="2" t="s">
        <v>6895</v>
      </c>
      <c r="Z2139" s="4">
        <v>213</v>
      </c>
      <c r="AA2139" s="4">
        <f>=ROUNDDOWN(106.5,0)</f>
      </c>
      <c r="AB2139" s="5">
        <v>2</v>
      </c>
      <c r="AC2139" s="2" t="s">
        <v>100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36</v>
      </c>
      <c r="BK2139" s="8">
        <v>2065.08</v>
      </c>
      <c r="BL2139" s="2" t="s">
        <v>6905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2480</v>
      </c>
      <c r="BV2139" s="2" t="s">
        <v>97</v>
      </c>
      <c r="BW2139" s="2" t="s">
        <v>100</v>
      </c>
      <c r="BX2139" s="2" t="s">
        <v>100</v>
      </c>
      <c r="BY2139" s="2" t="s">
        <v>113</v>
      </c>
      <c r="BZ2139" s="2" t="s">
        <v>100</v>
      </c>
    </row>
    <row r="2140">
      <c r="A2140" s="2" t="s">
        <v>6906</v>
      </c>
      <c r="B2140" s="2" t="s">
        <v>5764</v>
      </c>
      <c r="C2140" s="2" t="s">
        <v>6753</v>
      </c>
      <c r="D2140" s="2" t="s">
        <v>5765</v>
      </c>
      <c r="E2140" s="2" t="s">
        <v>5766</v>
      </c>
      <c r="F2140" s="2" t="s">
        <v>6892</v>
      </c>
      <c r="G2140" s="2" t="s">
        <v>6892</v>
      </c>
      <c r="H2140" s="2" t="s">
        <v>6892</v>
      </c>
      <c r="I2140" s="2" t="s">
        <v>5867</v>
      </c>
      <c r="J2140" s="2" t="s">
        <v>706</v>
      </c>
      <c r="K2140" s="2" t="s">
        <v>913</v>
      </c>
      <c r="L2140" s="3">
        <v>71.42</v>
      </c>
      <c r="M2140" s="3">
        <v>74.99</v>
      </c>
      <c r="N2140" s="3">
        <v>149.99</v>
      </c>
      <c r="O2140" s="2" t="s">
        <v>97</v>
      </c>
      <c r="P2140" s="2" t="s">
        <v>119</v>
      </c>
      <c r="Q2140" s="2" t="s">
        <v>99</v>
      </c>
      <c r="R2140" s="2" t="s">
        <v>100</v>
      </c>
      <c r="S2140" s="2" t="s">
        <v>6902</v>
      </c>
      <c r="T2140" s="2" t="s">
        <v>4441</v>
      </c>
      <c r="U2140" s="2" t="s">
        <v>1847</v>
      </c>
      <c r="V2140" s="2" t="s">
        <v>146</v>
      </c>
      <c r="W2140" s="2" t="s">
        <v>183</v>
      </c>
      <c r="X2140" s="2" t="s">
        <v>100</v>
      </c>
      <c r="Y2140" s="2" t="s">
        <v>6895</v>
      </c>
      <c r="Z2140" s="4">
        <v>386</v>
      </c>
      <c r="AA2140" s="4">
        <f>=ROUNDDOWN(128.666666666667,0)</f>
      </c>
      <c r="AB2140" s="5">
        <v>3</v>
      </c>
      <c r="AC2140" s="2" t="s">
        <v>100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48</v>
      </c>
      <c r="BK2140" s="8">
        <v>3832.77</v>
      </c>
      <c r="BL2140" s="2" t="s">
        <v>1379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2480</v>
      </c>
      <c r="BV2140" s="2" t="s">
        <v>97</v>
      </c>
      <c r="BW2140" s="2" t="s">
        <v>100</v>
      </c>
      <c r="BX2140" s="2" t="s">
        <v>100</v>
      </c>
      <c r="BY2140" s="2" t="s">
        <v>113</v>
      </c>
      <c r="BZ2140" s="2" t="s">
        <v>100</v>
      </c>
    </row>
    <row r="2141">
      <c r="A2141" s="2" t="s">
        <v>6907</v>
      </c>
      <c r="B2141" s="2" t="s">
        <v>5764</v>
      </c>
      <c r="C2141" s="2" t="s">
        <v>6753</v>
      </c>
      <c r="D2141" s="2" t="s">
        <v>5765</v>
      </c>
      <c r="E2141" s="2" t="s">
        <v>5766</v>
      </c>
      <c r="F2141" s="2" t="s">
        <v>6892</v>
      </c>
      <c r="G2141" s="2" t="s">
        <v>6892</v>
      </c>
      <c r="H2141" s="2" t="s">
        <v>6892</v>
      </c>
      <c r="I2141" s="2" t="s">
        <v>5867</v>
      </c>
      <c r="J2141" s="2" t="s">
        <v>714</v>
      </c>
      <c r="K2141" s="2" t="s">
        <v>913</v>
      </c>
      <c r="L2141" s="3">
        <v>78.57</v>
      </c>
      <c r="M2141" s="3">
        <v>82.5</v>
      </c>
      <c r="N2141" s="3">
        <v>164.99</v>
      </c>
      <c r="O2141" s="2" t="s">
        <v>97</v>
      </c>
      <c r="P2141" s="2" t="s">
        <v>119</v>
      </c>
      <c r="Q2141" s="2" t="s">
        <v>99</v>
      </c>
      <c r="R2141" s="2" t="s">
        <v>100</v>
      </c>
      <c r="S2141" s="2" t="s">
        <v>6902</v>
      </c>
      <c r="T2141" s="2" t="s">
        <v>4441</v>
      </c>
      <c r="U2141" s="2" t="s">
        <v>1847</v>
      </c>
      <c r="V2141" s="2" t="s">
        <v>146</v>
      </c>
      <c r="W2141" s="2" t="s">
        <v>183</v>
      </c>
      <c r="X2141" s="2" t="s">
        <v>100</v>
      </c>
      <c r="Y2141" s="2" t="s">
        <v>6895</v>
      </c>
      <c r="Z2141" s="4">
        <v>382</v>
      </c>
      <c r="AA2141" s="4">
        <f>=ROUNDDOWN(76.4,0)</f>
      </c>
      <c r="AB2141" s="5">
        <v>5</v>
      </c>
      <c r="AC2141" s="2" t="s">
        <v>100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48</v>
      </c>
      <c r="BK2141" s="8">
        <v>4223.08</v>
      </c>
      <c r="BL2141" s="2" t="s">
        <v>1518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2480</v>
      </c>
      <c r="BV2141" s="2" t="s">
        <v>97</v>
      </c>
      <c r="BW2141" s="2" t="s">
        <v>100</v>
      </c>
      <c r="BX2141" s="2" t="s">
        <v>100</v>
      </c>
      <c r="BY2141" s="2" t="s">
        <v>113</v>
      </c>
      <c r="BZ2141" s="2" t="s">
        <v>100</v>
      </c>
    </row>
    <row r="2142">
      <c r="A2142" s="2" t="s">
        <v>6908</v>
      </c>
      <c r="B2142" s="2" t="s">
        <v>5764</v>
      </c>
      <c r="C2142" s="2" t="s">
        <v>6753</v>
      </c>
      <c r="D2142" s="2" t="s">
        <v>5765</v>
      </c>
      <c r="E2142" s="2" t="s">
        <v>5766</v>
      </c>
      <c r="F2142" s="2" t="s">
        <v>6892</v>
      </c>
      <c r="G2142" s="2" t="s">
        <v>6892</v>
      </c>
      <c r="H2142" s="2" t="s">
        <v>6892</v>
      </c>
      <c r="I2142" s="2" t="s">
        <v>5867</v>
      </c>
      <c r="J2142" s="2" t="s">
        <v>1936</v>
      </c>
      <c r="K2142" s="2" t="s">
        <v>198</v>
      </c>
      <c r="L2142" s="3">
        <v>45.23</v>
      </c>
      <c r="M2142" s="3">
        <v>47.49</v>
      </c>
      <c r="N2142" s="3">
        <v>94.99</v>
      </c>
      <c r="O2142" s="2" t="s">
        <v>97</v>
      </c>
      <c r="P2142" s="2" t="s">
        <v>119</v>
      </c>
      <c r="Q2142" s="2" t="s">
        <v>99</v>
      </c>
      <c r="R2142" s="2" t="s">
        <v>100</v>
      </c>
      <c r="S2142" s="2" t="s">
        <v>6909</v>
      </c>
      <c r="T2142" s="2" t="s">
        <v>4441</v>
      </c>
      <c r="U2142" s="2" t="s">
        <v>1847</v>
      </c>
      <c r="V2142" s="2" t="s">
        <v>146</v>
      </c>
      <c r="W2142" s="2" t="s">
        <v>183</v>
      </c>
      <c r="X2142" s="2" t="s">
        <v>100</v>
      </c>
      <c r="Y2142" s="2" t="s">
        <v>6895</v>
      </c>
      <c r="Z2142" s="4">
        <v>191</v>
      </c>
      <c r="AA2142" s="4">
        <f>=ROUNDDOWN(63.6666666666667,0)</f>
      </c>
      <c r="AB2142" s="5">
        <v>3</v>
      </c>
      <c r="AC2142" s="2" t="s">
        <v>100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51</v>
      </c>
      <c r="BK2142" s="8">
        <v>2621.75</v>
      </c>
      <c r="BL2142" s="2" t="s">
        <v>6896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2480</v>
      </c>
      <c r="BV2142" s="2" t="s">
        <v>97</v>
      </c>
      <c r="BW2142" s="2" t="s">
        <v>100</v>
      </c>
      <c r="BX2142" s="2" t="s">
        <v>100</v>
      </c>
      <c r="BY2142" s="2" t="s">
        <v>113</v>
      </c>
      <c r="BZ2142" s="2" t="s">
        <v>100</v>
      </c>
    </row>
    <row r="2143">
      <c r="A2143" s="2" t="s">
        <v>6910</v>
      </c>
      <c r="B2143" s="2" t="s">
        <v>5764</v>
      </c>
      <c r="C2143" s="2" t="s">
        <v>6753</v>
      </c>
      <c r="D2143" s="2" t="s">
        <v>5765</v>
      </c>
      <c r="E2143" s="2" t="s">
        <v>5766</v>
      </c>
      <c r="F2143" s="2" t="s">
        <v>6892</v>
      </c>
      <c r="G2143" s="2" t="s">
        <v>6892</v>
      </c>
      <c r="H2143" s="2" t="s">
        <v>6892</v>
      </c>
      <c r="I2143" s="2" t="s">
        <v>5867</v>
      </c>
      <c r="J2143" s="2" t="s">
        <v>717</v>
      </c>
      <c r="K2143" s="2" t="s">
        <v>198</v>
      </c>
      <c r="L2143" s="3">
        <v>50</v>
      </c>
      <c r="M2143" s="3">
        <v>52.5</v>
      </c>
      <c r="N2143" s="3">
        <v>104.99</v>
      </c>
      <c r="O2143" s="2" t="s">
        <v>97</v>
      </c>
      <c r="P2143" s="2" t="s">
        <v>119</v>
      </c>
      <c r="Q2143" s="2" t="s">
        <v>99</v>
      </c>
      <c r="R2143" s="2" t="s">
        <v>100</v>
      </c>
      <c r="S2143" s="2" t="s">
        <v>6909</v>
      </c>
      <c r="T2143" s="2" t="s">
        <v>4441</v>
      </c>
      <c r="U2143" s="2" t="s">
        <v>1847</v>
      </c>
      <c r="V2143" s="2" t="s">
        <v>146</v>
      </c>
      <c r="W2143" s="2" t="s">
        <v>183</v>
      </c>
      <c r="X2143" s="2" t="s">
        <v>100</v>
      </c>
      <c r="Y2143" s="2" t="s">
        <v>6895</v>
      </c>
      <c r="Z2143" s="4">
        <v>158</v>
      </c>
      <c r="AA2143" s="4">
        <f>=ROUNDDOWN(31.6,0)</f>
      </c>
      <c r="AB2143" s="5">
        <v>5</v>
      </c>
      <c r="AC2143" s="2" t="s">
        <v>100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57</v>
      </c>
      <c r="BK2143" s="8">
        <v>3274.42</v>
      </c>
      <c r="BL2143" s="2" t="s">
        <v>6911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2480</v>
      </c>
      <c r="BV2143" s="2" t="s">
        <v>97</v>
      </c>
      <c r="BW2143" s="2" t="s">
        <v>100</v>
      </c>
      <c r="BX2143" s="2" t="s">
        <v>100</v>
      </c>
      <c r="BY2143" s="2" t="s">
        <v>113</v>
      </c>
      <c r="BZ2143" s="2" t="s">
        <v>100</v>
      </c>
    </row>
    <row r="2144">
      <c r="A2144" s="2" t="s">
        <v>6912</v>
      </c>
      <c r="B2144" s="2" t="s">
        <v>5764</v>
      </c>
      <c r="C2144" s="2" t="s">
        <v>6753</v>
      </c>
      <c r="D2144" s="2" t="s">
        <v>5765</v>
      </c>
      <c r="E2144" s="2" t="s">
        <v>5766</v>
      </c>
      <c r="F2144" s="2" t="s">
        <v>6892</v>
      </c>
      <c r="G2144" s="2" t="s">
        <v>6892</v>
      </c>
      <c r="H2144" s="2" t="s">
        <v>6892</v>
      </c>
      <c r="I2144" s="2" t="s">
        <v>5867</v>
      </c>
      <c r="J2144" s="2" t="s">
        <v>706</v>
      </c>
      <c r="K2144" s="2" t="s">
        <v>198</v>
      </c>
      <c r="L2144" s="3">
        <v>71.42</v>
      </c>
      <c r="M2144" s="3">
        <v>74.99</v>
      </c>
      <c r="N2144" s="3">
        <v>149.99</v>
      </c>
      <c r="O2144" s="2" t="s">
        <v>97</v>
      </c>
      <c r="P2144" s="2" t="s">
        <v>119</v>
      </c>
      <c r="Q2144" s="2" t="s">
        <v>99</v>
      </c>
      <c r="R2144" s="2" t="s">
        <v>100</v>
      </c>
      <c r="S2144" s="2" t="s">
        <v>6909</v>
      </c>
      <c r="T2144" s="2" t="s">
        <v>4441</v>
      </c>
      <c r="U2144" s="2" t="s">
        <v>1847</v>
      </c>
      <c r="V2144" s="2" t="s">
        <v>146</v>
      </c>
      <c r="W2144" s="2" t="s">
        <v>183</v>
      </c>
      <c r="X2144" s="2" t="s">
        <v>100</v>
      </c>
      <c r="Y2144" s="2" t="s">
        <v>4611</v>
      </c>
      <c r="Z2144" s="4">
        <v>241</v>
      </c>
      <c r="AA2144" s="4">
        <f>=ROUNDDOWN(43.0357142857143,0)</f>
      </c>
      <c r="AB2144" s="5">
        <v>5.6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53</v>
      </c>
      <c r="BK2144" s="8">
        <v>4294.47</v>
      </c>
      <c r="BL2144" s="2" t="s">
        <v>6913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2480</v>
      </c>
      <c r="BV2144" s="2" t="s">
        <v>97</v>
      </c>
      <c r="BW2144" s="2" t="s">
        <v>100</v>
      </c>
      <c r="BX2144" s="2" t="s">
        <v>100</v>
      </c>
      <c r="BY2144" s="2" t="s">
        <v>113</v>
      </c>
      <c r="BZ2144" s="2" t="s">
        <v>100</v>
      </c>
    </row>
    <row r="2145">
      <c r="A2145" s="2" t="s">
        <v>6914</v>
      </c>
      <c r="B2145" s="2" t="s">
        <v>5764</v>
      </c>
      <c r="C2145" s="2" t="s">
        <v>6753</v>
      </c>
      <c r="D2145" s="2" t="s">
        <v>5765</v>
      </c>
      <c r="E2145" s="2" t="s">
        <v>5766</v>
      </c>
      <c r="F2145" s="2" t="s">
        <v>6892</v>
      </c>
      <c r="G2145" s="2" t="s">
        <v>6892</v>
      </c>
      <c r="H2145" s="2" t="s">
        <v>6892</v>
      </c>
      <c r="I2145" s="2" t="s">
        <v>5867</v>
      </c>
      <c r="J2145" s="2" t="s">
        <v>714</v>
      </c>
      <c r="K2145" s="2" t="s">
        <v>198</v>
      </c>
      <c r="L2145" s="3">
        <v>78.57</v>
      </c>
      <c r="M2145" s="3">
        <v>82.5</v>
      </c>
      <c r="N2145" s="3">
        <v>164.99</v>
      </c>
      <c r="O2145" s="2" t="s">
        <v>97</v>
      </c>
      <c r="P2145" s="2" t="s">
        <v>119</v>
      </c>
      <c r="Q2145" s="2" t="s">
        <v>99</v>
      </c>
      <c r="R2145" s="2" t="s">
        <v>100</v>
      </c>
      <c r="S2145" s="2" t="s">
        <v>6909</v>
      </c>
      <c r="T2145" s="2" t="s">
        <v>4441</v>
      </c>
      <c r="U2145" s="2" t="s">
        <v>1847</v>
      </c>
      <c r="V2145" s="2" t="s">
        <v>146</v>
      </c>
      <c r="W2145" s="2" t="s">
        <v>183</v>
      </c>
      <c r="X2145" s="2" t="s">
        <v>100</v>
      </c>
      <c r="Y2145" s="2" t="s">
        <v>6895</v>
      </c>
      <c r="Z2145" s="4">
        <v>270</v>
      </c>
      <c r="AA2145" s="4">
        <f>=ROUNDDOWN(27,0)</f>
      </c>
      <c r="AB2145" s="5">
        <v>10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110</v>
      </c>
      <c r="BK2145" s="8">
        <v>9750.45</v>
      </c>
      <c r="BL2145" s="2" t="s">
        <v>3421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2480</v>
      </c>
      <c r="BV2145" s="2" t="s">
        <v>97</v>
      </c>
      <c r="BW2145" s="2" t="s">
        <v>100</v>
      </c>
      <c r="BX2145" s="2" t="s">
        <v>100</v>
      </c>
      <c r="BY2145" s="2" t="s">
        <v>113</v>
      </c>
      <c r="BZ2145" s="2" t="s">
        <v>100</v>
      </c>
    </row>
    <row r="2146">
      <c r="A2146" s="2" t="s">
        <v>6915</v>
      </c>
      <c r="B2146" s="2" t="s">
        <v>5764</v>
      </c>
      <c r="C2146" s="2" t="s">
        <v>6753</v>
      </c>
      <c r="D2146" s="2" t="s">
        <v>5765</v>
      </c>
      <c r="E2146" s="2" t="s">
        <v>5766</v>
      </c>
      <c r="F2146" s="2" t="s">
        <v>6892</v>
      </c>
      <c r="G2146" s="2" t="s">
        <v>6892</v>
      </c>
      <c r="H2146" s="2" t="s">
        <v>6892</v>
      </c>
      <c r="I2146" s="2" t="s">
        <v>5867</v>
      </c>
      <c r="J2146" s="2" t="s">
        <v>1936</v>
      </c>
      <c r="K2146" s="2" t="s">
        <v>1614</v>
      </c>
      <c r="L2146" s="3">
        <v>45.23</v>
      </c>
      <c r="M2146" s="3">
        <v>47.49</v>
      </c>
      <c r="N2146" s="3">
        <v>94.99</v>
      </c>
      <c r="O2146" s="2" t="s">
        <v>97</v>
      </c>
      <c r="P2146" s="2" t="s">
        <v>119</v>
      </c>
      <c r="Q2146" s="2" t="s">
        <v>99</v>
      </c>
      <c r="R2146" s="2" t="s">
        <v>100</v>
      </c>
      <c r="S2146" s="2" t="s">
        <v>6916</v>
      </c>
      <c r="T2146" s="2" t="s">
        <v>4441</v>
      </c>
      <c r="U2146" s="2" t="s">
        <v>1847</v>
      </c>
      <c r="V2146" s="2" t="s">
        <v>146</v>
      </c>
      <c r="W2146" s="2" t="s">
        <v>183</v>
      </c>
      <c r="X2146" s="2" t="s">
        <v>100</v>
      </c>
      <c r="Y2146" s="2" t="s">
        <v>6895</v>
      </c>
      <c r="Z2146" s="4">
        <v>203</v>
      </c>
      <c r="AA2146" s="4">
        <f>=ROUNDDOWN(101.5,0)</f>
      </c>
      <c r="AB2146" s="5">
        <v>2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42</v>
      </c>
      <c r="BK2146" s="8">
        <v>2171.08</v>
      </c>
      <c r="BL2146" s="2" t="s">
        <v>6913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2480</v>
      </c>
      <c r="BV2146" s="2" t="s">
        <v>97</v>
      </c>
      <c r="BW2146" s="2" t="s">
        <v>100</v>
      </c>
      <c r="BX2146" s="2" t="s">
        <v>100</v>
      </c>
      <c r="BY2146" s="2" t="s">
        <v>113</v>
      </c>
      <c r="BZ2146" s="2" t="s">
        <v>100</v>
      </c>
    </row>
    <row r="2147">
      <c r="A2147" s="2" t="s">
        <v>6917</v>
      </c>
      <c r="B2147" s="2" t="s">
        <v>5764</v>
      </c>
      <c r="C2147" s="2" t="s">
        <v>6753</v>
      </c>
      <c r="D2147" s="2" t="s">
        <v>5765</v>
      </c>
      <c r="E2147" s="2" t="s">
        <v>5766</v>
      </c>
      <c r="F2147" s="2" t="s">
        <v>6892</v>
      </c>
      <c r="G2147" s="2" t="s">
        <v>6892</v>
      </c>
      <c r="H2147" s="2" t="s">
        <v>6892</v>
      </c>
      <c r="I2147" s="2" t="s">
        <v>5867</v>
      </c>
      <c r="J2147" s="2" t="s">
        <v>717</v>
      </c>
      <c r="K2147" s="2" t="s">
        <v>1614</v>
      </c>
      <c r="L2147" s="3">
        <v>50</v>
      </c>
      <c r="M2147" s="3">
        <v>52.5</v>
      </c>
      <c r="N2147" s="3">
        <v>104.99</v>
      </c>
      <c r="O2147" s="2" t="s">
        <v>97</v>
      </c>
      <c r="P2147" s="2" t="s">
        <v>119</v>
      </c>
      <c r="Q2147" s="2" t="s">
        <v>99</v>
      </c>
      <c r="R2147" s="2" t="s">
        <v>100</v>
      </c>
      <c r="S2147" s="2" t="s">
        <v>6916</v>
      </c>
      <c r="T2147" s="2" t="s">
        <v>4441</v>
      </c>
      <c r="U2147" s="2" t="s">
        <v>1847</v>
      </c>
      <c r="V2147" s="2" t="s">
        <v>146</v>
      </c>
      <c r="W2147" s="2" t="s">
        <v>183</v>
      </c>
      <c r="X2147" s="2" t="s">
        <v>100</v>
      </c>
      <c r="Y2147" s="2" t="s">
        <v>4611</v>
      </c>
      <c r="Z2147" s="4">
        <v>129</v>
      </c>
      <c r="AA2147" s="4">
        <f>=ROUNDDOWN(25.8,0)</f>
      </c>
      <c r="AB2147" s="5">
        <v>5</v>
      </c>
      <c r="AC2147" s="2" t="s">
        <v>100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81</v>
      </c>
      <c r="BK2147" s="8">
        <v>4599.89</v>
      </c>
      <c r="BL2147" s="2" t="s">
        <v>6918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2480</v>
      </c>
      <c r="BV2147" s="2" t="s">
        <v>97</v>
      </c>
      <c r="BW2147" s="2" t="s">
        <v>100</v>
      </c>
      <c r="BX2147" s="2" t="s">
        <v>100</v>
      </c>
      <c r="BY2147" s="2" t="s">
        <v>113</v>
      </c>
      <c r="BZ2147" s="2" t="s">
        <v>100</v>
      </c>
    </row>
    <row r="2148">
      <c r="A2148" s="2" t="s">
        <v>6919</v>
      </c>
      <c r="B2148" s="2" t="s">
        <v>5764</v>
      </c>
      <c r="C2148" s="2" t="s">
        <v>6753</v>
      </c>
      <c r="D2148" s="2" t="s">
        <v>5765</v>
      </c>
      <c r="E2148" s="2" t="s">
        <v>5766</v>
      </c>
      <c r="F2148" s="2" t="s">
        <v>6892</v>
      </c>
      <c r="G2148" s="2" t="s">
        <v>6892</v>
      </c>
      <c r="H2148" s="2" t="s">
        <v>6892</v>
      </c>
      <c r="I2148" s="2" t="s">
        <v>5867</v>
      </c>
      <c r="J2148" s="2" t="s">
        <v>706</v>
      </c>
      <c r="K2148" s="2" t="s">
        <v>1614</v>
      </c>
      <c r="L2148" s="3">
        <v>71.42</v>
      </c>
      <c r="M2148" s="3">
        <v>74.99</v>
      </c>
      <c r="N2148" s="3">
        <v>149.99</v>
      </c>
      <c r="O2148" s="2" t="s">
        <v>97</v>
      </c>
      <c r="P2148" s="2" t="s">
        <v>119</v>
      </c>
      <c r="Q2148" s="2" t="s">
        <v>99</v>
      </c>
      <c r="R2148" s="2" t="s">
        <v>100</v>
      </c>
      <c r="S2148" s="2" t="s">
        <v>6916</v>
      </c>
      <c r="T2148" s="2" t="s">
        <v>4441</v>
      </c>
      <c r="U2148" s="2" t="s">
        <v>1847</v>
      </c>
      <c r="V2148" s="2" t="s">
        <v>146</v>
      </c>
      <c r="W2148" s="2" t="s">
        <v>183</v>
      </c>
      <c r="X2148" s="2" t="s">
        <v>100</v>
      </c>
      <c r="Y2148" s="2" t="s">
        <v>6895</v>
      </c>
      <c r="Z2148" s="4">
        <v>234</v>
      </c>
      <c r="AA2148" s="4">
        <f>=ROUNDDOWN(39,0)</f>
      </c>
      <c r="AB2148" s="5">
        <v>6</v>
      </c>
      <c r="AC2148" s="2" t="s">
        <v>100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149</v>
      </c>
      <c r="BK2148" s="8">
        <v>12061.5</v>
      </c>
      <c r="BL2148" s="2" t="s">
        <v>6920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2480</v>
      </c>
      <c r="BV2148" s="2" t="s">
        <v>97</v>
      </c>
      <c r="BW2148" s="2" t="s">
        <v>100</v>
      </c>
      <c r="BX2148" s="2" t="s">
        <v>100</v>
      </c>
      <c r="BY2148" s="2" t="s">
        <v>113</v>
      </c>
      <c r="BZ2148" s="2" t="s">
        <v>100</v>
      </c>
    </row>
    <row r="2149">
      <c r="A2149" s="2" t="s">
        <v>6921</v>
      </c>
      <c r="B2149" s="2" t="s">
        <v>5764</v>
      </c>
      <c r="C2149" s="2" t="s">
        <v>6753</v>
      </c>
      <c r="D2149" s="2" t="s">
        <v>5765</v>
      </c>
      <c r="E2149" s="2" t="s">
        <v>5766</v>
      </c>
      <c r="F2149" s="2" t="s">
        <v>6892</v>
      </c>
      <c r="G2149" s="2" t="s">
        <v>6892</v>
      </c>
      <c r="H2149" s="2" t="s">
        <v>6892</v>
      </c>
      <c r="I2149" s="2" t="s">
        <v>5867</v>
      </c>
      <c r="J2149" s="2" t="s">
        <v>714</v>
      </c>
      <c r="K2149" s="2" t="s">
        <v>1614</v>
      </c>
      <c r="L2149" s="3">
        <v>78.57</v>
      </c>
      <c r="M2149" s="3">
        <v>82.5</v>
      </c>
      <c r="N2149" s="3">
        <v>164.99</v>
      </c>
      <c r="O2149" s="2" t="s">
        <v>97</v>
      </c>
      <c r="P2149" s="2" t="s">
        <v>119</v>
      </c>
      <c r="Q2149" s="2" t="s">
        <v>99</v>
      </c>
      <c r="R2149" s="2" t="s">
        <v>100</v>
      </c>
      <c r="S2149" s="2" t="s">
        <v>6916</v>
      </c>
      <c r="T2149" s="2" t="s">
        <v>4441</v>
      </c>
      <c r="U2149" s="2" t="s">
        <v>1847</v>
      </c>
      <c r="V2149" s="2" t="s">
        <v>146</v>
      </c>
      <c r="W2149" s="2" t="s">
        <v>183</v>
      </c>
      <c r="X2149" s="2" t="s">
        <v>100</v>
      </c>
      <c r="Y2149" s="2" t="s">
        <v>6895</v>
      </c>
      <c r="Z2149" s="4">
        <v>203</v>
      </c>
      <c r="AA2149" s="4">
        <f>=ROUNDDOWN(33.8333333333333,0)</f>
      </c>
      <c r="AB2149" s="5">
        <v>6</v>
      </c>
      <c r="AC2149" s="2" t="s">
        <v>100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186</v>
      </c>
      <c r="BK2149" s="8">
        <v>16426.35</v>
      </c>
      <c r="BL2149" s="2" t="s">
        <v>1839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2480</v>
      </c>
      <c r="BV2149" s="2" t="s">
        <v>97</v>
      </c>
      <c r="BW2149" s="2" t="s">
        <v>100</v>
      </c>
      <c r="BX2149" s="2" t="s">
        <v>100</v>
      </c>
      <c r="BY2149" s="2" t="s">
        <v>113</v>
      </c>
      <c r="BZ2149" s="2" t="s">
        <v>100</v>
      </c>
    </row>
    <row r="2150">
      <c r="A2150" s="2" t="s">
        <v>6922</v>
      </c>
      <c r="B2150" s="2" t="s">
        <v>5764</v>
      </c>
      <c r="C2150" s="2" t="s">
        <v>6753</v>
      </c>
      <c r="D2150" s="2" t="s">
        <v>5765</v>
      </c>
      <c r="E2150" s="2" t="s">
        <v>5766</v>
      </c>
      <c r="F2150" s="2" t="s">
        <v>6923</v>
      </c>
      <c r="G2150" s="2" t="s">
        <v>6923</v>
      </c>
      <c r="H2150" s="2" t="s">
        <v>6923</v>
      </c>
      <c r="I2150" s="2" t="s">
        <v>5768</v>
      </c>
      <c r="J2150" s="2" t="s">
        <v>1936</v>
      </c>
      <c r="K2150" s="2" t="s">
        <v>198</v>
      </c>
      <c r="L2150" s="3">
        <v>42.85</v>
      </c>
      <c r="M2150" s="3">
        <v>44.99</v>
      </c>
      <c r="N2150" s="3">
        <v>89.99</v>
      </c>
      <c r="O2150" s="2" t="s">
        <v>97</v>
      </c>
      <c r="P2150" s="2" t="s">
        <v>225</v>
      </c>
      <c r="Q2150" s="2" t="s">
        <v>99</v>
      </c>
      <c r="R2150" s="2" t="s">
        <v>100</v>
      </c>
      <c r="S2150" s="2" t="s">
        <v>6924</v>
      </c>
      <c r="T2150" s="2" t="s">
        <v>200</v>
      </c>
      <c r="U2150" s="2" t="s">
        <v>1847</v>
      </c>
      <c r="V2150" s="2" t="s">
        <v>146</v>
      </c>
      <c r="W2150" s="2" t="s">
        <v>183</v>
      </c>
      <c r="X2150" s="2" t="s">
        <v>100</v>
      </c>
      <c r="Y2150" s="2" t="s">
        <v>6925</v>
      </c>
      <c r="Z2150" s="4">
        <v>187</v>
      </c>
      <c r="AA2150" s="4">
        <f>=ROUNDDOWN({0},0)</f>
      </c>
      <c r="AB2150" s="5"/>
      <c r="AC2150" s="2" t="s">
        <v>241</v>
      </c>
      <c r="AD2150" s="4">
        <v>465</v>
      </c>
      <c r="AE2150" s="4">
        <v>465</v>
      </c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1</v>
      </c>
      <c r="BK2150" s="8">
        <v>48.59</v>
      </c>
      <c r="BL2150" s="2" t="s">
        <v>6926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2480</v>
      </c>
      <c r="BV2150" s="2" t="s">
        <v>97</v>
      </c>
      <c r="BW2150" s="2" t="s">
        <v>100</v>
      </c>
      <c r="BX2150" s="2" t="s">
        <v>100</v>
      </c>
      <c r="BY2150" s="2" t="s">
        <v>113</v>
      </c>
      <c r="BZ2150" s="2" t="s">
        <v>100</v>
      </c>
    </row>
    <row r="2151">
      <c r="A2151" s="2" t="s">
        <v>6927</v>
      </c>
      <c r="B2151" s="2" t="s">
        <v>5764</v>
      </c>
      <c r="C2151" s="2" t="s">
        <v>6753</v>
      </c>
      <c r="D2151" s="2" t="s">
        <v>5765</v>
      </c>
      <c r="E2151" s="2" t="s">
        <v>5766</v>
      </c>
      <c r="F2151" s="2" t="s">
        <v>6923</v>
      </c>
      <c r="G2151" s="2" t="s">
        <v>6923</v>
      </c>
      <c r="H2151" s="2" t="s">
        <v>6923</v>
      </c>
      <c r="I2151" s="2" t="s">
        <v>5768</v>
      </c>
      <c r="J2151" s="2" t="s">
        <v>717</v>
      </c>
      <c r="K2151" s="2" t="s">
        <v>198</v>
      </c>
      <c r="L2151" s="3">
        <v>47.61</v>
      </c>
      <c r="M2151" s="3">
        <v>49.99</v>
      </c>
      <c r="N2151" s="3">
        <v>99.99</v>
      </c>
      <c r="O2151" s="2" t="s">
        <v>97</v>
      </c>
      <c r="P2151" s="2" t="s">
        <v>225</v>
      </c>
      <c r="Q2151" s="2" t="s">
        <v>99</v>
      </c>
      <c r="R2151" s="2" t="s">
        <v>100</v>
      </c>
      <c r="S2151" s="2" t="s">
        <v>6924</v>
      </c>
      <c r="T2151" s="2" t="s">
        <v>200</v>
      </c>
      <c r="U2151" s="2" t="s">
        <v>1847</v>
      </c>
      <c r="V2151" s="2" t="s">
        <v>146</v>
      </c>
      <c r="W2151" s="2" t="s">
        <v>183</v>
      </c>
      <c r="X2151" s="2" t="s">
        <v>100</v>
      </c>
      <c r="Y2151" s="2" t="s">
        <v>6925</v>
      </c>
      <c r="Z2151" s="4">
        <v>233</v>
      </c>
      <c r="AA2151" s="4">
        <f>=ROUNDDOWN({0},0)</f>
      </c>
      <c r="AB2151" s="5"/>
      <c r="AC2151" s="2" t="s">
        <v>100</v>
      </c>
      <c r="AD2151" s="4"/>
      <c r="AE2151" s="4"/>
      <c r="AF2151" s="6">
        <v>66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/>
      <c r="BK2151" s="8"/>
      <c r="BL2151" s="2" t="s">
        <v>100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2480</v>
      </c>
      <c r="BV2151" s="2" t="s">
        <v>97</v>
      </c>
      <c r="BW2151" s="2" t="s">
        <v>100</v>
      </c>
      <c r="BX2151" s="2" t="s">
        <v>100</v>
      </c>
      <c r="BY2151" s="2" t="s">
        <v>113</v>
      </c>
      <c r="BZ2151" s="2" t="s">
        <v>100</v>
      </c>
    </row>
    <row r="2152">
      <c r="A2152" s="2" t="s">
        <v>6928</v>
      </c>
      <c r="B2152" s="2" t="s">
        <v>5764</v>
      </c>
      <c r="C2152" s="2" t="s">
        <v>6753</v>
      </c>
      <c r="D2152" s="2" t="s">
        <v>5765</v>
      </c>
      <c r="E2152" s="2" t="s">
        <v>5766</v>
      </c>
      <c r="F2152" s="2" t="s">
        <v>6923</v>
      </c>
      <c r="G2152" s="2" t="s">
        <v>6923</v>
      </c>
      <c r="H2152" s="2" t="s">
        <v>6923</v>
      </c>
      <c r="I2152" s="2" t="s">
        <v>5768</v>
      </c>
      <c r="J2152" s="2" t="s">
        <v>706</v>
      </c>
      <c r="K2152" s="2" t="s">
        <v>198</v>
      </c>
      <c r="L2152" s="3">
        <v>66.66</v>
      </c>
      <c r="M2152" s="3">
        <v>69.99</v>
      </c>
      <c r="N2152" s="3">
        <v>139.99</v>
      </c>
      <c r="O2152" s="2" t="s">
        <v>97</v>
      </c>
      <c r="P2152" s="2" t="s">
        <v>225</v>
      </c>
      <c r="Q2152" s="2" t="s">
        <v>99</v>
      </c>
      <c r="R2152" s="2" t="s">
        <v>100</v>
      </c>
      <c r="S2152" s="2" t="s">
        <v>6924</v>
      </c>
      <c r="T2152" s="2" t="s">
        <v>200</v>
      </c>
      <c r="U2152" s="2" t="s">
        <v>1847</v>
      </c>
      <c r="V2152" s="2" t="s">
        <v>146</v>
      </c>
      <c r="W2152" s="2" t="s">
        <v>183</v>
      </c>
      <c r="X2152" s="2" t="s">
        <v>100</v>
      </c>
      <c r="Y2152" s="2" t="s">
        <v>6925</v>
      </c>
      <c r="Z2152" s="4">
        <v>298</v>
      </c>
      <c r="AA2152" s="4">
        <f>=ROUNDDOWN({0},0)</f>
      </c>
      <c r="AB2152" s="5"/>
      <c r="AC2152" s="2" t="s">
        <v>241</v>
      </c>
      <c r="AD2152" s="4">
        <v>165</v>
      </c>
      <c r="AE2152" s="4">
        <v>165</v>
      </c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3</v>
      </c>
      <c r="BK2152" s="8">
        <v>226.77</v>
      </c>
      <c r="BL2152" s="2" t="s">
        <v>6929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2480</v>
      </c>
      <c r="BV2152" s="2" t="s">
        <v>97</v>
      </c>
      <c r="BW2152" s="2" t="s">
        <v>100</v>
      </c>
      <c r="BX2152" s="2" t="s">
        <v>100</v>
      </c>
      <c r="BY2152" s="2" t="s">
        <v>113</v>
      </c>
      <c r="BZ2152" s="2" t="s">
        <v>100</v>
      </c>
    </row>
    <row r="2153">
      <c r="A2153" s="2" t="s">
        <v>6930</v>
      </c>
      <c r="B2153" s="2" t="s">
        <v>5764</v>
      </c>
      <c r="C2153" s="2" t="s">
        <v>6753</v>
      </c>
      <c r="D2153" s="2" t="s">
        <v>5765</v>
      </c>
      <c r="E2153" s="2" t="s">
        <v>5766</v>
      </c>
      <c r="F2153" s="2" t="s">
        <v>6923</v>
      </c>
      <c r="G2153" s="2" t="s">
        <v>6923</v>
      </c>
      <c r="H2153" s="2" t="s">
        <v>6923</v>
      </c>
      <c r="I2153" s="2" t="s">
        <v>5768</v>
      </c>
      <c r="J2153" s="2" t="s">
        <v>714</v>
      </c>
      <c r="K2153" s="2" t="s">
        <v>198</v>
      </c>
      <c r="L2153" s="3">
        <v>76.19</v>
      </c>
      <c r="M2153" s="3">
        <v>80</v>
      </c>
      <c r="N2153" s="3">
        <v>159.99</v>
      </c>
      <c r="O2153" s="2" t="s">
        <v>97</v>
      </c>
      <c r="P2153" s="2" t="s">
        <v>225</v>
      </c>
      <c r="Q2153" s="2" t="s">
        <v>99</v>
      </c>
      <c r="R2153" s="2" t="s">
        <v>100</v>
      </c>
      <c r="S2153" s="2" t="s">
        <v>6924</v>
      </c>
      <c r="T2153" s="2" t="s">
        <v>200</v>
      </c>
      <c r="U2153" s="2" t="s">
        <v>1847</v>
      </c>
      <c r="V2153" s="2" t="s">
        <v>146</v>
      </c>
      <c r="W2153" s="2" t="s">
        <v>183</v>
      </c>
      <c r="X2153" s="2" t="s">
        <v>100</v>
      </c>
      <c r="Y2153" s="2" t="s">
        <v>6925</v>
      </c>
      <c r="Z2153" s="4">
        <v>346</v>
      </c>
      <c r="AA2153" s="4">
        <f>=ROUNDDOWN({0},0)</f>
      </c>
      <c r="AB2153" s="5"/>
      <c r="AC2153" s="2" t="s">
        <v>100</v>
      </c>
      <c r="AD2153" s="4"/>
      <c r="AE2153" s="4"/>
      <c r="AF2153" s="6">
        <v>66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2</v>
      </c>
      <c r="BK2153" s="8">
        <v>172.8</v>
      </c>
      <c r="BL2153" s="2" t="s">
        <v>3765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2480</v>
      </c>
      <c r="BV2153" s="2" t="s">
        <v>97</v>
      </c>
      <c r="BW2153" s="2" t="s">
        <v>100</v>
      </c>
      <c r="BX2153" s="2" t="s">
        <v>100</v>
      </c>
      <c r="BY2153" s="2" t="s">
        <v>113</v>
      </c>
      <c r="BZ2153" s="2" t="s">
        <v>100</v>
      </c>
    </row>
    <row r="2154">
      <c r="A2154" s="2" t="s">
        <v>6931</v>
      </c>
      <c r="B2154" s="2" t="s">
        <v>5764</v>
      </c>
      <c r="C2154" s="2" t="s">
        <v>6753</v>
      </c>
      <c r="D2154" s="2" t="s">
        <v>5765</v>
      </c>
      <c r="E2154" s="2" t="s">
        <v>5766</v>
      </c>
      <c r="F2154" s="2" t="s">
        <v>6923</v>
      </c>
      <c r="G2154" s="2" t="s">
        <v>6923</v>
      </c>
      <c r="H2154" s="2" t="s">
        <v>6923</v>
      </c>
      <c r="I2154" s="2" t="s">
        <v>5768</v>
      </c>
      <c r="J2154" s="2" t="s">
        <v>1936</v>
      </c>
      <c r="K2154" s="2" t="s">
        <v>1614</v>
      </c>
      <c r="L2154" s="3">
        <v>42.85</v>
      </c>
      <c r="M2154" s="3">
        <v>44.99</v>
      </c>
      <c r="N2154" s="3">
        <v>89.99</v>
      </c>
      <c r="O2154" s="2" t="s">
        <v>97</v>
      </c>
      <c r="P2154" s="2" t="s">
        <v>225</v>
      </c>
      <c r="Q2154" s="2" t="s">
        <v>99</v>
      </c>
      <c r="R2154" s="2" t="s">
        <v>100</v>
      </c>
      <c r="S2154" s="2" t="s">
        <v>6932</v>
      </c>
      <c r="T2154" s="2" t="s">
        <v>200</v>
      </c>
      <c r="U2154" s="2" t="s">
        <v>1847</v>
      </c>
      <c r="V2154" s="2" t="s">
        <v>146</v>
      </c>
      <c r="W2154" s="2" t="s">
        <v>183</v>
      </c>
      <c r="X2154" s="2" t="s">
        <v>100</v>
      </c>
      <c r="Y2154" s="2" t="s">
        <v>6925</v>
      </c>
      <c r="Z2154" s="4">
        <v>175</v>
      </c>
      <c r="AA2154" s="4">
        <f>=ROUNDDOWN({0},0)</f>
      </c>
      <c r="AB2154" s="5"/>
      <c r="AC2154" s="2" t="s">
        <v>241</v>
      </c>
      <c r="AD2154" s="4">
        <v>225</v>
      </c>
      <c r="AE2154" s="4">
        <v>225</v>
      </c>
      <c r="AF2154" s="6">
        <v>66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1</v>
      </c>
      <c r="BK2154" s="8">
        <v>48.59</v>
      </c>
      <c r="BL2154" s="2" t="s">
        <v>6926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2480</v>
      </c>
      <c r="BV2154" s="2" t="s">
        <v>97</v>
      </c>
      <c r="BW2154" s="2" t="s">
        <v>100</v>
      </c>
      <c r="BX2154" s="2" t="s">
        <v>100</v>
      </c>
      <c r="BY2154" s="2" t="s">
        <v>113</v>
      </c>
      <c r="BZ2154" s="2" t="s">
        <v>100</v>
      </c>
    </row>
    <row r="2155">
      <c r="A2155" s="2" t="s">
        <v>6933</v>
      </c>
      <c r="B2155" s="2" t="s">
        <v>5764</v>
      </c>
      <c r="C2155" s="2" t="s">
        <v>6753</v>
      </c>
      <c r="D2155" s="2" t="s">
        <v>5765</v>
      </c>
      <c r="E2155" s="2" t="s">
        <v>5766</v>
      </c>
      <c r="F2155" s="2" t="s">
        <v>6923</v>
      </c>
      <c r="G2155" s="2" t="s">
        <v>6923</v>
      </c>
      <c r="H2155" s="2" t="s">
        <v>6923</v>
      </c>
      <c r="I2155" s="2" t="s">
        <v>5768</v>
      </c>
      <c r="J2155" s="2" t="s">
        <v>717</v>
      </c>
      <c r="K2155" s="2" t="s">
        <v>1614</v>
      </c>
      <c r="L2155" s="3">
        <v>47.61</v>
      </c>
      <c r="M2155" s="3">
        <v>49.99</v>
      </c>
      <c r="N2155" s="3">
        <v>99.99</v>
      </c>
      <c r="O2155" s="2" t="s">
        <v>97</v>
      </c>
      <c r="P2155" s="2" t="s">
        <v>225</v>
      </c>
      <c r="Q2155" s="2" t="s">
        <v>99</v>
      </c>
      <c r="R2155" s="2" t="s">
        <v>100</v>
      </c>
      <c r="S2155" s="2" t="s">
        <v>6932</v>
      </c>
      <c r="T2155" s="2" t="s">
        <v>200</v>
      </c>
      <c r="U2155" s="2" t="s">
        <v>1847</v>
      </c>
      <c r="V2155" s="2" t="s">
        <v>146</v>
      </c>
      <c r="W2155" s="2" t="s">
        <v>183</v>
      </c>
      <c r="X2155" s="2" t="s">
        <v>100</v>
      </c>
      <c r="Y2155" s="2" t="s">
        <v>6925</v>
      </c>
      <c r="Z2155" s="4">
        <v>156</v>
      </c>
      <c r="AA2155" s="4">
        <f>=ROUNDDOWN({0},0)</f>
      </c>
      <c r="AB2155" s="5"/>
      <c r="AC2155" s="2" t="s">
        <v>241</v>
      </c>
      <c r="AD2155" s="4">
        <v>1515</v>
      </c>
      <c r="AE2155" s="4">
        <v>1515</v>
      </c>
      <c r="AF2155" s="6">
        <v>66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3</v>
      </c>
      <c r="BK2155" s="8">
        <v>160.47</v>
      </c>
      <c r="BL2155" s="2" t="s">
        <v>1230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2480</v>
      </c>
      <c r="BV2155" s="2" t="s">
        <v>97</v>
      </c>
      <c r="BW2155" s="2" t="s">
        <v>100</v>
      </c>
      <c r="BX2155" s="2" t="s">
        <v>100</v>
      </c>
      <c r="BY2155" s="2" t="s">
        <v>113</v>
      </c>
      <c r="BZ2155" s="2" t="s">
        <v>100</v>
      </c>
    </row>
    <row r="2156">
      <c r="A2156" s="2" t="s">
        <v>6934</v>
      </c>
      <c r="B2156" s="2" t="s">
        <v>5764</v>
      </c>
      <c r="C2156" s="2" t="s">
        <v>6753</v>
      </c>
      <c r="D2156" s="2" t="s">
        <v>5765</v>
      </c>
      <c r="E2156" s="2" t="s">
        <v>5766</v>
      </c>
      <c r="F2156" s="2" t="s">
        <v>6923</v>
      </c>
      <c r="G2156" s="2" t="s">
        <v>6923</v>
      </c>
      <c r="H2156" s="2" t="s">
        <v>6923</v>
      </c>
      <c r="I2156" s="2" t="s">
        <v>5768</v>
      </c>
      <c r="J2156" s="2" t="s">
        <v>706</v>
      </c>
      <c r="K2156" s="2" t="s">
        <v>1614</v>
      </c>
      <c r="L2156" s="3">
        <v>66.66</v>
      </c>
      <c r="M2156" s="3">
        <v>69.99</v>
      </c>
      <c r="N2156" s="3">
        <v>139.99</v>
      </c>
      <c r="O2156" s="2" t="s">
        <v>97</v>
      </c>
      <c r="P2156" s="2" t="s">
        <v>225</v>
      </c>
      <c r="Q2156" s="2" t="s">
        <v>99</v>
      </c>
      <c r="R2156" s="2" t="s">
        <v>100</v>
      </c>
      <c r="S2156" s="2" t="s">
        <v>6932</v>
      </c>
      <c r="T2156" s="2" t="s">
        <v>200</v>
      </c>
      <c r="U2156" s="2" t="s">
        <v>1847</v>
      </c>
      <c r="V2156" s="2" t="s">
        <v>146</v>
      </c>
      <c r="W2156" s="2" t="s">
        <v>183</v>
      </c>
      <c r="X2156" s="2" t="s">
        <v>100</v>
      </c>
      <c r="Y2156" s="2" t="s">
        <v>6925</v>
      </c>
      <c r="Z2156" s="4">
        <v>245</v>
      </c>
      <c r="AA2156" s="4">
        <f>=ROUNDDOWN({0},0)</f>
      </c>
      <c r="AB2156" s="5"/>
      <c r="AC2156" s="2" t="s">
        <v>241</v>
      </c>
      <c r="AD2156" s="4">
        <v>1785</v>
      </c>
      <c r="AE2156" s="4">
        <v>1785</v>
      </c>
      <c r="AF2156" s="6">
        <v>66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3</v>
      </c>
      <c r="BK2156" s="8">
        <v>226.77</v>
      </c>
      <c r="BL2156" s="2" t="s">
        <v>6929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2480</v>
      </c>
      <c r="BV2156" s="2" t="s">
        <v>97</v>
      </c>
      <c r="BW2156" s="2" t="s">
        <v>100</v>
      </c>
      <c r="BX2156" s="2" t="s">
        <v>100</v>
      </c>
      <c r="BY2156" s="2" t="s">
        <v>113</v>
      </c>
      <c r="BZ2156" s="2" t="s">
        <v>100</v>
      </c>
    </row>
    <row r="2157">
      <c r="A2157" s="2" t="s">
        <v>6935</v>
      </c>
      <c r="B2157" s="2" t="s">
        <v>5764</v>
      </c>
      <c r="C2157" s="2" t="s">
        <v>6753</v>
      </c>
      <c r="D2157" s="2" t="s">
        <v>5765</v>
      </c>
      <c r="E2157" s="2" t="s">
        <v>5766</v>
      </c>
      <c r="F2157" s="2" t="s">
        <v>6923</v>
      </c>
      <c r="G2157" s="2" t="s">
        <v>6923</v>
      </c>
      <c r="H2157" s="2" t="s">
        <v>6923</v>
      </c>
      <c r="I2157" s="2" t="s">
        <v>5768</v>
      </c>
      <c r="J2157" s="2" t="s">
        <v>714</v>
      </c>
      <c r="K2157" s="2" t="s">
        <v>1614</v>
      </c>
      <c r="L2157" s="3">
        <v>76.19</v>
      </c>
      <c r="M2157" s="3">
        <v>80</v>
      </c>
      <c r="N2157" s="3">
        <v>159.99</v>
      </c>
      <c r="O2157" s="2" t="s">
        <v>97</v>
      </c>
      <c r="P2157" s="2" t="s">
        <v>225</v>
      </c>
      <c r="Q2157" s="2" t="s">
        <v>99</v>
      </c>
      <c r="R2157" s="2" t="s">
        <v>100</v>
      </c>
      <c r="S2157" s="2" t="s">
        <v>6932</v>
      </c>
      <c r="T2157" s="2" t="s">
        <v>200</v>
      </c>
      <c r="U2157" s="2" t="s">
        <v>1847</v>
      </c>
      <c r="V2157" s="2" t="s">
        <v>146</v>
      </c>
      <c r="W2157" s="2" t="s">
        <v>183</v>
      </c>
      <c r="X2157" s="2" t="s">
        <v>100</v>
      </c>
      <c r="Y2157" s="2" t="s">
        <v>6925</v>
      </c>
      <c r="Z2157" s="4">
        <v>266</v>
      </c>
      <c r="AA2157" s="4">
        <f>=ROUNDDOWN({0},0)</f>
      </c>
      <c r="AB2157" s="5"/>
      <c r="AC2157" s="2" t="s">
        <v>241</v>
      </c>
      <c r="AD2157" s="4">
        <v>1545</v>
      </c>
      <c r="AE2157" s="4">
        <v>1545</v>
      </c>
      <c r="AF2157" s="6">
        <v>66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2</v>
      </c>
      <c r="BK2157" s="8">
        <v>172.8</v>
      </c>
      <c r="BL2157" s="2" t="s">
        <v>6926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2480</v>
      </c>
      <c r="BV2157" s="2" t="s">
        <v>97</v>
      </c>
      <c r="BW2157" s="2" t="s">
        <v>100</v>
      </c>
      <c r="BX2157" s="2" t="s">
        <v>100</v>
      </c>
      <c r="BY2157" s="2" t="s">
        <v>113</v>
      </c>
      <c r="BZ2157" s="2" t="s">
        <v>100</v>
      </c>
    </row>
    <row r="2158">
      <c r="A2158" s="2" t="s">
        <v>6936</v>
      </c>
      <c r="B2158" s="2" t="s">
        <v>5764</v>
      </c>
      <c r="C2158" s="2" t="s">
        <v>6753</v>
      </c>
      <c r="D2158" s="2" t="s">
        <v>5765</v>
      </c>
      <c r="E2158" s="2" t="s">
        <v>5766</v>
      </c>
      <c r="F2158" s="2" t="s">
        <v>6923</v>
      </c>
      <c r="G2158" s="2" t="s">
        <v>6923</v>
      </c>
      <c r="H2158" s="2" t="s">
        <v>6923</v>
      </c>
      <c r="I2158" s="2" t="s">
        <v>5768</v>
      </c>
      <c r="J2158" s="2" t="s">
        <v>1936</v>
      </c>
      <c r="K2158" s="2" t="s">
        <v>360</v>
      </c>
      <c r="L2158" s="3">
        <v>42.85</v>
      </c>
      <c r="M2158" s="3">
        <v>44.99</v>
      </c>
      <c r="N2158" s="3">
        <v>89.99</v>
      </c>
      <c r="O2158" s="2" t="s">
        <v>97</v>
      </c>
      <c r="P2158" s="2" t="s">
        <v>225</v>
      </c>
      <c r="Q2158" s="2" t="s">
        <v>99</v>
      </c>
      <c r="R2158" s="2" t="s">
        <v>100</v>
      </c>
      <c r="S2158" s="2" t="s">
        <v>6937</v>
      </c>
      <c r="T2158" s="2" t="s">
        <v>200</v>
      </c>
      <c r="U2158" s="2" t="s">
        <v>1847</v>
      </c>
      <c r="V2158" s="2" t="s">
        <v>146</v>
      </c>
      <c r="W2158" s="2" t="s">
        <v>183</v>
      </c>
      <c r="X2158" s="2" t="s">
        <v>100</v>
      </c>
      <c r="Y2158" s="2" t="s">
        <v>6925</v>
      </c>
      <c r="Z2158" s="4">
        <v>279</v>
      </c>
      <c r="AA2158" s="4">
        <f>=ROUNDDOWN({0},0)</f>
      </c>
      <c r="AB2158" s="5"/>
      <c r="AC2158" s="2" t="s">
        <v>241</v>
      </c>
      <c r="AD2158" s="4">
        <v>420</v>
      </c>
      <c r="AE2158" s="4">
        <v>420</v>
      </c>
      <c r="AF2158" s="6">
        <v>66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1</v>
      </c>
      <c r="BK2158" s="8">
        <v>48.59</v>
      </c>
      <c r="BL2158" s="2" t="s">
        <v>3765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2480</v>
      </c>
      <c r="BV2158" s="2" t="s">
        <v>97</v>
      </c>
      <c r="BW2158" s="2" t="s">
        <v>100</v>
      </c>
      <c r="BX2158" s="2" t="s">
        <v>100</v>
      </c>
      <c r="BY2158" s="2" t="s">
        <v>113</v>
      </c>
      <c r="BZ2158" s="2" t="s">
        <v>100</v>
      </c>
    </row>
    <row r="2159">
      <c r="A2159" s="2" t="s">
        <v>6938</v>
      </c>
      <c r="B2159" s="2" t="s">
        <v>5764</v>
      </c>
      <c r="C2159" s="2" t="s">
        <v>6753</v>
      </c>
      <c r="D2159" s="2" t="s">
        <v>5765</v>
      </c>
      <c r="E2159" s="2" t="s">
        <v>5766</v>
      </c>
      <c r="F2159" s="2" t="s">
        <v>6923</v>
      </c>
      <c r="G2159" s="2" t="s">
        <v>6923</v>
      </c>
      <c r="H2159" s="2" t="s">
        <v>6923</v>
      </c>
      <c r="I2159" s="2" t="s">
        <v>5768</v>
      </c>
      <c r="J2159" s="2" t="s">
        <v>717</v>
      </c>
      <c r="K2159" s="2" t="s">
        <v>360</v>
      </c>
      <c r="L2159" s="3">
        <v>47.61</v>
      </c>
      <c r="M2159" s="3">
        <v>49.99</v>
      </c>
      <c r="N2159" s="3">
        <v>99.99</v>
      </c>
      <c r="O2159" s="2" t="s">
        <v>97</v>
      </c>
      <c r="P2159" s="2" t="s">
        <v>225</v>
      </c>
      <c r="Q2159" s="2" t="s">
        <v>99</v>
      </c>
      <c r="R2159" s="2" t="s">
        <v>100</v>
      </c>
      <c r="S2159" s="2" t="s">
        <v>6937</v>
      </c>
      <c r="T2159" s="2" t="s">
        <v>200</v>
      </c>
      <c r="U2159" s="2" t="s">
        <v>1847</v>
      </c>
      <c r="V2159" s="2" t="s">
        <v>146</v>
      </c>
      <c r="W2159" s="2" t="s">
        <v>183</v>
      </c>
      <c r="X2159" s="2" t="s">
        <v>100</v>
      </c>
      <c r="Y2159" s="2" t="s">
        <v>6925</v>
      </c>
      <c r="Z2159" s="4">
        <v>216</v>
      </c>
      <c r="AA2159" s="4">
        <f>=ROUNDDOWN({0},0)</f>
      </c>
      <c r="AB2159" s="5"/>
      <c r="AC2159" s="2" t="s">
        <v>241</v>
      </c>
      <c r="AD2159" s="4">
        <v>885</v>
      </c>
      <c r="AE2159" s="4">
        <v>885</v>
      </c>
      <c r="AF2159" s="6">
        <v>66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4</v>
      </c>
      <c r="BK2159" s="8">
        <v>215.96</v>
      </c>
      <c r="BL2159" s="2" t="s">
        <v>3765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2480</v>
      </c>
      <c r="BV2159" s="2" t="s">
        <v>97</v>
      </c>
      <c r="BW2159" s="2" t="s">
        <v>100</v>
      </c>
      <c r="BX2159" s="2" t="s">
        <v>100</v>
      </c>
      <c r="BY2159" s="2" t="s">
        <v>113</v>
      </c>
      <c r="BZ2159" s="2" t="s">
        <v>100</v>
      </c>
    </row>
    <row r="2160">
      <c r="A2160" s="2" t="s">
        <v>6939</v>
      </c>
      <c r="B2160" s="2" t="s">
        <v>5764</v>
      </c>
      <c r="C2160" s="2" t="s">
        <v>6753</v>
      </c>
      <c r="D2160" s="2" t="s">
        <v>5765</v>
      </c>
      <c r="E2160" s="2" t="s">
        <v>5766</v>
      </c>
      <c r="F2160" s="2" t="s">
        <v>6923</v>
      </c>
      <c r="G2160" s="2" t="s">
        <v>6923</v>
      </c>
      <c r="H2160" s="2" t="s">
        <v>6923</v>
      </c>
      <c r="I2160" s="2" t="s">
        <v>5768</v>
      </c>
      <c r="J2160" s="2" t="s">
        <v>706</v>
      </c>
      <c r="K2160" s="2" t="s">
        <v>360</v>
      </c>
      <c r="L2160" s="3">
        <v>66.66</v>
      </c>
      <c r="M2160" s="3">
        <v>69.99</v>
      </c>
      <c r="N2160" s="3">
        <v>139.99</v>
      </c>
      <c r="O2160" s="2" t="s">
        <v>97</v>
      </c>
      <c r="P2160" s="2" t="s">
        <v>225</v>
      </c>
      <c r="Q2160" s="2" t="s">
        <v>99</v>
      </c>
      <c r="R2160" s="2" t="s">
        <v>100</v>
      </c>
      <c r="S2160" s="2" t="s">
        <v>6937</v>
      </c>
      <c r="T2160" s="2" t="s">
        <v>200</v>
      </c>
      <c r="U2160" s="2" t="s">
        <v>1847</v>
      </c>
      <c r="V2160" s="2" t="s">
        <v>146</v>
      </c>
      <c r="W2160" s="2" t="s">
        <v>183</v>
      </c>
      <c r="X2160" s="2" t="s">
        <v>100</v>
      </c>
      <c r="Y2160" s="2" t="s">
        <v>6925</v>
      </c>
      <c r="Z2160" s="4">
        <v>288</v>
      </c>
      <c r="AA2160" s="4">
        <f>=ROUNDDOWN({0},0)</f>
      </c>
      <c r="AB2160" s="5"/>
      <c r="AC2160" s="2" t="s">
        <v>241</v>
      </c>
      <c r="AD2160" s="4">
        <v>360</v>
      </c>
      <c r="AE2160" s="4">
        <v>360</v>
      </c>
      <c r="AF2160" s="6">
        <v>66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3</v>
      </c>
      <c r="BK2160" s="8">
        <v>224.67</v>
      </c>
      <c r="BL2160" s="2" t="s">
        <v>1212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2480</v>
      </c>
      <c r="BV2160" s="2" t="s">
        <v>97</v>
      </c>
      <c r="BW2160" s="2" t="s">
        <v>100</v>
      </c>
      <c r="BX2160" s="2" t="s">
        <v>100</v>
      </c>
      <c r="BY2160" s="2" t="s">
        <v>113</v>
      </c>
      <c r="BZ2160" s="2" t="s">
        <v>100</v>
      </c>
    </row>
    <row r="2161">
      <c r="A2161" s="2" t="s">
        <v>6940</v>
      </c>
      <c r="B2161" s="2" t="s">
        <v>5764</v>
      </c>
      <c r="C2161" s="2" t="s">
        <v>6753</v>
      </c>
      <c r="D2161" s="2" t="s">
        <v>5765</v>
      </c>
      <c r="E2161" s="2" t="s">
        <v>5766</v>
      </c>
      <c r="F2161" s="2" t="s">
        <v>6923</v>
      </c>
      <c r="G2161" s="2" t="s">
        <v>6923</v>
      </c>
      <c r="H2161" s="2" t="s">
        <v>6923</v>
      </c>
      <c r="I2161" s="2" t="s">
        <v>5768</v>
      </c>
      <c r="J2161" s="2" t="s">
        <v>714</v>
      </c>
      <c r="K2161" s="2" t="s">
        <v>360</v>
      </c>
      <c r="L2161" s="3">
        <v>76.19</v>
      </c>
      <c r="M2161" s="3">
        <v>80</v>
      </c>
      <c r="N2161" s="3">
        <v>159.99</v>
      </c>
      <c r="O2161" s="2" t="s">
        <v>97</v>
      </c>
      <c r="P2161" s="2" t="s">
        <v>225</v>
      </c>
      <c r="Q2161" s="2" t="s">
        <v>99</v>
      </c>
      <c r="R2161" s="2" t="s">
        <v>100</v>
      </c>
      <c r="S2161" s="2" t="s">
        <v>6937</v>
      </c>
      <c r="T2161" s="2" t="s">
        <v>200</v>
      </c>
      <c r="U2161" s="2" t="s">
        <v>1847</v>
      </c>
      <c r="V2161" s="2" t="s">
        <v>146</v>
      </c>
      <c r="W2161" s="2" t="s">
        <v>183</v>
      </c>
      <c r="X2161" s="2" t="s">
        <v>100</v>
      </c>
      <c r="Y2161" s="2" t="s">
        <v>6925</v>
      </c>
      <c r="Z2161" s="4">
        <v>287</v>
      </c>
      <c r="AA2161" s="4">
        <f>=ROUNDDOWN({0},0)</f>
      </c>
      <c r="AB2161" s="5"/>
      <c r="AC2161" s="2" t="s">
        <v>100</v>
      </c>
      <c r="AD2161" s="4"/>
      <c r="AE2161" s="4"/>
      <c r="AF2161" s="6">
        <v>66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2</v>
      </c>
      <c r="BK2161" s="8">
        <v>172.8</v>
      </c>
      <c r="BL2161" s="2" t="s">
        <v>3765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2480</v>
      </c>
      <c r="BV2161" s="2" t="s">
        <v>97</v>
      </c>
      <c r="BW2161" s="2" t="s">
        <v>100</v>
      </c>
      <c r="BX2161" s="2" t="s">
        <v>100</v>
      </c>
      <c r="BY2161" s="2" t="s">
        <v>113</v>
      </c>
      <c r="BZ2161" s="2" t="s">
        <v>100</v>
      </c>
    </row>
    <row r="2162">
      <c r="A2162" s="2" t="s">
        <v>6941</v>
      </c>
      <c r="B2162" s="2" t="s">
        <v>5764</v>
      </c>
      <c r="C2162" s="2" t="s">
        <v>6753</v>
      </c>
      <c r="D2162" s="2" t="s">
        <v>5765</v>
      </c>
      <c r="E2162" s="2" t="s">
        <v>5766</v>
      </c>
      <c r="F2162" s="2" t="s">
        <v>6923</v>
      </c>
      <c r="G2162" s="2" t="s">
        <v>6923</v>
      </c>
      <c r="H2162" s="2" t="s">
        <v>6923</v>
      </c>
      <c r="I2162" s="2" t="s">
        <v>5768</v>
      </c>
      <c r="J2162" s="2" t="s">
        <v>1936</v>
      </c>
      <c r="K2162" s="2" t="s">
        <v>677</v>
      </c>
      <c r="L2162" s="3">
        <v>42.85</v>
      </c>
      <c r="M2162" s="3">
        <v>44.99</v>
      </c>
      <c r="N2162" s="3">
        <v>89.99</v>
      </c>
      <c r="O2162" s="2" t="s">
        <v>97</v>
      </c>
      <c r="P2162" s="2" t="s">
        <v>225</v>
      </c>
      <c r="Q2162" s="2" t="s">
        <v>99</v>
      </c>
      <c r="R2162" s="2" t="s">
        <v>100</v>
      </c>
      <c r="S2162" s="2" t="s">
        <v>6942</v>
      </c>
      <c r="T2162" s="2" t="s">
        <v>200</v>
      </c>
      <c r="U2162" s="2" t="s">
        <v>1847</v>
      </c>
      <c r="V2162" s="2" t="s">
        <v>146</v>
      </c>
      <c r="W2162" s="2" t="s">
        <v>183</v>
      </c>
      <c r="X2162" s="2" t="s">
        <v>100</v>
      </c>
      <c r="Y2162" s="2" t="s">
        <v>6943</v>
      </c>
      <c r="Z2162" s="4">
        <v>236</v>
      </c>
      <c r="AA2162" s="4">
        <f>=ROUNDDOWN({0},0)</f>
      </c>
      <c r="AB2162" s="5"/>
      <c r="AC2162" s="2" t="s">
        <v>100</v>
      </c>
      <c r="AD2162" s="4"/>
      <c r="AE2162" s="4"/>
      <c r="AF2162" s="6">
        <v>66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2</v>
      </c>
      <c r="BK2162" s="8">
        <v>95.83</v>
      </c>
      <c r="BL2162" s="2" t="s">
        <v>1212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2480</v>
      </c>
      <c r="BV2162" s="2" t="s">
        <v>97</v>
      </c>
      <c r="BW2162" s="2" t="s">
        <v>100</v>
      </c>
      <c r="BX2162" s="2" t="s">
        <v>100</v>
      </c>
      <c r="BY2162" s="2" t="s">
        <v>113</v>
      </c>
      <c r="BZ2162" s="2" t="s">
        <v>100</v>
      </c>
    </row>
    <row r="2163">
      <c r="A2163" s="2" t="s">
        <v>6944</v>
      </c>
      <c r="B2163" s="2" t="s">
        <v>5764</v>
      </c>
      <c r="C2163" s="2" t="s">
        <v>6753</v>
      </c>
      <c r="D2163" s="2" t="s">
        <v>5765</v>
      </c>
      <c r="E2163" s="2" t="s">
        <v>5766</v>
      </c>
      <c r="F2163" s="2" t="s">
        <v>6923</v>
      </c>
      <c r="G2163" s="2" t="s">
        <v>6923</v>
      </c>
      <c r="H2163" s="2" t="s">
        <v>6923</v>
      </c>
      <c r="I2163" s="2" t="s">
        <v>5768</v>
      </c>
      <c r="J2163" s="2" t="s">
        <v>717</v>
      </c>
      <c r="K2163" s="2" t="s">
        <v>677</v>
      </c>
      <c r="L2163" s="3">
        <v>47.61</v>
      </c>
      <c r="M2163" s="3">
        <v>49.99</v>
      </c>
      <c r="N2163" s="3">
        <v>99.99</v>
      </c>
      <c r="O2163" s="2" t="s">
        <v>97</v>
      </c>
      <c r="P2163" s="2" t="s">
        <v>225</v>
      </c>
      <c r="Q2163" s="2" t="s">
        <v>99</v>
      </c>
      <c r="R2163" s="2" t="s">
        <v>100</v>
      </c>
      <c r="S2163" s="2" t="s">
        <v>6942</v>
      </c>
      <c r="T2163" s="2" t="s">
        <v>200</v>
      </c>
      <c r="U2163" s="2" t="s">
        <v>1847</v>
      </c>
      <c r="V2163" s="2" t="s">
        <v>146</v>
      </c>
      <c r="W2163" s="2" t="s">
        <v>183</v>
      </c>
      <c r="X2163" s="2" t="s">
        <v>100</v>
      </c>
      <c r="Y2163" s="2" t="s">
        <v>6943</v>
      </c>
      <c r="Z2163" s="4">
        <v>155</v>
      </c>
      <c r="AA2163" s="4">
        <f>=ROUNDDOWN({0},0)</f>
      </c>
      <c r="AB2163" s="5"/>
      <c r="AC2163" s="2" t="s">
        <v>241</v>
      </c>
      <c r="AD2163" s="4">
        <v>165</v>
      </c>
      <c r="AE2163" s="4">
        <v>165</v>
      </c>
      <c r="AF2163" s="6">
        <v>66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2</v>
      </c>
      <c r="BK2163" s="8">
        <v>107.98</v>
      </c>
      <c r="BL2163" s="2" t="s">
        <v>3765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2480</v>
      </c>
      <c r="BV2163" s="2" t="s">
        <v>97</v>
      </c>
      <c r="BW2163" s="2" t="s">
        <v>100</v>
      </c>
      <c r="BX2163" s="2" t="s">
        <v>100</v>
      </c>
      <c r="BY2163" s="2" t="s">
        <v>113</v>
      </c>
      <c r="BZ2163" s="2" t="s">
        <v>100</v>
      </c>
    </row>
    <row r="2164">
      <c r="A2164" s="2" t="s">
        <v>6945</v>
      </c>
      <c r="B2164" s="2" t="s">
        <v>5764</v>
      </c>
      <c r="C2164" s="2" t="s">
        <v>6753</v>
      </c>
      <c r="D2164" s="2" t="s">
        <v>5765</v>
      </c>
      <c r="E2164" s="2" t="s">
        <v>5766</v>
      </c>
      <c r="F2164" s="2" t="s">
        <v>6923</v>
      </c>
      <c r="G2164" s="2" t="s">
        <v>6923</v>
      </c>
      <c r="H2164" s="2" t="s">
        <v>6923</v>
      </c>
      <c r="I2164" s="2" t="s">
        <v>5768</v>
      </c>
      <c r="J2164" s="2" t="s">
        <v>706</v>
      </c>
      <c r="K2164" s="2" t="s">
        <v>677</v>
      </c>
      <c r="L2164" s="3">
        <v>66.66</v>
      </c>
      <c r="M2164" s="3">
        <v>69.99</v>
      </c>
      <c r="N2164" s="3">
        <v>139.99</v>
      </c>
      <c r="O2164" s="2" t="s">
        <v>97</v>
      </c>
      <c r="P2164" s="2" t="s">
        <v>225</v>
      </c>
      <c r="Q2164" s="2" t="s">
        <v>99</v>
      </c>
      <c r="R2164" s="2" t="s">
        <v>100</v>
      </c>
      <c r="S2164" s="2" t="s">
        <v>6942</v>
      </c>
      <c r="T2164" s="2" t="s">
        <v>200</v>
      </c>
      <c r="U2164" s="2" t="s">
        <v>1847</v>
      </c>
      <c r="V2164" s="2" t="s">
        <v>146</v>
      </c>
      <c r="W2164" s="2" t="s">
        <v>183</v>
      </c>
      <c r="X2164" s="2" t="s">
        <v>100</v>
      </c>
      <c r="Y2164" s="2" t="s">
        <v>6943</v>
      </c>
      <c r="Z2164" s="4">
        <v>185</v>
      </c>
      <c r="AA2164" s="4">
        <f>=ROUNDDOWN({0},0)</f>
      </c>
      <c r="AB2164" s="5"/>
      <c r="AC2164" s="2" t="s">
        <v>241</v>
      </c>
      <c r="AD2164" s="4">
        <v>810</v>
      </c>
      <c r="AE2164" s="4">
        <v>810</v>
      </c>
      <c r="AF2164" s="6">
        <v>66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3</v>
      </c>
      <c r="BK2164" s="8">
        <v>226.77</v>
      </c>
      <c r="BL2164" s="2" t="s">
        <v>6929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2480</v>
      </c>
      <c r="BV2164" s="2" t="s">
        <v>97</v>
      </c>
      <c r="BW2164" s="2" t="s">
        <v>100</v>
      </c>
      <c r="BX2164" s="2" t="s">
        <v>100</v>
      </c>
      <c r="BY2164" s="2" t="s">
        <v>113</v>
      </c>
      <c r="BZ2164" s="2" t="s">
        <v>100</v>
      </c>
    </row>
    <row r="2165">
      <c r="A2165" s="2" t="s">
        <v>6946</v>
      </c>
      <c r="B2165" s="2" t="s">
        <v>5764</v>
      </c>
      <c r="C2165" s="2" t="s">
        <v>6753</v>
      </c>
      <c r="D2165" s="2" t="s">
        <v>5765</v>
      </c>
      <c r="E2165" s="2" t="s">
        <v>5766</v>
      </c>
      <c r="F2165" s="2" t="s">
        <v>6923</v>
      </c>
      <c r="G2165" s="2" t="s">
        <v>6923</v>
      </c>
      <c r="H2165" s="2" t="s">
        <v>6923</v>
      </c>
      <c r="I2165" s="2" t="s">
        <v>5768</v>
      </c>
      <c r="J2165" s="2" t="s">
        <v>714</v>
      </c>
      <c r="K2165" s="2" t="s">
        <v>677</v>
      </c>
      <c r="L2165" s="3">
        <v>76.19</v>
      </c>
      <c r="M2165" s="3">
        <v>80</v>
      </c>
      <c r="N2165" s="3">
        <v>159.99</v>
      </c>
      <c r="O2165" s="2" t="s">
        <v>97</v>
      </c>
      <c r="P2165" s="2" t="s">
        <v>225</v>
      </c>
      <c r="Q2165" s="2" t="s">
        <v>99</v>
      </c>
      <c r="R2165" s="2" t="s">
        <v>100</v>
      </c>
      <c r="S2165" s="2" t="s">
        <v>6942</v>
      </c>
      <c r="T2165" s="2" t="s">
        <v>200</v>
      </c>
      <c r="U2165" s="2" t="s">
        <v>1847</v>
      </c>
      <c r="V2165" s="2" t="s">
        <v>146</v>
      </c>
      <c r="W2165" s="2" t="s">
        <v>183</v>
      </c>
      <c r="X2165" s="2" t="s">
        <v>100</v>
      </c>
      <c r="Y2165" s="2" t="s">
        <v>6925</v>
      </c>
      <c r="Z2165" s="4">
        <v>328</v>
      </c>
      <c r="AA2165" s="4">
        <f>=ROUNDDOWN({0},0)</f>
      </c>
      <c r="AB2165" s="5"/>
      <c r="AC2165" s="2" t="s">
        <v>100</v>
      </c>
      <c r="AD2165" s="4"/>
      <c r="AE2165" s="4"/>
      <c r="AF2165" s="6">
        <v>66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1</v>
      </c>
      <c r="BK2165" s="8">
        <v>86.4</v>
      </c>
      <c r="BL2165" s="2" t="s">
        <v>6926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2480</v>
      </c>
      <c r="BV2165" s="2" t="s">
        <v>97</v>
      </c>
      <c r="BW2165" s="2" t="s">
        <v>100</v>
      </c>
      <c r="BX2165" s="2" t="s">
        <v>100</v>
      </c>
      <c r="BY2165" s="2" t="s">
        <v>113</v>
      </c>
      <c r="BZ2165" s="2" t="s">
        <v>100</v>
      </c>
    </row>
    <row r="2166">
      <c r="A2166" s="2" t="s">
        <v>6947</v>
      </c>
      <c r="B2166" s="2" t="s">
        <v>5764</v>
      </c>
      <c r="C2166" s="2" t="s">
        <v>6753</v>
      </c>
      <c r="D2166" s="2" t="s">
        <v>5765</v>
      </c>
      <c r="E2166" s="2" t="s">
        <v>5766</v>
      </c>
      <c r="F2166" s="2" t="s">
        <v>6923</v>
      </c>
      <c r="G2166" s="2" t="s">
        <v>6923</v>
      </c>
      <c r="H2166" s="2" t="s">
        <v>6923</v>
      </c>
      <c r="I2166" s="2" t="s">
        <v>5768</v>
      </c>
      <c r="J2166" s="2" t="s">
        <v>1936</v>
      </c>
      <c r="K2166" s="2" t="s">
        <v>3038</v>
      </c>
      <c r="L2166" s="3">
        <v>42.85</v>
      </c>
      <c r="M2166" s="3">
        <v>44.99</v>
      </c>
      <c r="N2166" s="3">
        <v>89.99</v>
      </c>
      <c r="O2166" s="2" t="s">
        <v>97</v>
      </c>
      <c r="P2166" s="2" t="s">
        <v>225</v>
      </c>
      <c r="Q2166" s="2" t="s">
        <v>99</v>
      </c>
      <c r="R2166" s="2" t="s">
        <v>100</v>
      </c>
      <c r="S2166" s="2" t="s">
        <v>6948</v>
      </c>
      <c r="T2166" s="2" t="s">
        <v>200</v>
      </c>
      <c r="U2166" s="2" t="s">
        <v>1847</v>
      </c>
      <c r="V2166" s="2" t="s">
        <v>146</v>
      </c>
      <c r="W2166" s="2" t="s">
        <v>183</v>
      </c>
      <c r="X2166" s="2" t="s">
        <v>100</v>
      </c>
      <c r="Y2166" s="2" t="s">
        <v>6925</v>
      </c>
      <c r="Z2166" s="4">
        <v>169</v>
      </c>
      <c r="AA2166" s="4">
        <f>=ROUNDDOWN({0},0)</f>
      </c>
      <c r="AB2166" s="5"/>
      <c r="AC2166" s="2" t="s">
        <v>241</v>
      </c>
      <c r="AD2166" s="4">
        <v>435</v>
      </c>
      <c r="AE2166" s="4">
        <v>435</v>
      </c>
      <c r="AF2166" s="6">
        <v>66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2</v>
      </c>
      <c r="BK2166" s="8">
        <v>97.18</v>
      </c>
      <c r="BL2166" s="2" t="s">
        <v>6929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2480</v>
      </c>
      <c r="BV2166" s="2" t="s">
        <v>97</v>
      </c>
      <c r="BW2166" s="2" t="s">
        <v>100</v>
      </c>
      <c r="BX2166" s="2" t="s">
        <v>100</v>
      </c>
      <c r="BY2166" s="2" t="s">
        <v>113</v>
      </c>
      <c r="BZ2166" s="2" t="s">
        <v>100</v>
      </c>
    </row>
    <row r="2167">
      <c r="A2167" s="2" t="s">
        <v>6949</v>
      </c>
      <c r="B2167" s="2" t="s">
        <v>5764</v>
      </c>
      <c r="C2167" s="2" t="s">
        <v>6753</v>
      </c>
      <c r="D2167" s="2" t="s">
        <v>5765</v>
      </c>
      <c r="E2167" s="2" t="s">
        <v>5766</v>
      </c>
      <c r="F2167" s="2" t="s">
        <v>6923</v>
      </c>
      <c r="G2167" s="2" t="s">
        <v>6923</v>
      </c>
      <c r="H2167" s="2" t="s">
        <v>6923</v>
      </c>
      <c r="I2167" s="2" t="s">
        <v>5768</v>
      </c>
      <c r="J2167" s="2" t="s">
        <v>717</v>
      </c>
      <c r="K2167" s="2" t="s">
        <v>3038</v>
      </c>
      <c r="L2167" s="3">
        <v>47.61</v>
      </c>
      <c r="M2167" s="3">
        <v>49.99</v>
      </c>
      <c r="N2167" s="3">
        <v>99.99</v>
      </c>
      <c r="O2167" s="2" t="s">
        <v>97</v>
      </c>
      <c r="P2167" s="2" t="s">
        <v>225</v>
      </c>
      <c r="Q2167" s="2" t="s">
        <v>99</v>
      </c>
      <c r="R2167" s="2" t="s">
        <v>100</v>
      </c>
      <c r="S2167" s="2" t="s">
        <v>6948</v>
      </c>
      <c r="T2167" s="2" t="s">
        <v>200</v>
      </c>
      <c r="U2167" s="2" t="s">
        <v>1847</v>
      </c>
      <c r="V2167" s="2" t="s">
        <v>146</v>
      </c>
      <c r="W2167" s="2" t="s">
        <v>183</v>
      </c>
      <c r="X2167" s="2" t="s">
        <v>100</v>
      </c>
      <c r="Y2167" s="2" t="s">
        <v>6925</v>
      </c>
      <c r="Z2167" s="4">
        <v>165</v>
      </c>
      <c r="AA2167" s="4">
        <f>=ROUNDDOWN({0},0)</f>
      </c>
      <c r="AB2167" s="5"/>
      <c r="AC2167" s="2" t="s">
        <v>241</v>
      </c>
      <c r="AD2167" s="4">
        <v>255</v>
      </c>
      <c r="AE2167" s="4">
        <v>255</v>
      </c>
      <c r="AF2167" s="6">
        <v>66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4</v>
      </c>
      <c r="BK2167" s="8">
        <v>211.96</v>
      </c>
      <c r="BL2167" s="2" t="s">
        <v>6950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2480</v>
      </c>
      <c r="BV2167" s="2" t="s">
        <v>97</v>
      </c>
      <c r="BW2167" s="2" t="s">
        <v>100</v>
      </c>
      <c r="BX2167" s="2" t="s">
        <v>100</v>
      </c>
      <c r="BY2167" s="2" t="s">
        <v>113</v>
      </c>
      <c r="BZ2167" s="2" t="s">
        <v>100</v>
      </c>
    </row>
    <row r="2168">
      <c r="A2168" s="2" t="s">
        <v>6951</v>
      </c>
      <c r="B2168" s="2" t="s">
        <v>5764</v>
      </c>
      <c r="C2168" s="2" t="s">
        <v>6753</v>
      </c>
      <c r="D2168" s="2" t="s">
        <v>5765</v>
      </c>
      <c r="E2168" s="2" t="s">
        <v>5766</v>
      </c>
      <c r="F2168" s="2" t="s">
        <v>6923</v>
      </c>
      <c r="G2168" s="2" t="s">
        <v>6923</v>
      </c>
      <c r="H2168" s="2" t="s">
        <v>6923</v>
      </c>
      <c r="I2168" s="2" t="s">
        <v>5768</v>
      </c>
      <c r="J2168" s="2" t="s">
        <v>706</v>
      </c>
      <c r="K2168" s="2" t="s">
        <v>3038</v>
      </c>
      <c r="L2168" s="3">
        <v>66.66</v>
      </c>
      <c r="M2168" s="3">
        <v>69.99</v>
      </c>
      <c r="N2168" s="3">
        <v>139.99</v>
      </c>
      <c r="O2168" s="2" t="s">
        <v>97</v>
      </c>
      <c r="P2168" s="2" t="s">
        <v>225</v>
      </c>
      <c r="Q2168" s="2" t="s">
        <v>99</v>
      </c>
      <c r="R2168" s="2" t="s">
        <v>100</v>
      </c>
      <c r="S2168" s="2" t="s">
        <v>6948</v>
      </c>
      <c r="T2168" s="2" t="s">
        <v>200</v>
      </c>
      <c r="U2168" s="2" t="s">
        <v>1847</v>
      </c>
      <c r="V2168" s="2" t="s">
        <v>146</v>
      </c>
      <c r="W2168" s="2" t="s">
        <v>183</v>
      </c>
      <c r="X2168" s="2" t="s">
        <v>100</v>
      </c>
      <c r="Y2168" s="2" t="s">
        <v>6943</v>
      </c>
      <c r="Z2168" s="4">
        <v>198</v>
      </c>
      <c r="AA2168" s="4">
        <f>=ROUNDDOWN({0},0)</f>
      </c>
      <c r="AB2168" s="5"/>
      <c r="AC2168" s="2" t="s">
        <v>241</v>
      </c>
      <c r="AD2168" s="4">
        <v>255</v>
      </c>
      <c r="AE2168" s="4">
        <v>255</v>
      </c>
      <c r="AF2168" s="6">
        <v>66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2</v>
      </c>
      <c r="BK2168" s="8">
        <v>151.18</v>
      </c>
      <c r="BL2168" s="2" t="s">
        <v>3765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2480</v>
      </c>
      <c r="BV2168" s="2" t="s">
        <v>97</v>
      </c>
      <c r="BW2168" s="2" t="s">
        <v>100</v>
      </c>
      <c r="BX2168" s="2" t="s">
        <v>100</v>
      </c>
      <c r="BY2168" s="2" t="s">
        <v>113</v>
      </c>
      <c r="BZ2168" s="2" t="s">
        <v>100</v>
      </c>
    </row>
    <row r="2169">
      <c r="A2169" s="2" t="s">
        <v>6952</v>
      </c>
      <c r="B2169" s="2" t="s">
        <v>5764</v>
      </c>
      <c r="C2169" s="2" t="s">
        <v>6753</v>
      </c>
      <c r="D2169" s="2" t="s">
        <v>5765</v>
      </c>
      <c r="E2169" s="2" t="s">
        <v>5766</v>
      </c>
      <c r="F2169" s="2" t="s">
        <v>6923</v>
      </c>
      <c r="G2169" s="2" t="s">
        <v>6923</v>
      </c>
      <c r="H2169" s="2" t="s">
        <v>6923</v>
      </c>
      <c r="I2169" s="2" t="s">
        <v>5768</v>
      </c>
      <c r="J2169" s="2" t="s">
        <v>714</v>
      </c>
      <c r="K2169" s="2" t="s">
        <v>3038</v>
      </c>
      <c r="L2169" s="3">
        <v>76.19</v>
      </c>
      <c r="M2169" s="3">
        <v>80</v>
      </c>
      <c r="N2169" s="3">
        <v>159.99</v>
      </c>
      <c r="O2169" s="2" t="s">
        <v>97</v>
      </c>
      <c r="P2169" s="2" t="s">
        <v>225</v>
      </c>
      <c r="Q2169" s="2" t="s">
        <v>99</v>
      </c>
      <c r="R2169" s="2" t="s">
        <v>100</v>
      </c>
      <c r="S2169" s="2" t="s">
        <v>6948</v>
      </c>
      <c r="T2169" s="2" t="s">
        <v>200</v>
      </c>
      <c r="U2169" s="2" t="s">
        <v>1847</v>
      </c>
      <c r="V2169" s="2" t="s">
        <v>146</v>
      </c>
      <c r="W2169" s="2" t="s">
        <v>183</v>
      </c>
      <c r="X2169" s="2" t="s">
        <v>100</v>
      </c>
      <c r="Y2169" s="2" t="s">
        <v>6943</v>
      </c>
      <c r="Z2169" s="4">
        <v>99</v>
      </c>
      <c r="AA2169" s="4">
        <f>=ROUNDDOWN({0},0)</f>
      </c>
      <c r="AB2169" s="5"/>
      <c r="AC2169" s="2" t="s">
        <v>241</v>
      </c>
      <c r="AD2169" s="4">
        <v>975</v>
      </c>
      <c r="AE2169" s="4">
        <v>975</v>
      </c>
      <c r="AF2169" s="6">
        <v>66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5</v>
      </c>
      <c r="BK2169" s="8">
        <v>427.2</v>
      </c>
      <c r="BL2169" s="2" t="s">
        <v>1212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2480</v>
      </c>
      <c r="BV2169" s="2" t="s">
        <v>97</v>
      </c>
      <c r="BW2169" s="2" t="s">
        <v>100</v>
      </c>
      <c r="BX2169" s="2" t="s">
        <v>100</v>
      </c>
      <c r="BY2169" s="2" t="s">
        <v>113</v>
      </c>
      <c r="BZ2169" s="2" t="s">
        <v>100</v>
      </c>
    </row>
    <row r="2170">
      <c r="A2170" s="2" t="s">
        <v>6953</v>
      </c>
      <c r="B2170" s="2" t="s">
        <v>5764</v>
      </c>
      <c r="C2170" s="2" t="s">
        <v>6753</v>
      </c>
      <c r="D2170" s="2" t="s">
        <v>5765</v>
      </c>
      <c r="E2170" s="2" t="s">
        <v>6018</v>
      </c>
      <c r="F2170" s="2" t="s">
        <v>6954</v>
      </c>
      <c r="G2170" s="2" t="s">
        <v>6955</v>
      </c>
      <c r="H2170" s="2" t="s">
        <v>6955</v>
      </c>
      <c r="I2170" s="2" t="s">
        <v>6956</v>
      </c>
      <c r="J2170" s="2" t="s">
        <v>5024</v>
      </c>
      <c r="K2170" s="2" t="s">
        <v>189</v>
      </c>
      <c r="L2170" s="3">
        <v>36.17</v>
      </c>
      <c r="M2170" s="3">
        <v>37.98</v>
      </c>
      <c r="N2170" s="3">
        <v>79.99</v>
      </c>
      <c r="O2170" s="2" t="s">
        <v>97</v>
      </c>
      <c r="P2170" s="2" t="s">
        <v>119</v>
      </c>
      <c r="Q2170" s="2" t="s">
        <v>99</v>
      </c>
      <c r="R2170" s="2" t="s">
        <v>100</v>
      </c>
      <c r="S2170" s="2" t="s">
        <v>100</v>
      </c>
      <c r="T2170" s="2" t="s">
        <v>6072</v>
      </c>
      <c r="U2170" s="2" t="s">
        <v>1847</v>
      </c>
      <c r="V2170" s="2" t="s">
        <v>146</v>
      </c>
      <c r="W2170" s="2" t="s">
        <v>673</v>
      </c>
      <c r="X2170" s="2" t="s">
        <v>183</v>
      </c>
      <c r="Y2170" s="2" t="s">
        <v>6773</v>
      </c>
      <c r="Z2170" s="4">
        <v>799</v>
      </c>
      <c r="AA2170" s="4">
        <f>=ROUNDDOWN(49.9375,0)</f>
      </c>
      <c r="AB2170" s="5">
        <v>16</v>
      </c>
      <c r="AC2170" s="2" t="s">
        <v>282</v>
      </c>
      <c r="AD2170" s="4">
        <v>260</v>
      </c>
      <c r="AE2170" s="4">
        <v>360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>
        <v>16</v>
      </c>
      <c r="AQ2170" s="8">
        <v>606.08</v>
      </c>
      <c r="AR2170" s="4"/>
      <c r="AS2170" s="8"/>
      <c r="AT2170" s="7"/>
      <c r="AU2170" s="7"/>
      <c r="AV2170" s="4">
        <v>16</v>
      </c>
      <c r="AW2170" s="8">
        <v>606.08</v>
      </c>
      <c r="AX2170" s="4"/>
      <c r="AY2170" s="8"/>
      <c r="AZ2170" s="7"/>
      <c r="BA2170" s="7"/>
      <c r="BB2170" s="7">
        <v>1</v>
      </c>
      <c r="BC2170" s="4">
        <v>17</v>
      </c>
      <c r="BD2170" s="8">
        <v>643.96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0.9412</v>
      </c>
      <c r="BJ2170" s="4">
        <v>163</v>
      </c>
      <c r="BK2170" s="8">
        <v>6238.07</v>
      </c>
      <c r="BL2170" s="2" t="s">
        <v>6957</v>
      </c>
      <c r="BM2170" s="7">
        <v>0.0982</v>
      </c>
      <c r="BN2170" s="7">
        <v>0.0972</v>
      </c>
      <c r="BO2170" s="4">
        <v>16</v>
      </c>
      <c r="BP2170" s="8">
        <v>606.08</v>
      </c>
      <c r="BQ2170" s="4"/>
      <c r="BR2170" s="8"/>
      <c r="BS2170" s="7"/>
      <c r="BT2170" s="7"/>
      <c r="BU2170" s="2" t="s">
        <v>109</v>
      </c>
      <c r="BV2170" s="2" t="s">
        <v>110</v>
      </c>
      <c r="BW2170" s="2" t="s">
        <v>6757</v>
      </c>
      <c r="BX2170" s="2" t="s">
        <v>6958</v>
      </c>
      <c r="BY2170" s="2" t="s">
        <v>113</v>
      </c>
      <c r="BZ2170" s="2" t="s">
        <v>100</v>
      </c>
    </row>
    <row r="2171">
      <c r="A2171" s="2" t="s">
        <v>6959</v>
      </c>
      <c r="B2171" s="2" t="s">
        <v>5764</v>
      </c>
      <c r="C2171" s="2" t="s">
        <v>6753</v>
      </c>
      <c r="D2171" s="2" t="s">
        <v>5765</v>
      </c>
      <c r="E2171" s="2" t="s">
        <v>6018</v>
      </c>
      <c r="F2171" s="2" t="s">
        <v>6954</v>
      </c>
      <c r="G2171" s="2" t="s">
        <v>6955</v>
      </c>
      <c r="H2171" s="2" t="s">
        <v>6955</v>
      </c>
      <c r="I2171" s="2" t="s">
        <v>6956</v>
      </c>
      <c r="J2171" s="2" t="s">
        <v>5024</v>
      </c>
      <c r="K2171" s="2" t="s">
        <v>432</v>
      </c>
      <c r="L2171" s="3">
        <v>36.17</v>
      </c>
      <c r="M2171" s="3">
        <v>37.98</v>
      </c>
      <c r="N2171" s="3">
        <v>79.99</v>
      </c>
      <c r="O2171" s="2" t="s">
        <v>97</v>
      </c>
      <c r="P2171" s="2" t="s">
        <v>950</v>
      </c>
      <c r="Q2171" s="2" t="s">
        <v>99</v>
      </c>
      <c r="R2171" s="2" t="s">
        <v>100</v>
      </c>
      <c r="S2171" s="2" t="s">
        <v>100</v>
      </c>
      <c r="T2171" s="2" t="s">
        <v>6072</v>
      </c>
      <c r="U2171" s="2" t="s">
        <v>1847</v>
      </c>
      <c r="V2171" s="2" t="s">
        <v>146</v>
      </c>
      <c r="W2171" s="2" t="s">
        <v>673</v>
      </c>
      <c r="X2171" s="2" t="s">
        <v>183</v>
      </c>
      <c r="Y2171" s="2" t="s">
        <v>6773</v>
      </c>
      <c r="Z2171" s="4">
        <v>1287</v>
      </c>
      <c r="AA2171" s="4">
        <f>=ROUNDDOWN(27.9782608695652,0)</f>
      </c>
      <c r="AB2171" s="5">
        <v>46</v>
      </c>
      <c r="AC2171" s="2" t="s">
        <v>282</v>
      </c>
      <c r="AD2171" s="4">
        <v>350</v>
      </c>
      <c r="AE2171" s="4">
        <v>570</v>
      </c>
      <c r="AF2171" s="6">
        <v>65</v>
      </c>
      <c r="AG2171" s="6"/>
      <c r="AH2171" s="7">
        <v>0.9358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>
        <v>1</v>
      </c>
      <c r="AQ2171" s="8">
        <v>37.88</v>
      </c>
      <c r="AR2171" s="4"/>
      <c r="AS2171" s="8"/>
      <c r="AT2171" s="7"/>
      <c r="AU2171" s="7"/>
      <c r="AV2171" s="4">
        <v>1</v>
      </c>
      <c r="AW2171" s="8">
        <v>37.88</v>
      </c>
      <c r="AX2171" s="4"/>
      <c r="AY2171" s="8"/>
      <c r="AZ2171" s="7"/>
      <c r="BA2171" s="7"/>
      <c r="BB2171" s="7">
        <v>1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>
        <v>0.0588</v>
      </c>
      <c r="BJ2171" s="4">
        <v>294</v>
      </c>
      <c r="BK2171" s="8">
        <v>11377.33</v>
      </c>
      <c r="BL2171" s="2" t="s">
        <v>6960</v>
      </c>
      <c r="BM2171" s="7">
        <v>0.0034</v>
      </c>
      <c r="BN2171" s="7">
        <v>0.0033</v>
      </c>
      <c r="BO2171" s="4">
        <v>1</v>
      </c>
      <c r="BP2171" s="8">
        <v>37.88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6757</v>
      </c>
      <c r="BX2171" s="2" t="s">
        <v>4352</v>
      </c>
      <c r="BY2171" s="2" t="s">
        <v>113</v>
      </c>
      <c r="BZ2171" s="2" t="s">
        <v>100</v>
      </c>
    </row>
    <row r="2172">
      <c r="A2172" s="2" t="s">
        <v>6961</v>
      </c>
      <c r="B2172" s="2" t="s">
        <v>5764</v>
      </c>
      <c r="C2172" s="2" t="s">
        <v>6753</v>
      </c>
      <c r="D2172" s="2" t="s">
        <v>5765</v>
      </c>
      <c r="E2172" s="2" t="s">
        <v>6018</v>
      </c>
      <c r="F2172" s="2" t="s">
        <v>6954</v>
      </c>
      <c r="G2172" s="2" t="s">
        <v>6955</v>
      </c>
      <c r="H2172" s="2" t="s">
        <v>6955</v>
      </c>
      <c r="I2172" s="2" t="s">
        <v>6956</v>
      </c>
      <c r="J2172" s="2" t="s">
        <v>5024</v>
      </c>
      <c r="K2172" s="2" t="s">
        <v>335</v>
      </c>
      <c r="L2172" s="3">
        <v>36.17</v>
      </c>
      <c r="M2172" s="3">
        <v>37.98</v>
      </c>
      <c r="N2172" s="3">
        <v>79.99</v>
      </c>
      <c r="O2172" s="2" t="s">
        <v>97</v>
      </c>
      <c r="P2172" s="2" t="s">
        <v>119</v>
      </c>
      <c r="Q2172" s="2" t="s">
        <v>99</v>
      </c>
      <c r="R2172" s="2" t="s">
        <v>100</v>
      </c>
      <c r="S2172" s="2" t="s">
        <v>100</v>
      </c>
      <c r="T2172" s="2" t="s">
        <v>6072</v>
      </c>
      <c r="U2172" s="2" t="s">
        <v>1847</v>
      </c>
      <c r="V2172" s="2" t="s">
        <v>146</v>
      </c>
      <c r="W2172" s="2" t="s">
        <v>673</v>
      </c>
      <c r="X2172" s="2" t="s">
        <v>183</v>
      </c>
      <c r="Y2172" s="2" t="s">
        <v>6773</v>
      </c>
      <c r="Z2172" s="4">
        <v>962</v>
      </c>
      <c r="AA2172" s="4">
        <f>=ROUNDDOWN(68.7142857142857,0)</f>
      </c>
      <c r="AB2172" s="5">
        <v>14</v>
      </c>
      <c r="AC2172" s="2" t="s">
        <v>282</v>
      </c>
      <c r="AD2172" s="4">
        <v>300</v>
      </c>
      <c r="AE2172" s="4">
        <v>380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103</v>
      </c>
      <c r="BK2172" s="8">
        <v>3944.57</v>
      </c>
      <c r="BL2172" s="2" t="s">
        <v>6962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6757</v>
      </c>
      <c r="BX2172" s="2" t="s">
        <v>4352</v>
      </c>
      <c r="BY2172" s="2" t="s">
        <v>113</v>
      </c>
      <c r="BZ2172" s="2" t="s">
        <v>100</v>
      </c>
    </row>
    <row r="2173">
      <c r="A2173" s="2" t="s">
        <v>6963</v>
      </c>
      <c r="B2173" s="2" t="s">
        <v>5764</v>
      </c>
      <c r="C2173" s="2" t="s">
        <v>6753</v>
      </c>
      <c r="D2173" s="2" t="s">
        <v>5765</v>
      </c>
      <c r="E2173" s="2" t="s">
        <v>6018</v>
      </c>
      <c r="F2173" s="2" t="s">
        <v>6954</v>
      </c>
      <c r="G2173" s="2" t="s">
        <v>6955</v>
      </c>
      <c r="H2173" s="2" t="s">
        <v>6955</v>
      </c>
      <c r="I2173" s="2" t="s">
        <v>6956</v>
      </c>
      <c r="J2173" s="2" t="s">
        <v>5024</v>
      </c>
      <c r="K2173" s="2" t="s">
        <v>198</v>
      </c>
      <c r="L2173" s="3">
        <v>36.17</v>
      </c>
      <c r="M2173" s="3">
        <v>37.98</v>
      </c>
      <c r="N2173" s="3">
        <v>79.99</v>
      </c>
      <c r="O2173" s="2" t="s">
        <v>97</v>
      </c>
      <c r="P2173" s="2" t="s">
        <v>119</v>
      </c>
      <c r="Q2173" s="2" t="s">
        <v>99</v>
      </c>
      <c r="R2173" s="2" t="s">
        <v>100</v>
      </c>
      <c r="S2173" s="2" t="s">
        <v>100</v>
      </c>
      <c r="T2173" s="2" t="s">
        <v>6072</v>
      </c>
      <c r="U2173" s="2" t="s">
        <v>1847</v>
      </c>
      <c r="V2173" s="2" t="s">
        <v>146</v>
      </c>
      <c r="W2173" s="2" t="s">
        <v>673</v>
      </c>
      <c r="X2173" s="2" t="s">
        <v>183</v>
      </c>
      <c r="Y2173" s="2" t="s">
        <v>6773</v>
      </c>
      <c r="Z2173" s="4">
        <v>1140</v>
      </c>
      <c r="AA2173" s="4">
        <f>=ROUNDDOWN(43.8461538461538,0)</f>
      </c>
      <c r="AB2173" s="5">
        <v>26</v>
      </c>
      <c r="AC2173" s="2" t="s">
        <v>282</v>
      </c>
      <c r="AD2173" s="4">
        <v>300</v>
      </c>
      <c r="AE2173" s="4">
        <v>423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152</v>
      </c>
      <c r="BK2173" s="8">
        <v>5942.13</v>
      </c>
      <c r="BL2173" s="2" t="s">
        <v>6964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6757</v>
      </c>
      <c r="BX2173" s="2" t="s">
        <v>6825</v>
      </c>
      <c r="BY2173" s="2" t="s">
        <v>113</v>
      </c>
      <c r="BZ2173" s="2" t="s">
        <v>100</v>
      </c>
    </row>
    <row r="2174">
      <c r="A2174" s="2" t="s">
        <v>6965</v>
      </c>
      <c r="B2174" s="2" t="s">
        <v>5764</v>
      </c>
      <c r="C2174" s="2" t="s">
        <v>6753</v>
      </c>
      <c r="D2174" s="2" t="s">
        <v>5765</v>
      </c>
      <c r="E2174" s="2" t="s">
        <v>6018</v>
      </c>
      <c r="F2174" s="2" t="s">
        <v>6796</v>
      </c>
      <c r="G2174" s="2" t="s">
        <v>6796</v>
      </c>
      <c r="H2174" s="2" t="s">
        <v>6796</v>
      </c>
      <c r="I2174" s="2" t="s">
        <v>6020</v>
      </c>
      <c r="J2174" s="2" t="s">
        <v>5024</v>
      </c>
      <c r="K2174" s="2" t="s">
        <v>718</v>
      </c>
      <c r="L2174" s="3">
        <v>33.38</v>
      </c>
      <c r="M2174" s="3">
        <v>35.05</v>
      </c>
      <c r="N2174" s="3">
        <v>71.99</v>
      </c>
      <c r="O2174" s="2" t="s">
        <v>97</v>
      </c>
      <c r="P2174" s="2" t="s">
        <v>119</v>
      </c>
      <c r="Q2174" s="2" t="s">
        <v>99</v>
      </c>
      <c r="R2174" s="2" t="s">
        <v>100</v>
      </c>
      <c r="S2174" s="2" t="s">
        <v>100</v>
      </c>
      <c r="T2174" s="2" t="s">
        <v>4441</v>
      </c>
      <c r="U2174" s="2" t="s">
        <v>1847</v>
      </c>
      <c r="V2174" s="2" t="s">
        <v>146</v>
      </c>
      <c r="W2174" s="2" t="s">
        <v>183</v>
      </c>
      <c r="X2174" s="2" t="s">
        <v>100</v>
      </c>
      <c r="Y2174" s="2" t="s">
        <v>6755</v>
      </c>
      <c r="Z2174" s="4">
        <v>1191</v>
      </c>
      <c r="AA2174" s="4">
        <f>=ROUNDDOWN(51.7826086956522,0)</f>
      </c>
      <c r="AB2174" s="5">
        <v>23</v>
      </c>
      <c r="AC2174" s="2" t="s">
        <v>282</v>
      </c>
      <c r="AD2174" s="4">
        <v>350</v>
      </c>
      <c r="AE2174" s="4">
        <v>470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>
        <v>5</v>
      </c>
      <c r="AQ2174" s="8">
        <v>174.85</v>
      </c>
      <c r="AR2174" s="4"/>
      <c r="AS2174" s="8"/>
      <c r="AT2174" s="7"/>
      <c r="AU2174" s="7"/>
      <c r="AV2174" s="4">
        <v>5</v>
      </c>
      <c r="AW2174" s="8">
        <v>174.85</v>
      </c>
      <c r="AX2174" s="4"/>
      <c r="AY2174" s="8"/>
      <c r="AZ2174" s="7"/>
      <c r="BA2174" s="7"/>
      <c r="BB2174" s="7">
        <v>1</v>
      </c>
      <c r="BC2174" s="4">
        <v>5</v>
      </c>
      <c r="BD2174" s="8">
        <v>174.85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1</v>
      </c>
      <c r="BJ2174" s="4">
        <v>91</v>
      </c>
      <c r="BK2174" s="8">
        <v>3292.63</v>
      </c>
      <c r="BL2174" s="2" t="s">
        <v>6810</v>
      </c>
      <c r="BM2174" s="7">
        <v>0.0549</v>
      </c>
      <c r="BN2174" s="7">
        <v>0.0531</v>
      </c>
      <c r="BO2174" s="4">
        <v>5</v>
      </c>
      <c r="BP2174" s="8">
        <v>174.85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6757</v>
      </c>
      <c r="BX2174" s="2" t="s">
        <v>6966</v>
      </c>
      <c r="BY2174" s="2" t="s">
        <v>113</v>
      </c>
      <c r="BZ2174" s="2" t="s">
        <v>100</v>
      </c>
    </row>
    <row r="2175">
      <c r="A2175" s="2" t="s">
        <v>6967</v>
      </c>
      <c r="B2175" s="2" t="s">
        <v>5764</v>
      </c>
      <c r="C2175" s="2" t="s">
        <v>6753</v>
      </c>
      <c r="D2175" s="2" t="s">
        <v>5765</v>
      </c>
      <c r="E2175" s="2" t="s">
        <v>6018</v>
      </c>
      <c r="F2175" s="2" t="s">
        <v>6796</v>
      </c>
      <c r="G2175" s="2" t="s">
        <v>6796</v>
      </c>
      <c r="H2175" s="2" t="s">
        <v>6796</v>
      </c>
      <c r="I2175" s="2" t="s">
        <v>6020</v>
      </c>
      <c r="J2175" s="2" t="s">
        <v>5024</v>
      </c>
      <c r="K2175" s="2" t="s">
        <v>878</v>
      </c>
      <c r="L2175" s="3">
        <v>33.38</v>
      </c>
      <c r="M2175" s="3">
        <v>35.05</v>
      </c>
      <c r="N2175" s="3">
        <v>71.99</v>
      </c>
      <c r="O2175" s="2" t="s">
        <v>97</v>
      </c>
      <c r="P2175" s="2" t="s">
        <v>119</v>
      </c>
      <c r="Q2175" s="2" t="s">
        <v>99</v>
      </c>
      <c r="R2175" s="2" t="s">
        <v>100</v>
      </c>
      <c r="S2175" s="2" t="s">
        <v>100</v>
      </c>
      <c r="T2175" s="2" t="s">
        <v>4441</v>
      </c>
      <c r="U2175" s="2" t="s">
        <v>1847</v>
      </c>
      <c r="V2175" s="2" t="s">
        <v>146</v>
      </c>
      <c r="W2175" s="2" t="s">
        <v>183</v>
      </c>
      <c r="X2175" s="2" t="s">
        <v>100</v>
      </c>
      <c r="Y2175" s="2" t="s">
        <v>6755</v>
      </c>
      <c r="Z2175" s="4">
        <v>506</v>
      </c>
      <c r="AA2175" s="4">
        <f>=ROUNDDOWN(38.9230769230769,0)</f>
      </c>
      <c r="AB2175" s="5">
        <v>13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74</v>
      </c>
      <c r="BK2175" s="8">
        <v>2676.81</v>
      </c>
      <c r="BL2175" s="2" t="s">
        <v>6817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6757</v>
      </c>
      <c r="BX2175" s="2" t="s">
        <v>4352</v>
      </c>
      <c r="BY2175" s="2" t="s">
        <v>113</v>
      </c>
      <c r="BZ2175" s="2" t="s">
        <v>100</v>
      </c>
    </row>
    <row r="2176">
      <c r="A2176" s="2" t="s">
        <v>6968</v>
      </c>
      <c r="B2176" s="2" t="s">
        <v>5764</v>
      </c>
      <c r="C2176" s="2" t="s">
        <v>6753</v>
      </c>
      <c r="D2176" s="2" t="s">
        <v>5765</v>
      </c>
      <c r="E2176" s="2" t="s">
        <v>6018</v>
      </c>
      <c r="F2176" s="2" t="s">
        <v>6796</v>
      </c>
      <c r="G2176" s="2" t="s">
        <v>6796</v>
      </c>
      <c r="H2176" s="2" t="s">
        <v>6796</v>
      </c>
      <c r="I2176" s="2" t="s">
        <v>6020</v>
      </c>
      <c r="J2176" s="2" t="s">
        <v>5024</v>
      </c>
      <c r="K2176" s="2" t="s">
        <v>578</v>
      </c>
      <c r="L2176" s="3">
        <v>33.38</v>
      </c>
      <c r="M2176" s="3">
        <v>35.05</v>
      </c>
      <c r="N2176" s="3">
        <v>71.99</v>
      </c>
      <c r="O2176" s="2" t="s">
        <v>97</v>
      </c>
      <c r="P2176" s="2" t="s">
        <v>119</v>
      </c>
      <c r="Q2176" s="2" t="s">
        <v>99</v>
      </c>
      <c r="R2176" s="2" t="s">
        <v>100</v>
      </c>
      <c r="S2176" s="2" t="s">
        <v>100</v>
      </c>
      <c r="T2176" s="2" t="s">
        <v>4441</v>
      </c>
      <c r="U2176" s="2" t="s">
        <v>1847</v>
      </c>
      <c r="V2176" s="2" t="s">
        <v>146</v>
      </c>
      <c r="W2176" s="2" t="s">
        <v>183</v>
      </c>
      <c r="X2176" s="2" t="s">
        <v>100</v>
      </c>
      <c r="Y2176" s="2" t="s">
        <v>6755</v>
      </c>
      <c r="Z2176" s="4">
        <v>713</v>
      </c>
      <c r="AA2176" s="4">
        <f>=ROUNDDOWN(54.8461538461538,0)</f>
      </c>
      <c r="AB2176" s="5">
        <v>13</v>
      </c>
      <c r="AC2176" s="2" t="s">
        <v>100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72</v>
      </c>
      <c r="BK2176" s="8">
        <v>2617.38</v>
      </c>
      <c r="BL2176" s="2" t="s">
        <v>6969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6757</v>
      </c>
      <c r="BX2176" s="2" t="s">
        <v>2338</v>
      </c>
      <c r="BY2176" s="2" t="s">
        <v>113</v>
      </c>
      <c r="BZ2176" s="2" t="s">
        <v>100</v>
      </c>
    </row>
    <row r="2177">
      <c r="A2177" s="2" t="s">
        <v>6970</v>
      </c>
      <c r="B2177" s="2" t="s">
        <v>5764</v>
      </c>
      <c r="C2177" s="2" t="s">
        <v>6753</v>
      </c>
      <c r="D2177" s="2" t="s">
        <v>5765</v>
      </c>
      <c r="E2177" s="2" t="s">
        <v>6018</v>
      </c>
      <c r="F2177" s="2" t="s">
        <v>6835</v>
      </c>
      <c r="G2177" s="2" t="s">
        <v>6835</v>
      </c>
      <c r="H2177" s="2" t="s">
        <v>6835</v>
      </c>
      <c r="I2177" s="2" t="s">
        <v>6971</v>
      </c>
      <c r="J2177" s="2" t="s">
        <v>5024</v>
      </c>
      <c r="K2177" s="2" t="s">
        <v>765</v>
      </c>
      <c r="L2177" s="3">
        <v>30.02</v>
      </c>
      <c r="M2177" s="3">
        <v>31.52</v>
      </c>
      <c r="N2177" s="3">
        <v>64.99</v>
      </c>
      <c r="O2177" s="2" t="s">
        <v>97</v>
      </c>
      <c r="P2177" s="2" t="s">
        <v>119</v>
      </c>
      <c r="Q2177" s="2" t="s">
        <v>99</v>
      </c>
      <c r="R2177" s="2" t="s">
        <v>100</v>
      </c>
      <c r="S2177" s="2" t="s">
        <v>100</v>
      </c>
      <c r="T2177" s="2" t="s">
        <v>5869</v>
      </c>
      <c r="U2177" s="2" t="s">
        <v>1847</v>
      </c>
      <c r="V2177" s="2" t="s">
        <v>146</v>
      </c>
      <c r="W2177" s="2" t="s">
        <v>183</v>
      </c>
      <c r="X2177" s="2" t="s">
        <v>100</v>
      </c>
      <c r="Y2177" s="2" t="s">
        <v>6814</v>
      </c>
      <c r="Z2177" s="4">
        <v>821</v>
      </c>
      <c r="AA2177" s="4">
        <f>=ROUNDDOWN(31.5769230769231,0)</f>
      </c>
      <c r="AB2177" s="5">
        <v>26</v>
      </c>
      <c r="AC2177" s="2" t="s">
        <v>282</v>
      </c>
      <c r="AD2177" s="4">
        <v>190</v>
      </c>
      <c r="AE2177" s="4">
        <v>320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>
        <v>1</v>
      </c>
      <c r="AQ2177" s="8">
        <v>31.45</v>
      </c>
      <c r="AR2177" s="4"/>
      <c r="AS2177" s="8"/>
      <c r="AT2177" s="7"/>
      <c r="AU2177" s="7"/>
      <c r="AV2177" s="4">
        <v>1</v>
      </c>
      <c r="AW2177" s="8">
        <v>31.45</v>
      </c>
      <c r="AX2177" s="4"/>
      <c r="AY2177" s="8"/>
      <c r="AZ2177" s="7"/>
      <c r="BA2177" s="7"/>
      <c r="BB2177" s="7">
        <v>1</v>
      </c>
      <c r="BC2177" s="4">
        <v>3</v>
      </c>
      <c r="BD2177" s="8">
        <v>94.35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0.3333</v>
      </c>
      <c r="BJ2177" s="4">
        <v>191</v>
      </c>
      <c r="BK2177" s="8">
        <v>6087.75</v>
      </c>
      <c r="BL2177" s="2" t="s">
        <v>6972</v>
      </c>
      <c r="BM2177" s="7">
        <v>0.0052</v>
      </c>
      <c r="BN2177" s="7">
        <v>0.0052</v>
      </c>
      <c r="BO2177" s="4">
        <v>1</v>
      </c>
      <c r="BP2177" s="8">
        <v>31.45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6757</v>
      </c>
      <c r="BX2177" s="2" t="s">
        <v>6780</v>
      </c>
      <c r="BY2177" s="2" t="s">
        <v>113</v>
      </c>
      <c r="BZ2177" s="2" t="s">
        <v>100</v>
      </c>
    </row>
    <row r="2178">
      <c r="A2178" s="2" t="s">
        <v>6973</v>
      </c>
      <c r="B2178" s="2" t="s">
        <v>5764</v>
      </c>
      <c r="C2178" s="2" t="s">
        <v>6753</v>
      </c>
      <c r="D2178" s="2" t="s">
        <v>5765</v>
      </c>
      <c r="E2178" s="2" t="s">
        <v>6018</v>
      </c>
      <c r="F2178" s="2" t="s">
        <v>6835</v>
      </c>
      <c r="G2178" s="2" t="s">
        <v>6835</v>
      </c>
      <c r="H2178" s="2" t="s">
        <v>6835</v>
      </c>
      <c r="I2178" s="2" t="s">
        <v>6971</v>
      </c>
      <c r="J2178" s="2" t="s">
        <v>5024</v>
      </c>
      <c r="K2178" s="2" t="s">
        <v>718</v>
      </c>
      <c r="L2178" s="3">
        <v>30.02</v>
      </c>
      <c r="M2178" s="3">
        <v>31.52</v>
      </c>
      <c r="N2178" s="3">
        <v>64.99</v>
      </c>
      <c r="O2178" s="2" t="s">
        <v>97</v>
      </c>
      <c r="P2178" s="2" t="s">
        <v>119</v>
      </c>
      <c r="Q2178" s="2" t="s">
        <v>99</v>
      </c>
      <c r="R2178" s="2" t="s">
        <v>100</v>
      </c>
      <c r="S2178" s="2" t="s">
        <v>100</v>
      </c>
      <c r="T2178" s="2" t="s">
        <v>5869</v>
      </c>
      <c r="U2178" s="2" t="s">
        <v>1847</v>
      </c>
      <c r="V2178" s="2" t="s">
        <v>146</v>
      </c>
      <c r="W2178" s="2" t="s">
        <v>183</v>
      </c>
      <c r="X2178" s="2" t="s">
        <v>100</v>
      </c>
      <c r="Y2178" s="2" t="s">
        <v>6755</v>
      </c>
      <c r="Z2178" s="4">
        <v>1755</v>
      </c>
      <c r="AA2178" s="4">
        <f>=ROUNDDOWN(125.357142857143,0)</f>
      </c>
      <c r="AB2178" s="5">
        <v>14</v>
      </c>
      <c r="AC2178" s="2" t="s">
        <v>282</v>
      </c>
      <c r="AD2178" s="4">
        <v>380</v>
      </c>
      <c r="AE2178" s="4">
        <v>630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>
        <v>1</v>
      </c>
      <c r="AQ2178" s="8">
        <v>31.45</v>
      </c>
      <c r="AR2178" s="4"/>
      <c r="AS2178" s="8"/>
      <c r="AT2178" s="7"/>
      <c r="AU2178" s="7"/>
      <c r="AV2178" s="4">
        <v>1</v>
      </c>
      <c r="AW2178" s="8">
        <v>31.45</v>
      </c>
      <c r="AX2178" s="4"/>
      <c r="AY2178" s="8"/>
      <c r="AZ2178" s="7"/>
      <c r="BA2178" s="7"/>
      <c r="BB2178" s="7">
        <v>1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0.3333</v>
      </c>
      <c r="BJ2178" s="4">
        <v>211</v>
      </c>
      <c r="BK2178" s="8">
        <v>6807.09</v>
      </c>
      <c r="BL2178" s="2" t="s">
        <v>6972</v>
      </c>
      <c r="BM2178" s="7">
        <v>0.0047</v>
      </c>
      <c r="BN2178" s="7">
        <v>0.0046</v>
      </c>
      <c r="BO2178" s="4">
        <v>1</v>
      </c>
      <c r="BP2178" s="8">
        <v>31.45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6757</v>
      </c>
      <c r="BX2178" s="2" t="s">
        <v>6974</v>
      </c>
      <c r="BY2178" s="2" t="s">
        <v>113</v>
      </c>
      <c r="BZ2178" s="2" t="s">
        <v>100</v>
      </c>
    </row>
    <row r="2179">
      <c r="A2179" s="2" t="s">
        <v>6975</v>
      </c>
      <c r="B2179" s="2" t="s">
        <v>5764</v>
      </c>
      <c r="C2179" s="2" t="s">
        <v>6753</v>
      </c>
      <c r="D2179" s="2" t="s">
        <v>5765</v>
      </c>
      <c r="E2179" s="2" t="s">
        <v>6018</v>
      </c>
      <c r="F2179" s="2" t="s">
        <v>6835</v>
      </c>
      <c r="G2179" s="2" t="s">
        <v>6835</v>
      </c>
      <c r="H2179" s="2" t="s">
        <v>6835</v>
      </c>
      <c r="I2179" s="2" t="s">
        <v>6971</v>
      </c>
      <c r="J2179" s="2" t="s">
        <v>5024</v>
      </c>
      <c r="K2179" s="2" t="s">
        <v>1172</v>
      </c>
      <c r="L2179" s="3">
        <v>30.02</v>
      </c>
      <c r="M2179" s="3">
        <v>31.52</v>
      </c>
      <c r="N2179" s="3">
        <v>64.99</v>
      </c>
      <c r="O2179" s="2" t="s">
        <v>97</v>
      </c>
      <c r="P2179" s="2" t="s">
        <v>119</v>
      </c>
      <c r="Q2179" s="2" t="s">
        <v>99</v>
      </c>
      <c r="R2179" s="2" t="s">
        <v>100</v>
      </c>
      <c r="S2179" s="2" t="s">
        <v>100</v>
      </c>
      <c r="T2179" s="2" t="s">
        <v>5869</v>
      </c>
      <c r="U2179" s="2" t="s">
        <v>1847</v>
      </c>
      <c r="V2179" s="2" t="s">
        <v>146</v>
      </c>
      <c r="W2179" s="2" t="s">
        <v>183</v>
      </c>
      <c r="X2179" s="2" t="s">
        <v>100</v>
      </c>
      <c r="Y2179" s="2" t="s">
        <v>6755</v>
      </c>
      <c r="Z2179" s="4">
        <v>780</v>
      </c>
      <c r="AA2179" s="4">
        <f>=ROUNDDOWN(116.417910447761,0)</f>
      </c>
      <c r="AB2179" s="5">
        <v>6.7</v>
      </c>
      <c r="AC2179" s="2" t="s">
        <v>100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/>
      <c r="AP2179" s="4">
        <v>1</v>
      </c>
      <c r="AQ2179" s="8">
        <v>31.45</v>
      </c>
      <c r="AR2179" s="4"/>
      <c r="AS2179" s="8"/>
      <c r="AT2179" s="7"/>
      <c r="AU2179" s="7"/>
      <c r="AV2179" s="4">
        <v>1</v>
      </c>
      <c r="AW2179" s="8">
        <v>31.45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0.3333</v>
      </c>
      <c r="BJ2179" s="4">
        <v>89</v>
      </c>
      <c r="BK2179" s="8">
        <v>2917.07</v>
      </c>
      <c r="BL2179" s="2" t="s">
        <v>6972</v>
      </c>
      <c r="BM2179" s="7">
        <v>0.0112</v>
      </c>
      <c r="BN2179" s="7">
        <v>0.0108</v>
      </c>
      <c r="BO2179" s="4">
        <v>1</v>
      </c>
      <c r="BP2179" s="8">
        <v>31.45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6757</v>
      </c>
      <c r="BX2179" s="2" t="s">
        <v>4822</v>
      </c>
      <c r="BY2179" s="2" t="s">
        <v>113</v>
      </c>
      <c r="BZ2179" s="2" t="s">
        <v>100</v>
      </c>
    </row>
    <row r="2180">
      <c r="A2180" s="2" t="s">
        <v>6976</v>
      </c>
      <c r="B2180" s="2" t="s">
        <v>5764</v>
      </c>
      <c r="C2180" s="2" t="s">
        <v>6753</v>
      </c>
      <c r="D2180" s="2" t="s">
        <v>5765</v>
      </c>
      <c r="E2180" s="2" t="s">
        <v>6018</v>
      </c>
      <c r="F2180" s="2" t="s">
        <v>6835</v>
      </c>
      <c r="G2180" s="2" t="s">
        <v>6835</v>
      </c>
      <c r="H2180" s="2" t="s">
        <v>6835</v>
      </c>
      <c r="I2180" s="2" t="s">
        <v>6971</v>
      </c>
      <c r="J2180" s="2" t="s">
        <v>5024</v>
      </c>
      <c r="K2180" s="2" t="s">
        <v>1614</v>
      </c>
      <c r="L2180" s="3">
        <v>30.02</v>
      </c>
      <c r="M2180" s="3">
        <v>31.52</v>
      </c>
      <c r="N2180" s="3">
        <v>64.99</v>
      </c>
      <c r="O2180" s="2" t="s">
        <v>97</v>
      </c>
      <c r="P2180" s="2" t="s">
        <v>119</v>
      </c>
      <c r="Q2180" s="2" t="s">
        <v>99</v>
      </c>
      <c r="R2180" s="2" t="s">
        <v>100</v>
      </c>
      <c r="S2180" s="2" t="s">
        <v>100</v>
      </c>
      <c r="T2180" s="2" t="s">
        <v>5869</v>
      </c>
      <c r="U2180" s="2" t="s">
        <v>1847</v>
      </c>
      <c r="V2180" s="2" t="s">
        <v>146</v>
      </c>
      <c r="W2180" s="2" t="s">
        <v>183</v>
      </c>
      <c r="X2180" s="2" t="s">
        <v>100</v>
      </c>
      <c r="Y2180" s="2" t="s">
        <v>6755</v>
      </c>
      <c r="Z2180" s="4">
        <v>1173</v>
      </c>
      <c r="AA2180" s="4">
        <f>=ROUNDDOWN(83.7857142857143,0)</f>
      </c>
      <c r="AB2180" s="5">
        <v>14</v>
      </c>
      <c r="AC2180" s="2" t="s">
        <v>100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59</v>
      </c>
      <c r="BK2180" s="8">
        <v>1901.66</v>
      </c>
      <c r="BL2180" s="2" t="s">
        <v>6736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6757</v>
      </c>
      <c r="BX2180" s="2" t="s">
        <v>6977</v>
      </c>
      <c r="BY2180" s="2" t="s">
        <v>113</v>
      </c>
      <c r="BZ2180" s="2" t="s">
        <v>100</v>
      </c>
    </row>
    <row r="2181">
      <c r="A2181" s="2" t="s">
        <v>6978</v>
      </c>
      <c r="B2181" s="2" t="s">
        <v>5764</v>
      </c>
      <c r="C2181" s="2" t="s">
        <v>6753</v>
      </c>
      <c r="D2181" s="2" t="s">
        <v>5765</v>
      </c>
      <c r="E2181" s="2" t="s">
        <v>6018</v>
      </c>
      <c r="F2181" s="2" t="s">
        <v>6835</v>
      </c>
      <c r="G2181" s="2" t="s">
        <v>6835</v>
      </c>
      <c r="H2181" s="2" t="s">
        <v>6835</v>
      </c>
      <c r="I2181" s="2" t="s">
        <v>6971</v>
      </c>
      <c r="J2181" s="2" t="s">
        <v>5024</v>
      </c>
      <c r="K2181" s="2" t="s">
        <v>3515</v>
      </c>
      <c r="L2181" s="3">
        <v>30.02</v>
      </c>
      <c r="M2181" s="3">
        <v>31.52</v>
      </c>
      <c r="N2181" s="3">
        <v>64.99</v>
      </c>
      <c r="O2181" s="2" t="s">
        <v>97</v>
      </c>
      <c r="P2181" s="2" t="s">
        <v>119</v>
      </c>
      <c r="Q2181" s="2" t="s">
        <v>99</v>
      </c>
      <c r="R2181" s="2" t="s">
        <v>100</v>
      </c>
      <c r="S2181" s="2" t="s">
        <v>100</v>
      </c>
      <c r="T2181" s="2" t="s">
        <v>5869</v>
      </c>
      <c r="U2181" s="2" t="s">
        <v>1847</v>
      </c>
      <c r="V2181" s="2" t="s">
        <v>146</v>
      </c>
      <c r="W2181" s="2" t="s">
        <v>183</v>
      </c>
      <c r="X2181" s="2" t="s">
        <v>100</v>
      </c>
      <c r="Y2181" s="2" t="s">
        <v>6773</v>
      </c>
      <c r="Z2181" s="4">
        <v>847</v>
      </c>
      <c r="AA2181" s="4">
        <f>=ROUNDDOWN(56.4666666666667,0)</f>
      </c>
      <c r="AB2181" s="5">
        <v>15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111</v>
      </c>
      <c r="BK2181" s="8">
        <v>3578.24</v>
      </c>
      <c r="BL2181" s="2" t="s">
        <v>6831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6757</v>
      </c>
      <c r="BX2181" s="2" t="s">
        <v>6775</v>
      </c>
      <c r="BY2181" s="2" t="s">
        <v>113</v>
      </c>
      <c r="BZ2181" s="2" t="s">
        <v>100</v>
      </c>
    </row>
    <row r="2182">
      <c r="A2182" s="2" t="s">
        <v>6979</v>
      </c>
      <c r="B2182" s="2" t="s">
        <v>5764</v>
      </c>
      <c r="C2182" s="2" t="s">
        <v>3934</v>
      </c>
      <c r="D2182" s="2" t="s">
        <v>4473</v>
      </c>
      <c r="E2182" s="2" t="s">
        <v>5768</v>
      </c>
      <c r="F2182" s="2" t="s">
        <v>6980</v>
      </c>
      <c r="G2182" s="2" t="s">
        <v>6980</v>
      </c>
      <c r="H2182" s="2" t="s">
        <v>6980</v>
      </c>
      <c r="I2182" s="2" t="s">
        <v>6981</v>
      </c>
      <c r="J2182" s="2" t="s">
        <v>247</v>
      </c>
      <c r="K2182" s="2" t="s">
        <v>335</v>
      </c>
      <c r="L2182" s="3">
        <v>15.46</v>
      </c>
      <c r="M2182" s="3">
        <v>16.23</v>
      </c>
      <c r="N2182" s="3">
        <v>34.99</v>
      </c>
      <c r="O2182" s="2" t="s">
        <v>97</v>
      </c>
      <c r="P2182" s="2" t="s">
        <v>119</v>
      </c>
      <c r="Q2182" s="2" t="s">
        <v>99</v>
      </c>
      <c r="R2182" s="2" t="s">
        <v>100</v>
      </c>
      <c r="S2182" s="2" t="s">
        <v>6982</v>
      </c>
      <c r="T2182" s="2" t="s">
        <v>4441</v>
      </c>
      <c r="U2182" s="2" t="s">
        <v>100</v>
      </c>
      <c r="V2182" s="2" t="s">
        <v>146</v>
      </c>
      <c r="W2182" s="2" t="s">
        <v>183</v>
      </c>
      <c r="X2182" s="2" t="s">
        <v>100</v>
      </c>
      <c r="Y2182" s="2" t="s">
        <v>240</v>
      </c>
      <c r="Z2182" s="4">
        <v>1778</v>
      </c>
      <c r="AA2182" s="4">
        <f>=ROUNDDOWN(55.5625,0)</f>
      </c>
      <c r="AB2182" s="5">
        <v>32</v>
      </c>
      <c r="AC2182" s="2" t="s">
        <v>3031</v>
      </c>
      <c r="AD2182" s="4">
        <v>80</v>
      </c>
      <c r="AE2182" s="4">
        <v>80</v>
      </c>
      <c r="AF2182" s="6">
        <v>64</v>
      </c>
      <c r="AG2182" s="6"/>
      <c r="AH2182" s="7">
        <v>0.9305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>
        <v>231</v>
      </c>
      <c r="AQ2182" s="8">
        <v>3273.27</v>
      </c>
      <c r="AR2182" s="4"/>
      <c r="AS2182" s="8"/>
      <c r="AT2182" s="7"/>
      <c r="AU2182" s="7"/>
      <c r="AV2182" s="4">
        <v>287</v>
      </c>
      <c r="AW2182" s="8">
        <v>4225.83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>
        <v>0.7746</v>
      </c>
      <c r="BC2182" s="4">
        <v>674</v>
      </c>
      <c r="BD2182" s="8">
        <v>9633.3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0.4387</v>
      </c>
      <c r="BJ2182" s="4">
        <v>1148</v>
      </c>
      <c r="BK2182" s="8">
        <v>17238.33</v>
      </c>
      <c r="BL2182" s="2" t="s">
        <v>6983</v>
      </c>
      <c r="BM2182" s="7">
        <v>0.2012</v>
      </c>
      <c r="BN2182" s="7">
        <v>0.1899</v>
      </c>
      <c r="BO2182" s="4">
        <v>231</v>
      </c>
      <c r="BP2182" s="8">
        <v>3273.27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125</v>
      </c>
      <c r="BX2182" s="2" t="s">
        <v>6984</v>
      </c>
      <c r="BY2182" s="2" t="s">
        <v>113</v>
      </c>
      <c r="BZ2182" s="2" t="s">
        <v>100</v>
      </c>
    </row>
    <row r="2183">
      <c r="A2183" s="2" t="s">
        <v>6985</v>
      </c>
      <c r="B2183" s="2" t="s">
        <v>5764</v>
      </c>
      <c r="C2183" s="2" t="s">
        <v>3934</v>
      </c>
      <c r="D2183" s="2" t="s">
        <v>4473</v>
      </c>
      <c r="E2183" s="2" t="s">
        <v>5768</v>
      </c>
      <c r="F2183" s="2" t="s">
        <v>6980</v>
      </c>
      <c r="G2183" s="2" t="s">
        <v>6980</v>
      </c>
      <c r="H2183" s="2" t="s">
        <v>6980</v>
      </c>
      <c r="I2183" s="2" t="s">
        <v>6981</v>
      </c>
      <c r="J2183" s="2" t="s">
        <v>714</v>
      </c>
      <c r="K2183" s="2" t="s">
        <v>335</v>
      </c>
      <c r="L2183" s="3">
        <v>18.42</v>
      </c>
      <c r="M2183" s="3">
        <v>19.34</v>
      </c>
      <c r="N2183" s="3">
        <v>40.99</v>
      </c>
      <c r="O2183" s="2" t="s">
        <v>97</v>
      </c>
      <c r="P2183" s="2" t="s">
        <v>119</v>
      </c>
      <c r="Q2183" s="2" t="s">
        <v>99</v>
      </c>
      <c r="R2183" s="2" t="s">
        <v>100</v>
      </c>
      <c r="S2183" s="2" t="s">
        <v>6982</v>
      </c>
      <c r="T2183" s="2" t="s">
        <v>4441</v>
      </c>
      <c r="U2183" s="2" t="s">
        <v>100</v>
      </c>
      <c r="V2183" s="2" t="s">
        <v>146</v>
      </c>
      <c r="W2183" s="2" t="s">
        <v>183</v>
      </c>
      <c r="X2183" s="2" t="s">
        <v>100</v>
      </c>
      <c r="Y2183" s="2" t="s">
        <v>240</v>
      </c>
      <c r="Z2183" s="4">
        <v>694</v>
      </c>
      <c r="AA2183" s="4">
        <f>=ROUNDDOWN(40.8235294117647,0)</f>
      </c>
      <c r="AB2183" s="5">
        <v>17</v>
      </c>
      <c r="AC2183" s="2" t="s">
        <v>3031</v>
      </c>
      <c r="AD2183" s="4">
        <v>100</v>
      </c>
      <c r="AE2183" s="4">
        <v>100</v>
      </c>
      <c r="AF2183" s="6">
        <v>64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>
        <v>56</v>
      </c>
      <c r="AQ2183" s="8">
        <v>952.56</v>
      </c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>
        <v>0.2254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 t="s">
        <v>100</v>
      </c>
      <c r="BJ2183" s="4">
        <v>516</v>
      </c>
      <c r="BK2183" s="8">
        <v>9163.48</v>
      </c>
      <c r="BL2183" s="2" t="s">
        <v>6986</v>
      </c>
      <c r="BM2183" s="7">
        <v>0.1085</v>
      </c>
      <c r="BN2183" s="7">
        <v>0.104</v>
      </c>
      <c r="BO2183" s="4">
        <v>56</v>
      </c>
      <c r="BP2183" s="8">
        <v>952.56</v>
      </c>
      <c r="BQ2183" s="4"/>
      <c r="BR2183" s="8"/>
      <c r="BS2183" s="7"/>
      <c r="BT2183" s="7"/>
      <c r="BU2183" s="2" t="s">
        <v>109</v>
      </c>
      <c r="BV2183" s="2" t="s">
        <v>110</v>
      </c>
      <c r="BW2183" s="2" t="s">
        <v>125</v>
      </c>
      <c r="BX2183" s="2" t="s">
        <v>6984</v>
      </c>
      <c r="BY2183" s="2" t="s">
        <v>113</v>
      </c>
      <c r="BZ2183" s="2" t="s">
        <v>100</v>
      </c>
    </row>
    <row r="2184">
      <c r="A2184" s="2" t="s">
        <v>6987</v>
      </c>
      <c r="B2184" s="2" t="s">
        <v>5764</v>
      </c>
      <c r="C2184" s="2" t="s">
        <v>3934</v>
      </c>
      <c r="D2184" s="2" t="s">
        <v>4473</v>
      </c>
      <c r="E2184" s="2" t="s">
        <v>5768</v>
      </c>
      <c r="F2184" s="2" t="s">
        <v>6980</v>
      </c>
      <c r="G2184" s="2" t="s">
        <v>6980</v>
      </c>
      <c r="H2184" s="2" t="s">
        <v>6980</v>
      </c>
      <c r="I2184" s="2" t="s">
        <v>6981</v>
      </c>
      <c r="J2184" s="2" t="s">
        <v>247</v>
      </c>
      <c r="K2184" s="2" t="s">
        <v>96</v>
      </c>
      <c r="L2184" s="3">
        <v>15.46</v>
      </c>
      <c r="M2184" s="3">
        <v>16.23</v>
      </c>
      <c r="N2184" s="3">
        <v>34.99</v>
      </c>
      <c r="O2184" s="2" t="s">
        <v>97</v>
      </c>
      <c r="P2184" s="2" t="s">
        <v>119</v>
      </c>
      <c r="Q2184" s="2" t="s">
        <v>99</v>
      </c>
      <c r="R2184" s="2" t="s">
        <v>100</v>
      </c>
      <c r="S2184" s="2" t="s">
        <v>6988</v>
      </c>
      <c r="T2184" s="2" t="s">
        <v>4441</v>
      </c>
      <c r="U2184" s="2" t="s">
        <v>100</v>
      </c>
      <c r="V2184" s="2" t="s">
        <v>146</v>
      </c>
      <c r="W2184" s="2" t="s">
        <v>183</v>
      </c>
      <c r="X2184" s="2" t="s">
        <v>100</v>
      </c>
      <c r="Y2184" s="2" t="s">
        <v>240</v>
      </c>
      <c r="Z2184" s="4">
        <v>1448</v>
      </c>
      <c r="AA2184" s="4">
        <f>=ROUNDDOWN(57.92,0)</f>
      </c>
      <c r="AB2184" s="5">
        <v>25</v>
      </c>
      <c r="AC2184" s="2" t="s">
        <v>100</v>
      </c>
      <c r="AD2184" s="4"/>
      <c r="AE2184" s="4"/>
      <c r="AF2184" s="6">
        <v>64</v>
      </c>
      <c r="AG2184" s="6"/>
      <c r="AH2184" s="7">
        <v>0.9198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>
        <v>66</v>
      </c>
      <c r="AQ2184" s="8">
        <v>935.22</v>
      </c>
      <c r="AR2184" s="4"/>
      <c r="AS2184" s="8"/>
      <c r="AT2184" s="7"/>
      <c r="AU2184" s="7"/>
      <c r="AV2184" s="4">
        <v>124</v>
      </c>
      <c r="AW2184" s="8">
        <v>1921.22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>
        <v>0.4868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0.1994</v>
      </c>
      <c r="BJ2184" s="4">
        <v>875</v>
      </c>
      <c r="BK2184" s="8">
        <v>12943.93</v>
      </c>
      <c r="BL2184" s="2" t="s">
        <v>6989</v>
      </c>
      <c r="BM2184" s="7">
        <v>0.0754</v>
      </c>
      <c r="BN2184" s="7">
        <v>0.0723</v>
      </c>
      <c r="BO2184" s="4">
        <v>66</v>
      </c>
      <c r="BP2184" s="8">
        <v>935.22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1085</v>
      </c>
      <c r="BX2184" s="2" t="s">
        <v>6517</v>
      </c>
      <c r="BY2184" s="2" t="s">
        <v>113</v>
      </c>
      <c r="BZ2184" s="2" t="s">
        <v>100</v>
      </c>
    </row>
    <row r="2185">
      <c r="A2185" s="2" t="s">
        <v>6990</v>
      </c>
      <c r="B2185" s="2" t="s">
        <v>5764</v>
      </c>
      <c r="C2185" s="2" t="s">
        <v>3934</v>
      </c>
      <c r="D2185" s="2" t="s">
        <v>4473</v>
      </c>
      <c r="E2185" s="2" t="s">
        <v>5768</v>
      </c>
      <c r="F2185" s="2" t="s">
        <v>6980</v>
      </c>
      <c r="G2185" s="2" t="s">
        <v>6980</v>
      </c>
      <c r="H2185" s="2" t="s">
        <v>6980</v>
      </c>
      <c r="I2185" s="2" t="s">
        <v>6981</v>
      </c>
      <c r="J2185" s="2" t="s">
        <v>714</v>
      </c>
      <c r="K2185" s="2" t="s">
        <v>96</v>
      </c>
      <c r="L2185" s="3">
        <v>18.42</v>
      </c>
      <c r="M2185" s="3">
        <v>19.34</v>
      </c>
      <c r="N2185" s="3">
        <v>40.99</v>
      </c>
      <c r="O2185" s="2" t="s">
        <v>97</v>
      </c>
      <c r="P2185" s="2" t="s">
        <v>119</v>
      </c>
      <c r="Q2185" s="2" t="s">
        <v>99</v>
      </c>
      <c r="R2185" s="2" t="s">
        <v>100</v>
      </c>
      <c r="S2185" s="2" t="s">
        <v>6988</v>
      </c>
      <c r="T2185" s="2" t="s">
        <v>4441</v>
      </c>
      <c r="U2185" s="2" t="s">
        <v>100</v>
      </c>
      <c r="V2185" s="2" t="s">
        <v>146</v>
      </c>
      <c r="W2185" s="2" t="s">
        <v>183</v>
      </c>
      <c r="X2185" s="2" t="s">
        <v>100</v>
      </c>
      <c r="Y2185" s="2" t="s">
        <v>240</v>
      </c>
      <c r="Z2185" s="4">
        <v>786</v>
      </c>
      <c r="AA2185" s="4">
        <f>=ROUNDDOWN(52.4,0)</f>
      </c>
      <c r="AB2185" s="5">
        <v>15</v>
      </c>
      <c r="AC2185" s="2" t="s">
        <v>100</v>
      </c>
      <c r="AD2185" s="4"/>
      <c r="AE2185" s="4"/>
      <c r="AF2185" s="6">
        <v>64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>
        <v>58</v>
      </c>
      <c r="AQ2185" s="8">
        <v>986</v>
      </c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>
        <v>0.5132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 t="s">
        <v>100</v>
      </c>
      <c r="BJ2185" s="4">
        <v>597</v>
      </c>
      <c r="BK2185" s="8">
        <v>10713.42</v>
      </c>
      <c r="BL2185" s="2" t="s">
        <v>6991</v>
      </c>
      <c r="BM2185" s="7">
        <v>0.0972</v>
      </c>
      <c r="BN2185" s="7">
        <v>0.092</v>
      </c>
      <c r="BO2185" s="4">
        <v>58</v>
      </c>
      <c r="BP2185" s="8">
        <v>986</v>
      </c>
      <c r="BQ2185" s="4"/>
      <c r="BR2185" s="8"/>
      <c r="BS2185" s="7"/>
      <c r="BT2185" s="7"/>
      <c r="BU2185" s="2" t="s">
        <v>109</v>
      </c>
      <c r="BV2185" s="2" t="s">
        <v>110</v>
      </c>
      <c r="BW2185" s="2" t="s">
        <v>1085</v>
      </c>
      <c r="BX2185" s="2" t="s">
        <v>4715</v>
      </c>
      <c r="BY2185" s="2" t="s">
        <v>113</v>
      </c>
      <c r="BZ2185" s="2" t="s">
        <v>100</v>
      </c>
    </row>
    <row r="2186">
      <c r="A2186" s="2" t="s">
        <v>6992</v>
      </c>
      <c r="B2186" s="2" t="s">
        <v>5764</v>
      </c>
      <c r="C2186" s="2" t="s">
        <v>3934</v>
      </c>
      <c r="D2186" s="2" t="s">
        <v>4473</v>
      </c>
      <c r="E2186" s="2" t="s">
        <v>5768</v>
      </c>
      <c r="F2186" s="2" t="s">
        <v>6980</v>
      </c>
      <c r="G2186" s="2" t="s">
        <v>6980</v>
      </c>
      <c r="H2186" s="2" t="s">
        <v>6980</v>
      </c>
      <c r="I2186" s="2" t="s">
        <v>6981</v>
      </c>
      <c r="J2186" s="2" t="s">
        <v>237</v>
      </c>
      <c r="K2186" s="2" t="s">
        <v>198</v>
      </c>
      <c r="L2186" s="3">
        <v>12.32</v>
      </c>
      <c r="M2186" s="3">
        <v>12.94</v>
      </c>
      <c r="N2186" s="3">
        <v>28.99</v>
      </c>
      <c r="O2186" s="2" t="s">
        <v>97</v>
      </c>
      <c r="P2186" s="2" t="s">
        <v>119</v>
      </c>
      <c r="Q2186" s="2" t="s">
        <v>99</v>
      </c>
      <c r="R2186" s="2" t="s">
        <v>100</v>
      </c>
      <c r="S2186" s="2" t="s">
        <v>6993</v>
      </c>
      <c r="T2186" s="2" t="s">
        <v>4441</v>
      </c>
      <c r="U2186" s="2" t="s">
        <v>100</v>
      </c>
      <c r="V2186" s="2" t="s">
        <v>146</v>
      </c>
      <c r="W2186" s="2" t="s">
        <v>183</v>
      </c>
      <c r="X2186" s="2" t="s">
        <v>100</v>
      </c>
      <c r="Y2186" s="2" t="s">
        <v>258</v>
      </c>
      <c r="Z2186" s="4">
        <v>619</v>
      </c>
      <c r="AA2186" s="4">
        <f>=ROUNDDOWN(21.3448275862069,0)</f>
      </c>
      <c r="AB2186" s="5">
        <v>29</v>
      </c>
      <c r="AC2186" s="2" t="s">
        <v>417</v>
      </c>
      <c r="AD2186" s="4">
        <v>200</v>
      </c>
      <c r="AE2186" s="4">
        <v>650</v>
      </c>
      <c r="AF2186" s="6">
        <v>64</v>
      </c>
      <c r="AG2186" s="6"/>
      <c r="AH2186" s="7">
        <v>0.9305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>
        <v>86</v>
      </c>
      <c r="AQ2186" s="8">
        <v>975.24</v>
      </c>
      <c r="AR2186" s="4"/>
      <c r="AS2186" s="8"/>
      <c r="AT2186" s="7"/>
      <c r="AU2186" s="7"/>
      <c r="AV2186" s="4">
        <v>124</v>
      </c>
      <c r="AW2186" s="8">
        <v>1544.83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>
        <v>0.6313</v>
      </c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0.1604</v>
      </c>
      <c r="BJ2186" s="4">
        <v>783</v>
      </c>
      <c r="BK2186" s="8">
        <v>9791.08</v>
      </c>
      <c r="BL2186" s="2" t="s">
        <v>6994</v>
      </c>
      <c r="BM2186" s="7">
        <v>0.1098</v>
      </c>
      <c r="BN2186" s="7">
        <v>0.0996</v>
      </c>
      <c r="BO2186" s="4">
        <v>86</v>
      </c>
      <c r="BP2186" s="8">
        <v>975.24</v>
      </c>
      <c r="BQ2186" s="4"/>
      <c r="BR2186" s="8"/>
      <c r="BS2186" s="7"/>
      <c r="BT2186" s="7"/>
      <c r="BU2186" s="2" t="s">
        <v>109</v>
      </c>
      <c r="BV2186" s="2" t="s">
        <v>110</v>
      </c>
      <c r="BW2186" s="2" t="s">
        <v>1085</v>
      </c>
      <c r="BX2186" s="2" t="s">
        <v>4779</v>
      </c>
      <c r="BY2186" s="2" t="s">
        <v>113</v>
      </c>
      <c r="BZ2186" s="2" t="s">
        <v>100</v>
      </c>
    </row>
    <row r="2187">
      <c r="A2187" s="2" t="s">
        <v>6995</v>
      </c>
      <c r="B2187" s="2" t="s">
        <v>5764</v>
      </c>
      <c r="C2187" s="2" t="s">
        <v>3934</v>
      </c>
      <c r="D2187" s="2" t="s">
        <v>4473</v>
      </c>
      <c r="E2187" s="2" t="s">
        <v>5768</v>
      </c>
      <c r="F2187" s="2" t="s">
        <v>6980</v>
      </c>
      <c r="G2187" s="2" t="s">
        <v>6980</v>
      </c>
      <c r="H2187" s="2" t="s">
        <v>6980</v>
      </c>
      <c r="I2187" s="2" t="s">
        <v>6981</v>
      </c>
      <c r="J2187" s="2" t="s">
        <v>247</v>
      </c>
      <c r="K2187" s="2" t="s">
        <v>198</v>
      </c>
      <c r="L2187" s="3">
        <v>15.46</v>
      </c>
      <c r="M2187" s="3">
        <v>16.23</v>
      </c>
      <c r="N2187" s="3">
        <v>34.99</v>
      </c>
      <c r="O2187" s="2" t="s">
        <v>97</v>
      </c>
      <c r="P2187" s="2" t="s">
        <v>119</v>
      </c>
      <c r="Q2187" s="2" t="s">
        <v>99</v>
      </c>
      <c r="R2187" s="2" t="s">
        <v>100</v>
      </c>
      <c r="S2187" s="2" t="s">
        <v>6993</v>
      </c>
      <c r="T2187" s="2" t="s">
        <v>4441</v>
      </c>
      <c r="U2187" s="2" t="s">
        <v>100</v>
      </c>
      <c r="V2187" s="2" t="s">
        <v>146</v>
      </c>
      <c r="W2187" s="2" t="s">
        <v>183</v>
      </c>
      <c r="X2187" s="2" t="s">
        <v>100</v>
      </c>
      <c r="Y2187" s="2" t="s">
        <v>240</v>
      </c>
      <c r="Z2187" s="4">
        <v>1128</v>
      </c>
      <c r="AA2187" s="4">
        <f>=ROUNDDOWN(38.8965517241379,0)</f>
      </c>
      <c r="AB2187" s="5">
        <v>29</v>
      </c>
      <c r="AC2187" s="2" t="s">
        <v>417</v>
      </c>
      <c r="AD2187" s="4">
        <v>48</v>
      </c>
      <c r="AE2187" s="4">
        <v>448</v>
      </c>
      <c r="AF2187" s="6">
        <v>64</v>
      </c>
      <c r="AG2187" s="6"/>
      <c r="AH2187" s="7">
        <v>0.9412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>
        <v>27</v>
      </c>
      <c r="AQ2187" s="8">
        <v>382.59</v>
      </c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>
        <v>0.2477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 t="s">
        <v>100</v>
      </c>
      <c r="BJ2187" s="4">
        <v>1022</v>
      </c>
      <c r="BK2187" s="8">
        <v>15297.03</v>
      </c>
      <c r="BL2187" s="2" t="s">
        <v>6996</v>
      </c>
      <c r="BM2187" s="7">
        <v>0.0264</v>
      </c>
      <c r="BN2187" s="7">
        <v>0.025</v>
      </c>
      <c r="BO2187" s="4">
        <v>27</v>
      </c>
      <c r="BP2187" s="8">
        <v>382.59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1085</v>
      </c>
      <c r="BX2187" s="2" t="s">
        <v>6251</v>
      </c>
      <c r="BY2187" s="2" t="s">
        <v>113</v>
      </c>
      <c r="BZ2187" s="2" t="s">
        <v>100</v>
      </c>
    </row>
    <row r="2188">
      <c r="A2188" s="2" t="s">
        <v>6997</v>
      </c>
      <c r="B2188" s="2" t="s">
        <v>5764</v>
      </c>
      <c r="C2188" s="2" t="s">
        <v>3934</v>
      </c>
      <c r="D2188" s="2" t="s">
        <v>4473</v>
      </c>
      <c r="E2188" s="2" t="s">
        <v>5768</v>
      </c>
      <c r="F2188" s="2" t="s">
        <v>6980</v>
      </c>
      <c r="G2188" s="2" t="s">
        <v>6980</v>
      </c>
      <c r="H2188" s="2" t="s">
        <v>6980</v>
      </c>
      <c r="I2188" s="2" t="s">
        <v>6981</v>
      </c>
      <c r="J2188" s="2" t="s">
        <v>714</v>
      </c>
      <c r="K2188" s="2" t="s">
        <v>198</v>
      </c>
      <c r="L2188" s="3">
        <v>18.42</v>
      </c>
      <c r="M2188" s="3">
        <v>19.34</v>
      </c>
      <c r="N2188" s="3">
        <v>40.99</v>
      </c>
      <c r="O2188" s="2" t="s">
        <v>97</v>
      </c>
      <c r="P2188" s="2" t="s">
        <v>119</v>
      </c>
      <c r="Q2188" s="2" t="s">
        <v>99</v>
      </c>
      <c r="R2188" s="2" t="s">
        <v>100</v>
      </c>
      <c r="S2188" s="2" t="s">
        <v>6993</v>
      </c>
      <c r="T2188" s="2" t="s">
        <v>4441</v>
      </c>
      <c r="U2188" s="2" t="s">
        <v>100</v>
      </c>
      <c r="V2188" s="2" t="s">
        <v>146</v>
      </c>
      <c r="W2188" s="2" t="s">
        <v>183</v>
      </c>
      <c r="X2188" s="2" t="s">
        <v>100</v>
      </c>
      <c r="Y2188" s="2" t="s">
        <v>240</v>
      </c>
      <c r="Z2188" s="4">
        <v>641</v>
      </c>
      <c r="AA2188" s="4">
        <f>=ROUNDDOWN(27.8695652173913,0)</f>
      </c>
      <c r="AB2188" s="5">
        <v>23</v>
      </c>
      <c r="AC2188" s="2" t="s">
        <v>417</v>
      </c>
      <c r="AD2188" s="4">
        <v>3</v>
      </c>
      <c r="AE2188" s="4">
        <v>453</v>
      </c>
      <c r="AF2188" s="6">
        <v>64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>
        <v>11</v>
      </c>
      <c r="AQ2188" s="8">
        <v>187</v>
      </c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>
        <v>0.121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 t="s">
        <v>100</v>
      </c>
      <c r="BJ2188" s="4">
        <v>667</v>
      </c>
      <c r="BK2188" s="8">
        <v>11848.15</v>
      </c>
      <c r="BL2188" s="2" t="s">
        <v>6998</v>
      </c>
      <c r="BM2188" s="7">
        <v>0.0165</v>
      </c>
      <c r="BN2188" s="7">
        <v>0.0158</v>
      </c>
      <c r="BO2188" s="4">
        <v>11</v>
      </c>
      <c r="BP2188" s="8">
        <v>187</v>
      </c>
      <c r="BQ2188" s="4"/>
      <c r="BR2188" s="8"/>
      <c r="BS2188" s="7"/>
      <c r="BT2188" s="7"/>
      <c r="BU2188" s="2" t="s">
        <v>109</v>
      </c>
      <c r="BV2188" s="2" t="s">
        <v>110</v>
      </c>
      <c r="BW2188" s="2" t="s">
        <v>1085</v>
      </c>
      <c r="BX2188" s="2" t="s">
        <v>6550</v>
      </c>
      <c r="BY2188" s="2" t="s">
        <v>113</v>
      </c>
      <c r="BZ2188" s="2" t="s">
        <v>100</v>
      </c>
    </row>
    <row r="2189">
      <c r="A2189" s="2" t="s">
        <v>6999</v>
      </c>
      <c r="B2189" s="2" t="s">
        <v>5764</v>
      </c>
      <c r="C2189" s="2" t="s">
        <v>3934</v>
      </c>
      <c r="D2189" s="2" t="s">
        <v>4473</v>
      </c>
      <c r="E2189" s="2" t="s">
        <v>5768</v>
      </c>
      <c r="F2189" s="2" t="s">
        <v>6980</v>
      </c>
      <c r="G2189" s="2" t="s">
        <v>6980</v>
      </c>
      <c r="H2189" s="2" t="s">
        <v>6980</v>
      </c>
      <c r="I2189" s="2" t="s">
        <v>6981</v>
      </c>
      <c r="J2189" s="2" t="s">
        <v>247</v>
      </c>
      <c r="K2189" s="2" t="s">
        <v>297</v>
      </c>
      <c r="L2189" s="3">
        <v>15.46</v>
      </c>
      <c r="M2189" s="3">
        <v>16.23</v>
      </c>
      <c r="N2189" s="3">
        <v>34.99</v>
      </c>
      <c r="O2189" s="2" t="s">
        <v>97</v>
      </c>
      <c r="P2189" s="2" t="s">
        <v>119</v>
      </c>
      <c r="Q2189" s="2" t="s">
        <v>99</v>
      </c>
      <c r="R2189" s="2" t="s">
        <v>100</v>
      </c>
      <c r="S2189" s="2" t="s">
        <v>7000</v>
      </c>
      <c r="T2189" s="2" t="s">
        <v>4441</v>
      </c>
      <c r="U2189" s="2" t="s">
        <v>100</v>
      </c>
      <c r="V2189" s="2" t="s">
        <v>146</v>
      </c>
      <c r="W2189" s="2" t="s">
        <v>183</v>
      </c>
      <c r="X2189" s="2" t="s">
        <v>100</v>
      </c>
      <c r="Y2189" s="2" t="s">
        <v>240</v>
      </c>
      <c r="Z2189" s="4">
        <v>975</v>
      </c>
      <c r="AA2189" s="4">
        <f>=ROUNDDOWN(30.46875,0)</f>
      </c>
      <c r="AB2189" s="5">
        <v>32</v>
      </c>
      <c r="AC2189" s="2" t="s">
        <v>1509</v>
      </c>
      <c r="AD2189" s="4">
        <v>70</v>
      </c>
      <c r="AE2189" s="4">
        <v>330</v>
      </c>
      <c r="AF2189" s="6">
        <v>64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>
        <v>41</v>
      </c>
      <c r="AQ2189" s="8">
        <v>580.97</v>
      </c>
      <c r="AR2189" s="4"/>
      <c r="AS2189" s="8"/>
      <c r="AT2189" s="7"/>
      <c r="AU2189" s="7"/>
      <c r="AV2189" s="4">
        <v>76</v>
      </c>
      <c r="AW2189" s="8">
        <v>1175.97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>
        <v>0.494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0.1221</v>
      </c>
      <c r="BJ2189" s="4">
        <v>855</v>
      </c>
      <c r="BK2189" s="8">
        <v>12758.19</v>
      </c>
      <c r="BL2189" s="2" t="s">
        <v>4464</v>
      </c>
      <c r="BM2189" s="7">
        <v>0.048</v>
      </c>
      <c r="BN2189" s="7">
        <v>0.0455</v>
      </c>
      <c r="BO2189" s="4">
        <v>41</v>
      </c>
      <c r="BP2189" s="8">
        <v>580.97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1085</v>
      </c>
      <c r="BX2189" s="2" t="s">
        <v>7001</v>
      </c>
      <c r="BY2189" s="2" t="s">
        <v>113</v>
      </c>
      <c r="BZ2189" s="2" t="s">
        <v>100</v>
      </c>
    </row>
    <row r="2190">
      <c r="A2190" s="2" t="s">
        <v>7002</v>
      </c>
      <c r="B2190" s="2" t="s">
        <v>5764</v>
      </c>
      <c r="C2190" s="2" t="s">
        <v>3934</v>
      </c>
      <c r="D2190" s="2" t="s">
        <v>4473</v>
      </c>
      <c r="E2190" s="2" t="s">
        <v>5768</v>
      </c>
      <c r="F2190" s="2" t="s">
        <v>6980</v>
      </c>
      <c r="G2190" s="2" t="s">
        <v>6980</v>
      </c>
      <c r="H2190" s="2" t="s">
        <v>6980</v>
      </c>
      <c r="I2190" s="2" t="s">
        <v>6981</v>
      </c>
      <c r="J2190" s="2" t="s">
        <v>714</v>
      </c>
      <c r="K2190" s="2" t="s">
        <v>297</v>
      </c>
      <c r="L2190" s="3">
        <v>18.42</v>
      </c>
      <c r="M2190" s="3">
        <v>19.34</v>
      </c>
      <c r="N2190" s="3">
        <v>40.99</v>
      </c>
      <c r="O2190" s="2" t="s">
        <v>97</v>
      </c>
      <c r="P2190" s="2" t="s">
        <v>119</v>
      </c>
      <c r="Q2190" s="2" t="s">
        <v>99</v>
      </c>
      <c r="R2190" s="2" t="s">
        <v>100</v>
      </c>
      <c r="S2190" s="2" t="s">
        <v>7000</v>
      </c>
      <c r="T2190" s="2" t="s">
        <v>4441</v>
      </c>
      <c r="U2190" s="2" t="s">
        <v>100</v>
      </c>
      <c r="V2190" s="2" t="s">
        <v>146</v>
      </c>
      <c r="W2190" s="2" t="s">
        <v>183</v>
      </c>
      <c r="X2190" s="2" t="s">
        <v>100</v>
      </c>
      <c r="Y2190" s="2" t="s">
        <v>240</v>
      </c>
      <c r="Z2190" s="4">
        <v>716</v>
      </c>
      <c r="AA2190" s="4">
        <f>=ROUNDDOWN(34.0952380952381,0)</f>
      </c>
      <c r="AB2190" s="5">
        <v>21</v>
      </c>
      <c r="AC2190" s="2" t="s">
        <v>1509</v>
      </c>
      <c r="AD2190" s="4">
        <v>60</v>
      </c>
      <c r="AE2190" s="4">
        <v>130</v>
      </c>
      <c r="AF2190" s="6">
        <v>64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>
        <v>35</v>
      </c>
      <c r="AQ2190" s="8">
        <v>595</v>
      </c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0.506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 t="s">
        <v>100</v>
      </c>
      <c r="BJ2190" s="4">
        <v>589</v>
      </c>
      <c r="BK2190" s="8">
        <v>10522.82</v>
      </c>
      <c r="BL2190" s="2" t="s">
        <v>7003</v>
      </c>
      <c r="BM2190" s="7">
        <v>0.0594</v>
      </c>
      <c r="BN2190" s="7">
        <v>0.0565</v>
      </c>
      <c r="BO2190" s="4">
        <v>35</v>
      </c>
      <c r="BP2190" s="8">
        <v>595</v>
      </c>
      <c r="BQ2190" s="4"/>
      <c r="BR2190" s="8"/>
      <c r="BS2190" s="7"/>
      <c r="BT2190" s="7"/>
      <c r="BU2190" s="2" t="s">
        <v>109</v>
      </c>
      <c r="BV2190" s="2" t="s">
        <v>110</v>
      </c>
      <c r="BW2190" s="2" t="s">
        <v>1085</v>
      </c>
      <c r="BX2190" s="2" t="s">
        <v>4715</v>
      </c>
      <c r="BY2190" s="2" t="s">
        <v>113</v>
      </c>
      <c r="BZ2190" s="2" t="s">
        <v>100</v>
      </c>
    </row>
    <row r="2191">
      <c r="A2191" s="2" t="s">
        <v>7004</v>
      </c>
      <c r="B2191" s="2" t="s">
        <v>5764</v>
      </c>
      <c r="C2191" s="2" t="s">
        <v>3934</v>
      </c>
      <c r="D2191" s="2" t="s">
        <v>4473</v>
      </c>
      <c r="E2191" s="2" t="s">
        <v>5768</v>
      </c>
      <c r="F2191" s="2" t="s">
        <v>6980</v>
      </c>
      <c r="G2191" s="2" t="s">
        <v>6980</v>
      </c>
      <c r="H2191" s="2" t="s">
        <v>6980</v>
      </c>
      <c r="I2191" s="2" t="s">
        <v>6981</v>
      </c>
      <c r="J2191" s="2" t="s">
        <v>237</v>
      </c>
      <c r="K2191" s="2" t="s">
        <v>3560</v>
      </c>
      <c r="L2191" s="3">
        <v>12.32</v>
      </c>
      <c r="M2191" s="3">
        <v>12.94</v>
      </c>
      <c r="N2191" s="3">
        <v>28.99</v>
      </c>
      <c r="O2191" s="2" t="s">
        <v>97</v>
      </c>
      <c r="P2191" s="2" t="s">
        <v>119</v>
      </c>
      <c r="Q2191" s="2" t="s">
        <v>99</v>
      </c>
      <c r="R2191" s="2" t="s">
        <v>100</v>
      </c>
      <c r="S2191" s="2" t="s">
        <v>6245</v>
      </c>
      <c r="T2191" s="2" t="s">
        <v>4441</v>
      </c>
      <c r="U2191" s="2" t="s">
        <v>100</v>
      </c>
      <c r="V2191" s="2" t="s">
        <v>146</v>
      </c>
      <c r="W2191" s="2" t="s">
        <v>183</v>
      </c>
      <c r="X2191" s="2" t="s">
        <v>100</v>
      </c>
      <c r="Y2191" s="2" t="s">
        <v>7005</v>
      </c>
      <c r="Z2191" s="4">
        <v>544</v>
      </c>
      <c r="AA2191" s="4">
        <f>=ROUNDDOWN(30.2222222222222,0)</f>
      </c>
      <c r="AB2191" s="5">
        <v>18</v>
      </c>
      <c r="AC2191" s="2" t="s">
        <v>872</v>
      </c>
      <c r="AD2191" s="4">
        <v>170</v>
      </c>
      <c r="AE2191" s="4">
        <v>170</v>
      </c>
      <c r="AF2191" s="6">
        <v>64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>
        <v>54</v>
      </c>
      <c r="AQ2191" s="8">
        <v>612.36</v>
      </c>
      <c r="AR2191" s="4"/>
      <c r="AS2191" s="8"/>
      <c r="AT2191" s="7"/>
      <c r="AU2191" s="7"/>
      <c r="AV2191" s="4">
        <v>63</v>
      </c>
      <c r="AW2191" s="8">
        <v>765.45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0.8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0.0795</v>
      </c>
      <c r="BJ2191" s="4">
        <v>535</v>
      </c>
      <c r="BK2191" s="8">
        <v>6569.24</v>
      </c>
      <c r="BL2191" s="2" t="s">
        <v>7006</v>
      </c>
      <c r="BM2191" s="7">
        <v>0.1009</v>
      </c>
      <c r="BN2191" s="7">
        <v>0.0932</v>
      </c>
      <c r="BO2191" s="4">
        <v>54</v>
      </c>
      <c r="BP2191" s="8">
        <v>612.36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6644</v>
      </c>
      <c r="BX2191" s="2" t="s">
        <v>7007</v>
      </c>
      <c r="BY2191" s="2" t="s">
        <v>113</v>
      </c>
      <c r="BZ2191" s="2" t="s">
        <v>100</v>
      </c>
    </row>
    <row r="2192">
      <c r="A2192" s="2" t="s">
        <v>7008</v>
      </c>
      <c r="B2192" s="2" t="s">
        <v>5764</v>
      </c>
      <c r="C2192" s="2" t="s">
        <v>3934</v>
      </c>
      <c r="D2192" s="2" t="s">
        <v>4473</v>
      </c>
      <c r="E2192" s="2" t="s">
        <v>5768</v>
      </c>
      <c r="F2192" s="2" t="s">
        <v>6980</v>
      </c>
      <c r="G2192" s="2" t="s">
        <v>6980</v>
      </c>
      <c r="H2192" s="2" t="s">
        <v>6980</v>
      </c>
      <c r="I2192" s="2" t="s">
        <v>6981</v>
      </c>
      <c r="J2192" s="2" t="s">
        <v>714</v>
      </c>
      <c r="K2192" s="2" t="s">
        <v>3560</v>
      </c>
      <c r="L2192" s="3">
        <v>18.42</v>
      </c>
      <c r="M2192" s="3">
        <v>19.34</v>
      </c>
      <c r="N2192" s="3">
        <v>40.99</v>
      </c>
      <c r="O2192" s="2" t="s">
        <v>97</v>
      </c>
      <c r="P2192" s="2" t="s">
        <v>119</v>
      </c>
      <c r="Q2192" s="2" t="s">
        <v>99</v>
      </c>
      <c r="R2192" s="2" t="s">
        <v>100</v>
      </c>
      <c r="S2192" s="2" t="s">
        <v>6245</v>
      </c>
      <c r="T2192" s="2" t="s">
        <v>4441</v>
      </c>
      <c r="U2192" s="2" t="s">
        <v>100</v>
      </c>
      <c r="V2192" s="2" t="s">
        <v>146</v>
      </c>
      <c r="W2192" s="2" t="s">
        <v>183</v>
      </c>
      <c r="X2192" s="2" t="s">
        <v>100</v>
      </c>
      <c r="Y2192" s="2" t="s">
        <v>7005</v>
      </c>
      <c r="Z2192" s="4">
        <v>453</v>
      </c>
      <c r="AA2192" s="4">
        <f>=ROUNDDOWN(34.8461538461538,0)</f>
      </c>
      <c r="AB2192" s="5">
        <v>13</v>
      </c>
      <c r="AC2192" s="2" t="s">
        <v>872</v>
      </c>
      <c r="AD2192" s="4">
        <v>70</v>
      </c>
      <c r="AE2192" s="4">
        <v>70</v>
      </c>
      <c r="AF2192" s="6">
        <v>64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>
        <v>9</v>
      </c>
      <c r="AQ2192" s="8">
        <v>153.09</v>
      </c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0.2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 t="s">
        <v>100</v>
      </c>
      <c r="BJ2192" s="4">
        <v>323</v>
      </c>
      <c r="BK2192" s="8">
        <v>5819.28</v>
      </c>
      <c r="BL2192" s="2" t="s">
        <v>7009</v>
      </c>
      <c r="BM2192" s="7">
        <v>0.0279</v>
      </c>
      <c r="BN2192" s="7">
        <v>0.0263</v>
      </c>
      <c r="BO2192" s="4">
        <v>9</v>
      </c>
      <c r="BP2192" s="8">
        <v>153.09</v>
      </c>
      <c r="BQ2192" s="4"/>
      <c r="BR2192" s="8"/>
      <c r="BS2192" s="7"/>
      <c r="BT2192" s="7"/>
      <c r="BU2192" s="2" t="s">
        <v>109</v>
      </c>
      <c r="BV2192" s="2" t="s">
        <v>110</v>
      </c>
      <c r="BW2192" s="2" t="s">
        <v>6644</v>
      </c>
      <c r="BX2192" s="2" t="s">
        <v>7010</v>
      </c>
      <c r="BY2192" s="2" t="s">
        <v>113</v>
      </c>
      <c r="BZ2192" s="2" t="s">
        <v>100</v>
      </c>
    </row>
    <row r="2193">
      <c r="A2193" s="2" t="s">
        <v>7011</v>
      </c>
      <c r="B2193" s="2" t="s">
        <v>5764</v>
      </c>
      <c r="C2193" s="2" t="s">
        <v>3934</v>
      </c>
      <c r="D2193" s="2" t="s">
        <v>803</v>
      </c>
      <c r="E2193" s="2" t="s">
        <v>1532</v>
      </c>
      <c r="F2193" s="2" t="s">
        <v>1564</v>
      </c>
      <c r="G2193" s="2" t="s">
        <v>4021</v>
      </c>
      <c r="H2193" s="2" t="s">
        <v>4021</v>
      </c>
      <c r="I2193" s="2" t="s">
        <v>7012</v>
      </c>
      <c r="J2193" s="2" t="s">
        <v>237</v>
      </c>
      <c r="K2193" s="2" t="s">
        <v>96</v>
      </c>
      <c r="L2193" s="3">
        <v>28.47</v>
      </c>
      <c r="M2193" s="3">
        <v>29.89</v>
      </c>
      <c r="N2193" s="3">
        <v>59.99</v>
      </c>
      <c r="O2193" s="2" t="s">
        <v>97</v>
      </c>
      <c r="P2193" s="2" t="s">
        <v>950</v>
      </c>
      <c r="Q2193" s="2" t="s">
        <v>99</v>
      </c>
      <c r="R2193" s="2" t="s">
        <v>100</v>
      </c>
      <c r="S2193" s="2" t="s">
        <v>7013</v>
      </c>
      <c r="T2193" s="2" t="s">
        <v>6072</v>
      </c>
      <c r="U2193" s="2" t="s">
        <v>514</v>
      </c>
      <c r="V2193" s="2" t="s">
        <v>5223</v>
      </c>
      <c r="W2193" s="2" t="s">
        <v>104</v>
      </c>
      <c r="X2193" s="2" t="s">
        <v>561</v>
      </c>
      <c r="Y2193" s="2" t="s">
        <v>1385</v>
      </c>
      <c r="Z2193" s="4">
        <v>734</v>
      </c>
      <c r="AA2193" s="4">
        <f>=ROUNDDOWN(48.9333333333333,0)</f>
      </c>
      <c r="AB2193" s="5">
        <v>15</v>
      </c>
      <c r="AC2193" s="2" t="s">
        <v>356</v>
      </c>
      <c r="AD2193" s="4">
        <v>2790</v>
      </c>
      <c r="AE2193" s="4">
        <v>3150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418</v>
      </c>
      <c r="BK2193" s="8">
        <v>12033.38</v>
      </c>
      <c r="BL2193" s="2" t="s">
        <v>364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207</v>
      </c>
      <c r="BV2193" s="2" t="s">
        <v>97</v>
      </c>
      <c r="BW2193" s="2" t="s">
        <v>100</v>
      </c>
      <c r="BX2193" s="2" t="s">
        <v>100</v>
      </c>
      <c r="BY2193" s="2" t="s">
        <v>113</v>
      </c>
      <c r="BZ2193" s="2" t="s">
        <v>100</v>
      </c>
    </row>
    <row r="2194">
      <c r="A2194" s="2" t="s">
        <v>7014</v>
      </c>
      <c r="B2194" s="2" t="s">
        <v>5764</v>
      </c>
      <c r="C2194" s="2" t="s">
        <v>3934</v>
      </c>
      <c r="D2194" s="2" t="s">
        <v>803</v>
      </c>
      <c r="E2194" s="2" t="s">
        <v>1532</v>
      </c>
      <c r="F2194" s="2" t="s">
        <v>1564</v>
      </c>
      <c r="G2194" s="2" t="s">
        <v>4021</v>
      </c>
      <c r="H2194" s="2" t="s">
        <v>4021</v>
      </c>
      <c r="I2194" s="2" t="s">
        <v>7012</v>
      </c>
      <c r="J2194" s="2" t="s">
        <v>247</v>
      </c>
      <c r="K2194" s="2" t="s">
        <v>96</v>
      </c>
      <c r="L2194" s="3">
        <v>37.23</v>
      </c>
      <c r="M2194" s="3">
        <v>39.09</v>
      </c>
      <c r="N2194" s="3">
        <v>79.99</v>
      </c>
      <c r="O2194" s="2" t="s">
        <v>97</v>
      </c>
      <c r="P2194" s="2" t="s">
        <v>950</v>
      </c>
      <c r="Q2194" s="2" t="s">
        <v>99</v>
      </c>
      <c r="R2194" s="2" t="s">
        <v>100</v>
      </c>
      <c r="S2194" s="2" t="s">
        <v>7013</v>
      </c>
      <c r="T2194" s="2" t="s">
        <v>6072</v>
      </c>
      <c r="U2194" s="2" t="s">
        <v>480</v>
      </c>
      <c r="V2194" s="2" t="s">
        <v>5223</v>
      </c>
      <c r="W2194" s="2" t="s">
        <v>104</v>
      </c>
      <c r="X2194" s="2" t="s">
        <v>561</v>
      </c>
      <c r="Y2194" s="2" t="s">
        <v>1385</v>
      </c>
      <c r="Z2194" s="4">
        <v>989</v>
      </c>
      <c r="AA2194" s="4">
        <f>=ROUNDDOWN(39.56,0)</f>
      </c>
      <c r="AB2194" s="5">
        <v>25</v>
      </c>
      <c r="AC2194" s="2" t="s">
        <v>542</v>
      </c>
      <c r="AD2194" s="4">
        <v>320</v>
      </c>
      <c r="AE2194" s="4">
        <v>940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624</v>
      </c>
      <c r="BK2194" s="8">
        <v>23589.53</v>
      </c>
      <c r="BL2194" s="2" t="s">
        <v>7015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207</v>
      </c>
      <c r="BV2194" s="2" t="s">
        <v>97</v>
      </c>
      <c r="BW2194" s="2" t="s">
        <v>100</v>
      </c>
      <c r="BX2194" s="2" t="s">
        <v>100</v>
      </c>
      <c r="BY2194" s="2" t="s">
        <v>113</v>
      </c>
      <c r="BZ2194" s="2" t="s">
        <v>100</v>
      </c>
    </row>
    <row r="2195">
      <c r="A2195" s="2" t="s">
        <v>7016</v>
      </c>
      <c r="B2195" s="2" t="s">
        <v>5764</v>
      </c>
      <c r="C2195" s="2" t="s">
        <v>3934</v>
      </c>
      <c r="D2195" s="2" t="s">
        <v>803</v>
      </c>
      <c r="E2195" s="2" t="s">
        <v>1532</v>
      </c>
      <c r="F2195" s="2" t="s">
        <v>1564</v>
      </c>
      <c r="G2195" s="2" t="s">
        <v>4021</v>
      </c>
      <c r="H2195" s="2" t="s">
        <v>4021</v>
      </c>
      <c r="I2195" s="2" t="s">
        <v>7012</v>
      </c>
      <c r="J2195" s="2" t="s">
        <v>270</v>
      </c>
      <c r="K2195" s="2" t="s">
        <v>96</v>
      </c>
      <c r="L2195" s="3">
        <v>41.61</v>
      </c>
      <c r="M2195" s="3">
        <v>43.69</v>
      </c>
      <c r="N2195" s="3">
        <v>89.99</v>
      </c>
      <c r="O2195" s="2" t="s">
        <v>97</v>
      </c>
      <c r="P2195" s="2" t="s">
        <v>950</v>
      </c>
      <c r="Q2195" s="2" t="s">
        <v>99</v>
      </c>
      <c r="R2195" s="2" t="s">
        <v>100</v>
      </c>
      <c r="S2195" s="2" t="s">
        <v>7013</v>
      </c>
      <c r="T2195" s="2" t="s">
        <v>6072</v>
      </c>
      <c r="U2195" s="2" t="s">
        <v>480</v>
      </c>
      <c r="V2195" s="2" t="s">
        <v>5223</v>
      </c>
      <c r="W2195" s="2" t="s">
        <v>104</v>
      </c>
      <c r="X2195" s="2" t="s">
        <v>561</v>
      </c>
      <c r="Y2195" s="2" t="s">
        <v>1385</v>
      </c>
      <c r="Z2195" s="4">
        <v>568</v>
      </c>
      <c r="AA2195" s="4">
        <f>=ROUNDDOWN(43.6923076923077,0)</f>
      </c>
      <c r="AB2195" s="5">
        <v>13</v>
      </c>
      <c r="AC2195" s="2" t="s">
        <v>356</v>
      </c>
      <c r="AD2195" s="4">
        <v>1260</v>
      </c>
      <c r="AE2195" s="4">
        <v>1570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202</v>
      </c>
      <c r="BK2195" s="8">
        <v>8585.93</v>
      </c>
      <c r="BL2195" s="2" t="s">
        <v>7017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207</v>
      </c>
      <c r="BV2195" s="2" t="s">
        <v>97</v>
      </c>
      <c r="BW2195" s="2" t="s">
        <v>100</v>
      </c>
      <c r="BX2195" s="2" t="s">
        <v>100</v>
      </c>
      <c r="BY2195" s="2" t="s">
        <v>113</v>
      </c>
      <c r="BZ2195" s="2" t="s">
        <v>100</v>
      </c>
    </row>
    <row r="2196">
      <c r="A2196" s="2" t="s">
        <v>7018</v>
      </c>
      <c r="B2196" s="2" t="s">
        <v>5764</v>
      </c>
      <c r="C2196" s="2" t="s">
        <v>3934</v>
      </c>
      <c r="D2196" s="2" t="s">
        <v>803</v>
      </c>
      <c r="E2196" s="2" t="s">
        <v>1532</v>
      </c>
      <c r="F2196" s="2" t="s">
        <v>1564</v>
      </c>
      <c r="G2196" s="2" t="s">
        <v>4021</v>
      </c>
      <c r="H2196" s="2" t="s">
        <v>4021</v>
      </c>
      <c r="I2196" s="2" t="s">
        <v>7012</v>
      </c>
      <c r="J2196" s="2" t="s">
        <v>237</v>
      </c>
      <c r="K2196" s="2" t="s">
        <v>432</v>
      </c>
      <c r="L2196" s="3">
        <v>28.47</v>
      </c>
      <c r="M2196" s="3">
        <v>29.89</v>
      </c>
      <c r="N2196" s="3">
        <v>59.99</v>
      </c>
      <c r="O2196" s="2" t="s">
        <v>97</v>
      </c>
      <c r="P2196" s="2" t="s">
        <v>950</v>
      </c>
      <c r="Q2196" s="2" t="s">
        <v>99</v>
      </c>
      <c r="R2196" s="2" t="s">
        <v>100</v>
      </c>
      <c r="S2196" s="2" t="s">
        <v>7019</v>
      </c>
      <c r="T2196" s="2" t="s">
        <v>6072</v>
      </c>
      <c r="U2196" s="2" t="s">
        <v>514</v>
      </c>
      <c r="V2196" s="2" t="s">
        <v>5223</v>
      </c>
      <c r="W2196" s="2" t="s">
        <v>104</v>
      </c>
      <c r="X2196" s="2" t="s">
        <v>561</v>
      </c>
      <c r="Y2196" s="2" t="s">
        <v>1385</v>
      </c>
      <c r="Z2196" s="4">
        <v>736</v>
      </c>
      <c r="AA2196" s="4">
        <f>=ROUNDDOWN(43.2941176470588,0)</f>
      </c>
      <c r="AB2196" s="5">
        <v>17</v>
      </c>
      <c r="AC2196" s="2" t="s">
        <v>1069</v>
      </c>
      <c r="AD2196" s="4">
        <v>9</v>
      </c>
      <c r="AE2196" s="4">
        <v>2260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442</v>
      </c>
      <c r="BK2196" s="8">
        <v>12663.17</v>
      </c>
      <c r="BL2196" s="2" t="s">
        <v>7020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207</v>
      </c>
      <c r="BV2196" s="2" t="s">
        <v>97</v>
      </c>
      <c r="BW2196" s="2" t="s">
        <v>100</v>
      </c>
      <c r="BX2196" s="2" t="s">
        <v>100</v>
      </c>
      <c r="BY2196" s="2" t="s">
        <v>113</v>
      </c>
      <c r="BZ2196" s="2" t="s">
        <v>100</v>
      </c>
    </row>
    <row r="2197">
      <c r="A2197" s="2" t="s">
        <v>7021</v>
      </c>
      <c r="B2197" s="2" t="s">
        <v>5764</v>
      </c>
      <c r="C2197" s="2" t="s">
        <v>3934</v>
      </c>
      <c r="D2197" s="2" t="s">
        <v>803</v>
      </c>
      <c r="E2197" s="2" t="s">
        <v>1532</v>
      </c>
      <c r="F2197" s="2" t="s">
        <v>1564</v>
      </c>
      <c r="G2197" s="2" t="s">
        <v>4021</v>
      </c>
      <c r="H2197" s="2" t="s">
        <v>4021</v>
      </c>
      <c r="I2197" s="2" t="s">
        <v>7012</v>
      </c>
      <c r="J2197" s="2" t="s">
        <v>247</v>
      </c>
      <c r="K2197" s="2" t="s">
        <v>432</v>
      </c>
      <c r="L2197" s="3">
        <v>37.23</v>
      </c>
      <c r="M2197" s="3">
        <v>39.09</v>
      </c>
      <c r="N2197" s="3">
        <v>79.99</v>
      </c>
      <c r="O2197" s="2" t="s">
        <v>97</v>
      </c>
      <c r="P2197" s="2" t="s">
        <v>950</v>
      </c>
      <c r="Q2197" s="2" t="s">
        <v>99</v>
      </c>
      <c r="R2197" s="2" t="s">
        <v>100</v>
      </c>
      <c r="S2197" s="2" t="s">
        <v>7019</v>
      </c>
      <c r="T2197" s="2" t="s">
        <v>6072</v>
      </c>
      <c r="U2197" s="2" t="s">
        <v>480</v>
      </c>
      <c r="V2197" s="2" t="s">
        <v>5223</v>
      </c>
      <c r="W2197" s="2" t="s">
        <v>104</v>
      </c>
      <c r="X2197" s="2" t="s">
        <v>561</v>
      </c>
      <c r="Y2197" s="2" t="s">
        <v>1385</v>
      </c>
      <c r="Z2197" s="4">
        <v>1173</v>
      </c>
      <c r="AA2197" s="4">
        <f>=ROUNDDOWN(41.8928571428571,0)</f>
      </c>
      <c r="AB2197" s="5">
        <v>28</v>
      </c>
      <c r="AC2197" s="2" t="s">
        <v>1069</v>
      </c>
      <c r="AD2197" s="4">
        <v>9</v>
      </c>
      <c r="AE2197" s="4">
        <v>7150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715</v>
      </c>
      <c r="BK2197" s="8">
        <v>27082.81</v>
      </c>
      <c r="BL2197" s="2" t="s">
        <v>7015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207</v>
      </c>
      <c r="BV2197" s="2" t="s">
        <v>97</v>
      </c>
      <c r="BW2197" s="2" t="s">
        <v>100</v>
      </c>
      <c r="BX2197" s="2" t="s">
        <v>100</v>
      </c>
      <c r="BY2197" s="2" t="s">
        <v>113</v>
      </c>
      <c r="BZ2197" s="2" t="s">
        <v>100</v>
      </c>
    </row>
    <row r="2198">
      <c r="A2198" s="2" t="s">
        <v>7022</v>
      </c>
      <c r="B2198" s="2" t="s">
        <v>5764</v>
      </c>
      <c r="C2198" s="2" t="s">
        <v>3934</v>
      </c>
      <c r="D2198" s="2" t="s">
        <v>803</v>
      </c>
      <c r="E2198" s="2" t="s">
        <v>1532</v>
      </c>
      <c r="F2198" s="2" t="s">
        <v>1564</v>
      </c>
      <c r="G2198" s="2" t="s">
        <v>4021</v>
      </c>
      <c r="H2198" s="2" t="s">
        <v>4021</v>
      </c>
      <c r="I2198" s="2" t="s">
        <v>7012</v>
      </c>
      <c r="J2198" s="2" t="s">
        <v>270</v>
      </c>
      <c r="K2198" s="2" t="s">
        <v>432</v>
      </c>
      <c r="L2198" s="3">
        <v>41.61</v>
      </c>
      <c r="M2198" s="3">
        <v>43.69</v>
      </c>
      <c r="N2198" s="3">
        <v>89.99</v>
      </c>
      <c r="O2198" s="2" t="s">
        <v>97</v>
      </c>
      <c r="P2198" s="2" t="s">
        <v>950</v>
      </c>
      <c r="Q2198" s="2" t="s">
        <v>99</v>
      </c>
      <c r="R2198" s="2" t="s">
        <v>100</v>
      </c>
      <c r="S2198" s="2" t="s">
        <v>7019</v>
      </c>
      <c r="T2198" s="2" t="s">
        <v>6072</v>
      </c>
      <c r="U2198" s="2" t="s">
        <v>480</v>
      </c>
      <c r="V2198" s="2" t="s">
        <v>5223</v>
      </c>
      <c r="W2198" s="2" t="s">
        <v>104</v>
      </c>
      <c r="X2198" s="2" t="s">
        <v>561</v>
      </c>
      <c r="Y2198" s="2" t="s">
        <v>1385</v>
      </c>
      <c r="Z2198" s="4">
        <v>720</v>
      </c>
      <c r="AA2198" s="4">
        <f>=ROUNDDOWN(45,0)</f>
      </c>
      <c r="AB2198" s="5">
        <v>16</v>
      </c>
      <c r="AC2198" s="2" t="s">
        <v>356</v>
      </c>
      <c r="AD2198" s="4">
        <v>2160</v>
      </c>
      <c r="AE2198" s="4">
        <v>2578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258</v>
      </c>
      <c r="BK2198" s="8">
        <v>10929.18</v>
      </c>
      <c r="BL2198" s="2" t="s">
        <v>7023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207</v>
      </c>
      <c r="BV2198" s="2" t="s">
        <v>97</v>
      </c>
      <c r="BW2198" s="2" t="s">
        <v>100</v>
      </c>
      <c r="BX2198" s="2" t="s">
        <v>100</v>
      </c>
      <c r="BY2198" s="2" t="s">
        <v>113</v>
      </c>
      <c r="BZ2198" s="2" t="s">
        <v>100</v>
      </c>
    </row>
    <row r="2199">
      <c r="A2199" s="2" t="s">
        <v>7024</v>
      </c>
      <c r="B2199" s="2" t="s">
        <v>5764</v>
      </c>
      <c r="C2199" s="2" t="s">
        <v>3934</v>
      </c>
      <c r="D2199" s="2" t="s">
        <v>803</v>
      </c>
      <c r="E2199" s="2" t="s">
        <v>1532</v>
      </c>
      <c r="F2199" s="2" t="s">
        <v>1564</v>
      </c>
      <c r="G2199" s="2" t="s">
        <v>4021</v>
      </c>
      <c r="H2199" s="2" t="s">
        <v>4021</v>
      </c>
      <c r="I2199" s="2" t="s">
        <v>7012</v>
      </c>
      <c r="J2199" s="2" t="s">
        <v>237</v>
      </c>
      <c r="K2199" s="2" t="s">
        <v>198</v>
      </c>
      <c r="L2199" s="3">
        <v>28.47</v>
      </c>
      <c r="M2199" s="3">
        <v>29.89</v>
      </c>
      <c r="N2199" s="3">
        <v>59.99</v>
      </c>
      <c r="O2199" s="2" t="s">
        <v>97</v>
      </c>
      <c r="P2199" s="2" t="s">
        <v>950</v>
      </c>
      <c r="Q2199" s="2" t="s">
        <v>99</v>
      </c>
      <c r="R2199" s="2" t="s">
        <v>100</v>
      </c>
      <c r="S2199" s="2" t="s">
        <v>7025</v>
      </c>
      <c r="T2199" s="2" t="s">
        <v>6072</v>
      </c>
      <c r="U2199" s="2" t="s">
        <v>514</v>
      </c>
      <c r="V2199" s="2" t="s">
        <v>5223</v>
      </c>
      <c r="W2199" s="2" t="s">
        <v>104</v>
      </c>
      <c r="X2199" s="2" t="s">
        <v>561</v>
      </c>
      <c r="Y2199" s="2" t="s">
        <v>1385</v>
      </c>
      <c r="Z2199" s="4">
        <v>755</v>
      </c>
      <c r="AA2199" s="4">
        <f>=ROUNDDOWN(68.6363636363636,0)</f>
      </c>
      <c r="AB2199" s="5">
        <v>11</v>
      </c>
      <c r="AC2199" s="2" t="s">
        <v>356</v>
      </c>
      <c r="AD2199" s="4">
        <v>1620</v>
      </c>
      <c r="AE2199" s="4">
        <v>1920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235</v>
      </c>
      <c r="BK2199" s="8">
        <v>6716.23</v>
      </c>
      <c r="BL2199" s="2" t="s">
        <v>7026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207</v>
      </c>
      <c r="BV2199" s="2" t="s">
        <v>97</v>
      </c>
      <c r="BW2199" s="2" t="s">
        <v>100</v>
      </c>
      <c r="BX2199" s="2" t="s">
        <v>100</v>
      </c>
      <c r="BY2199" s="2" t="s">
        <v>113</v>
      </c>
      <c r="BZ2199" s="2" t="s">
        <v>100</v>
      </c>
    </row>
    <row r="2200">
      <c r="A2200" s="2" t="s">
        <v>7027</v>
      </c>
      <c r="B2200" s="2" t="s">
        <v>5764</v>
      </c>
      <c r="C2200" s="2" t="s">
        <v>3934</v>
      </c>
      <c r="D2200" s="2" t="s">
        <v>803</v>
      </c>
      <c r="E2200" s="2" t="s">
        <v>1532</v>
      </c>
      <c r="F2200" s="2" t="s">
        <v>1564</v>
      </c>
      <c r="G2200" s="2" t="s">
        <v>4021</v>
      </c>
      <c r="H2200" s="2" t="s">
        <v>4021</v>
      </c>
      <c r="I2200" s="2" t="s">
        <v>7012</v>
      </c>
      <c r="J2200" s="2" t="s">
        <v>247</v>
      </c>
      <c r="K2200" s="2" t="s">
        <v>198</v>
      </c>
      <c r="L2200" s="3">
        <v>37.23</v>
      </c>
      <c r="M2200" s="3">
        <v>39.09</v>
      </c>
      <c r="N2200" s="3">
        <v>79.99</v>
      </c>
      <c r="O2200" s="2" t="s">
        <v>97</v>
      </c>
      <c r="P2200" s="2" t="s">
        <v>950</v>
      </c>
      <c r="Q2200" s="2" t="s">
        <v>99</v>
      </c>
      <c r="R2200" s="2" t="s">
        <v>100</v>
      </c>
      <c r="S2200" s="2" t="s">
        <v>7025</v>
      </c>
      <c r="T2200" s="2" t="s">
        <v>6072</v>
      </c>
      <c r="U2200" s="2" t="s">
        <v>480</v>
      </c>
      <c r="V2200" s="2" t="s">
        <v>5223</v>
      </c>
      <c r="W2200" s="2" t="s">
        <v>104</v>
      </c>
      <c r="X2200" s="2" t="s">
        <v>561</v>
      </c>
      <c r="Y2200" s="2" t="s">
        <v>1385</v>
      </c>
      <c r="Z2200" s="4">
        <v>1090</v>
      </c>
      <c r="AA2200" s="4">
        <f>=ROUNDDOWN(40.3703703703704,0)</f>
      </c>
      <c r="AB2200" s="5">
        <v>27</v>
      </c>
      <c r="AC2200" s="2" t="s">
        <v>356</v>
      </c>
      <c r="AD2200" s="4">
        <v>2970</v>
      </c>
      <c r="AE2200" s="4">
        <v>3770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581</v>
      </c>
      <c r="BK2200" s="8">
        <v>21907.36</v>
      </c>
      <c r="BL2200" s="2" t="s">
        <v>7028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207</v>
      </c>
      <c r="BV2200" s="2" t="s">
        <v>97</v>
      </c>
      <c r="BW2200" s="2" t="s">
        <v>100</v>
      </c>
      <c r="BX2200" s="2" t="s">
        <v>100</v>
      </c>
      <c r="BY2200" s="2" t="s">
        <v>113</v>
      </c>
      <c r="BZ2200" s="2" t="s">
        <v>100</v>
      </c>
    </row>
    <row r="2201">
      <c r="A2201" s="2" t="s">
        <v>7029</v>
      </c>
      <c r="B2201" s="2" t="s">
        <v>5764</v>
      </c>
      <c r="C2201" s="2" t="s">
        <v>3934</v>
      </c>
      <c r="D2201" s="2" t="s">
        <v>803</v>
      </c>
      <c r="E2201" s="2" t="s">
        <v>1532</v>
      </c>
      <c r="F2201" s="2" t="s">
        <v>1564</v>
      </c>
      <c r="G2201" s="2" t="s">
        <v>4021</v>
      </c>
      <c r="H2201" s="2" t="s">
        <v>4021</v>
      </c>
      <c r="I2201" s="2" t="s">
        <v>7012</v>
      </c>
      <c r="J2201" s="2" t="s">
        <v>270</v>
      </c>
      <c r="K2201" s="2" t="s">
        <v>198</v>
      </c>
      <c r="L2201" s="3">
        <v>41.61</v>
      </c>
      <c r="M2201" s="3">
        <v>43.69</v>
      </c>
      <c r="N2201" s="3">
        <v>89.99</v>
      </c>
      <c r="O2201" s="2" t="s">
        <v>97</v>
      </c>
      <c r="P2201" s="2" t="s">
        <v>950</v>
      </c>
      <c r="Q2201" s="2" t="s">
        <v>99</v>
      </c>
      <c r="R2201" s="2" t="s">
        <v>100</v>
      </c>
      <c r="S2201" s="2" t="s">
        <v>7025</v>
      </c>
      <c r="T2201" s="2" t="s">
        <v>6072</v>
      </c>
      <c r="U2201" s="2" t="s">
        <v>480</v>
      </c>
      <c r="V2201" s="2" t="s">
        <v>5223</v>
      </c>
      <c r="W2201" s="2" t="s">
        <v>104</v>
      </c>
      <c r="X2201" s="2" t="s">
        <v>561</v>
      </c>
      <c r="Y2201" s="2" t="s">
        <v>1385</v>
      </c>
      <c r="Z2201" s="4">
        <v>827</v>
      </c>
      <c r="AA2201" s="4">
        <f>=ROUNDDOWN(35.9565217391304,0)</f>
      </c>
      <c r="AB2201" s="5">
        <v>23</v>
      </c>
      <c r="AC2201" s="2" t="s">
        <v>542</v>
      </c>
      <c r="AD2201" s="4">
        <v>150</v>
      </c>
      <c r="AE2201" s="4">
        <v>500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429</v>
      </c>
      <c r="BK2201" s="8">
        <v>18327.66</v>
      </c>
      <c r="BL2201" s="2" t="s">
        <v>7026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207</v>
      </c>
      <c r="BV2201" s="2" t="s">
        <v>97</v>
      </c>
      <c r="BW2201" s="2" t="s">
        <v>100</v>
      </c>
      <c r="BX2201" s="2" t="s">
        <v>100</v>
      </c>
      <c r="BY2201" s="2" t="s">
        <v>113</v>
      </c>
      <c r="BZ2201" s="2" t="s">
        <v>100</v>
      </c>
    </row>
    <row r="2202">
      <c r="A2202" s="2" t="s">
        <v>7030</v>
      </c>
      <c r="B2202" s="2" t="s">
        <v>5764</v>
      </c>
      <c r="C2202" s="2" t="s">
        <v>3934</v>
      </c>
      <c r="D2202" s="2" t="s">
        <v>803</v>
      </c>
      <c r="E2202" s="2" t="s">
        <v>1532</v>
      </c>
      <c r="F2202" s="2" t="s">
        <v>1564</v>
      </c>
      <c r="G2202" s="2" t="s">
        <v>4021</v>
      </c>
      <c r="H2202" s="2" t="s">
        <v>4021</v>
      </c>
      <c r="I2202" s="2" t="s">
        <v>7012</v>
      </c>
      <c r="J2202" s="2" t="s">
        <v>237</v>
      </c>
      <c r="K2202" s="2" t="s">
        <v>858</v>
      </c>
      <c r="L2202" s="3">
        <v>28.47</v>
      </c>
      <c r="M2202" s="3">
        <v>29.89</v>
      </c>
      <c r="N2202" s="3">
        <v>59.99</v>
      </c>
      <c r="O2202" s="2" t="s">
        <v>97</v>
      </c>
      <c r="P2202" s="2" t="s">
        <v>119</v>
      </c>
      <c r="Q2202" s="2" t="s">
        <v>99</v>
      </c>
      <c r="R2202" s="2" t="s">
        <v>100</v>
      </c>
      <c r="S2202" s="2" t="s">
        <v>7031</v>
      </c>
      <c r="T2202" s="2" t="s">
        <v>6072</v>
      </c>
      <c r="U2202" s="2" t="s">
        <v>514</v>
      </c>
      <c r="V2202" s="2" t="s">
        <v>5223</v>
      </c>
      <c r="W2202" s="2" t="s">
        <v>104</v>
      </c>
      <c r="X2202" s="2" t="s">
        <v>561</v>
      </c>
      <c r="Y2202" s="2" t="s">
        <v>416</v>
      </c>
      <c r="Z2202" s="4">
        <v>438</v>
      </c>
      <c r="AA2202" s="4">
        <f>=ROUNDDOWN(62.5714285714286,0)</f>
      </c>
      <c r="AB2202" s="5">
        <v>7</v>
      </c>
      <c r="AC2202" s="2" t="s">
        <v>931</v>
      </c>
      <c r="AD2202" s="4">
        <v>40</v>
      </c>
      <c r="AE2202" s="4">
        <v>100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150</v>
      </c>
      <c r="BK2202" s="8">
        <v>4299.66</v>
      </c>
      <c r="BL2202" s="2" t="s">
        <v>780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207</v>
      </c>
      <c r="BV2202" s="2" t="s">
        <v>97</v>
      </c>
      <c r="BW2202" s="2" t="s">
        <v>100</v>
      </c>
      <c r="BX2202" s="2" t="s">
        <v>100</v>
      </c>
      <c r="BY2202" s="2" t="s">
        <v>113</v>
      </c>
      <c r="BZ2202" s="2" t="s">
        <v>100</v>
      </c>
    </row>
    <row r="2203">
      <c r="A2203" s="2" t="s">
        <v>7032</v>
      </c>
      <c r="B2203" s="2" t="s">
        <v>5764</v>
      </c>
      <c r="C2203" s="2" t="s">
        <v>3934</v>
      </c>
      <c r="D2203" s="2" t="s">
        <v>803</v>
      </c>
      <c r="E2203" s="2" t="s">
        <v>1532</v>
      </c>
      <c r="F2203" s="2" t="s">
        <v>1564</v>
      </c>
      <c r="G2203" s="2" t="s">
        <v>4021</v>
      </c>
      <c r="H2203" s="2" t="s">
        <v>4021</v>
      </c>
      <c r="I2203" s="2" t="s">
        <v>7012</v>
      </c>
      <c r="J2203" s="2" t="s">
        <v>247</v>
      </c>
      <c r="K2203" s="2" t="s">
        <v>858</v>
      </c>
      <c r="L2203" s="3">
        <v>37.23</v>
      </c>
      <c r="M2203" s="3">
        <v>39.09</v>
      </c>
      <c r="N2203" s="3">
        <v>79.99</v>
      </c>
      <c r="O2203" s="2" t="s">
        <v>97</v>
      </c>
      <c r="P2203" s="2" t="s">
        <v>119</v>
      </c>
      <c r="Q2203" s="2" t="s">
        <v>99</v>
      </c>
      <c r="R2203" s="2" t="s">
        <v>100</v>
      </c>
      <c r="S2203" s="2" t="s">
        <v>7031</v>
      </c>
      <c r="T2203" s="2" t="s">
        <v>6072</v>
      </c>
      <c r="U2203" s="2" t="s">
        <v>480</v>
      </c>
      <c r="V2203" s="2" t="s">
        <v>5223</v>
      </c>
      <c r="W2203" s="2" t="s">
        <v>104</v>
      </c>
      <c r="X2203" s="2" t="s">
        <v>561</v>
      </c>
      <c r="Y2203" s="2" t="s">
        <v>416</v>
      </c>
      <c r="Z2203" s="4">
        <v>656</v>
      </c>
      <c r="AA2203" s="4">
        <f>=ROUNDDOWN(42.8758169934641,0)</f>
      </c>
      <c r="AB2203" s="5">
        <v>15.3</v>
      </c>
      <c r="AC2203" s="2" t="s">
        <v>542</v>
      </c>
      <c r="AD2203" s="4">
        <v>150</v>
      </c>
      <c r="AE2203" s="4">
        <v>750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365</v>
      </c>
      <c r="BK2203" s="8">
        <v>13887.53</v>
      </c>
      <c r="BL2203" s="2" t="s">
        <v>1336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207</v>
      </c>
      <c r="BV2203" s="2" t="s">
        <v>97</v>
      </c>
      <c r="BW2203" s="2" t="s">
        <v>100</v>
      </c>
      <c r="BX2203" s="2" t="s">
        <v>100</v>
      </c>
      <c r="BY2203" s="2" t="s">
        <v>113</v>
      </c>
      <c r="BZ2203" s="2" t="s">
        <v>100</v>
      </c>
    </row>
    <row r="2204">
      <c r="A2204" s="2" t="s">
        <v>7033</v>
      </c>
      <c r="B2204" s="2" t="s">
        <v>5764</v>
      </c>
      <c r="C2204" s="2" t="s">
        <v>3934</v>
      </c>
      <c r="D2204" s="2" t="s">
        <v>803</v>
      </c>
      <c r="E2204" s="2" t="s">
        <v>1532</v>
      </c>
      <c r="F2204" s="2" t="s">
        <v>1564</v>
      </c>
      <c r="G2204" s="2" t="s">
        <v>4021</v>
      </c>
      <c r="H2204" s="2" t="s">
        <v>4021</v>
      </c>
      <c r="I2204" s="2" t="s">
        <v>7012</v>
      </c>
      <c r="J2204" s="2" t="s">
        <v>270</v>
      </c>
      <c r="K2204" s="2" t="s">
        <v>858</v>
      </c>
      <c r="L2204" s="3">
        <v>41.61</v>
      </c>
      <c r="M2204" s="3">
        <v>43.69</v>
      </c>
      <c r="N2204" s="3">
        <v>89.99</v>
      </c>
      <c r="O2204" s="2" t="s">
        <v>97</v>
      </c>
      <c r="P2204" s="2" t="s">
        <v>119</v>
      </c>
      <c r="Q2204" s="2" t="s">
        <v>99</v>
      </c>
      <c r="R2204" s="2" t="s">
        <v>100</v>
      </c>
      <c r="S2204" s="2" t="s">
        <v>7031</v>
      </c>
      <c r="T2204" s="2" t="s">
        <v>6072</v>
      </c>
      <c r="U2204" s="2" t="s">
        <v>480</v>
      </c>
      <c r="V2204" s="2" t="s">
        <v>5223</v>
      </c>
      <c r="W2204" s="2" t="s">
        <v>104</v>
      </c>
      <c r="X2204" s="2" t="s">
        <v>561</v>
      </c>
      <c r="Y2204" s="2" t="s">
        <v>416</v>
      </c>
      <c r="Z2204" s="4">
        <v>259</v>
      </c>
      <c r="AA2204" s="4">
        <f>=ROUNDDOWN(15.2352941176471,0)</f>
      </c>
      <c r="AB2204" s="5">
        <v>17</v>
      </c>
      <c r="AC2204" s="2" t="s">
        <v>542</v>
      </c>
      <c r="AD2204" s="4">
        <v>160</v>
      </c>
      <c r="AE2204" s="4">
        <v>750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339</v>
      </c>
      <c r="BK2204" s="8">
        <v>14642.36</v>
      </c>
      <c r="BL2204" s="2" t="s">
        <v>2292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207</v>
      </c>
      <c r="BV2204" s="2" t="s">
        <v>97</v>
      </c>
      <c r="BW2204" s="2" t="s">
        <v>100</v>
      </c>
      <c r="BX2204" s="2" t="s">
        <v>100</v>
      </c>
      <c r="BY2204" s="2" t="s">
        <v>113</v>
      </c>
      <c r="BZ2204" s="2" t="s">
        <v>100</v>
      </c>
    </row>
    <row r="2205">
      <c r="A2205" s="2" t="s">
        <v>7034</v>
      </c>
      <c r="B2205" s="2" t="s">
        <v>5764</v>
      </c>
      <c r="C2205" s="2" t="s">
        <v>3934</v>
      </c>
      <c r="D2205" s="2" t="s">
        <v>803</v>
      </c>
      <c r="E2205" s="2" t="s">
        <v>1532</v>
      </c>
      <c r="F2205" s="2" t="s">
        <v>7035</v>
      </c>
      <c r="G2205" s="2" t="s">
        <v>1683</v>
      </c>
      <c r="H2205" s="2" t="s">
        <v>1683</v>
      </c>
      <c r="I2205" s="2" t="s">
        <v>7036</v>
      </c>
      <c r="J2205" s="2" t="s">
        <v>237</v>
      </c>
      <c r="K2205" s="2" t="s">
        <v>96</v>
      </c>
      <c r="L2205" s="3">
        <v>28.47</v>
      </c>
      <c r="M2205" s="3">
        <v>29.89</v>
      </c>
      <c r="N2205" s="3">
        <v>59.99</v>
      </c>
      <c r="O2205" s="2" t="s">
        <v>97</v>
      </c>
      <c r="P2205" s="2" t="s">
        <v>119</v>
      </c>
      <c r="Q2205" s="2" t="s">
        <v>99</v>
      </c>
      <c r="R2205" s="2" t="s">
        <v>100</v>
      </c>
      <c r="S2205" s="2" t="s">
        <v>7037</v>
      </c>
      <c r="T2205" s="2" t="s">
        <v>6072</v>
      </c>
      <c r="U2205" s="2" t="s">
        <v>514</v>
      </c>
      <c r="V2205" s="2" t="s">
        <v>146</v>
      </c>
      <c r="W2205" s="2" t="s">
        <v>673</v>
      </c>
      <c r="X2205" s="2" t="s">
        <v>561</v>
      </c>
      <c r="Y2205" s="2" t="s">
        <v>7038</v>
      </c>
      <c r="Z2205" s="4">
        <v>424</v>
      </c>
      <c r="AA2205" s="4">
        <f>=ROUNDDOWN(53,0)</f>
      </c>
      <c r="AB2205" s="5">
        <v>8</v>
      </c>
      <c r="AC2205" s="2" t="s">
        <v>5658</v>
      </c>
      <c r="AD2205" s="4">
        <v>60</v>
      </c>
      <c r="AE2205" s="4">
        <v>350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206</v>
      </c>
      <c r="BK2205" s="8">
        <v>6452.47</v>
      </c>
      <c r="BL2205" s="2" t="s">
        <v>7039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207</v>
      </c>
      <c r="BV2205" s="2" t="s">
        <v>97</v>
      </c>
      <c r="BW2205" s="2" t="s">
        <v>100</v>
      </c>
      <c r="BX2205" s="2" t="s">
        <v>100</v>
      </c>
      <c r="BY2205" s="2" t="s">
        <v>113</v>
      </c>
      <c r="BZ2205" s="2" t="s">
        <v>100</v>
      </c>
    </row>
    <row r="2206">
      <c r="A2206" s="2" t="s">
        <v>7040</v>
      </c>
      <c r="B2206" s="2" t="s">
        <v>5764</v>
      </c>
      <c r="C2206" s="2" t="s">
        <v>3934</v>
      </c>
      <c r="D2206" s="2" t="s">
        <v>803</v>
      </c>
      <c r="E2206" s="2" t="s">
        <v>1532</v>
      </c>
      <c r="F2206" s="2" t="s">
        <v>7035</v>
      </c>
      <c r="G2206" s="2" t="s">
        <v>1683</v>
      </c>
      <c r="H2206" s="2" t="s">
        <v>1683</v>
      </c>
      <c r="I2206" s="2" t="s">
        <v>7036</v>
      </c>
      <c r="J2206" s="2" t="s">
        <v>247</v>
      </c>
      <c r="K2206" s="2" t="s">
        <v>96</v>
      </c>
      <c r="L2206" s="3">
        <v>37.23</v>
      </c>
      <c r="M2206" s="3">
        <v>39.09</v>
      </c>
      <c r="N2206" s="3">
        <v>79.99</v>
      </c>
      <c r="O2206" s="2" t="s">
        <v>97</v>
      </c>
      <c r="P2206" s="2" t="s">
        <v>119</v>
      </c>
      <c r="Q2206" s="2" t="s">
        <v>99</v>
      </c>
      <c r="R2206" s="2" t="s">
        <v>100</v>
      </c>
      <c r="S2206" s="2" t="s">
        <v>7037</v>
      </c>
      <c r="T2206" s="2" t="s">
        <v>6072</v>
      </c>
      <c r="U2206" s="2" t="s">
        <v>480</v>
      </c>
      <c r="V2206" s="2" t="s">
        <v>146</v>
      </c>
      <c r="W2206" s="2" t="s">
        <v>673</v>
      </c>
      <c r="X2206" s="2" t="s">
        <v>561</v>
      </c>
      <c r="Y2206" s="2" t="s">
        <v>7038</v>
      </c>
      <c r="Z2206" s="4">
        <v>398</v>
      </c>
      <c r="AA2206" s="4">
        <f>=ROUNDDOWN(33.1666666666667,0)</f>
      </c>
      <c r="AB2206" s="5">
        <v>12</v>
      </c>
      <c r="AC2206" s="2" t="s">
        <v>5658</v>
      </c>
      <c r="AD2206" s="4">
        <v>350</v>
      </c>
      <c r="AE2206" s="4">
        <v>690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273</v>
      </c>
      <c r="BK2206" s="8">
        <v>10873.93</v>
      </c>
      <c r="BL2206" s="2" t="s">
        <v>7041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207</v>
      </c>
      <c r="BV2206" s="2" t="s">
        <v>97</v>
      </c>
      <c r="BW2206" s="2" t="s">
        <v>100</v>
      </c>
      <c r="BX2206" s="2" t="s">
        <v>100</v>
      </c>
      <c r="BY2206" s="2" t="s">
        <v>113</v>
      </c>
      <c r="BZ2206" s="2" t="s">
        <v>100</v>
      </c>
    </row>
    <row r="2207">
      <c r="A2207" s="2" t="s">
        <v>7042</v>
      </c>
      <c r="B2207" s="2" t="s">
        <v>5764</v>
      </c>
      <c r="C2207" s="2" t="s">
        <v>3934</v>
      </c>
      <c r="D2207" s="2" t="s">
        <v>803</v>
      </c>
      <c r="E2207" s="2" t="s">
        <v>1532</v>
      </c>
      <c r="F2207" s="2" t="s">
        <v>7035</v>
      </c>
      <c r="G2207" s="2" t="s">
        <v>1683</v>
      </c>
      <c r="H2207" s="2" t="s">
        <v>1683</v>
      </c>
      <c r="I2207" s="2" t="s">
        <v>7036</v>
      </c>
      <c r="J2207" s="2" t="s">
        <v>270</v>
      </c>
      <c r="K2207" s="2" t="s">
        <v>96</v>
      </c>
      <c r="L2207" s="3">
        <v>41.61</v>
      </c>
      <c r="M2207" s="3">
        <v>43.69</v>
      </c>
      <c r="N2207" s="3">
        <v>89.99</v>
      </c>
      <c r="O2207" s="2" t="s">
        <v>97</v>
      </c>
      <c r="P2207" s="2" t="s">
        <v>119</v>
      </c>
      <c r="Q2207" s="2" t="s">
        <v>99</v>
      </c>
      <c r="R2207" s="2" t="s">
        <v>100</v>
      </c>
      <c r="S2207" s="2" t="s">
        <v>7037</v>
      </c>
      <c r="T2207" s="2" t="s">
        <v>6072</v>
      </c>
      <c r="U2207" s="2" t="s">
        <v>480</v>
      </c>
      <c r="V2207" s="2" t="s">
        <v>146</v>
      </c>
      <c r="W2207" s="2" t="s">
        <v>673</v>
      </c>
      <c r="X2207" s="2" t="s">
        <v>561</v>
      </c>
      <c r="Y2207" s="2" t="s">
        <v>7038</v>
      </c>
      <c r="Z2207" s="4">
        <v>349</v>
      </c>
      <c r="AA2207" s="4">
        <f>=ROUNDDOWN(38.7777777777778,0)</f>
      </c>
      <c r="AB2207" s="5">
        <v>9</v>
      </c>
      <c r="AC2207" s="2" t="s">
        <v>5658</v>
      </c>
      <c r="AD2207" s="4">
        <v>100</v>
      </c>
      <c r="AE2207" s="4">
        <v>500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122</v>
      </c>
      <c r="BK2207" s="8">
        <v>5793.63</v>
      </c>
      <c r="BL2207" s="2" t="s">
        <v>7039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207</v>
      </c>
      <c r="BV2207" s="2" t="s">
        <v>97</v>
      </c>
      <c r="BW2207" s="2" t="s">
        <v>100</v>
      </c>
      <c r="BX2207" s="2" t="s">
        <v>100</v>
      </c>
      <c r="BY2207" s="2" t="s">
        <v>113</v>
      </c>
      <c r="BZ2207" s="2" t="s">
        <v>100</v>
      </c>
    </row>
    <row r="2208">
      <c r="A2208" s="2" t="s">
        <v>7043</v>
      </c>
      <c r="B2208" s="2" t="s">
        <v>5764</v>
      </c>
      <c r="C2208" s="2" t="s">
        <v>3934</v>
      </c>
      <c r="D2208" s="2" t="s">
        <v>803</v>
      </c>
      <c r="E2208" s="2" t="s">
        <v>1532</v>
      </c>
      <c r="F2208" s="2" t="s">
        <v>7035</v>
      </c>
      <c r="G2208" s="2" t="s">
        <v>1683</v>
      </c>
      <c r="H2208" s="2" t="s">
        <v>1683</v>
      </c>
      <c r="I2208" s="2" t="s">
        <v>7036</v>
      </c>
      <c r="J2208" s="2" t="s">
        <v>237</v>
      </c>
      <c r="K2208" s="2" t="s">
        <v>335</v>
      </c>
      <c r="L2208" s="3">
        <v>28.47</v>
      </c>
      <c r="M2208" s="3">
        <v>29.89</v>
      </c>
      <c r="N2208" s="3">
        <v>59.99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7044</v>
      </c>
      <c r="T2208" s="2" t="s">
        <v>6072</v>
      </c>
      <c r="U2208" s="2" t="s">
        <v>514</v>
      </c>
      <c r="V2208" s="2" t="s">
        <v>146</v>
      </c>
      <c r="W2208" s="2" t="s">
        <v>673</v>
      </c>
      <c r="X2208" s="2" t="s">
        <v>561</v>
      </c>
      <c r="Y2208" s="2" t="s">
        <v>7045</v>
      </c>
      <c r="Z2208" s="4">
        <v>303</v>
      </c>
      <c r="AA2208" s="4">
        <f>=ROUNDDOWN(23.3076923076923,0)</f>
      </c>
      <c r="AB2208" s="5">
        <v>13</v>
      </c>
      <c r="AC2208" s="2" t="s">
        <v>542</v>
      </c>
      <c r="AD2208" s="4">
        <v>170</v>
      </c>
      <c r="AE2208" s="4">
        <v>700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327</v>
      </c>
      <c r="BK2208" s="8">
        <v>10224.35</v>
      </c>
      <c r="BL2208" s="2" t="s">
        <v>7046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207</v>
      </c>
      <c r="BV2208" s="2" t="s">
        <v>97</v>
      </c>
      <c r="BW2208" s="2" t="s">
        <v>100</v>
      </c>
      <c r="BX2208" s="2" t="s">
        <v>100</v>
      </c>
      <c r="BY2208" s="2" t="s">
        <v>113</v>
      </c>
      <c r="BZ2208" s="2" t="s">
        <v>100</v>
      </c>
    </row>
    <row r="2209">
      <c r="A2209" s="2" t="s">
        <v>7047</v>
      </c>
      <c r="B2209" s="2" t="s">
        <v>5764</v>
      </c>
      <c r="C2209" s="2" t="s">
        <v>3934</v>
      </c>
      <c r="D2209" s="2" t="s">
        <v>803</v>
      </c>
      <c r="E2209" s="2" t="s">
        <v>1532</v>
      </c>
      <c r="F2209" s="2" t="s">
        <v>7035</v>
      </c>
      <c r="G2209" s="2" t="s">
        <v>1683</v>
      </c>
      <c r="H2209" s="2" t="s">
        <v>1683</v>
      </c>
      <c r="I2209" s="2" t="s">
        <v>7036</v>
      </c>
      <c r="J2209" s="2" t="s">
        <v>247</v>
      </c>
      <c r="K2209" s="2" t="s">
        <v>335</v>
      </c>
      <c r="L2209" s="3">
        <v>37.23</v>
      </c>
      <c r="M2209" s="3">
        <v>39.09</v>
      </c>
      <c r="N2209" s="3">
        <v>79.99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7044</v>
      </c>
      <c r="T2209" s="2" t="s">
        <v>6072</v>
      </c>
      <c r="U2209" s="2" t="s">
        <v>480</v>
      </c>
      <c r="V2209" s="2" t="s">
        <v>146</v>
      </c>
      <c r="W2209" s="2" t="s">
        <v>673</v>
      </c>
      <c r="X2209" s="2" t="s">
        <v>561</v>
      </c>
      <c r="Y2209" s="2" t="s">
        <v>5852</v>
      </c>
      <c r="Z2209" s="4">
        <v>1775</v>
      </c>
      <c r="AA2209" s="4">
        <f>=ROUNDDOWN(59.1666666666667,0)</f>
      </c>
      <c r="AB2209" s="5">
        <v>30</v>
      </c>
      <c r="AC2209" s="2" t="s">
        <v>356</v>
      </c>
      <c r="AD2209" s="4">
        <v>5500</v>
      </c>
      <c r="AE2209" s="4">
        <v>6230</v>
      </c>
      <c r="AF2209" s="6">
        <v>65</v>
      </c>
      <c r="AG2209" s="6">
        <v>48</v>
      </c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726</v>
      </c>
      <c r="BK2209" s="8">
        <v>30692.71</v>
      </c>
      <c r="BL2209" s="2" t="s">
        <v>7048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207</v>
      </c>
      <c r="BV2209" s="2" t="s">
        <v>97</v>
      </c>
      <c r="BW2209" s="2" t="s">
        <v>100</v>
      </c>
      <c r="BX2209" s="2" t="s">
        <v>100</v>
      </c>
      <c r="BY2209" s="2" t="s">
        <v>113</v>
      </c>
      <c r="BZ2209" s="2" t="s">
        <v>100</v>
      </c>
    </row>
    <row r="2210">
      <c r="A2210" s="2" t="s">
        <v>7049</v>
      </c>
      <c r="B2210" s="2" t="s">
        <v>5764</v>
      </c>
      <c r="C2210" s="2" t="s">
        <v>3934</v>
      </c>
      <c r="D2210" s="2" t="s">
        <v>803</v>
      </c>
      <c r="E2210" s="2" t="s">
        <v>1532</v>
      </c>
      <c r="F2210" s="2" t="s">
        <v>7035</v>
      </c>
      <c r="G2210" s="2" t="s">
        <v>1683</v>
      </c>
      <c r="H2210" s="2" t="s">
        <v>1683</v>
      </c>
      <c r="I2210" s="2" t="s">
        <v>7036</v>
      </c>
      <c r="J2210" s="2" t="s">
        <v>270</v>
      </c>
      <c r="K2210" s="2" t="s">
        <v>335</v>
      </c>
      <c r="L2210" s="3">
        <v>41.61</v>
      </c>
      <c r="M2210" s="3">
        <v>43.69</v>
      </c>
      <c r="N2210" s="3">
        <v>89.99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7044</v>
      </c>
      <c r="T2210" s="2" t="s">
        <v>6072</v>
      </c>
      <c r="U2210" s="2" t="s">
        <v>480</v>
      </c>
      <c r="V2210" s="2" t="s">
        <v>146</v>
      </c>
      <c r="W2210" s="2" t="s">
        <v>673</v>
      </c>
      <c r="X2210" s="2" t="s">
        <v>561</v>
      </c>
      <c r="Y2210" s="2" t="s">
        <v>7045</v>
      </c>
      <c r="Z2210" s="4">
        <v>1078</v>
      </c>
      <c r="AA2210" s="4">
        <f>=ROUNDDOWN(29.9444444444444,0)</f>
      </c>
      <c r="AB2210" s="5">
        <v>36</v>
      </c>
      <c r="AC2210" s="2" t="s">
        <v>356</v>
      </c>
      <c r="AD2210" s="4">
        <v>1001</v>
      </c>
      <c r="AE2210" s="4">
        <v>1941</v>
      </c>
      <c r="AF2210" s="6">
        <v>65</v>
      </c>
      <c r="AG2210" s="6">
        <v>48</v>
      </c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483</v>
      </c>
      <c r="BK2210" s="8">
        <v>23301.55</v>
      </c>
      <c r="BL2210" s="2" t="s">
        <v>7046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207</v>
      </c>
      <c r="BV2210" s="2" t="s">
        <v>97</v>
      </c>
      <c r="BW2210" s="2" t="s">
        <v>100</v>
      </c>
      <c r="BX2210" s="2" t="s">
        <v>100</v>
      </c>
      <c r="BY2210" s="2" t="s">
        <v>113</v>
      </c>
      <c r="BZ2210" s="2" t="s">
        <v>100</v>
      </c>
    </row>
    <row r="2211">
      <c r="A2211" s="2" t="s">
        <v>7050</v>
      </c>
      <c r="B2211" s="2" t="s">
        <v>5764</v>
      </c>
      <c r="C2211" s="2" t="s">
        <v>3934</v>
      </c>
      <c r="D2211" s="2" t="s">
        <v>803</v>
      </c>
      <c r="E2211" s="2" t="s">
        <v>1532</v>
      </c>
      <c r="F2211" s="2" t="s">
        <v>7035</v>
      </c>
      <c r="G2211" s="2" t="s">
        <v>1683</v>
      </c>
      <c r="H2211" s="2" t="s">
        <v>1683</v>
      </c>
      <c r="I2211" s="2" t="s">
        <v>7036</v>
      </c>
      <c r="J2211" s="2" t="s">
        <v>237</v>
      </c>
      <c r="K2211" s="2" t="s">
        <v>3004</v>
      </c>
      <c r="L2211" s="3">
        <v>28.47</v>
      </c>
      <c r="M2211" s="3">
        <v>29.89</v>
      </c>
      <c r="N2211" s="3">
        <v>59.99</v>
      </c>
      <c r="O2211" s="2" t="s">
        <v>97</v>
      </c>
      <c r="P2211" s="2" t="s">
        <v>119</v>
      </c>
      <c r="Q2211" s="2" t="s">
        <v>99</v>
      </c>
      <c r="R2211" s="2" t="s">
        <v>100</v>
      </c>
      <c r="S2211" s="2" t="s">
        <v>7051</v>
      </c>
      <c r="T2211" s="2" t="s">
        <v>6072</v>
      </c>
      <c r="U2211" s="2" t="s">
        <v>514</v>
      </c>
      <c r="V2211" s="2" t="s">
        <v>146</v>
      </c>
      <c r="W2211" s="2" t="s">
        <v>673</v>
      </c>
      <c r="X2211" s="2" t="s">
        <v>561</v>
      </c>
      <c r="Y2211" s="2" t="s">
        <v>7052</v>
      </c>
      <c r="Z2211" s="4">
        <v>324</v>
      </c>
      <c r="AA2211" s="4">
        <f>=ROUNDDOWN(46.2857142857143,0)</f>
      </c>
      <c r="AB2211" s="5">
        <v>7</v>
      </c>
      <c r="AC2211" s="2" t="s">
        <v>1292</v>
      </c>
      <c r="AD2211" s="4">
        <v>100</v>
      </c>
      <c r="AE2211" s="4">
        <v>320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163</v>
      </c>
      <c r="BK2211" s="8">
        <v>4707.55</v>
      </c>
      <c r="BL2211" s="2" t="s">
        <v>1803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207</v>
      </c>
      <c r="BV2211" s="2" t="s">
        <v>97</v>
      </c>
      <c r="BW2211" s="2" t="s">
        <v>100</v>
      </c>
      <c r="BX2211" s="2" t="s">
        <v>100</v>
      </c>
      <c r="BY2211" s="2" t="s">
        <v>113</v>
      </c>
      <c r="BZ2211" s="2" t="s">
        <v>100</v>
      </c>
    </row>
    <row r="2212">
      <c r="A2212" s="2" t="s">
        <v>7053</v>
      </c>
      <c r="B2212" s="2" t="s">
        <v>5764</v>
      </c>
      <c r="C2212" s="2" t="s">
        <v>3934</v>
      </c>
      <c r="D2212" s="2" t="s">
        <v>803</v>
      </c>
      <c r="E2212" s="2" t="s">
        <v>1532</v>
      </c>
      <c r="F2212" s="2" t="s">
        <v>7035</v>
      </c>
      <c r="G2212" s="2" t="s">
        <v>1683</v>
      </c>
      <c r="H2212" s="2" t="s">
        <v>1683</v>
      </c>
      <c r="I2212" s="2" t="s">
        <v>7036</v>
      </c>
      <c r="J2212" s="2" t="s">
        <v>247</v>
      </c>
      <c r="K2212" s="2" t="s">
        <v>3004</v>
      </c>
      <c r="L2212" s="3">
        <v>37.23</v>
      </c>
      <c r="M2212" s="3">
        <v>39.09</v>
      </c>
      <c r="N2212" s="3">
        <v>79.99</v>
      </c>
      <c r="O2212" s="2" t="s">
        <v>97</v>
      </c>
      <c r="P2212" s="2" t="s">
        <v>119</v>
      </c>
      <c r="Q2212" s="2" t="s">
        <v>99</v>
      </c>
      <c r="R2212" s="2" t="s">
        <v>100</v>
      </c>
      <c r="S2212" s="2" t="s">
        <v>7051</v>
      </c>
      <c r="T2212" s="2" t="s">
        <v>6072</v>
      </c>
      <c r="U2212" s="2" t="s">
        <v>480</v>
      </c>
      <c r="V2212" s="2" t="s">
        <v>146</v>
      </c>
      <c r="W2212" s="2" t="s">
        <v>673</v>
      </c>
      <c r="X2212" s="2" t="s">
        <v>561</v>
      </c>
      <c r="Y2212" s="2" t="s">
        <v>7052</v>
      </c>
      <c r="Z2212" s="4">
        <v>353</v>
      </c>
      <c r="AA2212" s="4">
        <f>=ROUNDDOWN(47.0666666666667,0)</f>
      </c>
      <c r="AB2212" s="5">
        <v>7.5</v>
      </c>
      <c r="AC2212" s="2" t="s">
        <v>542</v>
      </c>
      <c r="AD2212" s="4">
        <v>230</v>
      </c>
      <c r="AE2212" s="4">
        <v>700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202</v>
      </c>
      <c r="BK2212" s="8">
        <v>7829.18</v>
      </c>
      <c r="BL2212" s="2" t="s">
        <v>1198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207</v>
      </c>
      <c r="BV2212" s="2" t="s">
        <v>97</v>
      </c>
      <c r="BW2212" s="2" t="s">
        <v>100</v>
      </c>
      <c r="BX2212" s="2" t="s">
        <v>100</v>
      </c>
      <c r="BY2212" s="2" t="s">
        <v>113</v>
      </c>
      <c r="BZ2212" s="2" t="s">
        <v>100</v>
      </c>
    </row>
    <row r="2213">
      <c r="A2213" s="2" t="s">
        <v>7054</v>
      </c>
      <c r="B2213" s="2" t="s">
        <v>5764</v>
      </c>
      <c r="C2213" s="2" t="s">
        <v>3934</v>
      </c>
      <c r="D2213" s="2" t="s">
        <v>803</v>
      </c>
      <c r="E2213" s="2" t="s">
        <v>1532</v>
      </c>
      <c r="F2213" s="2" t="s">
        <v>7035</v>
      </c>
      <c r="G2213" s="2" t="s">
        <v>1683</v>
      </c>
      <c r="H2213" s="2" t="s">
        <v>1683</v>
      </c>
      <c r="I2213" s="2" t="s">
        <v>7036</v>
      </c>
      <c r="J2213" s="2" t="s">
        <v>270</v>
      </c>
      <c r="K2213" s="2" t="s">
        <v>3004</v>
      </c>
      <c r="L2213" s="3">
        <v>41.61</v>
      </c>
      <c r="M2213" s="3">
        <v>43.69</v>
      </c>
      <c r="N2213" s="3">
        <v>89.99</v>
      </c>
      <c r="O2213" s="2" t="s">
        <v>97</v>
      </c>
      <c r="P2213" s="2" t="s">
        <v>119</v>
      </c>
      <c r="Q2213" s="2" t="s">
        <v>99</v>
      </c>
      <c r="R2213" s="2" t="s">
        <v>100</v>
      </c>
      <c r="S2213" s="2" t="s">
        <v>7051</v>
      </c>
      <c r="T2213" s="2" t="s">
        <v>6072</v>
      </c>
      <c r="U2213" s="2" t="s">
        <v>480</v>
      </c>
      <c r="V2213" s="2" t="s">
        <v>146</v>
      </c>
      <c r="W2213" s="2" t="s">
        <v>673</v>
      </c>
      <c r="X2213" s="2" t="s">
        <v>561</v>
      </c>
      <c r="Y2213" s="2" t="s">
        <v>7052</v>
      </c>
      <c r="Z2213" s="4">
        <v>181</v>
      </c>
      <c r="AA2213" s="4">
        <f>=ROUNDDOWN(22.625,0)</f>
      </c>
      <c r="AB2213" s="5">
        <v>8</v>
      </c>
      <c r="AC2213" s="2" t="s">
        <v>542</v>
      </c>
      <c r="AD2213" s="4">
        <v>140</v>
      </c>
      <c r="AE2213" s="4">
        <v>540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163</v>
      </c>
      <c r="BK2213" s="8">
        <v>7289.29</v>
      </c>
      <c r="BL2213" s="2" t="s">
        <v>7055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207</v>
      </c>
      <c r="BV2213" s="2" t="s">
        <v>97</v>
      </c>
      <c r="BW2213" s="2" t="s">
        <v>100</v>
      </c>
      <c r="BX2213" s="2" t="s">
        <v>100</v>
      </c>
      <c r="BY2213" s="2" t="s">
        <v>113</v>
      </c>
      <c r="BZ2213" s="2" t="s">
        <v>100</v>
      </c>
    </row>
    <row r="2214">
      <c r="A2214" s="2" t="s">
        <v>7056</v>
      </c>
      <c r="B2214" s="2" t="s">
        <v>5764</v>
      </c>
      <c r="C2214" s="2" t="s">
        <v>3934</v>
      </c>
      <c r="D2214" s="2" t="s">
        <v>803</v>
      </c>
      <c r="E2214" s="2" t="s">
        <v>1532</v>
      </c>
      <c r="F2214" s="2" t="s">
        <v>7035</v>
      </c>
      <c r="G2214" s="2" t="s">
        <v>1683</v>
      </c>
      <c r="H2214" s="2" t="s">
        <v>1683</v>
      </c>
      <c r="I2214" s="2" t="s">
        <v>7036</v>
      </c>
      <c r="J2214" s="2" t="s">
        <v>237</v>
      </c>
      <c r="K2214" s="2" t="s">
        <v>432</v>
      </c>
      <c r="L2214" s="3">
        <v>28.47</v>
      </c>
      <c r="M2214" s="3">
        <v>29.89</v>
      </c>
      <c r="N2214" s="3">
        <v>59.99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7057</v>
      </c>
      <c r="T2214" s="2" t="s">
        <v>6072</v>
      </c>
      <c r="U2214" s="2" t="s">
        <v>514</v>
      </c>
      <c r="V2214" s="2" t="s">
        <v>146</v>
      </c>
      <c r="W2214" s="2" t="s">
        <v>673</v>
      </c>
      <c r="X2214" s="2" t="s">
        <v>561</v>
      </c>
      <c r="Y2214" s="2" t="s">
        <v>7058</v>
      </c>
      <c r="Z2214" s="4">
        <v>998</v>
      </c>
      <c r="AA2214" s="4">
        <f>=ROUNDDOWN(66.0927152317881,0)</f>
      </c>
      <c r="AB2214" s="5">
        <v>15.1</v>
      </c>
      <c r="AC2214" s="2" t="s">
        <v>542</v>
      </c>
      <c r="AD2214" s="4">
        <v>160</v>
      </c>
      <c r="AE2214" s="4">
        <v>480</v>
      </c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507</v>
      </c>
      <c r="BK2214" s="8">
        <v>16193.48</v>
      </c>
      <c r="BL2214" s="2" t="s">
        <v>7048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207</v>
      </c>
      <c r="BV2214" s="2" t="s">
        <v>97</v>
      </c>
      <c r="BW2214" s="2" t="s">
        <v>100</v>
      </c>
      <c r="BX2214" s="2" t="s">
        <v>100</v>
      </c>
      <c r="BY2214" s="2" t="s">
        <v>113</v>
      </c>
      <c r="BZ2214" s="2" t="s">
        <v>100</v>
      </c>
    </row>
    <row r="2215">
      <c r="A2215" s="2" t="s">
        <v>7059</v>
      </c>
      <c r="B2215" s="2" t="s">
        <v>5764</v>
      </c>
      <c r="C2215" s="2" t="s">
        <v>3934</v>
      </c>
      <c r="D2215" s="2" t="s">
        <v>803</v>
      </c>
      <c r="E2215" s="2" t="s">
        <v>1532</v>
      </c>
      <c r="F2215" s="2" t="s">
        <v>7035</v>
      </c>
      <c r="G2215" s="2" t="s">
        <v>1683</v>
      </c>
      <c r="H2215" s="2" t="s">
        <v>1683</v>
      </c>
      <c r="I2215" s="2" t="s">
        <v>7036</v>
      </c>
      <c r="J2215" s="2" t="s">
        <v>247</v>
      </c>
      <c r="K2215" s="2" t="s">
        <v>432</v>
      </c>
      <c r="L2215" s="3">
        <v>37.23</v>
      </c>
      <c r="M2215" s="3">
        <v>39.09</v>
      </c>
      <c r="N2215" s="3">
        <v>79.99</v>
      </c>
      <c r="O2215" s="2" t="s">
        <v>97</v>
      </c>
      <c r="P2215" s="2" t="s">
        <v>98</v>
      </c>
      <c r="Q2215" s="2" t="s">
        <v>99</v>
      </c>
      <c r="R2215" s="2" t="s">
        <v>100</v>
      </c>
      <c r="S2215" s="2" t="s">
        <v>7057</v>
      </c>
      <c r="T2215" s="2" t="s">
        <v>6072</v>
      </c>
      <c r="U2215" s="2" t="s">
        <v>480</v>
      </c>
      <c r="V2215" s="2" t="s">
        <v>146</v>
      </c>
      <c r="W2215" s="2" t="s">
        <v>673</v>
      </c>
      <c r="X2215" s="2" t="s">
        <v>561</v>
      </c>
      <c r="Y2215" s="2" t="s">
        <v>7058</v>
      </c>
      <c r="Z2215" s="4">
        <v>1638</v>
      </c>
      <c r="AA2215" s="4">
        <f>=ROUNDDOWN(56.4827586206897,0)</f>
      </c>
      <c r="AB2215" s="5">
        <v>29</v>
      </c>
      <c r="AC2215" s="2" t="s">
        <v>356</v>
      </c>
      <c r="AD2215" s="4">
        <v>5269</v>
      </c>
      <c r="AE2215" s="4">
        <v>6159</v>
      </c>
      <c r="AF2215" s="6">
        <v>65</v>
      </c>
      <c r="AG2215" s="6">
        <v>48</v>
      </c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649</v>
      </c>
      <c r="BK2215" s="8">
        <v>26958.44</v>
      </c>
      <c r="BL2215" s="2" t="s">
        <v>7048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207</v>
      </c>
      <c r="BV2215" s="2" t="s">
        <v>97</v>
      </c>
      <c r="BW2215" s="2" t="s">
        <v>100</v>
      </c>
      <c r="BX2215" s="2" t="s">
        <v>100</v>
      </c>
      <c r="BY2215" s="2" t="s">
        <v>113</v>
      </c>
      <c r="BZ2215" s="2" t="s">
        <v>100</v>
      </c>
    </row>
    <row r="2216">
      <c r="A2216" s="2" t="s">
        <v>7060</v>
      </c>
      <c r="B2216" s="2" t="s">
        <v>5764</v>
      </c>
      <c r="C2216" s="2" t="s">
        <v>3934</v>
      </c>
      <c r="D2216" s="2" t="s">
        <v>803</v>
      </c>
      <c r="E2216" s="2" t="s">
        <v>1532</v>
      </c>
      <c r="F2216" s="2" t="s">
        <v>7035</v>
      </c>
      <c r="G2216" s="2" t="s">
        <v>1683</v>
      </c>
      <c r="H2216" s="2" t="s">
        <v>1683</v>
      </c>
      <c r="I2216" s="2" t="s">
        <v>7061</v>
      </c>
      <c r="J2216" s="2" t="s">
        <v>237</v>
      </c>
      <c r="K2216" s="2" t="s">
        <v>7062</v>
      </c>
      <c r="L2216" s="3">
        <v>28.47</v>
      </c>
      <c r="M2216" s="3">
        <v>29.89</v>
      </c>
      <c r="N2216" s="3">
        <v>59.99</v>
      </c>
      <c r="O2216" s="2" t="s">
        <v>97</v>
      </c>
      <c r="P2216" s="2" t="s">
        <v>225</v>
      </c>
      <c r="Q2216" s="2" t="s">
        <v>99</v>
      </c>
      <c r="R2216" s="2" t="s">
        <v>100</v>
      </c>
      <c r="S2216" s="2" t="s">
        <v>7063</v>
      </c>
      <c r="T2216" s="2" t="s">
        <v>6072</v>
      </c>
      <c r="U2216" s="2" t="s">
        <v>514</v>
      </c>
      <c r="V2216" s="2" t="s">
        <v>146</v>
      </c>
      <c r="W2216" s="2" t="s">
        <v>673</v>
      </c>
      <c r="X2216" s="2" t="s">
        <v>561</v>
      </c>
      <c r="Y2216" s="2" t="s">
        <v>7064</v>
      </c>
      <c r="Z2216" s="4">
        <v>96</v>
      </c>
      <c r="AA2216" s="4">
        <f>=ROUNDDOWN(32,0)</f>
      </c>
      <c r="AB2216" s="5">
        <v>3</v>
      </c>
      <c r="AC2216" s="2" t="s">
        <v>1012</v>
      </c>
      <c r="AD2216" s="4">
        <v>100</v>
      </c>
      <c r="AE2216" s="4">
        <v>210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42</v>
      </c>
      <c r="BK2216" s="8">
        <v>1322.2</v>
      </c>
      <c r="BL2216" s="2" t="s">
        <v>229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207</v>
      </c>
      <c r="BV2216" s="2" t="s">
        <v>97</v>
      </c>
      <c r="BW2216" s="2" t="s">
        <v>100</v>
      </c>
      <c r="BX2216" s="2" t="s">
        <v>100</v>
      </c>
      <c r="BY2216" s="2" t="s">
        <v>113</v>
      </c>
      <c r="BZ2216" s="2" t="s">
        <v>100</v>
      </c>
    </row>
    <row r="2217">
      <c r="A2217" s="2" t="s">
        <v>7065</v>
      </c>
      <c r="B2217" s="2" t="s">
        <v>5764</v>
      </c>
      <c r="C2217" s="2" t="s">
        <v>3934</v>
      </c>
      <c r="D2217" s="2" t="s">
        <v>803</v>
      </c>
      <c r="E2217" s="2" t="s">
        <v>1532</v>
      </c>
      <c r="F2217" s="2" t="s">
        <v>7035</v>
      </c>
      <c r="G2217" s="2" t="s">
        <v>1683</v>
      </c>
      <c r="H2217" s="2" t="s">
        <v>1683</v>
      </c>
      <c r="I2217" s="2" t="s">
        <v>7061</v>
      </c>
      <c r="J2217" s="2" t="s">
        <v>247</v>
      </c>
      <c r="K2217" s="2" t="s">
        <v>7062</v>
      </c>
      <c r="L2217" s="3">
        <v>37.23</v>
      </c>
      <c r="M2217" s="3">
        <v>39.09</v>
      </c>
      <c r="N2217" s="3">
        <v>79.99</v>
      </c>
      <c r="O2217" s="2" t="s">
        <v>97</v>
      </c>
      <c r="P2217" s="2" t="s">
        <v>225</v>
      </c>
      <c r="Q2217" s="2" t="s">
        <v>99</v>
      </c>
      <c r="R2217" s="2" t="s">
        <v>100</v>
      </c>
      <c r="S2217" s="2" t="s">
        <v>7063</v>
      </c>
      <c r="T2217" s="2" t="s">
        <v>6072</v>
      </c>
      <c r="U2217" s="2" t="s">
        <v>480</v>
      </c>
      <c r="V2217" s="2" t="s">
        <v>146</v>
      </c>
      <c r="W2217" s="2" t="s">
        <v>673</v>
      </c>
      <c r="X2217" s="2" t="s">
        <v>561</v>
      </c>
      <c r="Y2217" s="2" t="s">
        <v>3640</v>
      </c>
      <c r="Z2217" s="4">
        <v>354</v>
      </c>
      <c r="AA2217" s="4">
        <f>=ROUNDDOWN(50.5714285714286,0)</f>
      </c>
      <c r="AB2217" s="5">
        <v>7</v>
      </c>
      <c r="AC2217" s="2" t="s">
        <v>1012</v>
      </c>
      <c r="AD2217" s="4">
        <v>150</v>
      </c>
      <c r="AE2217" s="4">
        <v>350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60</v>
      </c>
      <c r="BK2217" s="8">
        <v>2372.23</v>
      </c>
      <c r="BL2217" s="2" t="s">
        <v>3774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207</v>
      </c>
      <c r="BV2217" s="2" t="s">
        <v>97</v>
      </c>
      <c r="BW2217" s="2" t="s">
        <v>100</v>
      </c>
      <c r="BX2217" s="2" t="s">
        <v>100</v>
      </c>
      <c r="BY2217" s="2" t="s">
        <v>113</v>
      </c>
      <c r="BZ2217" s="2" t="s">
        <v>100</v>
      </c>
    </row>
    <row r="2218">
      <c r="A2218" s="2" t="s">
        <v>7066</v>
      </c>
      <c r="B2218" s="2" t="s">
        <v>5764</v>
      </c>
      <c r="C2218" s="2" t="s">
        <v>3934</v>
      </c>
      <c r="D2218" s="2" t="s">
        <v>803</v>
      </c>
      <c r="E2218" s="2" t="s">
        <v>1532</v>
      </c>
      <c r="F2218" s="2" t="s">
        <v>7035</v>
      </c>
      <c r="G2218" s="2" t="s">
        <v>1683</v>
      </c>
      <c r="H2218" s="2" t="s">
        <v>1683</v>
      </c>
      <c r="I2218" s="2" t="s">
        <v>7061</v>
      </c>
      <c r="J2218" s="2" t="s">
        <v>270</v>
      </c>
      <c r="K2218" s="2" t="s">
        <v>7062</v>
      </c>
      <c r="L2218" s="3">
        <v>41.61</v>
      </c>
      <c r="M2218" s="3">
        <v>43.69</v>
      </c>
      <c r="N2218" s="3">
        <v>89.99</v>
      </c>
      <c r="O2218" s="2" t="s">
        <v>97</v>
      </c>
      <c r="P2218" s="2" t="s">
        <v>225</v>
      </c>
      <c r="Q2218" s="2" t="s">
        <v>99</v>
      </c>
      <c r="R2218" s="2" t="s">
        <v>100</v>
      </c>
      <c r="S2218" s="2" t="s">
        <v>7063</v>
      </c>
      <c r="T2218" s="2" t="s">
        <v>6072</v>
      </c>
      <c r="U2218" s="2" t="s">
        <v>480</v>
      </c>
      <c r="V2218" s="2" t="s">
        <v>146</v>
      </c>
      <c r="W2218" s="2" t="s">
        <v>673</v>
      </c>
      <c r="X2218" s="2" t="s">
        <v>561</v>
      </c>
      <c r="Y2218" s="2" t="s">
        <v>3640</v>
      </c>
      <c r="Z2218" s="4">
        <v>200</v>
      </c>
      <c r="AA2218" s="4">
        <f>=ROUNDDOWN(33.3333333333333,0)</f>
      </c>
      <c r="AB2218" s="5">
        <v>6</v>
      </c>
      <c r="AC2218" s="2" t="s">
        <v>1012</v>
      </c>
      <c r="AD2218" s="4">
        <v>170</v>
      </c>
      <c r="AE2218" s="4">
        <v>240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54</v>
      </c>
      <c r="BK2218" s="8">
        <v>2421.79</v>
      </c>
      <c r="BL2218" s="2" t="s">
        <v>2623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207</v>
      </c>
      <c r="BV2218" s="2" t="s">
        <v>97</v>
      </c>
      <c r="BW2218" s="2" t="s">
        <v>100</v>
      </c>
      <c r="BX2218" s="2" t="s">
        <v>100</v>
      </c>
      <c r="BY2218" s="2" t="s">
        <v>113</v>
      </c>
      <c r="BZ2218" s="2" t="s">
        <v>100</v>
      </c>
    </row>
    <row r="2219">
      <c r="A2219" s="2" t="s">
        <v>7067</v>
      </c>
      <c r="B2219" s="2" t="s">
        <v>5764</v>
      </c>
      <c r="C2219" s="2" t="s">
        <v>3934</v>
      </c>
      <c r="D2219" s="2" t="s">
        <v>803</v>
      </c>
      <c r="E2219" s="2" t="s">
        <v>1532</v>
      </c>
      <c r="F2219" s="2" t="s">
        <v>7035</v>
      </c>
      <c r="G2219" s="2" t="s">
        <v>1683</v>
      </c>
      <c r="H2219" s="2" t="s">
        <v>1683</v>
      </c>
      <c r="I2219" s="2" t="s">
        <v>7061</v>
      </c>
      <c r="J2219" s="2" t="s">
        <v>237</v>
      </c>
      <c r="K2219" s="2" t="s">
        <v>7068</v>
      </c>
      <c r="L2219" s="3">
        <v>28.47</v>
      </c>
      <c r="M2219" s="3">
        <v>29.89</v>
      </c>
      <c r="N2219" s="3">
        <v>59.99</v>
      </c>
      <c r="O2219" s="2" t="s">
        <v>97</v>
      </c>
      <c r="P2219" s="2" t="s">
        <v>225</v>
      </c>
      <c r="Q2219" s="2" t="s">
        <v>99</v>
      </c>
      <c r="R2219" s="2" t="s">
        <v>100</v>
      </c>
      <c r="S2219" s="2" t="s">
        <v>7069</v>
      </c>
      <c r="T2219" s="2" t="s">
        <v>6072</v>
      </c>
      <c r="U2219" s="2" t="s">
        <v>514</v>
      </c>
      <c r="V2219" s="2" t="s">
        <v>146</v>
      </c>
      <c r="W2219" s="2" t="s">
        <v>673</v>
      </c>
      <c r="X2219" s="2" t="s">
        <v>561</v>
      </c>
      <c r="Y2219" s="2" t="s">
        <v>3640</v>
      </c>
      <c r="Z2219" s="4">
        <v>188</v>
      </c>
      <c r="AA2219" s="4">
        <f>=ROUNDDOWN(37.6,0)</f>
      </c>
      <c r="AB2219" s="5">
        <v>5</v>
      </c>
      <c r="AC2219" s="2" t="s">
        <v>1012</v>
      </c>
      <c r="AD2219" s="4">
        <v>30</v>
      </c>
      <c r="AE2219" s="4">
        <v>200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57</v>
      </c>
      <c r="BK2219" s="8">
        <v>1736.58</v>
      </c>
      <c r="BL2219" s="2" t="s">
        <v>7070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207</v>
      </c>
      <c r="BV2219" s="2" t="s">
        <v>97</v>
      </c>
      <c r="BW2219" s="2" t="s">
        <v>100</v>
      </c>
      <c r="BX2219" s="2" t="s">
        <v>100</v>
      </c>
      <c r="BY2219" s="2" t="s">
        <v>113</v>
      </c>
      <c r="BZ2219" s="2" t="s">
        <v>100</v>
      </c>
    </row>
    <row r="2220">
      <c r="A2220" s="2" t="s">
        <v>7071</v>
      </c>
      <c r="B2220" s="2" t="s">
        <v>5764</v>
      </c>
      <c r="C2220" s="2" t="s">
        <v>3934</v>
      </c>
      <c r="D2220" s="2" t="s">
        <v>803</v>
      </c>
      <c r="E2220" s="2" t="s">
        <v>1532</v>
      </c>
      <c r="F2220" s="2" t="s">
        <v>7035</v>
      </c>
      <c r="G2220" s="2" t="s">
        <v>1683</v>
      </c>
      <c r="H2220" s="2" t="s">
        <v>1683</v>
      </c>
      <c r="I2220" s="2" t="s">
        <v>7061</v>
      </c>
      <c r="J2220" s="2" t="s">
        <v>247</v>
      </c>
      <c r="K2220" s="2" t="s">
        <v>7068</v>
      </c>
      <c r="L2220" s="3">
        <v>37.23</v>
      </c>
      <c r="M2220" s="3">
        <v>39.09</v>
      </c>
      <c r="N2220" s="3">
        <v>79.99</v>
      </c>
      <c r="O2220" s="2" t="s">
        <v>97</v>
      </c>
      <c r="P2220" s="2" t="s">
        <v>225</v>
      </c>
      <c r="Q2220" s="2" t="s">
        <v>99</v>
      </c>
      <c r="R2220" s="2" t="s">
        <v>100</v>
      </c>
      <c r="S2220" s="2" t="s">
        <v>7069</v>
      </c>
      <c r="T2220" s="2" t="s">
        <v>6072</v>
      </c>
      <c r="U2220" s="2" t="s">
        <v>480</v>
      </c>
      <c r="V2220" s="2" t="s">
        <v>146</v>
      </c>
      <c r="W2220" s="2" t="s">
        <v>673</v>
      </c>
      <c r="X2220" s="2" t="s">
        <v>561</v>
      </c>
      <c r="Y2220" s="2" t="s">
        <v>3640</v>
      </c>
      <c r="Z2220" s="4">
        <v>310</v>
      </c>
      <c r="AA2220" s="4">
        <f>=ROUNDDOWN(31,0)</f>
      </c>
      <c r="AB2220" s="5">
        <v>10</v>
      </c>
      <c r="AC2220" s="2" t="s">
        <v>1012</v>
      </c>
      <c r="AD2220" s="4">
        <v>200</v>
      </c>
      <c r="AE2220" s="4">
        <v>370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90</v>
      </c>
      <c r="BK2220" s="8">
        <v>3529.74</v>
      </c>
      <c r="BL2220" s="2" t="s">
        <v>553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207</v>
      </c>
      <c r="BV2220" s="2" t="s">
        <v>97</v>
      </c>
      <c r="BW2220" s="2" t="s">
        <v>100</v>
      </c>
      <c r="BX2220" s="2" t="s">
        <v>100</v>
      </c>
      <c r="BY2220" s="2" t="s">
        <v>113</v>
      </c>
      <c r="BZ2220" s="2" t="s">
        <v>100</v>
      </c>
    </row>
    <row r="2221">
      <c r="A2221" s="2" t="s">
        <v>7072</v>
      </c>
      <c r="B2221" s="2" t="s">
        <v>5764</v>
      </c>
      <c r="C2221" s="2" t="s">
        <v>3934</v>
      </c>
      <c r="D2221" s="2" t="s">
        <v>803</v>
      </c>
      <c r="E2221" s="2" t="s">
        <v>1532</v>
      </c>
      <c r="F2221" s="2" t="s">
        <v>7035</v>
      </c>
      <c r="G2221" s="2" t="s">
        <v>1683</v>
      </c>
      <c r="H2221" s="2" t="s">
        <v>1683</v>
      </c>
      <c r="I2221" s="2" t="s">
        <v>7061</v>
      </c>
      <c r="J2221" s="2" t="s">
        <v>270</v>
      </c>
      <c r="K2221" s="2" t="s">
        <v>7068</v>
      </c>
      <c r="L2221" s="3">
        <v>41.61</v>
      </c>
      <c r="M2221" s="3">
        <v>43.69</v>
      </c>
      <c r="N2221" s="3">
        <v>89.99</v>
      </c>
      <c r="O2221" s="2" t="s">
        <v>97</v>
      </c>
      <c r="P2221" s="2" t="s">
        <v>225</v>
      </c>
      <c r="Q2221" s="2" t="s">
        <v>99</v>
      </c>
      <c r="R2221" s="2" t="s">
        <v>100</v>
      </c>
      <c r="S2221" s="2" t="s">
        <v>7069</v>
      </c>
      <c r="T2221" s="2" t="s">
        <v>6072</v>
      </c>
      <c r="U2221" s="2" t="s">
        <v>480</v>
      </c>
      <c r="V2221" s="2" t="s">
        <v>146</v>
      </c>
      <c r="W2221" s="2" t="s">
        <v>673</v>
      </c>
      <c r="X2221" s="2" t="s">
        <v>561</v>
      </c>
      <c r="Y2221" s="2" t="s">
        <v>3640</v>
      </c>
      <c r="Z2221" s="4">
        <v>134</v>
      </c>
      <c r="AA2221" s="4">
        <f>=ROUNDDOWN(27.9166666666667,0)</f>
      </c>
      <c r="AB2221" s="5">
        <v>4.8</v>
      </c>
      <c r="AC2221" s="2" t="s">
        <v>1012</v>
      </c>
      <c r="AD2221" s="4">
        <v>150</v>
      </c>
      <c r="AE2221" s="4">
        <v>230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41</v>
      </c>
      <c r="BK2221" s="8">
        <v>1879.99</v>
      </c>
      <c r="BL2221" s="2" t="s">
        <v>2073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207</v>
      </c>
      <c r="BV2221" s="2" t="s">
        <v>97</v>
      </c>
      <c r="BW2221" s="2" t="s">
        <v>100</v>
      </c>
      <c r="BX2221" s="2" t="s">
        <v>100</v>
      </c>
      <c r="BY2221" s="2" t="s">
        <v>113</v>
      </c>
      <c r="BZ2221" s="2" t="s">
        <v>100</v>
      </c>
    </row>
    <row r="2222">
      <c r="A2222" s="2" t="s">
        <v>7073</v>
      </c>
      <c r="B2222" s="2" t="s">
        <v>5764</v>
      </c>
      <c r="C2222" s="2" t="s">
        <v>3934</v>
      </c>
      <c r="D2222" s="2" t="s">
        <v>803</v>
      </c>
      <c r="E2222" s="2" t="s">
        <v>1532</v>
      </c>
      <c r="F2222" s="2" t="s">
        <v>7074</v>
      </c>
      <c r="G2222" s="2" t="s">
        <v>7074</v>
      </c>
      <c r="H2222" s="2" t="s">
        <v>7074</v>
      </c>
      <c r="I2222" s="2" t="s">
        <v>7075</v>
      </c>
      <c r="J2222" s="2" t="s">
        <v>1936</v>
      </c>
      <c r="K2222" s="2" t="s">
        <v>3560</v>
      </c>
      <c r="L2222" s="3">
        <v>33.33</v>
      </c>
      <c r="M2222" s="3">
        <v>35</v>
      </c>
      <c r="N2222" s="3">
        <v>69.99</v>
      </c>
      <c r="O2222" s="2" t="s">
        <v>97</v>
      </c>
      <c r="P2222" s="2" t="s">
        <v>119</v>
      </c>
      <c r="Q2222" s="2" t="s">
        <v>99</v>
      </c>
      <c r="R2222" s="2" t="s">
        <v>100</v>
      </c>
      <c r="S2222" s="2" t="s">
        <v>7076</v>
      </c>
      <c r="T2222" s="2" t="s">
        <v>672</v>
      </c>
      <c r="U2222" s="2" t="s">
        <v>514</v>
      </c>
      <c r="V2222" s="2" t="s">
        <v>146</v>
      </c>
      <c r="W2222" s="2" t="s">
        <v>183</v>
      </c>
      <c r="X2222" s="2" t="s">
        <v>100</v>
      </c>
      <c r="Y2222" s="2" t="s">
        <v>3614</v>
      </c>
      <c r="Z2222" s="4">
        <v>226</v>
      </c>
      <c r="AA2222" s="4">
        <f>=ROUNDDOWN(75.3333333333333,0)</f>
      </c>
      <c r="AB2222" s="5">
        <v>3</v>
      </c>
      <c r="AC2222" s="2" t="s">
        <v>123</v>
      </c>
      <c r="AD2222" s="4">
        <v>50</v>
      </c>
      <c r="AE2222" s="4">
        <v>80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26</v>
      </c>
      <c r="BK2222" s="8">
        <v>962.9</v>
      </c>
      <c r="BL2222" s="2" t="s">
        <v>7077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207</v>
      </c>
      <c r="BV2222" s="2" t="s">
        <v>97</v>
      </c>
      <c r="BW2222" s="2" t="s">
        <v>100</v>
      </c>
      <c r="BX2222" s="2" t="s">
        <v>100</v>
      </c>
      <c r="BY2222" s="2" t="s">
        <v>113</v>
      </c>
      <c r="BZ2222" s="2" t="s">
        <v>100</v>
      </c>
    </row>
    <row r="2223">
      <c r="A2223" s="2" t="s">
        <v>7078</v>
      </c>
      <c r="B2223" s="2" t="s">
        <v>5764</v>
      </c>
      <c r="C2223" s="2" t="s">
        <v>3934</v>
      </c>
      <c r="D2223" s="2" t="s">
        <v>803</v>
      </c>
      <c r="E2223" s="2" t="s">
        <v>1532</v>
      </c>
      <c r="F2223" s="2" t="s">
        <v>7074</v>
      </c>
      <c r="G2223" s="2" t="s">
        <v>7074</v>
      </c>
      <c r="H2223" s="2" t="s">
        <v>7074</v>
      </c>
      <c r="I2223" s="2" t="s">
        <v>7079</v>
      </c>
      <c r="J2223" s="2" t="s">
        <v>247</v>
      </c>
      <c r="K2223" s="2" t="s">
        <v>3560</v>
      </c>
      <c r="L2223" s="3">
        <v>42.85</v>
      </c>
      <c r="M2223" s="3">
        <v>44.99</v>
      </c>
      <c r="N2223" s="3">
        <v>89.99</v>
      </c>
      <c r="O2223" s="2" t="s">
        <v>97</v>
      </c>
      <c r="P2223" s="2" t="s">
        <v>119</v>
      </c>
      <c r="Q2223" s="2" t="s">
        <v>99</v>
      </c>
      <c r="R2223" s="2" t="s">
        <v>100</v>
      </c>
      <c r="S2223" s="2" t="s">
        <v>7076</v>
      </c>
      <c r="T2223" s="2" t="s">
        <v>672</v>
      </c>
      <c r="U2223" s="2" t="s">
        <v>480</v>
      </c>
      <c r="V2223" s="2" t="s">
        <v>146</v>
      </c>
      <c r="W2223" s="2" t="s">
        <v>183</v>
      </c>
      <c r="X2223" s="2" t="s">
        <v>100</v>
      </c>
      <c r="Y2223" s="2" t="s">
        <v>3747</v>
      </c>
      <c r="Z2223" s="4">
        <v>292</v>
      </c>
      <c r="AA2223" s="4">
        <f>=ROUNDDOWN(48.6666666666667,0)</f>
      </c>
      <c r="AB2223" s="5">
        <v>6</v>
      </c>
      <c r="AC2223" s="2" t="s">
        <v>123</v>
      </c>
      <c r="AD2223" s="4">
        <v>100</v>
      </c>
      <c r="AE2223" s="4">
        <v>390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67</v>
      </c>
      <c r="BK2223" s="8">
        <v>3234.77</v>
      </c>
      <c r="BL2223" s="2" t="s">
        <v>1354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207</v>
      </c>
      <c r="BV2223" s="2" t="s">
        <v>97</v>
      </c>
      <c r="BW2223" s="2" t="s">
        <v>100</v>
      </c>
      <c r="BX2223" s="2" t="s">
        <v>100</v>
      </c>
      <c r="BY2223" s="2" t="s">
        <v>113</v>
      </c>
      <c r="BZ2223" s="2" t="s">
        <v>100</v>
      </c>
    </row>
    <row r="2224">
      <c r="A2224" s="2" t="s">
        <v>7080</v>
      </c>
      <c r="B2224" s="2" t="s">
        <v>5764</v>
      </c>
      <c r="C2224" s="2" t="s">
        <v>3934</v>
      </c>
      <c r="D2224" s="2" t="s">
        <v>803</v>
      </c>
      <c r="E2224" s="2" t="s">
        <v>1532</v>
      </c>
      <c r="F2224" s="2" t="s">
        <v>7074</v>
      </c>
      <c r="G2224" s="2" t="s">
        <v>7074</v>
      </c>
      <c r="H2224" s="2" t="s">
        <v>7074</v>
      </c>
      <c r="I2224" s="2" t="s">
        <v>7079</v>
      </c>
      <c r="J2224" s="2" t="s">
        <v>714</v>
      </c>
      <c r="K2224" s="2" t="s">
        <v>3560</v>
      </c>
      <c r="L2224" s="3">
        <v>47.61</v>
      </c>
      <c r="M2224" s="3">
        <v>49.99</v>
      </c>
      <c r="N2224" s="3">
        <v>99.99</v>
      </c>
      <c r="O2224" s="2" t="s">
        <v>97</v>
      </c>
      <c r="P2224" s="2" t="s">
        <v>119</v>
      </c>
      <c r="Q2224" s="2" t="s">
        <v>99</v>
      </c>
      <c r="R2224" s="2" t="s">
        <v>100</v>
      </c>
      <c r="S2224" s="2" t="s">
        <v>7076</v>
      </c>
      <c r="T2224" s="2" t="s">
        <v>672</v>
      </c>
      <c r="U2224" s="2" t="s">
        <v>480</v>
      </c>
      <c r="V2224" s="2" t="s">
        <v>146</v>
      </c>
      <c r="W2224" s="2" t="s">
        <v>183</v>
      </c>
      <c r="X2224" s="2" t="s">
        <v>100</v>
      </c>
      <c r="Y2224" s="2" t="s">
        <v>3614</v>
      </c>
      <c r="Z2224" s="4">
        <v>142</v>
      </c>
      <c r="AA2224" s="4">
        <f>=ROUNDDOWN(28.4,0)</f>
      </c>
      <c r="AB2224" s="5">
        <v>5</v>
      </c>
      <c r="AC2224" s="2" t="s">
        <v>123</v>
      </c>
      <c r="AD2224" s="4">
        <v>70</v>
      </c>
      <c r="AE2224" s="4">
        <v>288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35</v>
      </c>
      <c r="BK2224" s="8">
        <v>1863.81</v>
      </c>
      <c r="BL2224" s="2" t="s">
        <v>7070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207</v>
      </c>
      <c r="BV2224" s="2" t="s">
        <v>97</v>
      </c>
      <c r="BW2224" s="2" t="s">
        <v>100</v>
      </c>
      <c r="BX2224" s="2" t="s">
        <v>100</v>
      </c>
      <c r="BY2224" s="2" t="s">
        <v>113</v>
      </c>
      <c r="BZ2224" s="2" t="s">
        <v>100</v>
      </c>
    </row>
    <row r="2225">
      <c r="A2225" s="2" t="s">
        <v>7081</v>
      </c>
      <c r="B2225" s="2" t="s">
        <v>5764</v>
      </c>
      <c r="C2225" s="2" t="s">
        <v>3934</v>
      </c>
      <c r="D2225" s="2" t="s">
        <v>803</v>
      </c>
      <c r="E2225" s="2" t="s">
        <v>1532</v>
      </c>
      <c r="F2225" s="2" t="s">
        <v>7074</v>
      </c>
      <c r="G2225" s="2" t="s">
        <v>7074</v>
      </c>
      <c r="H2225" s="2" t="s">
        <v>7074</v>
      </c>
      <c r="I2225" s="2" t="s">
        <v>7075</v>
      </c>
      <c r="J2225" s="2" t="s">
        <v>1936</v>
      </c>
      <c r="K2225" s="2" t="s">
        <v>1172</v>
      </c>
      <c r="L2225" s="3">
        <v>33.33</v>
      </c>
      <c r="M2225" s="3">
        <v>35</v>
      </c>
      <c r="N2225" s="3">
        <v>69.99</v>
      </c>
      <c r="O2225" s="2" t="s">
        <v>97</v>
      </c>
      <c r="P2225" s="2" t="s">
        <v>119</v>
      </c>
      <c r="Q2225" s="2" t="s">
        <v>99</v>
      </c>
      <c r="R2225" s="2" t="s">
        <v>100</v>
      </c>
      <c r="S2225" s="2" t="s">
        <v>7082</v>
      </c>
      <c r="T2225" s="2" t="s">
        <v>672</v>
      </c>
      <c r="U2225" s="2" t="s">
        <v>514</v>
      </c>
      <c r="V2225" s="2" t="s">
        <v>146</v>
      </c>
      <c r="W2225" s="2" t="s">
        <v>183</v>
      </c>
      <c r="X2225" s="2" t="s">
        <v>100</v>
      </c>
      <c r="Y2225" s="2" t="s">
        <v>3614</v>
      </c>
      <c r="Z2225" s="4">
        <v>235</v>
      </c>
      <c r="AA2225" s="4">
        <f>=ROUNDDOWN(78.3333333333333,0)</f>
      </c>
      <c r="AB2225" s="5">
        <v>3</v>
      </c>
      <c r="AC2225" s="2" t="s">
        <v>123</v>
      </c>
      <c r="AD2225" s="4">
        <v>50</v>
      </c>
      <c r="AE2225" s="4">
        <v>150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20</v>
      </c>
      <c r="BK2225" s="8">
        <v>742.89</v>
      </c>
      <c r="BL2225" s="2" t="s">
        <v>6376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207</v>
      </c>
      <c r="BV2225" s="2" t="s">
        <v>97</v>
      </c>
      <c r="BW2225" s="2" t="s">
        <v>100</v>
      </c>
      <c r="BX2225" s="2" t="s">
        <v>100</v>
      </c>
      <c r="BY2225" s="2" t="s">
        <v>113</v>
      </c>
      <c r="BZ2225" s="2" t="s">
        <v>100</v>
      </c>
    </row>
    <row r="2226">
      <c r="A2226" s="2" t="s">
        <v>7083</v>
      </c>
      <c r="B2226" s="2" t="s">
        <v>5764</v>
      </c>
      <c r="C2226" s="2" t="s">
        <v>3934</v>
      </c>
      <c r="D2226" s="2" t="s">
        <v>803</v>
      </c>
      <c r="E2226" s="2" t="s">
        <v>1532</v>
      </c>
      <c r="F2226" s="2" t="s">
        <v>7074</v>
      </c>
      <c r="G2226" s="2" t="s">
        <v>7074</v>
      </c>
      <c r="H2226" s="2" t="s">
        <v>7074</v>
      </c>
      <c r="I2226" s="2" t="s">
        <v>7079</v>
      </c>
      <c r="J2226" s="2" t="s">
        <v>247</v>
      </c>
      <c r="K2226" s="2" t="s">
        <v>1172</v>
      </c>
      <c r="L2226" s="3">
        <v>42.85</v>
      </c>
      <c r="M2226" s="3">
        <v>44.99</v>
      </c>
      <c r="N2226" s="3">
        <v>89.99</v>
      </c>
      <c r="O2226" s="2" t="s">
        <v>97</v>
      </c>
      <c r="P2226" s="2" t="s">
        <v>119</v>
      </c>
      <c r="Q2226" s="2" t="s">
        <v>99</v>
      </c>
      <c r="R2226" s="2" t="s">
        <v>100</v>
      </c>
      <c r="S2226" s="2" t="s">
        <v>7082</v>
      </c>
      <c r="T2226" s="2" t="s">
        <v>672</v>
      </c>
      <c r="U2226" s="2" t="s">
        <v>480</v>
      </c>
      <c r="V2226" s="2" t="s">
        <v>146</v>
      </c>
      <c r="W2226" s="2" t="s">
        <v>183</v>
      </c>
      <c r="X2226" s="2" t="s">
        <v>100</v>
      </c>
      <c r="Y2226" s="2" t="s">
        <v>3747</v>
      </c>
      <c r="Z2226" s="4">
        <v>278</v>
      </c>
      <c r="AA2226" s="4">
        <f>=ROUNDDOWN(46.3333333333333,0)</f>
      </c>
      <c r="AB2226" s="5">
        <v>6</v>
      </c>
      <c r="AC2226" s="2" t="s">
        <v>123</v>
      </c>
      <c r="AD2226" s="4">
        <v>100</v>
      </c>
      <c r="AE2226" s="4">
        <v>350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65</v>
      </c>
      <c r="BK2226" s="8">
        <v>3109.96</v>
      </c>
      <c r="BL2226" s="2" t="s">
        <v>3774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207</v>
      </c>
      <c r="BV2226" s="2" t="s">
        <v>97</v>
      </c>
      <c r="BW2226" s="2" t="s">
        <v>100</v>
      </c>
      <c r="BX2226" s="2" t="s">
        <v>100</v>
      </c>
      <c r="BY2226" s="2" t="s">
        <v>113</v>
      </c>
      <c r="BZ2226" s="2" t="s">
        <v>100</v>
      </c>
    </row>
    <row r="2227">
      <c r="A2227" s="2" t="s">
        <v>7084</v>
      </c>
      <c r="B2227" s="2" t="s">
        <v>5764</v>
      </c>
      <c r="C2227" s="2" t="s">
        <v>3934</v>
      </c>
      <c r="D2227" s="2" t="s">
        <v>803</v>
      </c>
      <c r="E2227" s="2" t="s">
        <v>1532</v>
      </c>
      <c r="F2227" s="2" t="s">
        <v>7074</v>
      </c>
      <c r="G2227" s="2" t="s">
        <v>7074</v>
      </c>
      <c r="H2227" s="2" t="s">
        <v>7074</v>
      </c>
      <c r="I2227" s="2" t="s">
        <v>7079</v>
      </c>
      <c r="J2227" s="2" t="s">
        <v>714</v>
      </c>
      <c r="K2227" s="2" t="s">
        <v>1172</v>
      </c>
      <c r="L2227" s="3">
        <v>47.61</v>
      </c>
      <c r="M2227" s="3">
        <v>49.99</v>
      </c>
      <c r="N2227" s="3">
        <v>99.99</v>
      </c>
      <c r="O2227" s="2" t="s">
        <v>97</v>
      </c>
      <c r="P2227" s="2" t="s">
        <v>119</v>
      </c>
      <c r="Q2227" s="2" t="s">
        <v>99</v>
      </c>
      <c r="R2227" s="2" t="s">
        <v>100</v>
      </c>
      <c r="S2227" s="2" t="s">
        <v>7082</v>
      </c>
      <c r="T2227" s="2" t="s">
        <v>672</v>
      </c>
      <c r="U2227" s="2" t="s">
        <v>480</v>
      </c>
      <c r="V2227" s="2" t="s">
        <v>146</v>
      </c>
      <c r="W2227" s="2" t="s">
        <v>183</v>
      </c>
      <c r="X2227" s="2" t="s">
        <v>100</v>
      </c>
      <c r="Y2227" s="2" t="s">
        <v>3747</v>
      </c>
      <c r="Z2227" s="4">
        <v>123</v>
      </c>
      <c r="AA2227" s="4">
        <f>=ROUNDDOWN(24.6,0)</f>
      </c>
      <c r="AB2227" s="5">
        <v>5</v>
      </c>
      <c r="AC2227" s="2" t="s">
        <v>123</v>
      </c>
      <c r="AD2227" s="4">
        <v>70</v>
      </c>
      <c r="AE2227" s="4">
        <v>278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55</v>
      </c>
      <c r="BK2227" s="8">
        <v>2927.88</v>
      </c>
      <c r="BL2227" s="2" t="s">
        <v>3731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207</v>
      </c>
      <c r="BV2227" s="2" t="s">
        <v>97</v>
      </c>
      <c r="BW2227" s="2" t="s">
        <v>100</v>
      </c>
      <c r="BX2227" s="2" t="s">
        <v>100</v>
      </c>
      <c r="BY2227" s="2" t="s">
        <v>113</v>
      </c>
      <c r="BZ2227" s="2" t="s">
        <v>100</v>
      </c>
    </row>
    <row r="2228">
      <c r="A2228" s="2" t="s">
        <v>7085</v>
      </c>
      <c r="B2228" s="2" t="s">
        <v>5764</v>
      </c>
      <c r="C2228" s="2" t="s">
        <v>3934</v>
      </c>
      <c r="D2228" s="2" t="s">
        <v>803</v>
      </c>
      <c r="E2228" s="2" t="s">
        <v>1532</v>
      </c>
      <c r="F2228" s="2" t="s">
        <v>7074</v>
      </c>
      <c r="G2228" s="2" t="s">
        <v>7074</v>
      </c>
      <c r="H2228" s="2" t="s">
        <v>7074</v>
      </c>
      <c r="I2228" s="2" t="s">
        <v>7075</v>
      </c>
      <c r="J2228" s="2" t="s">
        <v>1936</v>
      </c>
      <c r="K2228" s="2" t="s">
        <v>578</v>
      </c>
      <c r="L2228" s="3">
        <v>33.33</v>
      </c>
      <c r="M2228" s="3">
        <v>35</v>
      </c>
      <c r="N2228" s="3">
        <v>69.99</v>
      </c>
      <c r="O2228" s="2" t="s">
        <v>97</v>
      </c>
      <c r="P2228" s="2" t="s">
        <v>119</v>
      </c>
      <c r="Q2228" s="2" t="s">
        <v>99</v>
      </c>
      <c r="R2228" s="2" t="s">
        <v>100</v>
      </c>
      <c r="S2228" s="2" t="s">
        <v>7086</v>
      </c>
      <c r="T2228" s="2" t="s">
        <v>672</v>
      </c>
      <c r="U2228" s="2" t="s">
        <v>514</v>
      </c>
      <c r="V2228" s="2" t="s">
        <v>146</v>
      </c>
      <c r="W2228" s="2" t="s">
        <v>183</v>
      </c>
      <c r="X2228" s="2" t="s">
        <v>100</v>
      </c>
      <c r="Y2228" s="2" t="s">
        <v>3614</v>
      </c>
      <c r="Z2228" s="4">
        <v>233</v>
      </c>
      <c r="AA2228" s="4">
        <f>=ROUNDDOWN(77.6666666666667,0)</f>
      </c>
      <c r="AB2228" s="5">
        <v>3</v>
      </c>
      <c r="AC2228" s="2" t="s">
        <v>123</v>
      </c>
      <c r="AD2228" s="4">
        <v>50</v>
      </c>
      <c r="AE2228" s="4">
        <v>80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25</v>
      </c>
      <c r="BK2228" s="8">
        <v>938.4</v>
      </c>
      <c r="BL2228" s="2" t="s">
        <v>6083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207</v>
      </c>
      <c r="BV2228" s="2" t="s">
        <v>97</v>
      </c>
      <c r="BW2228" s="2" t="s">
        <v>100</v>
      </c>
      <c r="BX2228" s="2" t="s">
        <v>100</v>
      </c>
      <c r="BY2228" s="2" t="s">
        <v>113</v>
      </c>
      <c r="BZ2228" s="2" t="s">
        <v>100</v>
      </c>
    </row>
    <row r="2229">
      <c r="A2229" s="2" t="s">
        <v>7087</v>
      </c>
      <c r="B2229" s="2" t="s">
        <v>5764</v>
      </c>
      <c r="C2229" s="2" t="s">
        <v>3934</v>
      </c>
      <c r="D2229" s="2" t="s">
        <v>803</v>
      </c>
      <c r="E2229" s="2" t="s">
        <v>1532</v>
      </c>
      <c r="F2229" s="2" t="s">
        <v>7074</v>
      </c>
      <c r="G2229" s="2" t="s">
        <v>7074</v>
      </c>
      <c r="H2229" s="2" t="s">
        <v>7074</v>
      </c>
      <c r="I2229" s="2" t="s">
        <v>7079</v>
      </c>
      <c r="J2229" s="2" t="s">
        <v>247</v>
      </c>
      <c r="K2229" s="2" t="s">
        <v>578</v>
      </c>
      <c r="L2229" s="3">
        <v>42.85</v>
      </c>
      <c r="M2229" s="3">
        <v>44.99</v>
      </c>
      <c r="N2229" s="3">
        <v>89.99</v>
      </c>
      <c r="O2229" s="2" t="s">
        <v>97</v>
      </c>
      <c r="P2229" s="2" t="s">
        <v>119</v>
      </c>
      <c r="Q2229" s="2" t="s">
        <v>99</v>
      </c>
      <c r="R2229" s="2" t="s">
        <v>100</v>
      </c>
      <c r="S2229" s="2" t="s">
        <v>7086</v>
      </c>
      <c r="T2229" s="2" t="s">
        <v>672</v>
      </c>
      <c r="U2229" s="2" t="s">
        <v>480</v>
      </c>
      <c r="V2229" s="2" t="s">
        <v>146</v>
      </c>
      <c r="W2229" s="2" t="s">
        <v>183</v>
      </c>
      <c r="X2229" s="2" t="s">
        <v>100</v>
      </c>
      <c r="Y2229" s="2" t="s">
        <v>3614</v>
      </c>
      <c r="Z2229" s="4">
        <v>309</v>
      </c>
      <c r="AA2229" s="4">
        <f>=ROUNDDOWN(44.1428571428571,0)</f>
      </c>
      <c r="AB2229" s="5">
        <v>7</v>
      </c>
      <c r="AC2229" s="2" t="s">
        <v>123</v>
      </c>
      <c r="AD2229" s="4">
        <v>120</v>
      </c>
      <c r="AE2229" s="4">
        <v>420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49</v>
      </c>
      <c r="BK2229" s="8">
        <v>2358.92</v>
      </c>
      <c r="BL2229" s="2" t="s">
        <v>7070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207</v>
      </c>
      <c r="BV2229" s="2" t="s">
        <v>97</v>
      </c>
      <c r="BW2229" s="2" t="s">
        <v>100</v>
      </c>
      <c r="BX2229" s="2" t="s">
        <v>100</v>
      </c>
      <c r="BY2229" s="2" t="s">
        <v>113</v>
      </c>
      <c r="BZ2229" s="2" t="s">
        <v>100</v>
      </c>
    </row>
    <row r="2230">
      <c r="A2230" s="2" t="s">
        <v>7088</v>
      </c>
      <c r="B2230" s="2" t="s">
        <v>5764</v>
      </c>
      <c r="C2230" s="2" t="s">
        <v>3934</v>
      </c>
      <c r="D2230" s="2" t="s">
        <v>803</v>
      </c>
      <c r="E2230" s="2" t="s">
        <v>1532</v>
      </c>
      <c r="F2230" s="2" t="s">
        <v>7074</v>
      </c>
      <c r="G2230" s="2" t="s">
        <v>7074</v>
      </c>
      <c r="H2230" s="2" t="s">
        <v>7074</v>
      </c>
      <c r="I2230" s="2" t="s">
        <v>7079</v>
      </c>
      <c r="J2230" s="2" t="s">
        <v>714</v>
      </c>
      <c r="K2230" s="2" t="s">
        <v>578</v>
      </c>
      <c r="L2230" s="3">
        <v>47.61</v>
      </c>
      <c r="M2230" s="3">
        <v>49.99</v>
      </c>
      <c r="N2230" s="3">
        <v>99.99</v>
      </c>
      <c r="O2230" s="2" t="s">
        <v>97</v>
      </c>
      <c r="P2230" s="2" t="s">
        <v>119</v>
      </c>
      <c r="Q2230" s="2" t="s">
        <v>99</v>
      </c>
      <c r="R2230" s="2" t="s">
        <v>100</v>
      </c>
      <c r="S2230" s="2" t="s">
        <v>7086</v>
      </c>
      <c r="T2230" s="2" t="s">
        <v>672</v>
      </c>
      <c r="U2230" s="2" t="s">
        <v>480</v>
      </c>
      <c r="V2230" s="2" t="s">
        <v>146</v>
      </c>
      <c r="W2230" s="2" t="s">
        <v>183</v>
      </c>
      <c r="X2230" s="2" t="s">
        <v>100</v>
      </c>
      <c r="Y2230" s="2" t="s">
        <v>3747</v>
      </c>
      <c r="Z2230" s="4">
        <v>148</v>
      </c>
      <c r="AA2230" s="4">
        <f>=ROUNDDOWN(29.6,0)</f>
      </c>
      <c r="AB2230" s="5">
        <v>5</v>
      </c>
      <c r="AC2230" s="2" t="s">
        <v>123</v>
      </c>
      <c r="AD2230" s="4">
        <v>80</v>
      </c>
      <c r="AE2230" s="4">
        <v>285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31</v>
      </c>
      <c r="BK2230" s="8">
        <v>1693.8</v>
      </c>
      <c r="BL2230" s="2" t="s">
        <v>1056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207</v>
      </c>
      <c r="BV2230" s="2" t="s">
        <v>97</v>
      </c>
      <c r="BW2230" s="2" t="s">
        <v>100</v>
      </c>
      <c r="BX2230" s="2" t="s">
        <v>100</v>
      </c>
      <c r="BY2230" s="2" t="s">
        <v>113</v>
      </c>
      <c r="BZ2230" s="2" t="s">
        <v>100</v>
      </c>
    </row>
    <row r="2231">
      <c r="A2231" s="2" t="s">
        <v>7089</v>
      </c>
      <c r="B2231" s="2" t="s">
        <v>5764</v>
      </c>
      <c r="C2231" s="2" t="s">
        <v>3934</v>
      </c>
      <c r="D2231" s="2" t="s">
        <v>1638</v>
      </c>
      <c r="E2231" s="2" t="s">
        <v>1639</v>
      </c>
      <c r="F2231" s="2" t="s">
        <v>7035</v>
      </c>
      <c r="G2231" s="2" t="s">
        <v>1683</v>
      </c>
      <c r="H2231" s="2" t="s">
        <v>1683</v>
      </c>
      <c r="I2231" s="2" t="s">
        <v>7090</v>
      </c>
      <c r="J2231" s="2" t="s">
        <v>1936</v>
      </c>
      <c r="K2231" s="2" t="s">
        <v>335</v>
      </c>
      <c r="L2231" s="3">
        <v>25.8</v>
      </c>
      <c r="M2231" s="3">
        <v>27.09</v>
      </c>
      <c r="N2231" s="3">
        <v>59.99</v>
      </c>
      <c r="O2231" s="2" t="s">
        <v>97</v>
      </c>
      <c r="P2231" s="2" t="s">
        <v>119</v>
      </c>
      <c r="Q2231" s="2" t="s">
        <v>99</v>
      </c>
      <c r="R2231" s="2" t="s">
        <v>100</v>
      </c>
      <c r="S2231" s="2" t="s">
        <v>7044</v>
      </c>
      <c r="T2231" s="2" t="s">
        <v>6072</v>
      </c>
      <c r="U2231" s="2" t="s">
        <v>514</v>
      </c>
      <c r="V2231" s="2" t="s">
        <v>146</v>
      </c>
      <c r="W2231" s="2" t="s">
        <v>673</v>
      </c>
      <c r="X2231" s="2" t="s">
        <v>561</v>
      </c>
      <c r="Y2231" s="2" t="s">
        <v>4574</v>
      </c>
      <c r="Z2231" s="4">
        <v>184</v>
      </c>
      <c r="AA2231" s="4">
        <f>=ROUNDDOWN(46,0)</f>
      </c>
      <c r="AB2231" s="5">
        <v>4</v>
      </c>
      <c r="AC2231" s="2" t="s">
        <v>997</v>
      </c>
      <c r="AD2231" s="4">
        <v>40</v>
      </c>
      <c r="AE2231" s="4">
        <v>170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23</v>
      </c>
      <c r="BK2231" s="8">
        <v>670.56</v>
      </c>
      <c r="BL2231" s="2" t="s">
        <v>7091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207</v>
      </c>
      <c r="BV2231" s="2" t="s">
        <v>97</v>
      </c>
      <c r="BW2231" s="2" t="s">
        <v>100</v>
      </c>
      <c r="BX2231" s="2" t="s">
        <v>100</v>
      </c>
      <c r="BY2231" s="2" t="s">
        <v>113</v>
      </c>
      <c r="BZ2231" s="2" t="s">
        <v>100</v>
      </c>
    </row>
    <row r="2232">
      <c r="A2232" s="2" t="s">
        <v>7092</v>
      </c>
      <c r="B2232" s="2" t="s">
        <v>5764</v>
      </c>
      <c r="C2232" s="2" t="s">
        <v>3934</v>
      </c>
      <c r="D2232" s="2" t="s">
        <v>1638</v>
      </c>
      <c r="E2232" s="2" t="s">
        <v>1639</v>
      </c>
      <c r="F2232" s="2" t="s">
        <v>7035</v>
      </c>
      <c r="G2232" s="2" t="s">
        <v>1683</v>
      </c>
      <c r="H2232" s="2" t="s">
        <v>1683</v>
      </c>
      <c r="I2232" s="2" t="s">
        <v>7090</v>
      </c>
      <c r="J2232" s="2" t="s">
        <v>247</v>
      </c>
      <c r="K2232" s="2" t="s">
        <v>335</v>
      </c>
      <c r="L2232" s="3">
        <v>31.5</v>
      </c>
      <c r="M2232" s="3">
        <v>33.08</v>
      </c>
      <c r="N2232" s="3">
        <v>69.99</v>
      </c>
      <c r="O2232" s="2" t="s">
        <v>97</v>
      </c>
      <c r="P2232" s="2" t="s">
        <v>119</v>
      </c>
      <c r="Q2232" s="2" t="s">
        <v>99</v>
      </c>
      <c r="R2232" s="2" t="s">
        <v>100</v>
      </c>
      <c r="S2232" s="2" t="s">
        <v>7044</v>
      </c>
      <c r="T2232" s="2" t="s">
        <v>6072</v>
      </c>
      <c r="U2232" s="2" t="s">
        <v>480</v>
      </c>
      <c r="V2232" s="2" t="s">
        <v>146</v>
      </c>
      <c r="W2232" s="2" t="s">
        <v>673</v>
      </c>
      <c r="X2232" s="2" t="s">
        <v>561</v>
      </c>
      <c r="Y2232" s="2" t="s">
        <v>4574</v>
      </c>
      <c r="Z2232" s="4">
        <v>385</v>
      </c>
      <c r="AA2232" s="4">
        <f>=ROUNDDOWN(64.1666666666667,0)</f>
      </c>
      <c r="AB2232" s="5">
        <v>6</v>
      </c>
      <c r="AC2232" s="2" t="s">
        <v>356</v>
      </c>
      <c r="AD2232" s="4">
        <v>1639</v>
      </c>
      <c r="AE2232" s="4">
        <v>1799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186</v>
      </c>
      <c r="BK2232" s="8">
        <v>6543.13</v>
      </c>
      <c r="BL2232" s="2" t="s">
        <v>7093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207</v>
      </c>
      <c r="BV2232" s="2" t="s">
        <v>97</v>
      </c>
      <c r="BW2232" s="2" t="s">
        <v>100</v>
      </c>
      <c r="BX2232" s="2" t="s">
        <v>100</v>
      </c>
      <c r="BY2232" s="2" t="s">
        <v>113</v>
      </c>
      <c r="BZ2232" s="2" t="s">
        <v>100</v>
      </c>
    </row>
    <row r="2233">
      <c r="A2233" s="2" t="s">
        <v>7094</v>
      </c>
      <c r="B2233" s="2" t="s">
        <v>5764</v>
      </c>
      <c r="C2233" s="2" t="s">
        <v>3934</v>
      </c>
      <c r="D2233" s="2" t="s">
        <v>1638</v>
      </c>
      <c r="E2233" s="2" t="s">
        <v>1639</v>
      </c>
      <c r="F2233" s="2" t="s">
        <v>7035</v>
      </c>
      <c r="G2233" s="2" t="s">
        <v>1683</v>
      </c>
      <c r="H2233" s="2" t="s">
        <v>1683</v>
      </c>
      <c r="I2233" s="2" t="s">
        <v>7090</v>
      </c>
      <c r="J2233" s="2" t="s">
        <v>714</v>
      </c>
      <c r="K2233" s="2" t="s">
        <v>335</v>
      </c>
      <c r="L2233" s="3">
        <v>36.8</v>
      </c>
      <c r="M2233" s="3">
        <v>38.64</v>
      </c>
      <c r="N2233" s="3">
        <v>79.99</v>
      </c>
      <c r="O2233" s="2" t="s">
        <v>97</v>
      </c>
      <c r="P2233" s="2" t="s">
        <v>119</v>
      </c>
      <c r="Q2233" s="2" t="s">
        <v>99</v>
      </c>
      <c r="R2233" s="2" t="s">
        <v>100</v>
      </c>
      <c r="S2233" s="2" t="s">
        <v>7044</v>
      </c>
      <c r="T2233" s="2" t="s">
        <v>6072</v>
      </c>
      <c r="U2233" s="2" t="s">
        <v>480</v>
      </c>
      <c r="V2233" s="2" t="s">
        <v>146</v>
      </c>
      <c r="W2233" s="2" t="s">
        <v>673</v>
      </c>
      <c r="X2233" s="2" t="s">
        <v>561</v>
      </c>
      <c r="Y2233" s="2" t="s">
        <v>6741</v>
      </c>
      <c r="Z2233" s="4">
        <v>344</v>
      </c>
      <c r="AA2233" s="4">
        <f>=ROUNDDOWN(86,0)</f>
      </c>
      <c r="AB2233" s="5">
        <v>4</v>
      </c>
      <c r="AC2233" s="2" t="s">
        <v>356</v>
      </c>
      <c r="AD2233" s="4">
        <v>1540</v>
      </c>
      <c r="AE2233" s="4">
        <v>1680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170</v>
      </c>
      <c r="BK2233" s="8">
        <v>6931.98</v>
      </c>
      <c r="BL2233" s="2" t="s">
        <v>4967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207</v>
      </c>
      <c r="BV2233" s="2" t="s">
        <v>97</v>
      </c>
      <c r="BW2233" s="2" t="s">
        <v>100</v>
      </c>
      <c r="BX2233" s="2" t="s">
        <v>100</v>
      </c>
      <c r="BY2233" s="2" t="s">
        <v>113</v>
      </c>
      <c r="BZ2233" s="2" t="s">
        <v>100</v>
      </c>
    </row>
    <row r="2234">
      <c r="A2234" s="2" t="s">
        <v>7095</v>
      </c>
      <c r="B2234" s="2" t="s">
        <v>5764</v>
      </c>
      <c r="C2234" s="2" t="s">
        <v>3934</v>
      </c>
      <c r="D2234" s="2" t="s">
        <v>1638</v>
      </c>
      <c r="E2234" s="2" t="s">
        <v>1639</v>
      </c>
      <c r="F2234" s="2" t="s">
        <v>7035</v>
      </c>
      <c r="G2234" s="2" t="s">
        <v>1683</v>
      </c>
      <c r="H2234" s="2" t="s">
        <v>1683</v>
      </c>
      <c r="I2234" s="2" t="s">
        <v>7090</v>
      </c>
      <c r="J2234" s="2" t="s">
        <v>1936</v>
      </c>
      <c r="K2234" s="2" t="s">
        <v>432</v>
      </c>
      <c r="L2234" s="3">
        <v>25.8</v>
      </c>
      <c r="M2234" s="3">
        <v>27.09</v>
      </c>
      <c r="N2234" s="3">
        <v>59.99</v>
      </c>
      <c r="O2234" s="2" t="s">
        <v>97</v>
      </c>
      <c r="P2234" s="2" t="s">
        <v>950</v>
      </c>
      <c r="Q2234" s="2" t="s">
        <v>99</v>
      </c>
      <c r="R2234" s="2" t="s">
        <v>100</v>
      </c>
      <c r="S2234" s="2" t="s">
        <v>7057</v>
      </c>
      <c r="T2234" s="2" t="s">
        <v>6072</v>
      </c>
      <c r="U2234" s="2" t="s">
        <v>514</v>
      </c>
      <c r="V2234" s="2" t="s">
        <v>146</v>
      </c>
      <c r="W2234" s="2" t="s">
        <v>673</v>
      </c>
      <c r="X2234" s="2" t="s">
        <v>561</v>
      </c>
      <c r="Y2234" s="2" t="s">
        <v>5852</v>
      </c>
      <c r="Z2234" s="4">
        <v>624</v>
      </c>
      <c r="AA2234" s="4">
        <f>=ROUNDDOWN(62.4,0)</f>
      </c>
      <c r="AB2234" s="5">
        <v>10</v>
      </c>
      <c r="AC2234" s="2" t="s">
        <v>356</v>
      </c>
      <c r="AD2234" s="4">
        <v>2420</v>
      </c>
      <c r="AE2234" s="4">
        <v>2650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212</v>
      </c>
      <c r="BK2234" s="8">
        <v>6094.74</v>
      </c>
      <c r="BL2234" s="2" t="s">
        <v>7096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207</v>
      </c>
      <c r="BV2234" s="2" t="s">
        <v>97</v>
      </c>
      <c r="BW2234" s="2" t="s">
        <v>100</v>
      </c>
      <c r="BX2234" s="2" t="s">
        <v>100</v>
      </c>
      <c r="BY2234" s="2" t="s">
        <v>113</v>
      </c>
      <c r="BZ2234" s="2" t="s">
        <v>100</v>
      </c>
    </row>
    <row r="2235">
      <c r="A2235" s="2" t="s">
        <v>7097</v>
      </c>
      <c r="B2235" s="2" t="s">
        <v>5764</v>
      </c>
      <c r="C2235" s="2" t="s">
        <v>3934</v>
      </c>
      <c r="D2235" s="2" t="s">
        <v>1638</v>
      </c>
      <c r="E2235" s="2" t="s">
        <v>1639</v>
      </c>
      <c r="F2235" s="2" t="s">
        <v>7035</v>
      </c>
      <c r="G2235" s="2" t="s">
        <v>1683</v>
      </c>
      <c r="H2235" s="2" t="s">
        <v>1683</v>
      </c>
      <c r="I2235" s="2" t="s">
        <v>7090</v>
      </c>
      <c r="J2235" s="2" t="s">
        <v>247</v>
      </c>
      <c r="K2235" s="2" t="s">
        <v>432</v>
      </c>
      <c r="L2235" s="3">
        <v>31.5</v>
      </c>
      <c r="M2235" s="3">
        <v>33.08</v>
      </c>
      <c r="N2235" s="3">
        <v>69.99</v>
      </c>
      <c r="O2235" s="2" t="s">
        <v>97</v>
      </c>
      <c r="P2235" s="2" t="s">
        <v>950</v>
      </c>
      <c r="Q2235" s="2" t="s">
        <v>99</v>
      </c>
      <c r="R2235" s="2" t="s">
        <v>100</v>
      </c>
      <c r="S2235" s="2" t="s">
        <v>7057</v>
      </c>
      <c r="T2235" s="2" t="s">
        <v>6072</v>
      </c>
      <c r="U2235" s="2" t="s">
        <v>480</v>
      </c>
      <c r="V2235" s="2" t="s">
        <v>146</v>
      </c>
      <c r="W2235" s="2" t="s">
        <v>673</v>
      </c>
      <c r="X2235" s="2" t="s">
        <v>561</v>
      </c>
      <c r="Y2235" s="2" t="s">
        <v>5852</v>
      </c>
      <c r="Z2235" s="4">
        <v>911</v>
      </c>
      <c r="AA2235" s="4">
        <f>=ROUNDDOWN(41.4090909090909,0)</f>
      </c>
      <c r="AB2235" s="5">
        <v>22</v>
      </c>
      <c r="AC2235" s="2" t="s">
        <v>356</v>
      </c>
      <c r="AD2235" s="4">
        <v>1540</v>
      </c>
      <c r="AE2235" s="4">
        <v>2355</v>
      </c>
      <c r="AF2235" s="6">
        <v>65</v>
      </c>
      <c r="AG2235" s="6">
        <v>48</v>
      </c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824</v>
      </c>
      <c r="BK2235" s="8">
        <v>27764.25</v>
      </c>
      <c r="BL2235" s="2" t="s">
        <v>956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207</v>
      </c>
      <c r="BV2235" s="2" t="s">
        <v>97</v>
      </c>
      <c r="BW2235" s="2" t="s">
        <v>100</v>
      </c>
      <c r="BX2235" s="2" t="s">
        <v>100</v>
      </c>
      <c r="BY2235" s="2" t="s">
        <v>113</v>
      </c>
      <c r="BZ2235" s="2" t="s">
        <v>100</v>
      </c>
    </row>
    <row r="2236">
      <c r="A2236" s="2" t="s">
        <v>7098</v>
      </c>
      <c r="B2236" s="2" t="s">
        <v>5764</v>
      </c>
      <c r="C2236" s="2" t="s">
        <v>3934</v>
      </c>
      <c r="D2236" s="2" t="s">
        <v>1638</v>
      </c>
      <c r="E2236" s="2" t="s">
        <v>1639</v>
      </c>
      <c r="F2236" s="2" t="s">
        <v>7035</v>
      </c>
      <c r="G2236" s="2" t="s">
        <v>1683</v>
      </c>
      <c r="H2236" s="2" t="s">
        <v>1683</v>
      </c>
      <c r="I2236" s="2" t="s">
        <v>7090</v>
      </c>
      <c r="J2236" s="2" t="s">
        <v>714</v>
      </c>
      <c r="K2236" s="2" t="s">
        <v>432</v>
      </c>
      <c r="L2236" s="3">
        <v>36.8</v>
      </c>
      <c r="M2236" s="3">
        <v>38.64</v>
      </c>
      <c r="N2236" s="3">
        <v>79.99</v>
      </c>
      <c r="O2236" s="2" t="s">
        <v>97</v>
      </c>
      <c r="P2236" s="2" t="s">
        <v>950</v>
      </c>
      <c r="Q2236" s="2" t="s">
        <v>99</v>
      </c>
      <c r="R2236" s="2" t="s">
        <v>100</v>
      </c>
      <c r="S2236" s="2" t="s">
        <v>7057</v>
      </c>
      <c r="T2236" s="2" t="s">
        <v>6072</v>
      </c>
      <c r="U2236" s="2" t="s">
        <v>480</v>
      </c>
      <c r="V2236" s="2" t="s">
        <v>146</v>
      </c>
      <c r="W2236" s="2" t="s">
        <v>673</v>
      </c>
      <c r="X2236" s="2" t="s">
        <v>561</v>
      </c>
      <c r="Y2236" s="2" t="s">
        <v>5852</v>
      </c>
      <c r="Z2236" s="4">
        <v>504</v>
      </c>
      <c r="AA2236" s="4">
        <f>=ROUNDDOWN(61.4634146341463,0)</f>
      </c>
      <c r="AB2236" s="5">
        <v>8.2</v>
      </c>
      <c r="AC2236" s="2" t="s">
        <v>356</v>
      </c>
      <c r="AD2236" s="4">
        <v>2871</v>
      </c>
      <c r="AE2236" s="4">
        <v>3196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340</v>
      </c>
      <c r="BK2236" s="8">
        <v>13411.84</v>
      </c>
      <c r="BL2236" s="2" t="s">
        <v>7099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207</v>
      </c>
      <c r="BV2236" s="2" t="s">
        <v>97</v>
      </c>
      <c r="BW2236" s="2" t="s">
        <v>100</v>
      </c>
      <c r="BX2236" s="2" t="s">
        <v>100</v>
      </c>
      <c r="BY2236" s="2" t="s">
        <v>113</v>
      </c>
      <c r="BZ2236" s="2" t="s">
        <v>100</v>
      </c>
    </row>
    <row r="2237">
      <c r="A2237" s="2" t="s">
        <v>7100</v>
      </c>
      <c r="B2237" s="2" t="s">
        <v>5764</v>
      </c>
      <c r="C2237" s="2" t="s">
        <v>3934</v>
      </c>
      <c r="D2237" s="2" t="s">
        <v>1638</v>
      </c>
      <c r="E2237" s="2" t="s">
        <v>1639</v>
      </c>
      <c r="F2237" s="2" t="s">
        <v>7035</v>
      </c>
      <c r="G2237" s="2" t="s">
        <v>1683</v>
      </c>
      <c r="H2237" s="2" t="s">
        <v>1683</v>
      </c>
      <c r="I2237" s="2" t="s">
        <v>7090</v>
      </c>
      <c r="J2237" s="2" t="s">
        <v>1936</v>
      </c>
      <c r="K2237" s="2" t="s">
        <v>198</v>
      </c>
      <c r="L2237" s="3">
        <v>25.8</v>
      </c>
      <c r="M2237" s="3">
        <v>27.09</v>
      </c>
      <c r="N2237" s="3">
        <v>59.99</v>
      </c>
      <c r="O2237" s="2" t="s">
        <v>97</v>
      </c>
      <c r="P2237" s="2" t="s">
        <v>119</v>
      </c>
      <c r="Q2237" s="2" t="s">
        <v>99</v>
      </c>
      <c r="R2237" s="2" t="s">
        <v>100</v>
      </c>
      <c r="S2237" s="2" t="s">
        <v>7101</v>
      </c>
      <c r="T2237" s="2" t="s">
        <v>6072</v>
      </c>
      <c r="U2237" s="2" t="s">
        <v>514</v>
      </c>
      <c r="V2237" s="2" t="s">
        <v>146</v>
      </c>
      <c r="W2237" s="2" t="s">
        <v>673</v>
      </c>
      <c r="X2237" s="2" t="s">
        <v>561</v>
      </c>
      <c r="Y2237" s="2" t="s">
        <v>5852</v>
      </c>
      <c r="Z2237" s="4">
        <v>286</v>
      </c>
      <c r="AA2237" s="4">
        <f>=ROUNDDOWN(47.6666666666667,0)</f>
      </c>
      <c r="AB2237" s="5">
        <v>6</v>
      </c>
      <c r="AC2237" s="2" t="s">
        <v>356</v>
      </c>
      <c r="AD2237" s="4">
        <v>330</v>
      </c>
      <c r="AE2237" s="4">
        <v>600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107</v>
      </c>
      <c r="BK2237" s="8">
        <v>3059.4</v>
      </c>
      <c r="BL2237" s="2" t="s">
        <v>229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207</v>
      </c>
      <c r="BV2237" s="2" t="s">
        <v>97</v>
      </c>
      <c r="BW2237" s="2" t="s">
        <v>100</v>
      </c>
      <c r="BX2237" s="2" t="s">
        <v>100</v>
      </c>
      <c r="BY2237" s="2" t="s">
        <v>113</v>
      </c>
      <c r="BZ2237" s="2" t="s">
        <v>100</v>
      </c>
    </row>
    <row r="2238">
      <c r="A2238" s="2" t="s">
        <v>7102</v>
      </c>
      <c r="B2238" s="2" t="s">
        <v>5764</v>
      </c>
      <c r="C2238" s="2" t="s">
        <v>3934</v>
      </c>
      <c r="D2238" s="2" t="s">
        <v>1638</v>
      </c>
      <c r="E2238" s="2" t="s">
        <v>1639</v>
      </c>
      <c r="F2238" s="2" t="s">
        <v>7035</v>
      </c>
      <c r="G2238" s="2" t="s">
        <v>1683</v>
      </c>
      <c r="H2238" s="2" t="s">
        <v>1683</v>
      </c>
      <c r="I2238" s="2" t="s">
        <v>7090</v>
      </c>
      <c r="J2238" s="2" t="s">
        <v>247</v>
      </c>
      <c r="K2238" s="2" t="s">
        <v>198</v>
      </c>
      <c r="L2238" s="3">
        <v>31.5</v>
      </c>
      <c r="M2238" s="3">
        <v>33.08</v>
      </c>
      <c r="N2238" s="3">
        <v>69.99</v>
      </c>
      <c r="O2238" s="2" t="s">
        <v>97</v>
      </c>
      <c r="P2238" s="2" t="s">
        <v>119</v>
      </c>
      <c r="Q2238" s="2" t="s">
        <v>99</v>
      </c>
      <c r="R2238" s="2" t="s">
        <v>100</v>
      </c>
      <c r="S2238" s="2" t="s">
        <v>7101</v>
      </c>
      <c r="T2238" s="2" t="s">
        <v>6072</v>
      </c>
      <c r="U2238" s="2" t="s">
        <v>480</v>
      </c>
      <c r="V2238" s="2" t="s">
        <v>146</v>
      </c>
      <c r="W2238" s="2" t="s">
        <v>673</v>
      </c>
      <c r="X2238" s="2" t="s">
        <v>561</v>
      </c>
      <c r="Y2238" s="2" t="s">
        <v>5852</v>
      </c>
      <c r="Z2238" s="4">
        <v>617</v>
      </c>
      <c r="AA2238" s="4">
        <f>=ROUNDDOWN(41.1333333333333,0)</f>
      </c>
      <c r="AB2238" s="5">
        <v>15</v>
      </c>
      <c r="AC2238" s="2" t="s">
        <v>356</v>
      </c>
      <c r="AD2238" s="4">
        <v>3311</v>
      </c>
      <c r="AE2238" s="4">
        <v>4011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648</v>
      </c>
      <c r="BK2238" s="8">
        <v>22344.95</v>
      </c>
      <c r="BL2238" s="2" t="s">
        <v>446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207</v>
      </c>
      <c r="BV2238" s="2" t="s">
        <v>97</v>
      </c>
      <c r="BW2238" s="2" t="s">
        <v>100</v>
      </c>
      <c r="BX2238" s="2" t="s">
        <v>100</v>
      </c>
      <c r="BY2238" s="2" t="s">
        <v>113</v>
      </c>
      <c r="BZ2238" s="2" t="s">
        <v>100</v>
      </c>
    </row>
    <row r="2239">
      <c r="A2239" s="2" t="s">
        <v>7103</v>
      </c>
      <c r="B2239" s="2" t="s">
        <v>5764</v>
      </c>
      <c r="C2239" s="2" t="s">
        <v>3934</v>
      </c>
      <c r="D2239" s="2" t="s">
        <v>1638</v>
      </c>
      <c r="E2239" s="2" t="s">
        <v>1639</v>
      </c>
      <c r="F2239" s="2" t="s">
        <v>7035</v>
      </c>
      <c r="G2239" s="2" t="s">
        <v>1683</v>
      </c>
      <c r="H2239" s="2" t="s">
        <v>1683</v>
      </c>
      <c r="I2239" s="2" t="s">
        <v>7090</v>
      </c>
      <c r="J2239" s="2" t="s">
        <v>714</v>
      </c>
      <c r="K2239" s="2" t="s">
        <v>198</v>
      </c>
      <c r="L2239" s="3">
        <v>36.8</v>
      </c>
      <c r="M2239" s="3">
        <v>38.64</v>
      </c>
      <c r="N2239" s="3">
        <v>79.99</v>
      </c>
      <c r="O2239" s="2" t="s">
        <v>97</v>
      </c>
      <c r="P2239" s="2" t="s">
        <v>119</v>
      </c>
      <c r="Q2239" s="2" t="s">
        <v>99</v>
      </c>
      <c r="R2239" s="2" t="s">
        <v>100</v>
      </c>
      <c r="S2239" s="2" t="s">
        <v>7101</v>
      </c>
      <c r="T2239" s="2" t="s">
        <v>6072</v>
      </c>
      <c r="U2239" s="2" t="s">
        <v>480</v>
      </c>
      <c r="V2239" s="2" t="s">
        <v>146</v>
      </c>
      <c r="W2239" s="2" t="s">
        <v>673</v>
      </c>
      <c r="X2239" s="2" t="s">
        <v>561</v>
      </c>
      <c r="Y2239" s="2" t="s">
        <v>5852</v>
      </c>
      <c r="Z2239" s="4">
        <v>807</v>
      </c>
      <c r="AA2239" s="4">
        <f>=ROUNDDOWN(73.3636363636364,0)</f>
      </c>
      <c r="AB2239" s="5">
        <v>11</v>
      </c>
      <c r="AC2239" s="2" t="s">
        <v>356</v>
      </c>
      <c r="AD2239" s="4">
        <v>5500</v>
      </c>
      <c r="AE2239" s="4">
        <v>5960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531</v>
      </c>
      <c r="BK2239" s="8">
        <v>20948.85</v>
      </c>
      <c r="BL2239" s="2" t="s">
        <v>7104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207</v>
      </c>
      <c r="BV2239" s="2" t="s">
        <v>97</v>
      </c>
      <c r="BW2239" s="2" t="s">
        <v>100</v>
      </c>
      <c r="BX2239" s="2" t="s">
        <v>100</v>
      </c>
      <c r="BY2239" s="2" t="s">
        <v>113</v>
      </c>
      <c r="BZ2239" s="2" t="s">
        <v>100</v>
      </c>
    </row>
    <row r="2240">
      <c r="A2240" s="2" t="s">
        <v>7105</v>
      </c>
      <c r="B2240" s="2" t="s">
        <v>5764</v>
      </c>
      <c r="C2240" s="2" t="s">
        <v>3934</v>
      </c>
      <c r="D2240" s="2" t="s">
        <v>1638</v>
      </c>
      <c r="E2240" s="2" t="s">
        <v>1639</v>
      </c>
      <c r="F2240" s="2" t="s">
        <v>7035</v>
      </c>
      <c r="G2240" s="2" t="s">
        <v>1683</v>
      </c>
      <c r="H2240" s="2" t="s">
        <v>1683</v>
      </c>
      <c r="I2240" s="2" t="s">
        <v>7090</v>
      </c>
      <c r="J2240" s="2" t="s">
        <v>1936</v>
      </c>
      <c r="K2240" s="2" t="s">
        <v>1614</v>
      </c>
      <c r="L2240" s="3">
        <v>25.8</v>
      </c>
      <c r="M2240" s="3">
        <v>27.09</v>
      </c>
      <c r="N2240" s="3">
        <v>59.99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7106</v>
      </c>
      <c r="T2240" s="2" t="s">
        <v>6072</v>
      </c>
      <c r="U2240" s="2" t="s">
        <v>514</v>
      </c>
      <c r="V2240" s="2" t="s">
        <v>146</v>
      </c>
      <c r="W2240" s="2" t="s">
        <v>673</v>
      </c>
      <c r="X2240" s="2" t="s">
        <v>561</v>
      </c>
      <c r="Y2240" s="2" t="s">
        <v>5852</v>
      </c>
      <c r="Z2240" s="4">
        <v>420</v>
      </c>
      <c r="AA2240" s="4">
        <f>=ROUNDDOWN(46.6666666666667,0)</f>
      </c>
      <c r="AB2240" s="5">
        <v>9</v>
      </c>
      <c r="AC2240" s="2" t="s">
        <v>356</v>
      </c>
      <c r="AD2240" s="4">
        <v>1320</v>
      </c>
      <c r="AE2240" s="4">
        <v>1620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193</v>
      </c>
      <c r="BK2240" s="8">
        <v>5497.82</v>
      </c>
      <c r="BL2240" s="2" t="s">
        <v>2236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207</v>
      </c>
      <c r="BV2240" s="2" t="s">
        <v>97</v>
      </c>
      <c r="BW2240" s="2" t="s">
        <v>100</v>
      </c>
      <c r="BX2240" s="2" t="s">
        <v>100</v>
      </c>
      <c r="BY2240" s="2" t="s">
        <v>113</v>
      </c>
      <c r="BZ2240" s="2" t="s">
        <v>100</v>
      </c>
    </row>
    <row r="2241">
      <c r="A2241" s="2" t="s">
        <v>7107</v>
      </c>
      <c r="B2241" s="2" t="s">
        <v>5764</v>
      </c>
      <c r="C2241" s="2" t="s">
        <v>3934</v>
      </c>
      <c r="D2241" s="2" t="s">
        <v>1638</v>
      </c>
      <c r="E2241" s="2" t="s">
        <v>1639</v>
      </c>
      <c r="F2241" s="2" t="s">
        <v>7035</v>
      </c>
      <c r="G2241" s="2" t="s">
        <v>1683</v>
      </c>
      <c r="H2241" s="2" t="s">
        <v>1683</v>
      </c>
      <c r="I2241" s="2" t="s">
        <v>7090</v>
      </c>
      <c r="J2241" s="2" t="s">
        <v>247</v>
      </c>
      <c r="K2241" s="2" t="s">
        <v>1614</v>
      </c>
      <c r="L2241" s="3">
        <v>31.5</v>
      </c>
      <c r="M2241" s="3">
        <v>33.08</v>
      </c>
      <c r="N2241" s="3">
        <v>69.99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7106</v>
      </c>
      <c r="T2241" s="2" t="s">
        <v>6072</v>
      </c>
      <c r="U2241" s="2" t="s">
        <v>480</v>
      </c>
      <c r="V2241" s="2" t="s">
        <v>146</v>
      </c>
      <c r="W2241" s="2" t="s">
        <v>673</v>
      </c>
      <c r="X2241" s="2" t="s">
        <v>561</v>
      </c>
      <c r="Y2241" s="2" t="s">
        <v>5852</v>
      </c>
      <c r="Z2241" s="4">
        <v>872</v>
      </c>
      <c r="AA2241" s="4">
        <f>=ROUNDDOWN(36.3333333333333,0)</f>
      </c>
      <c r="AB2241" s="5">
        <v>24</v>
      </c>
      <c r="AC2241" s="2" t="s">
        <v>356</v>
      </c>
      <c r="AD2241" s="4">
        <v>3850</v>
      </c>
      <c r="AE2241" s="4">
        <v>4850</v>
      </c>
      <c r="AF2241" s="6">
        <v>65</v>
      </c>
      <c r="AG2241" s="6">
        <v>48</v>
      </c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870</v>
      </c>
      <c r="BK2241" s="8">
        <v>29420.03</v>
      </c>
      <c r="BL2241" s="2" t="s">
        <v>7108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207</v>
      </c>
      <c r="BV2241" s="2" t="s">
        <v>97</v>
      </c>
      <c r="BW2241" s="2" t="s">
        <v>100</v>
      </c>
      <c r="BX2241" s="2" t="s">
        <v>100</v>
      </c>
      <c r="BY2241" s="2" t="s">
        <v>113</v>
      </c>
      <c r="BZ2241" s="2" t="s">
        <v>100</v>
      </c>
    </row>
    <row r="2242">
      <c r="A2242" s="2" t="s">
        <v>7109</v>
      </c>
      <c r="B2242" s="2" t="s">
        <v>5764</v>
      </c>
      <c r="C2242" s="2" t="s">
        <v>3934</v>
      </c>
      <c r="D2242" s="2" t="s">
        <v>1638</v>
      </c>
      <c r="E2242" s="2" t="s">
        <v>1639</v>
      </c>
      <c r="F2242" s="2" t="s">
        <v>7035</v>
      </c>
      <c r="G2242" s="2" t="s">
        <v>1683</v>
      </c>
      <c r="H2242" s="2" t="s">
        <v>1683</v>
      </c>
      <c r="I2242" s="2" t="s">
        <v>7090</v>
      </c>
      <c r="J2242" s="2" t="s">
        <v>714</v>
      </c>
      <c r="K2242" s="2" t="s">
        <v>1614</v>
      </c>
      <c r="L2242" s="3">
        <v>36.8</v>
      </c>
      <c r="M2242" s="3">
        <v>38.64</v>
      </c>
      <c r="N2242" s="3">
        <v>79.99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7106</v>
      </c>
      <c r="T2242" s="2" t="s">
        <v>6072</v>
      </c>
      <c r="U2242" s="2" t="s">
        <v>480</v>
      </c>
      <c r="V2242" s="2" t="s">
        <v>146</v>
      </c>
      <c r="W2242" s="2" t="s">
        <v>673</v>
      </c>
      <c r="X2242" s="2" t="s">
        <v>561</v>
      </c>
      <c r="Y2242" s="2" t="s">
        <v>5852</v>
      </c>
      <c r="Z2242" s="4">
        <v>988</v>
      </c>
      <c r="AA2242" s="4">
        <f>=ROUNDDOWN(58.1176470588235,0)</f>
      </c>
      <c r="AB2242" s="5">
        <v>17</v>
      </c>
      <c r="AC2242" s="2" t="s">
        <v>356</v>
      </c>
      <c r="AD2242" s="4">
        <v>4290</v>
      </c>
      <c r="AE2242" s="4">
        <v>5220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>
        <v>743</v>
      </c>
      <c r="BK2242" s="8">
        <v>29389.6</v>
      </c>
      <c r="BL2242" s="2" t="s">
        <v>7110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207</v>
      </c>
      <c r="BV2242" s="2" t="s">
        <v>97</v>
      </c>
      <c r="BW2242" s="2" t="s">
        <v>100</v>
      </c>
      <c r="BX2242" s="2" t="s">
        <v>100</v>
      </c>
      <c r="BY2242" s="2" t="s">
        <v>113</v>
      </c>
      <c r="BZ2242" s="2" t="s">
        <v>100</v>
      </c>
    </row>
    <row r="2243">
      <c r="A2243" s="2" t="s">
        <v>7111</v>
      </c>
      <c r="B2243" s="2" t="s">
        <v>5764</v>
      </c>
      <c r="C2243" s="2" t="s">
        <v>2331</v>
      </c>
      <c r="D2243" s="2" t="s">
        <v>5765</v>
      </c>
      <c r="E2243" s="2" t="s">
        <v>5766</v>
      </c>
      <c r="F2243" s="2" t="s">
        <v>7112</v>
      </c>
      <c r="G2243" s="2" t="s">
        <v>7112</v>
      </c>
      <c r="H2243" s="2" t="s">
        <v>100</v>
      </c>
      <c r="I2243" s="2" t="s">
        <v>5768</v>
      </c>
      <c r="J2243" s="2" t="s">
        <v>1936</v>
      </c>
      <c r="K2243" s="2" t="s">
        <v>198</v>
      </c>
      <c r="L2243" s="3">
        <v>54.64</v>
      </c>
      <c r="M2243" s="3">
        <v>57.37</v>
      </c>
      <c r="N2243" s="3">
        <v>109.99</v>
      </c>
      <c r="O2243" s="2" t="s">
        <v>97</v>
      </c>
      <c r="P2243" s="2" t="s">
        <v>119</v>
      </c>
      <c r="Q2243" s="2" t="s">
        <v>99</v>
      </c>
      <c r="R2243" s="2" t="s">
        <v>100</v>
      </c>
      <c r="S2243" s="2" t="s">
        <v>7113</v>
      </c>
      <c r="T2243" s="2" t="s">
        <v>5945</v>
      </c>
      <c r="U2243" s="2" t="s">
        <v>100</v>
      </c>
      <c r="V2243" s="2" t="s">
        <v>146</v>
      </c>
      <c r="W2243" s="2" t="s">
        <v>183</v>
      </c>
      <c r="X2243" s="2" t="s">
        <v>100</v>
      </c>
      <c r="Y2243" s="2" t="s">
        <v>240</v>
      </c>
      <c r="Z2243" s="4">
        <v>256</v>
      </c>
      <c r="AA2243" s="4">
        <f>=ROUNDDOWN(42.6666666666667,0)</f>
      </c>
      <c r="AB2243" s="5">
        <v>6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>
        <v>2</v>
      </c>
      <c r="AQ2243" s="8">
        <v>143.42</v>
      </c>
      <c r="AR2243" s="4"/>
      <c r="AS2243" s="8"/>
      <c r="AT2243" s="7"/>
      <c r="AU2243" s="7"/>
      <c r="AV2243" s="4">
        <v>14</v>
      </c>
      <c r="AW2243" s="8">
        <v>1499.58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0.0956</v>
      </c>
      <c r="BC2243" s="4">
        <v>46</v>
      </c>
      <c r="BD2243" s="8">
        <v>4616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0.3249</v>
      </c>
      <c r="BJ2243" s="4">
        <v>23</v>
      </c>
      <c r="BK2243" s="8">
        <v>1289.06</v>
      </c>
      <c r="BL2243" s="2" t="s">
        <v>7114</v>
      </c>
      <c r="BM2243" s="7">
        <v>0.087</v>
      </c>
      <c r="BN2243" s="7">
        <v>0.1113</v>
      </c>
      <c r="BO2243" s="4">
        <v>2</v>
      </c>
      <c r="BP2243" s="8">
        <v>143.42</v>
      </c>
      <c r="BQ2243" s="4"/>
      <c r="BR2243" s="8"/>
      <c r="BS2243" s="7"/>
      <c r="BT2243" s="7"/>
      <c r="BU2243" s="2" t="s">
        <v>109</v>
      </c>
      <c r="BV2243" s="2" t="s">
        <v>110</v>
      </c>
      <c r="BW2243" s="2" t="s">
        <v>2338</v>
      </c>
      <c r="BX2243" s="2" t="s">
        <v>6144</v>
      </c>
      <c r="BY2243" s="2" t="s">
        <v>113</v>
      </c>
      <c r="BZ2243" s="2" t="s">
        <v>100</v>
      </c>
    </row>
    <row r="2244">
      <c r="A2244" s="2" t="s">
        <v>7115</v>
      </c>
      <c r="B2244" s="2" t="s">
        <v>5764</v>
      </c>
      <c r="C2244" s="2" t="s">
        <v>2331</v>
      </c>
      <c r="D2244" s="2" t="s">
        <v>5765</v>
      </c>
      <c r="E2244" s="2" t="s">
        <v>5766</v>
      </c>
      <c r="F2244" s="2" t="s">
        <v>7112</v>
      </c>
      <c r="G2244" s="2" t="s">
        <v>7112</v>
      </c>
      <c r="H2244" s="2" t="s">
        <v>100</v>
      </c>
      <c r="I2244" s="2" t="s">
        <v>5768</v>
      </c>
      <c r="J2244" s="2" t="s">
        <v>717</v>
      </c>
      <c r="K2244" s="2" t="s">
        <v>198</v>
      </c>
      <c r="L2244" s="3">
        <v>59.61</v>
      </c>
      <c r="M2244" s="3">
        <v>62.59</v>
      </c>
      <c r="N2244" s="3">
        <v>119.99</v>
      </c>
      <c r="O2244" s="2" t="s">
        <v>97</v>
      </c>
      <c r="P2244" s="2" t="s">
        <v>119</v>
      </c>
      <c r="Q2244" s="2" t="s">
        <v>99</v>
      </c>
      <c r="R2244" s="2" t="s">
        <v>100</v>
      </c>
      <c r="S2244" s="2" t="s">
        <v>7113</v>
      </c>
      <c r="T2244" s="2" t="s">
        <v>5945</v>
      </c>
      <c r="U2244" s="2" t="s">
        <v>100</v>
      </c>
      <c r="V2244" s="2" t="s">
        <v>146</v>
      </c>
      <c r="W2244" s="2" t="s">
        <v>183</v>
      </c>
      <c r="X2244" s="2" t="s">
        <v>100</v>
      </c>
      <c r="Y2244" s="2" t="s">
        <v>240</v>
      </c>
      <c r="Z2244" s="4">
        <v>402</v>
      </c>
      <c r="AA2244" s="4">
        <f>=ROUNDDOWN(57.4285714285714,0)</f>
      </c>
      <c r="AB2244" s="5">
        <v>7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20</v>
      </c>
      <c r="BK2244" s="8">
        <v>1203.55</v>
      </c>
      <c r="BL2244" s="2" t="s">
        <v>7116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2338</v>
      </c>
      <c r="BX2244" s="2" t="s">
        <v>7117</v>
      </c>
      <c r="BY2244" s="2" t="s">
        <v>113</v>
      </c>
      <c r="BZ2244" s="2" t="s">
        <v>100</v>
      </c>
    </row>
    <row r="2245">
      <c r="A2245" s="2" t="s">
        <v>7118</v>
      </c>
      <c r="B2245" s="2" t="s">
        <v>5764</v>
      </c>
      <c r="C2245" s="2" t="s">
        <v>2331</v>
      </c>
      <c r="D2245" s="2" t="s">
        <v>5765</v>
      </c>
      <c r="E2245" s="2" t="s">
        <v>5766</v>
      </c>
      <c r="F2245" s="2" t="s">
        <v>7112</v>
      </c>
      <c r="G2245" s="2" t="s">
        <v>7112</v>
      </c>
      <c r="H2245" s="2" t="s">
        <v>100</v>
      </c>
      <c r="I2245" s="2" t="s">
        <v>5768</v>
      </c>
      <c r="J2245" s="2" t="s">
        <v>706</v>
      </c>
      <c r="K2245" s="2" t="s">
        <v>198</v>
      </c>
      <c r="L2245" s="3">
        <v>79.48</v>
      </c>
      <c r="M2245" s="3">
        <v>83.45</v>
      </c>
      <c r="N2245" s="3">
        <v>159.99</v>
      </c>
      <c r="O2245" s="2" t="s">
        <v>97</v>
      </c>
      <c r="P2245" s="2" t="s">
        <v>119</v>
      </c>
      <c r="Q2245" s="2" t="s">
        <v>99</v>
      </c>
      <c r="R2245" s="2" t="s">
        <v>100</v>
      </c>
      <c r="S2245" s="2" t="s">
        <v>7113</v>
      </c>
      <c r="T2245" s="2" t="s">
        <v>5945</v>
      </c>
      <c r="U2245" s="2" t="s">
        <v>100</v>
      </c>
      <c r="V2245" s="2" t="s">
        <v>146</v>
      </c>
      <c r="W2245" s="2" t="s">
        <v>183</v>
      </c>
      <c r="X2245" s="2" t="s">
        <v>100</v>
      </c>
      <c r="Y2245" s="2" t="s">
        <v>240</v>
      </c>
      <c r="Z2245" s="4">
        <v>597</v>
      </c>
      <c r="AA2245" s="4">
        <f>=ROUNDDOWN(59.7,0)</f>
      </c>
      <c r="AB2245" s="5">
        <v>10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>
        <v>4</v>
      </c>
      <c r="AQ2245" s="8">
        <v>417.28</v>
      </c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0.2783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 t="s">
        <v>100</v>
      </c>
      <c r="BJ2245" s="4">
        <v>48</v>
      </c>
      <c r="BK2245" s="8">
        <v>4049.01</v>
      </c>
      <c r="BL2245" s="2" t="s">
        <v>7119</v>
      </c>
      <c r="BM2245" s="7">
        <v>0.0833</v>
      </c>
      <c r="BN2245" s="7">
        <v>0.1031</v>
      </c>
      <c r="BO2245" s="4">
        <v>4</v>
      </c>
      <c r="BP2245" s="8">
        <v>417.28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2338</v>
      </c>
      <c r="BX2245" s="2" t="s">
        <v>2966</v>
      </c>
      <c r="BY2245" s="2" t="s">
        <v>113</v>
      </c>
      <c r="BZ2245" s="2" t="s">
        <v>100</v>
      </c>
    </row>
    <row r="2246">
      <c r="A2246" s="2" t="s">
        <v>7120</v>
      </c>
      <c r="B2246" s="2" t="s">
        <v>5764</v>
      </c>
      <c r="C2246" s="2" t="s">
        <v>2331</v>
      </c>
      <c r="D2246" s="2" t="s">
        <v>5765</v>
      </c>
      <c r="E2246" s="2" t="s">
        <v>5766</v>
      </c>
      <c r="F2246" s="2" t="s">
        <v>7112</v>
      </c>
      <c r="G2246" s="2" t="s">
        <v>7112</v>
      </c>
      <c r="H2246" s="2" t="s">
        <v>100</v>
      </c>
      <c r="I2246" s="2" t="s">
        <v>5768</v>
      </c>
      <c r="J2246" s="2" t="s">
        <v>714</v>
      </c>
      <c r="K2246" s="2" t="s">
        <v>198</v>
      </c>
      <c r="L2246" s="3">
        <v>89.42</v>
      </c>
      <c r="M2246" s="3">
        <v>93.89</v>
      </c>
      <c r="N2246" s="3">
        <v>179.99</v>
      </c>
      <c r="O2246" s="2" t="s">
        <v>97</v>
      </c>
      <c r="P2246" s="2" t="s">
        <v>119</v>
      </c>
      <c r="Q2246" s="2" t="s">
        <v>99</v>
      </c>
      <c r="R2246" s="2" t="s">
        <v>100</v>
      </c>
      <c r="S2246" s="2" t="s">
        <v>7113</v>
      </c>
      <c r="T2246" s="2" t="s">
        <v>5945</v>
      </c>
      <c r="U2246" s="2" t="s">
        <v>100</v>
      </c>
      <c r="V2246" s="2" t="s">
        <v>146</v>
      </c>
      <c r="W2246" s="2" t="s">
        <v>183</v>
      </c>
      <c r="X2246" s="2" t="s">
        <v>100</v>
      </c>
      <c r="Y2246" s="2" t="s">
        <v>240</v>
      </c>
      <c r="Z2246" s="4">
        <v>505</v>
      </c>
      <c r="AA2246" s="4">
        <f>=ROUNDDOWN(50.5,0)</f>
      </c>
      <c r="AB2246" s="5">
        <v>10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>
        <v>8</v>
      </c>
      <c r="AQ2246" s="8">
        <v>938.88</v>
      </c>
      <c r="AR2246" s="4"/>
      <c r="AS2246" s="8"/>
      <c r="AT2246" s="7"/>
      <c r="AU2246" s="7"/>
      <c r="AV2246" s="4" t="s">
        <v>100</v>
      </c>
      <c r="AW2246" s="8" t="s">
        <v>100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0.6261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 t="s">
        <v>100</v>
      </c>
      <c r="BJ2246" s="4">
        <v>61</v>
      </c>
      <c r="BK2246" s="8">
        <v>5762.27</v>
      </c>
      <c r="BL2246" s="2" t="s">
        <v>7121</v>
      </c>
      <c r="BM2246" s="7">
        <v>0.1311</v>
      </c>
      <c r="BN2246" s="7">
        <v>0.1629</v>
      </c>
      <c r="BO2246" s="4">
        <v>8</v>
      </c>
      <c r="BP2246" s="8">
        <v>938.88</v>
      </c>
      <c r="BQ2246" s="4"/>
      <c r="BR2246" s="8"/>
      <c r="BS2246" s="7"/>
      <c r="BT2246" s="7"/>
      <c r="BU2246" s="2" t="s">
        <v>109</v>
      </c>
      <c r="BV2246" s="2" t="s">
        <v>110</v>
      </c>
      <c r="BW2246" s="2" t="s">
        <v>2338</v>
      </c>
      <c r="BX2246" s="2" t="s">
        <v>7122</v>
      </c>
      <c r="BY2246" s="2" t="s">
        <v>113</v>
      </c>
      <c r="BZ2246" s="2" t="s">
        <v>100</v>
      </c>
    </row>
    <row r="2247">
      <c r="A2247" s="2" t="s">
        <v>7123</v>
      </c>
      <c r="B2247" s="2" t="s">
        <v>5764</v>
      </c>
      <c r="C2247" s="2" t="s">
        <v>2331</v>
      </c>
      <c r="D2247" s="2" t="s">
        <v>5765</v>
      </c>
      <c r="E2247" s="2" t="s">
        <v>5766</v>
      </c>
      <c r="F2247" s="2" t="s">
        <v>7112</v>
      </c>
      <c r="G2247" s="2" t="s">
        <v>7112</v>
      </c>
      <c r="H2247" s="2" t="s">
        <v>100</v>
      </c>
      <c r="I2247" s="2" t="s">
        <v>5768</v>
      </c>
      <c r="J2247" s="2" t="s">
        <v>1936</v>
      </c>
      <c r="K2247" s="2" t="s">
        <v>1172</v>
      </c>
      <c r="L2247" s="3">
        <v>54.64</v>
      </c>
      <c r="M2247" s="3">
        <v>57.37</v>
      </c>
      <c r="N2247" s="3">
        <v>109.99</v>
      </c>
      <c r="O2247" s="2" t="s">
        <v>97</v>
      </c>
      <c r="P2247" s="2" t="s">
        <v>119</v>
      </c>
      <c r="Q2247" s="2" t="s">
        <v>99</v>
      </c>
      <c r="R2247" s="2" t="s">
        <v>100</v>
      </c>
      <c r="S2247" s="2" t="s">
        <v>7124</v>
      </c>
      <c r="T2247" s="2" t="s">
        <v>5945</v>
      </c>
      <c r="U2247" s="2" t="s">
        <v>100</v>
      </c>
      <c r="V2247" s="2" t="s">
        <v>146</v>
      </c>
      <c r="W2247" s="2" t="s">
        <v>183</v>
      </c>
      <c r="X2247" s="2" t="s">
        <v>100</v>
      </c>
      <c r="Y2247" s="2" t="s">
        <v>240</v>
      </c>
      <c r="Z2247" s="4">
        <v>205</v>
      </c>
      <c r="AA2247" s="4">
        <f>=ROUNDDOWN(68.3333333333333,0)</f>
      </c>
      <c r="AB2247" s="5">
        <v>3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>
        <v>4</v>
      </c>
      <c r="AQ2247" s="8">
        <v>286.84</v>
      </c>
      <c r="AR2247" s="4"/>
      <c r="AS2247" s="8"/>
      <c r="AT2247" s="7"/>
      <c r="AU2247" s="7"/>
      <c r="AV2247" s="4">
        <v>15</v>
      </c>
      <c r="AW2247" s="8">
        <v>1473.46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0.1947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0.3192</v>
      </c>
      <c r="BJ2247" s="4">
        <v>26</v>
      </c>
      <c r="BK2247" s="8">
        <v>1465.91</v>
      </c>
      <c r="BL2247" s="2" t="s">
        <v>7125</v>
      </c>
      <c r="BM2247" s="7">
        <v>0.1538</v>
      </c>
      <c r="BN2247" s="7">
        <v>0.1957</v>
      </c>
      <c r="BO2247" s="4">
        <v>4</v>
      </c>
      <c r="BP2247" s="8">
        <v>286.84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2338</v>
      </c>
      <c r="BX2247" s="2" t="s">
        <v>7126</v>
      </c>
      <c r="BY2247" s="2" t="s">
        <v>113</v>
      </c>
      <c r="BZ2247" s="2" t="s">
        <v>100</v>
      </c>
    </row>
    <row r="2248">
      <c r="A2248" s="2" t="s">
        <v>7127</v>
      </c>
      <c r="B2248" s="2" t="s">
        <v>5764</v>
      </c>
      <c r="C2248" s="2" t="s">
        <v>2331</v>
      </c>
      <c r="D2248" s="2" t="s">
        <v>5765</v>
      </c>
      <c r="E2248" s="2" t="s">
        <v>5766</v>
      </c>
      <c r="F2248" s="2" t="s">
        <v>7112</v>
      </c>
      <c r="G2248" s="2" t="s">
        <v>7112</v>
      </c>
      <c r="H2248" s="2" t="s">
        <v>100</v>
      </c>
      <c r="I2248" s="2" t="s">
        <v>5768</v>
      </c>
      <c r="J2248" s="2" t="s">
        <v>717</v>
      </c>
      <c r="K2248" s="2" t="s">
        <v>1172</v>
      </c>
      <c r="L2248" s="3">
        <v>59.61</v>
      </c>
      <c r="M2248" s="3">
        <v>62.59</v>
      </c>
      <c r="N2248" s="3">
        <v>119.99</v>
      </c>
      <c r="O2248" s="2" t="s">
        <v>97</v>
      </c>
      <c r="P2248" s="2" t="s">
        <v>119</v>
      </c>
      <c r="Q2248" s="2" t="s">
        <v>99</v>
      </c>
      <c r="R2248" s="2" t="s">
        <v>100</v>
      </c>
      <c r="S2248" s="2" t="s">
        <v>7124</v>
      </c>
      <c r="T2248" s="2" t="s">
        <v>5945</v>
      </c>
      <c r="U2248" s="2" t="s">
        <v>100</v>
      </c>
      <c r="V2248" s="2" t="s">
        <v>146</v>
      </c>
      <c r="W2248" s="2" t="s">
        <v>183</v>
      </c>
      <c r="X2248" s="2" t="s">
        <v>100</v>
      </c>
      <c r="Y2248" s="2" t="s">
        <v>240</v>
      </c>
      <c r="Z2248" s="4">
        <v>267</v>
      </c>
      <c r="AA2248" s="4">
        <f>=ROUNDDOWN(89,0)</f>
      </c>
      <c r="AB2248" s="5">
        <v>3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>
        <v>2</v>
      </c>
      <c r="AQ2248" s="8">
        <v>156.46</v>
      </c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0.1062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 t="s">
        <v>100</v>
      </c>
      <c r="BJ2248" s="4">
        <v>17</v>
      </c>
      <c r="BK2248" s="8">
        <v>1058.55</v>
      </c>
      <c r="BL2248" s="2" t="s">
        <v>7128</v>
      </c>
      <c r="BM2248" s="7">
        <v>0.1176</v>
      </c>
      <c r="BN2248" s="7">
        <v>0.1478</v>
      </c>
      <c r="BO2248" s="4">
        <v>2</v>
      </c>
      <c r="BP2248" s="8">
        <v>156.46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7129</v>
      </c>
      <c r="BX2248" s="2" t="s">
        <v>7130</v>
      </c>
      <c r="BY2248" s="2" t="s">
        <v>113</v>
      </c>
      <c r="BZ2248" s="2" t="s">
        <v>100</v>
      </c>
    </row>
    <row r="2249">
      <c r="A2249" s="2" t="s">
        <v>7131</v>
      </c>
      <c r="B2249" s="2" t="s">
        <v>5764</v>
      </c>
      <c r="C2249" s="2" t="s">
        <v>2331</v>
      </c>
      <c r="D2249" s="2" t="s">
        <v>5765</v>
      </c>
      <c r="E2249" s="2" t="s">
        <v>5766</v>
      </c>
      <c r="F2249" s="2" t="s">
        <v>7112</v>
      </c>
      <c r="G2249" s="2" t="s">
        <v>7112</v>
      </c>
      <c r="H2249" s="2" t="s">
        <v>100</v>
      </c>
      <c r="I2249" s="2" t="s">
        <v>5768</v>
      </c>
      <c r="J2249" s="2" t="s">
        <v>706</v>
      </c>
      <c r="K2249" s="2" t="s">
        <v>1172</v>
      </c>
      <c r="L2249" s="3">
        <v>79.48</v>
      </c>
      <c r="M2249" s="3">
        <v>83.45</v>
      </c>
      <c r="N2249" s="3">
        <v>159.99</v>
      </c>
      <c r="O2249" s="2" t="s">
        <v>97</v>
      </c>
      <c r="P2249" s="2" t="s">
        <v>119</v>
      </c>
      <c r="Q2249" s="2" t="s">
        <v>99</v>
      </c>
      <c r="R2249" s="2" t="s">
        <v>100</v>
      </c>
      <c r="S2249" s="2" t="s">
        <v>7124</v>
      </c>
      <c r="T2249" s="2" t="s">
        <v>5945</v>
      </c>
      <c r="U2249" s="2" t="s">
        <v>100</v>
      </c>
      <c r="V2249" s="2" t="s">
        <v>146</v>
      </c>
      <c r="W2249" s="2" t="s">
        <v>183</v>
      </c>
      <c r="X2249" s="2" t="s">
        <v>100</v>
      </c>
      <c r="Y2249" s="2" t="s">
        <v>240</v>
      </c>
      <c r="Z2249" s="4">
        <v>462</v>
      </c>
      <c r="AA2249" s="4">
        <f>=ROUNDDOWN(66,0)</f>
      </c>
      <c r="AB2249" s="5">
        <v>7</v>
      </c>
      <c r="AC2249" s="2" t="s">
        <v>100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>
        <v>2</v>
      </c>
      <c r="AQ2249" s="8">
        <v>208.64</v>
      </c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0.1416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 t="s">
        <v>100</v>
      </c>
      <c r="BJ2249" s="4">
        <v>23</v>
      </c>
      <c r="BK2249" s="8">
        <v>1905.99</v>
      </c>
      <c r="BL2249" s="2" t="s">
        <v>7132</v>
      </c>
      <c r="BM2249" s="7">
        <v>0.087</v>
      </c>
      <c r="BN2249" s="7">
        <v>0.1095</v>
      </c>
      <c r="BO2249" s="4">
        <v>2</v>
      </c>
      <c r="BP2249" s="8">
        <v>208.64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2338</v>
      </c>
      <c r="BX2249" s="2" t="s">
        <v>7133</v>
      </c>
      <c r="BY2249" s="2" t="s">
        <v>113</v>
      </c>
      <c r="BZ2249" s="2" t="s">
        <v>100</v>
      </c>
    </row>
    <row r="2250">
      <c r="A2250" s="2" t="s">
        <v>7134</v>
      </c>
      <c r="B2250" s="2" t="s">
        <v>5764</v>
      </c>
      <c r="C2250" s="2" t="s">
        <v>2331</v>
      </c>
      <c r="D2250" s="2" t="s">
        <v>5765</v>
      </c>
      <c r="E2250" s="2" t="s">
        <v>5766</v>
      </c>
      <c r="F2250" s="2" t="s">
        <v>7112</v>
      </c>
      <c r="G2250" s="2" t="s">
        <v>7112</v>
      </c>
      <c r="H2250" s="2" t="s">
        <v>100</v>
      </c>
      <c r="I2250" s="2" t="s">
        <v>5768</v>
      </c>
      <c r="J2250" s="2" t="s">
        <v>714</v>
      </c>
      <c r="K2250" s="2" t="s">
        <v>1172</v>
      </c>
      <c r="L2250" s="3">
        <v>89.42</v>
      </c>
      <c r="M2250" s="3">
        <v>93.89</v>
      </c>
      <c r="N2250" s="3">
        <v>179.99</v>
      </c>
      <c r="O2250" s="2" t="s">
        <v>97</v>
      </c>
      <c r="P2250" s="2" t="s">
        <v>119</v>
      </c>
      <c r="Q2250" s="2" t="s">
        <v>99</v>
      </c>
      <c r="R2250" s="2" t="s">
        <v>100</v>
      </c>
      <c r="S2250" s="2" t="s">
        <v>7124</v>
      </c>
      <c r="T2250" s="2" t="s">
        <v>5945</v>
      </c>
      <c r="U2250" s="2" t="s">
        <v>100</v>
      </c>
      <c r="V2250" s="2" t="s">
        <v>146</v>
      </c>
      <c r="W2250" s="2" t="s">
        <v>183</v>
      </c>
      <c r="X2250" s="2" t="s">
        <v>100</v>
      </c>
      <c r="Y2250" s="2" t="s">
        <v>240</v>
      </c>
      <c r="Z2250" s="4">
        <v>439</v>
      </c>
      <c r="AA2250" s="4">
        <f>=ROUNDDOWN(62.7142857142857,0)</f>
      </c>
      <c r="AB2250" s="5">
        <v>7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>
        <v>7</v>
      </c>
      <c r="AQ2250" s="8">
        <v>821.52</v>
      </c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0.5575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 t="s">
        <v>100</v>
      </c>
      <c r="BJ2250" s="4">
        <v>37</v>
      </c>
      <c r="BK2250" s="8">
        <v>3505.93</v>
      </c>
      <c r="BL2250" s="2" t="s">
        <v>7135</v>
      </c>
      <c r="BM2250" s="7">
        <v>0.1892</v>
      </c>
      <c r="BN2250" s="7">
        <v>0.2343</v>
      </c>
      <c r="BO2250" s="4">
        <v>7</v>
      </c>
      <c r="BP2250" s="8">
        <v>821.52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2338</v>
      </c>
      <c r="BX2250" s="2" t="s">
        <v>770</v>
      </c>
      <c r="BY2250" s="2" t="s">
        <v>113</v>
      </c>
      <c r="BZ2250" s="2" t="s">
        <v>100</v>
      </c>
    </row>
    <row r="2251">
      <c r="A2251" s="2" t="s">
        <v>7136</v>
      </c>
      <c r="B2251" s="2" t="s">
        <v>5764</v>
      </c>
      <c r="C2251" s="2" t="s">
        <v>2331</v>
      </c>
      <c r="D2251" s="2" t="s">
        <v>5765</v>
      </c>
      <c r="E2251" s="2" t="s">
        <v>5766</v>
      </c>
      <c r="F2251" s="2" t="s">
        <v>7112</v>
      </c>
      <c r="G2251" s="2" t="s">
        <v>7112</v>
      </c>
      <c r="H2251" s="2" t="s">
        <v>100</v>
      </c>
      <c r="I2251" s="2" t="s">
        <v>5768</v>
      </c>
      <c r="J2251" s="2" t="s">
        <v>1936</v>
      </c>
      <c r="K2251" s="2" t="s">
        <v>496</v>
      </c>
      <c r="L2251" s="3">
        <v>54.64</v>
      </c>
      <c r="M2251" s="3">
        <v>57.37</v>
      </c>
      <c r="N2251" s="3">
        <v>109.99</v>
      </c>
      <c r="O2251" s="2" t="s">
        <v>97</v>
      </c>
      <c r="P2251" s="2" t="s">
        <v>119</v>
      </c>
      <c r="Q2251" s="2" t="s">
        <v>99</v>
      </c>
      <c r="R2251" s="2" t="s">
        <v>100</v>
      </c>
      <c r="S2251" s="2" t="s">
        <v>7137</v>
      </c>
      <c r="T2251" s="2" t="s">
        <v>5945</v>
      </c>
      <c r="U2251" s="2" t="s">
        <v>100</v>
      </c>
      <c r="V2251" s="2" t="s">
        <v>146</v>
      </c>
      <c r="W2251" s="2" t="s">
        <v>183</v>
      </c>
      <c r="X2251" s="2" t="s">
        <v>100</v>
      </c>
      <c r="Y2251" s="2" t="s">
        <v>240</v>
      </c>
      <c r="Z2251" s="4">
        <v>175</v>
      </c>
      <c r="AA2251" s="4">
        <f>=ROUNDDOWN(58.3333333333333,0)</f>
      </c>
      <c r="AB2251" s="5">
        <v>3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>
        <v>1</v>
      </c>
      <c r="AQ2251" s="8">
        <v>71.71</v>
      </c>
      <c r="AR2251" s="4"/>
      <c r="AS2251" s="8"/>
      <c r="AT2251" s="7"/>
      <c r="AU2251" s="7"/>
      <c r="AV2251" s="4">
        <v>11</v>
      </c>
      <c r="AW2251" s="8">
        <v>1036.62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0.0692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0.2246</v>
      </c>
      <c r="BJ2251" s="4">
        <v>20</v>
      </c>
      <c r="BK2251" s="8">
        <v>1120.19</v>
      </c>
      <c r="BL2251" s="2" t="s">
        <v>7138</v>
      </c>
      <c r="BM2251" s="7">
        <v>0.05</v>
      </c>
      <c r="BN2251" s="7">
        <v>0.064</v>
      </c>
      <c r="BO2251" s="4">
        <v>1</v>
      </c>
      <c r="BP2251" s="8">
        <v>71.71</v>
      </c>
      <c r="BQ2251" s="4"/>
      <c r="BR2251" s="8"/>
      <c r="BS2251" s="7"/>
      <c r="BT2251" s="7"/>
      <c r="BU2251" s="2" t="s">
        <v>109</v>
      </c>
      <c r="BV2251" s="2" t="s">
        <v>110</v>
      </c>
      <c r="BW2251" s="2" t="s">
        <v>2338</v>
      </c>
      <c r="BX2251" s="2" t="s">
        <v>7139</v>
      </c>
      <c r="BY2251" s="2" t="s">
        <v>113</v>
      </c>
      <c r="BZ2251" s="2" t="s">
        <v>100</v>
      </c>
    </row>
    <row r="2252">
      <c r="A2252" s="2" t="s">
        <v>7140</v>
      </c>
      <c r="B2252" s="2" t="s">
        <v>5764</v>
      </c>
      <c r="C2252" s="2" t="s">
        <v>2331</v>
      </c>
      <c r="D2252" s="2" t="s">
        <v>5765</v>
      </c>
      <c r="E2252" s="2" t="s">
        <v>5766</v>
      </c>
      <c r="F2252" s="2" t="s">
        <v>7112</v>
      </c>
      <c r="G2252" s="2" t="s">
        <v>7112</v>
      </c>
      <c r="H2252" s="2" t="s">
        <v>100</v>
      </c>
      <c r="I2252" s="2" t="s">
        <v>5768</v>
      </c>
      <c r="J2252" s="2" t="s">
        <v>717</v>
      </c>
      <c r="K2252" s="2" t="s">
        <v>496</v>
      </c>
      <c r="L2252" s="3">
        <v>59.61</v>
      </c>
      <c r="M2252" s="3">
        <v>62.59</v>
      </c>
      <c r="N2252" s="3">
        <v>119.99</v>
      </c>
      <c r="O2252" s="2" t="s">
        <v>97</v>
      </c>
      <c r="P2252" s="2" t="s">
        <v>119</v>
      </c>
      <c r="Q2252" s="2" t="s">
        <v>99</v>
      </c>
      <c r="R2252" s="2" t="s">
        <v>100</v>
      </c>
      <c r="S2252" s="2" t="s">
        <v>7137</v>
      </c>
      <c r="T2252" s="2" t="s">
        <v>5945</v>
      </c>
      <c r="U2252" s="2" t="s">
        <v>100</v>
      </c>
      <c r="V2252" s="2" t="s">
        <v>146</v>
      </c>
      <c r="W2252" s="2" t="s">
        <v>183</v>
      </c>
      <c r="X2252" s="2" t="s">
        <v>100</v>
      </c>
      <c r="Y2252" s="2" t="s">
        <v>240</v>
      </c>
      <c r="Z2252" s="4">
        <v>321</v>
      </c>
      <c r="AA2252" s="4">
        <f>=ROUNDDOWN(80.25,0)</f>
      </c>
      <c r="AB2252" s="5">
        <v>4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>
        <v>5</v>
      </c>
      <c r="AQ2252" s="8">
        <v>391.15</v>
      </c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0.3773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 t="s">
        <v>100</v>
      </c>
      <c r="BJ2252" s="4">
        <v>25</v>
      </c>
      <c r="BK2252" s="8">
        <v>1599.94</v>
      </c>
      <c r="BL2252" s="2" t="s">
        <v>7141</v>
      </c>
      <c r="BM2252" s="7">
        <v>0.2</v>
      </c>
      <c r="BN2252" s="7">
        <v>0.2445</v>
      </c>
      <c r="BO2252" s="4">
        <v>5</v>
      </c>
      <c r="BP2252" s="8">
        <v>391.15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2338</v>
      </c>
      <c r="BX2252" s="2" t="s">
        <v>6144</v>
      </c>
      <c r="BY2252" s="2" t="s">
        <v>113</v>
      </c>
      <c r="BZ2252" s="2" t="s">
        <v>100</v>
      </c>
    </row>
    <row r="2253">
      <c r="A2253" s="2" t="s">
        <v>7142</v>
      </c>
      <c r="B2253" s="2" t="s">
        <v>5764</v>
      </c>
      <c r="C2253" s="2" t="s">
        <v>2331</v>
      </c>
      <c r="D2253" s="2" t="s">
        <v>5765</v>
      </c>
      <c r="E2253" s="2" t="s">
        <v>5766</v>
      </c>
      <c r="F2253" s="2" t="s">
        <v>7112</v>
      </c>
      <c r="G2253" s="2" t="s">
        <v>7112</v>
      </c>
      <c r="H2253" s="2" t="s">
        <v>100</v>
      </c>
      <c r="I2253" s="2" t="s">
        <v>5768</v>
      </c>
      <c r="J2253" s="2" t="s">
        <v>706</v>
      </c>
      <c r="K2253" s="2" t="s">
        <v>496</v>
      </c>
      <c r="L2253" s="3">
        <v>79.48</v>
      </c>
      <c r="M2253" s="3">
        <v>83.45</v>
      </c>
      <c r="N2253" s="3">
        <v>159.99</v>
      </c>
      <c r="O2253" s="2" t="s">
        <v>97</v>
      </c>
      <c r="P2253" s="2" t="s">
        <v>119</v>
      </c>
      <c r="Q2253" s="2" t="s">
        <v>99</v>
      </c>
      <c r="R2253" s="2" t="s">
        <v>100</v>
      </c>
      <c r="S2253" s="2" t="s">
        <v>7137</v>
      </c>
      <c r="T2253" s="2" t="s">
        <v>5945</v>
      </c>
      <c r="U2253" s="2" t="s">
        <v>100</v>
      </c>
      <c r="V2253" s="2" t="s">
        <v>146</v>
      </c>
      <c r="W2253" s="2" t="s">
        <v>183</v>
      </c>
      <c r="X2253" s="2" t="s">
        <v>100</v>
      </c>
      <c r="Y2253" s="2" t="s">
        <v>240</v>
      </c>
      <c r="Z2253" s="4">
        <v>347</v>
      </c>
      <c r="AA2253" s="4">
        <f>=ROUNDDOWN(57.8333333333333,0)</f>
      </c>
      <c r="AB2253" s="5">
        <v>6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>
        <v>1</v>
      </c>
      <c r="AQ2253" s="8">
        <v>104.32</v>
      </c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0.1006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 t="s">
        <v>100</v>
      </c>
      <c r="BJ2253" s="4">
        <v>19</v>
      </c>
      <c r="BK2253" s="8">
        <v>1610.21</v>
      </c>
      <c r="BL2253" s="2" t="s">
        <v>7143</v>
      </c>
      <c r="BM2253" s="7">
        <v>0.0526</v>
      </c>
      <c r="BN2253" s="7">
        <v>0.0648</v>
      </c>
      <c r="BO2253" s="4">
        <v>1</v>
      </c>
      <c r="BP2253" s="8">
        <v>104.32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2338</v>
      </c>
      <c r="BX2253" s="2" t="s">
        <v>7144</v>
      </c>
      <c r="BY2253" s="2" t="s">
        <v>113</v>
      </c>
      <c r="BZ2253" s="2" t="s">
        <v>100</v>
      </c>
    </row>
    <row r="2254">
      <c r="A2254" s="2" t="s">
        <v>7145</v>
      </c>
      <c r="B2254" s="2" t="s">
        <v>5764</v>
      </c>
      <c r="C2254" s="2" t="s">
        <v>2331</v>
      </c>
      <c r="D2254" s="2" t="s">
        <v>5765</v>
      </c>
      <c r="E2254" s="2" t="s">
        <v>5766</v>
      </c>
      <c r="F2254" s="2" t="s">
        <v>7112</v>
      </c>
      <c r="G2254" s="2" t="s">
        <v>7112</v>
      </c>
      <c r="H2254" s="2" t="s">
        <v>100</v>
      </c>
      <c r="I2254" s="2" t="s">
        <v>5768</v>
      </c>
      <c r="J2254" s="2" t="s">
        <v>714</v>
      </c>
      <c r="K2254" s="2" t="s">
        <v>496</v>
      </c>
      <c r="L2254" s="3">
        <v>89.42</v>
      </c>
      <c r="M2254" s="3">
        <v>93.89</v>
      </c>
      <c r="N2254" s="3">
        <v>179.99</v>
      </c>
      <c r="O2254" s="2" t="s">
        <v>97</v>
      </c>
      <c r="P2254" s="2" t="s">
        <v>119</v>
      </c>
      <c r="Q2254" s="2" t="s">
        <v>99</v>
      </c>
      <c r="R2254" s="2" t="s">
        <v>100</v>
      </c>
      <c r="S2254" s="2" t="s">
        <v>7137</v>
      </c>
      <c r="T2254" s="2" t="s">
        <v>5945</v>
      </c>
      <c r="U2254" s="2" t="s">
        <v>100</v>
      </c>
      <c r="V2254" s="2" t="s">
        <v>146</v>
      </c>
      <c r="W2254" s="2" t="s">
        <v>183</v>
      </c>
      <c r="X2254" s="2" t="s">
        <v>100</v>
      </c>
      <c r="Y2254" s="2" t="s">
        <v>240</v>
      </c>
      <c r="Z2254" s="4">
        <v>469</v>
      </c>
      <c r="AA2254" s="4">
        <f>=ROUNDDOWN(67,0)</f>
      </c>
      <c r="AB2254" s="5">
        <v>7</v>
      </c>
      <c r="AC2254" s="2" t="s">
        <v>100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>
        <v>4</v>
      </c>
      <c r="AQ2254" s="8">
        <v>469.44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0.4529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34</v>
      </c>
      <c r="BK2254" s="8">
        <v>3109.4</v>
      </c>
      <c r="BL2254" s="2" t="s">
        <v>7146</v>
      </c>
      <c r="BM2254" s="7">
        <v>0.1176</v>
      </c>
      <c r="BN2254" s="7">
        <v>0.151</v>
      </c>
      <c r="BO2254" s="4">
        <v>4</v>
      </c>
      <c r="BP2254" s="8">
        <v>469.44</v>
      </c>
      <c r="BQ2254" s="4"/>
      <c r="BR2254" s="8"/>
      <c r="BS2254" s="7"/>
      <c r="BT2254" s="7"/>
      <c r="BU2254" s="2" t="s">
        <v>109</v>
      </c>
      <c r="BV2254" s="2" t="s">
        <v>110</v>
      </c>
      <c r="BW2254" s="2" t="s">
        <v>7147</v>
      </c>
      <c r="BX2254" s="2" t="s">
        <v>7148</v>
      </c>
      <c r="BY2254" s="2" t="s">
        <v>113</v>
      </c>
      <c r="BZ2254" s="2" t="s">
        <v>100</v>
      </c>
    </row>
    <row r="2255">
      <c r="A2255" s="2" t="s">
        <v>7149</v>
      </c>
      <c r="B2255" s="2" t="s">
        <v>5764</v>
      </c>
      <c r="C2255" s="2" t="s">
        <v>2331</v>
      </c>
      <c r="D2255" s="2" t="s">
        <v>5765</v>
      </c>
      <c r="E2255" s="2" t="s">
        <v>5766</v>
      </c>
      <c r="F2255" s="2" t="s">
        <v>7112</v>
      </c>
      <c r="G2255" s="2" t="s">
        <v>7112</v>
      </c>
      <c r="H2255" s="2" t="s">
        <v>100</v>
      </c>
      <c r="I2255" s="2" t="s">
        <v>5768</v>
      </c>
      <c r="J2255" s="2" t="s">
        <v>1936</v>
      </c>
      <c r="K2255" s="2" t="s">
        <v>5786</v>
      </c>
      <c r="L2255" s="3">
        <v>54.64</v>
      </c>
      <c r="M2255" s="3">
        <v>57.37</v>
      </c>
      <c r="N2255" s="3">
        <v>109.99</v>
      </c>
      <c r="O2255" s="2" t="s">
        <v>97</v>
      </c>
      <c r="P2255" s="2" t="s">
        <v>119</v>
      </c>
      <c r="Q2255" s="2" t="s">
        <v>99</v>
      </c>
      <c r="R2255" s="2" t="s">
        <v>100</v>
      </c>
      <c r="S2255" s="2" t="s">
        <v>7150</v>
      </c>
      <c r="T2255" s="2" t="s">
        <v>5945</v>
      </c>
      <c r="U2255" s="2" t="s">
        <v>100</v>
      </c>
      <c r="V2255" s="2" t="s">
        <v>146</v>
      </c>
      <c r="W2255" s="2" t="s">
        <v>183</v>
      </c>
      <c r="X2255" s="2" t="s">
        <v>100</v>
      </c>
      <c r="Y2255" s="2" t="s">
        <v>240</v>
      </c>
      <c r="Z2255" s="4">
        <v>292</v>
      </c>
      <c r="AA2255" s="4">
        <f>=ROUNDDOWN(97.3333333333333,0)</f>
      </c>
      <c r="AB2255" s="5">
        <v>3</v>
      </c>
      <c r="AC2255" s="2" t="s">
        <v>100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>
        <v>1</v>
      </c>
      <c r="AQ2255" s="8">
        <v>71.71</v>
      </c>
      <c r="AR2255" s="4"/>
      <c r="AS2255" s="8"/>
      <c r="AT2255" s="7"/>
      <c r="AU2255" s="7"/>
      <c r="AV2255" s="4">
        <v>5</v>
      </c>
      <c r="AW2255" s="8">
        <v>488.98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0.1467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0.1059</v>
      </c>
      <c r="BJ2255" s="4">
        <v>20</v>
      </c>
      <c r="BK2255" s="8">
        <v>1138.84</v>
      </c>
      <c r="BL2255" s="2" t="s">
        <v>7151</v>
      </c>
      <c r="BM2255" s="7">
        <v>0.05</v>
      </c>
      <c r="BN2255" s="7">
        <v>0.063</v>
      </c>
      <c r="BO2255" s="4">
        <v>1</v>
      </c>
      <c r="BP2255" s="8">
        <v>71.71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2338</v>
      </c>
      <c r="BX2255" s="2" t="s">
        <v>7152</v>
      </c>
      <c r="BY2255" s="2" t="s">
        <v>113</v>
      </c>
      <c r="BZ2255" s="2" t="s">
        <v>100</v>
      </c>
    </row>
    <row r="2256">
      <c r="A2256" s="2" t="s">
        <v>7153</v>
      </c>
      <c r="B2256" s="2" t="s">
        <v>5764</v>
      </c>
      <c r="C2256" s="2" t="s">
        <v>2331</v>
      </c>
      <c r="D2256" s="2" t="s">
        <v>5765</v>
      </c>
      <c r="E2256" s="2" t="s">
        <v>5766</v>
      </c>
      <c r="F2256" s="2" t="s">
        <v>7112</v>
      </c>
      <c r="G2256" s="2" t="s">
        <v>7112</v>
      </c>
      <c r="H2256" s="2" t="s">
        <v>100</v>
      </c>
      <c r="I2256" s="2" t="s">
        <v>5768</v>
      </c>
      <c r="J2256" s="2" t="s">
        <v>717</v>
      </c>
      <c r="K2256" s="2" t="s">
        <v>5786</v>
      </c>
      <c r="L2256" s="3">
        <v>59.61</v>
      </c>
      <c r="M2256" s="3">
        <v>62.59</v>
      </c>
      <c r="N2256" s="3">
        <v>119.99</v>
      </c>
      <c r="O2256" s="2" t="s">
        <v>97</v>
      </c>
      <c r="P2256" s="2" t="s">
        <v>119</v>
      </c>
      <c r="Q2256" s="2" t="s">
        <v>99</v>
      </c>
      <c r="R2256" s="2" t="s">
        <v>100</v>
      </c>
      <c r="S2256" s="2" t="s">
        <v>7150</v>
      </c>
      <c r="T2256" s="2" t="s">
        <v>5945</v>
      </c>
      <c r="U2256" s="2" t="s">
        <v>100</v>
      </c>
      <c r="V2256" s="2" t="s">
        <v>146</v>
      </c>
      <c r="W2256" s="2" t="s">
        <v>183</v>
      </c>
      <c r="X2256" s="2" t="s">
        <v>100</v>
      </c>
      <c r="Y2256" s="2" t="s">
        <v>240</v>
      </c>
      <c r="Z2256" s="4">
        <v>296</v>
      </c>
      <c r="AA2256" s="4">
        <f>=ROUNDDOWN(98.6666666666667,0)</f>
      </c>
      <c r="AB2256" s="5">
        <v>3</v>
      </c>
      <c r="AC2256" s="2" t="s">
        <v>100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>
        <v>1</v>
      </c>
      <c r="AQ2256" s="8">
        <v>78.23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0.16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12</v>
      </c>
      <c r="BK2256" s="8">
        <v>772.52</v>
      </c>
      <c r="BL2256" s="2" t="s">
        <v>7154</v>
      </c>
      <c r="BM2256" s="7">
        <v>0.0833</v>
      </c>
      <c r="BN2256" s="7">
        <v>0.1013</v>
      </c>
      <c r="BO2256" s="4">
        <v>1</v>
      </c>
      <c r="BP2256" s="8">
        <v>78.23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2338</v>
      </c>
      <c r="BX2256" s="2" t="s">
        <v>7155</v>
      </c>
      <c r="BY2256" s="2" t="s">
        <v>113</v>
      </c>
      <c r="BZ2256" s="2" t="s">
        <v>100</v>
      </c>
    </row>
    <row r="2257">
      <c r="A2257" s="2" t="s">
        <v>7156</v>
      </c>
      <c r="B2257" s="2" t="s">
        <v>5764</v>
      </c>
      <c r="C2257" s="2" t="s">
        <v>2331</v>
      </c>
      <c r="D2257" s="2" t="s">
        <v>5765</v>
      </c>
      <c r="E2257" s="2" t="s">
        <v>5766</v>
      </c>
      <c r="F2257" s="2" t="s">
        <v>7112</v>
      </c>
      <c r="G2257" s="2" t="s">
        <v>7112</v>
      </c>
      <c r="H2257" s="2" t="s">
        <v>100</v>
      </c>
      <c r="I2257" s="2" t="s">
        <v>5768</v>
      </c>
      <c r="J2257" s="2" t="s">
        <v>706</v>
      </c>
      <c r="K2257" s="2" t="s">
        <v>5786</v>
      </c>
      <c r="L2257" s="3">
        <v>79.48</v>
      </c>
      <c r="M2257" s="3">
        <v>83.45</v>
      </c>
      <c r="N2257" s="3">
        <v>159.99</v>
      </c>
      <c r="O2257" s="2" t="s">
        <v>97</v>
      </c>
      <c r="P2257" s="2" t="s">
        <v>119</v>
      </c>
      <c r="Q2257" s="2" t="s">
        <v>99</v>
      </c>
      <c r="R2257" s="2" t="s">
        <v>100</v>
      </c>
      <c r="S2257" s="2" t="s">
        <v>7150</v>
      </c>
      <c r="T2257" s="2" t="s">
        <v>5945</v>
      </c>
      <c r="U2257" s="2" t="s">
        <v>100</v>
      </c>
      <c r="V2257" s="2" t="s">
        <v>146</v>
      </c>
      <c r="W2257" s="2" t="s">
        <v>183</v>
      </c>
      <c r="X2257" s="2" t="s">
        <v>100</v>
      </c>
      <c r="Y2257" s="2" t="s">
        <v>240</v>
      </c>
      <c r="Z2257" s="4">
        <v>495</v>
      </c>
      <c r="AA2257" s="4">
        <f>=ROUNDDOWN(61.875,0)</f>
      </c>
      <c r="AB2257" s="5">
        <v>8</v>
      </c>
      <c r="AC2257" s="2" t="s">
        <v>100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>
        <v>1</v>
      </c>
      <c r="AQ2257" s="8">
        <v>104.32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0.2133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32</v>
      </c>
      <c r="BK2257" s="8">
        <v>2688.37</v>
      </c>
      <c r="BL2257" s="2" t="s">
        <v>7157</v>
      </c>
      <c r="BM2257" s="7">
        <v>0.0312</v>
      </c>
      <c r="BN2257" s="7">
        <v>0.0388</v>
      </c>
      <c r="BO2257" s="4">
        <v>1</v>
      </c>
      <c r="BP2257" s="8">
        <v>104.32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7147</v>
      </c>
      <c r="BX2257" s="2" t="s">
        <v>6889</v>
      </c>
      <c r="BY2257" s="2" t="s">
        <v>113</v>
      </c>
      <c r="BZ2257" s="2" t="s">
        <v>100</v>
      </c>
    </row>
    <row r="2258">
      <c r="A2258" s="2" t="s">
        <v>7158</v>
      </c>
      <c r="B2258" s="2" t="s">
        <v>5764</v>
      </c>
      <c r="C2258" s="2" t="s">
        <v>2331</v>
      </c>
      <c r="D2258" s="2" t="s">
        <v>5765</v>
      </c>
      <c r="E2258" s="2" t="s">
        <v>5766</v>
      </c>
      <c r="F2258" s="2" t="s">
        <v>7112</v>
      </c>
      <c r="G2258" s="2" t="s">
        <v>7112</v>
      </c>
      <c r="H2258" s="2" t="s">
        <v>100</v>
      </c>
      <c r="I2258" s="2" t="s">
        <v>5768</v>
      </c>
      <c r="J2258" s="2" t="s">
        <v>714</v>
      </c>
      <c r="K2258" s="2" t="s">
        <v>5786</v>
      </c>
      <c r="L2258" s="3">
        <v>89.42</v>
      </c>
      <c r="M2258" s="3">
        <v>93.89</v>
      </c>
      <c r="N2258" s="3">
        <v>179.99</v>
      </c>
      <c r="O2258" s="2" t="s">
        <v>97</v>
      </c>
      <c r="P2258" s="2" t="s">
        <v>119</v>
      </c>
      <c r="Q2258" s="2" t="s">
        <v>99</v>
      </c>
      <c r="R2258" s="2" t="s">
        <v>100</v>
      </c>
      <c r="S2258" s="2" t="s">
        <v>7150</v>
      </c>
      <c r="T2258" s="2" t="s">
        <v>5945</v>
      </c>
      <c r="U2258" s="2" t="s">
        <v>100</v>
      </c>
      <c r="V2258" s="2" t="s">
        <v>146</v>
      </c>
      <c r="W2258" s="2" t="s">
        <v>183</v>
      </c>
      <c r="X2258" s="2" t="s">
        <v>100</v>
      </c>
      <c r="Y2258" s="2" t="s">
        <v>240</v>
      </c>
      <c r="Z2258" s="4">
        <v>603</v>
      </c>
      <c r="AA2258" s="4">
        <f>=ROUNDDOWN(120.6,0)</f>
      </c>
      <c r="AB2258" s="5">
        <v>5</v>
      </c>
      <c r="AC2258" s="2" t="s">
        <v>100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>
        <v>2</v>
      </c>
      <c r="AQ2258" s="8">
        <v>234.72</v>
      </c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0.48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 t="s">
        <v>100</v>
      </c>
      <c r="BJ2258" s="4">
        <v>20</v>
      </c>
      <c r="BK2258" s="8">
        <v>1903.62</v>
      </c>
      <c r="BL2258" s="2" t="s">
        <v>7159</v>
      </c>
      <c r="BM2258" s="7">
        <v>0.1</v>
      </c>
      <c r="BN2258" s="7">
        <v>0.1233</v>
      </c>
      <c r="BO2258" s="4">
        <v>2</v>
      </c>
      <c r="BP2258" s="8">
        <v>234.72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7147</v>
      </c>
      <c r="BX2258" s="2" t="s">
        <v>7160</v>
      </c>
      <c r="BY2258" s="2" t="s">
        <v>113</v>
      </c>
      <c r="BZ2258" s="2" t="s">
        <v>100</v>
      </c>
    </row>
    <row r="2259">
      <c r="A2259" s="2" t="s">
        <v>7161</v>
      </c>
      <c r="B2259" s="2" t="s">
        <v>5764</v>
      </c>
      <c r="C2259" s="2" t="s">
        <v>2331</v>
      </c>
      <c r="D2259" s="2" t="s">
        <v>5765</v>
      </c>
      <c r="E2259" s="2" t="s">
        <v>5766</v>
      </c>
      <c r="F2259" s="2" t="s">
        <v>7112</v>
      </c>
      <c r="G2259" s="2" t="s">
        <v>7112</v>
      </c>
      <c r="H2259" s="2" t="s">
        <v>100</v>
      </c>
      <c r="I2259" s="2" t="s">
        <v>5768</v>
      </c>
      <c r="J2259" s="2" t="s">
        <v>1936</v>
      </c>
      <c r="K2259" s="2" t="s">
        <v>7162</v>
      </c>
      <c r="L2259" s="3">
        <v>54.64</v>
      </c>
      <c r="M2259" s="3">
        <v>57.37</v>
      </c>
      <c r="N2259" s="3">
        <v>109.99</v>
      </c>
      <c r="O2259" s="2" t="s">
        <v>97</v>
      </c>
      <c r="P2259" s="2" t="s">
        <v>119</v>
      </c>
      <c r="Q2259" s="2" t="s">
        <v>99</v>
      </c>
      <c r="R2259" s="2" t="s">
        <v>100</v>
      </c>
      <c r="S2259" s="2" t="s">
        <v>7163</v>
      </c>
      <c r="T2259" s="2" t="s">
        <v>5945</v>
      </c>
      <c r="U2259" s="2" t="s">
        <v>100</v>
      </c>
      <c r="V2259" s="2" t="s">
        <v>146</v>
      </c>
      <c r="W2259" s="2" t="s">
        <v>183</v>
      </c>
      <c r="X2259" s="2" t="s">
        <v>100</v>
      </c>
      <c r="Y2259" s="2" t="s">
        <v>240</v>
      </c>
      <c r="Z2259" s="4">
        <v>82</v>
      </c>
      <c r="AA2259" s="4">
        <f>=ROUNDDOWN(20.5,0)</f>
      </c>
      <c r="AB2259" s="5">
        <v>4</v>
      </c>
      <c r="AC2259" s="2" t="s">
        <v>100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>
        <v>1</v>
      </c>
      <c r="AW2259" s="8">
        <v>117.36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>
        <v>0.0254</v>
      </c>
      <c r="BJ2259" s="4">
        <v>17</v>
      </c>
      <c r="BK2259" s="8">
        <v>935.78</v>
      </c>
      <c r="BL2259" s="2" t="s">
        <v>7164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2338</v>
      </c>
      <c r="BX2259" s="2" t="s">
        <v>5171</v>
      </c>
      <c r="BY2259" s="2" t="s">
        <v>113</v>
      </c>
      <c r="BZ2259" s="2" t="s">
        <v>100</v>
      </c>
    </row>
    <row r="2260">
      <c r="A2260" s="2" t="s">
        <v>7165</v>
      </c>
      <c r="B2260" s="2" t="s">
        <v>5764</v>
      </c>
      <c r="C2260" s="2" t="s">
        <v>2331</v>
      </c>
      <c r="D2260" s="2" t="s">
        <v>5765</v>
      </c>
      <c r="E2260" s="2" t="s">
        <v>5766</v>
      </c>
      <c r="F2260" s="2" t="s">
        <v>7112</v>
      </c>
      <c r="G2260" s="2" t="s">
        <v>7112</v>
      </c>
      <c r="H2260" s="2" t="s">
        <v>100</v>
      </c>
      <c r="I2260" s="2" t="s">
        <v>5768</v>
      </c>
      <c r="J2260" s="2" t="s">
        <v>717</v>
      </c>
      <c r="K2260" s="2" t="s">
        <v>7162</v>
      </c>
      <c r="L2260" s="3">
        <v>59.61</v>
      </c>
      <c r="M2260" s="3">
        <v>62.59</v>
      </c>
      <c r="N2260" s="3">
        <v>119.99</v>
      </c>
      <c r="O2260" s="2" t="s">
        <v>97</v>
      </c>
      <c r="P2260" s="2" t="s">
        <v>119</v>
      </c>
      <c r="Q2260" s="2" t="s">
        <v>99</v>
      </c>
      <c r="R2260" s="2" t="s">
        <v>100</v>
      </c>
      <c r="S2260" s="2" t="s">
        <v>7163</v>
      </c>
      <c r="T2260" s="2" t="s">
        <v>5945</v>
      </c>
      <c r="U2260" s="2" t="s">
        <v>100</v>
      </c>
      <c r="V2260" s="2" t="s">
        <v>146</v>
      </c>
      <c r="W2260" s="2" t="s">
        <v>183</v>
      </c>
      <c r="X2260" s="2" t="s">
        <v>100</v>
      </c>
      <c r="Y2260" s="2" t="s">
        <v>240</v>
      </c>
      <c r="Z2260" s="4">
        <v>100</v>
      </c>
      <c r="AA2260" s="4">
        <f>=ROUNDDOWN(25,0)</f>
      </c>
      <c r="AB2260" s="5">
        <v>4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16</v>
      </c>
      <c r="BK2260" s="8">
        <v>989.21</v>
      </c>
      <c r="BL2260" s="2" t="s">
        <v>7166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2338</v>
      </c>
      <c r="BX2260" s="2" t="s">
        <v>5171</v>
      </c>
      <c r="BY2260" s="2" t="s">
        <v>113</v>
      </c>
      <c r="BZ2260" s="2" t="s">
        <v>100</v>
      </c>
    </row>
    <row r="2261">
      <c r="A2261" s="2" t="s">
        <v>7167</v>
      </c>
      <c r="B2261" s="2" t="s">
        <v>5764</v>
      </c>
      <c r="C2261" s="2" t="s">
        <v>2331</v>
      </c>
      <c r="D2261" s="2" t="s">
        <v>5765</v>
      </c>
      <c r="E2261" s="2" t="s">
        <v>5766</v>
      </c>
      <c r="F2261" s="2" t="s">
        <v>7112</v>
      </c>
      <c r="G2261" s="2" t="s">
        <v>7112</v>
      </c>
      <c r="H2261" s="2" t="s">
        <v>100</v>
      </c>
      <c r="I2261" s="2" t="s">
        <v>5768</v>
      </c>
      <c r="J2261" s="2" t="s">
        <v>714</v>
      </c>
      <c r="K2261" s="2" t="s">
        <v>7162</v>
      </c>
      <c r="L2261" s="3">
        <v>89.42</v>
      </c>
      <c r="M2261" s="3">
        <v>93.89</v>
      </c>
      <c r="N2261" s="3">
        <v>179.99</v>
      </c>
      <c r="O2261" s="2" t="s">
        <v>97</v>
      </c>
      <c r="P2261" s="2" t="s">
        <v>119</v>
      </c>
      <c r="Q2261" s="2" t="s">
        <v>99</v>
      </c>
      <c r="R2261" s="2" t="s">
        <v>100</v>
      </c>
      <c r="S2261" s="2" t="s">
        <v>7163</v>
      </c>
      <c r="T2261" s="2" t="s">
        <v>5945</v>
      </c>
      <c r="U2261" s="2" t="s">
        <v>100</v>
      </c>
      <c r="V2261" s="2" t="s">
        <v>146</v>
      </c>
      <c r="W2261" s="2" t="s">
        <v>183</v>
      </c>
      <c r="X2261" s="2" t="s">
        <v>100</v>
      </c>
      <c r="Y2261" s="2" t="s">
        <v>240</v>
      </c>
      <c r="Z2261" s="4">
        <v>217</v>
      </c>
      <c r="AA2261" s="4">
        <f>=ROUNDDOWN(54.25,0)</f>
      </c>
      <c r="AB2261" s="5">
        <v>4</v>
      </c>
      <c r="AC2261" s="2" t="s">
        <v>100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>
        <v>1</v>
      </c>
      <c r="AQ2261" s="8">
        <v>117.36</v>
      </c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1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 t="s">
        <v>100</v>
      </c>
      <c r="BJ2261" s="4">
        <v>24</v>
      </c>
      <c r="BK2261" s="8">
        <v>2222.39</v>
      </c>
      <c r="BL2261" s="2" t="s">
        <v>7168</v>
      </c>
      <c r="BM2261" s="7">
        <v>0.0417</v>
      </c>
      <c r="BN2261" s="7">
        <v>0.0528</v>
      </c>
      <c r="BO2261" s="4">
        <v>1</v>
      </c>
      <c r="BP2261" s="8">
        <v>117.36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7147</v>
      </c>
      <c r="BX2261" s="2" t="s">
        <v>4883</v>
      </c>
      <c r="BY2261" s="2" t="s">
        <v>113</v>
      </c>
      <c r="BZ2261" s="2" t="s">
        <v>100</v>
      </c>
    </row>
    <row r="2262">
      <c r="A2262" s="2" t="s">
        <v>7169</v>
      </c>
      <c r="B2262" s="2" t="s">
        <v>5764</v>
      </c>
      <c r="C2262" s="2" t="s">
        <v>2331</v>
      </c>
      <c r="D2262" s="2" t="s">
        <v>5765</v>
      </c>
      <c r="E2262" s="2" t="s">
        <v>5766</v>
      </c>
      <c r="F2262" s="2" t="s">
        <v>7112</v>
      </c>
      <c r="G2262" s="2" t="s">
        <v>7112</v>
      </c>
      <c r="H2262" s="2" t="s">
        <v>100</v>
      </c>
      <c r="I2262" s="2" t="s">
        <v>5768</v>
      </c>
      <c r="J2262" s="2" t="s">
        <v>1936</v>
      </c>
      <c r="K2262" s="2" t="s">
        <v>1614</v>
      </c>
      <c r="L2262" s="3">
        <v>54.64</v>
      </c>
      <c r="M2262" s="3">
        <v>57.37</v>
      </c>
      <c r="N2262" s="3">
        <v>109.99</v>
      </c>
      <c r="O2262" s="2" t="s">
        <v>97</v>
      </c>
      <c r="P2262" s="2" t="s">
        <v>119</v>
      </c>
      <c r="Q2262" s="2" t="s">
        <v>99</v>
      </c>
      <c r="R2262" s="2" t="s">
        <v>100</v>
      </c>
      <c r="S2262" s="2" t="s">
        <v>7170</v>
      </c>
      <c r="T2262" s="2" t="s">
        <v>5945</v>
      </c>
      <c r="U2262" s="2" t="s">
        <v>100</v>
      </c>
      <c r="V2262" s="2" t="s">
        <v>146</v>
      </c>
      <c r="W2262" s="2" t="s">
        <v>183</v>
      </c>
      <c r="X2262" s="2" t="s">
        <v>100</v>
      </c>
      <c r="Y2262" s="2" t="s">
        <v>240</v>
      </c>
      <c r="Z2262" s="4">
        <v>138</v>
      </c>
      <c r="AA2262" s="4">
        <f>=ROUNDDOWN(34.5,0)</f>
      </c>
      <c r="AB2262" s="5">
        <v>4</v>
      </c>
      <c r="AC2262" s="2" t="s">
        <v>100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10</v>
      </c>
      <c r="BK2262" s="8">
        <v>573.07</v>
      </c>
      <c r="BL2262" s="2" t="s">
        <v>1210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207</v>
      </c>
      <c r="BV2262" s="2" t="s">
        <v>97</v>
      </c>
      <c r="BW2262" s="2" t="s">
        <v>100</v>
      </c>
      <c r="BX2262" s="2" t="s">
        <v>100</v>
      </c>
      <c r="BY2262" s="2" t="s">
        <v>113</v>
      </c>
      <c r="BZ2262" s="2" t="s">
        <v>100</v>
      </c>
    </row>
    <row r="2263">
      <c r="A2263" s="2" t="s">
        <v>7171</v>
      </c>
      <c r="B2263" s="2" t="s">
        <v>5764</v>
      </c>
      <c r="C2263" s="2" t="s">
        <v>2331</v>
      </c>
      <c r="D2263" s="2" t="s">
        <v>5765</v>
      </c>
      <c r="E2263" s="2" t="s">
        <v>5766</v>
      </c>
      <c r="F2263" s="2" t="s">
        <v>7112</v>
      </c>
      <c r="G2263" s="2" t="s">
        <v>7112</v>
      </c>
      <c r="H2263" s="2" t="s">
        <v>100</v>
      </c>
      <c r="I2263" s="2" t="s">
        <v>5768</v>
      </c>
      <c r="J2263" s="2" t="s">
        <v>717</v>
      </c>
      <c r="K2263" s="2" t="s">
        <v>1614</v>
      </c>
      <c r="L2263" s="3">
        <v>59.61</v>
      </c>
      <c r="M2263" s="3">
        <v>62.59</v>
      </c>
      <c r="N2263" s="3">
        <v>119.99</v>
      </c>
      <c r="O2263" s="2" t="s">
        <v>97</v>
      </c>
      <c r="P2263" s="2" t="s">
        <v>119</v>
      </c>
      <c r="Q2263" s="2" t="s">
        <v>99</v>
      </c>
      <c r="R2263" s="2" t="s">
        <v>100</v>
      </c>
      <c r="S2263" s="2" t="s">
        <v>7170</v>
      </c>
      <c r="T2263" s="2" t="s">
        <v>5945</v>
      </c>
      <c r="U2263" s="2" t="s">
        <v>100</v>
      </c>
      <c r="V2263" s="2" t="s">
        <v>146</v>
      </c>
      <c r="W2263" s="2" t="s">
        <v>183</v>
      </c>
      <c r="X2263" s="2" t="s">
        <v>100</v>
      </c>
      <c r="Y2263" s="2" t="s">
        <v>240</v>
      </c>
      <c r="Z2263" s="4">
        <v>328</v>
      </c>
      <c r="AA2263" s="4">
        <f>=ROUNDDOWN(82,0)</f>
      </c>
      <c r="AB2263" s="5">
        <v>4</v>
      </c>
      <c r="AC2263" s="2" t="s">
        <v>100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16</v>
      </c>
      <c r="BK2263" s="8">
        <v>971.38</v>
      </c>
      <c r="BL2263" s="2" t="s">
        <v>7172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207</v>
      </c>
      <c r="BV2263" s="2" t="s">
        <v>97</v>
      </c>
      <c r="BW2263" s="2" t="s">
        <v>100</v>
      </c>
      <c r="BX2263" s="2" t="s">
        <v>100</v>
      </c>
      <c r="BY2263" s="2" t="s">
        <v>113</v>
      </c>
      <c r="BZ2263" s="2" t="s">
        <v>100</v>
      </c>
    </row>
    <row r="2264">
      <c r="A2264" s="2" t="s">
        <v>7173</v>
      </c>
      <c r="B2264" s="2" t="s">
        <v>5764</v>
      </c>
      <c r="C2264" s="2" t="s">
        <v>2331</v>
      </c>
      <c r="D2264" s="2" t="s">
        <v>5765</v>
      </c>
      <c r="E2264" s="2" t="s">
        <v>5766</v>
      </c>
      <c r="F2264" s="2" t="s">
        <v>7112</v>
      </c>
      <c r="G2264" s="2" t="s">
        <v>7112</v>
      </c>
      <c r="H2264" s="2" t="s">
        <v>100</v>
      </c>
      <c r="I2264" s="2" t="s">
        <v>5768</v>
      </c>
      <c r="J2264" s="2" t="s">
        <v>706</v>
      </c>
      <c r="K2264" s="2" t="s">
        <v>1614</v>
      </c>
      <c r="L2264" s="3">
        <v>79.48</v>
      </c>
      <c r="M2264" s="3">
        <v>83.45</v>
      </c>
      <c r="N2264" s="3">
        <v>159.99</v>
      </c>
      <c r="O2264" s="2" t="s">
        <v>97</v>
      </c>
      <c r="P2264" s="2" t="s">
        <v>119</v>
      </c>
      <c r="Q2264" s="2" t="s">
        <v>99</v>
      </c>
      <c r="R2264" s="2" t="s">
        <v>100</v>
      </c>
      <c r="S2264" s="2" t="s">
        <v>7170</v>
      </c>
      <c r="T2264" s="2" t="s">
        <v>5945</v>
      </c>
      <c r="U2264" s="2" t="s">
        <v>100</v>
      </c>
      <c r="V2264" s="2" t="s">
        <v>146</v>
      </c>
      <c r="W2264" s="2" t="s">
        <v>183</v>
      </c>
      <c r="X2264" s="2" t="s">
        <v>100</v>
      </c>
      <c r="Y2264" s="2" t="s">
        <v>240</v>
      </c>
      <c r="Z2264" s="4">
        <v>384</v>
      </c>
      <c r="AA2264" s="4">
        <f>=ROUNDDOWN(34.9090909090909,0)</f>
      </c>
      <c r="AB2264" s="5">
        <v>11</v>
      </c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 t="s">
        <v>100</v>
      </c>
      <c r="BJ2264" s="4">
        <v>38</v>
      </c>
      <c r="BK2264" s="8">
        <v>3112</v>
      </c>
      <c r="BL2264" s="2" t="s">
        <v>3774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207</v>
      </c>
      <c r="BV2264" s="2" t="s">
        <v>97</v>
      </c>
      <c r="BW2264" s="2" t="s">
        <v>100</v>
      </c>
      <c r="BX2264" s="2" t="s">
        <v>100</v>
      </c>
      <c r="BY2264" s="2" t="s">
        <v>113</v>
      </c>
      <c r="BZ2264" s="2" t="s">
        <v>100</v>
      </c>
    </row>
    <row r="2265">
      <c r="A2265" s="2" t="s">
        <v>7174</v>
      </c>
      <c r="B2265" s="2" t="s">
        <v>5764</v>
      </c>
      <c r="C2265" s="2" t="s">
        <v>2331</v>
      </c>
      <c r="D2265" s="2" t="s">
        <v>5765</v>
      </c>
      <c r="E2265" s="2" t="s">
        <v>5766</v>
      </c>
      <c r="F2265" s="2" t="s">
        <v>7112</v>
      </c>
      <c r="G2265" s="2" t="s">
        <v>7112</v>
      </c>
      <c r="H2265" s="2" t="s">
        <v>100</v>
      </c>
      <c r="I2265" s="2" t="s">
        <v>5768</v>
      </c>
      <c r="J2265" s="2" t="s">
        <v>714</v>
      </c>
      <c r="K2265" s="2" t="s">
        <v>1614</v>
      </c>
      <c r="L2265" s="3">
        <v>89.42</v>
      </c>
      <c r="M2265" s="3">
        <v>93.89</v>
      </c>
      <c r="N2265" s="3">
        <v>179.99</v>
      </c>
      <c r="O2265" s="2" t="s">
        <v>97</v>
      </c>
      <c r="P2265" s="2" t="s">
        <v>119</v>
      </c>
      <c r="Q2265" s="2" t="s">
        <v>99</v>
      </c>
      <c r="R2265" s="2" t="s">
        <v>100</v>
      </c>
      <c r="S2265" s="2" t="s">
        <v>7170</v>
      </c>
      <c r="T2265" s="2" t="s">
        <v>5945</v>
      </c>
      <c r="U2265" s="2" t="s">
        <v>100</v>
      </c>
      <c r="V2265" s="2" t="s">
        <v>146</v>
      </c>
      <c r="W2265" s="2" t="s">
        <v>183</v>
      </c>
      <c r="X2265" s="2" t="s">
        <v>100</v>
      </c>
      <c r="Y2265" s="2" t="s">
        <v>240</v>
      </c>
      <c r="Z2265" s="4">
        <v>1165</v>
      </c>
      <c r="AA2265" s="4">
        <f>=ROUNDDOWN(145.625,0)</f>
      </c>
      <c r="AB2265" s="5">
        <v>8</v>
      </c>
      <c r="AC2265" s="2" t="s">
        <v>100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43</v>
      </c>
      <c r="BK2265" s="8">
        <v>4029.77</v>
      </c>
      <c r="BL2265" s="2" t="s">
        <v>3563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207</v>
      </c>
      <c r="BV2265" s="2" t="s">
        <v>97</v>
      </c>
      <c r="BW2265" s="2" t="s">
        <v>100</v>
      </c>
      <c r="BX2265" s="2" t="s">
        <v>100</v>
      </c>
      <c r="BY2265" s="2" t="s">
        <v>113</v>
      </c>
      <c r="BZ2265" s="2" t="s">
        <v>100</v>
      </c>
    </row>
    <row r="2266">
      <c r="A2266" s="2" t="s">
        <v>7175</v>
      </c>
      <c r="B2266" s="2" t="s">
        <v>5764</v>
      </c>
      <c r="C2266" s="2" t="s">
        <v>2331</v>
      </c>
      <c r="D2266" s="2" t="s">
        <v>5765</v>
      </c>
      <c r="E2266" s="2" t="s">
        <v>6018</v>
      </c>
      <c r="F2266" s="2" t="s">
        <v>7176</v>
      </c>
      <c r="G2266" s="2" t="s">
        <v>7176</v>
      </c>
      <c r="H2266" s="2" t="s">
        <v>7176</v>
      </c>
      <c r="I2266" s="2" t="s">
        <v>7177</v>
      </c>
      <c r="J2266" s="2" t="s">
        <v>6021</v>
      </c>
      <c r="K2266" s="2" t="s">
        <v>335</v>
      </c>
      <c r="L2266" s="3">
        <v>37.72</v>
      </c>
      <c r="M2266" s="3">
        <v>39.61</v>
      </c>
      <c r="N2266" s="3">
        <v>81.99</v>
      </c>
      <c r="O2266" s="2" t="s">
        <v>97</v>
      </c>
      <c r="P2266" s="2" t="s">
        <v>119</v>
      </c>
      <c r="Q2266" s="2" t="s">
        <v>99</v>
      </c>
      <c r="R2266" s="2" t="s">
        <v>100</v>
      </c>
      <c r="S2266" s="2" t="s">
        <v>7178</v>
      </c>
      <c r="T2266" s="2" t="s">
        <v>5945</v>
      </c>
      <c r="U2266" s="2" t="s">
        <v>1847</v>
      </c>
      <c r="V2266" s="2" t="s">
        <v>201</v>
      </c>
      <c r="W2266" s="2" t="s">
        <v>202</v>
      </c>
      <c r="X2266" s="2" t="s">
        <v>219</v>
      </c>
      <c r="Y2266" s="2" t="s">
        <v>7179</v>
      </c>
      <c r="Z2266" s="4">
        <v>431</v>
      </c>
      <c r="AA2266" s="4">
        <f>=ROUNDDOWN(13.0606060606061,0)</f>
      </c>
      <c r="AB2266" s="5">
        <v>33</v>
      </c>
      <c r="AC2266" s="2" t="s">
        <v>282</v>
      </c>
      <c r="AD2266" s="4">
        <v>260</v>
      </c>
      <c r="AE2266" s="4">
        <v>260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>
        <v>3</v>
      </c>
      <c r="AQ2266" s="8">
        <v>136.65</v>
      </c>
      <c r="AR2266" s="4"/>
      <c r="AS2266" s="8"/>
      <c r="AT2266" s="7"/>
      <c r="AU2266" s="7"/>
      <c r="AV2266" s="4">
        <v>3</v>
      </c>
      <c r="AW2266" s="8">
        <v>136.65</v>
      </c>
      <c r="AX2266" s="4"/>
      <c r="AY2266" s="8"/>
      <c r="AZ2266" s="7"/>
      <c r="BA2266" s="7"/>
      <c r="BB2266" s="7">
        <v>1</v>
      </c>
      <c r="BC2266" s="4">
        <v>3</v>
      </c>
      <c r="BD2266" s="8">
        <v>136.65</v>
      </c>
      <c r="BE2266" s="4"/>
      <c r="BF2266" s="8"/>
      <c r="BG2266" s="7"/>
      <c r="BH2266" s="7"/>
      <c r="BI2266" s="7">
        <v>1</v>
      </c>
      <c r="BJ2266" s="4">
        <v>109</v>
      </c>
      <c r="BK2266" s="8">
        <v>4438.62</v>
      </c>
      <c r="BL2266" s="2" t="s">
        <v>7180</v>
      </c>
      <c r="BM2266" s="7">
        <v>0.0275</v>
      </c>
      <c r="BN2266" s="7">
        <v>0.0308</v>
      </c>
      <c r="BO2266" s="4">
        <v>3</v>
      </c>
      <c r="BP2266" s="8">
        <v>136.65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2338</v>
      </c>
      <c r="BX2266" s="2" t="s">
        <v>6864</v>
      </c>
      <c r="BY2266" s="2" t="s">
        <v>113</v>
      </c>
      <c r="BZ2266" s="2" t="s">
        <v>100</v>
      </c>
    </row>
    <row r="2267">
      <c r="A2267" s="2" t="s">
        <v>7181</v>
      </c>
      <c r="B2267" s="2" t="s">
        <v>5764</v>
      </c>
      <c r="C2267" s="2" t="s">
        <v>2331</v>
      </c>
      <c r="D2267" s="2" t="s">
        <v>5765</v>
      </c>
      <c r="E2267" s="2" t="s">
        <v>6018</v>
      </c>
      <c r="F2267" s="2" t="s">
        <v>1075</v>
      </c>
      <c r="G2267" s="2" t="s">
        <v>1075</v>
      </c>
      <c r="H2267" s="2" t="s">
        <v>100</v>
      </c>
      <c r="I2267" s="2" t="s">
        <v>7182</v>
      </c>
      <c r="J2267" s="2" t="s">
        <v>6021</v>
      </c>
      <c r="K2267" s="2" t="s">
        <v>858</v>
      </c>
      <c r="L2267" s="3">
        <v>37.72</v>
      </c>
      <c r="M2267" s="3">
        <v>39.61</v>
      </c>
      <c r="N2267" s="3">
        <v>81.99</v>
      </c>
      <c r="O2267" s="2" t="s">
        <v>97</v>
      </c>
      <c r="P2267" s="2" t="s">
        <v>119</v>
      </c>
      <c r="Q2267" s="2" t="s">
        <v>99</v>
      </c>
      <c r="R2267" s="2" t="s">
        <v>100</v>
      </c>
      <c r="S2267" s="2" t="s">
        <v>7183</v>
      </c>
      <c r="T2267" s="2" t="s">
        <v>5945</v>
      </c>
      <c r="U2267" s="2" t="s">
        <v>100</v>
      </c>
      <c r="V2267" s="2" t="s">
        <v>403</v>
      </c>
      <c r="W2267" s="2" t="s">
        <v>202</v>
      </c>
      <c r="X2267" s="2" t="s">
        <v>219</v>
      </c>
      <c r="Y2267" s="2" t="s">
        <v>240</v>
      </c>
      <c r="Z2267" s="4">
        <v>826</v>
      </c>
      <c r="AA2267" s="4">
        <f>=ROUNDDOWN(48.5882352941176,0)</f>
      </c>
      <c r="AB2267" s="5">
        <v>17</v>
      </c>
      <c r="AC2267" s="2" t="s">
        <v>282</v>
      </c>
      <c r="AD2267" s="4">
        <v>320</v>
      </c>
      <c r="AE2267" s="4">
        <v>320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>
        <v>1</v>
      </c>
      <c r="AQ2267" s="8">
        <v>45.55</v>
      </c>
      <c r="AR2267" s="4"/>
      <c r="AS2267" s="8"/>
      <c r="AT2267" s="7"/>
      <c r="AU2267" s="7"/>
      <c r="AV2267" s="4">
        <v>1</v>
      </c>
      <c r="AW2267" s="8">
        <v>45.55</v>
      </c>
      <c r="AX2267" s="4"/>
      <c r="AY2267" s="8"/>
      <c r="AZ2267" s="7"/>
      <c r="BA2267" s="7"/>
      <c r="BB2267" s="7">
        <v>1</v>
      </c>
      <c r="BC2267" s="4">
        <v>1</v>
      </c>
      <c r="BD2267" s="8">
        <v>45.55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1</v>
      </c>
      <c r="BJ2267" s="4">
        <v>88</v>
      </c>
      <c r="BK2267" s="8">
        <v>3525.25</v>
      </c>
      <c r="BL2267" s="2" t="s">
        <v>7184</v>
      </c>
      <c r="BM2267" s="7">
        <v>0.0114</v>
      </c>
      <c r="BN2267" s="7">
        <v>0.0129</v>
      </c>
      <c r="BO2267" s="4">
        <v>1</v>
      </c>
      <c r="BP2267" s="8">
        <v>45.55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2338</v>
      </c>
      <c r="BX2267" s="2" t="s">
        <v>7185</v>
      </c>
      <c r="BY2267" s="2" t="s">
        <v>113</v>
      </c>
      <c r="BZ2267" s="2" t="s">
        <v>100</v>
      </c>
    </row>
    <row r="2268">
      <c r="A2268" s="2" t="s">
        <v>7186</v>
      </c>
      <c r="B2268" s="2" t="s">
        <v>5764</v>
      </c>
      <c r="C2268" s="2" t="s">
        <v>2331</v>
      </c>
      <c r="D2268" s="2" t="s">
        <v>5765</v>
      </c>
      <c r="E2268" s="2" t="s">
        <v>6018</v>
      </c>
      <c r="F2268" s="2" t="s">
        <v>1075</v>
      </c>
      <c r="G2268" s="2" t="s">
        <v>1075</v>
      </c>
      <c r="H2268" s="2" t="s">
        <v>100</v>
      </c>
      <c r="I2268" s="2" t="s">
        <v>7182</v>
      </c>
      <c r="J2268" s="2" t="s">
        <v>6021</v>
      </c>
      <c r="K2268" s="2" t="s">
        <v>198</v>
      </c>
      <c r="L2268" s="3">
        <v>37.72</v>
      </c>
      <c r="M2268" s="3">
        <v>39.61</v>
      </c>
      <c r="N2268" s="3">
        <v>81.99</v>
      </c>
      <c r="O2268" s="2" t="s">
        <v>97</v>
      </c>
      <c r="P2268" s="2" t="s">
        <v>119</v>
      </c>
      <c r="Q2268" s="2" t="s">
        <v>99</v>
      </c>
      <c r="R2268" s="2" t="s">
        <v>100</v>
      </c>
      <c r="S2268" s="2" t="s">
        <v>7187</v>
      </c>
      <c r="T2268" s="2" t="s">
        <v>5945</v>
      </c>
      <c r="U2268" s="2" t="s">
        <v>100</v>
      </c>
      <c r="V2268" s="2" t="s">
        <v>403</v>
      </c>
      <c r="W2268" s="2" t="s">
        <v>202</v>
      </c>
      <c r="X2268" s="2" t="s">
        <v>219</v>
      </c>
      <c r="Y2268" s="2" t="s">
        <v>240</v>
      </c>
      <c r="Z2268" s="4">
        <v>217</v>
      </c>
      <c r="AA2268" s="4">
        <f>=ROUNDDOWN(27.125,0)</f>
      </c>
      <c r="AB2268" s="5">
        <v>8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65</v>
      </c>
      <c r="BK2268" s="8">
        <v>2599.2</v>
      </c>
      <c r="BL2268" s="2" t="s">
        <v>1518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2338</v>
      </c>
      <c r="BX2268" s="2" t="s">
        <v>7188</v>
      </c>
      <c r="BY2268" s="2" t="s">
        <v>113</v>
      </c>
      <c r="BZ2268" s="2" t="s">
        <v>100</v>
      </c>
    </row>
    <row r="2269">
      <c r="A2269" s="2" t="s">
        <v>7189</v>
      </c>
      <c r="B2269" s="2" t="s">
        <v>5764</v>
      </c>
      <c r="C2269" s="2" t="s">
        <v>2331</v>
      </c>
      <c r="D2269" s="2" t="s">
        <v>5765</v>
      </c>
      <c r="E2269" s="2" t="s">
        <v>6018</v>
      </c>
      <c r="F2269" s="2" t="s">
        <v>7112</v>
      </c>
      <c r="G2269" s="2" t="s">
        <v>7112</v>
      </c>
      <c r="H2269" s="2" t="s">
        <v>100</v>
      </c>
      <c r="I2269" s="2" t="s">
        <v>6020</v>
      </c>
      <c r="J2269" s="2" t="s">
        <v>6021</v>
      </c>
      <c r="K2269" s="2" t="s">
        <v>469</v>
      </c>
      <c r="L2269" s="3">
        <v>37.72</v>
      </c>
      <c r="M2269" s="3">
        <v>39.61</v>
      </c>
      <c r="N2269" s="3">
        <v>81.99</v>
      </c>
      <c r="O2269" s="2" t="s">
        <v>97</v>
      </c>
      <c r="P2269" s="2" t="s">
        <v>119</v>
      </c>
      <c r="Q2269" s="2" t="s">
        <v>99</v>
      </c>
      <c r="R2269" s="2" t="s">
        <v>100</v>
      </c>
      <c r="S2269" s="2" t="s">
        <v>7190</v>
      </c>
      <c r="T2269" s="2" t="s">
        <v>5945</v>
      </c>
      <c r="U2269" s="2" t="s">
        <v>100</v>
      </c>
      <c r="V2269" s="2" t="s">
        <v>146</v>
      </c>
      <c r="W2269" s="2" t="s">
        <v>183</v>
      </c>
      <c r="X2269" s="2" t="s">
        <v>100</v>
      </c>
      <c r="Y2269" s="2" t="s">
        <v>240</v>
      </c>
      <c r="Z2269" s="4">
        <v>551</v>
      </c>
      <c r="AA2269" s="4">
        <f>=ROUNDDOWN(27.55,0)</f>
      </c>
      <c r="AB2269" s="5">
        <v>20</v>
      </c>
      <c r="AC2269" s="2" t="s">
        <v>768</v>
      </c>
      <c r="AD2269" s="4">
        <v>110</v>
      </c>
      <c r="AE2269" s="4">
        <v>360</v>
      </c>
      <c r="AF2269" s="6">
        <v>65</v>
      </c>
      <c r="AG2269" s="6"/>
      <c r="AH2269" s="7">
        <v>0.6203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>
        <v>1</v>
      </c>
      <c r="AQ2269" s="8">
        <v>45.55</v>
      </c>
      <c r="AR2269" s="4"/>
      <c r="AS2269" s="8"/>
      <c r="AT2269" s="7"/>
      <c r="AU2269" s="7"/>
      <c r="AV2269" s="4">
        <v>1</v>
      </c>
      <c r="AW2269" s="8">
        <v>45.55</v>
      </c>
      <c r="AX2269" s="4"/>
      <c r="AY2269" s="8"/>
      <c r="AZ2269" s="7"/>
      <c r="BA2269" s="7"/>
      <c r="BB2269" s="7">
        <v>1</v>
      </c>
      <c r="BC2269" s="4">
        <v>1</v>
      </c>
      <c r="BD2269" s="8">
        <v>45.55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>
        <v>1</v>
      </c>
      <c r="BJ2269" s="4">
        <v>71</v>
      </c>
      <c r="BK2269" s="8">
        <v>2887.89</v>
      </c>
      <c r="BL2269" s="2" t="s">
        <v>7191</v>
      </c>
      <c r="BM2269" s="7">
        <v>0.0141</v>
      </c>
      <c r="BN2269" s="7">
        <v>0.0158</v>
      </c>
      <c r="BO2269" s="4">
        <v>1</v>
      </c>
      <c r="BP2269" s="8">
        <v>45.55</v>
      </c>
      <c r="BQ2269" s="4"/>
      <c r="BR2269" s="8"/>
      <c r="BS2269" s="7"/>
      <c r="BT2269" s="7"/>
      <c r="BU2269" s="2" t="s">
        <v>109</v>
      </c>
      <c r="BV2269" s="2" t="s">
        <v>110</v>
      </c>
      <c r="BW2269" s="2" t="s">
        <v>2338</v>
      </c>
      <c r="BX2269" s="2" t="s">
        <v>7192</v>
      </c>
      <c r="BY2269" s="2" t="s">
        <v>113</v>
      </c>
      <c r="BZ2269" s="2" t="s">
        <v>100</v>
      </c>
    </row>
    <row r="2270">
      <c r="A2270" s="2" t="s">
        <v>7193</v>
      </c>
      <c r="B2270" s="2" t="s">
        <v>5764</v>
      </c>
      <c r="C2270" s="2" t="s">
        <v>2331</v>
      </c>
      <c r="D2270" s="2" t="s">
        <v>5765</v>
      </c>
      <c r="E2270" s="2" t="s">
        <v>6018</v>
      </c>
      <c r="F2270" s="2" t="s">
        <v>7112</v>
      </c>
      <c r="G2270" s="2" t="s">
        <v>7112</v>
      </c>
      <c r="H2270" s="2" t="s">
        <v>100</v>
      </c>
      <c r="I2270" s="2" t="s">
        <v>6020</v>
      </c>
      <c r="J2270" s="2" t="s">
        <v>6021</v>
      </c>
      <c r="K2270" s="2" t="s">
        <v>198</v>
      </c>
      <c r="L2270" s="3">
        <v>37.72</v>
      </c>
      <c r="M2270" s="3">
        <v>39.61</v>
      </c>
      <c r="N2270" s="3">
        <v>81.99</v>
      </c>
      <c r="O2270" s="2" t="s">
        <v>97</v>
      </c>
      <c r="P2270" s="2" t="s">
        <v>119</v>
      </c>
      <c r="Q2270" s="2" t="s">
        <v>99</v>
      </c>
      <c r="R2270" s="2" t="s">
        <v>100</v>
      </c>
      <c r="S2270" s="2" t="s">
        <v>7194</v>
      </c>
      <c r="T2270" s="2" t="s">
        <v>5945</v>
      </c>
      <c r="U2270" s="2" t="s">
        <v>100</v>
      </c>
      <c r="V2270" s="2" t="s">
        <v>146</v>
      </c>
      <c r="W2270" s="2" t="s">
        <v>183</v>
      </c>
      <c r="X2270" s="2" t="s">
        <v>100</v>
      </c>
      <c r="Y2270" s="2" t="s">
        <v>240</v>
      </c>
      <c r="Z2270" s="4">
        <v>1299</v>
      </c>
      <c r="AA2270" s="4">
        <f>=ROUNDDOWN(27.0625,0)</f>
      </c>
      <c r="AB2270" s="5">
        <v>48</v>
      </c>
      <c r="AC2270" s="2" t="s">
        <v>282</v>
      </c>
      <c r="AD2270" s="4">
        <v>310</v>
      </c>
      <c r="AE2270" s="4">
        <v>490</v>
      </c>
      <c r="AF2270" s="6">
        <v>65</v>
      </c>
      <c r="AG2270" s="6"/>
      <c r="AH2270" s="7">
        <v>0.6203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149</v>
      </c>
      <c r="BK2270" s="8">
        <v>6013.52</v>
      </c>
      <c r="BL2270" s="2" t="s">
        <v>7195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2338</v>
      </c>
      <c r="BX2270" s="2" t="s">
        <v>7196</v>
      </c>
      <c r="BY2270" s="2" t="s">
        <v>113</v>
      </c>
      <c r="BZ2270" s="2" t="s">
        <v>100</v>
      </c>
    </row>
    <row r="2271">
      <c r="A2271" s="2" t="s">
        <v>7197</v>
      </c>
      <c r="B2271" s="2" t="s">
        <v>5764</v>
      </c>
      <c r="C2271" s="2" t="s">
        <v>2331</v>
      </c>
      <c r="D2271" s="2" t="s">
        <v>5765</v>
      </c>
      <c r="E2271" s="2" t="s">
        <v>6018</v>
      </c>
      <c r="F2271" s="2" t="s">
        <v>1426</v>
      </c>
      <c r="G2271" s="2" t="s">
        <v>1426</v>
      </c>
      <c r="H2271" s="2" t="s">
        <v>100</v>
      </c>
      <c r="I2271" s="2" t="s">
        <v>7182</v>
      </c>
      <c r="J2271" s="2" t="s">
        <v>6021</v>
      </c>
      <c r="K2271" s="2" t="s">
        <v>469</v>
      </c>
      <c r="L2271" s="3">
        <v>37.72</v>
      </c>
      <c r="M2271" s="3">
        <v>39.61</v>
      </c>
      <c r="N2271" s="3">
        <v>81.99</v>
      </c>
      <c r="O2271" s="2" t="s">
        <v>97</v>
      </c>
      <c r="P2271" s="2" t="s">
        <v>119</v>
      </c>
      <c r="Q2271" s="2" t="s">
        <v>99</v>
      </c>
      <c r="R2271" s="2" t="s">
        <v>100</v>
      </c>
      <c r="S2271" s="2" t="s">
        <v>7198</v>
      </c>
      <c r="T2271" s="2" t="s">
        <v>5945</v>
      </c>
      <c r="U2271" s="2" t="s">
        <v>100</v>
      </c>
      <c r="V2271" s="2" t="s">
        <v>201</v>
      </c>
      <c r="W2271" s="2" t="s">
        <v>202</v>
      </c>
      <c r="X2271" s="2" t="s">
        <v>219</v>
      </c>
      <c r="Y2271" s="2" t="s">
        <v>240</v>
      </c>
      <c r="Z2271" s="4">
        <v>848</v>
      </c>
      <c r="AA2271" s="4">
        <f>=ROUNDDOWN(40.3809523809524,0)</f>
      </c>
      <c r="AB2271" s="5">
        <v>21</v>
      </c>
      <c r="AC2271" s="2" t="s">
        <v>282</v>
      </c>
      <c r="AD2271" s="4">
        <v>190</v>
      </c>
      <c r="AE2271" s="4">
        <v>310</v>
      </c>
      <c r="AF2271" s="6">
        <v>65</v>
      </c>
      <c r="AG2271" s="6"/>
      <c r="AH2271" s="7">
        <v>0.6203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>
        <v>1</v>
      </c>
      <c r="AQ2271" s="8">
        <v>45.55</v>
      </c>
      <c r="AR2271" s="4"/>
      <c r="AS2271" s="8"/>
      <c r="AT2271" s="7"/>
      <c r="AU2271" s="7"/>
      <c r="AV2271" s="4">
        <v>1</v>
      </c>
      <c r="AW2271" s="8">
        <v>45.55</v>
      </c>
      <c r="AX2271" s="4"/>
      <c r="AY2271" s="8"/>
      <c r="AZ2271" s="7"/>
      <c r="BA2271" s="7"/>
      <c r="BB2271" s="7">
        <v>1</v>
      </c>
      <c r="BC2271" s="4">
        <v>1</v>
      </c>
      <c r="BD2271" s="8">
        <v>45.55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>
        <v>1</v>
      </c>
      <c r="BJ2271" s="4">
        <v>86</v>
      </c>
      <c r="BK2271" s="8">
        <v>3487.65</v>
      </c>
      <c r="BL2271" s="2" t="s">
        <v>7199</v>
      </c>
      <c r="BM2271" s="7">
        <v>0.0116</v>
      </c>
      <c r="BN2271" s="7">
        <v>0.0131</v>
      </c>
      <c r="BO2271" s="4">
        <v>1</v>
      </c>
      <c r="BP2271" s="8">
        <v>45.55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7200</v>
      </c>
      <c r="BX2271" s="2" t="s">
        <v>7201</v>
      </c>
      <c r="BY2271" s="2" t="s">
        <v>113</v>
      </c>
      <c r="BZ2271" s="2" t="s">
        <v>100</v>
      </c>
    </row>
    <row r="2272">
      <c r="A2272" s="2" t="s">
        <v>7202</v>
      </c>
      <c r="B2272" s="2" t="s">
        <v>5764</v>
      </c>
      <c r="C2272" s="2" t="s">
        <v>2331</v>
      </c>
      <c r="D2272" s="2" t="s">
        <v>5765</v>
      </c>
      <c r="E2272" s="2" t="s">
        <v>6018</v>
      </c>
      <c r="F2272" s="2" t="s">
        <v>1426</v>
      </c>
      <c r="G2272" s="2" t="s">
        <v>1426</v>
      </c>
      <c r="H2272" s="2" t="s">
        <v>100</v>
      </c>
      <c r="I2272" s="2" t="s">
        <v>7182</v>
      </c>
      <c r="J2272" s="2" t="s">
        <v>6021</v>
      </c>
      <c r="K2272" s="2" t="s">
        <v>913</v>
      </c>
      <c r="L2272" s="3">
        <v>37.72</v>
      </c>
      <c r="M2272" s="3">
        <v>39.61</v>
      </c>
      <c r="N2272" s="3">
        <v>81.99</v>
      </c>
      <c r="O2272" s="2" t="s">
        <v>97</v>
      </c>
      <c r="P2272" s="2" t="s">
        <v>119</v>
      </c>
      <c r="Q2272" s="2" t="s">
        <v>99</v>
      </c>
      <c r="R2272" s="2" t="s">
        <v>100</v>
      </c>
      <c r="S2272" s="2" t="s">
        <v>7203</v>
      </c>
      <c r="T2272" s="2" t="s">
        <v>5945</v>
      </c>
      <c r="U2272" s="2" t="s">
        <v>100</v>
      </c>
      <c r="V2272" s="2" t="s">
        <v>201</v>
      </c>
      <c r="W2272" s="2" t="s">
        <v>202</v>
      </c>
      <c r="X2272" s="2" t="s">
        <v>219</v>
      </c>
      <c r="Y2272" s="2" t="s">
        <v>240</v>
      </c>
      <c r="Z2272" s="4">
        <v>705</v>
      </c>
      <c r="AA2272" s="4">
        <f>=ROUNDDOWN(47,0)</f>
      </c>
      <c r="AB2272" s="5">
        <v>15</v>
      </c>
      <c r="AC2272" s="2" t="s">
        <v>282</v>
      </c>
      <c r="AD2272" s="4">
        <v>270</v>
      </c>
      <c r="AE2272" s="4">
        <v>270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57</v>
      </c>
      <c r="BK2272" s="8">
        <v>2336.82</v>
      </c>
      <c r="BL2272" s="2" t="s">
        <v>1167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7204</v>
      </c>
      <c r="BX2272" s="2" t="s">
        <v>7205</v>
      </c>
      <c r="BY2272" s="2" t="s">
        <v>113</v>
      </c>
      <c r="BZ2272" s="2" t="s">
        <v>100</v>
      </c>
    </row>
    <row r="2273">
      <c r="A2273" s="2" t="s">
        <v>7206</v>
      </c>
      <c r="B2273" s="2" t="s">
        <v>5764</v>
      </c>
      <c r="C2273" s="2" t="s">
        <v>2331</v>
      </c>
      <c r="D2273" s="2" t="s">
        <v>5765</v>
      </c>
      <c r="E2273" s="2" t="s">
        <v>6018</v>
      </c>
      <c r="F2273" s="2" t="s">
        <v>1426</v>
      </c>
      <c r="G2273" s="2" t="s">
        <v>1426</v>
      </c>
      <c r="H2273" s="2" t="s">
        <v>100</v>
      </c>
      <c r="I2273" s="2" t="s">
        <v>7182</v>
      </c>
      <c r="J2273" s="2" t="s">
        <v>6021</v>
      </c>
      <c r="K2273" s="2" t="s">
        <v>198</v>
      </c>
      <c r="L2273" s="3">
        <v>37.72</v>
      </c>
      <c r="M2273" s="3">
        <v>39.61</v>
      </c>
      <c r="N2273" s="3">
        <v>81.99</v>
      </c>
      <c r="O2273" s="2" t="s">
        <v>97</v>
      </c>
      <c r="P2273" s="2" t="s">
        <v>119</v>
      </c>
      <c r="Q2273" s="2" t="s">
        <v>99</v>
      </c>
      <c r="R2273" s="2" t="s">
        <v>100</v>
      </c>
      <c r="S2273" s="2" t="s">
        <v>7207</v>
      </c>
      <c r="T2273" s="2" t="s">
        <v>5945</v>
      </c>
      <c r="U2273" s="2" t="s">
        <v>100</v>
      </c>
      <c r="V2273" s="2" t="s">
        <v>201</v>
      </c>
      <c r="W2273" s="2" t="s">
        <v>202</v>
      </c>
      <c r="X2273" s="2" t="s">
        <v>219</v>
      </c>
      <c r="Y2273" s="2" t="s">
        <v>240</v>
      </c>
      <c r="Z2273" s="4">
        <v>714</v>
      </c>
      <c r="AA2273" s="4">
        <f>=ROUNDDOWN(39.6666666666667,0)</f>
      </c>
      <c r="AB2273" s="5">
        <v>18</v>
      </c>
      <c r="AC2273" s="2" t="s">
        <v>282</v>
      </c>
      <c r="AD2273" s="4">
        <v>200</v>
      </c>
      <c r="AE2273" s="4">
        <v>320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61</v>
      </c>
      <c r="BK2273" s="8">
        <v>2421.52</v>
      </c>
      <c r="BL2273" s="2" t="s">
        <v>7208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7209</v>
      </c>
      <c r="BX2273" s="2" t="s">
        <v>7210</v>
      </c>
      <c r="BY2273" s="2" t="s">
        <v>113</v>
      </c>
      <c r="BZ2273" s="2" t="s">
        <v>100</v>
      </c>
    </row>
    <row r="2274">
      <c r="A2274" s="2" t="s">
        <v>7211</v>
      </c>
      <c r="B2274" s="2" t="s">
        <v>5764</v>
      </c>
      <c r="C2274" s="2" t="s">
        <v>2331</v>
      </c>
      <c r="D2274" s="2" t="s">
        <v>5765</v>
      </c>
      <c r="E2274" s="2" t="s">
        <v>6018</v>
      </c>
      <c r="F2274" s="2" t="s">
        <v>7212</v>
      </c>
      <c r="G2274" s="2" t="s">
        <v>7212</v>
      </c>
      <c r="H2274" s="2" t="s">
        <v>7212</v>
      </c>
      <c r="I2274" s="2" t="s">
        <v>7182</v>
      </c>
      <c r="J2274" s="2" t="s">
        <v>6021</v>
      </c>
      <c r="K2274" s="2" t="s">
        <v>469</v>
      </c>
      <c r="L2274" s="3">
        <v>37.72</v>
      </c>
      <c r="M2274" s="3">
        <v>39.61</v>
      </c>
      <c r="N2274" s="3">
        <v>81.99</v>
      </c>
      <c r="O2274" s="2" t="s">
        <v>97</v>
      </c>
      <c r="P2274" s="2" t="s">
        <v>119</v>
      </c>
      <c r="Q2274" s="2" t="s">
        <v>99</v>
      </c>
      <c r="R2274" s="2" t="s">
        <v>100</v>
      </c>
      <c r="S2274" s="2" t="s">
        <v>7213</v>
      </c>
      <c r="T2274" s="2" t="s">
        <v>100</v>
      </c>
      <c r="U2274" s="2" t="s">
        <v>1847</v>
      </c>
      <c r="V2274" s="2" t="s">
        <v>201</v>
      </c>
      <c r="W2274" s="2" t="s">
        <v>202</v>
      </c>
      <c r="X2274" s="2" t="s">
        <v>219</v>
      </c>
      <c r="Y2274" s="2" t="s">
        <v>7214</v>
      </c>
      <c r="Z2274" s="4">
        <v>1305</v>
      </c>
      <c r="AA2274" s="4">
        <f>=ROUNDDOWN(130.5,0)</f>
      </c>
      <c r="AB2274" s="5">
        <v>10</v>
      </c>
      <c r="AC2274" s="2" t="s">
        <v>100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117</v>
      </c>
      <c r="BK2274" s="8">
        <v>4336.89</v>
      </c>
      <c r="BL2274" s="2" t="s">
        <v>7215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207</v>
      </c>
      <c r="BV2274" s="2" t="s">
        <v>97</v>
      </c>
      <c r="BW2274" s="2" t="s">
        <v>100</v>
      </c>
      <c r="BX2274" s="2" t="s">
        <v>100</v>
      </c>
      <c r="BY2274" s="2" t="s">
        <v>113</v>
      </c>
      <c r="BZ2274" s="2" t="s">
        <v>100</v>
      </c>
    </row>
    <row r="2275">
      <c r="A2275" s="2" t="s">
        <v>7216</v>
      </c>
      <c r="B2275" s="2" t="s">
        <v>5764</v>
      </c>
      <c r="C2275" s="2" t="s">
        <v>2331</v>
      </c>
      <c r="D2275" s="2" t="s">
        <v>5765</v>
      </c>
      <c r="E2275" s="2" t="s">
        <v>6018</v>
      </c>
      <c r="F2275" s="2" t="s">
        <v>7212</v>
      </c>
      <c r="G2275" s="2" t="s">
        <v>7212</v>
      </c>
      <c r="H2275" s="2" t="s">
        <v>7212</v>
      </c>
      <c r="I2275" s="2" t="s">
        <v>7182</v>
      </c>
      <c r="J2275" s="2" t="s">
        <v>6021</v>
      </c>
      <c r="K2275" s="2" t="s">
        <v>1172</v>
      </c>
      <c r="L2275" s="3">
        <v>37.72</v>
      </c>
      <c r="M2275" s="3">
        <v>39.61</v>
      </c>
      <c r="N2275" s="3">
        <v>81.99</v>
      </c>
      <c r="O2275" s="2" t="s">
        <v>97</v>
      </c>
      <c r="P2275" s="2" t="s">
        <v>119</v>
      </c>
      <c r="Q2275" s="2" t="s">
        <v>99</v>
      </c>
      <c r="R2275" s="2" t="s">
        <v>100</v>
      </c>
      <c r="S2275" s="2" t="s">
        <v>7217</v>
      </c>
      <c r="T2275" s="2" t="s">
        <v>100</v>
      </c>
      <c r="U2275" s="2" t="s">
        <v>1847</v>
      </c>
      <c r="V2275" s="2" t="s">
        <v>201</v>
      </c>
      <c r="W2275" s="2" t="s">
        <v>202</v>
      </c>
      <c r="X2275" s="2" t="s">
        <v>219</v>
      </c>
      <c r="Y2275" s="2" t="s">
        <v>7214</v>
      </c>
      <c r="Z2275" s="4">
        <v>1055</v>
      </c>
      <c r="AA2275" s="4">
        <f>=ROUNDDOWN(105.5,0)</f>
      </c>
      <c r="AB2275" s="5">
        <v>10</v>
      </c>
      <c r="AC2275" s="2" t="s">
        <v>100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71</v>
      </c>
      <c r="BK2275" s="8">
        <v>2670.46</v>
      </c>
      <c r="BL2275" s="2" t="s">
        <v>7218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207</v>
      </c>
      <c r="BV2275" s="2" t="s">
        <v>97</v>
      </c>
      <c r="BW2275" s="2" t="s">
        <v>100</v>
      </c>
      <c r="BX2275" s="2" t="s">
        <v>100</v>
      </c>
      <c r="BY2275" s="2" t="s">
        <v>113</v>
      </c>
      <c r="BZ2275" s="2" t="s">
        <v>100</v>
      </c>
    </row>
    <row r="2276">
      <c r="A2276" s="2" t="s">
        <v>7219</v>
      </c>
      <c r="B2276" s="2" t="s">
        <v>5764</v>
      </c>
      <c r="C2276" s="2" t="s">
        <v>2331</v>
      </c>
      <c r="D2276" s="2" t="s">
        <v>4473</v>
      </c>
      <c r="E2276" s="2" t="s">
        <v>5768</v>
      </c>
      <c r="F2276" s="2" t="s">
        <v>7220</v>
      </c>
      <c r="G2276" s="2" t="s">
        <v>7220</v>
      </c>
      <c r="H2276" s="2" t="s">
        <v>7220</v>
      </c>
      <c r="I2276" s="2" t="s">
        <v>7221</v>
      </c>
      <c r="J2276" s="2" t="s">
        <v>1936</v>
      </c>
      <c r="K2276" s="2" t="s">
        <v>1172</v>
      </c>
      <c r="L2276" s="3">
        <v>17.19</v>
      </c>
      <c r="M2276" s="3">
        <v>18.05</v>
      </c>
      <c r="N2276" s="3">
        <v>37.99</v>
      </c>
      <c r="O2276" s="2" t="s">
        <v>97</v>
      </c>
      <c r="P2276" s="2" t="s">
        <v>119</v>
      </c>
      <c r="Q2276" s="2" t="s">
        <v>99</v>
      </c>
      <c r="R2276" s="2" t="s">
        <v>100</v>
      </c>
      <c r="S2276" s="2" t="s">
        <v>100</v>
      </c>
      <c r="T2276" s="2" t="s">
        <v>5945</v>
      </c>
      <c r="U2276" s="2" t="s">
        <v>100</v>
      </c>
      <c r="V2276" s="2" t="s">
        <v>146</v>
      </c>
      <c r="W2276" s="2" t="s">
        <v>183</v>
      </c>
      <c r="X2276" s="2" t="s">
        <v>219</v>
      </c>
      <c r="Y2276" s="2" t="s">
        <v>2509</v>
      </c>
      <c r="Z2276" s="4">
        <v>388</v>
      </c>
      <c r="AA2276" s="4">
        <f>=ROUNDDOWN(25.8666666666667,0)</f>
      </c>
      <c r="AB2276" s="5">
        <v>15</v>
      </c>
      <c r="AC2276" s="2" t="s">
        <v>872</v>
      </c>
      <c r="AD2276" s="4">
        <v>200</v>
      </c>
      <c r="AE2276" s="4">
        <v>400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>
        <v>5</v>
      </c>
      <c r="AQ2276" s="8">
        <v>109.2</v>
      </c>
      <c r="AR2276" s="4"/>
      <c r="AS2276" s="8"/>
      <c r="AT2276" s="7"/>
      <c r="AU2276" s="7"/>
      <c r="AV2276" s="4">
        <v>10</v>
      </c>
      <c r="AW2276" s="8">
        <v>262.83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0.4155</v>
      </c>
      <c r="BC2276" s="4">
        <v>29</v>
      </c>
      <c r="BD2276" s="8">
        <v>825.54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0.3184</v>
      </c>
      <c r="BJ2276" s="4">
        <v>538</v>
      </c>
      <c r="BK2276" s="8">
        <v>9868.83</v>
      </c>
      <c r="BL2276" s="2" t="s">
        <v>4468</v>
      </c>
      <c r="BM2276" s="7">
        <v>0.0093</v>
      </c>
      <c r="BN2276" s="7">
        <v>0.0111</v>
      </c>
      <c r="BO2276" s="4">
        <v>5</v>
      </c>
      <c r="BP2276" s="8">
        <v>109.2</v>
      </c>
      <c r="BQ2276" s="4"/>
      <c r="BR2276" s="8"/>
      <c r="BS2276" s="7"/>
      <c r="BT2276" s="7"/>
      <c r="BU2276" s="2" t="s">
        <v>109</v>
      </c>
      <c r="BV2276" s="2" t="s">
        <v>110</v>
      </c>
      <c r="BW2276" s="2" t="s">
        <v>7222</v>
      </c>
      <c r="BX2276" s="2" t="s">
        <v>7223</v>
      </c>
      <c r="BY2276" s="2" t="s">
        <v>113</v>
      </c>
      <c r="BZ2276" s="2" t="s">
        <v>100</v>
      </c>
    </row>
    <row r="2277">
      <c r="A2277" s="2" t="s">
        <v>7224</v>
      </c>
      <c r="B2277" s="2" t="s">
        <v>5764</v>
      </c>
      <c r="C2277" s="2" t="s">
        <v>2331</v>
      </c>
      <c r="D2277" s="2" t="s">
        <v>4473</v>
      </c>
      <c r="E2277" s="2" t="s">
        <v>5768</v>
      </c>
      <c r="F2277" s="2" t="s">
        <v>7220</v>
      </c>
      <c r="G2277" s="2" t="s">
        <v>7220</v>
      </c>
      <c r="H2277" s="2" t="s">
        <v>7220</v>
      </c>
      <c r="I2277" s="2" t="s">
        <v>7221</v>
      </c>
      <c r="J2277" s="2" t="s">
        <v>247</v>
      </c>
      <c r="K2277" s="2" t="s">
        <v>1172</v>
      </c>
      <c r="L2277" s="3">
        <v>23.04</v>
      </c>
      <c r="M2277" s="3">
        <v>24.19</v>
      </c>
      <c r="N2277" s="3">
        <v>49.99</v>
      </c>
      <c r="O2277" s="2" t="s">
        <v>97</v>
      </c>
      <c r="P2277" s="2" t="s">
        <v>119</v>
      </c>
      <c r="Q2277" s="2" t="s">
        <v>99</v>
      </c>
      <c r="R2277" s="2" t="s">
        <v>100</v>
      </c>
      <c r="S2277" s="2" t="s">
        <v>100</v>
      </c>
      <c r="T2277" s="2" t="s">
        <v>5945</v>
      </c>
      <c r="U2277" s="2" t="s">
        <v>100</v>
      </c>
      <c r="V2277" s="2" t="s">
        <v>146</v>
      </c>
      <c r="W2277" s="2" t="s">
        <v>183</v>
      </c>
      <c r="X2277" s="2" t="s">
        <v>219</v>
      </c>
      <c r="Y2277" s="2" t="s">
        <v>2509</v>
      </c>
      <c r="Z2277" s="4">
        <v>991</v>
      </c>
      <c r="AA2277" s="4">
        <f>=ROUNDDOWN(43.0869565217391,0)</f>
      </c>
      <c r="AB2277" s="5">
        <v>23</v>
      </c>
      <c r="AC2277" s="2" t="s">
        <v>872</v>
      </c>
      <c r="AD2277" s="4">
        <v>500</v>
      </c>
      <c r="AE2277" s="4">
        <v>550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>
        <v>4</v>
      </c>
      <c r="AQ2277" s="8">
        <v>117.12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0.4456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878</v>
      </c>
      <c r="BK2277" s="8">
        <v>20259.55</v>
      </c>
      <c r="BL2277" s="2" t="s">
        <v>7225</v>
      </c>
      <c r="BM2277" s="7">
        <v>0.0046</v>
      </c>
      <c r="BN2277" s="7">
        <v>0.0058</v>
      </c>
      <c r="BO2277" s="4">
        <v>4</v>
      </c>
      <c r="BP2277" s="8">
        <v>117.12</v>
      </c>
      <c r="BQ2277" s="4"/>
      <c r="BR2277" s="8"/>
      <c r="BS2277" s="7"/>
      <c r="BT2277" s="7"/>
      <c r="BU2277" s="2" t="s">
        <v>109</v>
      </c>
      <c r="BV2277" s="2" t="s">
        <v>110</v>
      </c>
      <c r="BW2277" s="2" t="s">
        <v>6801</v>
      </c>
      <c r="BX2277" s="2" t="s">
        <v>7226</v>
      </c>
      <c r="BY2277" s="2" t="s">
        <v>113</v>
      </c>
      <c r="BZ2277" s="2" t="s">
        <v>100</v>
      </c>
    </row>
    <row r="2278">
      <c r="A2278" s="2" t="s">
        <v>7227</v>
      </c>
      <c r="B2278" s="2" t="s">
        <v>5764</v>
      </c>
      <c r="C2278" s="2" t="s">
        <v>2331</v>
      </c>
      <c r="D2278" s="2" t="s">
        <v>4473</v>
      </c>
      <c r="E2278" s="2" t="s">
        <v>5768</v>
      </c>
      <c r="F2278" s="2" t="s">
        <v>7220</v>
      </c>
      <c r="G2278" s="2" t="s">
        <v>7220</v>
      </c>
      <c r="H2278" s="2" t="s">
        <v>7220</v>
      </c>
      <c r="I2278" s="2" t="s">
        <v>7221</v>
      </c>
      <c r="J2278" s="2" t="s">
        <v>714</v>
      </c>
      <c r="K2278" s="2" t="s">
        <v>1172</v>
      </c>
      <c r="L2278" s="3">
        <v>28.73</v>
      </c>
      <c r="M2278" s="3">
        <v>30.17</v>
      </c>
      <c r="N2278" s="3">
        <v>59.99</v>
      </c>
      <c r="O2278" s="2" t="s">
        <v>97</v>
      </c>
      <c r="P2278" s="2" t="s">
        <v>119</v>
      </c>
      <c r="Q2278" s="2" t="s">
        <v>99</v>
      </c>
      <c r="R2278" s="2" t="s">
        <v>100</v>
      </c>
      <c r="S2278" s="2" t="s">
        <v>100</v>
      </c>
      <c r="T2278" s="2" t="s">
        <v>5945</v>
      </c>
      <c r="U2278" s="2" t="s">
        <v>100</v>
      </c>
      <c r="V2278" s="2" t="s">
        <v>146</v>
      </c>
      <c r="W2278" s="2" t="s">
        <v>183</v>
      </c>
      <c r="X2278" s="2" t="s">
        <v>219</v>
      </c>
      <c r="Y2278" s="2" t="s">
        <v>2509</v>
      </c>
      <c r="Z2278" s="4">
        <v>844</v>
      </c>
      <c r="AA2278" s="4">
        <f>=ROUNDDOWN(52.75,0)</f>
      </c>
      <c r="AB2278" s="5">
        <v>16</v>
      </c>
      <c r="AC2278" s="2" t="s">
        <v>872</v>
      </c>
      <c r="AD2278" s="4">
        <v>320</v>
      </c>
      <c r="AE2278" s="4">
        <v>500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>
        <v>1</v>
      </c>
      <c r="AQ2278" s="8">
        <v>36.51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0.1389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496</v>
      </c>
      <c r="BK2278" s="8">
        <v>14460.15</v>
      </c>
      <c r="BL2278" s="2" t="s">
        <v>7228</v>
      </c>
      <c r="BM2278" s="7">
        <v>0.002</v>
      </c>
      <c r="BN2278" s="7">
        <v>0.0025</v>
      </c>
      <c r="BO2278" s="4">
        <v>1</v>
      </c>
      <c r="BP2278" s="8">
        <v>36.51</v>
      </c>
      <c r="BQ2278" s="4"/>
      <c r="BR2278" s="8"/>
      <c r="BS2278" s="7"/>
      <c r="BT2278" s="7"/>
      <c r="BU2278" s="2" t="s">
        <v>109</v>
      </c>
      <c r="BV2278" s="2" t="s">
        <v>110</v>
      </c>
      <c r="BW2278" s="2" t="s">
        <v>6958</v>
      </c>
      <c r="BX2278" s="2" t="s">
        <v>7229</v>
      </c>
      <c r="BY2278" s="2" t="s">
        <v>113</v>
      </c>
      <c r="BZ2278" s="2" t="s">
        <v>100</v>
      </c>
    </row>
    <row r="2279">
      <c r="A2279" s="2" t="s">
        <v>7230</v>
      </c>
      <c r="B2279" s="2" t="s">
        <v>5764</v>
      </c>
      <c r="C2279" s="2" t="s">
        <v>2331</v>
      </c>
      <c r="D2279" s="2" t="s">
        <v>4473</v>
      </c>
      <c r="E2279" s="2" t="s">
        <v>5768</v>
      </c>
      <c r="F2279" s="2" t="s">
        <v>7220</v>
      </c>
      <c r="G2279" s="2" t="s">
        <v>7220</v>
      </c>
      <c r="H2279" s="2" t="s">
        <v>7220</v>
      </c>
      <c r="I2279" s="2" t="s">
        <v>7221</v>
      </c>
      <c r="J2279" s="2" t="s">
        <v>247</v>
      </c>
      <c r="K2279" s="2" t="s">
        <v>118</v>
      </c>
      <c r="L2279" s="3">
        <v>23.04</v>
      </c>
      <c r="M2279" s="3">
        <v>24.19</v>
      </c>
      <c r="N2279" s="3">
        <v>49.99</v>
      </c>
      <c r="O2279" s="2" t="s">
        <v>97</v>
      </c>
      <c r="P2279" s="2" t="s">
        <v>119</v>
      </c>
      <c r="Q2279" s="2" t="s">
        <v>99</v>
      </c>
      <c r="R2279" s="2" t="s">
        <v>100</v>
      </c>
      <c r="S2279" s="2" t="s">
        <v>100</v>
      </c>
      <c r="T2279" s="2" t="s">
        <v>5945</v>
      </c>
      <c r="U2279" s="2" t="s">
        <v>100</v>
      </c>
      <c r="V2279" s="2" t="s">
        <v>146</v>
      </c>
      <c r="W2279" s="2" t="s">
        <v>183</v>
      </c>
      <c r="X2279" s="2" t="s">
        <v>219</v>
      </c>
      <c r="Y2279" s="2" t="s">
        <v>2509</v>
      </c>
      <c r="Z2279" s="4">
        <v>722</v>
      </c>
      <c r="AA2279" s="4">
        <f>=ROUNDDOWN(28.88,0)</f>
      </c>
      <c r="AB2279" s="5">
        <v>25</v>
      </c>
      <c r="AC2279" s="2" t="s">
        <v>417</v>
      </c>
      <c r="AD2279" s="4">
        <v>270</v>
      </c>
      <c r="AE2279" s="4">
        <v>900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>
        <v>2</v>
      </c>
      <c r="AQ2279" s="8">
        <v>58.56</v>
      </c>
      <c r="AR2279" s="4"/>
      <c r="AS2279" s="8"/>
      <c r="AT2279" s="7"/>
      <c r="AU2279" s="7"/>
      <c r="AV2279" s="4">
        <v>6</v>
      </c>
      <c r="AW2279" s="8">
        <v>204.6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0.2862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0.2478</v>
      </c>
      <c r="BJ2279" s="4">
        <v>967</v>
      </c>
      <c r="BK2279" s="8">
        <v>22308.34</v>
      </c>
      <c r="BL2279" s="2" t="s">
        <v>7231</v>
      </c>
      <c r="BM2279" s="7">
        <v>0.0021</v>
      </c>
      <c r="BN2279" s="7">
        <v>0.0026</v>
      </c>
      <c r="BO2279" s="4">
        <v>2</v>
      </c>
      <c r="BP2279" s="8">
        <v>58.56</v>
      </c>
      <c r="BQ2279" s="4"/>
      <c r="BR2279" s="8"/>
      <c r="BS2279" s="7"/>
      <c r="BT2279" s="7"/>
      <c r="BU2279" s="2" t="s">
        <v>109</v>
      </c>
      <c r="BV2279" s="2" t="s">
        <v>110</v>
      </c>
      <c r="BW2279" s="2" t="s">
        <v>6801</v>
      </c>
      <c r="BX2279" s="2" t="s">
        <v>5171</v>
      </c>
      <c r="BY2279" s="2" t="s">
        <v>113</v>
      </c>
      <c r="BZ2279" s="2" t="s">
        <v>100</v>
      </c>
    </row>
    <row r="2280">
      <c r="A2280" s="2" t="s">
        <v>7232</v>
      </c>
      <c r="B2280" s="2" t="s">
        <v>5764</v>
      </c>
      <c r="C2280" s="2" t="s">
        <v>2331</v>
      </c>
      <c r="D2280" s="2" t="s">
        <v>4473</v>
      </c>
      <c r="E2280" s="2" t="s">
        <v>5768</v>
      </c>
      <c r="F2280" s="2" t="s">
        <v>7220</v>
      </c>
      <c r="G2280" s="2" t="s">
        <v>7220</v>
      </c>
      <c r="H2280" s="2" t="s">
        <v>7220</v>
      </c>
      <c r="I2280" s="2" t="s">
        <v>7221</v>
      </c>
      <c r="J2280" s="2" t="s">
        <v>714</v>
      </c>
      <c r="K2280" s="2" t="s">
        <v>118</v>
      </c>
      <c r="L2280" s="3">
        <v>28.73</v>
      </c>
      <c r="M2280" s="3">
        <v>30.17</v>
      </c>
      <c r="N2280" s="3">
        <v>59.99</v>
      </c>
      <c r="O2280" s="2" t="s">
        <v>97</v>
      </c>
      <c r="P2280" s="2" t="s">
        <v>119</v>
      </c>
      <c r="Q2280" s="2" t="s">
        <v>99</v>
      </c>
      <c r="R2280" s="2" t="s">
        <v>100</v>
      </c>
      <c r="S2280" s="2" t="s">
        <v>100</v>
      </c>
      <c r="T2280" s="2" t="s">
        <v>5945</v>
      </c>
      <c r="U2280" s="2" t="s">
        <v>100</v>
      </c>
      <c r="V2280" s="2" t="s">
        <v>146</v>
      </c>
      <c r="W2280" s="2" t="s">
        <v>183</v>
      </c>
      <c r="X2280" s="2" t="s">
        <v>219</v>
      </c>
      <c r="Y2280" s="2" t="s">
        <v>2844</v>
      </c>
      <c r="Z2280" s="4">
        <v>427</v>
      </c>
      <c r="AA2280" s="4">
        <f>=ROUNDDOWN(28.4666666666667,0)</f>
      </c>
      <c r="AB2280" s="5">
        <v>15</v>
      </c>
      <c r="AC2280" s="2" t="s">
        <v>417</v>
      </c>
      <c r="AD2280" s="4">
        <v>240</v>
      </c>
      <c r="AE2280" s="4">
        <v>520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>
        <v>4</v>
      </c>
      <c r="AQ2280" s="8">
        <v>146.04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0.7138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566</v>
      </c>
      <c r="BK2280" s="8">
        <v>16464.14</v>
      </c>
      <c r="BL2280" s="2" t="s">
        <v>7233</v>
      </c>
      <c r="BM2280" s="7">
        <v>0.0071</v>
      </c>
      <c r="BN2280" s="7">
        <v>0.0089</v>
      </c>
      <c r="BO2280" s="4">
        <v>4</v>
      </c>
      <c r="BP2280" s="8">
        <v>146.04</v>
      </c>
      <c r="BQ2280" s="4"/>
      <c r="BR2280" s="8"/>
      <c r="BS2280" s="7"/>
      <c r="BT2280" s="7"/>
      <c r="BU2280" s="2" t="s">
        <v>109</v>
      </c>
      <c r="BV2280" s="2" t="s">
        <v>110</v>
      </c>
      <c r="BW2280" s="2" t="s">
        <v>6801</v>
      </c>
      <c r="BX2280" s="2" t="s">
        <v>6958</v>
      </c>
      <c r="BY2280" s="2" t="s">
        <v>113</v>
      </c>
      <c r="BZ2280" s="2" t="s">
        <v>100</v>
      </c>
    </row>
    <row r="2281">
      <c r="A2281" s="2" t="s">
        <v>7234</v>
      </c>
      <c r="B2281" s="2" t="s">
        <v>5764</v>
      </c>
      <c r="C2281" s="2" t="s">
        <v>2331</v>
      </c>
      <c r="D2281" s="2" t="s">
        <v>4473</v>
      </c>
      <c r="E2281" s="2" t="s">
        <v>5768</v>
      </c>
      <c r="F2281" s="2" t="s">
        <v>7220</v>
      </c>
      <c r="G2281" s="2" t="s">
        <v>7220</v>
      </c>
      <c r="H2281" s="2" t="s">
        <v>7220</v>
      </c>
      <c r="I2281" s="2" t="s">
        <v>7221</v>
      </c>
      <c r="J2281" s="2" t="s">
        <v>247</v>
      </c>
      <c r="K2281" s="2" t="s">
        <v>360</v>
      </c>
      <c r="L2281" s="3">
        <v>23.04</v>
      </c>
      <c r="M2281" s="3">
        <v>24.19</v>
      </c>
      <c r="N2281" s="3">
        <v>49.99</v>
      </c>
      <c r="O2281" s="2" t="s">
        <v>97</v>
      </c>
      <c r="P2281" s="2" t="s">
        <v>119</v>
      </c>
      <c r="Q2281" s="2" t="s">
        <v>99</v>
      </c>
      <c r="R2281" s="2" t="s">
        <v>100</v>
      </c>
      <c r="S2281" s="2" t="s">
        <v>7235</v>
      </c>
      <c r="T2281" s="2" t="s">
        <v>5945</v>
      </c>
      <c r="U2281" s="2" t="s">
        <v>1847</v>
      </c>
      <c r="V2281" s="2" t="s">
        <v>146</v>
      </c>
      <c r="W2281" s="2" t="s">
        <v>183</v>
      </c>
      <c r="X2281" s="2" t="s">
        <v>219</v>
      </c>
      <c r="Y2281" s="2" t="s">
        <v>5433</v>
      </c>
      <c r="Z2281" s="4">
        <v>664</v>
      </c>
      <c r="AA2281" s="4">
        <f>=ROUNDDOWN(34.9473684210526,0)</f>
      </c>
      <c r="AB2281" s="5">
        <v>19</v>
      </c>
      <c r="AC2281" s="2" t="s">
        <v>417</v>
      </c>
      <c r="AD2281" s="4">
        <v>330</v>
      </c>
      <c r="AE2281" s="4">
        <v>660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>
        <v>6</v>
      </c>
      <c r="AQ2281" s="8">
        <v>175.68</v>
      </c>
      <c r="AR2281" s="4"/>
      <c r="AS2281" s="8"/>
      <c r="AT2281" s="7"/>
      <c r="AU2281" s="7"/>
      <c r="AV2281" s="4">
        <v>6</v>
      </c>
      <c r="AW2281" s="8">
        <v>175.68</v>
      </c>
      <c r="AX2281" s="4"/>
      <c r="AY2281" s="8"/>
      <c r="AZ2281" s="7"/>
      <c r="BA2281" s="7"/>
      <c r="BB2281" s="7">
        <v>1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0.2128</v>
      </c>
      <c r="BJ2281" s="4">
        <v>573</v>
      </c>
      <c r="BK2281" s="8">
        <v>13702.28</v>
      </c>
      <c r="BL2281" s="2" t="s">
        <v>7236</v>
      </c>
      <c r="BM2281" s="7">
        <v>0.0105</v>
      </c>
      <c r="BN2281" s="7">
        <v>0.0128</v>
      </c>
      <c r="BO2281" s="4">
        <v>6</v>
      </c>
      <c r="BP2281" s="8">
        <v>175.68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6958</v>
      </c>
      <c r="BX2281" s="2" t="s">
        <v>7237</v>
      </c>
      <c r="BY2281" s="2" t="s">
        <v>113</v>
      </c>
      <c r="BZ2281" s="2" t="s">
        <v>100</v>
      </c>
    </row>
    <row r="2282">
      <c r="A2282" s="2" t="s">
        <v>7238</v>
      </c>
      <c r="B2282" s="2" t="s">
        <v>5764</v>
      </c>
      <c r="C2282" s="2" t="s">
        <v>2331</v>
      </c>
      <c r="D2282" s="2" t="s">
        <v>4473</v>
      </c>
      <c r="E2282" s="2" t="s">
        <v>5768</v>
      </c>
      <c r="F2282" s="2" t="s">
        <v>7220</v>
      </c>
      <c r="G2282" s="2" t="s">
        <v>7220</v>
      </c>
      <c r="H2282" s="2" t="s">
        <v>7220</v>
      </c>
      <c r="I2282" s="2" t="s">
        <v>7221</v>
      </c>
      <c r="J2282" s="2" t="s">
        <v>1936</v>
      </c>
      <c r="K2282" s="2" t="s">
        <v>198</v>
      </c>
      <c r="L2282" s="3">
        <v>17.19</v>
      </c>
      <c r="M2282" s="3">
        <v>18.05</v>
      </c>
      <c r="N2282" s="3">
        <v>37.99</v>
      </c>
      <c r="O2282" s="2" t="s">
        <v>97</v>
      </c>
      <c r="P2282" s="2" t="s">
        <v>119</v>
      </c>
      <c r="Q2282" s="2" t="s">
        <v>99</v>
      </c>
      <c r="R2282" s="2" t="s">
        <v>100</v>
      </c>
      <c r="S2282" s="2" t="s">
        <v>100</v>
      </c>
      <c r="T2282" s="2" t="s">
        <v>5945</v>
      </c>
      <c r="U2282" s="2" t="s">
        <v>100</v>
      </c>
      <c r="V2282" s="2" t="s">
        <v>146</v>
      </c>
      <c r="W2282" s="2" t="s">
        <v>183</v>
      </c>
      <c r="X2282" s="2" t="s">
        <v>219</v>
      </c>
      <c r="Y2282" s="2" t="s">
        <v>2509</v>
      </c>
      <c r="Z2282" s="4">
        <v>486</v>
      </c>
      <c r="AA2282" s="4">
        <f>=ROUNDDOWN(30.375,0)</f>
      </c>
      <c r="AB2282" s="5">
        <v>16</v>
      </c>
      <c r="AC2282" s="2" t="s">
        <v>872</v>
      </c>
      <c r="AD2282" s="4">
        <v>80</v>
      </c>
      <c r="AE2282" s="4">
        <v>230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>
        <v>3</v>
      </c>
      <c r="AQ2282" s="8">
        <v>65.52</v>
      </c>
      <c r="AR2282" s="4"/>
      <c r="AS2282" s="8"/>
      <c r="AT2282" s="7"/>
      <c r="AU2282" s="7"/>
      <c r="AV2282" s="4">
        <v>5</v>
      </c>
      <c r="AW2282" s="8">
        <v>131.31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0.499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0.1591</v>
      </c>
      <c r="BJ2282" s="4">
        <v>428</v>
      </c>
      <c r="BK2282" s="8">
        <v>7793.92</v>
      </c>
      <c r="BL2282" s="2" t="s">
        <v>7239</v>
      </c>
      <c r="BM2282" s="7">
        <v>0.007</v>
      </c>
      <c r="BN2282" s="7">
        <v>0.0084</v>
      </c>
      <c r="BO2282" s="4">
        <v>3</v>
      </c>
      <c r="BP2282" s="8">
        <v>65.52</v>
      </c>
      <c r="BQ2282" s="4"/>
      <c r="BR2282" s="8"/>
      <c r="BS2282" s="7"/>
      <c r="BT2282" s="7"/>
      <c r="BU2282" s="2" t="s">
        <v>109</v>
      </c>
      <c r="BV2282" s="2" t="s">
        <v>110</v>
      </c>
      <c r="BW2282" s="2" t="s">
        <v>6958</v>
      </c>
      <c r="BX2282" s="2" t="s">
        <v>7240</v>
      </c>
      <c r="BY2282" s="2" t="s">
        <v>113</v>
      </c>
      <c r="BZ2282" s="2" t="s">
        <v>100</v>
      </c>
    </row>
    <row r="2283">
      <c r="A2283" s="2" t="s">
        <v>7241</v>
      </c>
      <c r="B2283" s="2" t="s">
        <v>5764</v>
      </c>
      <c r="C2283" s="2" t="s">
        <v>2331</v>
      </c>
      <c r="D2283" s="2" t="s">
        <v>4473</v>
      </c>
      <c r="E2283" s="2" t="s">
        <v>5768</v>
      </c>
      <c r="F2283" s="2" t="s">
        <v>7220</v>
      </c>
      <c r="G2283" s="2" t="s">
        <v>7220</v>
      </c>
      <c r="H2283" s="2" t="s">
        <v>7220</v>
      </c>
      <c r="I2283" s="2" t="s">
        <v>7221</v>
      </c>
      <c r="J2283" s="2" t="s">
        <v>247</v>
      </c>
      <c r="K2283" s="2" t="s">
        <v>198</v>
      </c>
      <c r="L2283" s="3">
        <v>23.04</v>
      </c>
      <c r="M2283" s="3">
        <v>24.19</v>
      </c>
      <c r="N2283" s="3">
        <v>49.99</v>
      </c>
      <c r="O2283" s="2" t="s">
        <v>97</v>
      </c>
      <c r="P2283" s="2" t="s">
        <v>119</v>
      </c>
      <c r="Q2283" s="2" t="s">
        <v>99</v>
      </c>
      <c r="R2283" s="2" t="s">
        <v>100</v>
      </c>
      <c r="S2283" s="2" t="s">
        <v>100</v>
      </c>
      <c r="T2283" s="2" t="s">
        <v>5945</v>
      </c>
      <c r="U2283" s="2" t="s">
        <v>100</v>
      </c>
      <c r="V2283" s="2" t="s">
        <v>146</v>
      </c>
      <c r="W2283" s="2" t="s">
        <v>183</v>
      </c>
      <c r="X2283" s="2" t="s">
        <v>219</v>
      </c>
      <c r="Y2283" s="2" t="s">
        <v>2509</v>
      </c>
      <c r="Z2283" s="4">
        <v>1143</v>
      </c>
      <c r="AA2283" s="4">
        <f>=ROUNDDOWN(47.625,0)</f>
      </c>
      <c r="AB2283" s="5">
        <v>24</v>
      </c>
      <c r="AC2283" s="2" t="s">
        <v>872</v>
      </c>
      <c r="AD2283" s="4">
        <v>180</v>
      </c>
      <c r="AE2283" s="4">
        <v>290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>
        <v>1</v>
      </c>
      <c r="AQ2283" s="8">
        <v>29.28</v>
      </c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0.223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 t="s">
        <v>100</v>
      </c>
      <c r="BJ2283" s="4">
        <v>921</v>
      </c>
      <c r="BK2283" s="8">
        <v>21147.44</v>
      </c>
      <c r="BL2283" s="2" t="s">
        <v>7242</v>
      </c>
      <c r="BM2283" s="7">
        <v>0.0011</v>
      </c>
      <c r="BN2283" s="7">
        <v>0.0014</v>
      </c>
      <c r="BO2283" s="4">
        <v>1</v>
      </c>
      <c r="BP2283" s="8">
        <v>29.28</v>
      </c>
      <c r="BQ2283" s="4"/>
      <c r="BR2283" s="8"/>
      <c r="BS2283" s="7"/>
      <c r="BT2283" s="7"/>
      <c r="BU2283" s="2" t="s">
        <v>109</v>
      </c>
      <c r="BV2283" s="2" t="s">
        <v>110</v>
      </c>
      <c r="BW2283" s="2" t="s">
        <v>6801</v>
      </c>
      <c r="BX2283" s="2" t="s">
        <v>7243</v>
      </c>
      <c r="BY2283" s="2" t="s">
        <v>113</v>
      </c>
      <c r="BZ2283" s="2" t="s">
        <v>100</v>
      </c>
    </row>
    <row r="2284">
      <c r="A2284" s="2" t="s">
        <v>7244</v>
      </c>
      <c r="B2284" s="2" t="s">
        <v>5764</v>
      </c>
      <c r="C2284" s="2" t="s">
        <v>2331</v>
      </c>
      <c r="D2284" s="2" t="s">
        <v>4473</v>
      </c>
      <c r="E2284" s="2" t="s">
        <v>5768</v>
      </c>
      <c r="F2284" s="2" t="s">
        <v>7220</v>
      </c>
      <c r="G2284" s="2" t="s">
        <v>7220</v>
      </c>
      <c r="H2284" s="2" t="s">
        <v>7220</v>
      </c>
      <c r="I2284" s="2" t="s">
        <v>7221</v>
      </c>
      <c r="J2284" s="2" t="s">
        <v>714</v>
      </c>
      <c r="K2284" s="2" t="s">
        <v>198</v>
      </c>
      <c r="L2284" s="3">
        <v>28.73</v>
      </c>
      <c r="M2284" s="3">
        <v>30.17</v>
      </c>
      <c r="N2284" s="3">
        <v>59.99</v>
      </c>
      <c r="O2284" s="2" t="s">
        <v>97</v>
      </c>
      <c r="P2284" s="2" t="s">
        <v>119</v>
      </c>
      <c r="Q2284" s="2" t="s">
        <v>99</v>
      </c>
      <c r="R2284" s="2" t="s">
        <v>100</v>
      </c>
      <c r="S2284" s="2" t="s">
        <v>100</v>
      </c>
      <c r="T2284" s="2" t="s">
        <v>5945</v>
      </c>
      <c r="U2284" s="2" t="s">
        <v>100</v>
      </c>
      <c r="V2284" s="2" t="s">
        <v>146</v>
      </c>
      <c r="W2284" s="2" t="s">
        <v>183</v>
      </c>
      <c r="X2284" s="2" t="s">
        <v>219</v>
      </c>
      <c r="Y2284" s="2" t="s">
        <v>2509</v>
      </c>
      <c r="Z2284" s="4">
        <v>1002</v>
      </c>
      <c r="AA2284" s="4">
        <f>=ROUNDDOWN(58.9411764705882,0)</f>
      </c>
      <c r="AB2284" s="5">
        <v>17</v>
      </c>
      <c r="AC2284" s="2" t="s">
        <v>872</v>
      </c>
      <c r="AD2284" s="4">
        <v>50</v>
      </c>
      <c r="AE2284" s="4">
        <v>240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>
        <v>1</v>
      </c>
      <c r="AQ2284" s="8">
        <v>36.51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0.278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639</v>
      </c>
      <c r="BK2284" s="8">
        <v>18303.07</v>
      </c>
      <c r="BL2284" s="2" t="s">
        <v>7245</v>
      </c>
      <c r="BM2284" s="7">
        <v>0.0016</v>
      </c>
      <c r="BN2284" s="7">
        <v>0.002</v>
      </c>
      <c r="BO2284" s="4">
        <v>1</v>
      </c>
      <c r="BP2284" s="8">
        <v>36.51</v>
      </c>
      <c r="BQ2284" s="4"/>
      <c r="BR2284" s="8"/>
      <c r="BS2284" s="7"/>
      <c r="BT2284" s="7"/>
      <c r="BU2284" s="2" t="s">
        <v>109</v>
      </c>
      <c r="BV2284" s="2" t="s">
        <v>110</v>
      </c>
      <c r="BW2284" s="2" t="s">
        <v>6801</v>
      </c>
      <c r="BX2284" s="2" t="s">
        <v>6820</v>
      </c>
      <c r="BY2284" s="2" t="s">
        <v>113</v>
      </c>
      <c r="BZ2284" s="2" t="s">
        <v>100</v>
      </c>
    </row>
    <row r="2285">
      <c r="A2285" s="2" t="s">
        <v>7246</v>
      </c>
      <c r="B2285" s="2" t="s">
        <v>5764</v>
      </c>
      <c r="C2285" s="2" t="s">
        <v>2331</v>
      </c>
      <c r="D2285" s="2" t="s">
        <v>4473</v>
      </c>
      <c r="E2285" s="2" t="s">
        <v>5768</v>
      </c>
      <c r="F2285" s="2" t="s">
        <v>7220</v>
      </c>
      <c r="G2285" s="2" t="s">
        <v>7220</v>
      </c>
      <c r="H2285" s="2" t="s">
        <v>7220</v>
      </c>
      <c r="I2285" s="2" t="s">
        <v>7221</v>
      </c>
      <c r="J2285" s="2" t="s">
        <v>1936</v>
      </c>
      <c r="K2285" s="2" t="s">
        <v>1614</v>
      </c>
      <c r="L2285" s="3">
        <v>17.19</v>
      </c>
      <c r="M2285" s="3">
        <v>18.05</v>
      </c>
      <c r="N2285" s="3">
        <v>37.99</v>
      </c>
      <c r="O2285" s="2" t="s">
        <v>97</v>
      </c>
      <c r="P2285" s="2" t="s">
        <v>119</v>
      </c>
      <c r="Q2285" s="2" t="s">
        <v>99</v>
      </c>
      <c r="R2285" s="2" t="s">
        <v>100</v>
      </c>
      <c r="S2285" s="2" t="s">
        <v>100</v>
      </c>
      <c r="T2285" s="2" t="s">
        <v>5945</v>
      </c>
      <c r="U2285" s="2" t="s">
        <v>100</v>
      </c>
      <c r="V2285" s="2" t="s">
        <v>146</v>
      </c>
      <c r="W2285" s="2" t="s">
        <v>183</v>
      </c>
      <c r="X2285" s="2" t="s">
        <v>219</v>
      </c>
      <c r="Y2285" s="2" t="s">
        <v>2509</v>
      </c>
      <c r="Z2285" s="4">
        <v>489</v>
      </c>
      <c r="AA2285" s="4">
        <f>=ROUNDDOWN(30.5625,0)</f>
      </c>
      <c r="AB2285" s="5">
        <v>16</v>
      </c>
      <c r="AC2285" s="2" t="s">
        <v>417</v>
      </c>
      <c r="AD2285" s="4">
        <v>230</v>
      </c>
      <c r="AE2285" s="4">
        <v>480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>
        <v>1</v>
      </c>
      <c r="AQ2285" s="8">
        <v>21.84</v>
      </c>
      <c r="AR2285" s="4"/>
      <c r="AS2285" s="8"/>
      <c r="AT2285" s="7"/>
      <c r="AU2285" s="7"/>
      <c r="AV2285" s="4">
        <v>2</v>
      </c>
      <c r="AW2285" s="8">
        <v>51.12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0.4272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0.0619</v>
      </c>
      <c r="BJ2285" s="4">
        <v>461</v>
      </c>
      <c r="BK2285" s="8">
        <v>8413.46</v>
      </c>
      <c r="BL2285" s="2" t="s">
        <v>7247</v>
      </c>
      <c r="BM2285" s="7">
        <v>0.0022</v>
      </c>
      <c r="BN2285" s="7">
        <v>0.0026</v>
      </c>
      <c r="BO2285" s="4">
        <v>1</v>
      </c>
      <c r="BP2285" s="8">
        <v>21.84</v>
      </c>
      <c r="BQ2285" s="4"/>
      <c r="BR2285" s="8"/>
      <c r="BS2285" s="7"/>
      <c r="BT2285" s="7"/>
      <c r="BU2285" s="2" t="s">
        <v>109</v>
      </c>
      <c r="BV2285" s="2" t="s">
        <v>110</v>
      </c>
      <c r="BW2285" s="2" t="s">
        <v>7248</v>
      </c>
      <c r="BX2285" s="2" t="s">
        <v>7249</v>
      </c>
      <c r="BY2285" s="2" t="s">
        <v>113</v>
      </c>
      <c r="BZ2285" s="2" t="s">
        <v>100</v>
      </c>
    </row>
    <row r="2286">
      <c r="A2286" s="2" t="s">
        <v>7250</v>
      </c>
      <c r="B2286" s="2" t="s">
        <v>5764</v>
      </c>
      <c r="C2286" s="2" t="s">
        <v>2331</v>
      </c>
      <c r="D2286" s="2" t="s">
        <v>4473</v>
      </c>
      <c r="E2286" s="2" t="s">
        <v>5768</v>
      </c>
      <c r="F2286" s="2" t="s">
        <v>7220</v>
      </c>
      <c r="G2286" s="2" t="s">
        <v>7220</v>
      </c>
      <c r="H2286" s="2" t="s">
        <v>7220</v>
      </c>
      <c r="I2286" s="2" t="s">
        <v>7221</v>
      </c>
      <c r="J2286" s="2" t="s">
        <v>247</v>
      </c>
      <c r="K2286" s="2" t="s">
        <v>1614</v>
      </c>
      <c r="L2286" s="3">
        <v>23.04</v>
      </c>
      <c r="M2286" s="3">
        <v>24.19</v>
      </c>
      <c r="N2286" s="3">
        <v>49.99</v>
      </c>
      <c r="O2286" s="2" t="s">
        <v>97</v>
      </c>
      <c r="P2286" s="2" t="s">
        <v>119</v>
      </c>
      <c r="Q2286" s="2" t="s">
        <v>99</v>
      </c>
      <c r="R2286" s="2" t="s">
        <v>100</v>
      </c>
      <c r="S2286" s="2" t="s">
        <v>100</v>
      </c>
      <c r="T2286" s="2" t="s">
        <v>5945</v>
      </c>
      <c r="U2286" s="2" t="s">
        <v>100</v>
      </c>
      <c r="V2286" s="2" t="s">
        <v>146</v>
      </c>
      <c r="W2286" s="2" t="s">
        <v>183</v>
      </c>
      <c r="X2286" s="2" t="s">
        <v>219</v>
      </c>
      <c r="Y2286" s="2" t="s">
        <v>2509</v>
      </c>
      <c r="Z2286" s="4">
        <v>968</v>
      </c>
      <c r="AA2286" s="4">
        <f>=ROUNDDOWN(37.2307692307692,0)</f>
      </c>
      <c r="AB2286" s="5">
        <v>26</v>
      </c>
      <c r="AC2286" s="2" t="s">
        <v>417</v>
      </c>
      <c r="AD2286" s="4">
        <v>350</v>
      </c>
      <c r="AE2286" s="4">
        <v>910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>
        <v>1</v>
      </c>
      <c r="AQ2286" s="8">
        <v>29.28</v>
      </c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0.5728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 t="s">
        <v>100</v>
      </c>
      <c r="BJ2286" s="4">
        <v>995</v>
      </c>
      <c r="BK2286" s="8">
        <v>23151.6</v>
      </c>
      <c r="BL2286" s="2" t="s">
        <v>7251</v>
      </c>
      <c r="BM2286" s="7">
        <v>0.001</v>
      </c>
      <c r="BN2286" s="7">
        <v>0.0013</v>
      </c>
      <c r="BO2286" s="4">
        <v>1</v>
      </c>
      <c r="BP2286" s="8">
        <v>29.28</v>
      </c>
      <c r="BQ2286" s="4"/>
      <c r="BR2286" s="8"/>
      <c r="BS2286" s="7"/>
      <c r="BT2286" s="7"/>
      <c r="BU2286" s="2" t="s">
        <v>109</v>
      </c>
      <c r="BV2286" s="2" t="s">
        <v>110</v>
      </c>
      <c r="BW2286" s="2" t="s">
        <v>7252</v>
      </c>
      <c r="BX2286" s="2" t="s">
        <v>6958</v>
      </c>
      <c r="BY2286" s="2" t="s">
        <v>113</v>
      </c>
      <c r="BZ2286" s="2" t="s">
        <v>100</v>
      </c>
    </row>
    <row r="2287">
      <c r="A2287" s="2" t="s">
        <v>7253</v>
      </c>
      <c r="B2287" s="2" t="s">
        <v>5764</v>
      </c>
      <c r="C2287" s="2" t="s">
        <v>2331</v>
      </c>
      <c r="D2287" s="2" t="s">
        <v>4473</v>
      </c>
      <c r="E2287" s="2" t="s">
        <v>5768</v>
      </c>
      <c r="F2287" s="2" t="s">
        <v>7220</v>
      </c>
      <c r="G2287" s="2" t="s">
        <v>7220</v>
      </c>
      <c r="H2287" s="2" t="s">
        <v>7220</v>
      </c>
      <c r="I2287" s="2" t="s">
        <v>7221</v>
      </c>
      <c r="J2287" s="2" t="s">
        <v>1936</v>
      </c>
      <c r="K2287" s="2" t="s">
        <v>335</v>
      </c>
      <c r="L2287" s="3">
        <v>17.19</v>
      </c>
      <c r="M2287" s="3">
        <v>18.05</v>
      </c>
      <c r="N2287" s="3">
        <v>37.99</v>
      </c>
      <c r="O2287" s="2" t="s">
        <v>97</v>
      </c>
      <c r="P2287" s="2" t="s">
        <v>119</v>
      </c>
      <c r="Q2287" s="2" t="s">
        <v>99</v>
      </c>
      <c r="R2287" s="2" t="s">
        <v>100</v>
      </c>
      <c r="S2287" s="2" t="s">
        <v>7254</v>
      </c>
      <c r="T2287" s="2" t="s">
        <v>5945</v>
      </c>
      <c r="U2287" s="2" t="s">
        <v>1847</v>
      </c>
      <c r="V2287" s="2" t="s">
        <v>146</v>
      </c>
      <c r="W2287" s="2" t="s">
        <v>183</v>
      </c>
      <c r="X2287" s="2" t="s">
        <v>219</v>
      </c>
      <c r="Y2287" s="2" t="s">
        <v>7255</v>
      </c>
      <c r="Z2287" s="4">
        <v>327</v>
      </c>
      <c r="AA2287" s="4">
        <f>=ROUNDDOWN(65.4,0)</f>
      </c>
      <c r="AB2287" s="5">
        <v>5</v>
      </c>
      <c r="AC2287" s="2" t="s">
        <v>100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136</v>
      </c>
      <c r="BK2287" s="8">
        <v>2559.74</v>
      </c>
      <c r="BL2287" s="2" t="s">
        <v>229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207</v>
      </c>
      <c r="BV2287" s="2" t="s">
        <v>97</v>
      </c>
      <c r="BW2287" s="2" t="s">
        <v>100</v>
      </c>
      <c r="BX2287" s="2" t="s">
        <v>100</v>
      </c>
      <c r="BY2287" s="2" t="s">
        <v>113</v>
      </c>
      <c r="BZ2287" s="2" t="s">
        <v>100</v>
      </c>
    </row>
    <row r="2288">
      <c r="A2288" s="2" t="s">
        <v>7256</v>
      </c>
      <c r="B2288" s="2" t="s">
        <v>5764</v>
      </c>
      <c r="C2288" s="2" t="s">
        <v>2331</v>
      </c>
      <c r="D2288" s="2" t="s">
        <v>4473</v>
      </c>
      <c r="E2288" s="2" t="s">
        <v>5768</v>
      </c>
      <c r="F2288" s="2" t="s">
        <v>7220</v>
      </c>
      <c r="G2288" s="2" t="s">
        <v>7220</v>
      </c>
      <c r="H2288" s="2" t="s">
        <v>7220</v>
      </c>
      <c r="I2288" s="2" t="s">
        <v>7221</v>
      </c>
      <c r="J2288" s="2" t="s">
        <v>247</v>
      </c>
      <c r="K2288" s="2" t="s">
        <v>335</v>
      </c>
      <c r="L2288" s="3">
        <v>23.04</v>
      </c>
      <c r="M2288" s="3">
        <v>24.19</v>
      </c>
      <c r="N2288" s="3">
        <v>49.99</v>
      </c>
      <c r="O2288" s="2" t="s">
        <v>97</v>
      </c>
      <c r="P2288" s="2" t="s">
        <v>119</v>
      </c>
      <c r="Q2288" s="2" t="s">
        <v>99</v>
      </c>
      <c r="R2288" s="2" t="s">
        <v>100</v>
      </c>
      <c r="S2288" s="2" t="s">
        <v>7254</v>
      </c>
      <c r="T2288" s="2" t="s">
        <v>5945</v>
      </c>
      <c r="U2288" s="2" t="s">
        <v>1847</v>
      </c>
      <c r="V2288" s="2" t="s">
        <v>146</v>
      </c>
      <c r="W2288" s="2" t="s">
        <v>183</v>
      </c>
      <c r="X2288" s="2" t="s">
        <v>219</v>
      </c>
      <c r="Y2288" s="2" t="s">
        <v>7255</v>
      </c>
      <c r="Z2288" s="4">
        <v>723</v>
      </c>
      <c r="AA2288" s="4">
        <f>=ROUNDDOWN(120.5,0)</f>
      </c>
      <c r="AB2288" s="5">
        <v>6</v>
      </c>
      <c r="AC2288" s="2" t="s">
        <v>100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228</v>
      </c>
      <c r="BK2288" s="8">
        <v>5405.2</v>
      </c>
      <c r="BL2288" s="2" t="s">
        <v>7257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207</v>
      </c>
      <c r="BV2288" s="2" t="s">
        <v>97</v>
      </c>
      <c r="BW2288" s="2" t="s">
        <v>100</v>
      </c>
      <c r="BX2288" s="2" t="s">
        <v>100</v>
      </c>
      <c r="BY2288" s="2" t="s">
        <v>113</v>
      </c>
      <c r="BZ2288" s="2" t="s">
        <v>100</v>
      </c>
    </row>
    <row r="2289">
      <c r="A2289" s="2" t="s">
        <v>7258</v>
      </c>
      <c r="B2289" s="2" t="s">
        <v>5764</v>
      </c>
      <c r="C2289" s="2" t="s">
        <v>2331</v>
      </c>
      <c r="D2289" s="2" t="s">
        <v>4473</v>
      </c>
      <c r="E2289" s="2" t="s">
        <v>5768</v>
      </c>
      <c r="F2289" s="2" t="s">
        <v>7220</v>
      </c>
      <c r="G2289" s="2" t="s">
        <v>7220</v>
      </c>
      <c r="H2289" s="2" t="s">
        <v>7220</v>
      </c>
      <c r="I2289" s="2" t="s">
        <v>7221</v>
      </c>
      <c r="J2289" s="2" t="s">
        <v>714</v>
      </c>
      <c r="K2289" s="2" t="s">
        <v>335</v>
      </c>
      <c r="L2289" s="3">
        <v>28.73</v>
      </c>
      <c r="M2289" s="3">
        <v>30.17</v>
      </c>
      <c r="N2289" s="3">
        <v>59.99</v>
      </c>
      <c r="O2289" s="2" t="s">
        <v>97</v>
      </c>
      <c r="P2289" s="2" t="s">
        <v>119</v>
      </c>
      <c r="Q2289" s="2" t="s">
        <v>99</v>
      </c>
      <c r="R2289" s="2" t="s">
        <v>100</v>
      </c>
      <c r="S2289" s="2" t="s">
        <v>7254</v>
      </c>
      <c r="T2289" s="2" t="s">
        <v>5945</v>
      </c>
      <c r="U2289" s="2" t="s">
        <v>1847</v>
      </c>
      <c r="V2289" s="2" t="s">
        <v>146</v>
      </c>
      <c r="W2289" s="2" t="s">
        <v>183</v>
      </c>
      <c r="X2289" s="2" t="s">
        <v>219</v>
      </c>
      <c r="Y2289" s="2" t="s">
        <v>7255</v>
      </c>
      <c r="Z2289" s="4">
        <v>569</v>
      </c>
      <c r="AA2289" s="4">
        <f>=ROUNDDOWN(94.8333333333333,0)</f>
      </c>
      <c r="AB2289" s="5">
        <v>6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186</v>
      </c>
      <c r="BK2289" s="8">
        <v>5513.91</v>
      </c>
      <c r="BL2289" s="2" t="s">
        <v>7259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207</v>
      </c>
      <c r="BV2289" s="2" t="s">
        <v>97</v>
      </c>
      <c r="BW2289" s="2" t="s">
        <v>100</v>
      </c>
      <c r="BX2289" s="2" t="s">
        <v>100</v>
      </c>
      <c r="BY2289" s="2" t="s">
        <v>113</v>
      </c>
      <c r="BZ2289" s="2" t="s">
        <v>100</v>
      </c>
    </row>
    <row r="2290">
      <c r="A2290" s="2" t="s">
        <v>7260</v>
      </c>
      <c r="B2290" s="2" t="s">
        <v>5764</v>
      </c>
      <c r="C2290" s="2" t="s">
        <v>2331</v>
      </c>
      <c r="D2290" s="2" t="s">
        <v>4473</v>
      </c>
      <c r="E2290" s="2" t="s">
        <v>5768</v>
      </c>
      <c r="F2290" s="2" t="s">
        <v>7220</v>
      </c>
      <c r="G2290" s="2" t="s">
        <v>7220</v>
      </c>
      <c r="H2290" s="2" t="s">
        <v>7220</v>
      </c>
      <c r="I2290" s="2" t="s">
        <v>7221</v>
      </c>
      <c r="J2290" s="2" t="s">
        <v>1936</v>
      </c>
      <c r="K2290" s="2" t="s">
        <v>913</v>
      </c>
      <c r="L2290" s="3">
        <v>17.19</v>
      </c>
      <c r="M2290" s="3">
        <v>18.05</v>
      </c>
      <c r="N2290" s="3">
        <v>37.99</v>
      </c>
      <c r="O2290" s="2" t="s">
        <v>97</v>
      </c>
      <c r="P2290" s="2" t="s">
        <v>119</v>
      </c>
      <c r="Q2290" s="2" t="s">
        <v>99</v>
      </c>
      <c r="R2290" s="2" t="s">
        <v>100</v>
      </c>
      <c r="S2290" s="2" t="s">
        <v>7261</v>
      </c>
      <c r="T2290" s="2" t="s">
        <v>5945</v>
      </c>
      <c r="U2290" s="2" t="s">
        <v>1847</v>
      </c>
      <c r="V2290" s="2" t="s">
        <v>146</v>
      </c>
      <c r="W2290" s="2" t="s">
        <v>183</v>
      </c>
      <c r="X2290" s="2" t="s">
        <v>219</v>
      </c>
      <c r="Y2290" s="2" t="s">
        <v>7255</v>
      </c>
      <c r="Z2290" s="4">
        <v>248</v>
      </c>
      <c r="AA2290" s="4">
        <f>=ROUNDDOWN(37.5757575757576,0)</f>
      </c>
      <c r="AB2290" s="5">
        <v>6.6</v>
      </c>
      <c r="AC2290" s="2" t="s">
        <v>1035</v>
      </c>
      <c r="AD2290" s="4">
        <v>150</v>
      </c>
      <c r="AE2290" s="4">
        <v>200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207</v>
      </c>
      <c r="BK2290" s="8">
        <v>3783.86</v>
      </c>
      <c r="BL2290" s="2" t="s">
        <v>6145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207</v>
      </c>
      <c r="BV2290" s="2" t="s">
        <v>97</v>
      </c>
      <c r="BW2290" s="2" t="s">
        <v>100</v>
      </c>
      <c r="BX2290" s="2" t="s">
        <v>100</v>
      </c>
      <c r="BY2290" s="2" t="s">
        <v>113</v>
      </c>
      <c r="BZ2290" s="2" t="s">
        <v>100</v>
      </c>
    </row>
    <row r="2291">
      <c r="A2291" s="2" t="s">
        <v>7262</v>
      </c>
      <c r="B2291" s="2" t="s">
        <v>5764</v>
      </c>
      <c r="C2291" s="2" t="s">
        <v>2331</v>
      </c>
      <c r="D2291" s="2" t="s">
        <v>4473</v>
      </c>
      <c r="E2291" s="2" t="s">
        <v>5768</v>
      </c>
      <c r="F2291" s="2" t="s">
        <v>7220</v>
      </c>
      <c r="G2291" s="2" t="s">
        <v>7220</v>
      </c>
      <c r="H2291" s="2" t="s">
        <v>7220</v>
      </c>
      <c r="I2291" s="2" t="s">
        <v>7221</v>
      </c>
      <c r="J2291" s="2" t="s">
        <v>247</v>
      </c>
      <c r="K2291" s="2" t="s">
        <v>913</v>
      </c>
      <c r="L2291" s="3">
        <v>23.04</v>
      </c>
      <c r="M2291" s="3">
        <v>24.19</v>
      </c>
      <c r="N2291" s="3">
        <v>49.99</v>
      </c>
      <c r="O2291" s="2" t="s">
        <v>97</v>
      </c>
      <c r="P2291" s="2" t="s">
        <v>119</v>
      </c>
      <c r="Q2291" s="2" t="s">
        <v>99</v>
      </c>
      <c r="R2291" s="2" t="s">
        <v>100</v>
      </c>
      <c r="S2291" s="2" t="s">
        <v>7261</v>
      </c>
      <c r="T2291" s="2" t="s">
        <v>5945</v>
      </c>
      <c r="U2291" s="2" t="s">
        <v>1847</v>
      </c>
      <c r="V2291" s="2" t="s">
        <v>146</v>
      </c>
      <c r="W2291" s="2" t="s">
        <v>183</v>
      </c>
      <c r="X2291" s="2" t="s">
        <v>219</v>
      </c>
      <c r="Y2291" s="2" t="s">
        <v>7255</v>
      </c>
      <c r="Z2291" s="4">
        <v>493</v>
      </c>
      <c r="AA2291" s="4">
        <f>=ROUNDDOWN(51.8947368421053,0)</f>
      </c>
      <c r="AB2291" s="5">
        <v>9.5</v>
      </c>
      <c r="AC2291" s="2" t="s">
        <v>1035</v>
      </c>
      <c r="AD2291" s="4">
        <v>150</v>
      </c>
      <c r="AE2291" s="4">
        <v>350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415</v>
      </c>
      <c r="BK2291" s="8">
        <v>9823.22</v>
      </c>
      <c r="BL2291" s="2" t="s">
        <v>7263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207</v>
      </c>
      <c r="BV2291" s="2" t="s">
        <v>97</v>
      </c>
      <c r="BW2291" s="2" t="s">
        <v>100</v>
      </c>
      <c r="BX2291" s="2" t="s">
        <v>100</v>
      </c>
      <c r="BY2291" s="2" t="s">
        <v>113</v>
      </c>
      <c r="BZ2291" s="2" t="s">
        <v>100</v>
      </c>
    </row>
    <row r="2292">
      <c r="A2292" s="2" t="s">
        <v>7264</v>
      </c>
      <c r="B2292" s="2" t="s">
        <v>5764</v>
      </c>
      <c r="C2292" s="2" t="s">
        <v>2331</v>
      </c>
      <c r="D2292" s="2" t="s">
        <v>4473</v>
      </c>
      <c r="E2292" s="2" t="s">
        <v>5768</v>
      </c>
      <c r="F2292" s="2" t="s">
        <v>7220</v>
      </c>
      <c r="G2292" s="2" t="s">
        <v>7220</v>
      </c>
      <c r="H2292" s="2" t="s">
        <v>7220</v>
      </c>
      <c r="I2292" s="2" t="s">
        <v>7221</v>
      </c>
      <c r="J2292" s="2" t="s">
        <v>714</v>
      </c>
      <c r="K2292" s="2" t="s">
        <v>913</v>
      </c>
      <c r="L2292" s="3">
        <v>28.73</v>
      </c>
      <c r="M2292" s="3">
        <v>30.17</v>
      </c>
      <c r="N2292" s="3">
        <v>59.99</v>
      </c>
      <c r="O2292" s="2" t="s">
        <v>97</v>
      </c>
      <c r="P2292" s="2" t="s">
        <v>119</v>
      </c>
      <c r="Q2292" s="2" t="s">
        <v>99</v>
      </c>
      <c r="R2292" s="2" t="s">
        <v>100</v>
      </c>
      <c r="S2292" s="2" t="s">
        <v>7261</v>
      </c>
      <c r="T2292" s="2" t="s">
        <v>5945</v>
      </c>
      <c r="U2292" s="2" t="s">
        <v>1847</v>
      </c>
      <c r="V2292" s="2" t="s">
        <v>146</v>
      </c>
      <c r="W2292" s="2" t="s">
        <v>183</v>
      </c>
      <c r="X2292" s="2" t="s">
        <v>219</v>
      </c>
      <c r="Y2292" s="2" t="s">
        <v>7255</v>
      </c>
      <c r="Z2292" s="4">
        <v>483</v>
      </c>
      <c r="AA2292" s="4">
        <f>=ROUNDDOWN(59.6296296296296,0)</f>
      </c>
      <c r="AB2292" s="5">
        <v>8.1</v>
      </c>
      <c r="AC2292" s="2" t="s">
        <v>1012</v>
      </c>
      <c r="AD2292" s="4">
        <v>200</v>
      </c>
      <c r="AE2292" s="4">
        <v>200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330</v>
      </c>
      <c r="BK2292" s="8">
        <v>9582.61</v>
      </c>
      <c r="BL2292" s="2" t="s">
        <v>7265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207</v>
      </c>
      <c r="BV2292" s="2" t="s">
        <v>97</v>
      </c>
      <c r="BW2292" s="2" t="s">
        <v>100</v>
      </c>
      <c r="BX2292" s="2" t="s">
        <v>100</v>
      </c>
      <c r="BY2292" s="2" t="s">
        <v>113</v>
      </c>
      <c r="BZ2292" s="2" t="s">
        <v>100</v>
      </c>
    </row>
    <row r="2293">
      <c r="A2293" s="2" t="s">
        <v>7266</v>
      </c>
      <c r="B2293" s="2" t="s">
        <v>5764</v>
      </c>
      <c r="C2293" s="2" t="s">
        <v>2331</v>
      </c>
      <c r="D2293" s="2" t="s">
        <v>4473</v>
      </c>
      <c r="E2293" s="2" t="s">
        <v>5768</v>
      </c>
      <c r="F2293" s="2" t="s">
        <v>7220</v>
      </c>
      <c r="G2293" s="2" t="s">
        <v>7220</v>
      </c>
      <c r="H2293" s="2" t="s">
        <v>7220</v>
      </c>
      <c r="I2293" s="2" t="s">
        <v>7221</v>
      </c>
      <c r="J2293" s="2" t="s">
        <v>1936</v>
      </c>
      <c r="K2293" s="2" t="s">
        <v>278</v>
      </c>
      <c r="L2293" s="3">
        <v>17.19</v>
      </c>
      <c r="M2293" s="3">
        <v>18.05</v>
      </c>
      <c r="N2293" s="3">
        <v>37.99</v>
      </c>
      <c r="O2293" s="2" t="s">
        <v>97</v>
      </c>
      <c r="P2293" s="2" t="s">
        <v>119</v>
      </c>
      <c r="Q2293" s="2" t="s">
        <v>99</v>
      </c>
      <c r="R2293" s="2" t="s">
        <v>100</v>
      </c>
      <c r="S2293" s="2" t="s">
        <v>7267</v>
      </c>
      <c r="T2293" s="2" t="s">
        <v>5945</v>
      </c>
      <c r="U2293" s="2" t="s">
        <v>1847</v>
      </c>
      <c r="V2293" s="2" t="s">
        <v>146</v>
      </c>
      <c r="W2293" s="2" t="s">
        <v>183</v>
      </c>
      <c r="X2293" s="2" t="s">
        <v>219</v>
      </c>
      <c r="Y2293" s="2" t="s">
        <v>7255</v>
      </c>
      <c r="Z2293" s="4">
        <v>371</v>
      </c>
      <c r="AA2293" s="4">
        <f>=ROUNDDOWN(39.8924731182796,0)</f>
      </c>
      <c r="AB2293" s="5">
        <v>9.3</v>
      </c>
      <c r="AC2293" s="2" t="s">
        <v>417</v>
      </c>
      <c r="AD2293" s="4">
        <v>73</v>
      </c>
      <c r="AE2293" s="4">
        <v>370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296</v>
      </c>
      <c r="BK2293" s="8">
        <v>5471.91</v>
      </c>
      <c r="BL2293" s="2" t="s">
        <v>7268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207</v>
      </c>
      <c r="BV2293" s="2" t="s">
        <v>97</v>
      </c>
      <c r="BW2293" s="2" t="s">
        <v>100</v>
      </c>
      <c r="BX2293" s="2" t="s">
        <v>100</v>
      </c>
      <c r="BY2293" s="2" t="s">
        <v>113</v>
      </c>
      <c r="BZ2293" s="2" t="s">
        <v>100</v>
      </c>
    </row>
    <row r="2294">
      <c r="A2294" s="2" t="s">
        <v>7269</v>
      </c>
      <c r="B2294" s="2" t="s">
        <v>5764</v>
      </c>
      <c r="C2294" s="2" t="s">
        <v>2331</v>
      </c>
      <c r="D2294" s="2" t="s">
        <v>4473</v>
      </c>
      <c r="E2294" s="2" t="s">
        <v>5768</v>
      </c>
      <c r="F2294" s="2" t="s">
        <v>7220</v>
      </c>
      <c r="G2294" s="2" t="s">
        <v>7220</v>
      </c>
      <c r="H2294" s="2" t="s">
        <v>7220</v>
      </c>
      <c r="I2294" s="2" t="s">
        <v>7221</v>
      </c>
      <c r="J2294" s="2" t="s">
        <v>247</v>
      </c>
      <c r="K2294" s="2" t="s">
        <v>278</v>
      </c>
      <c r="L2294" s="3">
        <v>23.04</v>
      </c>
      <c r="M2294" s="3">
        <v>24.19</v>
      </c>
      <c r="N2294" s="3">
        <v>49.99</v>
      </c>
      <c r="O2294" s="2" t="s">
        <v>97</v>
      </c>
      <c r="P2294" s="2" t="s">
        <v>119</v>
      </c>
      <c r="Q2294" s="2" t="s">
        <v>99</v>
      </c>
      <c r="R2294" s="2" t="s">
        <v>100</v>
      </c>
      <c r="S2294" s="2" t="s">
        <v>7267</v>
      </c>
      <c r="T2294" s="2" t="s">
        <v>5945</v>
      </c>
      <c r="U2294" s="2" t="s">
        <v>1847</v>
      </c>
      <c r="V2294" s="2" t="s">
        <v>146</v>
      </c>
      <c r="W2294" s="2" t="s">
        <v>183</v>
      </c>
      <c r="X2294" s="2" t="s">
        <v>219</v>
      </c>
      <c r="Y2294" s="2" t="s">
        <v>7255</v>
      </c>
      <c r="Z2294" s="4">
        <v>633</v>
      </c>
      <c r="AA2294" s="4">
        <f>=ROUNDDOWN(48.6923076923077,0)</f>
      </c>
      <c r="AB2294" s="5">
        <v>13</v>
      </c>
      <c r="AC2294" s="2" t="s">
        <v>417</v>
      </c>
      <c r="AD2294" s="4">
        <v>211</v>
      </c>
      <c r="AE2294" s="4">
        <v>500</v>
      </c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462</v>
      </c>
      <c r="BK2294" s="8">
        <v>11083.77</v>
      </c>
      <c r="BL2294" s="2" t="s">
        <v>267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207</v>
      </c>
      <c r="BV2294" s="2" t="s">
        <v>97</v>
      </c>
      <c r="BW2294" s="2" t="s">
        <v>100</v>
      </c>
      <c r="BX2294" s="2" t="s">
        <v>100</v>
      </c>
      <c r="BY2294" s="2" t="s">
        <v>113</v>
      </c>
      <c r="BZ2294" s="2" t="s">
        <v>100</v>
      </c>
    </row>
    <row r="2295">
      <c r="A2295" s="2" t="s">
        <v>7270</v>
      </c>
      <c r="B2295" s="2" t="s">
        <v>5764</v>
      </c>
      <c r="C2295" s="2" t="s">
        <v>2331</v>
      </c>
      <c r="D2295" s="2" t="s">
        <v>4473</v>
      </c>
      <c r="E2295" s="2" t="s">
        <v>5768</v>
      </c>
      <c r="F2295" s="2" t="s">
        <v>7220</v>
      </c>
      <c r="G2295" s="2" t="s">
        <v>7220</v>
      </c>
      <c r="H2295" s="2" t="s">
        <v>7220</v>
      </c>
      <c r="I2295" s="2" t="s">
        <v>7221</v>
      </c>
      <c r="J2295" s="2" t="s">
        <v>714</v>
      </c>
      <c r="K2295" s="2" t="s">
        <v>278</v>
      </c>
      <c r="L2295" s="3">
        <v>28.73</v>
      </c>
      <c r="M2295" s="3">
        <v>30.17</v>
      </c>
      <c r="N2295" s="3">
        <v>59.99</v>
      </c>
      <c r="O2295" s="2" t="s">
        <v>97</v>
      </c>
      <c r="P2295" s="2" t="s">
        <v>119</v>
      </c>
      <c r="Q2295" s="2" t="s">
        <v>99</v>
      </c>
      <c r="R2295" s="2" t="s">
        <v>100</v>
      </c>
      <c r="S2295" s="2" t="s">
        <v>7267</v>
      </c>
      <c r="T2295" s="2" t="s">
        <v>5945</v>
      </c>
      <c r="U2295" s="2" t="s">
        <v>1847</v>
      </c>
      <c r="V2295" s="2" t="s">
        <v>146</v>
      </c>
      <c r="W2295" s="2" t="s">
        <v>183</v>
      </c>
      <c r="X2295" s="2" t="s">
        <v>219</v>
      </c>
      <c r="Y2295" s="2" t="s">
        <v>7255</v>
      </c>
      <c r="Z2295" s="4">
        <v>507</v>
      </c>
      <c r="AA2295" s="4">
        <f>=ROUNDDOWN(46.0909090909091,0)</f>
      </c>
      <c r="AB2295" s="5">
        <v>11</v>
      </c>
      <c r="AC2295" s="2" t="s">
        <v>417</v>
      </c>
      <c r="AD2295" s="4">
        <v>60</v>
      </c>
      <c r="AE2295" s="4">
        <v>320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354</v>
      </c>
      <c r="BK2295" s="8">
        <v>10598.21</v>
      </c>
      <c r="BL2295" s="2" t="s">
        <v>3300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207</v>
      </c>
      <c r="BV2295" s="2" t="s">
        <v>97</v>
      </c>
      <c r="BW2295" s="2" t="s">
        <v>100</v>
      </c>
      <c r="BX2295" s="2" t="s">
        <v>100</v>
      </c>
      <c r="BY2295" s="2" t="s">
        <v>113</v>
      </c>
      <c r="BZ2295" s="2" t="s">
        <v>100</v>
      </c>
    </row>
    <row r="2296">
      <c r="A2296" s="2" t="s">
        <v>7271</v>
      </c>
      <c r="B2296" s="2" t="s">
        <v>5764</v>
      </c>
      <c r="C2296" s="2" t="s">
        <v>2331</v>
      </c>
      <c r="D2296" s="2" t="s">
        <v>803</v>
      </c>
      <c r="E2296" s="2" t="s">
        <v>1532</v>
      </c>
      <c r="F2296" s="2" t="s">
        <v>7272</v>
      </c>
      <c r="G2296" s="2" t="s">
        <v>7272</v>
      </c>
      <c r="H2296" s="2" t="s">
        <v>7272</v>
      </c>
      <c r="I2296" s="2" t="s">
        <v>7273</v>
      </c>
      <c r="J2296" s="2" t="s">
        <v>1936</v>
      </c>
      <c r="K2296" s="2" t="s">
        <v>360</v>
      </c>
      <c r="L2296" s="3">
        <v>25.3</v>
      </c>
      <c r="M2296" s="3">
        <v>26.56</v>
      </c>
      <c r="N2296" s="3">
        <v>54.99</v>
      </c>
      <c r="O2296" s="2" t="s">
        <v>97</v>
      </c>
      <c r="P2296" s="2" t="s">
        <v>119</v>
      </c>
      <c r="Q2296" s="2" t="s">
        <v>99</v>
      </c>
      <c r="R2296" s="2" t="s">
        <v>100</v>
      </c>
      <c r="S2296" s="2" t="s">
        <v>7274</v>
      </c>
      <c r="T2296" s="2" t="s">
        <v>1431</v>
      </c>
      <c r="U2296" s="2" t="s">
        <v>514</v>
      </c>
      <c r="V2296" s="2" t="s">
        <v>201</v>
      </c>
      <c r="W2296" s="2" t="s">
        <v>202</v>
      </c>
      <c r="X2296" s="2" t="s">
        <v>100</v>
      </c>
      <c r="Y2296" s="2" t="s">
        <v>7275</v>
      </c>
      <c r="Z2296" s="4">
        <v>240</v>
      </c>
      <c r="AA2296" s="4">
        <f>=ROUNDDOWN(21.8181818181818,0)</f>
      </c>
      <c r="AB2296" s="5">
        <v>11</v>
      </c>
      <c r="AC2296" s="2" t="s">
        <v>872</v>
      </c>
      <c r="AD2296" s="4">
        <v>70</v>
      </c>
      <c r="AE2296" s="4">
        <v>70</v>
      </c>
      <c r="AF2296" s="6">
        <v>65</v>
      </c>
      <c r="AG2296" s="6"/>
      <c r="AH2296" s="7">
        <v>0.6631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>
        <v>2</v>
      </c>
      <c r="AQ2296" s="8">
        <v>61.1</v>
      </c>
      <c r="AR2296" s="4"/>
      <c r="AS2296" s="8"/>
      <c r="AT2296" s="7"/>
      <c r="AU2296" s="7"/>
      <c r="AV2296" s="4">
        <v>5</v>
      </c>
      <c r="AW2296" s="8">
        <v>186.08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0.3284</v>
      </c>
      <c r="BC2296" s="4">
        <v>5</v>
      </c>
      <c r="BD2296" s="8">
        <v>186.08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1</v>
      </c>
      <c r="BJ2296" s="4">
        <v>151</v>
      </c>
      <c r="BK2296" s="8">
        <v>4107.01</v>
      </c>
      <c r="BL2296" s="2" t="s">
        <v>5871</v>
      </c>
      <c r="BM2296" s="7">
        <v>0.0132</v>
      </c>
      <c r="BN2296" s="7">
        <v>0.0149</v>
      </c>
      <c r="BO2296" s="4">
        <v>2</v>
      </c>
      <c r="BP2296" s="8">
        <v>61.1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7196</v>
      </c>
      <c r="BX2296" s="2" t="s">
        <v>7276</v>
      </c>
      <c r="BY2296" s="2" t="s">
        <v>113</v>
      </c>
      <c r="BZ2296" s="2" t="s">
        <v>100</v>
      </c>
    </row>
    <row r="2297">
      <c r="A2297" s="2" t="s">
        <v>7277</v>
      </c>
      <c r="B2297" s="2" t="s">
        <v>5764</v>
      </c>
      <c r="C2297" s="2" t="s">
        <v>2331</v>
      </c>
      <c r="D2297" s="2" t="s">
        <v>803</v>
      </c>
      <c r="E2297" s="2" t="s">
        <v>1532</v>
      </c>
      <c r="F2297" s="2" t="s">
        <v>7272</v>
      </c>
      <c r="G2297" s="2" t="s">
        <v>7272</v>
      </c>
      <c r="H2297" s="2" t="s">
        <v>7272</v>
      </c>
      <c r="I2297" s="2" t="s">
        <v>7273</v>
      </c>
      <c r="J2297" s="2" t="s">
        <v>247</v>
      </c>
      <c r="K2297" s="2" t="s">
        <v>360</v>
      </c>
      <c r="L2297" s="3">
        <v>34.5</v>
      </c>
      <c r="M2297" s="3">
        <v>36.22</v>
      </c>
      <c r="N2297" s="3">
        <v>74.99</v>
      </c>
      <c r="O2297" s="2" t="s">
        <v>97</v>
      </c>
      <c r="P2297" s="2" t="s">
        <v>119</v>
      </c>
      <c r="Q2297" s="2" t="s">
        <v>99</v>
      </c>
      <c r="R2297" s="2" t="s">
        <v>100</v>
      </c>
      <c r="S2297" s="2" t="s">
        <v>7274</v>
      </c>
      <c r="T2297" s="2" t="s">
        <v>1431</v>
      </c>
      <c r="U2297" s="2" t="s">
        <v>480</v>
      </c>
      <c r="V2297" s="2" t="s">
        <v>201</v>
      </c>
      <c r="W2297" s="2" t="s">
        <v>202</v>
      </c>
      <c r="X2297" s="2" t="s">
        <v>100</v>
      </c>
      <c r="Y2297" s="2" t="s">
        <v>7275</v>
      </c>
      <c r="Z2297" s="4">
        <v>542</v>
      </c>
      <c r="AA2297" s="4">
        <f>=ROUNDDOWN(30.1111111111111,0)</f>
      </c>
      <c r="AB2297" s="5">
        <v>18</v>
      </c>
      <c r="AC2297" s="2" t="s">
        <v>872</v>
      </c>
      <c r="AD2297" s="4">
        <v>140</v>
      </c>
      <c r="AE2297" s="4">
        <v>140</v>
      </c>
      <c r="AF2297" s="6">
        <v>65</v>
      </c>
      <c r="AG2297" s="6"/>
      <c r="AH2297" s="7">
        <v>0.6631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>
        <v>3</v>
      </c>
      <c r="AQ2297" s="8">
        <v>124.98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0.6716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282</v>
      </c>
      <c r="BK2297" s="8">
        <v>10763.9</v>
      </c>
      <c r="BL2297" s="2" t="s">
        <v>5871</v>
      </c>
      <c r="BM2297" s="7">
        <v>0.0106</v>
      </c>
      <c r="BN2297" s="7">
        <v>0.0116</v>
      </c>
      <c r="BO2297" s="4">
        <v>3</v>
      </c>
      <c r="BP2297" s="8">
        <v>124.98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7196</v>
      </c>
      <c r="BX2297" s="2" t="s">
        <v>7278</v>
      </c>
      <c r="BY2297" s="2" t="s">
        <v>113</v>
      </c>
      <c r="BZ2297" s="2" t="s">
        <v>100</v>
      </c>
    </row>
    <row r="2298">
      <c r="A2298" s="2" t="s">
        <v>7279</v>
      </c>
      <c r="B2298" s="2" t="s">
        <v>5764</v>
      </c>
      <c r="C2298" s="2" t="s">
        <v>2331</v>
      </c>
      <c r="D2298" s="2" t="s">
        <v>803</v>
      </c>
      <c r="E2298" s="2" t="s">
        <v>1532</v>
      </c>
      <c r="F2298" s="2" t="s">
        <v>7272</v>
      </c>
      <c r="G2298" s="2" t="s">
        <v>7272</v>
      </c>
      <c r="H2298" s="2" t="s">
        <v>7272</v>
      </c>
      <c r="I2298" s="2" t="s">
        <v>7273</v>
      </c>
      <c r="J2298" s="2" t="s">
        <v>714</v>
      </c>
      <c r="K2298" s="2" t="s">
        <v>360</v>
      </c>
      <c r="L2298" s="3">
        <v>40.5</v>
      </c>
      <c r="M2298" s="3">
        <v>42.52</v>
      </c>
      <c r="N2298" s="3">
        <v>89.99</v>
      </c>
      <c r="O2298" s="2" t="s">
        <v>97</v>
      </c>
      <c r="P2298" s="2" t="s">
        <v>119</v>
      </c>
      <c r="Q2298" s="2" t="s">
        <v>99</v>
      </c>
      <c r="R2298" s="2" t="s">
        <v>100</v>
      </c>
      <c r="S2298" s="2" t="s">
        <v>7280</v>
      </c>
      <c r="T2298" s="2" t="s">
        <v>1431</v>
      </c>
      <c r="U2298" s="2" t="s">
        <v>480</v>
      </c>
      <c r="V2298" s="2" t="s">
        <v>201</v>
      </c>
      <c r="W2298" s="2" t="s">
        <v>202</v>
      </c>
      <c r="X2298" s="2" t="s">
        <v>100</v>
      </c>
      <c r="Y2298" s="2" t="s">
        <v>7275</v>
      </c>
      <c r="Z2298" s="4">
        <v>263</v>
      </c>
      <c r="AA2298" s="4">
        <f>=ROUNDDOWN(26.3,0)</f>
      </c>
      <c r="AB2298" s="5">
        <v>10</v>
      </c>
      <c r="AC2298" s="2" t="s">
        <v>872</v>
      </c>
      <c r="AD2298" s="4">
        <v>60</v>
      </c>
      <c r="AE2298" s="4">
        <v>60</v>
      </c>
      <c r="AF2298" s="6">
        <v>65</v>
      </c>
      <c r="AG2298" s="6"/>
      <c r="AH2298" s="7">
        <v>0.6631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109</v>
      </c>
      <c r="BK2298" s="8">
        <v>4787.79</v>
      </c>
      <c r="BL2298" s="2" t="s">
        <v>2073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2338</v>
      </c>
      <c r="BX2298" s="2" t="s">
        <v>7133</v>
      </c>
      <c r="BY2298" s="2" t="s">
        <v>113</v>
      </c>
      <c r="BZ2298" s="2" t="s">
        <v>100</v>
      </c>
    </row>
    <row r="2299">
      <c r="A2299" s="2" t="s">
        <v>7281</v>
      </c>
      <c r="B2299" s="2" t="s">
        <v>5764</v>
      </c>
      <c r="C2299" s="2" t="s">
        <v>2331</v>
      </c>
      <c r="D2299" s="2" t="s">
        <v>803</v>
      </c>
      <c r="E2299" s="2" t="s">
        <v>1532</v>
      </c>
      <c r="F2299" s="2" t="s">
        <v>7282</v>
      </c>
      <c r="G2299" s="2" t="s">
        <v>7282</v>
      </c>
      <c r="H2299" s="2" t="s">
        <v>7282</v>
      </c>
      <c r="I2299" s="2" t="s">
        <v>7283</v>
      </c>
      <c r="J2299" s="2" t="s">
        <v>1936</v>
      </c>
      <c r="K2299" s="2" t="s">
        <v>130</v>
      </c>
      <c r="L2299" s="3">
        <v>25.3</v>
      </c>
      <c r="M2299" s="3">
        <v>26.56</v>
      </c>
      <c r="N2299" s="3">
        <v>54.99</v>
      </c>
      <c r="O2299" s="2" t="s">
        <v>97</v>
      </c>
      <c r="P2299" s="2" t="s">
        <v>950</v>
      </c>
      <c r="Q2299" s="2" t="s">
        <v>99</v>
      </c>
      <c r="R2299" s="2" t="s">
        <v>100</v>
      </c>
      <c r="S2299" s="2" t="s">
        <v>7284</v>
      </c>
      <c r="T2299" s="2" t="s">
        <v>1431</v>
      </c>
      <c r="U2299" s="2" t="s">
        <v>100</v>
      </c>
      <c r="V2299" s="2" t="s">
        <v>2353</v>
      </c>
      <c r="W2299" s="2" t="s">
        <v>202</v>
      </c>
      <c r="X2299" s="2" t="s">
        <v>203</v>
      </c>
      <c r="Y2299" s="2" t="s">
        <v>240</v>
      </c>
      <c r="Z2299" s="4">
        <v>387</v>
      </c>
      <c r="AA2299" s="4">
        <f>=ROUNDDOWN(22.7647058823529,0)</f>
      </c>
      <c r="AB2299" s="5">
        <v>17</v>
      </c>
      <c r="AC2299" s="2" t="s">
        <v>205</v>
      </c>
      <c r="AD2299" s="4">
        <v>270</v>
      </c>
      <c r="AE2299" s="4">
        <v>410</v>
      </c>
      <c r="AF2299" s="6">
        <v>65</v>
      </c>
      <c r="AG2299" s="6"/>
      <c r="AH2299" s="7">
        <v>0.8396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>
        <v>1</v>
      </c>
      <c r="AQ2299" s="8">
        <v>30.55</v>
      </c>
      <c r="AR2299" s="4"/>
      <c r="AS2299" s="8"/>
      <c r="AT2299" s="7"/>
      <c r="AU2299" s="7"/>
      <c r="AV2299" s="4">
        <v>3</v>
      </c>
      <c r="AW2299" s="8">
        <v>120.45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0.2536</v>
      </c>
      <c r="BC2299" s="4">
        <v>3</v>
      </c>
      <c r="BD2299" s="8">
        <v>120.45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>
        <v>1</v>
      </c>
      <c r="BJ2299" s="4">
        <v>388</v>
      </c>
      <c r="BK2299" s="8">
        <v>10939.04</v>
      </c>
      <c r="BL2299" s="2" t="s">
        <v>1986</v>
      </c>
      <c r="BM2299" s="7">
        <v>0.0026</v>
      </c>
      <c r="BN2299" s="7">
        <v>0.0028</v>
      </c>
      <c r="BO2299" s="4">
        <v>1</v>
      </c>
      <c r="BP2299" s="8">
        <v>30.55</v>
      </c>
      <c r="BQ2299" s="4"/>
      <c r="BR2299" s="8"/>
      <c r="BS2299" s="7"/>
      <c r="BT2299" s="7"/>
      <c r="BU2299" s="2" t="s">
        <v>109</v>
      </c>
      <c r="BV2299" s="2" t="s">
        <v>110</v>
      </c>
      <c r="BW2299" s="2" t="s">
        <v>2338</v>
      </c>
      <c r="BX2299" s="2" t="s">
        <v>5171</v>
      </c>
      <c r="BY2299" s="2" t="s">
        <v>113</v>
      </c>
      <c r="BZ2299" s="2" t="s">
        <v>100</v>
      </c>
    </row>
    <row r="2300">
      <c r="A2300" s="2" t="s">
        <v>7285</v>
      </c>
      <c r="B2300" s="2" t="s">
        <v>5764</v>
      </c>
      <c r="C2300" s="2" t="s">
        <v>2331</v>
      </c>
      <c r="D2300" s="2" t="s">
        <v>803</v>
      </c>
      <c r="E2300" s="2" t="s">
        <v>1532</v>
      </c>
      <c r="F2300" s="2" t="s">
        <v>7282</v>
      </c>
      <c r="G2300" s="2" t="s">
        <v>7282</v>
      </c>
      <c r="H2300" s="2" t="s">
        <v>7282</v>
      </c>
      <c r="I2300" s="2" t="s">
        <v>7283</v>
      </c>
      <c r="J2300" s="2" t="s">
        <v>247</v>
      </c>
      <c r="K2300" s="2" t="s">
        <v>130</v>
      </c>
      <c r="L2300" s="3">
        <v>34.5</v>
      </c>
      <c r="M2300" s="3">
        <v>36.22</v>
      </c>
      <c r="N2300" s="3">
        <v>74.99</v>
      </c>
      <c r="O2300" s="2" t="s">
        <v>97</v>
      </c>
      <c r="P2300" s="2" t="s">
        <v>950</v>
      </c>
      <c r="Q2300" s="2" t="s">
        <v>99</v>
      </c>
      <c r="R2300" s="2" t="s">
        <v>100</v>
      </c>
      <c r="S2300" s="2" t="s">
        <v>7284</v>
      </c>
      <c r="T2300" s="2" t="s">
        <v>1431</v>
      </c>
      <c r="U2300" s="2" t="s">
        <v>100</v>
      </c>
      <c r="V2300" s="2" t="s">
        <v>2353</v>
      </c>
      <c r="W2300" s="2" t="s">
        <v>202</v>
      </c>
      <c r="X2300" s="2" t="s">
        <v>203</v>
      </c>
      <c r="Y2300" s="2" t="s">
        <v>240</v>
      </c>
      <c r="Z2300" s="4">
        <v>876</v>
      </c>
      <c r="AA2300" s="4">
        <f>=ROUNDDOWN(39.8181818181818,0)</f>
      </c>
      <c r="AB2300" s="5">
        <v>22</v>
      </c>
      <c r="AC2300" s="2" t="s">
        <v>205</v>
      </c>
      <c r="AD2300" s="4">
        <v>180</v>
      </c>
      <c r="AE2300" s="4">
        <v>390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>
        <v>1</v>
      </c>
      <c r="AQ2300" s="8">
        <v>41.66</v>
      </c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0.3459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 t="s">
        <v>100</v>
      </c>
      <c r="BJ2300" s="4">
        <v>444</v>
      </c>
      <c r="BK2300" s="8">
        <v>16722.99</v>
      </c>
      <c r="BL2300" s="2" t="s">
        <v>7286</v>
      </c>
      <c r="BM2300" s="7">
        <v>0.0023</v>
      </c>
      <c r="BN2300" s="7">
        <v>0.0025</v>
      </c>
      <c r="BO2300" s="4">
        <v>1</v>
      </c>
      <c r="BP2300" s="8">
        <v>41.66</v>
      </c>
      <c r="BQ2300" s="4"/>
      <c r="BR2300" s="8"/>
      <c r="BS2300" s="7"/>
      <c r="BT2300" s="7"/>
      <c r="BU2300" s="2" t="s">
        <v>109</v>
      </c>
      <c r="BV2300" s="2" t="s">
        <v>110</v>
      </c>
      <c r="BW2300" s="2" t="s">
        <v>2338</v>
      </c>
      <c r="BX2300" s="2" t="s">
        <v>7287</v>
      </c>
      <c r="BY2300" s="2" t="s">
        <v>113</v>
      </c>
      <c r="BZ2300" s="2" t="s">
        <v>100</v>
      </c>
    </row>
    <row r="2301">
      <c r="A2301" s="2" t="s">
        <v>7288</v>
      </c>
      <c r="B2301" s="2" t="s">
        <v>5764</v>
      </c>
      <c r="C2301" s="2" t="s">
        <v>2331</v>
      </c>
      <c r="D2301" s="2" t="s">
        <v>803</v>
      </c>
      <c r="E2301" s="2" t="s">
        <v>1532</v>
      </c>
      <c r="F2301" s="2" t="s">
        <v>7282</v>
      </c>
      <c r="G2301" s="2" t="s">
        <v>7282</v>
      </c>
      <c r="H2301" s="2" t="s">
        <v>7282</v>
      </c>
      <c r="I2301" s="2" t="s">
        <v>7283</v>
      </c>
      <c r="J2301" s="2" t="s">
        <v>714</v>
      </c>
      <c r="K2301" s="2" t="s">
        <v>130</v>
      </c>
      <c r="L2301" s="3">
        <v>39.95</v>
      </c>
      <c r="M2301" s="3">
        <v>41.95</v>
      </c>
      <c r="N2301" s="3">
        <v>84.99</v>
      </c>
      <c r="O2301" s="2" t="s">
        <v>97</v>
      </c>
      <c r="P2301" s="2" t="s">
        <v>950</v>
      </c>
      <c r="Q2301" s="2" t="s">
        <v>99</v>
      </c>
      <c r="R2301" s="2" t="s">
        <v>100</v>
      </c>
      <c r="S2301" s="2" t="s">
        <v>7284</v>
      </c>
      <c r="T2301" s="2" t="s">
        <v>1431</v>
      </c>
      <c r="U2301" s="2" t="s">
        <v>100</v>
      </c>
      <c r="V2301" s="2" t="s">
        <v>2353</v>
      </c>
      <c r="W2301" s="2" t="s">
        <v>202</v>
      </c>
      <c r="X2301" s="2" t="s">
        <v>203</v>
      </c>
      <c r="Y2301" s="2" t="s">
        <v>240</v>
      </c>
      <c r="Z2301" s="4">
        <v>538</v>
      </c>
      <c r="AA2301" s="4">
        <f>=ROUNDDOWN(31.6470588235294,0)</f>
      </c>
      <c r="AB2301" s="5">
        <v>17</v>
      </c>
      <c r="AC2301" s="2" t="s">
        <v>100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>
        <v>1</v>
      </c>
      <c r="AQ2301" s="8">
        <v>48.24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0.4005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267</v>
      </c>
      <c r="BK2301" s="8">
        <v>11887.57</v>
      </c>
      <c r="BL2301" s="2" t="s">
        <v>7289</v>
      </c>
      <c r="BM2301" s="7">
        <v>0.0037</v>
      </c>
      <c r="BN2301" s="7">
        <v>0.0041</v>
      </c>
      <c r="BO2301" s="4">
        <v>1</v>
      </c>
      <c r="BP2301" s="8">
        <v>48.24</v>
      </c>
      <c r="BQ2301" s="4"/>
      <c r="BR2301" s="8"/>
      <c r="BS2301" s="7"/>
      <c r="BT2301" s="7"/>
      <c r="BU2301" s="2" t="s">
        <v>109</v>
      </c>
      <c r="BV2301" s="2" t="s">
        <v>110</v>
      </c>
      <c r="BW2301" s="2" t="s">
        <v>2338</v>
      </c>
      <c r="BX2301" s="2" t="s">
        <v>6647</v>
      </c>
      <c r="BY2301" s="2" t="s">
        <v>113</v>
      </c>
      <c r="BZ2301" s="2" t="s">
        <v>100</v>
      </c>
    </row>
    <row r="2302">
      <c r="A2302" s="2" t="s">
        <v>7290</v>
      </c>
      <c r="B2302" s="2" t="s">
        <v>5764</v>
      </c>
      <c r="C2302" s="2" t="s">
        <v>2331</v>
      </c>
      <c r="D2302" s="2" t="s">
        <v>803</v>
      </c>
      <c r="E2302" s="2" t="s">
        <v>1532</v>
      </c>
      <c r="F2302" s="2" t="s">
        <v>7291</v>
      </c>
      <c r="G2302" s="2" t="s">
        <v>100</v>
      </c>
      <c r="H2302" s="2" t="s">
        <v>100</v>
      </c>
      <c r="I2302" s="2" t="s">
        <v>7292</v>
      </c>
      <c r="J2302" s="2" t="s">
        <v>1936</v>
      </c>
      <c r="K2302" s="2" t="s">
        <v>198</v>
      </c>
      <c r="L2302" s="3">
        <v>25.3</v>
      </c>
      <c r="M2302" s="3">
        <v>26.56</v>
      </c>
      <c r="N2302" s="3">
        <v>54.99</v>
      </c>
      <c r="O2302" s="2" t="s">
        <v>97</v>
      </c>
      <c r="P2302" s="2" t="s">
        <v>119</v>
      </c>
      <c r="Q2302" s="2" t="s">
        <v>99</v>
      </c>
      <c r="R2302" s="2" t="s">
        <v>100</v>
      </c>
      <c r="S2302" s="2" t="s">
        <v>7293</v>
      </c>
      <c r="T2302" s="2" t="s">
        <v>1431</v>
      </c>
      <c r="U2302" s="2" t="s">
        <v>100</v>
      </c>
      <c r="V2302" s="2" t="s">
        <v>201</v>
      </c>
      <c r="W2302" s="2" t="s">
        <v>202</v>
      </c>
      <c r="X2302" s="2" t="s">
        <v>203</v>
      </c>
      <c r="Y2302" s="2" t="s">
        <v>240</v>
      </c>
      <c r="Z2302" s="4">
        <v>238</v>
      </c>
      <c r="AA2302" s="4">
        <f>=ROUNDDOWN(26.4444444444444,0)</f>
      </c>
      <c r="AB2302" s="5">
        <v>9</v>
      </c>
      <c r="AC2302" s="2" t="s">
        <v>872</v>
      </c>
      <c r="AD2302" s="4">
        <v>50</v>
      </c>
      <c r="AE2302" s="4">
        <v>190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>
        <v>2</v>
      </c>
      <c r="AW2302" s="8">
        <v>88.87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>
        <v>2</v>
      </c>
      <c r="BD2302" s="8">
        <v>88.87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1</v>
      </c>
      <c r="BJ2302" s="4">
        <v>103</v>
      </c>
      <c r="BK2302" s="8">
        <v>3038.82</v>
      </c>
      <c r="BL2302" s="2" t="s">
        <v>7294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5872</v>
      </c>
      <c r="BX2302" s="2" t="s">
        <v>5661</v>
      </c>
      <c r="BY2302" s="2" t="s">
        <v>113</v>
      </c>
      <c r="BZ2302" s="2" t="s">
        <v>100</v>
      </c>
    </row>
    <row r="2303">
      <c r="A2303" s="2" t="s">
        <v>7295</v>
      </c>
      <c r="B2303" s="2" t="s">
        <v>5764</v>
      </c>
      <c r="C2303" s="2" t="s">
        <v>2331</v>
      </c>
      <c r="D2303" s="2" t="s">
        <v>803</v>
      </c>
      <c r="E2303" s="2" t="s">
        <v>1532</v>
      </c>
      <c r="F2303" s="2" t="s">
        <v>7291</v>
      </c>
      <c r="G2303" s="2" t="s">
        <v>100</v>
      </c>
      <c r="H2303" s="2" t="s">
        <v>100</v>
      </c>
      <c r="I2303" s="2" t="s">
        <v>7292</v>
      </c>
      <c r="J2303" s="2" t="s">
        <v>247</v>
      </c>
      <c r="K2303" s="2" t="s">
        <v>198</v>
      </c>
      <c r="L2303" s="3">
        <v>34.5</v>
      </c>
      <c r="M2303" s="3">
        <v>36.22</v>
      </c>
      <c r="N2303" s="3">
        <v>74.99</v>
      </c>
      <c r="O2303" s="2" t="s">
        <v>97</v>
      </c>
      <c r="P2303" s="2" t="s">
        <v>119</v>
      </c>
      <c r="Q2303" s="2" t="s">
        <v>99</v>
      </c>
      <c r="R2303" s="2" t="s">
        <v>100</v>
      </c>
      <c r="S2303" s="2" t="s">
        <v>7293</v>
      </c>
      <c r="T2303" s="2" t="s">
        <v>1431</v>
      </c>
      <c r="U2303" s="2" t="s">
        <v>100</v>
      </c>
      <c r="V2303" s="2" t="s">
        <v>201</v>
      </c>
      <c r="W2303" s="2" t="s">
        <v>202</v>
      </c>
      <c r="X2303" s="2" t="s">
        <v>203</v>
      </c>
      <c r="Y2303" s="2" t="s">
        <v>240</v>
      </c>
      <c r="Z2303" s="4">
        <v>455</v>
      </c>
      <c r="AA2303" s="4">
        <f>=ROUNDDOWN(20.6818181818182,0)</f>
      </c>
      <c r="AB2303" s="5">
        <v>22</v>
      </c>
      <c r="AC2303" s="2" t="s">
        <v>872</v>
      </c>
      <c r="AD2303" s="4">
        <v>280</v>
      </c>
      <c r="AE2303" s="4">
        <v>610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>
        <v>1</v>
      </c>
      <c r="AQ2303" s="8">
        <v>41.66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0.4688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313</v>
      </c>
      <c r="BK2303" s="8">
        <v>12689.03</v>
      </c>
      <c r="BL2303" s="2" t="s">
        <v>6225</v>
      </c>
      <c r="BM2303" s="7">
        <v>0.0032</v>
      </c>
      <c r="BN2303" s="7">
        <v>0.0033</v>
      </c>
      <c r="BO2303" s="4">
        <v>1</v>
      </c>
      <c r="BP2303" s="8">
        <v>41.66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2338</v>
      </c>
      <c r="BX2303" s="2" t="s">
        <v>5171</v>
      </c>
      <c r="BY2303" s="2" t="s">
        <v>113</v>
      </c>
      <c r="BZ2303" s="2" t="s">
        <v>100</v>
      </c>
    </row>
    <row r="2304">
      <c r="A2304" s="2" t="s">
        <v>7296</v>
      </c>
      <c r="B2304" s="2" t="s">
        <v>5764</v>
      </c>
      <c r="C2304" s="2" t="s">
        <v>2331</v>
      </c>
      <c r="D2304" s="2" t="s">
        <v>803</v>
      </c>
      <c r="E2304" s="2" t="s">
        <v>1532</v>
      </c>
      <c r="F2304" s="2" t="s">
        <v>7291</v>
      </c>
      <c r="G2304" s="2" t="s">
        <v>100</v>
      </c>
      <c r="H2304" s="2" t="s">
        <v>100</v>
      </c>
      <c r="I2304" s="2" t="s">
        <v>7292</v>
      </c>
      <c r="J2304" s="2" t="s">
        <v>714</v>
      </c>
      <c r="K2304" s="2" t="s">
        <v>198</v>
      </c>
      <c r="L2304" s="3">
        <v>39.1</v>
      </c>
      <c r="M2304" s="3">
        <v>41.06</v>
      </c>
      <c r="N2304" s="3">
        <v>84.99</v>
      </c>
      <c r="O2304" s="2" t="s">
        <v>97</v>
      </c>
      <c r="P2304" s="2" t="s">
        <v>119</v>
      </c>
      <c r="Q2304" s="2" t="s">
        <v>99</v>
      </c>
      <c r="R2304" s="2" t="s">
        <v>100</v>
      </c>
      <c r="S2304" s="2" t="s">
        <v>7293</v>
      </c>
      <c r="T2304" s="2" t="s">
        <v>1431</v>
      </c>
      <c r="U2304" s="2" t="s">
        <v>100</v>
      </c>
      <c r="V2304" s="2" t="s">
        <v>201</v>
      </c>
      <c r="W2304" s="2" t="s">
        <v>202</v>
      </c>
      <c r="X2304" s="2" t="s">
        <v>203</v>
      </c>
      <c r="Y2304" s="2" t="s">
        <v>240</v>
      </c>
      <c r="Z2304" s="4">
        <v>281</v>
      </c>
      <c r="AA2304" s="4">
        <f>=ROUNDDOWN(46.8333333333333,0)</f>
      </c>
      <c r="AB2304" s="5">
        <v>6</v>
      </c>
      <c r="AC2304" s="2" t="s">
        <v>100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>
        <v>1</v>
      </c>
      <c r="AQ2304" s="8">
        <v>47.21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0.5312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123</v>
      </c>
      <c r="BK2304" s="8">
        <v>5847.14</v>
      </c>
      <c r="BL2304" s="2" t="s">
        <v>7006</v>
      </c>
      <c r="BM2304" s="7">
        <v>0.0081</v>
      </c>
      <c r="BN2304" s="7">
        <v>0.0081</v>
      </c>
      <c r="BO2304" s="4">
        <v>1</v>
      </c>
      <c r="BP2304" s="8">
        <v>47.21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2338</v>
      </c>
      <c r="BX2304" s="2" t="s">
        <v>6647</v>
      </c>
      <c r="BY2304" s="2" t="s">
        <v>113</v>
      </c>
      <c r="BZ2304" s="2" t="s">
        <v>100</v>
      </c>
    </row>
    <row r="2305">
      <c r="A2305" s="2" t="s">
        <v>7297</v>
      </c>
      <c r="B2305" s="2" t="s">
        <v>5764</v>
      </c>
      <c r="C2305" s="2" t="s">
        <v>2331</v>
      </c>
      <c r="D2305" s="2" t="s">
        <v>803</v>
      </c>
      <c r="E2305" s="2" t="s">
        <v>1532</v>
      </c>
      <c r="F2305" s="2" t="s">
        <v>7298</v>
      </c>
      <c r="G2305" s="2" t="s">
        <v>7298</v>
      </c>
      <c r="H2305" s="2" t="s">
        <v>7298</v>
      </c>
      <c r="I2305" s="2" t="s">
        <v>7299</v>
      </c>
      <c r="J2305" s="2" t="s">
        <v>1936</v>
      </c>
      <c r="K2305" s="2" t="s">
        <v>130</v>
      </c>
      <c r="L2305" s="3">
        <v>25.3</v>
      </c>
      <c r="M2305" s="3">
        <v>26.56</v>
      </c>
      <c r="N2305" s="3">
        <v>54.99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7300</v>
      </c>
      <c r="T2305" s="2" t="s">
        <v>1431</v>
      </c>
      <c r="U2305" s="2" t="s">
        <v>100</v>
      </c>
      <c r="V2305" s="2" t="s">
        <v>201</v>
      </c>
      <c r="W2305" s="2" t="s">
        <v>202</v>
      </c>
      <c r="X2305" s="2" t="s">
        <v>203</v>
      </c>
      <c r="Y2305" s="2" t="s">
        <v>240</v>
      </c>
      <c r="Z2305" s="4">
        <v>268</v>
      </c>
      <c r="AA2305" s="4">
        <f>=ROUNDDOWN(14.1052631578947,0)</f>
      </c>
      <c r="AB2305" s="5">
        <v>19</v>
      </c>
      <c r="AC2305" s="2" t="s">
        <v>356</v>
      </c>
      <c r="AD2305" s="4">
        <v>360</v>
      </c>
      <c r="AE2305" s="4">
        <v>760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400</v>
      </c>
      <c r="BK2305" s="8">
        <v>11421.26</v>
      </c>
      <c r="BL2305" s="2" t="s">
        <v>7301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207</v>
      </c>
      <c r="BV2305" s="2" t="s">
        <v>97</v>
      </c>
      <c r="BW2305" s="2" t="s">
        <v>100</v>
      </c>
      <c r="BX2305" s="2" t="s">
        <v>100</v>
      </c>
      <c r="BY2305" s="2" t="s">
        <v>113</v>
      </c>
      <c r="BZ2305" s="2" t="s">
        <v>100</v>
      </c>
    </row>
    <row r="2306">
      <c r="A2306" s="2" t="s">
        <v>7302</v>
      </c>
      <c r="B2306" s="2" t="s">
        <v>5764</v>
      </c>
      <c r="C2306" s="2" t="s">
        <v>2331</v>
      </c>
      <c r="D2306" s="2" t="s">
        <v>803</v>
      </c>
      <c r="E2306" s="2" t="s">
        <v>1532</v>
      </c>
      <c r="F2306" s="2" t="s">
        <v>7298</v>
      </c>
      <c r="G2306" s="2" t="s">
        <v>7298</v>
      </c>
      <c r="H2306" s="2" t="s">
        <v>7298</v>
      </c>
      <c r="I2306" s="2" t="s">
        <v>7299</v>
      </c>
      <c r="J2306" s="2" t="s">
        <v>247</v>
      </c>
      <c r="K2306" s="2" t="s">
        <v>130</v>
      </c>
      <c r="L2306" s="3">
        <v>34.5</v>
      </c>
      <c r="M2306" s="3">
        <v>36.22</v>
      </c>
      <c r="N2306" s="3">
        <v>74.99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7300</v>
      </c>
      <c r="T2306" s="2" t="s">
        <v>1431</v>
      </c>
      <c r="U2306" s="2" t="s">
        <v>100</v>
      </c>
      <c r="V2306" s="2" t="s">
        <v>201</v>
      </c>
      <c r="W2306" s="2" t="s">
        <v>202</v>
      </c>
      <c r="X2306" s="2" t="s">
        <v>203</v>
      </c>
      <c r="Y2306" s="2" t="s">
        <v>240</v>
      </c>
      <c r="Z2306" s="4">
        <v>207</v>
      </c>
      <c r="AA2306" s="4">
        <f>=ROUNDDOWN(4.6,0)</f>
      </c>
      <c r="AB2306" s="5">
        <v>45</v>
      </c>
      <c r="AC2306" s="2" t="s">
        <v>320</v>
      </c>
      <c r="AD2306" s="4">
        <v>18</v>
      </c>
      <c r="AE2306" s="4">
        <v>1210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1166</v>
      </c>
      <c r="BK2306" s="8">
        <v>44784.82</v>
      </c>
      <c r="BL2306" s="2" t="s">
        <v>7303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207</v>
      </c>
      <c r="BV2306" s="2" t="s">
        <v>97</v>
      </c>
      <c r="BW2306" s="2" t="s">
        <v>100</v>
      </c>
      <c r="BX2306" s="2" t="s">
        <v>100</v>
      </c>
      <c r="BY2306" s="2" t="s">
        <v>113</v>
      </c>
      <c r="BZ2306" s="2" t="s">
        <v>100</v>
      </c>
    </row>
    <row r="2307">
      <c r="A2307" s="2" t="s">
        <v>7304</v>
      </c>
      <c r="B2307" s="2" t="s">
        <v>5764</v>
      </c>
      <c r="C2307" s="2" t="s">
        <v>2331</v>
      </c>
      <c r="D2307" s="2" t="s">
        <v>803</v>
      </c>
      <c r="E2307" s="2" t="s">
        <v>1532</v>
      </c>
      <c r="F2307" s="2" t="s">
        <v>7298</v>
      </c>
      <c r="G2307" s="2" t="s">
        <v>7298</v>
      </c>
      <c r="H2307" s="2" t="s">
        <v>7298</v>
      </c>
      <c r="I2307" s="2" t="s">
        <v>7299</v>
      </c>
      <c r="J2307" s="2" t="s">
        <v>714</v>
      </c>
      <c r="K2307" s="2" t="s">
        <v>130</v>
      </c>
      <c r="L2307" s="3">
        <v>39.95</v>
      </c>
      <c r="M2307" s="3">
        <v>41.95</v>
      </c>
      <c r="N2307" s="3">
        <v>84.99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7300</v>
      </c>
      <c r="T2307" s="2" t="s">
        <v>1431</v>
      </c>
      <c r="U2307" s="2" t="s">
        <v>100</v>
      </c>
      <c r="V2307" s="2" t="s">
        <v>201</v>
      </c>
      <c r="W2307" s="2" t="s">
        <v>202</v>
      </c>
      <c r="X2307" s="2" t="s">
        <v>203</v>
      </c>
      <c r="Y2307" s="2" t="s">
        <v>240</v>
      </c>
      <c r="Z2307" s="4">
        <v>259</v>
      </c>
      <c r="AA2307" s="4">
        <f>=ROUNDDOWN(5.88636363636364,0)</f>
      </c>
      <c r="AB2307" s="5">
        <v>44</v>
      </c>
      <c r="AC2307" s="2" t="s">
        <v>356</v>
      </c>
      <c r="AD2307" s="4">
        <v>450</v>
      </c>
      <c r="AE2307" s="4">
        <v>450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309</v>
      </c>
      <c r="BK2307" s="8">
        <v>13883.92</v>
      </c>
      <c r="BL2307" s="2" t="s">
        <v>7305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207</v>
      </c>
      <c r="BV2307" s="2" t="s">
        <v>97</v>
      </c>
      <c r="BW2307" s="2" t="s">
        <v>100</v>
      </c>
      <c r="BX2307" s="2" t="s">
        <v>100</v>
      </c>
      <c r="BY2307" s="2" t="s">
        <v>113</v>
      </c>
      <c r="BZ2307" s="2" t="s">
        <v>100</v>
      </c>
    </row>
    <row r="2308">
      <c r="A2308" s="2" t="s">
        <v>7306</v>
      </c>
      <c r="B2308" s="2" t="s">
        <v>5764</v>
      </c>
      <c r="C2308" s="2" t="s">
        <v>2331</v>
      </c>
      <c r="D2308" s="2" t="s">
        <v>803</v>
      </c>
      <c r="E2308" s="2" t="s">
        <v>1532</v>
      </c>
      <c r="F2308" s="2" t="s">
        <v>7307</v>
      </c>
      <c r="G2308" s="2" t="s">
        <v>7307</v>
      </c>
      <c r="H2308" s="2" t="s">
        <v>7307</v>
      </c>
      <c r="I2308" s="2" t="s">
        <v>7308</v>
      </c>
      <c r="J2308" s="2" t="s">
        <v>247</v>
      </c>
      <c r="K2308" s="2" t="s">
        <v>478</v>
      </c>
      <c r="L2308" s="3">
        <v>47.61</v>
      </c>
      <c r="M2308" s="3">
        <v>50</v>
      </c>
      <c r="N2308" s="3">
        <v>99.99</v>
      </c>
      <c r="O2308" s="2" t="s">
        <v>97</v>
      </c>
      <c r="P2308" s="2" t="s">
        <v>119</v>
      </c>
      <c r="Q2308" s="2" t="s">
        <v>99</v>
      </c>
      <c r="R2308" s="2" t="s">
        <v>100</v>
      </c>
      <c r="S2308" s="2" t="s">
        <v>7309</v>
      </c>
      <c r="T2308" s="2" t="s">
        <v>5945</v>
      </c>
      <c r="U2308" s="2" t="s">
        <v>480</v>
      </c>
      <c r="V2308" s="2" t="s">
        <v>2661</v>
      </c>
      <c r="W2308" s="2" t="s">
        <v>202</v>
      </c>
      <c r="X2308" s="2" t="s">
        <v>219</v>
      </c>
      <c r="Y2308" s="2" t="s">
        <v>6850</v>
      </c>
      <c r="Z2308" s="4">
        <v>514</v>
      </c>
      <c r="AA2308" s="4">
        <f>=ROUNDDOWN(60.4705882352941,0)</f>
      </c>
      <c r="AB2308" s="5">
        <v>8.5</v>
      </c>
      <c r="AC2308" s="2" t="s">
        <v>100</v>
      </c>
      <c r="AD2308" s="4"/>
      <c r="AE2308" s="4"/>
      <c r="AF2308" s="6">
        <v>65</v>
      </c>
      <c r="AG2308" s="6"/>
      <c r="AH2308" s="7">
        <v>0.4813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85</v>
      </c>
      <c r="BK2308" s="8">
        <v>4473.48</v>
      </c>
      <c r="BL2308" s="2" t="s">
        <v>7310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207</v>
      </c>
      <c r="BV2308" s="2" t="s">
        <v>97</v>
      </c>
      <c r="BW2308" s="2" t="s">
        <v>100</v>
      </c>
      <c r="BX2308" s="2" t="s">
        <v>100</v>
      </c>
      <c r="BY2308" s="2" t="s">
        <v>113</v>
      </c>
      <c r="BZ2308" s="2" t="s">
        <v>100</v>
      </c>
    </row>
    <row r="2309">
      <c r="A2309" s="2" t="s">
        <v>7311</v>
      </c>
      <c r="B2309" s="2" t="s">
        <v>5764</v>
      </c>
      <c r="C2309" s="2" t="s">
        <v>2331</v>
      </c>
      <c r="D2309" s="2" t="s">
        <v>803</v>
      </c>
      <c r="E2309" s="2" t="s">
        <v>1532</v>
      </c>
      <c r="F2309" s="2" t="s">
        <v>7307</v>
      </c>
      <c r="G2309" s="2" t="s">
        <v>7307</v>
      </c>
      <c r="H2309" s="2" t="s">
        <v>7307</v>
      </c>
      <c r="I2309" s="2" t="s">
        <v>7308</v>
      </c>
      <c r="J2309" s="2" t="s">
        <v>270</v>
      </c>
      <c r="K2309" s="2" t="s">
        <v>478</v>
      </c>
      <c r="L2309" s="3">
        <v>52.38</v>
      </c>
      <c r="M2309" s="3">
        <v>55</v>
      </c>
      <c r="N2309" s="3">
        <v>109.99</v>
      </c>
      <c r="O2309" s="2" t="s">
        <v>97</v>
      </c>
      <c r="P2309" s="2" t="s">
        <v>119</v>
      </c>
      <c r="Q2309" s="2" t="s">
        <v>99</v>
      </c>
      <c r="R2309" s="2" t="s">
        <v>100</v>
      </c>
      <c r="S2309" s="2" t="s">
        <v>7309</v>
      </c>
      <c r="T2309" s="2" t="s">
        <v>5945</v>
      </c>
      <c r="U2309" s="2" t="s">
        <v>480</v>
      </c>
      <c r="V2309" s="2" t="s">
        <v>2661</v>
      </c>
      <c r="W2309" s="2" t="s">
        <v>202</v>
      </c>
      <c r="X2309" s="2" t="s">
        <v>219</v>
      </c>
      <c r="Y2309" s="2" t="s">
        <v>6850</v>
      </c>
      <c r="Z2309" s="4">
        <v>877</v>
      </c>
      <c r="AA2309" s="4">
        <f>=ROUNDDOWN(73.0833333333333,0)</f>
      </c>
      <c r="AB2309" s="5">
        <v>12</v>
      </c>
      <c r="AC2309" s="2" t="s">
        <v>100</v>
      </c>
      <c r="AD2309" s="4"/>
      <c r="AE2309" s="4"/>
      <c r="AF2309" s="6">
        <v>65</v>
      </c>
      <c r="AG2309" s="6"/>
      <c r="AH2309" s="7">
        <v>0.4706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77</v>
      </c>
      <c r="BK2309" s="8">
        <v>4503.23</v>
      </c>
      <c r="BL2309" s="2" t="s">
        <v>7310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207</v>
      </c>
      <c r="BV2309" s="2" t="s">
        <v>97</v>
      </c>
      <c r="BW2309" s="2" t="s">
        <v>100</v>
      </c>
      <c r="BX2309" s="2" t="s">
        <v>100</v>
      </c>
      <c r="BY2309" s="2" t="s">
        <v>113</v>
      </c>
      <c r="BZ2309" s="2" t="s">
        <v>100</v>
      </c>
    </row>
    <row r="2310">
      <c r="A2310" s="2" t="s">
        <v>7312</v>
      </c>
      <c r="B2310" s="2" t="s">
        <v>5764</v>
      </c>
      <c r="C2310" s="2" t="s">
        <v>2331</v>
      </c>
      <c r="D2310" s="2" t="s">
        <v>803</v>
      </c>
      <c r="E2310" s="2" t="s">
        <v>804</v>
      </c>
      <c r="F2310" s="2" t="s">
        <v>7313</v>
      </c>
      <c r="G2310" s="2" t="s">
        <v>7313</v>
      </c>
      <c r="H2310" s="2" t="s">
        <v>7313</v>
      </c>
      <c r="I2310" s="2" t="s">
        <v>7314</v>
      </c>
      <c r="J2310" s="2" t="s">
        <v>247</v>
      </c>
      <c r="K2310" s="2" t="s">
        <v>7315</v>
      </c>
      <c r="L2310" s="3">
        <v>56.45</v>
      </c>
      <c r="M2310" s="3">
        <v>59.27</v>
      </c>
      <c r="N2310" s="3">
        <v>118.99</v>
      </c>
      <c r="O2310" s="2" t="s">
        <v>97</v>
      </c>
      <c r="P2310" s="2" t="s">
        <v>119</v>
      </c>
      <c r="Q2310" s="2" t="s">
        <v>99</v>
      </c>
      <c r="R2310" s="2" t="s">
        <v>100</v>
      </c>
      <c r="S2310" s="2" t="s">
        <v>7316</v>
      </c>
      <c r="T2310" s="2" t="s">
        <v>5945</v>
      </c>
      <c r="U2310" s="2" t="s">
        <v>402</v>
      </c>
      <c r="V2310" s="2" t="s">
        <v>201</v>
      </c>
      <c r="W2310" s="2" t="s">
        <v>202</v>
      </c>
      <c r="X2310" s="2" t="s">
        <v>219</v>
      </c>
      <c r="Y2310" s="2" t="s">
        <v>7317</v>
      </c>
      <c r="Z2310" s="4">
        <v>661</v>
      </c>
      <c r="AA2310" s="4">
        <f>=ROUNDDOWN(33.05,0)</f>
      </c>
      <c r="AB2310" s="5">
        <v>20</v>
      </c>
      <c r="AC2310" s="2" t="s">
        <v>1102</v>
      </c>
      <c r="AD2310" s="4">
        <v>60</v>
      </c>
      <c r="AE2310" s="4">
        <v>210</v>
      </c>
      <c r="AF2310" s="6">
        <v>65</v>
      </c>
      <c r="AG2310" s="6"/>
      <c r="AH2310" s="7">
        <v>0.6257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227</v>
      </c>
      <c r="BK2310" s="8">
        <v>13282.52</v>
      </c>
      <c r="BL2310" s="2" t="s">
        <v>7318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207</v>
      </c>
      <c r="BV2310" s="2" t="s">
        <v>97</v>
      </c>
      <c r="BW2310" s="2" t="s">
        <v>100</v>
      </c>
      <c r="BX2310" s="2" t="s">
        <v>100</v>
      </c>
      <c r="BY2310" s="2" t="s">
        <v>113</v>
      </c>
      <c r="BZ2310" s="2" t="s">
        <v>100</v>
      </c>
    </row>
    <row r="2311">
      <c r="A2311" s="2" t="s">
        <v>7319</v>
      </c>
      <c r="B2311" s="2" t="s">
        <v>5764</v>
      </c>
      <c r="C2311" s="2" t="s">
        <v>2331</v>
      </c>
      <c r="D2311" s="2" t="s">
        <v>803</v>
      </c>
      <c r="E2311" s="2" t="s">
        <v>804</v>
      </c>
      <c r="F2311" s="2" t="s">
        <v>7313</v>
      </c>
      <c r="G2311" s="2" t="s">
        <v>7313</v>
      </c>
      <c r="H2311" s="2" t="s">
        <v>7313</v>
      </c>
      <c r="I2311" s="2" t="s">
        <v>7314</v>
      </c>
      <c r="J2311" s="2" t="s">
        <v>714</v>
      </c>
      <c r="K2311" s="2" t="s">
        <v>7315</v>
      </c>
      <c r="L2311" s="3">
        <v>63.11</v>
      </c>
      <c r="M2311" s="3">
        <v>66.27</v>
      </c>
      <c r="N2311" s="3">
        <v>132.99</v>
      </c>
      <c r="O2311" s="2" t="s">
        <v>97</v>
      </c>
      <c r="P2311" s="2" t="s">
        <v>119</v>
      </c>
      <c r="Q2311" s="2" t="s">
        <v>99</v>
      </c>
      <c r="R2311" s="2" t="s">
        <v>100</v>
      </c>
      <c r="S2311" s="2" t="s">
        <v>7316</v>
      </c>
      <c r="T2311" s="2" t="s">
        <v>5945</v>
      </c>
      <c r="U2311" s="2" t="s">
        <v>402</v>
      </c>
      <c r="V2311" s="2" t="s">
        <v>201</v>
      </c>
      <c r="W2311" s="2" t="s">
        <v>202</v>
      </c>
      <c r="X2311" s="2" t="s">
        <v>219</v>
      </c>
      <c r="Y2311" s="2" t="s">
        <v>7317</v>
      </c>
      <c r="Z2311" s="4">
        <v>675</v>
      </c>
      <c r="AA2311" s="4">
        <f>=ROUNDDOWN(37.5,0)</f>
      </c>
      <c r="AB2311" s="5">
        <v>18</v>
      </c>
      <c r="AC2311" s="2" t="s">
        <v>1102</v>
      </c>
      <c r="AD2311" s="4">
        <v>60</v>
      </c>
      <c r="AE2311" s="4">
        <v>200</v>
      </c>
      <c r="AF2311" s="6">
        <v>65</v>
      </c>
      <c r="AG2311" s="6"/>
      <c r="AH2311" s="7">
        <v>0.6257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195</v>
      </c>
      <c r="BK2311" s="8">
        <v>12678.19</v>
      </c>
      <c r="BL2311" s="2" t="s">
        <v>7320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207</v>
      </c>
      <c r="BV2311" s="2" t="s">
        <v>97</v>
      </c>
      <c r="BW2311" s="2" t="s">
        <v>100</v>
      </c>
      <c r="BX2311" s="2" t="s">
        <v>100</v>
      </c>
      <c r="BY2311" s="2" t="s">
        <v>113</v>
      </c>
      <c r="BZ2311" s="2" t="s">
        <v>100</v>
      </c>
    </row>
    <row r="2312">
      <c r="A2312" s="2" t="s">
        <v>7321</v>
      </c>
      <c r="B2312" s="2" t="s">
        <v>5764</v>
      </c>
      <c r="C2312" s="2" t="s">
        <v>2331</v>
      </c>
      <c r="D2312" s="2" t="s">
        <v>803</v>
      </c>
      <c r="E2312" s="2" t="s">
        <v>804</v>
      </c>
      <c r="F2312" s="2" t="s">
        <v>7313</v>
      </c>
      <c r="G2312" s="2" t="s">
        <v>7313</v>
      </c>
      <c r="H2312" s="2" t="s">
        <v>7313</v>
      </c>
      <c r="I2312" s="2" t="s">
        <v>7314</v>
      </c>
      <c r="J2312" s="2" t="s">
        <v>247</v>
      </c>
      <c r="K2312" s="2" t="s">
        <v>7322</v>
      </c>
      <c r="L2312" s="3">
        <v>56.45</v>
      </c>
      <c r="M2312" s="3">
        <v>59.27</v>
      </c>
      <c r="N2312" s="3">
        <v>118.99</v>
      </c>
      <c r="O2312" s="2" t="s">
        <v>97</v>
      </c>
      <c r="P2312" s="2" t="s">
        <v>119</v>
      </c>
      <c r="Q2312" s="2" t="s">
        <v>99</v>
      </c>
      <c r="R2312" s="2" t="s">
        <v>100</v>
      </c>
      <c r="S2312" s="2" t="s">
        <v>7323</v>
      </c>
      <c r="T2312" s="2" t="s">
        <v>5945</v>
      </c>
      <c r="U2312" s="2" t="s">
        <v>402</v>
      </c>
      <c r="V2312" s="2" t="s">
        <v>146</v>
      </c>
      <c r="W2312" s="2" t="s">
        <v>202</v>
      </c>
      <c r="X2312" s="2" t="s">
        <v>219</v>
      </c>
      <c r="Y2312" s="2" t="s">
        <v>6347</v>
      </c>
      <c r="Z2312" s="4">
        <v>484</v>
      </c>
      <c r="AA2312" s="4">
        <f>=ROUNDDOWN(37.2307692307692,0)</f>
      </c>
      <c r="AB2312" s="5">
        <v>13</v>
      </c>
      <c r="AC2312" s="2" t="s">
        <v>1102</v>
      </c>
      <c r="AD2312" s="4">
        <v>40</v>
      </c>
      <c r="AE2312" s="4">
        <v>130</v>
      </c>
      <c r="AF2312" s="6">
        <v>65</v>
      </c>
      <c r="AG2312" s="6"/>
      <c r="AH2312" s="7">
        <v>0.5936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96</v>
      </c>
      <c r="BK2312" s="8">
        <v>5381.6</v>
      </c>
      <c r="BL2312" s="2" t="s">
        <v>2773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207</v>
      </c>
      <c r="BV2312" s="2" t="s">
        <v>97</v>
      </c>
      <c r="BW2312" s="2" t="s">
        <v>100</v>
      </c>
      <c r="BX2312" s="2" t="s">
        <v>100</v>
      </c>
      <c r="BY2312" s="2" t="s">
        <v>113</v>
      </c>
      <c r="BZ2312" s="2" t="s">
        <v>100</v>
      </c>
    </row>
    <row r="2313">
      <c r="A2313" s="2" t="s">
        <v>7324</v>
      </c>
      <c r="B2313" s="2" t="s">
        <v>5764</v>
      </c>
      <c r="C2313" s="2" t="s">
        <v>2331</v>
      </c>
      <c r="D2313" s="2" t="s">
        <v>803</v>
      </c>
      <c r="E2313" s="2" t="s">
        <v>804</v>
      </c>
      <c r="F2313" s="2" t="s">
        <v>7313</v>
      </c>
      <c r="G2313" s="2" t="s">
        <v>7313</v>
      </c>
      <c r="H2313" s="2" t="s">
        <v>7313</v>
      </c>
      <c r="I2313" s="2" t="s">
        <v>7314</v>
      </c>
      <c r="J2313" s="2" t="s">
        <v>714</v>
      </c>
      <c r="K2313" s="2" t="s">
        <v>7322</v>
      </c>
      <c r="L2313" s="3">
        <v>63.11</v>
      </c>
      <c r="M2313" s="3">
        <v>66.27</v>
      </c>
      <c r="N2313" s="3">
        <v>132.99</v>
      </c>
      <c r="O2313" s="2" t="s">
        <v>97</v>
      </c>
      <c r="P2313" s="2" t="s">
        <v>119</v>
      </c>
      <c r="Q2313" s="2" t="s">
        <v>99</v>
      </c>
      <c r="R2313" s="2" t="s">
        <v>100</v>
      </c>
      <c r="S2313" s="2" t="s">
        <v>7323</v>
      </c>
      <c r="T2313" s="2" t="s">
        <v>5945</v>
      </c>
      <c r="U2313" s="2" t="s">
        <v>402</v>
      </c>
      <c r="V2313" s="2" t="s">
        <v>146</v>
      </c>
      <c r="W2313" s="2" t="s">
        <v>202</v>
      </c>
      <c r="X2313" s="2" t="s">
        <v>219</v>
      </c>
      <c r="Y2313" s="2" t="s">
        <v>6347</v>
      </c>
      <c r="Z2313" s="4">
        <v>670</v>
      </c>
      <c r="AA2313" s="4">
        <f>=ROUNDDOWN(44.6666666666667,0)</f>
      </c>
      <c r="AB2313" s="5">
        <v>15</v>
      </c>
      <c r="AC2313" s="2" t="s">
        <v>1102</v>
      </c>
      <c r="AD2313" s="4">
        <v>50</v>
      </c>
      <c r="AE2313" s="4">
        <v>160</v>
      </c>
      <c r="AF2313" s="6">
        <v>65</v>
      </c>
      <c r="AG2313" s="6"/>
      <c r="AH2313" s="7">
        <v>0.6203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74</v>
      </c>
      <c r="BK2313" s="8">
        <v>4563.33</v>
      </c>
      <c r="BL2313" s="2" t="s">
        <v>7325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207</v>
      </c>
      <c r="BV2313" s="2" t="s">
        <v>97</v>
      </c>
      <c r="BW2313" s="2" t="s">
        <v>100</v>
      </c>
      <c r="BX2313" s="2" t="s">
        <v>100</v>
      </c>
      <c r="BY2313" s="2" t="s">
        <v>113</v>
      </c>
      <c r="BZ2313" s="2" t="s">
        <v>100</v>
      </c>
    </row>
    <row r="2314">
      <c r="A2314" s="2" t="s">
        <v>7326</v>
      </c>
      <c r="B2314" s="2" t="s">
        <v>5764</v>
      </c>
      <c r="C2314" s="2" t="s">
        <v>2331</v>
      </c>
      <c r="D2314" s="2" t="s">
        <v>803</v>
      </c>
      <c r="E2314" s="2" t="s">
        <v>804</v>
      </c>
      <c r="F2314" s="2" t="s">
        <v>7313</v>
      </c>
      <c r="G2314" s="2" t="s">
        <v>7313</v>
      </c>
      <c r="H2314" s="2" t="s">
        <v>7313</v>
      </c>
      <c r="I2314" s="2" t="s">
        <v>7314</v>
      </c>
      <c r="J2314" s="2" t="s">
        <v>247</v>
      </c>
      <c r="K2314" s="2" t="s">
        <v>7327</v>
      </c>
      <c r="L2314" s="3">
        <v>56.45</v>
      </c>
      <c r="M2314" s="3">
        <v>59.27</v>
      </c>
      <c r="N2314" s="3">
        <v>118.99</v>
      </c>
      <c r="O2314" s="2" t="s">
        <v>97</v>
      </c>
      <c r="P2314" s="2" t="s">
        <v>950</v>
      </c>
      <c r="Q2314" s="2" t="s">
        <v>99</v>
      </c>
      <c r="R2314" s="2" t="s">
        <v>100</v>
      </c>
      <c r="S2314" s="2" t="s">
        <v>7323</v>
      </c>
      <c r="T2314" s="2" t="s">
        <v>5945</v>
      </c>
      <c r="U2314" s="2" t="s">
        <v>402</v>
      </c>
      <c r="V2314" s="2" t="s">
        <v>146</v>
      </c>
      <c r="W2314" s="2" t="s">
        <v>202</v>
      </c>
      <c r="X2314" s="2" t="s">
        <v>219</v>
      </c>
      <c r="Y2314" s="2" t="s">
        <v>6347</v>
      </c>
      <c r="Z2314" s="4">
        <v>843</v>
      </c>
      <c r="AA2314" s="4">
        <f>=ROUNDDOWN(36.6521739130435,0)</f>
      </c>
      <c r="AB2314" s="5">
        <v>23</v>
      </c>
      <c r="AC2314" s="2" t="s">
        <v>1102</v>
      </c>
      <c r="AD2314" s="4">
        <v>60</v>
      </c>
      <c r="AE2314" s="4">
        <v>220</v>
      </c>
      <c r="AF2314" s="6">
        <v>65</v>
      </c>
      <c r="AG2314" s="6"/>
      <c r="AH2314" s="7">
        <v>0.6203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/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/>
      <c r="BJ2314" s="4">
        <v>123</v>
      </c>
      <c r="BK2314" s="8">
        <v>6968.81</v>
      </c>
      <c r="BL2314" s="2" t="s">
        <v>7328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207</v>
      </c>
      <c r="BV2314" s="2" t="s">
        <v>97</v>
      </c>
      <c r="BW2314" s="2" t="s">
        <v>100</v>
      </c>
      <c r="BX2314" s="2" t="s">
        <v>100</v>
      </c>
      <c r="BY2314" s="2" t="s">
        <v>113</v>
      </c>
      <c r="BZ2314" s="2" t="s">
        <v>100</v>
      </c>
    </row>
    <row r="2315">
      <c r="A2315" s="2" t="s">
        <v>7329</v>
      </c>
      <c r="B2315" s="2" t="s">
        <v>5764</v>
      </c>
      <c r="C2315" s="2" t="s">
        <v>2331</v>
      </c>
      <c r="D2315" s="2" t="s">
        <v>803</v>
      </c>
      <c r="E2315" s="2" t="s">
        <v>804</v>
      </c>
      <c r="F2315" s="2" t="s">
        <v>7313</v>
      </c>
      <c r="G2315" s="2" t="s">
        <v>7313</v>
      </c>
      <c r="H2315" s="2" t="s">
        <v>7313</v>
      </c>
      <c r="I2315" s="2" t="s">
        <v>7314</v>
      </c>
      <c r="J2315" s="2" t="s">
        <v>714</v>
      </c>
      <c r="K2315" s="2" t="s">
        <v>7327</v>
      </c>
      <c r="L2315" s="3">
        <v>63.11</v>
      </c>
      <c r="M2315" s="3">
        <v>66.27</v>
      </c>
      <c r="N2315" s="3">
        <v>132.99</v>
      </c>
      <c r="O2315" s="2" t="s">
        <v>97</v>
      </c>
      <c r="P2315" s="2" t="s">
        <v>950</v>
      </c>
      <c r="Q2315" s="2" t="s">
        <v>99</v>
      </c>
      <c r="R2315" s="2" t="s">
        <v>100</v>
      </c>
      <c r="S2315" s="2" t="s">
        <v>7323</v>
      </c>
      <c r="T2315" s="2" t="s">
        <v>5945</v>
      </c>
      <c r="U2315" s="2" t="s">
        <v>402</v>
      </c>
      <c r="V2315" s="2" t="s">
        <v>146</v>
      </c>
      <c r="W2315" s="2" t="s">
        <v>202</v>
      </c>
      <c r="X2315" s="2" t="s">
        <v>219</v>
      </c>
      <c r="Y2315" s="2" t="s">
        <v>7330</v>
      </c>
      <c r="Z2315" s="4">
        <v>1113</v>
      </c>
      <c r="AA2315" s="4">
        <f>=ROUNDDOWN(159,0)</f>
      </c>
      <c r="AB2315" s="5">
        <v>7</v>
      </c>
      <c r="AC2315" s="2" t="s">
        <v>1102</v>
      </c>
      <c r="AD2315" s="4">
        <v>80</v>
      </c>
      <c r="AE2315" s="4">
        <v>260</v>
      </c>
      <c r="AF2315" s="6">
        <v>65</v>
      </c>
      <c r="AG2315" s="6"/>
      <c r="AH2315" s="7">
        <v>0.6203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110</v>
      </c>
      <c r="BK2315" s="8">
        <v>6874.88</v>
      </c>
      <c r="BL2315" s="2" t="s">
        <v>7331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207</v>
      </c>
      <c r="BV2315" s="2" t="s">
        <v>97</v>
      </c>
      <c r="BW2315" s="2" t="s">
        <v>100</v>
      </c>
      <c r="BX2315" s="2" t="s">
        <v>100</v>
      </c>
      <c r="BY2315" s="2" t="s">
        <v>113</v>
      </c>
      <c r="BZ2315" s="2" t="s">
        <v>100</v>
      </c>
    </row>
    <row r="2316">
      <c r="A2316" s="2" t="s">
        <v>7332</v>
      </c>
      <c r="B2316" s="2" t="s">
        <v>5764</v>
      </c>
      <c r="C2316" s="2" t="s">
        <v>2331</v>
      </c>
      <c r="D2316" s="2" t="s">
        <v>803</v>
      </c>
      <c r="E2316" s="2" t="s">
        <v>804</v>
      </c>
      <c r="F2316" s="2" t="s">
        <v>7313</v>
      </c>
      <c r="G2316" s="2" t="s">
        <v>7313</v>
      </c>
      <c r="H2316" s="2" t="s">
        <v>7313</v>
      </c>
      <c r="I2316" s="2" t="s">
        <v>7314</v>
      </c>
      <c r="J2316" s="2" t="s">
        <v>247</v>
      </c>
      <c r="K2316" s="2" t="s">
        <v>3050</v>
      </c>
      <c r="L2316" s="3">
        <v>56.45</v>
      </c>
      <c r="M2316" s="3">
        <v>59.27</v>
      </c>
      <c r="N2316" s="3">
        <v>118.99</v>
      </c>
      <c r="O2316" s="2" t="s">
        <v>97</v>
      </c>
      <c r="P2316" s="2" t="s">
        <v>119</v>
      </c>
      <c r="Q2316" s="2" t="s">
        <v>99</v>
      </c>
      <c r="R2316" s="2" t="s">
        <v>100</v>
      </c>
      <c r="S2316" s="2" t="s">
        <v>7333</v>
      </c>
      <c r="T2316" s="2" t="s">
        <v>5945</v>
      </c>
      <c r="U2316" s="2" t="s">
        <v>402</v>
      </c>
      <c r="V2316" s="2" t="s">
        <v>146</v>
      </c>
      <c r="W2316" s="2" t="s">
        <v>202</v>
      </c>
      <c r="X2316" s="2" t="s">
        <v>100</v>
      </c>
      <c r="Y2316" s="2" t="s">
        <v>5664</v>
      </c>
      <c r="Z2316" s="4">
        <v>726</v>
      </c>
      <c r="AA2316" s="4">
        <f>=ROUNDDOWN(40.3333333333333,0)</f>
      </c>
      <c r="AB2316" s="5">
        <v>18</v>
      </c>
      <c r="AC2316" s="2" t="s">
        <v>1102</v>
      </c>
      <c r="AD2316" s="4">
        <v>50</v>
      </c>
      <c r="AE2316" s="4">
        <v>190</v>
      </c>
      <c r="AF2316" s="6">
        <v>65</v>
      </c>
      <c r="AG2316" s="6"/>
      <c r="AH2316" s="7">
        <v>0.6257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128</v>
      </c>
      <c r="BK2316" s="8">
        <v>6870.31</v>
      </c>
      <c r="BL2316" s="2" t="s">
        <v>2634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207</v>
      </c>
      <c r="BV2316" s="2" t="s">
        <v>97</v>
      </c>
      <c r="BW2316" s="2" t="s">
        <v>100</v>
      </c>
      <c r="BX2316" s="2" t="s">
        <v>100</v>
      </c>
      <c r="BY2316" s="2" t="s">
        <v>113</v>
      </c>
      <c r="BZ2316" s="2" t="s">
        <v>100</v>
      </c>
    </row>
    <row r="2317">
      <c r="A2317" s="2" t="s">
        <v>7334</v>
      </c>
      <c r="B2317" s="2" t="s">
        <v>5764</v>
      </c>
      <c r="C2317" s="2" t="s">
        <v>2331</v>
      </c>
      <c r="D2317" s="2" t="s">
        <v>803</v>
      </c>
      <c r="E2317" s="2" t="s">
        <v>804</v>
      </c>
      <c r="F2317" s="2" t="s">
        <v>7313</v>
      </c>
      <c r="G2317" s="2" t="s">
        <v>7313</v>
      </c>
      <c r="H2317" s="2" t="s">
        <v>7313</v>
      </c>
      <c r="I2317" s="2" t="s">
        <v>7314</v>
      </c>
      <c r="J2317" s="2" t="s">
        <v>714</v>
      </c>
      <c r="K2317" s="2" t="s">
        <v>3050</v>
      </c>
      <c r="L2317" s="3">
        <v>63.11</v>
      </c>
      <c r="M2317" s="3">
        <v>66.27</v>
      </c>
      <c r="N2317" s="3">
        <v>132.99</v>
      </c>
      <c r="O2317" s="2" t="s">
        <v>97</v>
      </c>
      <c r="P2317" s="2" t="s">
        <v>119</v>
      </c>
      <c r="Q2317" s="2" t="s">
        <v>99</v>
      </c>
      <c r="R2317" s="2" t="s">
        <v>100</v>
      </c>
      <c r="S2317" s="2" t="s">
        <v>7333</v>
      </c>
      <c r="T2317" s="2" t="s">
        <v>5945</v>
      </c>
      <c r="U2317" s="2" t="s">
        <v>402</v>
      </c>
      <c r="V2317" s="2" t="s">
        <v>146</v>
      </c>
      <c r="W2317" s="2" t="s">
        <v>202</v>
      </c>
      <c r="X2317" s="2" t="s">
        <v>100</v>
      </c>
      <c r="Y2317" s="2" t="s">
        <v>5664</v>
      </c>
      <c r="Z2317" s="4">
        <v>780</v>
      </c>
      <c r="AA2317" s="4">
        <f>=ROUNDDOWN(43.3333333333333,0)</f>
      </c>
      <c r="AB2317" s="5">
        <v>18</v>
      </c>
      <c r="AC2317" s="2" t="s">
        <v>1102</v>
      </c>
      <c r="AD2317" s="4">
        <v>60</v>
      </c>
      <c r="AE2317" s="4">
        <v>200</v>
      </c>
      <c r="AF2317" s="6">
        <v>65</v>
      </c>
      <c r="AG2317" s="6"/>
      <c r="AH2317" s="7">
        <v>0.6257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121</v>
      </c>
      <c r="BK2317" s="8">
        <v>7258.13</v>
      </c>
      <c r="BL2317" s="2" t="s">
        <v>5848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207</v>
      </c>
      <c r="BV2317" s="2" t="s">
        <v>97</v>
      </c>
      <c r="BW2317" s="2" t="s">
        <v>100</v>
      </c>
      <c r="BX2317" s="2" t="s">
        <v>100</v>
      </c>
      <c r="BY2317" s="2" t="s">
        <v>113</v>
      </c>
      <c r="BZ2317" s="2" t="s">
        <v>100</v>
      </c>
    </row>
    <row r="2318">
      <c r="A2318" s="2" t="s">
        <v>7335</v>
      </c>
      <c r="B2318" s="2" t="s">
        <v>5764</v>
      </c>
      <c r="C2318" s="2" t="s">
        <v>2331</v>
      </c>
      <c r="D2318" s="2" t="s">
        <v>803</v>
      </c>
      <c r="E2318" s="2" t="s">
        <v>804</v>
      </c>
      <c r="F2318" s="2" t="s">
        <v>7313</v>
      </c>
      <c r="G2318" s="2" t="s">
        <v>7313</v>
      </c>
      <c r="H2318" s="2" t="s">
        <v>7313</v>
      </c>
      <c r="I2318" s="2" t="s">
        <v>7314</v>
      </c>
      <c r="J2318" s="2" t="s">
        <v>247</v>
      </c>
      <c r="K2318" s="2" t="s">
        <v>7336</v>
      </c>
      <c r="L2318" s="3">
        <v>56.45</v>
      </c>
      <c r="M2318" s="3">
        <v>59.27</v>
      </c>
      <c r="N2318" s="3">
        <v>118.99</v>
      </c>
      <c r="O2318" s="2" t="s">
        <v>97</v>
      </c>
      <c r="P2318" s="2" t="s">
        <v>372</v>
      </c>
      <c r="Q2318" s="2" t="s">
        <v>99</v>
      </c>
      <c r="R2318" s="2" t="s">
        <v>100</v>
      </c>
      <c r="S2318" s="2" t="s">
        <v>7337</v>
      </c>
      <c r="T2318" s="2" t="s">
        <v>5945</v>
      </c>
      <c r="U2318" s="2" t="s">
        <v>402</v>
      </c>
      <c r="V2318" s="2" t="s">
        <v>146</v>
      </c>
      <c r="W2318" s="2" t="s">
        <v>202</v>
      </c>
      <c r="X2318" s="2" t="s">
        <v>219</v>
      </c>
      <c r="Y2318" s="2" t="s">
        <v>869</v>
      </c>
      <c r="Z2318" s="4">
        <v>1422</v>
      </c>
      <c r="AA2318" s="4">
        <f>=ROUNDDOWN(45.8709677419355,0)</f>
      </c>
      <c r="AB2318" s="5">
        <v>31</v>
      </c>
      <c r="AC2318" s="2" t="s">
        <v>1102</v>
      </c>
      <c r="AD2318" s="4">
        <v>100</v>
      </c>
      <c r="AE2318" s="4">
        <v>360</v>
      </c>
      <c r="AF2318" s="6">
        <v>65</v>
      </c>
      <c r="AG2318" s="6"/>
      <c r="AH2318" s="7">
        <v>0.615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158</v>
      </c>
      <c r="BK2318" s="8">
        <v>8694.53</v>
      </c>
      <c r="BL2318" s="2" t="s">
        <v>7338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207</v>
      </c>
      <c r="BV2318" s="2" t="s">
        <v>97</v>
      </c>
      <c r="BW2318" s="2" t="s">
        <v>100</v>
      </c>
      <c r="BX2318" s="2" t="s">
        <v>100</v>
      </c>
      <c r="BY2318" s="2" t="s">
        <v>113</v>
      </c>
      <c r="BZ2318" s="2" t="s">
        <v>100</v>
      </c>
    </row>
    <row r="2319">
      <c r="A2319" s="2" t="s">
        <v>7339</v>
      </c>
      <c r="B2319" s="2" t="s">
        <v>5764</v>
      </c>
      <c r="C2319" s="2" t="s">
        <v>2331</v>
      </c>
      <c r="D2319" s="2" t="s">
        <v>803</v>
      </c>
      <c r="E2319" s="2" t="s">
        <v>804</v>
      </c>
      <c r="F2319" s="2" t="s">
        <v>7313</v>
      </c>
      <c r="G2319" s="2" t="s">
        <v>7313</v>
      </c>
      <c r="H2319" s="2" t="s">
        <v>7313</v>
      </c>
      <c r="I2319" s="2" t="s">
        <v>7314</v>
      </c>
      <c r="J2319" s="2" t="s">
        <v>714</v>
      </c>
      <c r="K2319" s="2" t="s">
        <v>7336</v>
      </c>
      <c r="L2319" s="3">
        <v>63.11</v>
      </c>
      <c r="M2319" s="3">
        <v>66.27</v>
      </c>
      <c r="N2319" s="3">
        <v>132.99</v>
      </c>
      <c r="O2319" s="2" t="s">
        <v>97</v>
      </c>
      <c r="P2319" s="2" t="s">
        <v>372</v>
      </c>
      <c r="Q2319" s="2" t="s">
        <v>99</v>
      </c>
      <c r="R2319" s="2" t="s">
        <v>100</v>
      </c>
      <c r="S2319" s="2" t="s">
        <v>7337</v>
      </c>
      <c r="T2319" s="2" t="s">
        <v>5945</v>
      </c>
      <c r="U2319" s="2" t="s">
        <v>402</v>
      </c>
      <c r="V2319" s="2" t="s">
        <v>146</v>
      </c>
      <c r="W2319" s="2" t="s">
        <v>202</v>
      </c>
      <c r="X2319" s="2" t="s">
        <v>219</v>
      </c>
      <c r="Y2319" s="2" t="s">
        <v>869</v>
      </c>
      <c r="Z2319" s="4">
        <v>1256</v>
      </c>
      <c r="AA2319" s="4">
        <f>=ROUNDDOWN(43.3103448275862,0)</f>
      </c>
      <c r="AB2319" s="5">
        <v>29</v>
      </c>
      <c r="AC2319" s="2" t="s">
        <v>1102</v>
      </c>
      <c r="AD2319" s="4">
        <v>90</v>
      </c>
      <c r="AE2319" s="4">
        <v>300</v>
      </c>
      <c r="AF2319" s="6">
        <v>65</v>
      </c>
      <c r="AG2319" s="6"/>
      <c r="AH2319" s="7">
        <v>0.615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>
        <v>140</v>
      </c>
      <c r="BK2319" s="8">
        <v>8724.6</v>
      </c>
      <c r="BL2319" s="2" t="s">
        <v>7340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207</v>
      </c>
      <c r="BV2319" s="2" t="s">
        <v>97</v>
      </c>
      <c r="BW2319" s="2" t="s">
        <v>100</v>
      </c>
      <c r="BX2319" s="2" t="s">
        <v>100</v>
      </c>
      <c r="BY2319" s="2" t="s">
        <v>113</v>
      </c>
      <c r="BZ2319" s="2" t="s">
        <v>100</v>
      </c>
    </row>
    <row r="2320">
      <c r="A2320" s="2" t="s">
        <v>7341</v>
      </c>
      <c r="B2320" s="2" t="s">
        <v>5764</v>
      </c>
      <c r="C2320" s="2" t="s">
        <v>2331</v>
      </c>
      <c r="D2320" s="2" t="s">
        <v>803</v>
      </c>
      <c r="E2320" s="2" t="s">
        <v>804</v>
      </c>
      <c r="F2320" s="2" t="s">
        <v>7313</v>
      </c>
      <c r="G2320" s="2" t="s">
        <v>7313</v>
      </c>
      <c r="H2320" s="2" t="s">
        <v>7313</v>
      </c>
      <c r="I2320" s="2" t="s">
        <v>7314</v>
      </c>
      <c r="J2320" s="2" t="s">
        <v>247</v>
      </c>
      <c r="K2320" s="2" t="s">
        <v>7342</v>
      </c>
      <c r="L2320" s="3">
        <v>56.45</v>
      </c>
      <c r="M2320" s="3">
        <v>59.27</v>
      </c>
      <c r="N2320" s="3">
        <v>118.99</v>
      </c>
      <c r="O2320" s="2" t="s">
        <v>97</v>
      </c>
      <c r="P2320" s="2" t="s">
        <v>950</v>
      </c>
      <c r="Q2320" s="2" t="s">
        <v>99</v>
      </c>
      <c r="R2320" s="2" t="s">
        <v>100</v>
      </c>
      <c r="S2320" s="2" t="s">
        <v>100</v>
      </c>
      <c r="T2320" s="2" t="s">
        <v>5945</v>
      </c>
      <c r="U2320" s="2" t="s">
        <v>402</v>
      </c>
      <c r="V2320" s="2" t="s">
        <v>146</v>
      </c>
      <c r="W2320" s="2" t="s">
        <v>202</v>
      </c>
      <c r="X2320" s="2" t="s">
        <v>219</v>
      </c>
      <c r="Y2320" s="2" t="s">
        <v>7343</v>
      </c>
      <c r="Z2320" s="4">
        <v>1269</v>
      </c>
      <c r="AA2320" s="4">
        <f>=ROUNDDOWN(40.9354838709677,0)</f>
      </c>
      <c r="AB2320" s="5">
        <v>31</v>
      </c>
      <c r="AC2320" s="2" t="s">
        <v>1102</v>
      </c>
      <c r="AD2320" s="4">
        <v>90</v>
      </c>
      <c r="AE2320" s="4">
        <v>320</v>
      </c>
      <c r="AF2320" s="6">
        <v>65</v>
      </c>
      <c r="AG2320" s="6"/>
      <c r="AH2320" s="7">
        <v>0.6257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145</v>
      </c>
      <c r="BK2320" s="8">
        <v>7939.65</v>
      </c>
      <c r="BL2320" s="2" t="s">
        <v>7344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207</v>
      </c>
      <c r="BV2320" s="2" t="s">
        <v>97</v>
      </c>
      <c r="BW2320" s="2" t="s">
        <v>100</v>
      </c>
      <c r="BX2320" s="2" t="s">
        <v>100</v>
      </c>
      <c r="BY2320" s="2" t="s">
        <v>113</v>
      </c>
      <c r="BZ2320" s="2" t="s">
        <v>100</v>
      </c>
    </row>
    <row r="2321">
      <c r="A2321" s="2" t="s">
        <v>7345</v>
      </c>
      <c r="B2321" s="2" t="s">
        <v>5764</v>
      </c>
      <c r="C2321" s="2" t="s">
        <v>2331</v>
      </c>
      <c r="D2321" s="2" t="s">
        <v>803</v>
      </c>
      <c r="E2321" s="2" t="s">
        <v>804</v>
      </c>
      <c r="F2321" s="2" t="s">
        <v>7313</v>
      </c>
      <c r="G2321" s="2" t="s">
        <v>7313</v>
      </c>
      <c r="H2321" s="2" t="s">
        <v>7313</v>
      </c>
      <c r="I2321" s="2" t="s">
        <v>7314</v>
      </c>
      <c r="J2321" s="2" t="s">
        <v>714</v>
      </c>
      <c r="K2321" s="2" t="s">
        <v>7342</v>
      </c>
      <c r="L2321" s="3">
        <v>63.11</v>
      </c>
      <c r="M2321" s="3">
        <v>66.27</v>
      </c>
      <c r="N2321" s="3">
        <v>132.99</v>
      </c>
      <c r="O2321" s="2" t="s">
        <v>97</v>
      </c>
      <c r="P2321" s="2" t="s">
        <v>950</v>
      </c>
      <c r="Q2321" s="2" t="s">
        <v>99</v>
      </c>
      <c r="R2321" s="2" t="s">
        <v>100</v>
      </c>
      <c r="S2321" s="2" t="s">
        <v>100</v>
      </c>
      <c r="T2321" s="2" t="s">
        <v>5945</v>
      </c>
      <c r="U2321" s="2" t="s">
        <v>402</v>
      </c>
      <c r="V2321" s="2" t="s">
        <v>146</v>
      </c>
      <c r="W2321" s="2" t="s">
        <v>202</v>
      </c>
      <c r="X2321" s="2" t="s">
        <v>219</v>
      </c>
      <c r="Y2321" s="2" t="s">
        <v>7343</v>
      </c>
      <c r="Z2321" s="4">
        <v>993</v>
      </c>
      <c r="AA2321" s="4">
        <f>=ROUNDDOWN(43.1739130434783,0)</f>
      </c>
      <c r="AB2321" s="5">
        <v>23</v>
      </c>
      <c r="AC2321" s="2" t="s">
        <v>1102</v>
      </c>
      <c r="AD2321" s="4">
        <v>80</v>
      </c>
      <c r="AE2321" s="4">
        <v>250</v>
      </c>
      <c r="AF2321" s="6">
        <v>65</v>
      </c>
      <c r="AG2321" s="6"/>
      <c r="AH2321" s="7">
        <v>0.6257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149</v>
      </c>
      <c r="BK2321" s="8">
        <v>9555.89</v>
      </c>
      <c r="BL2321" s="2" t="s">
        <v>7346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207</v>
      </c>
      <c r="BV2321" s="2" t="s">
        <v>97</v>
      </c>
      <c r="BW2321" s="2" t="s">
        <v>100</v>
      </c>
      <c r="BX2321" s="2" t="s">
        <v>100</v>
      </c>
      <c r="BY2321" s="2" t="s">
        <v>113</v>
      </c>
      <c r="BZ2321" s="2" t="s">
        <v>100</v>
      </c>
    </row>
    <row r="2322">
      <c r="A2322" s="2" t="s">
        <v>7347</v>
      </c>
      <c r="B2322" s="2" t="s">
        <v>5764</v>
      </c>
      <c r="C2322" s="2" t="s">
        <v>2331</v>
      </c>
      <c r="D2322" s="2" t="s">
        <v>803</v>
      </c>
      <c r="E2322" s="2" t="s">
        <v>804</v>
      </c>
      <c r="F2322" s="2" t="s">
        <v>7313</v>
      </c>
      <c r="G2322" s="2" t="s">
        <v>7313</v>
      </c>
      <c r="H2322" s="2" t="s">
        <v>7313</v>
      </c>
      <c r="I2322" s="2" t="s">
        <v>7314</v>
      </c>
      <c r="J2322" s="2" t="s">
        <v>247</v>
      </c>
      <c r="K2322" s="2" t="s">
        <v>7348</v>
      </c>
      <c r="L2322" s="3">
        <v>56.45</v>
      </c>
      <c r="M2322" s="3">
        <v>59.27</v>
      </c>
      <c r="N2322" s="3">
        <v>118.99</v>
      </c>
      <c r="O2322" s="2" t="s">
        <v>97</v>
      </c>
      <c r="P2322" s="2" t="s">
        <v>119</v>
      </c>
      <c r="Q2322" s="2" t="s">
        <v>99</v>
      </c>
      <c r="R2322" s="2" t="s">
        <v>100</v>
      </c>
      <c r="S2322" s="2" t="s">
        <v>7349</v>
      </c>
      <c r="T2322" s="2" t="s">
        <v>5945</v>
      </c>
      <c r="U2322" s="2" t="s">
        <v>402</v>
      </c>
      <c r="V2322" s="2" t="s">
        <v>201</v>
      </c>
      <c r="W2322" s="2" t="s">
        <v>202</v>
      </c>
      <c r="X2322" s="2" t="s">
        <v>219</v>
      </c>
      <c r="Y2322" s="2" t="s">
        <v>7317</v>
      </c>
      <c r="Z2322" s="4">
        <v>384</v>
      </c>
      <c r="AA2322" s="4">
        <f>=ROUNDDOWN(38.4,0)</f>
      </c>
      <c r="AB2322" s="5">
        <v>10</v>
      </c>
      <c r="AC2322" s="2" t="s">
        <v>1102</v>
      </c>
      <c r="AD2322" s="4">
        <v>30</v>
      </c>
      <c r="AE2322" s="4">
        <v>100</v>
      </c>
      <c r="AF2322" s="6">
        <v>65</v>
      </c>
      <c r="AG2322" s="6"/>
      <c r="AH2322" s="7">
        <v>0.5936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70</v>
      </c>
      <c r="BK2322" s="8">
        <v>4035.04</v>
      </c>
      <c r="BL2322" s="2" t="s">
        <v>7350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207</v>
      </c>
      <c r="BV2322" s="2" t="s">
        <v>97</v>
      </c>
      <c r="BW2322" s="2" t="s">
        <v>100</v>
      </c>
      <c r="BX2322" s="2" t="s">
        <v>100</v>
      </c>
      <c r="BY2322" s="2" t="s">
        <v>113</v>
      </c>
      <c r="BZ2322" s="2" t="s">
        <v>100</v>
      </c>
    </row>
    <row r="2323">
      <c r="A2323" s="2" t="s">
        <v>7351</v>
      </c>
      <c r="B2323" s="2" t="s">
        <v>5764</v>
      </c>
      <c r="C2323" s="2" t="s">
        <v>2331</v>
      </c>
      <c r="D2323" s="2" t="s">
        <v>803</v>
      </c>
      <c r="E2323" s="2" t="s">
        <v>804</v>
      </c>
      <c r="F2323" s="2" t="s">
        <v>7313</v>
      </c>
      <c r="G2323" s="2" t="s">
        <v>7313</v>
      </c>
      <c r="H2323" s="2" t="s">
        <v>7313</v>
      </c>
      <c r="I2323" s="2" t="s">
        <v>7314</v>
      </c>
      <c r="J2323" s="2" t="s">
        <v>714</v>
      </c>
      <c r="K2323" s="2" t="s">
        <v>7348</v>
      </c>
      <c r="L2323" s="3">
        <v>63.11</v>
      </c>
      <c r="M2323" s="3">
        <v>66.27</v>
      </c>
      <c r="N2323" s="3">
        <v>132.99</v>
      </c>
      <c r="O2323" s="2" t="s">
        <v>97</v>
      </c>
      <c r="P2323" s="2" t="s">
        <v>119</v>
      </c>
      <c r="Q2323" s="2" t="s">
        <v>99</v>
      </c>
      <c r="R2323" s="2" t="s">
        <v>100</v>
      </c>
      <c r="S2323" s="2" t="s">
        <v>7349</v>
      </c>
      <c r="T2323" s="2" t="s">
        <v>5945</v>
      </c>
      <c r="U2323" s="2" t="s">
        <v>402</v>
      </c>
      <c r="V2323" s="2" t="s">
        <v>201</v>
      </c>
      <c r="W2323" s="2" t="s">
        <v>202</v>
      </c>
      <c r="X2323" s="2" t="s">
        <v>219</v>
      </c>
      <c r="Y2323" s="2" t="s">
        <v>7317</v>
      </c>
      <c r="Z2323" s="4">
        <v>296</v>
      </c>
      <c r="AA2323" s="4">
        <f>=ROUNDDOWN(32.8888888888889,0)</f>
      </c>
      <c r="AB2323" s="5">
        <v>9</v>
      </c>
      <c r="AC2323" s="2" t="s">
        <v>1102</v>
      </c>
      <c r="AD2323" s="4">
        <v>30</v>
      </c>
      <c r="AE2323" s="4">
        <v>90</v>
      </c>
      <c r="AF2323" s="6">
        <v>65</v>
      </c>
      <c r="AG2323" s="6"/>
      <c r="AH2323" s="7">
        <v>0.615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71</v>
      </c>
      <c r="BK2323" s="8">
        <v>4619.39</v>
      </c>
      <c r="BL2323" s="2" t="s">
        <v>7352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207</v>
      </c>
      <c r="BV2323" s="2" t="s">
        <v>97</v>
      </c>
      <c r="BW2323" s="2" t="s">
        <v>100</v>
      </c>
      <c r="BX2323" s="2" t="s">
        <v>100</v>
      </c>
      <c r="BY2323" s="2" t="s">
        <v>113</v>
      </c>
      <c r="BZ2323" s="2" t="s">
        <v>100</v>
      </c>
    </row>
    <row r="2324">
      <c r="A2324" s="2" t="s">
        <v>7353</v>
      </c>
      <c r="B2324" s="2" t="s">
        <v>5764</v>
      </c>
      <c r="C2324" s="2" t="s">
        <v>2331</v>
      </c>
      <c r="D2324" s="2" t="s">
        <v>803</v>
      </c>
      <c r="E2324" s="2" t="s">
        <v>804</v>
      </c>
      <c r="F2324" s="2" t="s">
        <v>7313</v>
      </c>
      <c r="G2324" s="2" t="s">
        <v>7313</v>
      </c>
      <c r="H2324" s="2" t="s">
        <v>7313</v>
      </c>
      <c r="I2324" s="2" t="s">
        <v>7314</v>
      </c>
      <c r="J2324" s="2" t="s">
        <v>247</v>
      </c>
      <c r="K2324" s="2" t="s">
        <v>478</v>
      </c>
      <c r="L2324" s="3">
        <v>56.45</v>
      </c>
      <c r="M2324" s="3">
        <v>59.27</v>
      </c>
      <c r="N2324" s="3">
        <v>118.99</v>
      </c>
      <c r="O2324" s="2" t="s">
        <v>97</v>
      </c>
      <c r="P2324" s="2" t="s">
        <v>950</v>
      </c>
      <c r="Q2324" s="2" t="s">
        <v>99</v>
      </c>
      <c r="R2324" s="2" t="s">
        <v>100</v>
      </c>
      <c r="S2324" s="2" t="s">
        <v>7354</v>
      </c>
      <c r="T2324" s="2" t="s">
        <v>5945</v>
      </c>
      <c r="U2324" s="2" t="s">
        <v>402</v>
      </c>
      <c r="V2324" s="2" t="s">
        <v>146</v>
      </c>
      <c r="W2324" s="2" t="s">
        <v>202</v>
      </c>
      <c r="X2324" s="2" t="s">
        <v>219</v>
      </c>
      <c r="Y2324" s="2" t="s">
        <v>869</v>
      </c>
      <c r="Z2324" s="4">
        <v>575</v>
      </c>
      <c r="AA2324" s="4">
        <f>=ROUNDDOWN(41.0714285714286,0)</f>
      </c>
      <c r="AB2324" s="5">
        <v>14</v>
      </c>
      <c r="AC2324" s="2" t="s">
        <v>1102</v>
      </c>
      <c r="AD2324" s="4">
        <v>40</v>
      </c>
      <c r="AE2324" s="4">
        <v>150</v>
      </c>
      <c r="AF2324" s="6">
        <v>65</v>
      </c>
      <c r="AG2324" s="6"/>
      <c r="AH2324" s="7">
        <v>0.6257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107</v>
      </c>
      <c r="BK2324" s="8">
        <v>5831.86</v>
      </c>
      <c r="BL2324" s="2" t="s">
        <v>7355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207</v>
      </c>
      <c r="BV2324" s="2" t="s">
        <v>97</v>
      </c>
      <c r="BW2324" s="2" t="s">
        <v>100</v>
      </c>
      <c r="BX2324" s="2" t="s">
        <v>100</v>
      </c>
      <c r="BY2324" s="2" t="s">
        <v>113</v>
      </c>
      <c r="BZ2324" s="2" t="s">
        <v>100</v>
      </c>
    </row>
    <row r="2325">
      <c r="A2325" s="2" t="s">
        <v>7356</v>
      </c>
      <c r="B2325" s="2" t="s">
        <v>5764</v>
      </c>
      <c r="C2325" s="2" t="s">
        <v>2331</v>
      </c>
      <c r="D2325" s="2" t="s">
        <v>803</v>
      </c>
      <c r="E2325" s="2" t="s">
        <v>804</v>
      </c>
      <c r="F2325" s="2" t="s">
        <v>7313</v>
      </c>
      <c r="G2325" s="2" t="s">
        <v>7313</v>
      </c>
      <c r="H2325" s="2" t="s">
        <v>7313</v>
      </c>
      <c r="I2325" s="2" t="s">
        <v>7314</v>
      </c>
      <c r="J2325" s="2" t="s">
        <v>714</v>
      </c>
      <c r="K2325" s="2" t="s">
        <v>478</v>
      </c>
      <c r="L2325" s="3">
        <v>63.11</v>
      </c>
      <c r="M2325" s="3">
        <v>66.27</v>
      </c>
      <c r="N2325" s="3">
        <v>132.99</v>
      </c>
      <c r="O2325" s="2" t="s">
        <v>97</v>
      </c>
      <c r="P2325" s="2" t="s">
        <v>950</v>
      </c>
      <c r="Q2325" s="2" t="s">
        <v>99</v>
      </c>
      <c r="R2325" s="2" t="s">
        <v>100</v>
      </c>
      <c r="S2325" s="2" t="s">
        <v>7354</v>
      </c>
      <c r="T2325" s="2" t="s">
        <v>5945</v>
      </c>
      <c r="U2325" s="2" t="s">
        <v>402</v>
      </c>
      <c r="V2325" s="2" t="s">
        <v>146</v>
      </c>
      <c r="W2325" s="2" t="s">
        <v>202</v>
      </c>
      <c r="X2325" s="2" t="s">
        <v>219</v>
      </c>
      <c r="Y2325" s="2" t="s">
        <v>869</v>
      </c>
      <c r="Z2325" s="4">
        <v>615</v>
      </c>
      <c r="AA2325" s="4">
        <f>=ROUNDDOWN(97.6190476190476,0)</f>
      </c>
      <c r="AB2325" s="5">
        <v>6.3</v>
      </c>
      <c r="AC2325" s="2" t="s">
        <v>1102</v>
      </c>
      <c r="AD2325" s="4">
        <v>50</v>
      </c>
      <c r="AE2325" s="4">
        <v>160</v>
      </c>
      <c r="AF2325" s="6">
        <v>65</v>
      </c>
      <c r="AG2325" s="6"/>
      <c r="AH2325" s="7">
        <v>0.6257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97</v>
      </c>
      <c r="BK2325" s="8">
        <v>5966.65</v>
      </c>
      <c r="BL2325" s="2" t="s">
        <v>7357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207</v>
      </c>
      <c r="BV2325" s="2" t="s">
        <v>97</v>
      </c>
      <c r="BW2325" s="2" t="s">
        <v>100</v>
      </c>
      <c r="BX2325" s="2" t="s">
        <v>100</v>
      </c>
      <c r="BY2325" s="2" t="s">
        <v>113</v>
      </c>
      <c r="BZ2325" s="2" t="s">
        <v>100</v>
      </c>
    </row>
    <row r="2326">
      <c r="A2326" s="2" t="s">
        <v>7358</v>
      </c>
      <c r="B2326" s="2" t="s">
        <v>5764</v>
      </c>
      <c r="C2326" s="2" t="s">
        <v>2331</v>
      </c>
      <c r="D2326" s="2" t="s">
        <v>803</v>
      </c>
      <c r="E2326" s="2" t="s">
        <v>804</v>
      </c>
      <c r="F2326" s="2" t="s">
        <v>7313</v>
      </c>
      <c r="G2326" s="2" t="s">
        <v>7313</v>
      </c>
      <c r="H2326" s="2" t="s">
        <v>7313</v>
      </c>
      <c r="I2326" s="2" t="s">
        <v>7314</v>
      </c>
      <c r="J2326" s="2" t="s">
        <v>247</v>
      </c>
      <c r="K2326" s="2" t="s">
        <v>7359</v>
      </c>
      <c r="L2326" s="3">
        <v>56.45</v>
      </c>
      <c r="M2326" s="3">
        <v>59.27</v>
      </c>
      <c r="N2326" s="3">
        <v>118.99</v>
      </c>
      <c r="O2326" s="2" t="s">
        <v>97</v>
      </c>
      <c r="P2326" s="2" t="s">
        <v>119</v>
      </c>
      <c r="Q2326" s="2" t="s">
        <v>99</v>
      </c>
      <c r="R2326" s="2" t="s">
        <v>100</v>
      </c>
      <c r="S2326" s="2" t="s">
        <v>7360</v>
      </c>
      <c r="T2326" s="2" t="s">
        <v>5945</v>
      </c>
      <c r="U2326" s="2" t="s">
        <v>402</v>
      </c>
      <c r="V2326" s="2" t="s">
        <v>201</v>
      </c>
      <c r="W2326" s="2" t="s">
        <v>202</v>
      </c>
      <c r="X2326" s="2" t="s">
        <v>219</v>
      </c>
      <c r="Y2326" s="2" t="s">
        <v>7361</v>
      </c>
      <c r="Z2326" s="4">
        <v>459</v>
      </c>
      <c r="AA2326" s="4">
        <f>=ROUNDDOWN(32.7857142857143,0)</f>
      </c>
      <c r="AB2326" s="5">
        <v>14</v>
      </c>
      <c r="AC2326" s="2" t="s">
        <v>1102</v>
      </c>
      <c r="AD2326" s="4">
        <v>40</v>
      </c>
      <c r="AE2326" s="4">
        <v>140</v>
      </c>
      <c r="AF2326" s="6">
        <v>65</v>
      </c>
      <c r="AG2326" s="6"/>
      <c r="AH2326" s="7">
        <v>0.6257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171</v>
      </c>
      <c r="BK2326" s="8">
        <v>9976.4</v>
      </c>
      <c r="BL2326" s="2" t="s">
        <v>7362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207</v>
      </c>
      <c r="BV2326" s="2" t="s">
        <v>97</v>
      </c>
      <c r="BW2326" s="2" t="s">
        <v>100</v>
      </c>
      <c r="BX2326" s="2" t="s">
        <v>100</v>
      </c>
      <c r="BY2326" s="2" t="s">
        <v>113</v>
      </c>
      <c r="BZ2326" s="2" t="s">
        <v>100</v>
      </c>
    </row>
    <row r="2327">
      <c r="A2327" s="2" t="s">
        <v>7363</v>
      </c>
      <c r="B2327" s="2" t="s">
        <v>5764</v>
      </c>
      <c r="C2327" s="2" t="s">
        <v>2331</v>
      </c>
      <c r="D2327" s="2" t="s">
        <v>803</v>
      </c>
      <c r="E2327" s="2" t="s">
        <v>804</v>
      </c>
      <c r="F2327" s="2" t="s">
        <v>7313</v>
      </c>
      <c r="G2327" s="2" t="s">
        <v>7313</v>
      </c>
      <c r="H2327" s="2" t="s">
        <v>7313</v>
      </c>
      <c r="I2327" s="2" t="s">
        <v>7314</v>
      </c>
      <c r="J2327" s="2" t="s">
        <v>714</v>
      </c>
      <c r="K2327" s="2" t="s">
        <v>7359</v>
      </c>
      <c r="L2327" s="3">
        <v>63.11</v>
      </c>
      <c r="M2327" s="3">
        <v>66.27</v>
      </c>
      <c r="N2327" s="3">
        <v>132.99</v>
      </c>
      <c r="O2327" s="2" t="s">
        <v>97</v>
      </c>
      <c r="P2327" s="2" t="s">
        <v>119</v>
      </c>
      <c r="Q2327" s="2" t="s">
        <v>99</v>
      </c>
      <c r="R2327" s="2" t="s">
        <v>100</v>
      </c>
      <c r="S2327" s="2" t="s">
        <v>7360</v>
      </c>
      <c r="T2327" s="2" t="s">
        <v>5945</v>
      </c>
      <c r="U2327" s="2" t="s">
        <v>402</v>
      </c>
      <c r="V2327" s="2" t="s">
        <v>201</v>
      </c>
      <c r="W2327" s="2" t="s">
        <v>202</v>
      </c>
      <c r="X2327" s="2" t="s">
        <v>219</v>
      </c>
      <c r="Y2327" s="2" t="s">
        <v>7361</v>
      </c>
      <c r="Z2327" s="4">
        <v>400</v>
      </c>
      <c r="AA2327" s="4">
        <f>=ROUNDDOWN(49.3827160493827,0)</f>
      </c>
      <c r="AB2327" s="5">
        <v>8.1</v>
      </c>
      <c r="AC2327" s="2" t="s">
        <v>1102</v>
      </c>
      <c r="AD2327" s="4">
        <v>40</v>
      </c>
      <c r="AE2327" s="4">
        <v>140</v>
      </c>
      <c r="AF2327" s="6">
        <v>65</v>
      </c>
      <c r="AG2327" s="6"/>
      <c r="AH2327" s="7">
        <v>0.6203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182</v>
      </c>
      <c r="BK2327" s="8">
        <v>12113.31</v>
      </c>
      <c r="BL2327" s="2" t="s">
        <v>5855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207</v>
      </c>
      <c r="BV2327" s="2" t="s">
        <v>97</v>
      </c>
      <c r="BW2327" s="2" t="s">
        <v>100</v>
      </c>
      <c r="BX2327" s="2" t="s">
        <v>100</v>
      </c>
      <c r="BY2327" s="2" t="s">
        <v>113</v>
      </c>
      <c r="BZ2327" s="2" t="s">
        <v>100</v>
      </c>
    </row>
    <row r="2328">
      <c r="A2328" s="2" t="s">
        <v>7364</v>
      </c>
      <c r="B2328" s="2" t="s">
        <v>5764</v>
      </c>
      <c r="C2328" s="2" t="s">
        <v>2331</v>
      </c>
      <c r="D2328" s="2" t="s">
        <v>803</v>
      </c>
      <c r="E2328" s="2" t="s">
        <v>804</v>
      </c>
      <c r="F2328" s="2" t="s">
        <v>7313</v>
      </c>
      <c r="G2328" s="2" t="s">
        <v>7313</v>
      </c>
      <c r="H2328" s="2" t="s">
        <v>7313</v>
      </c>
      <c r="I2328" s="2" t="s">
        <v>7314</v>
      </c>
      <c r="J2328" s="2" t="s">
        <v>247</v>
      </c>
      <c r="K2328" s="2" t="s">
        <v>7365</v>
      </c>
      <c r="L2328" s="3">
        <v>56.45</v>
      </c>
      <c r="M2328" s="3">
        <v>59.27</v>
      </c>
      <c r="N2328" s="3">
        <v>118.99</v>
      </c>
      <c r="O2328" s="2" t="s">
        <v>97</v>
      </c>
      <c r="P2328" s="2" t="s">
        <v>119</v>
      </c>
      <c r="Q2328" s="2" t="s">
        <v>99</v>
      </c>
      <c r="R2328" s="2" t="s">
        <v>100</v>
      </c>
      <c r="S2328" s="2" t="s">
        <v>7366</v>
      </c>
      <c r="T2328" s="2" t="s">
        <v>5945</v>
      </c>
      <c r="U2328" s="2" t="s">
        <v>402</v>
      </c>
      <c r="V2328" s="2" t="s">
        <v>201</v>
      </c>
      <c r="W2328" s="2" t="s">
        <v>202</v>
      </c>
      <c r="X2328" s="2" t="s">
        <v>219</v>
      </c>
      <c r="Y2328" s="2" t="s">
        <v>6744</v>
      </c>
      <c r="Z2328" s="4">
        <v>460</v>
      </c>
      <c r="AA2328" s="4">
        <f>=ROUNDDOWN(35.3846153846154,0)</f>
      </c>
      <c r="AB2328" s="5">
        <v>13</v>
      </c>
      <c r="AC2328" s="2" t="s">
        <v>542</v>
      </c>
      <c r="AD2328" s="4">
        <v>30</v>
      </c>
      <c r="AE2328" s="4">
        <v>120</v>
      </c>
      <c r="AF2328" s="6">
        <v>65</v>
      </c>
      <c r="AG2328" s="6"/>
      <c r="AH2328" s="7">
        <v>0.6203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87</v>
      </c>
      <c r="BK2328" s="8">
        <v>4959.17</v>
      </c>
      <c r="BL2328" s="2" t="s">
        <v>7367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207</v>
      </c>
      <c r="BV2328" s="2" t="s">
        <v>97</v>
      </c>
      <c r="BW2328" s="2" t="s">
        <v>100</v>
      </c>
      <c r="BX2328" s="2" t="s">
        <v>100</v>
      </c>
      <c r="BY2328" s="2" t="s">
        <v>113</v>
      </c>
      <c r="BZ2328" s="2" t="s">
        <v>100</v>
      </c>
    </row>
    <row r="2329">
      <c r="A2329" s="2" t="s">
        <v>7368</v>
      </c>
      <c r="B2329" s="2" t="s">
        <v>5764</v>
      </c>
      <c r="C2329" s="2" t="s">
        <v>2331</v>
      </c>
      <c r="D2329" s="2" t="s">
        <v>803</v>
      </c>
      <c r="E2329" s="2" t="s">
        <v>804</v>
      </c>
      <c r="F2329" s="2" t="s">
        <v>7313</v>
      </c>
      <c r="G2329" s="2" t="s">
        <v>7313</v>
      </c>
      <c r="H2329" s="2" t="s">
        <v>7313</v>
      </c>
      <c r="I2329" s="2" t="s">
        <v>7314</v>
      </c>
      <c r="J2329" s="2" t="s">
        <v>714</v>
      </c>
      <c r="K2329" s="2" t="s">
        <v>7365</v>
      </c>
      <c r="L2329" s="3">
        <v>63.11</v>
      </c>
      <c r="M2329" s="3">
        <v>66.27</v>
      </c>
      <c r="N2329" s="3">
        <v>132.99</v>
      </c>
      <c r="O2329" s="2" t="s">
        <v>97</v>
      </c>
      <c r="P2329" s="2" t="s">
        <v>119</v>
      </c>
      <c r="Q2329" s="2" t="s">
        <v>99</v>
      </c>
      <c r="R2329" s="2" t="s">
        <v>100</v>
      </c>
      <c r="S2329" s="2" t="s">
        <v>7366</v>
      </c>
      <c r="T2329" s="2" t="s">
        <v>5945</v>
      </c>
      <c r="U2329" s="2" t="s">
        <v>402</v>
      </c>
      <c r="V2329" s="2" t="s">
        <v>201</v>
      </c>
      <c r="W2329" s="2" t="s">
        <v>202</v>
      </c>
      <c r="X2329" s="2" t="s">
        <v>219</v>
      </c>
      <c r="Y2329" s="2" t="s">
        <v>4582</v>
      </c>
      <c r="Z2329" s="4">
        <v>451</v>
      </c>
      <c r="AA2329" s="4">
        <f>=ROUNDDOWN(37.5833333333333,0)</f>
      </c>
      <c r="AB2329" s="5">
        <v>12</v>
      </c>
      <c r="AC2329" s="2" t="s">
        <v>542</v>
      </c>
      <c r="AD2329" s="4">
        <v>40</v>
      </c>
      <c r="AE2329" s="4">
        <v>120</v>
      </c>
      <c r="AF2329" s="6">
        <v>65</v>
      </c>
      <c r="AG2329" s="6"/>
      <c r="AH2329" s="7">
        <v>0.5936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84</v>
      </c>
      <c r="BK2329" s="8">
        <v>5188.14</v>
      </c>
      <c r="BL2329" s="2" t="s">
        <v>7369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207</v>
      </c>
      <c r="BV2329" s="2" t="s">
        <v>97</v>
      </c>
      <c r="BW2329" s="2" t="s">
        <v>100</v>
      </c>
      <c r="BX2329" s="2" t="s">
        <v>100</v>
      </c>
      <c r="BY2329" s="2" t="s">
        <v>113</v>
      </c>
      <c r="BZ2329" s="2" t="s">
        <v>100</v>
      </c>
    </row>
    <row r="2330">
      <c r="A2330" s="2" t="s">
        <v>7370</v>
      </c>
      <c r="B2330" s="2" t="s">
        <v>5764</v>
      </c>
      <c r="C2330" s="2" t="s">
        <v>2331</v>
      </c>
      <c r="D2330" s="2" t="s">
        <v>803</v>
      </c>
      <c r="E2330" s="2" t="s">
        <v>804</v>
      </c>
      <c r="F2330" s="2" t="s">
        <v>7313</v>
      </c>
      <c r="G2330" s="2" t="s">
        <v>7313</v>
      </c>
      <c r="H2330" s="2" t="s">
        <v>7313</v>
      </c>
      <c r="I2330" s="2" t="s">
        <v>7314</v>
      </c>
      <c r="J2330" s="2" t="s">
        <v>247</v>
      </c>
      <c r="K2330" s="2" t="s">
        <v>7371</v>
      </c>
      <c r="L2330" s="3">
        <v>56.45</v>
      </c>
      <c r="M2330" s="3">
        <v>59.27</v>
      </c>
      <c r="N2330" s="3">
        <v>118.99</v>
      </c>
      <c r="O2330" s="2" t="s">
        <v>97</v>
      </c>
      <c r="P2330" s="2" t="s">
        <v>119</v>
      </c>
      <c r="Q2330" s="2" t="s">
        <v>99</v>
      </c>
      <c r="R2330" s="2" t="s">
        <v>100</v>
      </c>
      <c r="S2330" s="2" t="s">
        <v>100</v>
      </c>
      <c r="T2330" s="2" t="s">
        <v>5945</v>
      </c>
      <c r="U2330" s="2" t="s">
        <v>402</v>
      </c>
      <c r="V2330" s="2" t="s">
        <v>146</v>
      </c>
      <c r="W2330" s="2" t="s">
        <v>202</v>
      </c>
      <c r="X2330" s="2" t="s">
        <v>219</v>
      </c>
      <c r="Y2330" s="2" t="s">
        <v>7343</v>
      </c>
      <c r="Z2330" s="4">
        <v>812</v>
      </c>
      <c r="AA2330" s="4">
        <f>=ROUNDDOWN(116,0)</f>
      </c>
      <c r="AB2330" s="5">
        <v>7</v>
      </c>
      <c r="AC2330" s="2" t="s">
        <v>542</v>
      </c>
      <c r="AD2330" s="4">
        <v>50</v>
      </c>
      <c r="AE2330" s="4">
        <v>200</v>
      </c>
      <c r="AF2330" s="6">
        <v>65</v>
      </c>
      <c r="AG2330" s="6"/>
      <c r="AH2330" s="7">
        <v>0.6203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95</v>
      </c>
      <c r="BK2330" s="8">
        <v>5303.14</v>
      </c>
      <c r="BL2330" s="2" t="s">
        <v>7372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207</v>
      </c>
      <c r="BV2330" s="2" t="s">
        <v>97</v>
      </c>
      <c r="BW2330" s="2" t="s">
        <v>100</v>
      </c>
      <c r="BX2330" s="2" t="s">
        <v>100</v>
      </c>
      <c r="BY2330" s="2" t="s">
        <v>113</v>
      </c>
      <c r="BZ2330" s="2" t="s">
        <v>100</v>
      </c>
    </row>
    <row r="2331">
      <c r="A2331" s="2" t="s">
        <v>7373</v>
      </c>
      <c r="B2331" s="2" t="s">
        <v>5764</v>
      </c>
      <c r="C2331" s="2" t="s">
        <v>2331</v>
      </c>
      <c r="D2331" s="2" t="s">
        <v>803</v>
      </c>
      <c r="E2331" s="2" t="s">
        <v>804</v>
      </c>
      <c r="F2331" s="2" t="s">
        <v>7313</v>
      </c>
      <c r="G2331" s="2" t="s">
        <v>7313</v>
      </c>
      <c r="H2331" s="2" t="s">
        <v>7313</v>
      </c>
      <c r="I2331" s="2" t="s">
        <v>7314</v>
      </c>
      <c r="J2331" s="2" t="s">
        <v>714</v>
      </c>
      <c r="K2331" s="2" t="s">
        <v>7371</v>
      </c>
      <c r="L2331" s="3">
        <v>63.11</v>
      </c>
      <c r="M2331" s="3">
        <v>66.27</v>
      </c>
      <c r="N2331" s="3">
        <v>132.99</v>
      </c>
      <c r="O2331" s="2" t="s">
        <v>97</v>
      </c>
      <c r="P2331" s="2" t="s">
        <v>119</v>
      </c>
      <c r="Q2331" s="2" t="s">
        <v>99</v>
      </c>
      <c r="R2331" s="2" t="s">
        <v>100</v>
      </c>
      <c r="S2331" s="2" t="s">
        <v>100</v>
      </c>
      <c r="T2331" s="2" t="s">
        <v>5945</v>
      </c>
      <c r="U2331" s="2" t="s">
        <v>402</v>
      </c>
      <c r="V2331" s="2" t="s">
        <v>146</v>
      </c>
      <c r="W2331" s="2" t="s">
        <v>202</v>
      </c>
      <c r="X2331" s="2" t="s">
        <v>219</v>
      </c>
      <c r="Y2331" s="2" t="s">
        <v>7343</v>
      </c>
      <c r="Z2331" s="4">
        <v>1172</v>
      </c>
      <c r="AA2331" s="4">
        <f>=ROUNDDOWN(43.4074074074074,0)</f>
      </c>
      <c r="AB2331" s="5">
        <v>27</v>
      </c>
      <c r="AC2331" s="2" t="s">
        <v>542</v>
      </c>
      <c r="AD2331" s="4">
        <v>90</v>
      </c>
      <c r="AE2331" s="4">
        <v>290</v>
      </c>
      <c r="AF2331" s="6">
        <v>65</v>
      </c>
      <c r="AG2331" s="6"/>
      <c r="AH2331" s="7">
        <v>0.615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155</v>
      </c>
      <c r="BK2331" s="8">
        <v>9822.13</v>
      </c>
      <c r="BL2331" s="2" t="s">
        <v>7374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207</v>
      </c>
      <c r="BV2331" s="2" t="s">
        <v>97</v>
      </c>
      <c r="BW2331" s="2" t="s">
        <v>100</v>
      </c>
      <c r="BX2331" s="2" t="s">
        <v>100</v>
      </c>
      <c r="BY2331" s="2" t="s">
        <v>113</v>
      </c>
      <c r="BZ2331" s="2" t="s">
        <v>100</v>
      </c>
    </row>
    <row r="2332">
      <c r="A2332" s="2" t="s">
        <v>7375</v>
      </c>
      <c r="B2332" s="2" t="s">
        <v>5764</v>
      </c>
      <c r="C2332" s="2" t="s">
        <v>2331</v>
      </c>
      <c r="D2332" s="2" t="s">
        <v>89</v>
      </c>
      <c r="E2332" s="2" t="s">
        <v>506</v>
      </c>
      <c r="F2332" s="2" t="s">
        <v>7376</v>
      </c>
      <c r="G2332" s="2" t="s">
        <v>7376</v>
      </c>
      <c r="H2332" s="2" t="s">
        <v>7376</v>
      </c>
      <c r="I2332" s="2" t="s">
        <v>7377</v>
      </c>
      <c r="J2332" s="2" t="s">
        <v>247</v>
      </c>
      <c r="K2332" s="2" t="s">
        <v>7378</v>
      </c>
      <c r="L2332" s="3">
        <v>42.85</v>
      </c>
      <c r="M2332" s="3">
        <v>44.99</v>
      </c>
      <c r="N2332" s="3">
        <v>89.99</v>
      </c>
      <c r="O2332" s="2" t="s">
        <v>97</v>
      </c>
      <c r="P2332" s="2" t="s">
        <v>372</v>
      </c>
      <c r="Q2332" s="2" t="s">
        <v>99</v>
      </c>
      <c r="R2332" s="2" t="s">
        <v>100</v>
      </c>
      <c r="S2332" s="2" t="s">
        <v>7379</v>
      </c>
      <c r="T2332" s="2" t="s">
        <v>4441</v>
      </c>
      <c r="U2332" s="2" t="s">
        <v>480</v>
      </c>
      <c r="V2332" s="2" t="s">
        <v>132</v>
      </c>
      <c r="W2332" s="2" t="s">
        <v>7380</v>
      </c>
      <c r="X2332" s="2" t="s">
        <v>219</v>
      </c>
      <c r="Y2332" s="2" t="s">
        <v>6744</v>
      </c>
      <c r="Z2332" s="4">
        <v>927</v>
      </c>
      <c r="AA2332" s="4">
        <f>=ROUNDDOWN(28.0909090909091,0)</f>
      </c>
      <c r="AB2332" s="5">
        <v>33</v>
      </c>
      <c r="AC2332" s="2" t="s">
        <v>542</v>
      </c>
      <c r="AD2332" s="4">
        <v>200</v>
      </c>
      <c r="AE2332" s="4">
        <v>420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581</v>
      </c>
      <c r="BK2332" s="8">
        <v>27105.73</v>
      </c>
      <c r="BL2332" s="2" t="s">
        <v>548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207</v>
      </c>
      <c r="BV2332" s="2" t="s">
        <v>97</v>
      </c>
      <c r="BW2332" s="2" t="s">
        <v>100</v>
      </c>
      <c r="BX2332" s="2" t="s">
        <v>100</v>
      </c>
      <c r="BY2332" s="2" t="s">
        <v>113</v>
      </c>
      <c r="BZ2332" s="2" t="s">
        <v>100</v>
      </c>
    </row>
    <row r="2333">
      <c r="A2333" s="2" t="s">
        <v>7381</v>
      </c>
      <c r="B2333" s="2" t="s">
        <v>5764</v>
      </c>
      <c r="C2333" s="2" t="s">
        <v>2331</v>
      </c>
      <c r="D2333" s="2" t="s">
        <v>89</v>
      </c>
      <c r="E2333" s="2" t="s">
        <v>506</v>
      </c>
      <c r="F2333" s="2" t="s">
        <v>7376</v>
      </c>
      <c r="G2333" s="2" t="s">
        <v>7376</v>
      </c>
      <c r="H2333" s="2" t="s">
        <v>7376</v>
      </c>
      <c r="I2333" s="2" t="s">
        <v>7377</v>
      </c>
      <c r="J2333" s="2" t="s">
        <v>270</v>
      </c>
      <c r="K2333" s="2" t="s">
        <v>7378</v>
      </c>
      <c r="L2333" s="3">
        <v>47.61</v>
      </c>
      <c r="M2333" s="3">
        <v>49.99</v>
      </c>
      <c r="N2333" s="3">
        <v>99.99</v>
      </c>
      <c r="O2333" s="2" t="s">
        <v>97</v>
      </c>
      <c r="P2333" s="2" t="s">
        <v>372</v>
      </c>
      <c r="Q2333" s="2" t="s">
        <v>99</v>
      </c>
      <c r="R2333" s="2" t="s">
        <v>100</v>
      </c>
      <c r="S2333" s="2" t="s">
        <v>7379</v>
      </c>
      <c r="T2333" s="2" t="s">
        <v>4441</v>
      </c>
      <c r="U2333" s="2" t="s">
        <v>480</v>
      </c>
      <c r="V2333" s="2" t="s">
        <v>132</v>
      </c>
      <c r="W2333" s="2" t="s">
        <v>7380</v>
      </c>
      <c r="X2333" s="2" t="s">
        <v>219</v>
      </c>
      <c r="Y2333" s="2" t="s">
        <v>6744</v>
      </c>
      <c r="Z2333" s="4">
        <v>903</v>
      </c>
      <c r="AA2333" s="4">
        <f>=ROUNDDOWN(16.7222222222222,0)</f>
      </c>
      <c r="AB2333" s="5">
        <v>54</v>
      </c>
      <c r="AC2333" s="2" t="s">
        <v>542</v>
      </c>
      <c r="AD2333" s="4">
        <v>140</v>
      </c>
      <c r="AE2333" s="4">
        <v>380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949</v>
      </c>
      <c r="BK2333" s="8">
        <v>49761.85</v>
      </c>
      <c r="BL2333" s="2" t="s">
        <v>7382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207</v>
      </c>
      <c r="BV2333" s="2" t="s">
        <v>97</v>
      </c>
      <c r="BW2333" s="2" t="s">
        <v>100</v>
      </c>
      <c r="BX2333" s="2" t="s">
        <v>100</v>
      </c>
      <c r="BY2333" s="2" t="s">
        <v>113</v>
      </c>
      <c r="BZ2333" s="2" t="s">
        <v>100</v>
      </c>
    </row>
    <row r="2334">
      <c r="A2334" s="2" t="s">
        <v>7383</v>
      </c>
      <c r="B2334" s="2" t="s">
        <v>5764</v>
      </c>
      <c r="C2334" s="2" t="s">
        <v>2331</v>
      </c>
      <c r="D2334" s="2" t="s">
        <v>1842</v>
      </c>
      <c r="E2334" s="2" t="s">
        <v>6020</v>
      </c>
      <c r="F2334" s="2" t="s">
        <v>7384</v>
      </c>
      <c r="G2334" s="2" t="s">
        <v>7384</v>
      </c>
      <c r="H2334" s="2" t="s">
        <v>7384</v>
      </c>
      <c r="I2334" s="2" t="s">
        <v>7385</v>
      </c>
      <c r="J2334" s="2" t="s">
        <v>5024</v>
      </c>
      <c r="K2334" s="2" t="s">
        <v>858</v>
      </c>
      <c r="L2334" s="3">
        <v>20.14</v>
      </c>
      <c r="M2334" s="3">
        <v>21.15</v>
      </c>
      <c r="N2334" s="3">
        <v>44.99</v>
      </c>
      <c r="O2334" s="2" t="s">
        <v>97</v>
      </c>
      <c r="P2334" s="2" t="s">
        <v>119</v>
      </c>
      <c r="Q2334" s="2" t="s">
        <v>99</v>
      </c>
      <c r="R2334" s="2" t="s">
        <v>100</v>
      </c>
      <c r="S2334" s="2" t="s">
        <v>7386</v>
      </c>
      <c r="T2334" s="2" t="s">
        <v>5945</v>
      </c>
      <c r="U2334" s="2" t="s">
        <v>1847</v>
      </c>
      <c r="V2334" s="2" t="s">
        <v>201</v>
      </c>
      <c r="W2334" s="2" t="s">
        <v>202</v>
      </c>
      <c r="X2334" s="2" t="s">
        <v>309</v>
      </c>
      <c r="Y2334" s="2" t="s">
        <v>416</v>
      </c>
      <c r="Z2334" s="4">
        <v>230</v>
      </c>
      <c r="AA2334" s="4">
        <f>=ROUNDDOWN(25,0)</f>
      </c>
      <c r="AB2334" s="5">
        <v>9.2</v>
      </c>
      <c r="AC2334" s="2" t="s">
        <v>768</v>
      </c>
      <c r="AD2334" s="4">
        <v>800</v>
      </c>
      <c r="AE2334" s="4">
        <v>800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222</v>
      </c>
      <c r="BK2334" s="8">
        <v>5513.15</v>
      </c>
      <c r="BL2334" s="2" t="s">
        <v>7387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207</v>
      </c>
      <c r="BV2334" s="2" t="s">
        <v>97</v>
      </c>
      <c r="BW2334" s="2" t="s">
        <v>100</v>
      </c>
      <c r="BX2334" s="2" t="s">
        <v>100</v>
      </c>
      <c r="BY2334" s="2" t="s">
        <v>113</v>
      </c>
      <c r="BZ2334" s="2" t="s">
        <v>100</v>
      </c>
    </row>
    <row r="2335">
      <c r="A2335" s="2" t="s">
        <v>7388</v>
      </c>
      <c r="B2335" s="2" t="s">
        <v>5764</v>
      </c>
      <c r="C2335" s="2" t="s">
        <v>2331</v>
      </c>
      <c r="D2335" s="2" t="s">
        <v>1842</v>
      </c>
      <c r="E2335" s="2" t="s">
        <v>6020</v>
      </c>
      <c r="F2335" s="2" t="s">
        <v>7384</v>
      </c>
      <c r="G2335" s="2" t="s">
        <v>7384</v>
      </c>
      <c r="H2335" s="2" t="s">
        <v>7384</v>
      </c>
      <c r="I2335" s="2" t="s">
        <v>7385</v>
      </c>
      <c r="J2335" s="2" t="s">
        <v>5024</v>
      </c>
      <c r="K2335" s="2" t="s">
        <v>1172</v>
      </c>
      <c r="L2335" s="3">
        <v>20.14</v>
      </c>
      <c r="M2335" s="3">
        <v>21.15</v>
      </c>
      <c r="N2335" s="3">
        <v>44.99</v>
      </c>
      <c r="O2335" s="2" t="s">
        <v>97</v>
      </c>
      <c r="P2335" s="2" t="s">
        <v>119</v>
      </c>
      <c r="Q2335" s="2" t="s">
        <v>99</v>
      </c>
      <c r="R2335" s="2" t="s">
        <v>100</v>
      </c>
      <c r="S2335" s="2" t="s">
        <v>7389</v>
      </c>
      <c r="T2335" s="2" t="s">
        <v>5945</v>
      </c>
      <c r="U2335" s="2" t="s">
        <v>1847</v>
      </c>
      <c r="V2335" s="2" t="s">
        <v>201</v>
      </c>
      <c r="W2335" s="2" t="s">
        <v>202</v>
      </c>
      <c r="X2335" s="2" t="s">
        <v>309</v>
      </c>
      <c r="Y2335" s="2" t="s">
        <v>416</v>
      </c>
      <c r="Z2335" s="4">
        <v>296</v>
      </c>
      <c r="AA2335" s="4">
        <f>=ROUNDDOWN(24.6666666666667,0)</f>
      </c>
      <c r="AB2335" s="5">
        <v>12</v>
      </c>
      <c r="AC2335" s="2" t="s">
        <v>7390</v>
      </c>
      <c r="AD2335" s="4">
        <v>800</v>
      </c>
      <c r="AE2335" s="4">
        <v>800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248</v>
      </c>
      <c r="BK2335" s="8">
        <v>6130.56</v>
      </c>
      <c r="BL2335" s="2" t="s">
        <v>7391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207</v>
      </c>
      <c r="BV2335" s="2" t="s">
        <v>97</v>
      </c>
      <c r="BW2335" s="2" t="s">
        <v>100</v>
      </c>
      <c r="BX2335" s="2" t="s">
        <v>100</v>
      </c>
      <c r="BY2335" s="2" t="s">
        <v>113</v>
      </c>
      <c r="BZ2335" s="2" t="s">
        <v>100</v>
      </c>
    </row>
    <row r="2336">
      <c r="A2336" s="2" t="s">
        <v>7392</v>
      </c>
      <c r="B2336" s="2" t="s">
        <v>5764</v>
      </c>
      <c r="C2336" s="2" t="s">
        <v>1867</v>
      </c>
      <c r="D2336" s="2" t="s">
        <v>803</v>
      </c>
      <c r="E2336" s="2" t="s">
        <v>1532</v>
      </c>
      <c r="F2336" s="2" t="s">
        <v>7393</v>
      </c>
      <c r="G2336" s="2" t="s">
        <v>7394</v>
      </c>
      <c r="H2336" s="2" t="s">
        <v>7394</v>
      </c>
      <c r="I2336" s="2" t="s">
        <v>7395</v>
      </c>
      <c r="J2336" s="2" t="s">
        <v>237</v>
      </c>
      <c r="K2336" s="2" t="s">
        <v>198</v>
      </c>
      <c r="L2336" s="3">
        <v>19.6</v>
      </c>
      <c r="M2336" s="3">
        <v>20.58</v>
      </c>
      <c r="N2336" s="3">
        <v>39.99</v>
      </c>
      <c r="O2336" s="2" t="s">
        <v>97</v>
      </c>
      <c r="P2336" s="2" t="s">
        <v>98</v>
      </c>
      <c r="Q2336" s="2" t="s">
        <v>99</v>
      </c>
      <c r="R2336" s="2" t="s">
        <v>100</v>
      </c>
      <c r="S2336" s="2" t="s">
        <v>7396</v>
      </c>
      <c r="T2336" s="2" t="s">
        <v>218</v>
      </c>
      <c r="U2336" s="2" t="s">
        <v>514</v>
      </c>
      <c r="V2336" s="2" t="s">
        <v>201</v>
      </c>
      <c r="W2336" s="2" t="s">
        <v>202</v>
      </c>
      <c r="X2336" s="2" t="s">
        <v>100</v>
      </c>
      <c r="Y2336" s="2" t="s">
        <v>4696</v>
      </c>
      <c r="Z2336" s="4">
        <v>762</v>
      </c>
      <c r="AA2336" s="4">
        <f>=ROUNDDOWN(30.48,0)</f>
      </c>
      <c r="AB2336" s="5">
        <v>25</v>
      </c>
      <c r="AC2336" s="2" t="s">
        <v>542</v>
      </c>
      <c r="AD2336" s="4">
        <v>750</v>
      </c>
      <c r="AE2336" s="4">
        <v>750</v>
      </c>
      <c r="AF2336" s="6">
        <v>65</v>
      </c>
      <c r="AG2336" s="6">
        <v>48</v>
      </c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>
        <v>102</v>
      </c>
      <c r="AQ2336" s="8">
        <v>1943.1</v>
      </c>
      <c r="AR2336" s="4"/>
      <c r="AS2336" s="8"/>
      <c r="AT2336" s="7"/>
      <c r="AU2336" s="7"/>
      <c r="AV2336" s="4">
        <v>102</v>
      </c>
      <c r="AW2336" s="8">
        <v>1943.1</v>
      </c>
      <c r="AX2336" s="4"/>
      <c r="AY2336" s="8"/>
      <c r="AZ2336" s="7"/>
      <c r="BA2336" s="7"/>
      <c r="BB2336" s="7">
        <v>1</v>
      </c>
      <c r="BC2336" s="4">
        <v>102</v>
      </c>
      <c r="BD2336" s="8">
        <v>1943.1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1</v>
      </c>
      <c r="BJ2336" s="4">
        <v>1018</v>
      </c>
      <c r="BK2336" s="8">
        <v>18880.17</v>
      </c>
      <c r="BL2336" s="2" t="s">
        <v>7397</v>
      </c>
      <c r="BM2336" s="7">
        <v>0.1002</v>
      </c>
      <c r="BN2336" s="7">
        <v>0.1029</v>
      </c>
      <c r="BO2336" s="4">
        <v>102</v>
      </c>
      <c r="BP2336" s="8">
        <v>1943.1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4696</v>
      </c>
      <c r="BX2336" s="2" t="s">
        <v>7398</v>
      </c>
      <c r="BY2336" s="2" t="s">
        <v>113</v>
      </c>
      <c r="BZ2336" s="2" t="s">
        <v>100</v>
      </c>
    </row>
    <row r="2337">
      <c r="A2337" s="2" t="s">
        <v>7399</v>
      </c>
      <c r="B2337" s="2" t="s">
        <v>5764</v>
      </c>
      <c r="C2337" s="2" t="s">
        <v>1867</v>
      </c>
      <c r="D2337" s="2" t="s">
        <v>803</v>
      </c>
      <c r="E2337" s="2" t="s">
        <v>1532</v>
      </c>
      <c r="F2337" s="2" t="s">
        <v>7393</v>
      </c>
      <c r="G2337" s="2" t="s">
        <v>7394</v>
      </c>
      <c r="H2337" s="2" t="s">
        <v>7394</v>
      </c>
      <c r="I2337" s="2" t="s">
        <v>7395</v>
      </c>
      <c r="J2337" s="2" t="s">
        <v>237</v>
      </c>
      <c r="K2337" s="2" t="s">
        <v>913</v>
      </c>
      <c r="L2337" s="3">
        <v>19.6</v>
      </c>
      <c r="M2337" s="3">
        <v>20.58</v>
      </c>
      <c r="N2337" s="3">
        <v>39.99</v>
      </c>
      <c r="O2337" s="2" t="s">
        <v>97</v>
      </c>
      <c r="P2337" s="2" t="s">
        <v>119</v>
      </c>
      <c r="Q2337" s="2" t="s">
        <v>99</v>
      </c>
      <c r="R2337" s="2" t="s">
        <v>100</v>
      </c>
      <c r="S2337" s="2" t="s">
        <v>7400</v>
      </c>
      <c r="T2337" s="2" t="s">
        <v>218</v>
      </c>
      <c r="U2337" s="2" t="s">
        <v>514</v>
      </c>
      <c r="V2337" s="2" t="s">
        <v>201</v>
      </c>
      <c r="W2337" s="2" t="s">
        <v>202</v>
      </c>
      <c r="X2337" s="2" t="s">
        <v>100</v>
      </c>
      <c r="Y2337" s="2" t="s">
        <v>7401</v>
      </c>
      <c r="Z2337" s="4">
        <v>267</v>
      </c>
      <c r="AA2337" s="4">
        <f>=ROUNDDOWN(26.7,0)</f>
      </c>
      <c r="AB2337" s="5">
        <v>10</v>
      </c>
      <c r="AC2337" s="2" t="s">
        <v>542</v>
      </c>
      <c r="AD2337" s="4">
        <v>200</v>
      </c>
      <c r="AE2337" s="4">
        <v>350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 t="s">
        <v>100</v>
      </c>
      <c r="BJ2337" s="4">
        <v>391</v>
      </c>
      <c r="BK2337" s="8">
        <v>7228.47</v>
      </c>
      <c r="BL2337" s="2" t="s">
        <v>267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207</v>
      </c>
      <c r="BV2337" s="2" t="s">
        <v>97</v>
      </c>
      <c r="BW2337" s="2" t="s">
        <v>100</v>
      </c>
      <c r="BX2337" s="2" t="s">
        <v>100</v>
      </c>
      <c r="BY2337" s="2" t="s">
        <v>113</v>
      </c>
      <c r="BZ2337" s="2" t="s">
        <v>100</v>
      </c>
    </row>
    <row r="2338">
      <c r="A2338" s="2" t="s">
        <v>7402</v>
      </c>
      <c r="B2338" s="2" t="s">
        <v>5764</v>
      </c>
      <c r="C2338" s="2" t="s">
        <v>1867</v>
      </c>
      <c r="D2338" s="2" t="s">
        <v>803</v>
      </c>
      <c r="E2338" s="2" t="s">
        <v>1532</v>
      </c>
      <c r="F2338" s="2" t="s">
        <v>7393</v>
      </c>
      <c r="G2338" s="2" t="s">
        <v>7394</v>
      </c>
      <c r="H2338" s="2" t="s">
        <v>7394</v>
      </c>
      <c r="I2338" s="2" t="s">
        <v>7395</v>
      </c>
      <c r="J2338" s="2" t="s">
        <v>247</v>
      </c>
      <c r="K2338" s="2" t="s">
        <v>913</v>
      </c>
      <c r="L2338" s="3">
        <v>25</v>
      </c>
      <c r="M2338" s="3">
        <v>26.25</v>
      </c>
      <c r="N2338" s="3">
        <v>49.99</v>
      </c>
      <c r="O2338" s="2" t="s">
        <v>97</v>
      </c>
      <c r="P2338" s="2" t="s">
        <v>119</v>
      </c>
      <c r="Q2338" s="2" t="s">
        <v>99</v>
      </c>
      <c r="R2338" s="2" t="s">
        <v>100</v>
      </c>
      <c r="S2338" s="2" t="s">
        <v>7400</v>
      </c>
      <c r="T2338" s="2" t="s">
        <v>218</v>
      </c>
      <c r="U2338" s="2" t="s">
        <v>480</v>
      </c>
      <c r="V2338" s="2" t="s">
        <v>201</v>
      </c>
      <c r="W2338" s="2" t="s">
        <v>202</v>
      </c>
      <c r="X2338" s="2" t="s">
        <v>100</v>
      </c>
      <c r="Y2338" s="2" t="s">
        <v>7401</v>
      </c>
      <c r="Z2338" s="4">
        <v>801</v>
      </c>
      <c r="AA2338" s="4">
        <f>=ROUNDDOWN(47.1176470588235,0)</f>
      </c>
      <c r="AB2338" s="5">
        <v>17</v>
      </c>
      <c r="AC2338" s="2" t="s">
        <v>1164</v>
      </c>
      <c r="AD2338" s="4">
        <v>220</v>
      </c>
      <c r="AE2338" s="4">
        <v>220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 t="s">
        <v>100</v>
      </c>
      <c r="BJ2338" s="4">
        <v>434</v>
      </c>
      <c r="BK2338" s="8">
        <v>10763.41</v>
      </c>
      <c r="BL2338" s="2" t="s">
        <v>937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207</v>
      </c>
      <c r="BV2338" s="2" t="s">
        <v>97</v>
      </c>
      <c r="BW2338" s="2" t="s">
        <v>100</v>
      </c>
      <c r="BX2338" s="2" t="s">
        <v>100</v>
      </c>
      <c r="BY2338" s="2" t="s">
        <v>113</v>
      </c>
      <c r="BZ2338" s="2" t="s">
        <v>100</v>
      </c>
    </row>
    <row r="2339">
      <c r="A2339" s="2" t="s">
        <v>7403</v>
      </c>
      <c r="B2339" s="2" t="s">
        <v>5764</v>
      </c>
      <c r="C2339" s="2" t="s">
        <v>1867</v>
      </c>
      <c r="D2339" s="2" t="s">
        <v>803</v>
      </c>
      <c r="E2339" s="2" t="s">
        <v>1532</v>
      </c>
      <c r="F2339" s="2" t="s">
        <v>7393</v>
      </c>
      <c r="G2339" s="2" t="s">
        <v>7394</v>
      </c>
      <c r="H2339" s="2" t="s">
        <v>7394</v>
      </c>
      <c r="I2339" s="2" t="s">
        <v>7395</v>
      </c>
      <c r="J2339" s="2" t="s">
        <v>270</v>
      </c>
      <c r="K2339" s="2" t="s">
        <v>913</v>
      </c>
      <c r="L2339" s="3">
        <v>30</v>
      </c>
      <c r="M2339" s="3">
        <v>31.5</v>
      </c>
      <c r="N2339" s="3">
        <v>59.99</v>
      </c>
      <c r="O2339" s="2" t="s">
        <v>97</v>
      </c>
      <c r="P2339" s="2" t="s">
        <v>119</v>
      </c>
      <c r="Q2339" s="2" t="s">
        <v>99</v>
      </c>
      <c r="R2339" s="2" t="s">
        <v>100</v>
      </c>
      <c r="S2339" s="2" t="s">
        <v>7400</v>
      </c>
      <c r="T2339" s="2" t="s">
        <v>218</v>
      </c>
      <c r="U2339" s="2" t="s">
        <v>480</v>
      </c>
      <c r="V2339" s="2" t="s">
        <v>201</v>
      </c>
      <c r="W2339" s="2" t="s">
        <v>202</v>
      </c>
      <c r="X2339" s="2" t="s">
        <v>100</v>
      </c>
      <c r="Y2339" s="2" t="s">
        <v>7401</v>
      </c>
      <c r="Z2339" s="4">
        <v>285</v>
      </c>
      <c r="AA2339" s="4">
        <f>=ROUNDDOWN(35.625,0)</f>
      </c>
      <c r="AB2339" s="5">
        <v>8</v>
      </c>
      <c r="AC2339" s="2" t="s">
        <v>542</v>
      </c>
      <c r="AD2339" s="4">
        <v>180</v>
      </c>
      <c r="AE2339" s="4">
        <v>225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147</v>
      </c>
      <c r="BK2339" s="8">
        <v>4177.14</v>
      </c>
      <c r="BL2339" s="2" t="s">
        <v>267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207</v>
      </c>
      <c r="BV2339" s="2" t="s">
        <v>97</v>
      </c>
      <c r="BW2339" s="2" t="s">
        <v>100</v>
      </c>
      <c r="BX2339" s="2" t="s">
        <v>100</v>
      </c>
      <c r="BY2339" s="2" t="s">
        <v>113</v>
      </c>
      <c r="BZ2339" s="2" t="s">
        <v>100</v>
      </c>
    </row>
    <row r="2340">
      <c r="A2340" s="2" t="s">
        <v>7404</v>
      </c>
      <c r="B2340" s="2" t="s">
        <v>5764</v>
      </c>
      <c r="C2340" s="2" t="s">
        <v>1867</v>
      </c>
      <c r="D2340" s="2" t="s">
        <v>803</v>
      </c>
      <c r="E2340" s="2" t="s">
        <v>1532</v>
      </c>
      <c r="F2340" s="2" t="s">
        <v>7393</v>
      </c>
      <c r="G2340" s="2" t="s">
        <v>7394</v>
      </c>
      <c r="H2340" s="2" t="s">
        <v>7394</v>
      </c>
      <c r="I2340" s="2" t="s">
        <v>7395</v>
      </c>
      <c r="J2340" s="2" t="s">
        <v>237</v>
      </c>
      <c r="K2340" s="2" t="s">
        <v>469</v>
      </c>
      <c r="L2340" s="3">
        <v>19.6</v>
      </c>
      <c r="M2340" s="3">
        <v>20.58</v>
      </c>
      <c r="N2340" s="3">
        <v>39.99</v>
      </c>
      <c r="O2340" s="2" t="s">
        <v>97</v>
      </c>
      <c r="P2340" s="2" t="s">
        <v>950</v>
      </c>
      <c r="Q2340" s="2" t="s">
        <v>99</v>
      </c>
      <c r="R2340" s="2" t="s">
        <v>100</v>
      </c>
      <c r="S2340" s="2" t="s">
        <v>7405</v>
      </c>
      <c r="T2340" s="2" t="s">
        <v>218</v>
      </c>
      <c r="U2340" s="2" t="s">
        <v>514</v>
      </c>
      <c r="V2340" s="2" t="s">
        <v>201</v>
      </c>
      <c r="W2340" s="2" t="s">
        <v>202</v>
      </c>
      <c r="X2340" s="2" t="s">
        <v>100</v>
      </c>
      <c r="Y2340" s="2" t="s">
        <v>7401</v>
      </c>
      <c r="Z2340" s="4">
        <v>509</v>
      </c>
      <c r="AA2340" s="4">
        <f>=ROUNDDOWN(43.5042735042735,0)</f>
      </c>
      <c r="AB2340" s="5">
        <v>11.7</v>
      </c>
      <c r="AC2340" s="2" t="s">
        <v>542</v>
      </c>
      <c r="AD2340" s="4">
        <v>200</v>
      </c>
      <c r="AE2340" s="4">
        <v>680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507</v>
      </c>
      <c r="BK2340" s="8">
        <v>9436.42</v>
      </c>
      <c r="BL2340" s="2" t="s">
        <v>7406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207</v>
      </c>
      <c r="BV2340" s="2" t="s">
        <v>97</v>
      </c>
      <c r="BW2340" s="2" t="s">
        <v>100</v>
      </c>
      <c r="BX2340" s="2" t="s">
        <v>100</v>
      </c>
      <c r="BY2340" s="2" t="s">
        <v>113</v>
      </c>
      <c r="BZ2340" s="2" t="s">
        <v>100</v>
      </c>
    </row>
    <row r="2341">
      <c r="A2341" s="2" t="s">
        <v>7407</v>
      </c>
      <c r="B2341" s="2" t="s">
        <v>5764</v>
      </c>
      <c r="C2341" s="2" t="s">
        <v>1867</v>
      </c>
      <c r="D2341" s="2" t="s">
        <v>803</v>
      </c>
      <c r="E2341" s="2" t="s">
        <v>1532</v>
      </c>
      <c r="F2341" s="2" t="s">
        <v>7393</v>
      </c>
      <c r="G2341" s="2" t="s">
        <v>7394</v>
      </c>
      <c r="H2341" s="2" t="s">
        <v>7394</v>
      </c>
      <c r="I2341" s="2" t="s">
        <v>7395</v>
      </c>
      <c r="J2341" s="2" t="s">
        <v>247</v>
      </c>
      <c r="K2341" s="2" t="s">
        <v>469</v>
      </c>
      <c r="L2341" s="3">
        <v>25</v>
      </c>
      <c r="M2341" s="3">
        <v>26.25</v>
      </c>
      <c r="N2341" s="3">
        <v>49.99</v>
      </c>
      <c r="O2341" s="2" t="s">
        <v>97</v>
      </c>
      <c r="P2341" s="2" t="s">
        <v>950</v>
      </c>
      <c r="Q2341" s="2" t="s">
        <v>99</v>
      </c>
      <c r="R2341" s="2" t="s">
        <v>100</v>
      </c>
      <c r="S2341" s="2" t="s">
        <v>7405</v>
      </c>
      <c r="T2341" s="2" t="s">
        <v>218</v>
      </c>
      <c r="U2341" s="2" t="s">
        <v>480</v>
      </c>
      <c r="V2341" s="2" t="s">
        <v>201</v>
      </c>
      <c r="W2341" s="2" t="s">
        <v>202</v>
      </c>
      <c r="X2341" s="2" t="s">
        <v>100</v>
      </c>
      <c r="Y2341" s="2" t="s">
        <v>7401</v>
      </c>
      <c r="Z2341" s="4">
        <v>456</v>
      </c>
      <c r="AA2341" s="4">
        <f>=ROUNDDOWN(25.3333333333333,0)</f>
      </c>
      <c r="AB2341" s="5">
        <v>18</v>
      </c>
      <c r="AC2341" s="2" t="s">
        <v>542</v>
      </c>
      <c r="AD2341" s="4">
        <v>200</v>
      </c>
      <c r="AE2341" s="4">
        <v>540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 t="s">
        <v>100</v>
      </c>
      <c r="BJ2341" s="4">
        <v>889</v>
      </c>
      <c r="BK2341" s="8">
        <v>20732.09</v>
      </c>
      <c r="BL2341" s="2" t="s">
        <v>7257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207</v>
      </c>
      <c r="BV2341" s="2" t="s">
        <v>97</v>
      </c>
      <c r="BW2341" s="2" t="s">
        <v>100</v>
      </c>
      <c r="BX2341" s="2" t="s">
        <v>100</v>
      </c>
      <c r="BY2341" s="2" t="s">
        <v>113</v>
      </c>
      <c r="BZ2341" s="2" t="s">
        <v>100</v>
      </c>
    </row>
    <row r="2342">
      <c r="A2342" s="2" t="s">
        <v>7408</v>
      </c>
      <c r="B2342" s="2" t="s">
        <v>5764</v>
      </c>
      <c r="C2342" s="2" t="s">
        <v>1867</v>
      </c>
      <c r="D2342" s="2" t="s">
        <v>803</v>
      </c>
      <c r="E2342" s="2" t="s">
        <v>1532</v>
      </c>
      <c r="F2342" s="2" t="s">
        <v>7393</v>
      </c>
      <c r="G2342" s="2" t="s">
        <v>7394</v>
      </c>
      <c r="H2342" s="2" t="s">
        <v>7394</v>
      </c>
      <c r="I2342" s="2" t="s">
        <v>7395</v>
      </c>
      <c r="J2342" s="2" t="s">
        <v>270</v>
      </c>
      <c r="K2342" s="2" t="s">
        <v>469</v>
      </c>
      <c r="L2342" s="3">
        <v>30</v>
      </c>
      <c r="M2342" s="3">
        <v>31.5</v>
      </c>
      <c r="N2342" s="3">
        <v>59.99</v>
      </c>
      <c r="O2342" s="2" t="s">
        <v>97</v>
      </c>
      <c r="P2342" s="2" t="s">
        <v>950</v>
      </c>
      <c r="Q2342" s="2" t="s">
        <v>99</v>
      </c>
      <c r="R2342" s="2" t="s">
        <v>100</v>
      </c>
      <c r="S2342" s="2" t="s">
        <v>7405</v>
      </c>
      <c r="T2342" s="2" t="s">
        <v>218</v>
      </c>
      <c r="U2342" s="2" t="s">
        <v>480</v>
      </c>
      <c r="V2342" s="2" t="s">
        <v>201</v>
      </c>
      <c r="W2342" s="2" t="s">
        <v>202</v>
      </c>
      <c r="X2342" s="2" t="s">
        <v>100</v>
      </c>
      <c r="Y2342" s="2" t="s">
        <v>7401</v>
      </c>
      <c r="Z2342" s="4">
        <v>252</v>
      </c>
      <c r="AA2342" s="4">
        <f>=ROUNDDOWN(31.5,0)</f>
      </c>
      <c r="AB2342" s="5">
        <v>8</v>
      </c>
      <c r="AC2342" s="2" t="s">
        <v>542</v>
      </c>
      <c r="AD2342" s="4">
        <v>50</v>
      </c>
      <c r="AE2342" s="4">
        <v>330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 t="s">
        <v>100</v>
      </c>
      <c r="BJ2342" s="4">
        <v>133</v>
      </c>
      <c r="BK2342" s="8">
        <v>3804.91</v>
      </c>
      <c r="BL2342" s="2" t="s">
        <v>731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207</v>
      </c>
      <c r="BV2342" s="2" t="s">
        <v>97</v>
      </c>
      <c r="BW2342" s="2" t="s">
        <v>100</v>
      </c>
      <c r="BX2342" s="2" t="s">
        <v>100</v>
      </c>
      <c r="BY2342" s="2" t="s">
        <v>113</v>
      </c>
      <c r="BZ2342" s="2" t="s">
        <v>100</v>
      </c>
    </row>
    <row r="2343">
      <c r="A2343" s="2" t="s">
        <v>7409</v>
      </c>
      <c r="B2343" s="2" t="s">
        <v>5764</v>
      </c>
      <c r="C2343" s="2" t="s">
        <v>1867</v>
      </c>
      <c r="D2343" s="2" t="s">
        <v>803</v>
      </c>
      <c r="E2343" s="2" t="s">
        <v>1532</v>
      </c>
      <c r="F2343" s="2" t="s">
        <v>7410</v>
      </c>
      <c r="G2343" s="2" t="s">
        <v>7411</v>
      </c>
      <c r="H2343" s="2" t="s">
        <v>7411</v>
      </c>
      <c r="I2343" s="2" t="s">
        <v>7412</v>
      </c>
      <c r="J2343" s="2" t="s">
        <v>237</v>
      </c>
      <c r="K2343" s="2" t="s">
        <v>7413</v>
      </c>
      <c r="L2343" s="3">
        <v>19.46</v>
      </c>
      <c r="M2343" s="3">
        <v>20.43</v>
      </c>
      <c r="N2343" s="3">
        <v>39.99</v>
      </c>
      <c r="O2343" s="2" t="s">
        <v>97</v>
      </c>
      <c r="P2343" s="2" t="s">
        <v>119</v>
      </c>
      <c r="Q2343" s="2" t="s">
        <v>99</v>
      </c>
      <c r="R2343" s="2" t="s">
        <v>100</v>
      </c>
      <c r="S2343" s="2" t="s">
        <v>7414</v>
      </c>
      <c r="T2343" s="2" t="s">
        <v>218</v>
      </c>
      <c r="U2343" s="2" t="s">
        <v>100</v>
      </c>
      <c r="V2343" s="2" t="s">
        <v>146</v>
      </c>
      <c r="W2343" s="2" t="s">
        <v>183</v>
      </c>
      <c r="X2343" s="2" t="s">
        <v>100</v>
      </c>
      <c r="Y2343" s="2" t="s">
        <v>5079</v>
      </c>
      <c r="Z2343" s="4">
        <v>539</v>
      </c>
      <c r="AA2343" s="4">
        <f>=ROUNDDOWN(53.9,0)</f>
      </c>
      <c r="AB2343" s="5">
        <v>10</v>
      </c>
      <c r="AC2343" s="2" t="s">
        <v>100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>
        <v>3</v>
      </c>
      <c r="AQ2343" s="8">
        <v>52.92</v>
      </c>
      <c r="AR2343" s="4"/>
      <c r="AS2343" s="8"/>
      <c r="AT2343" s="7"/>
      <c r="AU2343" s="7"/>
      <c r="AV2343" s="4">
        <v>7</v>
      </c>
      <c r="AW2343" s="8">
        <v>153.72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0.3443</v>
      </c>
      <c r="BC2343" s="4">
        <v>11</v>
      </c>
      <c r="BD2343" s="8">
        <v>246.02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0.6248</v>
      </c>
      <c r="BJ2343" s="4">
        <v>215</v>
      </c>
      <c r="BK2343" s="8">
        <v>4360.94</v>
      </c>
      <c r="BL2343" s="2" t="s">
        <v>7415</v>
      </c>
      <c r="BM2343" s="7">
        <v>0.014</v>
      </c>
      <c r="BN2343" s="7">
        <v>0.0121</v>
      </c>
      <c r="BO2343" s="4">
        <v>3</v>
      </c>
      <c r="BP2343" s="8">
        <v>52.92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137</v>
      </c>
      <c r="BX2343" s="2" t="s">
        <v>812</v>
      </c>
      <c r="BY2343" s="2" t="s">
        <v>113</v>
      </c>
      <c r="BZ2343" s="2" t="s">
        <v>100</v>
      </c>
    </row>
    <row r="2344">
      <c r="A2344" s="2" t="s">
        <v>7416</v>
      </c>
      <c r="B2344" s="2" t="s">
        <v>5764</v>
      </c>
      <c r="C2344" s="2" t="s">
        <v>1867</v>
      </c>
      <c r="D2344" s="2" t="s">
        <v>803</v>
      </c>
      <c r="E2344" s="2" t="s">
        <v>1532</v>
      </c>
      <c r="F2344" s="2" t="s">
        <v>7410</v>
      </c>
      <c r="G2344" s="2" t="s">
        <v>7411</v>
      </c>
      <c r="H2344" s="2" t="s">
        <v>7411</v>
      </c>
      <c r="I2344" s="2" t="s">
        <v>7412</v>
      </c>
      <c r="J2344" s="2" t="s">
        <v>247</v>
      </c>
      <c r="K2344" s="2" t="s">
        <v>7413</v>
      </c>
      <c r="L2344" s="3">
        <v>25.7</v>
      </c>
      <c r="M2344" s="3">
        <v>26.98</v>
      </c>
      <c r="N2344" s="3">
        <v>51.99</v>
      </c>
      <c r="O2344" s="2" t="s">
        <v>97</v>
      </c>
      <c r="P2344" s="2" t="s">
        <v>119</v>
      </c>
      <c r="Q2344" s="2" t="s">
        <v>99</v>
      </c>
      <c r="R2344" s="2" t="s">
        <v>100</v>
      </c>
      <c r="S2344" s="2" t="s">
        <v>7414</v>
      </c>
      <c r="T2344" s="2" t="s">
        <v>218</v>
      </c>
      <c r="U2344" s="2" t="s">
        <v>100</v>
      </c>
      <c r="V2344" s="2" t="s">
        <v>146</v>
      </c>
      <c r="W2344" s="2" t="s">
        <v>183</v>
      </c>
      <c r="X2344" s="2" t="s">
        <v>100</v>
      </c>
      <c r="Y2344" s="2" t="s">
        <v>5079</v>
      </c>
      <c r="Z2344" s="4">
        <v>827</v>
      </c>
      <c r="AA2344" s="4">
        <f>=ROUNDDOWN(33.08,0)</f>
      </c>
      <c r="AB2344" s="5">
        <v>25</v>
      </c>
      <c r="AC2344" s="2" t="s">
        <v>872</v>
      </c>
      <c r="AD2344" s="4">
        <v>250</v>
      </c>
      <c r="AE2344" s="4">
        <v>650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>
        <v>2</v>
      </c>
      <c r="AQ2344" s="8">
        <v>45.36</v>
      </c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0.2951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576</v>
      </c>
      <c r="BK2344" s="8">
        <v>16053.68</v>
      </c>
      <c r="BL2344" s="2" t="s">
        <v>7417</v>
      </c>
      <c r="BM2344" s="7">
        <v>0.0035</v>
      </c>
      <c r="BN2344" s="7">
        <v>0.0028</v>
      </c>
      <c r="BO2344" s="4">
        <v>2</v>
      </c>
      <c r="BP2344" s="8">
        <v>45.36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137</v>
      </c>
      <c r="BX2344" s="2" t="s">
        <v>6086</v>
      </c>
      <c r="BY2344" s="2" t="s">
        <v>113</v>
      </c>
      <c r="BZ2344" s="2" t="s">
        <v>100</v>
      </c>
    </row>
    <row r="2345">
      <c r="A2345" s="2" t="s">
        <v>7418</v>
      </c>
      <c r="B2345" s="2" t="s">
        <v>5764</v>
      </c>
      <c r="C2345" s="2" t="s">
        <v>1867</v>
      </c>
      <c r="D2345" s="2" t="s">
        <v>803</v>
      </c>
      <c r="E2345" s="2" t="s">
        <v>1532</v>
      </c>
      <c r="F2345" s="2" t="s">
        <v>7410</v>
      </c>
      <c r="G2345" s="2" t="s">
        <v>7411</v>
      </c>
      <c r="H2345" s="2" t="s">
        <v>7411</v>
      </c>
      <c r="I2345" s="2" t="s">
        <v>7412</v>
      </c>
      <c r="J2345" s="2" t="s">
        <v>714</v>
      </c>
      <c r="K2345" s="2" t="s">
        <v>7413</v>
      </c>
      <c r="L2345" s="3">
        <v>30.65</v>
      </c>
      <c r="M2345" s="3">
        <v>32.18</v>
      </c>
      <c r="N2345" s="3">
        <v>62.99</v>
      </c>
      <c r="O2345" s="2" t="s">
        <v>97</v>
      </c>
      <c r="P2345" s="2" t="s">
        <v>119</v>
      </c>
      <c r="Q2345" s="2" t="s">
        <v>99</v>
      </c>
      <c r="R2345" s="2" t="s">
        <v>100</v>
      </c>
      <c r="S2345" s="2" t="s">
        <v>7414</v>
      </c>
      <c r="T2345" s="2" t="s">
        <v>218</v>
      </c>
      <c r="U2345" s="2" t="s">
        <v>100</v>
      </c>
      <c r="V2345" s="2" t="s">
        <v>146</v>
      </c>
      <c r="W2345" s="2" t="s">
        <v>183</v>
      </c>
      <c r="X2345" s="2" t="s">
        <v>100</v>
      </c>
      <c r="Y2345" s="2" t="s">
        <v>5079</v>
      </c>
      <c r="Z2345" s="4">
        <v>683</v>
      </c>
      <c r="AA2345" s="4">
        <f>=ROUNDDOWN(45.5333333333333,0)</f>
      </c>
      <c r="AB2345" s="5">
        <v>15</v>
      </c>
      <c r="AC2345" s="2" t="s">
        <v>174</v>
      </c>
      <c r="AD2345" s="4">
        <v>100</v>
      </c>
      <c r="AE2345" s="4">
        <v>150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>
        <v>2</v>
      </c>
      <c r="AQ2345" s="8">
        <v>55.44</v>
      </c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0.3607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 t="s">
        <v>100</v>
      </c>
      <c r="BJ2345" s="4">
        <v>268</v>
      </c>
      <c r="BK2345" s="8">
        <v>8912.96</v>
      </c>
      <c r="BL2345" s="2" t="s">
        <v>698</v>
      </c>
      <c r="BM2345" s="7">
        <v>0.0075</v>
      </c>
      <c r="BN2345" s="7">
        <v>0.0062</v>
      </c>
      <c r="BO2345" s="4">
        <v>2</v>
      </c>
      <c r="BP2345" s="8">
        <v>55.44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137</v>
      </c>
      <c r="BX2345" s="2" t="s">
        <v>7419</v>
      </c>
      <c r="BY2345" s="2" t="s">
        <v>113</v>
      </c>
      <c r="BZ2345" s="2" t="s">
        <v>100</v>
      </c>
    </row>
    <row r="2346">
      <c r="A2346" s="2" t="s">
        <v>7420</v>
      </c>
      <c r="B2346" s="2" t="s">
        <v>5764</v>
      </c>
      <c r="C2346" s="2" t="s">
        <v>1867</v>
      </c>
      <c r="D2346" s="2" t="s">
        <v>803</v>
      </c>
      <c r="E2346" s="2" t="s">
        <v>1532</v>
      </c>
      <c r="F2346" s="2" t="s">
        <v>7410</v>
      </c>
      <c r="G2346" s="2" t="s">
        <v>7411</v>
      </c>
      <c r="H2346" s="2" t="s">
        <v>7411</v>
      </c>
      <c r="I2346" s="2" t="s">
        <v>7412</v>
      </c>
      <c r="J2346" s="2" t="s">
        <v>237</v>
      </c>
      <c r="K2346" s="2" t="s">
        <v>3418</v>
      </c>
      <c r="L2346" s="3">
        <v>19.46</v>
      </c>
      <c r="M2346" s="3">
        <v>20.43</v>
      </c>
      <c r="N2346" s="3">
        <v>39.99</v>
      </c>
      <c r="O2346" s="2" t="s">
        <v>97</v>
      </c>
      <c r="P2346" s="2" t="s">
        <v>119</v>
      </c>
      <c r="Q2346" s="2" t="s">
        <v>99</v>
      </c>
      <c r="R2346" s="2" t="s">
        <v>100</v>
      </c>
      <c r="S2346" s="2" t="s">
        <v>7421</v>
      </c>
      <c r="T2346" s="2" t="s">
        <v>218</v>
      </c>
      <c r="U2346" s="2" t="s">
        <v>100</v>
      </c>
      <c r="V2346" s="2" t="s">
        <v>146</v>
      </c>
      <c r="W2346" s="2" t="s">
        <v>183</v>
      </c>
      <c r="X2346" s="2" t="s">
        <v>100</v>
      </c>
      <c r="Y2346" s="2" t="s">
        <v>240</v>
      </c>
      <c r="Z2346" s="4">
        <v>401</v>
      </c>
      <c r="AA2346" s="4">
        <f>=ROUNDDOWN(50.125,0)</f>
      </c>
      <c r="AB2346" s="5">
        <v>8</v>
      </c>
      <c r="AC2346" s="2" t="s">
        <v>100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>
        <v>2</v>
      </c>
      <c r="AQ2346" s="8">
        <v>39.8</v>
      </c>
      <c r="AR2346" s="4"/>
      <c r="AS2346" s="8"/>
      <c r="AT2346" s="7"/>
      <c r="AU2346" s="7"/>
      <c r="AV2346" s="4">
        <v>4</v>
      </c>
      <c r="AW2346" s="8">
        <v>92.3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0.4312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0.3752</v>
      </c>
      <c r="BJ2346" s="4">
        <v>216</v>
      </c>
      <c r="BK2346" s="8">
        <v>4327.54</v>
      </c>
      <c r="BL2346" s="2" t="s">
        <v>7422</v>
      </c>
      <c r="BM2346" s="7">
        <v>0.0093</v>
      </c>
      <c r="BN2346" s="7">
        <v>0.0092</v>
      </c>
      <c r="BO2346" s="4">
        <v>2</v>
      </c>
      <c r="BP2346" s="8">
        <v>39.8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243</v>
      </c>
      <c r="BX2346" s="2" t="s">
        <v>1099</v>
      </c>
      <c r="BY2346" s="2" t="s">
        <v>113</v>
      </c>
      <c r="BZ2346" s="2" t="s">
        <v>100</v>
      </c>
    </row>
    <row r="2347">
      <c r="A2347" s="2" t="s">
        <v>7423</v>
      </c>
      <c r="B2347" s="2" t="s">
        <v>5764</v>
      </c>
      <c r="C2347" s="2" t="s">
        <v>1867</v>
      </c>
      <c r="D2347" s="2" t="s">
        <v>803</v>
      </c>
      <c r="E2347" s="2" t="s">
        <v>1532</v>
      </c>
      <c r="F2347" s="2" t="s">
        <v>7410</v>
      </c>
      <c r="G2347" s="2" t="s">
        <v>7411</v>
      </c>
      <c r="H2347" s="2" t="s">
        <v>7411</v>
      </c>
      <c r="I2347" s="2" t="s">
        <v>7412</v>
      </c>
      <c r="J2347" s="2" t="s">
        <v>247</v>
      </c>
      <c r="K2347" s="2" t="s">
        <v>3418</v>
      </c>
      <c r="L2347" s="3">
        <v>25.7</v>
      </c>
      <c r="M2347" s="3">
        <v>26.98</v>
      </c>
      <c r="N2347" s="3">
        <v>51.99</v>
      </c>
      <c r="O2347" s="2" t="s">
        <v>97</v>
      </c>
      <c r="P2347" s="2" t="s">
        <v>119</v>
      </c>
      <c r="Q2347" s="2" t="s">
        <v>99</v>
      </c>
      <c r="R2347" s="2" t="s">
        <v>100</v>
      </c>
      <c r="S2347" s="2" t="s">
        <v>7421</v>
      </c>
      <c r="T2347" s="2" t="s">
        <v>218</v>
      </c>
      <c r="U2347" s="2" t="s">
        <v>100</v>
      </c>
      <c r="V2347" s="2" t="s">
        <v>146</v>
      </c>
      <c r="W2347" s="2" t="s">
        <v>183</v>
      </c>
      <c r="X2347" s="2" t="s">
        <v>100</v>
      </c>
      <c r="Y2347" s="2" t="s">
        <v>240</v>
      </c>
      <c r="Z2347" s="4">
        <v>744</v>
      </c>
      <c r="AA2347" s="4">
        <f>=ROUNDDOWN(37.2,0)</f>
      </c>
      <c r="AB2347" s="5">
        <v>20</v>
      </c>
      <c r="AC2347" s="2" t="s">
        <v>205</v>
      </c>
      <c r="AD2347" s="4">
        <v>400</v>
      </c>
      <c r="AE2347" s="4">
        <v>600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>
        <v>2</v>
      </c>
      <c r="AQ2347" s="8">
        <v>52.5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0.5688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475</v>
      </c>
      <c r="BK2347" s="8">
        <v>12948.02</v>
      </c>
      <c r="BL2347" s="2" t="s">
        <v>7424</v>
      </c>
      <c r="BM2347" s="7">
        <v>0.0042</v>
      </c>
      <c r="BN2347" s="7">
        <v>0.0041</v>
      </c>
      <c r="BO2347" s="4">
        <v>2</v>
      </c>
      <c r="BP2347" s="8">
        <v>52.5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243</v>
      </c>
      <c r="BX2347" s="2" t="s">
        <v>7425</v>
      </c>
      <c r="BY2347" s="2" t="s">
        <v>113</v>
      </c>
      <c r="BZ2347" s="2" t="s">
        <v>100</v>
      </c>
    </row>
    <row r="2348">
      <c r="A2348" s="2" t="s">
        <v>7426</v>
      </c>
      <c r="B2348" s="2" t="s">
        <v>5764</v>
      </c>
      <c r="C2348" s="2" t="s">
        <v>1867</v>
      </c>
      <c r="D2348" s="2" t="s">
        <v>803</v>
      </c>
      <c r="E2348" s="2" t="s">
        <v>1532</v>
      </c>
      <c r="F2348" s="2" t="s">
        <v>7410</v>
      </c>
      <c r="G2348" s="2" t="s">
        <v>7411</v>
      </c>
      <c r="H2348" s="2" t="s">
        <v>7411</v>
      </c>
      <c r="I2348" s="2" t="s">
        <v>7412</v>
      </c>
      <c r="J2348" s="2" t="s">
        <v>714</v>
      </c>
      <c r="K2348" s="2" t="s">
        <v>3418</v>
      </c>
      <c r="L2348" s="3">
        <v>30.65</v>
      </c>
      <c r="M2348" s="3">
        <v>32.18</v>
      </c>
      <c r="N2348" s="3">
        <v>62.99</v>
      </c>
      <c r="O2348" s="2" t="s">
        <v>97</v>
      </c>
      <c r="P2348" s="2" t="s">
        <v>119</v>
      </c>
      <c r="Q2348" s="2" t="s">
        <v>99</v>
      </c>
      <c r="R2348" s="2" t="s">
        <v>100</v>
      </c>
      <c r="S2348" s="2" t="s">
        <v>7421</v>
      </c>
      <c r="T2348" s="2" t="s">
        <v>218</v>
      </c>
      <c r="U2348" s="2" t="s">
        <v>100</v>
      </c>
      <c r="V2348" s="2" t="s">
        <v>146</v>
      </c>
      <c r="W2348" s="2" t="s">
        <v>183</v>
      </c>
      <c r="X2348" s="2" t="s">
        <v>100</v>
      </c>
      <c r="Y2348" s="2" t="s">
        <v>240</v>
      </c>
      <c r="Z2348" s="4">
        <v>290</v>
      </c>
      <c r="AA2348" s="4">
        <f>=ROUNDDOWN(29,0)</f>
      </c>
      <c r="AB2348" s="5">
        <v>10</v>
      </c>
      <c r="AC2348" s="2" t="s">
        <v>174</v>
      </c>
      <c r="AD2348" s="4">
        <v>200</v>
      </c>
      <c r="AE2348" s="4">
        <v>200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 t="s">
        <v>100</v>
      </c>
      <c r="BJ2348" s="4">
        <v>158</v>
      </c>
      <c r="BK2348" s="8">
        <v>5129.26</v>
      </c>
      <c r="BL2348" s="2" t="s">
        <v>7427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243</v>
      </c>
      <c r="BX2348" s="2" t="s">
        <v>7428</v>
      </c>
      <c r="BY2348" s="2" t="s">
        <v>113</v>
      </c>
      <c r="BZ2348" s="2" t="s">
        <v>100</v>
      </c>
    </row>
    <row r="2349">
      <c r="A2349" s="2" t="s">
        <v>7429</v>
      </c>
      <c r="B2349" s="2" t="s">
        <v>5764</v>
      </c>
      <c r="C2349" s="2" t="s">
        <v>1867</v>
      </c>
      <c r="D2349" s="2" t="s">
        <v>803</v>
      </c>
      <c r="E2349" s="2" t="s">
        <v>1532</v>
      </c>
      <c r="F2349" s="2" t="s">
        <v>7410</v>
      </c>
      <c r="G2349" s="2" t="s">
        <v>7411</v>
      </c>
      <c r="H2349" s="2" t="s">
        <v>7411</v>
      </c>
      <c r="I2349" s="2" t="s">
        <v>7412</v>
      </c>
      <c r="J2349" s="2" t="s">
        <v>237</v>
      </c>
      <c r="K2349" s="2" t="s">
        <v>7430</v>
      </c>
      <c r="L2349" s="3">
        <v>19.46</v>
      </c>
      <c r="M2349" s="3">
        <v>20.43</v>
      </c>
      <c r="N2349" s="3">
        <v>39.99</v>
      </c>
      <c r="O2349" s="2" t="s">
        <v>97</v>
      </c>
      <c r="P2349" s="2" t="s">
        <v>119</v>
      </c>
      <c r="Q2349" s="2" t="s">
        <v>99</v>
      </c>
      <c r="R2349" s="2" t="s">
        <v>100</v>
      </c>
      <c r="S2349" s="2" t="s">
        <v>7431</v>
      </c>
      <c r="T2349" s="2" t="s">
        <v>218</v>
      </c>
      <c r="U2349" s="2" t="s">
        <v>100</v>
      </c>
      <c r="V2349" s="2" t="s">
        <v>146</v>
      </c>
      <c r="W2349" s="2" t="s">
        <v>183</v>
      </c>
      <c r="X2349" s="2" t="s">
        <v>100</v>
      </c>
      <c r="Y2349" s="2" t="s">
        <v>240</v>
      </c>
      <c r="Z2349" s="4">
        <v>422</v>
      </c>
      <c r="AA2349" s="4">
        <f>=ROUNDDOWN(52.75,0)</f>
      </c>
      <c r="AB2349" s="5">
        <v>8</v>
      </c>
      <c r="AC2349" s="2" t="s">
        <v>931</v>
      </c>
      <c r="AD2349" s="4">
        <v>60</v>
      </c>
      <c r="AE2349" s="4">
        <v>60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224</v>
      </c>
      <c r="BK2349" s="8">
        <v>4544.67</v>
      </c>
      <c r="BL2349" s="2" t="s">
        <v>7432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243</v>
      </c>
      <c r="BX2349" s="2" t="s">
        <v>5872</v>
      </c>
      <c r="BY2349" s="2" t="s">
        <v>113</v>
      </c>
      <c r="BZ2349" s="2" t="s">
        <v>100</v>
      </c>
    </row>
    <row r="2350">
      <c r="A2350" s="2" t="s">
        <v>7433</v>
      </c>
      <c r="B2350" s="2" t="s">
        <v>5764</v>
      </c>
      <c r="C2350" s="2" t="s">
        <v>1867</v>
      </c>
      <c r="D2350" s="2" t="s">
        <v>803</v>
      </c>
      <c r="E2350" s="2" t="s">
        <v>1532</v>
      </c>
      <c r="F2350" s="2" t="s">
        <v>7410</v>
      </c>
      <c r="G2350" s="2" t="s">
        <v>7411</v>
      </c>
      <c r="H2350" s="2" t="s">
        <v>7411</v>
      </c>
      <c r="I2350" s="2" t="s">
        <v>7412</v>
      </c>
      <c r="J2350" s="2" t="s">
        <v>247</v>
      </c>
      <c r="K2350" s="2" t="s">
        <v>7430</v>
      </c>
      <c r="L2350" s="3">
        <v>25.7</v>
      </c>
      <c r="M2350" s="3">
        <v>26.98</v>
      </c>
      <c r="N2350" s="3">
        <v>51.99</v>
      </c>
      <c r="O2350" s="2" t="s">
        <v>97</v>
      </c>
      <c r="P2350" s="2" t="s">
        <v>119</v>
      </c>
      <c r="Q2350" s="2" t="s">
        <v>99</v>
      </c>
      <c r="R2350" s="2" t="s">
        <v>100</v>
      </c>
      <c r="S2350" s="2" t="s">
        <v>7431</v>
      </c>
      <c r="T2350" s="2" t="s">
        <v>218</v>
      </c>
      <c r="U2350" s="2" t="s">
        <v>100</v>
      </c>
      <c r="V2350" s="2" t="s">
        <v>146</v>
      </c>
      <c r="W2350" s="2" t="s">
        <v>183</v>
      </c>
      <c r="X2350" s="2" t="s">
        <v>100</v>
      </c>
      <c r="Y2350" s="2" t="s">
        <v>1801</v>
      </c>
      <c r="Z2350" s="4">
        <v>905</v>
      </c>
      <c r="AA2350" s="4">
        <f>=ROUNDDOWN(36.2,0)</f>
      </c>
      <c r="AB2350" s="5">
        <v>25</v>
      </c>
      <c r="AC2350" s="2" t="s">
        <v>205</v>
      </c>
      <c r="AD2350" s="4">
        <v>280</v>
      </c>
      <c r="AE2350" s="4">
        <v>560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 t="s">
        <v>100</v>
      </c>
      <c r="BJ2350" s="4">
        <v>554</v>
      </c>
      <c r="BK2350" s="8">
        <v>15272.06</v>
      </c>
      <c r="BL2350" s="2" t="s">
        <v>7434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243</v>
      </c>
      <c r="BX2350" s="2" t="s">
        <v>4833</v>
      </c>
      <c r="BY2350" s="2" t="s">
        <v>113</v>
      </c>
      <c r="BZ2350" s="2" t="s">
        <v>100</v>
      </c>
    </row>
    <row r="2351">
      <c r="A2351" s="2" t="s">
        <v>7435</v>
      </c>
      <c r="B2351" s="2" t="s">
        <v>5764</v>
      </c>
      <c r="C2351" s="2" t="s">
        <v>1867</v>
      </c>
      <c r="D2351" s="2" t="s">
        <v>803</v>
      </c>
      <c r="E2351" s="2" t="s">
        <v>1532</v>
      </c>
      <c r="F2351" s="2" t="s">
        <v>7410</v>
      </c>
      <c r="G2351" s="2" t="s">
        <v>7411</v>
      </c>
      <c r="H2351" s="2" t="s">
        <v>7411</v>
      </c>
      <c r="I2351" s="2" t="s">
        <v>7412</v>
      </c>
      <c r="J2351" s="2" t="s">
        <v>714</v>
      </c>
      <c r="K2351" s="2" t="s">
        <v>7430</v>
      </c>
      <c r="L2351" s="3">
        <v>30.65</v>
      </c>
      <c r="M2351" s="3">
        <v>32.18</v>
      </c>
      <c r="N2351" s="3">
        <v>62.99</v>
      </c>
      <c r="O2351" s="2" t="s">
        <v>97</v>
      </c>
      <c r="P2351" s="2" t="s">
        <v>119</v>
      </c>
      <c r="Q2351" s="2" t="s">
        <v>99</v>
      </c>
      <c r="R2351" s="2" t="s">
        <v>100</v>
      </c>
      <c r="S2351" s="2" t="s">
        <v>7431</v>
      </c>
      <c r="T2351" s="2" t="s">
        <v>218</v>
      </c>
      <c r="U2351" s="2" t="s">
        <v>100</v>
      </c>
      <c r="V2351" s="2" t="s">
        <v>146</v>
      </c>
      <c r="W2351" s="2" t="s">
        <v>183</v>
      </c>
      <c r="X2351" s="2" t="s">
        <v>100</v>
      </c>
      <c r="Y2351" s="2" t="s">
        <v>240</v>
      </c>
      <c r="Z2351" s="4">
        <v>383</v>
      </c>
      <c r="AA2351" s="4">
        <f>=ROUNDDOWN(38.3,0)</f>
      </c>
      <c r="AB2351" s="5">
        <v>10</v>
      </c>
      <c r="AC2351" s="2" t="s">
        <v>205</v>
      </c>
      <c r="AD2351" s="4">
        <v>100</v>
      </c>
      <c r="AE2351" s="4">
        <v>180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224</v>
      </c>
      <c r="BK2351" s="8">
        <v>7385.15</v>
      </c>
      <c r="BL2351" s="2" t="s">
        <v>7436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243</v>
      </c>
      <c r="BX2351" s="2" t="s">
        <v>342</v>
      </c>
      <c r="BY2351" s="2" t="s">
        <v>113</v>
      </c>
      <c r="BZ2351" s="2" t="s">
        <v>100</v>
      </c>
    </row>
    <row r="2352">
      <c r="A2352" s="2" t="s">
        <v>7437</v>
      </c>
      <c r="B2352" s="2" t="s">
        <v>5764</v>
      </c>
      <c r="C2352" s="2" t="s">
        <v>2541</v>
      </c>
      <c r="D2352" s="2" t="s">
        <v>4473</v>
      </c>
      <c r="E2352" s="2" t="s">
        <v>5768</v>
      </c>
      <c r="F2352" s="2" t="s">
        <v>7438</v>
      </c>
      <c r="G2352" s="2" t="s">
        <v>7438</v>
      </c>
      <c r="H2352" s="2" t="s">
        <v>7438</v>
      </c>
      <c r="I2352" s="2" t="s">
        <v>7439</v>
      </c>
      <c r="J2352" s="2" t="s">
        <v>247</v>
      </c>
      <c r="K2352" s="2" t="s">
        <v>118</v>
      </c>
      <c r="L2352" s="3">
        <v>27.6</v>
      </c>
      <c r="M2352" s="3">
        <v>28.98</v>
      </c>
      <c r="N2352" s="3">
        <v>59.99</v>
      </c>
      <c r="O2352" s="2" t="s">
        <v>97</v>
      </c>
      <c r="P2352" s="2" t="s">
        <v>119</v>
      </c>
      <c r="Q2352" s="2" t="s">
        <v>99</v>
      </c>
      <c r="R2352" s="2" t="s">
        <v>100</v>
      </c>
      <c r="S2352" s="2" t="s">
        <v>7440</v>
      </c>
      <c r="T2352" s="2" t="s">
        <v>280</v>
      </c>
      <c r="U2352" s="2" t="s">
        <v>1847</v>
      </c>
      <c r="V2352" s="2" t="s">
        <v>146</v>
      </c>
      <c r="W2352" s="2" t="s">
        <v>183</v>
      </c>
      <c r="X2352" s="2" t="s">
        <v>239</v>
      </c>
      <c r="Y2352" s="2" t="s">
        <v>7441</v>
      </c>
      <c r="Z2352" s="4">
        <v>398</v>
      </c>
      <c r="AA2352" s="4">
        <f>=ROUNDDOWN(58.5294117647059,0)</f>
      </c>
      <c r="AB2352" s="5">
        <v>6.8</v>
      </c>
      <c r="AC2352" s="2" t="s">
        <v>326</v>
      </c>
      <c r="AD2352" s="4">
        <v>100</v>
      </c>
      <c r="AE2352" s="4">
        <v>100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416</v>
      </c>
      <c r="BK2352" s="8">
        <v>12697.48</v>
      </c>
      <c r="BL2352" s="2" t="s">
        <v>7442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2480</v>
      </c>
      <c r="BV2352" s="2" t="s">
        <v>97</v>
      </c>
      <c r="BW2352" s="2" t="s">
        <v>100</v>
      </c>
      <c r="BX2352" s="2" t="s">
        <v>100</v>
      </c>
      <c r="BY2352" s="2" t="s">
        <v>113</v>
      </c>
      <c r="BZ2352" s="2" t="s">
        <v>100</v>
      </c>
    </row>
    <row r="2353">
      <c r="A2353" s="2" t="s">
        <v>7443</v>
      </c>
      <c r="B2353" s="2" t="s">
        <v>5764</v>
      </c>
      <c r="C2353" s="2" t="s">
        <v>2541</v>
      </c>
      <c r="D2353" s="2" t="s">
        <v>4473</v>
      </c>
      <c r="E2353" s="2" t="s">
        <v>5768</v>
      </c>
      <c r="F2353" s="2" t="s">
        <v>7438</v>
      </c>
      <c r="G2353" s="2" t="s">
        <v>7438</v>
      </c>
      <c r="H2353" s="2" t="s">
        <v>7438</v>
      </c>
      <c r="I2353" s="2" t="s">
        <v>7439</v>
      </c>
      <c r="J2353" s="2" t="s">
        <v>714</v>
      </c>
      <c r="K2353" s="2" t="s">
        <v>118</v>
      </c>
      <c r="L2353" s="3">
        <v>32.9</v>
      </c>
      <c r="M2353" s="3">
        <v>34.54</v>
      </c>
      <c r="N2353" s="3">
        <v>69.99</v>
      </c>
      <c r="O2353" s="2" t="s">
        <v>97</v>
      </c>
      <c r="P2353" s="2" t="s">
        <v>119</v>
      </c>
      <c r="Q2353" s="2" t="s">
        <v>99</v>
      </c>
      <c r="R2353" s="2" t="s">
        <v>100</v>
      </c>
      <c r="S2353" s="2" t="s">
        <v>7440</v>
      </c>
      <c r="T2353" s="2" t="s">
        <v>280</v>
      </c>
      <c r="U2353" s="2" t="s">
        <v>1847</v>
      </c>
      <c r="V2353" s="2" t="s">
        <v>146</v>
      </c>
      <c r="W2353" s="2" t="s">
        <v>183</v>
      </c>
      <c r="X2353" s="2" t="s">
        <v>239</v>
      </c>
      <c r="Y2353" s="2" t="s">
        <v>7441</v>
      </c>
      <c r="Z2353" s="4">
        <v>20</v>
      </c>
      <c r="AA2353" s="4">
        <f>=ROUNDDOWN(3.03030303030303,0)</f>
      </c>
      <c r="AB2353" s="5">
        <v>6.6</v>
      </c>
      <c r="AC2353" s="2" t="s">
        <v>320</v>
      </c>
      <c r="AD2353" s="4">
        <v>300</v>
      </c>
      <c r="AE2353" s="4">
        <v>667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656</v>
      </c>
      <c r="BK2353" s="8">
        <v>24004.54</v>
      </c>
      <c r="BL2353" s="2" t="s">
        <v>7444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2480</v>
      </c>
      <c r="BV2353" s="2" t="s">
        <v>97</v>
      </c>
      <c r="BW2353" s="2" t="s">
        <v>100</v>
      </c>
      <c r="BX2353" s="2" t="s">
        <v>100</v>
      </c>
      <c r="BY2353" s="2" t="s">
        <v>113</v>
      </c>
      <c r="BZ2353" s="2" t="s">
        <v>100</v>
      </c>
    </row>
    <row r="2354">
      <c r="A2354" s="2" t="s">
        <v>7445</v>
      </c>
      <c r="B2354" s="2" t="s">
        <v>5764</v>
      </c>
      <c r="C2354" s="2" t="s">
        <v>2541</v>
      </c>
      <c r="D2354" s="2" t="s">
        <v>4473</v>
      </c>
      <c r="E2354" s="2" t="s">
        <v>5768</v>
      </c>
      <c r="F2354" s="2" t="s">
        <v>7438</v>
      </c>
      <c r="G2354" s="2" t="s">
        <v>7438</v>
      </c>
      <c r="H2354" s="2" t="s">
        <v>7438</v>
      </c>
      <c r="I2354" s="2" t="s">
        <v>7439</v>
      </c>
      <c r="J2354" s="2" t="s">
        <v>247</v>
      </c>
      <c r="K2354" s="2" t="s">
        <v>2477</v>
      </c>
      <c r="L2354" s="3">
        <v>27.6</v>
      </c>
      <c r="M2354" s="3">
        <v>28.98</v>
      </c>
      <c r="N2354" s="3">
        <v>59.99</v>
      </c>
      <c r="O2354" s="2" t="s">
        <v>97</v>
      </c>
      <c r="P2354" s="2" t="s">
        <v>119</v>
      </c>
      <c r="Q2354" s="2" t="s">
        <v>99</v>
      </c>
      <c r="R2354" s="2" t="s">
        <v>100</v>
      </c>
      <c r="S2354" s="2" t="s">
        <v>7446</v>
      </c>
      <c r="T2354" s="2" t="s">
        <v>280</v>
      </c>
      <c r="U2354" s="2" t="s">
        <v>1847</v>
      </c>
      <c r="V2354" s="2" t="s">
        <v>146</v>
      </c>
      <c r="W2354" s="2" t="s">
        <v>183</v>
      </c>
      <c r="X2354" s="2" t="s">
        <v>239</v>
      </c>
      <c r="Y2354" s="2" t="s">
        <v>7441</v>
      </c>
      <c r="Z2354" s="4">
        <v>146</v>
      </c>
      <c r="AA2354" s="4">
        <f>=ROUNDDOWN(22.1212121212121,0)</f>
      </c>
      <c r="AB2354" s="5">
        <v>6.6</v>
      </c>
      <c r="AC2354" s="2" t="s">
        <v>562</v>
      </c>
      <c r="AD2354" s="4">
        <v>219</v>
      </c>
      <c r="AE2354" s="4">
        <v>219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371</v>
      </c>
      <c r="BK2354" s="8">
        <v>11300.54</v>
      </c>
      <c r="BL2354" s="2" t="s">
        <v>7447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2480</v>
      </c>
      <c r="BV2354" s="2" t="s">
        <v>97</v>
      </c>
      <c r="BW2354" s="2" t="s">
        <v>100</v>
      </c>
      <c r="BX2354" s="2" t="s">
        <v>100</v>
      </c>
      <c r="BY2354" s="2" t="s">
        <v>113</v>
      </c>
      <c r="BZ2354" s="2" t="s">
        <v>100</v>
      </c>
    </row>
    <row r="2355">
      <c r="A2355" s="2" t="s">
        <v>7448</v>
      </c>
      <c r="B2355" s="2" t="s">
        <v>5764</v>
      </c>
      <c r="C2355" s="2" t="s">
        <v>2541</v>
      </c>
      <c r="D2355" s="2" t="s">
        <v>4473</v>
      </c>
      <c r="E2355" s="2" t="s">
        <v>5768</v>
      </c>
      <c r="F2355" s="2" t="s">
        <v>7438</v>
      </c>
      <c r="G2355" s="2" t="s">
        <v>7438</v>
      </c>
      <c r="H2355" s="2" t="s">
        <v>7438</v>
      </c>
      <c r="I2355" s="2" t="s">
        <v>7439</v>
      </c>
      <c r="J2355" s="2" t="s">
        <v>714</v>
      </c>
      <c r="K2355" s="2" t="s">
        <v>2477</v>
      </c>
      <c r="L2355" s="3">
        <v>32.9</v>
      </c>
      <c r="M2355" s="3">
        <v>34.54</v>
      </c>
      <c r="N2355" s="3">
        <v>69.99</v>
      </c>
      <c r="O2355" s="2" t="s">
        <v>97</v>
      </c>
      <c r="P2355" s="2" t="s">
        <v>119</v>
      </c>
      <c r="Q2355" s="2" t="s">
        <v>99</v>
      </c>
      <c r="R2355" s="2" t="s">
        <v>100</v>
      </c>
      <c r="S2355" s="2" t="s">
        <v>7446</v>
      </c>
      <c r="T2355" s="2" t="s">
        <v>280</v>
      </c>
      <c r="U2355" s="2" t="s">
        <v>1847</v>
      </c>
      <c r="V2355" s="2" t="s">
        <v>146</v>
      </c>
      <c r="W2355" s="2" t="s">
        <v>183</v>
      </c>
      <c r="X2355" s="2" t="s">
        <v>239</v>
      </c>
      <c r="Y2355" s="2" t="s">
        <v>7441</v>
      </c>
      <c r="Z2355" s="4">
        <v>337</v>
      </c>
      <c r="AA2355" s="4">
        <f>=ROUNDDOWN(42.125,0)</f>
      </c>
      <c r="AB2355" s="5">
        <v>8</v>
      </c>
      <c r="AC2355" s="2" t="s">
        <v>562</v>
      </c>
      <c r="AD2355" s="4">
        <v>249</v>
      </c>
      <c r="AE2355" s="4">
        <v>249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396</v>
      </c>
      <c r="BK2355" s="8">
        <v>14201.8</v>
      </c>
      <c r="BL2355" s="2" t="s">
        <v>7442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2480</v>
      </c>
      <c r="BV2355" s="2" t="s">
        <v>97</v>
      </c>
      <c r="BW2355" s="2" t="s">
        <v>100</v>
      </c>
      <c r="BX2355" s="2" t="s">
        <v>100</v>
      </c>
      <c r="BY2355" s="2" t="s">
        <v>113</v>
      </c>
      <c r="BZ2355" s="2" t="s">
        <v>100</v>
      </c>
    </row>
    <row r="2356">
      <c r="A2356" s="2" t="s">
        <v>7449</v>
      </c>
      <c r="B2356" s="2" t="s">
        <v>5764</v>
      </c>
      <c r="C2356" s="2" t="s">
        <v>2541</v>
      </c>
      <c r="D2356" s="2" t="s">
        <v>4473</v>
      </c>
      <c r="E2356" s="2" t="s">
        <v>5768</v>
      </c>
      <c r="F2356" s="2" t="s">
        <v>7438</v>
      </c>
      <c r="G2356" s="2" t="s">
        <v>7438</v>
      </c>
      <c r="H2356" s="2" t="s">
        <v>7438</v>
      </c>
      <c r="I2356" s="2" t="s">
        <v>7439</v>
      </c>
      <c r="J2356" s="2" t="s">
        <v>247</v>
      </c>
      <c r="K2356" s="2" t="s">
        <v>1172</v>
      </c>
      <c r="L2356" s="3">
        <v>27.6</v>
      </c>
      <c r="M2356" s="3">
        <v>28.98</v>
      </c>
      <c r="N2356" s="3">
        <v>59.99</v>
      </c>
      <c r="O2356" s="2" t="s">
        <v>97</v>
      </c>
      <c r="P2356" s="2" t="s">
        <v>119</v>
      </c>
      <c r="Q2356" s="2" t="s">
        <v>99</v>
      </c>
      <c r="R2356" s="2" t="s">
        <v>100</v>
      </c>
      <c r="S2356" s="2" t="s">
        <v>7450</v>
      </c>
      <c r="T2356" s="2" t="s">
        <v>280</v>
      </c>
      <c r="U2356" s="2" t="s">
        <v>1847</v>
      </c>
      <c r="V2356" s="2" t="s">
        <v>146</v>
      </c>
      <c r="W2356" s="2" t="s">
        <v>183</v>
      </c>
      <c r="X2356" s="2" t="s">
        <v>239</v>
      </c>
      <c r="Y2356" s="2" t="s">
        <v>7451</v>
      </c>
      <c r="Z2356" s="4">
        <v>110</v>
      </c>
      <c r="AA2356" s="4">
        <f>=ROUNDDOWN(18.3333333333333,0)</f>
      </c>
      <c r="AB2356" s="5">
        <v>6</v>
      </c>
      <c r="AC2356" s="2" t="s">
        <v>320</v>
      </c>
      <c r="AD2356" s="4">
        <v>130</v>
      </c>
      <c r="AE2356" s="4">
        <v>308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217</v>
      </c>
      <c r="BK2356" s="8">
        <v>6549.05</v>
      </c>
      <c r="BL2356" s="2" t="s">
        <v>1670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2480</v>
      </c>
      <c r="BV2356" s="2" t="s">
        <v>97</v>
      </c>
      <c r="BW2356" s="2" t="s">
        <v>100</v>
      </c>
      <c r="BX2356" s="2" t="s">
        <v>100</v>
      </c>
      <c r="BY2356" s="2" t="s">
        <v>113</v>
      </c>
      <c r="BZ2356" s="2" t="s">
        <v>100</v>
      </c>
    </row>
    <row r="2357">
      <c r="A2357" s="2" t="s">
        <v>7452</v>
      </c>
      <c r="B2357" s="2" t="s">
        <v>5764</v>
      </c>
      <c r="C2357" s="2" t="s">
        <v>2541</v>
      </c>
      <c r="D2357" s="2" t="s">
        <v>4473</v>
      </c>
      <c r="E2357" s="2" t="s">
        <v>5768</v>
      </c>
      <c r="F2357" s="2" t="s">
        <v>7438</v>
      </c>
      <c r="G2357" s="2" t="s">
        <v>7438</v>
      </c>
      <c r="H2357" s="2" t="s">
        <v>7438</v>
      </c>
      <c r="I2357" s="2" t="s">
        <v>7439</v>
      </c>
      <c r="J2357" s="2" t="s">
        <v>714</v>
      </c>
      <c r="K2357" s="2" t="s">
        <v>1172</v>
      </c>
      <c r="L2357" s="3">
        <v>32.9</v>
      </c>
      <c r="M2357" s="3">
        <v>34.55</v>
      </c>
      <c r="N2357" s="3">
        <v>69.99</v>
      </c>
      <c r="O2357" s="2" t="s">
        <v>97</v>
      </c>
      <c r="P2357" s="2" t="s">
        <v>119</v>
      </c>
      <c r="Q2357" s="2" t="s">
        <v>99</v>
      </c>
      <c r="R2357" s="2" t="s">
        <v>100</v>
      </c>
      <c r="S2357" s="2" t="s">
        <v>7450</v>
      </c>
      <c r="T2357" s="2" t="s">
        <v>280</v>
      </c>
      <c r="U2357" s="2" t="s">
        <v>1847</v>
      </c>
      <c r="V2357" s="2" t="s">
        <v>146</v>
      </c>
      <c r="W2357" s="2" t="s">
        <v>183</v>
      </c>
      <c r="X2357" s="2" t="s">
        <v>239</v>
      </c>
      <c r="Y2357" s="2" t="s">
        <v>7451</v>
      </c>
      <c r="Z2357" s="4">
        <v>136</v>
      </c>
      <c r="AA2357" s="4">
        <f>=ROUNDDOWN(19.4285714285714,0)</f>
      </c>
      <c r="AB2357" s="5">
        <v>7</v>
      </c>
      <c r="AC2357" s="2" t="s">
        <v>320</v>
      </c>
      <c r="AD2357" s="4">
        <v>209</v>
      </c>
      <c r="AE2357" s="4">
        <v>403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224</v>
      </c>
      <c r="BK2357" s="8">
        <v>8072.34</v>
      </c>
      <c r="BL2357" s="2" t="s">
        <v>7453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2480</v>
      </c>
      <c r="BV2357" s="2" t="s">
        <v>97</v>
      </c>
      <c r="BW2357" s="2" t="s">
        <v>100</v>
      </c>
      <c r="BX2357" s="2" t="s">
        <v>100</v>
      </c>
      <c r="BY2357" s="2" t="s">
        <v>113</v>
      </c>
      <c r="BZ2357" s="2" t="s">
        <v>100</v>
      </c>
    </row>
    <row r="2358">
      <c r="A2358" s="2" t="s">
        <v>7454</v>
      </c>
      <c r="B2358" s="2" t="s">
        <v>5764</v>
      </c>
      <c r="C2358" s="2" t="s">
        <v>2541</v>
      </c>
      <c r="D2358" s="2" t="s">
        <v>4473</v>
      </c>
      <c r="E2358" s="2" t="s">
        <v>5768</v>
      </c>
      <c r="F2358" s="2" t="s">
        <v>7438</v>
      </c>
      <c r="G2358" s="2" t="s">
        <v>7438</v>
      </c>
      <c r="H2358" s="2" t="s">
        <v>7438</v>
      </c>
      <c r="I2358" s="2" t="s">
        <v>7439</v>
      </c>
      <c r="J2358" s="2" t="s">
        <v>247</v>
      </c>
      <c r="K2358" s="2" t="s">
        <v>189</v>
      </c>
      <c r="L2358" s="3">
        <v>27.6</v>
      </c>
      <c r="M2358" s="3">
        <v>28.98</v>
      </c>
      <c r="N2358" s="3">
        <v>59.99</v>
      </c>
      <c r="O2358" s="2" t="s">
        <v>97</v>
      </c>
      <c r="P2358" s="2" t="s">
        <v>119</v>
      </c>
      <c r="Q2358" s="2" t="s">
        <v>99</v>
      </c>
      <c r="R2358" s="2" t="s">
        <v>100</v>
      </c>
      <c r="S2358" s="2" t="s">
        <v>7455</v>
      </c>
      <c r="T2358" s="2" t="s">
        <v>280</v>
      </c>
      <c r="U2358" s="2" t="s">
        <v>1847</v>
      </c>
      <c r="V2358" s="2" t="s">
        <v>146</v>
      </c>
      <c r="W2358" s="2" t="s">
        <v>183</v>
      </c>
      <c r="X2358" s="2" t="s">
        <v>239</v>
      </c>
      <c r="Y2358" s="2" t="s">
        <v>7441</v>
      </c>
      <c r="Z2358" s="4">
        <v>98</v>
      </c>
      <c r="AA2358" s="4">
        <f>=ROUNDDOWN(11.264367816092,0)</f>
      </c>
      <c r="AB2358" s="5">
        <v>8.7</v>
      </c>
      <c r="AC2358" s="2" t="s">
        <v>320</v>
      </c>
      <c r="AD2358" s="4">
        <v>160</v>
      </c>
      <c r="AE2358" s="4">
        <v>460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498</v>
      </c>
      <c r="BK2358" s="8">
        <v>15168.85</v>
      </c>
      <c r="BL2358" s="2" t="s">
        <v>7456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2480</v>
      </c>
      <c r="BV2358" s="2" t="s">
        <v>97</v>
      </c>
      <c r="BW2358" s="2" t="s">
        <v>100</v>
      </c>
      <c r="BX2358" s="2" t="s">
        <v>100</v>
      </c>
      <c r="BY2358" s="2" t="s">
        <v>113</v>
      </c>
      <c r="BZ2358" s="2" t="s">
        <v>100</v>
      </c>
    </row>
    <row r="2359">
      <c r="A2359" s="2" t="s">
        <v>7457</v>
      </c>
      <c r="B2359" s="2" t="s">
        <v>5764</v>
      </c>
      <c r="C2359" s="2" t="s">
        <v>2541</v>
      </c>
      <c r="D2359" s="2" t="s">
        <v>4473</v>
      </c>
      <c r="E2359" s="2" t="s">
        <v>5768</v>
      </c>
      <c r="F2359" s="2" t="s">
        <v>7438</v>
      </c>
      <c r="G2359" s="2" t="s">
        <v>7438</v>
      </c>
      <c r="H2359" s="2" t="s">
        <v>7438</v>
      </c>
      <c r="I2359" s="2" t="s">
        <v>7439</v>
      </c>
      <c r="J2359" s="2" t="s">
        <v>714</v>
      </c>
      <c r="K2359" s="2" t="s">
        <v>189</v>
      </c>
      <c r="L2359" s="3">
        <v>32.9</v>
      </c>
      <c r="M2359" s="3">
        <v>34.54</v>
      </c>
      <c r="N2359" s="3">
        <v>69.99</v>
      </c>
      <c r="O2359" s="2" t="s">
        <v>97</v>
      </c>
      <c r="P2359" s="2" t="s">
        <v>119</v>
      </c>
      <c r="Q2359" s="2" t="s">
        <v>99</v>
      </c>
      <c r="R2359" s="2" t="s">
        <v>100</v>
      </c>
      <c r="S2359" s="2" t="s">
        <v>7455</v>
      </c>
      <c r="T2359" s="2" t="s">
        <v>280</v>
      </c>
      <c r="U2359" s="2" t="s">
        <v>1847</v>
      </c>
      <c r="V2359" s="2" t="s">
        <v>146</v>
      </c>
      <c r="W2359" s="2" t="s">
        <v>183</v>
      </c>
      <c r="X2359" s="2" t="s">
        <v>239</v>
      </c>
      <c r="Y2359" s="2" t="s">
        <v>7441</v>
      </c>
      <c r="Z2359" s="4">
        <v>470</v>
      </c>
      <c r="AA2359" s="4">
        <f>=ROUNDDOWN(47,0)</f>
      </c>
      <c r="AB2359" s="5">
        <v>10</v>
      </c>
      <c r="AC2359" s="2" t="s">
        <v>326</v>
      </c>
      <c r="AD2359" s="4">
        <v>323</v>
      </c>
      <c r="AE2359" s="4">
        <v>323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526</v>
      </c>
      <c r="BK2359" s="8">
        <v>18953.68</v>
      </c>
      <c r="BL2359" s="2" t="s">
        <v>7458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2480</v>
      </c>
      <c r="BV2359" s="2" t="s">
        <v>97</v>
      </c>
      <c r="BW2359" s="2" t="s">
        <v>100</v>
      </c>
      <c r="BX2359" s="2" t="s">
        <v>100</v>
      </c>
      <c r="BY2359" s="2" t="s">
        <v>113</v>
      </c>
      <c r="BZ2359" s="2" t="s">
        <v>100</v>
      </c>
    </row>
    <row r="2360">
      <c r="A2360" s="2" t="s">
        <v>7459</v>
      </c>
      <c r="B2360" s="2" t="s">
        <v>5764</v>
      </c>
      <c r="C2360" s="2" t="s">
        <v>2850</v>
      </c>
      <c r="D2360" s="2" t="s">
        <v>4473</v>
      </c>
      <c r="E2360" s="2" t="s">
        <v>5768</v>
      </c>
      <c r="F2360" s="2" t="s">
        <v>7460</v>
      </c>
      <c r="G2360" s="2" t="s">
        <v>7460</v>
      </c>
      <c r="H2360" s="2" t="s">
        <v>7460</v>
      </c>
      <c r="I2360" s="2" t="s">
        <v>5768</v>
      </c>
      <c r="J2360" s="2" t="s">
        <v>1936</v>
      </c>
      <c r="K2360" s="2" t="s">
        <v>198</v>
      </c>
      <c r="L2360" s="3">
        <v>30.35</v>
      </c>
      <c r="M2360" s="3">
        <v>31.87</v>
      </c>
      <c r="N2360" s="3">
        <v>65.99</v>
      </c>
      <c r="O2360" s="2" t="s">
        <v>97</v>
      </c>
      <c r="P2360" s="2" t="s">
        <v>119</v>
      </c>
      <c r="Q2360" s="2" t="s">
        <v>99</v>
      </c>
      <c r="R2360" s="2" t="s">
        <v>100</v>
      </c>
      <c r="S2360" s="2" t="s">
        <v>7461</v>
      </c>
      <c r="T2360" s="2" t="s">
        <v>6578</v>
      </c>
      <c r="U2360" s="2" t="s">
        <v>1847</v>
      </c>
      <c r="V2360" s="2" t="s">
        <v>146</v>
      </c>
      <c r="W2360" s="2" t="s">
        <v>183</v>
      </c>
      <c r="X2360" s="2" t="s">
        <v>219</v>
      </c>
      <c r="Y2360" s="2" t="s">
        <v>7462</v>
      </c>
      <c r="Z2360" s="4">
        <v>127</v>
      </c>
      <c r="AA2360" s="4">
        <f>=ROUNDDOWN(31.75,0)</f>
      </c>
      <c r="AB2360" s="5">
        <v>4</v>
      </c>
      <c r="AC2360" s="2" t="s">
        <v>100</v>
      </c>
      <c r="AD2360" s="4"/>
      <c r="AE2360" s="4"/>
      <c r="AF2360" s="6">
        <v>64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67</v>
      </c>
      <c r="BK2360" s="8">
        <v>2313.87</v>
      </c>
      <c r="BL2360" s="2" t="s">
        <v>7463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2528</v>
      </c>
      <c r="BV2360" s="2" t="s">
        <v>97</v>
      </c>
      <c r="BW2360" s="2" t="s">
        <v>100</v>
      </c>
      <c r="BX2360" s="2" t="s">
        <v>100</v>
      </c>
      <c r="BY2360" s="2" t="s">
        <v>113</v>
      </c>
      <c r="BZ2360" s="2" t="s">
        <v>100</v>
      </c>
    </row>
    <row r="2361">
      <c r="A2361" s="2" t="s">
        <v>7464</v>
      </c>
      <c r="B2361" s="2" t="s">
        <v>5764</v>
      </c>
      <c r="C2361" s="2" t="s">
        <v>2850</v>
      </c>
      <c r="D2361" s="2" t="s">
        <v>4473</v>
      </c>
      <c r="E2361" s="2" t="s">
        <v>5768</v>
      </c>
      <c r="F2361" s="2" t="s">
        <v>7460</v>
      </c>
      <c r="G2361" s="2" t="s">
        <v>7460</v>
      </c>
      <c r="H2361" s="2" t="s">
        <v>7460</v>
      </c>
      <c r="I2361" s="2" t="s">
        <v>5768</v>
      </c>
      <c r="J2361" s="2" t="s">
        <v>247</v>
      </c>
      <c r="K2361" s="2" t="s">
        <v>198</v>
      </c>
      <c r="L2361" s="3">
        <v>36.18</v>
      </c>
      <c r="M2361" s="3">
        <v>37.99</v>
      </c>
      <c r="N2361" s="3">
        <v>76.99</v>
      </c>
      <c r="O2361" s="2" t="s">
        <v>97</v>
      </c>
      <c r="P2361" s="2" t="s">
        <v>119</v>
      </c>
      <c r="Q2361" s="2" t="s">
        <v>99</v>
      </c>
      <c r="R2361" s="2" t="s">
        <v>100</v>
      </c>
      <c r="S2361" s="2" t="s">
        <v>7461</v>
      </c>
      <c r="T2361" s="2" t="s">
        <v>6578</v>
      </c>
      <c r="U2361" s="2" t="s">
        <v>1847</v>
      </c>
      <c r="V2361" s="2" t="s">
        <v>146</v>
      </c>
      <c r="W2361" s="2" t="s">
        <v>183</v>
      </c>
      <c r="X2361" s="2" t="s">
        <v>219</v>
      </c>
      <c r="Y2361" s="2" t="s">
        <v>7462</v>
      </c>
      <c r="Z2361" s="4">
        <v>375</v>
      </c>
      <c r="AA2361" s="4">
        <f>=ROUNDDOWN(53.5714285714286,0)</f>
      </c>
      <c r="AB2361" s="5">
        <v>7</v>
      </c>
      <c r="AC2361" s="2" t="s">
        <v>100</v>
      </c>
      <c r="AD2361" s="4"/>
      <c r="AE2361" s="4"/>
      <c r="AF2361" s="6">
        <v>64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137</v>
      </c>
      <c r="BK2361" s="8">
        <v>5417.72</v>
      </c>
      <c r="BL2361" s="2" t="s">
        <v>7465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2528</v>
      </c>
      <c r="BV2361" s="2" t="s">
        <v>97</v>
      </c>
      <c r="BW2361" s="2" t="s">
        <v>100</v>
      </c>
      <c r="BX2361" s="2" t="s">
        <v>100</v>
      </c>
      <c r="BY2361" s="2" t="s">
        <v>113</v>
      </c>
      <c r="BZ2361" s="2" t="s">
        <v>100</v>
      </c>
    </row>
    <row r="2362">
      <c r="A2362" s="2" t="s">
        <v>7466</v>
      </c>
      <c r="B2362" s="2" t="s">
        <v>5764</v>
      </c>
      <c r="C2362" s="2" t="s">
        <v>2850</v>
      </c>
      <c r="D2362" s="2" t="s">
        <v>4473</v>
      </c>
      <c r="E2362" s="2" t="s">
        <v>5768</v>
      </c>
      <c r="F2362" s="2" t="s">
        <v>7460</v>
      </c>
      <c r="G2362" s="2" t="s">
        <v>7460</v>
      </c>
      <c r="H2362" s="2" t="s">
        <v>7460</v>
      </c>
      <c r="I2362" s="2" t="s">
        <v>5768</v>
      </c>
      <c r="J2362" s="2" t="s">
        <v>714</v>
      </c>
      <c r="K2362" s="2" t="s">
        <v>198</v>
      </c>
      <c r="L2362" s="3">
        <v>42.4</v>
      </c>
      <c r="M2362" s="3">
        <v>44.52</v>
      </c>
      <c r="N2362" s="3">
        <v>89.99</v>
      </c>
      <c r="O2362" s="2" t="s">
        <v>97</v>
      </c>
      <c r="P2362" s="2" t="s">
        <v>119</v>
      </c>
      <c r="Q2362" s="2" t="s">
        <v>99</v>
      </c>
      <c r="R2362" s="2" t="s">
        <v>100</v>
      </c>
      <c r="S2362" s="2" t="s">
        <v>7461</v>
      </c>
      <c r="T2362" s="2" t="s">
        <v>6578</v>
      </c>
      <c r="U2362" s="2" t="s">
        <v>1847</v>
      </c>
      <c r="V2362" s="2" t="s">
        <v>146</v>
      </c>
      <c r="W2362" s="2" t="s">
        <v>183</v>
      </c>
      <c r="X2362" s="2" t="s">
        <v>219</v>
      </c>
      <c r="Y2362" s="2" t="s">
        <v>7462</v>
      </c>
      <c r="Z2362" s="4">
        <v>376</v>
      </c>
      <c r="AA2362" s="4">
        <f>=ROUNDDOWN(47,0)</f>
      </c>
      <c r="AB2362" s="5">
        <v>8</v>
      </c>
      <c r="AC2362" s="2" t="s">
        <v>100</v>
      </c>
      <c r="AD2362" s="4"/>
      <c r="AE2362" s="4"/>
      <c r="AF2362" s="6">
        <v>64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140</v>
      </c>
      <c r="BK2362" s="8">
        <v>6351.26</v>
      </c>
      <c r="BL2362" s="2" t="s">
        <v>7467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2528</v>
      </c>
      <c r="BV2362" s="2" t="s">
        <v>97</v>
      </c>
      <c r="BW2362" s="2" t="s">
        <v>100</v>
      </c>
      <c r="BX2362" s="2" t="s">
        <v>100</v>
      </c>
      <c r="BY2362" s="2" t="s">
        <v>113</v>
      </c>
      <c r="BZ2362" s="2" t="s">
        <v>100</v>
      </c>
    </row>
    <row r="2363">
      <c r="A2363" s="2" t="s">
        <v>7468</v>
      </c>
      <c r="B2363" s="2" t="s">
        <v>5764</v>
      </c>
      <c r="C2363" s="2" t="s">
        <v>2850</v>
      </c>
      <c r="D2363" s="2" t="s">
        <v>4473</v>
      </c>
      <c r="E2363" s="2" t="s">
        <v>5768</v>
      </c>
      <c r="F2363" s="2" t="s">
        <v>7460</v>
      </c>
      <c r="G2363" s="2" t="s">
        <v>7460</v>
      </c>
      <c r="H2363" s="2" t="s">
        <v>7460</v>
      </c>
      <c r="I2363" s="2" t="s">
        <v>5768</v>
      </c>
      <c r="J2363" s="2" t="s">
        <v>1936</v>
      </c>
      <c r="K2363" s="2" t="s">
        <v>496</v>
      </c>
      <c r="L2363" s="3">
        <v>30.35</v>
      </c>
      <c r="M2363" s="3">
        <v>31.87</v>
      </c>
      <c r="N2363" s="3">
        <v>65.99</v>
      </c>
      <c r="O2363" s="2" t="s">
        <v>97</v>
      </c>
      <c r="P2363" s="2" t="s">
        <v>119</v>
      </c>
      <c r="Q2363" s="2" t="s">
        <v>99</v>
      </c>
      <c r="R2363" s="2" t="s">
        <v>100</v>
      </c>
      <c r="S2363" s="2" t="s">
        <v>7469</v>
      </c>
      <c r="T2363" s="2" t="s">
        <v>6578</v>
      </c>
      <c r="U2363" s="2" t="s">
        <v>1847</v>
      </c>
      <c r="V2363" s="2" t="s">
        <v>146</v>
      </c>
      <c r="W2363" s="2" t="s">
        <v>183</v>
      </c>
      <c r="X2363" s="2" t="s">
        <v>219</v>
      </c>
      <c r="Y2363" s="2" t="s">
        <v>7462</v>
      </c>
      <c r="Z2363" s="4">
        <v>110</v>
      </c>
      <c r="AA2363" s="4">
        <f>=ROUNDDOWN(22,0)</f>
      </c>
      <c r="AB2363" s="5">
        <v>5</v>
      </c>
      <c r="AC2363" s="2" t="s">
        <v>356</v>
      </c>
      <c r="AD2363" s="4">
        <v>30</v>
      </c>
      <c r="AE2363" s="4">
        <v>30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126</v>
      </c>
      <c r="BK2363" s="8">
        <v>4212.83</v>
      </c>
      <c r="BL2363" s="2" t="s">
        <v>7470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2528</v>
      </c>
      <c r="BV2363" s="2" t="s">
        <v>97</v>
      </c>
      <c r="BW2363" s="2" t="s">
        <v>100</v>
      </c>
      <c r="BX2363" s="2" t="s">
        <v>100</v>
      </c>
      <c r="BY2363" s="2" t="s">
        <v>113</v>
      </c>
      <c r="BZ2363" s="2" t="s">
        <v>100</v>
      </c>
    </row>
    <row r="2364">
      <c r="A2364" s="2" t="s">
        <v>7471</v>
      </c>
      <c r="B2364" s="2" t="s">
        <v>5764</v>
      </c>
      <c r="C2364" s="2" t="s">
        <v>2850</v>
      </c>
      <c r="D2364" s="2" t="s">
        <v>4473</v>
      </c>
      <c r="E2364" s="2" t="s">
        <v>5768</v>
      </c>
      <c r="F2364" s="2" t="s">
        <v>7460</v>
      </c>
      <c r="G2364" s="2" t="s">
        <v>7460</v>
      </c>
      <c r="H2364" s="2" t="s">
        <v>7460</v>
      </c>
      <c r="I2364" s="2" t="s">
        <v>5768</v>
      </c>
      <c r="J2364" s="2" t="s">
        <v>247</v>
      </c>
      <c r="K2364" s="2" t="s">
        <v>496</v>
      </c>
      <c r="L2364" s="3">
        <v>36.18</v>
      </c>
      <c r="M2364" s="3">
        <v>37.99</v>
      </c>
      <c r="N2364" s="3">
        <v>76.99</v>
      </c>
      <c r="O2364" s="2" t="s">
        <v>97</v>
      </c>
      <c r="P2364" s="2" t="s">
        <v>119</v>
      </c>
      <c r="Q2364" s="2" t="s">
        <v>99</v>
      </c>
      <c r="R2364" s="2" t="s">
        <v>100</v>
      </c>
      <c r="S2364" s="2" t="s">
        <v>7469</v>
      </c>
      <c r="T2364" s="2" t="s">
        <v>6578</v>
      </c>
      <c r="U2364" s="2" t="s">
        <v>1847</v>
      </c>
      <c r="V2364" s="2" t="s">
        <v>146</v>
      </c>
      <c r="W2364" s="2" t="s">
        <v>183</v>
      </c>
      <c r="X2364" s="2" t="s">
        <v>219</v>
      </c>
      <c r="Y2364" s="2" t="s">
        <v>7462</v>
      </c>
      <c r="Z2364" s="4">
        <v>221</v>
      </c>
      <c r="AA2364" s="4">
        <f>=ROUNDDOWN(31.5714285714286,0)</f>
      </c>
      <c r="AB2364" s="5">
        <v>7</v>
      </c>
      <c r="AC2364" s="2" t="s">
        <v>356</v>
      </c>
      <c r="AD2364" s="4">
        <v>130</v>
      </c>
      <c r="AE2364" s="4">
        <v>130</v>
      </c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202</v>
      </c>
      <c r="BK2364" s="8">
        <v>8107.05</v>
      </c>
      <c r="BL2364" s="2" t="s">
        <v>7472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2528</v>
      </c>
      <c r="BV2364" s="2" t="s">
        <v>97</v>
      </c>
      <c r="BW2364" s="2" t="s">
        <v>100</v>
      </c>
      <c r="BX2364" s="2" t="s">
        <v>100</v>
      </c>
      <c r="BY2364" s="2" t="s">
        <v>113</v>
      </c>
      <c r="BZ2364" s="2" t="s">
        <v>100</v>
      </c>
    </row>
    <row r="2365">
      <c r="A2365" s="2" t="s">
        <v>7473</v>
      </c>
      <c r="B2365" s="2" t="s">
        <v>5764</v>
      </c>
      <c r="C2365" s="2" t="s">
        <v>2850</v>
      </c>
      <c r="D2365" s="2" t="s">
        <v>4473</v>
      </c>
      <c r="E2365" s="2" t="s">
        <v>5768</v>
      </c>
      <c r="F2365" s="2" t="s">
        <v>7460</v>
      </c>
      <c r="G2365" s="2" t="s">
        <v>7460</v>
      </c>
      <c r="H2365" s="2" t="s">
        <v>7460</v>
      </c>
      <c r="I2365" s="2" t="s">
        <v>5768</v>
      </c>
      <c r="J2365" s="2" t="s">
        <v>714</v>
      </c>
      <c r="K2365" s="2" t="s">
        <v>496</v>
      </c>
      <c r="L2365" s="3">
        <v>42.4</v>
      </c>
      <c r="M2365" s="3">
        <v>44.52</v>
      </c>
      <c r="N2365" s="3">
        <v>89.99</v>
      </c>
      <c r="O2365" s="2" t="s">
        <v>97</v>
      </c>
      <c r="P2365" s="2" t="s">
        <v>119</v>
      </c>
      <c r="Q2365" s="2" t="s">
        <v>99</v>
      </c>
      <c r="R2365" s="2" t="s">
        <v>100</v>
      </c>
      <c r="S2365" s="2" t="s">
        <v>7469</v>
      </c>
      <c r="T2365" s="2" t="s">
        <v>6578</v>
      </c>
      <c r="U2365" s="2" t="s">
        <v>1847</v>
      </c>
      <c r="V2365" s="2" t="s">
        <v>146</v>
      </c>
      <c r="W2365" s="2" t="s">
        <v>183</v>
      </c>
      <c r="X2365" s="2" t="s">
        <v>219</v>
      </c>
      <c r="Y2365" s="2" t="s">
        <v>2788</v>
      </c>
      <c r="Z2365" s="4">
        <v>194</v>
      </c>
      <c r="AA2365" s="4">
        <f>=ROUNDDOWN(19.4,0)</f>
      </c>
      <c r="AB2365" s="5">
        <v>10</v>
      </c>
      <c r="AC2365" s="2" t="s">
        <v>356</v>
      </c>
      <c r="AD2365" s="4">
        <v>140</v>
      </c>
      <c r="AE2365" s="4">
        <v>140</v>
      </c>
      <c r="AF2365" s="6">
        <v>64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100</v>
      </c>
      <c r="AW2365" s="8" t="s">
        <v>100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287</v>
      </c>
      <c r="BK2365" s="8">
        <v>13352.39</v>
      </c>
      <c r="BL2365" s="2" t="s">
        <v>5573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2528</v>
      </c>
      <c r="BV2365" s="2" t="s">
        <v>97</v>
      </c>
      <c r="BW2365" s="2" t="s">
        <v>100</v>
      </c>
      <c r="BX2365" s="2" t="s">
        <v>100</v>
      </c>
      <c r="BY2365" s="2" t="s">
        <v>113</v>
      </c>
      <c r="BZ2365" s="2" t="s">
        <v>100</v>
      </c>
    </row>
    <row r="2366">
      <c r="A2366" s="2" t="s">
        <v>7474</v>
      </c>
      <c r="B2366" s="2" t="s">
        <v>5764</v>
      </c>
      <c r="C2366" s="2" t="s">
        <v>2850</v>
      </c>
      <c r="D2366" s="2" t="s">
        <v>4473</v>
      </c>
      <c r="E2366" s="2" t="s">
        <v>5768</v>
      </c>
      <c r="F2366" s="2" t="s">
        <v>7460</v>
      </c>
      <c r="G2366" s="2" t="s">
        <v>7460</v>
      </c>
      <c r="H2366" s="2" t="s">
        <v>7460</v>
      </c>
      <c r="I2366" s="2" t="s">
        <v>5768</v>
      </c>
      <c r="J2366" s="2" t="s">
        <v>1936</v>
      </c>
      <c r="K2366" s="2" t="s">
        <v>1614</v>
      </c>
      <c r="L2366" s="3">
        <v>30.35</v>
      </c>
      <c r="M2366" s="3">
        <v>31.87</v>
      </c>
      <c r="N2366" s="3">
        <v>65.99</v>
      </c>
      <c r="O2366" s="2" t="s">
        <v>97</v>
      </c>
      <c r="P2366" s="2" t="s">
        <v>119</v>
      </c>
      <c r="Q2366" s="2" t="s">
        <v>99</v>
      </c>
      <c r="R2366" s="2" t="s">
        <v>100</v>
      </c>
      <c r="S2366" s="2" t="s">
        <v>7475</v>
      </c>
      <c r="T2366" s="2" t="s">
        <v>6578</v>
      </c>
      <c r="U2366" s="2" t="s">
        <v>100</v>
      </c>
      <c r="V2366" s="2" t="s">
        <v>146</v>
      </c>
      <c r="W2366" s="2" t="s">
        <v>183</v>
      </c>
      <c r="X2366" s="2" t="s">
        <v>219</v>
      </c>
      <c r="Y2366" s="2" t="s">
        <v>240</v>
      </c>
      <c r="Z2366" s="4">
        <v>170</v>
      </c>
      <c r="AA2366" s="4">
        <f>=ROUNDDOWN(56.6666666666667,0)</f>
      </c>
      <c r="AB2366" s="5">
        <v>3</v>
      </c>
      <c r="AC2366" s="2" t="s">
        <v>931</v>
      </c>
      <c r="AD2366" s="4">
        <v>30</v>
      </c>
      <c r="AE2366" s="4">
        <v>30</v>
      </c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83</v>
      </c>
      <c r="BK2366" s="8">
        <v>2769.26</v>
      </c>
      <c r="BL2366" s="2" t="s">
        <v>7476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2528</v>
      </c>
      <c r="BV2366" s="2" t="s">
        <v>97</v>
      </c>
      <c r="BW2366" s="2" t="s">
        <v>100</v>
      </c>
      <c r="BX2366" s="2" t="s">
        <v>100</v>
      </c>
      <c r="BY2366" s="2" t="s">
        <v>113</v>
      </c>
      <c r="BZ2366" s="2" t="s">
        <v>100</v>
      </c>
    </row>
    <row r="2367">
      <c r="A2367" s="2" t="s">
        <v>7477</v>
      </c>
      <c r="B2367" s="2" t="s">
        <v>5764</v>
      </c>
      <c r="C2367" s="2" t="s">
        <v>2850</v>
      </c>
      <c r="D2367" s="2" t="s">
        <v>4473</v>
      </c>
      <c r="E2367" s="2" t="s">
        <v>5768</v>
      </c>
      <c r="F2367" s="2" t="s">
        <v>7460</v>
      </c>
      <c r="G2367" s="2" t="s">
        <v>7460</v>
      </c>
      <c r="H2367" s="2" t="s">
        <v>7460</v>
      </c>
      <c r="I2367" s="2" t="s">
        <v>5768</v>
      </c>
      <c r="J2367" s="2" t="s">
        <v>247</v>
      </c>
      <c r="K2367" s="2" t="s">
        <v>1614</v>
      </c>
      <c r="L2367" s="3">
        <v>36.18</v>
      </c>
      <c r="M2367" s="3">
        <v>37.99</v>
      </c>
      <c r="N2367" s="3">
        <v>76.99</v>
      </c>
      <c r="O2367" s="2" t="s">
        <v>97</v>
      </c>
      <c r="P2367" s="2" t="s">
        <v>119</v>
      </c>
      <c r="Q2367" s="2" t="s">
        <v>99</v>
      </c>
      <c r="R2367" s="2" t="s">
        <v>100</v>
      </c>
      <c r="S2367" s="2" t="s">
        <v>7475</v>
      </c>
      <c r="T2367" s="2" t="s">
        <v>6578</v>
      </c>
      <c r="U2367" s="2" t="s">
        <v>100</v>
      </c>
      <c r="V2367" s="2" t="s">
        <v>146</v>
      </c>
      <c r="W2367" s="2" t="s">
        <v>183</v>
      </c>
      <c r="X2367" s="2" t="s">
        <v>219</v>
      </c>
      <c r="Y2367" s="2" t="s">
        <v>240</v>
      </c>
      <c r="Z2367" s="4">
        <v>185</v>
      </c>
      <c r="AA2367" s="4">
        <f>=ROUNDDOWN(20.5555555555556,0)</f>
      </c>
      <c r="AB2367" s="5">
        <v>9</v>
      </c>
      <c r="AC2367" s="2" t="s">
        <v>356</v>
      </c>
      <c r="AD2367" s="4">
        <v>80</v>
      </c>
      <c r="AE2367" s="4">
        <v>230</v>
      </c>
      <c r="AF2367" s="6">
        <v>64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100</v>
      </c>
      <c r="AW2367" s="8" t="s">
        <v>100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>
        <v>254</v>
      </c>
      <c r="BK2367" s="8">
        <v>9889.31</v>
      </c>
      <c r="BL2367" s="2" t="s">
        <v>5416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2528</v>
      </c>
      <c r="BV2367" s="2" t="s">
        <v>97</v>
      </c>
      <c r="BW2367" s="2" t="s">
        <v>100</v>
      </c>
      <c r="BX2367" s="2" t="s">
        <v>100</v>
      </c>
      <c r="BY2367" s="2" t="s">
        <v>113</v>
      </c>
      <c r="BZ2367" s="2" t="s">
        <v>100</v>
      </c>
    </row>
    <row r="2368">
      <c r="A2368" s="2" t="s">
        <v>7478</v>
      </c>
      <c r="B2368" s="2" t="s">
        <v>5764</v>
      </c>
      <c r="C2368" s="2" t="s">
        <v>2850</v>
      </c>
      <c r="D2368" s="2" t="s">
        <v>4473</v>
      </c>
      <c r="E2368" s="2" t="s">
        <v>5768</v>
      </c>
      <c r="F2368" s="2" t="s">
        <v>7460</v>
      </c>
      <c r="G2368" s="2" t="s">
        <v>7460</v>
      </c>
      <c r="H2368" s="2" t="s">
        <v>7460</v>
      </c>
      <c r="I2368" s="2" t="s">
        <v>5768</v>
      </c>
      <c r="J2368" s="2" t="s">
        <v>714</v>
      </c>
      <c r="K2368" s="2" t="s">
        <v>1614</v>
      </c>
      <c r="L2368" s="3">
        <v>42.4</v>
      </c>
      <c r="M2368" s="3">
        <v>44.52</v>
      </c>
      <c r="N2368" s="3">
        <v>89.99</v>
      </c>
      <c r="O2368" s="2" t="s">
        <v>97</v>
      </c>
      <c r="P2368" s="2" t="s">
        <v>119</v>
      </c>
      <c r="Q2368" s="2" t="s">
        <v>99</v>
      </c>
      <c r="R2368" s="2" t="s">
        <v>100</v>
      </c>
      <c r="S2368" s="2" t="s">
        <v>7475</v>
      </c>
      <c r="T2368" s="2" t="s">
        <v>6578</v>
      </c>
      <c r="U2368" s="2" t="s">
        <v>100</v>
      </c>
      <c r="V2368" s="2" t="s">
        <v>146</v>
      </c>
      <c r="W2368" s="2" t="s">
        <v>183</v>
      </c>
      <c r="X2368" s="2" t="s">
        <v>219</v>
      </c>
      <c r="Y2368" s="2" t="s">
        <v>240</v>
      </c>
      <c r="Z2368" s="4">
        <v>168</v>
      </c>
      <c r="AA2368" s="4">
        <f>=ROUNDDOWN(14,0)</f>
      </c>
      <c r="AB2368" s="5">
        <v>12</v>
      </c>
      <c r="AC2368" s="2" t="s">
        <v>356</v>
      </c>
      <c r="AD2368" s="4">
        <v>240</v>
      </c>
      <c r="AE2368" s="4">
        <v>360</v>
      </c>
      <c r="AF2368" s="6">
        <v>64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/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/>
      <c r="BJ2368" s="4">
        <v>327</v>
      </c>
      <c r="BK2368" s="8">
        <v>14798.06</v>
      </c>
      <c r="BL2368" s="2" t="s">
        <v>956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2528</v>
      </c>
      <c r="BV2368" s="2" t="s">
        <v>97</v>
      </c>
      <c r="BW2368" s="2" t="s">
        <v>100</v>
      </c>
      <c r="BX2368" s="2" t="s">
        <v>100</v>
      </c>
      <c r="BY2368" s="2" t="s">
        <v>113</v>
      </c>
      <c r="BZ2368" s="2" t="s">
        <v>100</v>
      </c>
    </row>
    <row r="2369">
      <c r="A2369" s="2" t="s">
        <v>7479</v>
      </c>
      <c r="B2369" s="2" t="s">
        <v>5764</v>
      </c>
      <c r="C2369" s="2" t="s">
        <v>2850</v>
      </c>
      <c r="D2369" s="2" t="s">
        <v>4473</v>
      </c>
      <c r="E2369" s="2" t="s">
        <v>5768</v>
      </c>
      <c r="F2369" s="2" t="s">
        <v>7460</v>
      </c>
      <c r="G2369" s="2" t="s">
        <v>7460</v>
      </c>
      <c r="H2369" s="2" t="s">
        <v>7460</v>
      </c>
      <c r="I2369" s="2" t="s">
        <v>5768</v>
      </c>
      <c r="J2369" s="2" t="s">
        <v>1936</v>
      </c>
      <c r="K2369" s="2" t="s">
        <v>6337</v>
      </c>
      <c r="L2369" s="3">
        <v>30.35</v>
      </c>
      <c r="M2369" s="3">
        <v>31.87</v>
      </c>
      <c r="N2369" s="3">
        <v>65.99</v>
      </c>
      <c r="O2369" s="2" t="s">
        <v>97</v>
      </c>
      <c r="P2369" s="2" t="s">
        <v>119</v>
      </c>
      <c r="Q2369" s="2" t="s">
        <v>99</v>
      </c>
      <c r="R2369" s="2" t="s">
        <v>100</v>
      </c>
      <c r="S2369" s="2" t="s">
        <v>7480</v>
      </c>
      <c r="T2369" s="2" t="s">
        <v>6578</v>
      </c>
      <c r="U2369" s="2" t="s">
        <v>1847</v>
      </c>
      <c r="V2369" s="2" t="s">
        <v>146</v>
      </c>
      <c r="W2369" s="2" t="s">
        <v>183</v>
      </c>
      <c r="X2369" s="2" t="s">
        <v>219</v>
      </c>
      <c r="Y2369" s="2" t="s">
        <v>7481</v>
      </c>
      <c r="Z2369" s="4">
        <v>178</v>
      </c>
      <c r="AA2369" s="4">
        <f>=ROUNDDOWN(44.5,0)</f>
      </c>
      <c r="AB2369" s="5">
        <v>4</v>
      </c>
      <c r="AC2369" s="2" t="s">
        <v>100</v>
      </c>
      <c r="AD2369" s="4"/>
      <c r="AE2369" s="4"/>
      <c r="AF2369" s="6">
        <v>65</v>
      </c>
      <c r="AG2369" s="6"/>
      <c r="AH2369" s="7">
        <v>0.9198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103</v>
      </c>
      <c r="BK2369" s="8">
        <v>3455.82</v>
      </c>
      <c r="BL2369" s="2" t="s">
        <v>2302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2528</v>
      </c>
      <c r="BV2369" s="2" t="s">
        <v>97</v>
      </c>
      <c r="BW2369" s="2" t="s">
        <v>100</v>
      </c>
      <c r="BX2369" s="2" t="s">
        <v>100</v>
      </c>
      <c r="BY2369" s="2" t="s">
        <v>113</v>
      </c>
      <c r="BZ2369" s="2" t="s">
        <v>100</v>
      </c>
    </row>
    <row r="2370">
      <c r="A2370" s="2" t="s">
        <v>7482</v>
      </c>
      <c r="B2370" s="2" t="s">
        <v>5764</v>
      </c>
      <c r="C2370" s="2" t="s">
        <v>2850</v>
      </c>
      <c r="D2370" s="2" t="s">
        <v>4473</v>
      </c>
      <c r="E2370" s="2" t="s">
        <v>5768</v>
      </c>
      <c r="F2370" s="2" t="s">
        <v>7460</v>
      </c>
      <c r="G2370" s="2" t="s">
        <v>7460</v>
      </c>
      <c r="H2370" s="2" t="s">
        <v>7460</v>
      </c>
      <c r="I2370" s="2" t="s">
        <v>5768</v>
      </c>
      <c r="J2370" s="2" t="s">
        <v>247</v>
      </c>
      <c r="K2370" s="2" t="s">
        <v>6337</v>
      </c>
      <c r="L2370" s="3">
        <v>36.18</v>
      </c>
      <c r="M2370" s="3">
        <v>37.99</v>
      </c>
      <c r="N2370" s="3">
        <v>76.99</v>
      </c>
      <c r="O2370" s="2" t="s">
        <v>97</v>
      </c>
      <c r="P2370" s="2" t="s">
        <v>119</v>
      </c>
      <c r="Q2370" s="2" t="s">
        <v>99</v>
      </c>
      <c r="R2370" s="2" t="s">
        <v>100</v>
      </c>
      <c r="S2370" s="2" t="s">
        <v>7480</v>
      </c>
      <c r="T2370" s="2" t="s">
        <v>6578</v>
      </c>
      <c r="U2370" s="2" t="s">
        <v>1847</v>
      </c>
      <c r="V2370" s="2" t="s">
        <v>146</v>
      </c>
      <c r="W2370" s="2" t="s">
        <v>183</v>
      </c>
      <c r="X2370" s="2" t="s">
        <v>219</v>
      </c>
      <c r="Y2370" s="2" t="s">
        <v>7481</v>
      </c>
      <c r="Z2370" s="4">
        <v>218</v>
      </c>
      <c r="AA2370" s="4">
        <f>=ROUNDDOWN(54.5,0)</f>
      </c>
      <c r="AB2370" s="5">
        <v>4</v>
      </c>
      <c r="AC2370" s="2" t="s">
        <v>100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98</v>
      </c>
      <c r="BK2370" s="8">
        <v>3848.24</v>
      </c>
      <c r="BL2370" s="2" t="s">
        <v>2355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2528</v>
      </c>
      <c r="BV2370" s="2" t="s">
        <v>97</v>
      </c>
      <c r="BW2370" s="2" t="s">
        <v>100</v>
      </c>
      <c r="BX2370" s="2" t="s">
        <v>100</v>
      </c>
      <c r="BY2370" s="2" t="s">
        <v>113</v>
      </c>
      <c r="BZ2370" s="2" t="s">
        <v>100</v>
      </c>
    </row>
    <row r="2371">
      <c r="A2371" s="2" t="s">
        <v>7483</v>
      </c>
      <c r="B2371" s="2" t="s">
        <v>5764</v>
      </c>
      <c r="C2371" s="2" t="s">
        <v>2850</v>
      </c>
      <c r="D2371" s="2" t="s">
        <v>4473</v>
      </c>
      <c r="E2371" s="2" t="s">
        <v>5768</v>
      </c>
      <c r="F2371" s="2" t="s">
        <v>7460</v>
      </c>
      <c r="G2371" s="2" t="s">
        <v>7460</v>
      </c>
      <c r="H2371" s="2" t="s">
        <v>7460</v>
      </c>
      <c r="I2371" s="2" t="s">
        <v>5768</v>
      </c>
      <c r="J2371" s="2" t="s">
        <v>714</v>
      </c>
      <c r="K2371" s="2" t="s">
        <v>6337</v>
      </c>
      <c r="L2371" s="3">
        <v>42.4</v>
      </c>
      <c r="M2371" s="3">
        <v>44.52</v>
      </c>
      <c r="N2371" s="3">
        <v>89.99</v>
      </c>
      <c r="O2371" s="2" t="s">
        <v>97</v>
      </c>
      <c r="P2371" s="2" t="s">
        <v>119</v>
      </c>
      <c r="Q2371" s="2" t="s">
        <v>99</v>
      </c>
      <c r="R2371" s="2" t="s">
        <v>100</v>
      </c>
      <c r="S2371" s="2" t="s">
        <v>7480</v>
      </c>
      <c r="T2371" s="2" t="s">
        <v>6578</v>
      </c>
      <c r="U2371" s="2" t="s">
        <v>1847</v>
      </c>
      <c r="V2371" s="2" t="s">
        <v>146</v>
      </c>
      <c r="W2371" s="2" t="s">
        <v>183</v>
      </c>
      <c r="X2371" s="2" t="s">
        <v>219</v>
      </c>
      <c r="Y2371" s="2" t="s">
        <v>7481</v>
      </c>
      <c r="Z2371" s="4">
        <v>188</v>
      </c>
      <c r="AA2371" s="4">
        <f>=ROUNDDOWN(47,0)</f>
      </c>
      <c r="AB2371" s="5">
        <v>4</v>
      </c>
      <c r="AC2371" s="2" t="s">
        <v>100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105</v>
      </c>
      <c r="BK2371" s="8">
        <v>4888.95</v>
      </c>
      <c r="BL2371" s="2" t="s">
        <v>5008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2528</v>
      </c>
      <c r="BV2371" s="2" t="s">
        <v>97</v>
      </c>
      <c r="BW2371" s="2" t="s">
        <v>100</v>
      </c>
      <c r="BX2371" s="2" t="s">
        <v>100</v>
      </c>
      <c r="BY2371" s="2" t="s">
        <v>113</v>
      </c>
      <c r="BZ2371" s="2" t="s">
        <v>100</v>
      </c>
    </row>
    <row r="2372">
      <c r="A2372" s="2" t="s">
        <v>7484</v>
      </c>
      <c r="B2372" s="2" t="s">
        <v>5764</v>
      </c>
      <c r="C2372" s="2" t="s">
        <v>2850</v>
      </c>
      <c r="D2372" s="2" t="s">
        <v>4626</v>
      </c>
      <c r="E2372" s="2" t="s">
        <v>7485</v>
      </c>
      <c r="F2372" s="2" t="s">
        <v>7460</v>
      </c>
      <c r="G2372" s="2" t="s">
        <v>7460</v>
      </c>
      <c r="H2372" s="2" t="s">
        <v>7460</v>
      </c>
      <c r="I2372" s="2" t="s">
        <v>7486</v>
      </c>
      <c r="J2372" s="2" t="s">
        <v>2818</v>
      </c>
      <c r="K2372" s="2" t="s">
        <v>496</v>
      </c>
      <c r="L2372" s="3">
        <v>10.58</v>
      </c>
      <c r="M2372" s="3">
        <v>11.11</v>
      </c>
      <c r="N2372" s="3">
        <v>22.99</v>
      </c>
      <c r="O2372" s="2" t="s">
        <v>97</v>
      </c>
      <c r="P2372" s="2" t="s">
        <v>119</v>
      </c>
      <c r="Q2372" s="2" t="s">
        <v>99</v>
      </c>
      <c r="R2372" s="2" t="s">
        <v>100</v>
      </c>
      <c r="S2372" s="2" t="s">
        <v>7469</v>
      </c>
      <c r="T2372" s="2" t="s">
        <v>6578</v>
      </c>
      <c r="U2372" s="2" t="s">
        <v>1847</v>
      </c>
      <c r="V2372" s="2" t="s">
        <v>146</v>
      </c>
      <c r="W2372" s="2" t="s">
        <v>183</v>
      </c>
      <c r="X2372" s="2" t="s">
        <v>219</v>
      </c>
      <c r="Y2372" s="2" t="s">
        <v>7462</v>
      </c>
      <c r="Z2372" s="4">
        <v>312</v>
      </c>
      <c r="AA2372" s="4">
        <f>=ROUNDDOWN(78,0)</f>
      </c>
      <c r="AB2372" s="5">
        <v>4</v>
      </c>
      <c r="AC2372" s="2" t="s">
        <v>100</v>
      </c>
      <c r="AD2372" s="4"/>
      <c r="AE2372" s="4"/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112</v>
      </c>
      <c r="BK2372" s="8">
        <v>1274.23</v>
      </c>
      <c r="BL2372" s="2" t="s">
        <v>2197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2528</v>
      </c>
      <c r="BV2372" s="2" t="s">
        <v>97</v>
      </c>
      <c r="BW2372" s="2" t="s">
        <v>100</v>
      </c>
      <c r="BX2372" s="2" t="s">
        <v>100</v>
      </c>
      <c r="BY2372" s="2" t="s">
        <v>113</v>
      </c>
      <c r="BZ2372" s="2" t="s">
        <v>100</v>
      </c>
    </row>
    <row r="2373">
      <c r="A2373" s="2" t="s">
        <v>7487</v>
      </c>
      <c r="B2373" s="2" t="s">
        <v>5764</v>
      </c>
      <c r="C2373" s="2" t="s">
        <v>2850</v>
      </c>
      <c r="D2373" s="2" t="s">
        <v>4626</v>
      </c>
      <c r="E2373" s="2" t="s">
        <v>7485</v>
      </c>
      <c r="F2373" s="2" t="s">
        <v>7460</v>
      </c>
      <c r="G2373" s="2" t="s">
        <v>7460</v>
      </c>
      <c r="H2373" s="2" t="s">
        <v>7460</v>
      </c>
      <c r="I2373" s="2" t="s">
        <v>7488</v>
      </c>
      <c r="J2373" s="2" t="s">
        <v>3174</v>
      </c>
      <c r="K2373" s="2" t="s">
        <v>496</v>
      </c>
      <c r="L2373" s="3">
        <v>12.96</v>
      </c>
      <c r="M2373" s="3">
        <v>13.61</v>
      </c>
      <c r="N2373" s="3">
        <v>26.99</v>
      </c>
      <c r="O2373" s="2" t="s">
        <v>97</v>
      </c>
      <c r="P2373" s="2" t="s">
        <v>119</v>
      </c>
      <c r="Q2373" s="2" t="s">
        <v>99</v>
      </c>
      <c r="R2373" s="2" t="s">
        <v>100</v>
      </c>
      <c r="S2373" s="2" t="s">
        <v>7469</v>
      </c>
      <c r="T2373" s="2" t="s">
        <v>6578</v>
      </c>
      <c r="U2373" s="2" t="s">
        <v>1847</v>
      </c>
      <c r="V2373" s="2" t="s">
        <v>146</v>
      </c>
      <c r="W2373" s="2" t="s">
        <v>183</v>
      </c>
      <c r="X2373" s="2" t="s">
        <v>219</v>
      </c>
      <c r="Y2373" s="2" t="s">
        <v>2788</v>
      </c>
      <c r="Z2373" s="4">
        <v>225</v>
      </c>
      <c r="AA2373" s="4">
        <f>=ROUNDDOWN(45,0)</f>
      </c>
      <c r="AB2373" s="5">
        <v>5</v>
      </c>
      <c r="AC2373" s="2" t="s">
        <v>2618</v>
      </c>
      <c r="AD2373" s="4">
        <v>296</v>
      </c>
      <c r="AE2373" s="4">
        <v>296</v>
      </c>
      <c r="AF2373" s="6">
        <v>64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100</v>
      </c>
      <c r="AW2373" s="8" t="s">
        <v>100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72</v>
      </c>
      <c r="BK2373" s="8">
        <v>1014.47</v>
      </c>
      <c r="BL2373" s="2" t="s">
        <v>2197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2528</v>
      </c>
      <c r="BV2373" s="2" t="s">
        <v>97</v>
      </c>
      <c r="BW2373" s="2" t="s">
        <v>100</v>
      </c>
      <c r="BX2373" s="2" t="s">
        <v>100</v>
      </c>
      <c r="BY2373" s="2" t="s">
        <v>113</v>
      </c>
      <c r="BZ2373" s="2" t="s">
        <v>100</v>
      </c>
    </row>
    <row r="2374">
      <c r="A2374" s="2" t="s">
        <v>7489</v>
      </c>
      <c r="B2374" s="2" t="s">
        <v>5764</v>
      </c>
      <c r="C2374" s="2" t="s">
        <v>2850</v>
      </c>
      <c r="D2374" s="2" t="s">
        <v>4626</v>
      </c>
      <c r="E2374" s="2" t="s">
        <v>7485</v>
      </c>
      <c r="F2374" s="2" t="s">
        <v>7460</v>
      </c>
      <c r="G2374" s="2" t="s">
        <v>7460</v>
      </c>
      <c r="H2374" s="2" t="s">
        <v>7460</v>
      </c>
      <c r="I2374" s="2" t="s">
        <v>7490</v>
      </c>
      <c r="J2374" s="2" t="s">
        <v>3338</v>
      </c>
      <c r="K2374" s="2" t="s">
        <v>496</v>
      </c>
      <c r="L2374" s="3">
        <v>18.4</v>
      </c>
      <c r="M2374" s="3">
        <v>19.32</v>
      </c>
      <c r="N2374" s="3">
        <v>39.99</v>
      </c>
      <c r="O2374" s="2" t="s">
        <v>97</v>
      </c>
      <c r="P2374" s="2" t="s">
        <v>119</v>
      </c>
      <c r="Q2374" s="2" t="s">
        <v>99</v>
      </c>
      <c r="R2374" s="2" t="s">
        <v>100</v>
      </c>
      <c r="S2374" s="2" t="s">
        <v>7469</v>
      </c>
      <c r="T2374" s="2" t="s">
        <v>6578</v>
      </c>
      <c r="U2374" s="2" t="s">
        <v>1847</v>
      </c>
      <c r="V2374" s="2" t="s">
        <v>146</v>
      </c>
      <c r="W2374" s="2" t="s">
        <v>183</v>
      </c>
      <c r="X2374" s="2" t="s">
        <v>219</v>
      </c>
      <c r="Y2374" s="2" t="s">
        <v>7462</v>
      </c>
      <c r="Z2374" s="4">
        <v>188</v>
      </c>
      <c r="AA2374" s="4">
        <f>=ROUNDDOWN(37.6,0)</f>
      </c>
      <c r="AB2374" s="5">
        <v>5</v>
      </c>
      <c r="AC2374" s="2" t="s">
        <v>222</v>
      </c>
      <c r="AD2374" s="4">
        <v>96</v>
      </c>
      <c r="AE2374" s="4">
        <v>304</v>
      </c>
      <c r="AF2374" s="6">
        <v>64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142</v>
      </c>
      <c r="BK2374" s="8">
        <v>2801.03</v>
      </c>
      <c r="BL2374" s="2" t="s">
        <v>7491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2528</v>
      </c>
      <c r="BV2374" s="2" t="s">
        <v>97</v>
      </c>
      <c r="BW2374" s="2" t="s">
        <v>100</v>
      </c>
      <c r="BX2374" s="2" t="s">
        <v>100</v>
      </c>
      <c r="BY2374" s="2" t="s">
        <v>113</v>
      </c>
      <c r="BZ2374" s="2" t="s">
        <v>100</v>
      </c>
    </row>
    <row r="2375">
      <c r="A2375" s="2" t="s">
        <v>7492</v>
      </c>
      <c r="B2375" s="2" t="s">
        <v>5764</v>
      </c>
      <c r="C2375" s="2" t="s">
        <v>2850</v>
      </c>
      <c r="D2375" s="2" t="s">
        <v>4626</v>
      </c>
      <c r="E2375" s="2" t="s">
        <v>7485</v>
      </c>
      <c r="F2375" s="2" t="s">
        <v>7460</v>
      </c>
      <c r="G2375" s="2" t="s">
        <v>7460</v>
      </c>
      <c r="H2375" s="2" t="s">
        <v>7460</v>
      </c>
      <c r="I2375" s="2" t="s">
        <v>7486</v>
      </c>
      <c r="J2375" s="2" t="s">
        <v>2818</v>
      </c>
      <c r="K2375" s="2" t="s">
        <v>1614</v>
      </c>
      <c r="L2375" s="3">
        <v>10.58</v>
      </c>
      <c r="M2375" s="3">
        <v>11.11</v>
      </c>
      <c r="N2375" s="3">
        <v>22.99</v>
      </c>
      <c r="O2375" s="2" t="s">
        <v>97</v>
      </c>
      <c r="P2375" s="2" t="s">
        <v>119</v>
      </c>
      <c r="Q2375" s="2" t="s">
        <v>99</v>
      </c>
      <c r="R2375" s="2" t="s">
        <v>100</v>
      </c>
      <c r="S2375" s="2" t="s">
        <v>7475</v>
      </c>
      <c r="T2375" s="2" t="s">
        <v>6578</v>
      </c>
      <c r="U2375" s="2" t="s">
        <v>100</v>
      </c>
      <c r="V2375" s="2" t="s">
        <v>146</v>
      </c>
      <c r="W2375" s="2" t="s">
        <v>183</v>
      </c>
      <c r="X2375" s="2" t="s">
        <v>219</v>
      </c>
      <c r="Y2375" s="2" t="s">
        <v>240</v>
      </c>
      <c r="Z2375" s="4">
        <v>795</v>
      </c>
      <c r="AA2375" s="4">
        <f>=ROUNDDOWN(61.1538461538462,0)</f>
      </c>
      <c r="AB2375" s="5">
        <v>13</v>
      </c>
      <c r="AC2375" s="2" t="s">
        <v>100</v>
      </c>
      <c r="AD2375" s="4"/>
      <c r="AE2375" s="4"/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100</v>
      </c>
      <c r="AW2375" s="8" t="s">
        <v>100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339</v>
      </c>
      <c r="BK2375" s="8">
        <v>3823.29</v>
      </c>
      <c r="BL2375" s="2" t="s">
        <v>6913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2528</v>
      </c>
      <c r="BV2375" s="2" t="s">
        <v>97</v>
      </c>
      <c r="BW2375" s="2" t="s">
        <v>100</v>
      </c>
      <c r="BX2375" s="2" t="s">
        <v>100</v>
      </c>
      <c r="BY2375" s="2" t="s">
        <v>113</v>
      </c>
      <c r="BZ2375" s="2" t="s">
        <v>100</v>
      </c>
    </row>
    <row r="2376">
      <c r="A2376" s="2" t="s">
        <v>7493</v>
      </c>
      <c r="B2376" s="2" t="s">
        <v>5764</v>
      </c>
      <c r="C2376" s="2" t="s">
        <v>2850</v>
      </c>
      <c r="D2376" s="2" t="s">
        <v>4626</v>
      </c>
      <c r="E2376" s="2" t="s">
        <v>7485</v>
      </c>
      <c r="F2376" s="2" t="s">
        <v>7460</v>
      </c>
      <c r="G2376" s="2" t="s">
        <v>7460</v>
      </c>
      <c r="H2376" s="2" t="s">
        <v>7460</v>
      </c>
      <c r="I2376" s="2" t="s">
        <v>7488</v>
      </c>
      <c r="J2376" s="2" t="s">
        <v>3174</v>
      </c>
      <c r="K2376" s="2" t="s">
        <v>1614</v>
      </c>
      <c r="L2376" s="3">
        <v>12.96</v>
      </c>
      <c r="M2376" s="3">
        <v>13.61</v>
      </c>
      <c r="N2376" s="3">
        <v>26.99</v>
      </c>
      <c r="O2376" s="2" t="s">
        <v>97</v>
      </c>
      <c r="P2376" s="2" t="s">
        <v>119</v>
      </c>
      <c r="Q2376" s="2" t="s">
        <v>99</v>
      </c>
      <c r="R2376" s="2" t="s">
        <v>100</v>
      </c>
      <c r="S2376" s="2" t="s">
        <v>7475</v>
      </c>
      <c r="T2376" s="2" t="s">
        <v>6578</v>
      </c>
      <c r="U2376" s="2" t="s">
        <v>100</v>
      </c>
      <c r="V2376" s="2" t="s">
        <v>146</v>
      </c>
      <c r="W2376" s="2" t="s">
        <v>183</v>
      </c>
      <c r="X2376" s="2" t="s">
        <v>219</v>
      </c>
      <c r="Y2376" s="2" t="s">
        <v>240</v>
      </c>
      <c r="Z2376" s="4">
        <v>566</v>
      </c>
      <c r="AA2376" s="4">
        <f>=ROUNDDOWN(47.1666666666667,0)</f>
      </c>
      <c r="AB2376" s="5">
        <v>12</v>
      </c>
      <c r="AC2376" s="2" t="s">
        <v>100</v>
      </c>
      <c r="AD2376" s="4"/>
      <c r="AE2376" s="4"/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312</v>
      </c>
      <c r="BK2376" s="8">
        <v>4363.53</v>
      </c>
      <c r="BL2376" s="2" t="s">
        <v>7494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2528</v>
      </c>
      <c r="BV2376" s="2" t="s">
        <v>97</v>
      </c>
      <c r="BW2376" s="2" t="s">
        <v>100</v>
      </c>
      <c r="BX2376" s="2" t="s">
        <v>100</v>
      </c>
      <c r="BY2376" s="2" t="s">
        <v>113</v>
      </c>
      <c r="BZ2376" s="2" t="s">
        <v>100</v>
      </c>
    </row>
    <row r="2377">
      <c r="A2377" s="2" t="s">
        <v>7495</v>
      </c>
      <c r="B2377" s="2" t="s">
        <v>5764</v>
      </c>
      <c r="C2377" s="2" t="s">
        <v>2850</v>
      </c>
      <c r="D2377" s="2" t="s">
        <v>4626</v>
      </c>
      <c r="E2377" s="2" t="s">
        <v>7485</v>
      </c>
      <c r="F2377" s="2" t="s">
        <v>7460</v>
      </c>
      <c r="G2377" s="2" t="s">
        <v>7460</v>
      </c>
      <c r="H2377" s="2" t="s">
        <v>7460</v>
      </c>
      <c r="I2377" s="2" t="s">
        <v>7490</v>
      </c>
      <c r="J2377" s="2" t="s">
        <v>3338</v>
      </c>
      <c r="K2377" s="2" t="s">
        <v>1614</v>
      </c>
      <c r="L2377" s="3">
        <v>18.4</v>
      </c>
      <c r="M2377" s="3">
        <v>19.32</v>
      </c>
      <c r="N2377" s="3">
        <v>39.99</v>
      </c>
      <c r="O2377" s="2" t="s">
        <v>97</v>
      </c>
      <c r="P2377" s="2" t="s">
        <v>119</v>
      </c>
      <c r="Q2377" s="2" t="s">
        <v>99</v>
      </c>
      <c r="R2377" s="2" t="s">
        <v>100</v>
      </c>
      <c r="S2377" s="2" t="s">
        <v>7475</v>
      </c>
      <c r="T2377" s="2" t="s">
        <v>6578</v>
      </c>
      <c r="U2377" s="2" t="s">
        <v>1847</v>
      </c>
      <c r="V2377" s="2" t="s">
        <v>146</v>
      </c>
      <c r="W2377" s="2" t="s">
        <v>183</v>
      </c>
      <c r="X2377" s="2" t="s">
        <v>219</v>
      </c>
      <c r="Y2377" s="2" t="s">
        <v>240</v>
      </c>
      <c r="Z2377" s="4">
        <v>405</v>
      </c>
      <c r="AA2377" s="4">
        <f>=ROUNDDOWN(57.8571428571429,0)</f>
      </c>
      <c r="AB2377" s="5">
        <v>7</v>
      </c>
      <c r="AC2377" s="2" t="s">
        <v>100</v>
      </c>
      <c r="AD2377" s="4"/>
      <c r="AE2377" s="4"/>
      <c r="AF2377" s="6">
        <v>64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100</v>
      </c>
      <c r="AW2377" s="8" t="s">
        <v>100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157</v>
      </c>
      <c r="BK2377" s="8">
        <v>3070.5</v>
      </c>
      <c r="BL2377" s="2" t="s">
        <v>553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2528</v>
      </c>
      <c r="BV2377" s="2" t="s">
        <v>97</v>
      </c>
      <c r="BW2377" s="2" t="s">
        <v>100</v>
      </c>
      <c r="BX2377" s="2" t="s">
        <v>100</v>
      </c>
      <c r="BY2377" s="2" t="s">
        <v>113</v>
      </c>
      <c r="BZ2377" s="2" t="s">
        <v>100</v>
      </c>
    </row>
    <row r="2378">
      <c r="A2378" s="2" t="s">
        <v>7496</v>
      </c>
      <c r="B2378" s="2" t="s">
        <v>5764</v>
      </c>
      <c r="C2378" s="2" t="s">
        <v>2850</v>
      </c>
      <c r="D2378" s="2" t="s">
        <v>4626</v>
      </c>
      <c r="E2378" s="2" t="s">
        <v>7485</v>
      </c>
      <c r="F2378" s="2" t="s">
        <v>7460</v>
      </c>
      <c r="G2378" s="2" t="s">
        <v>7460</v>
      </c>
      <c r="H2378" s="2" t="s">
        <v>7460</v>
      </c>
      <c r="I2378" s="2" t="s">
        <v>7486</v>
      </c>
      <c r="J2378" s="2" t="s">
        <v>2818</v>
      </c>
      <c r="K2378" s="2" t="s">
        <v>6337</v>
      </c>
      <c r="L2378" s="3">
        <v>10.58</v>
      </c>
      <c r="M2378" s="3">
        <v>11.11</v>
      </c>
      <c r="N2378" s="3">
        <v>22.99</v>
      </c>
      <c r="O2378" s="2" t="s">
        <v>97</v>
      </c>
      <c r="P2378" s="2" t="s">
        <v>119</v>
      </c>
      <c r="Q2378" s="2" t="s">
        <v>99</v>
      </c>
      <c r="R2378" s="2" t="s">
        <v>100</v>
      </c>
      <c r="S2378" s="2" t="s">
        <v>7480</v>
      </c>
      <c r="T2378" s="2" t="s">
        <v>6578</v>
      </c>
      <c r="U2378" s="2" t="s">
        <v>1847</v>
      </c>
      <c r="V2378" s="2" t="s">
        <v>146</v>
      </c>
      <c r="W2378" s="2" t="s">
        <v>183</v>
      </c>
      <c r="X2378" s="2" t="s">
        <v>219</v>
      </c>
      <c r="Y2378" s="2" t="s">
        <v>7481</v>
      </c>
      <c r="Z2378" s="4">
        <v>294</v>
      </c>
      <c r="AA2378" s="4">
        <f>=ROUNDDOWN(210,0)</f>
      </c>
      <c r="AB2378" s="5">
        <v>1.4</v>
      </c>
      <c r="AC2378" s="2" t="s">
        <v>100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100</v>
      </c>
      <c r="AW2378" s="8" t="s">
        <v>100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51</v>
      </c>
      <c r="BK2378" s="8">
        <v>588.36</v>
      </c>
      <c r="BL2378" s="2" t="s">
        <v>7497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2528</v>
      </c>
      <c r="BV2378" s="2" t="s">
        <v>97</v>
      </c>
      <c r="BW2378" s="2" t="s">
        <v>100</v>
      </c>
      <c r="BX2378" s="2" t="s">
        <v>100</v>
      </c>
      <c r="BY2378" s="2" t="s">
        <v>113</v>
      </c>
      <c r="BZ2378" s="2" t="s">
        <v>100</v>
      </c>
    </row>
    <row r="2379">
      <c r="A2379" s="2" t="s">
        <v>7498</v>
      </c>
      <c r="B2379" s="2" t="s">
        <v>5764</v>
      </c>
      <c r="C2379" s="2" t="s">
        <v>2850</v>
      </c>
      <c r="D2379" s="2" t="s">
        <v>4626</v>
      </c>
      <c r="E2379" s="2" t="s">
        <v>7485</v>
      </c>
      <c r="F2379" s="2" t="s">
        <v>7460</v>
      </c>
      <c r="G2379" s="2" t="s">
        <v>7460</v>
      </c>
      <c r="H2379" s="2" t="s">
        <v>7460</v>
      </c>
      <c r="I2379" s="2" t="s">
        <v>7488</v>
      </c>
      <c r="J2379" s="2" t="s">
        <v>3174</v>
      </c>
      <c r="K2379" s="2" t="s">
        <v>6337</v>
      </c>
      <c r="L2379" s="3">
        <v>12.96</v>
      </c>
      <c r="M2379" s="3">
        <v>13.61</v>
      </c>
      <c r="N2379" s="3">
        <v>26.99</v>
      </c>
      <c r="O2379" s="2" t="s">
        <v>97</v>
      </c>
      <c r="P2379" s="2" t="s">
        <v>119</v>
      </c>
      <c r="Q2379" s="2" t="s">
        <v>99</v>
      </c>
      <c r="R2379" s="2" t="s">
        <v>100</v>
      </c>
      <c r="S2379" s="2" t="s">
        <v>7480</v>
      </c>
      <c r="T2379" s="2" t="s">
        <v>6578</v>
      </c>
      <c r="U2379" s="2" t="s">
        <v>1847</v>
      </c>
      <c r="V2379" s="2" t="s">
        <v>146</v>
      </c>
      <c r="W2379" s="2" t="s">
        <v>183</v>
      </c>
      <c r="X2379" s="2" t="s">
        <v>219</v>
      </c>
      <c r="Y2379" s="2" t="s">
        <v>7481</v>
      </c>
      <c r="Z2379" s="4">
        <v>255</v>
      </c>
      <c r="AA2379" s="4">
        <f>=ROUNDDOWN(115.909090909091,0)</f>
      </c>
      <c r="AB2379" s="5">
        <v>2.2</v>
      </c>
      <c r="AC2379" s="2" t="s">
        <v>100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100</v>
      </c>
      <c r="AW2379" s="8" t="s">
        <v>100</v>
      </c>
      <c r="AX2379" s="4" t="s">
        <v>100</v>
      </c>
      <c r="AY2379" s="8" t="s">
        <v>100</v>
      </c>
      <c r="AZ2379" s="7" t="s">
        <v>100</v>
      </c>
      <c r="BA2379" s="7" t="s">
        <v>100</v>
      </c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67</v>
      </c>
      <c r="BK2379" s="8">
        <v>958.07</v>
      </c>
      <c r="BL2379" s="2" t="s">
        <v>7499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2528</v>
      </c>
      <c r="BV2379" s="2" t="s">
        <v>97</v>
      </c>
      <c r="BW2379" s="2" t="s">
        <v>100</v>
      </c>
      <c r="BX2379" s="2" t="s">
        <v>100</v>
      </c>
      <c r="BY2379" s="2" t="s">
        <v>113</v>
      </c>
      <c r="BZ2379" s="2" t="s">
        <v>100</v>
      </c>
    </row>
    <row r="2380">
      <c r="A2380" s="2" t="s">
        <v>7500</v>
      </c>
      <c r="B2380" s="2" t="s">
        <v>5764</v>
      </c>
      <c r="C2380" s="2" t="s">
        <v>2850</v>
      </c>
      <c r="D2380" s="2" t="s">
        <v>4626</v>
      </c>
      <c r="E2380" s="2" t="s">
        <v>7485</v>
      </c>
      <c r="F2380" s="2" t="s">
        <v>7460</v>
      </c>
      <c r="G2380" s="2" t="s">
        <v>7460</v>
      </c>
      <c r="H2380" s="2" t="s">
        <v>7460</v>
      </c>
      <c r="I2380" s="2" t="s">
        <v>7490</v>
      </c>
      <c r="J2380" s="2" t="s">
        <v>3338</v>
      </c>
      <c r="K2380" s="2" t="s">
        <v>6337</v>
      </c>
      <c r="L2380" s="3">
        <v>18.4</v>
      </c>
      <c r="M2380" s="3">
        <v>19.32</v>
      </c>
      <c r="N2380" s="3">
        <v>39.99</v>
      </c>
      <c r="O2380" s="2" t="s">
        <v>97</v>
      </c>
      <c r="P2380" s="2" t="s">
        <v>119</v>
      </c>
      <c r="Q2380" s="2" t="s">
        <v>99</v>
      </c>
      <c r="R2380" s="2" t="s">
        <v>100</v>
      </c>
      <c r="S2380" s="2" t="s">
        <v>7480</v>
      </c>
      <c r="T2380" s="2" t="s">
        <v>6578</v>
      </c>
      <c r="U2380" s="2" t="s">
        <v>1847</v>
      </c>
      <c r="V2380" s="2" t="s">
        <v>146</v>
      </c>
      <c r="W2380" s="2" t="s">
        <v>183</v>
      </c>
      <c r="X2380" s="2" t="s">
        <v>219</v>
      </c>
      <c r="Y2380" s="2" t="s">
        <v>7481</v>
      </c>
      <c r="Z2380" s="4">
        <v>157</v>
      </c>
      <c r="AA2380" s="4">
        <f>=ROUNDDOWN(52.3333333333333,0)</f>
      </c>
      <c r="AB2380" s="5">
        <v>3</v>
      </c>
      <c r="AC2380" s="2" t="s">
        <v>100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100</v>
      </c>
      <c r="AW2380" s="8" t="s">
        <v>100</v>
      </c>
      <c r="AX2380" s="4" t="s">
        <v>100</v>
      </c>
      <c r="AY2380" s="8" t="s">
        <v>100</v>
      </c>
      <c r="AZ2380" s="7" t="s">
        <v>100</v>
      </c>
      <c r="BA2380" s="7" t="s">
        <v>100</v>
      </c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79</v>
      </c>
      <c r="BK2380" s="8">
        <v>1521.22</v>
      </c>
      <c r="BL2380" s="2" t="s">
        <v>7501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2528</v>
      </c>
      <c r="BV2380" s="2" t="s">
        <v>97</v>
      </c>
      <c r="BW2380" s="2" t="s">
        <v>100</v>
      </c>
      <c r="BX2380" s="2" t="s">
        <v>100</v>
      </c>
      <c r="BY2380" s="2" t="s">
        <v>113</v>
      </c>
      <c r="BZ2380" s="2" t="s">
        <v>100</v>
      </c>
    </row>
    <row r="2381">
      <c r="A2381" s="2" t="s">
        <v>7502</v>
      </c>
      <c r="B2381" s="2" t="s">
        <v>5764</v>
      </c>
      <c r="C2381" s="2" t="s">
        <v>2850</v>
      </c>
      <c r="D2381" s="2" t="s">
        <v>1842</v>
      </c>
      <c r="E2381" s="2" t="s">
        <v>6020</v>
      </c>
      <c r="F2381" s="2" t="s">
        <v>7460</v>
      </c>
      <c r="G2381" s="2" t="s">
        <v>7460</v>
      </c>
      <c r="H2381" s="2" t="s">
        <v>7460</v>
      </c>
      <c r="I2381" s="2" t="s">
        <v>6020</v>
      </c>
      <c r="J2381" s="2" t="s">
        <v>5024</v>
      </c>
      <c r="K2381" s="2" t="s">
        <v>913</v>
      </c>
      <c r="L2381" s="3">
        <v>18.09</v>
      </c>
      <c r="M2381" s="3">
        <v>18.99</v>
      </c>
      <c r="N2381" s="3">
        <v>38.99</v>
      </c>
      <c r="O2381" s="2" t="s">
        <v>97</v>
      </c>
      <c r="P2381" s="2" t="s">
        <v>119</v>
      </c>
      <c r="Q2381" s="2" t="s">
        <v>99</v>
      </c>
      <c r="R2381" s="2" t="s">
        <v>100</v>
      </c>
      <c r="S2381" s="2" t="s">
        <v>7503</v>
      </c>
      <c r="T2381" s="2" t="s">
        <v>6578</v>
      </c>
      <c r="U2381" s="2" t="s">
        <v>1847</v>
      </c>
      <c r="V2381" s="2" t="s">
        <v>146</v>
      </c>
      <c r="W2381" s="2" t="s">
        <v>183</v>
      </c>
      <c r="X2381" s="2" t="s">
        <v>219</v>
      </c>
      <c r="Y2381" s="2" t="s">
        <v>7481</v>
      </c>
      <c r="Z2381" s="4">
        <v>268</v>
      </c>
      <c r="AA2381" s="4">
        <f>=ROUNDDOWN(14.1052631578947,0)</f>
      </c>
      <c r="AB2381" s="5">
        <v>19</v>
      </c>
      <c r="AC2381" s="2" t="s">
        <v>7390</v>
      </c>
      <c r="AD2381" s="4">
        <v>500</v>
      </c>
      <c r="AE2381" s="4">
        <v>500</v>
      </c>
      <c r="AF2381" s="6">
        <v>65</v>
      </c>
      <c r="AG2381" s="6"/>
      <c r="AH2381" s="7">
        <v>0.9465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446</v>
      </c>
      <c r="BK2381" s="8">
        <v>8742.94</v>
      </c>
      <c r="BL2381" s="2" t="s">
        <v>1738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2528</v>
      </c>
      <c r="BV2381" s="2" t="s">
        <v>97</v>
      </c>
      <c r="BW2381" s="2" t="s">
        <v>100</v>
      </c>
      <c r="BX2381" s="2" t="s">
        <v>100</v>
      </c>
      <c r="BY2381" s="2" t="s">
        <v>113</v>
      </c>
      <c r="BZ2381" s="2" t="s">
        <v>100</v>
      </c>
    </row>
    <row r="2382">
      <c r="A2382" s="2" t="s">
        <v>7504</v>
      </c>
      <c r="B2382" s="2" t="s">
        <v>5764</v>
      </c>
      <c r="C2382" s="2" t="s">
        <v>2850</v>
      </c>
      <c r="D2382" s="2" t="s">
        <v>1842</v>
      </c>
      <c r="E2382" s="2" t="s">
        <v>6020</v>
      </c>
      <c r="F2382" s="2" t="s">
        <v>7460</v>
      </c>
      <c r="G2382" s="2" t="s">
        <v>7460</v>
      </c>
      <c r="H2382" s="2" t="s">
        <v>7460</v>
      </c>
      <c r="I2382" s="2" t="s">
        <v>6020</v>
      </c>
      <c r="J2382" s="2" t="s">
        <v>5024</v>
      </c>
      <c r="K2382" s="2" t="s">
        <v>278</v>
      </c>
      <c r="L2382" s="3">
        <v>18.09</v>
      </c>
      <c r="M2382" s="3">
        <v>18.99</v>
      </c>
      <c r="N2382" s="3">
        <v>38.99</v>
      </c>
      <c r="O2382" s="2" t="s">
        <v>97</v>
      </c>
      <c r="P2382" s="2" t="s">
        <v>119</v>
      </c>
      <c r="Q2382" s="2" t="s">
        <v>99</v>
      </c>
      <c r="R2382" s="2" t="s">
        <v>100</v>
      </c>
      <c r="S2382" s="2" t="s">
        <v>7505</v>
      </c>
      <c r="T2382" s="2" t="s">
        <v>6578</v>
      </c>
      <c r="U2382" s="2" t="s">
        <v>1847</v>
      </c>
      <c r="V2382" s="2" t="s">
        <v>146</v>
      </c>
      <c r="W2382" s="2" t="s">
        <v>183</v>
      </c>
      <c r="X2382" s="2" t="s">
        <v>219</v>
      </c>
      <c r="Y2382" s="2" t="s">
        <v>7481</v>
      </c>
      <c r="Z2382" s="4">
        <v>355</v>
      </c>
      <c r="AA2382" s="4">
        <f>=ROUNDDOWN(17.75,0)</f>
      </c>
      <c r="AB2382" s="5">
        <v>20</v>
      </c>
      <c r="AC2382" s="2" t="s">
        <v>356</v>
      </c>
      <c r="AD2382" s="4">
        <v>300</v>
      </c>
      <c r="AE2382" s="4">
        <v>700</v>
      </c>
      <c r="AF2382" s="6">
        <v>65</v>
      </c>
      <c r="AG2382" s="6"/>
      <c r="AH2382" s="7">
        <v>0.8075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439</v>
      </c>
      <c r="BK2382" s="8">
        <v>8607.64</v>
      </c>
      <c r="BL2382" s="2" t="s">
        <v>7506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2528</v>
      </c>
      <c r="BV2382" s="2" t="s">
        <v>97</v>
      </c>
      <c r="BW2382" s="2" t="s">
        <v>100</v>
      </c>
      <c r="BX2382" s="2" t="s">
        <v>100</v>
      </c>
      <c r="BY2382" s="2" t="s">
        <v>113</v>
      </c>
      <c r="BZ2382" s="2" t="s">
        <v>100</v>
      </c>
    </row>
    <row r="2383">
      <c r="A2383" s="2" t="s">
        <v>7507</v>
      </c>
      <c r="B2383" s="2" t="s">
        <v>5764</v>
      </c>
      <c r="C2383" s="2" t="s">
        <v>2850</v>
      </c>
      <c r="D2383" s="2" t="s">
        <v>1842</v>
      </c>
      <c r="E2383" s="2" t="s">
        <v>6020</v>
      </c>
      <c r="F2383" s="2" t="s">
        <v>7460</v>
      </c>
      <c r="G2383" s="2" t="s">
        <v>7460</v>
      </c>
      <c r="H2383" s="2" t="s">
        <v>7460</v>
      </c>
      <c r="I2383" s="2" t="s">
        <v>6020</v>
      </c>
      <c r="J2383" s="2" t="s">
        <v>5024</v>
      </c>
      <c r="K2383" s="2" t="s">
        <v>198</v>
      </c>
      <c r="L2383" s="3">
        <v>18.09</v>
      </c>
      <c r="M2383" s="3">
        <v>18.99</v>
      </c>
      <c r="N2383" s="3">
        <v>38.99</v>
      </c>
      <c r="O2383" s="2" t="s">
        <v>97</v>
      </c>
      <c r="P2383" s="2" t="s">
        <v>119</v>
      </c>
      <c r="Q2383" s="2" t="s">
        <v>99</v>
      </c>
      <c r="R2383" s="2" t="s">
        <v>100</v>
      </c>
      <c r="S2383" s="2" t="s">
        <v>7461</v>
      </c>
      <c r="T2383" s="2" t="s">
        <v>6578</v>
      </c>
      <c r="U2383" s="2" t="s">
        <v>1847</v>
      </c>
      <c r="V2383" s="2" t="s">
        <v>146</v>
      </c>
      <c r="W2383" s="2" t="s">
        <v>183</v>
      </c>
      <c r="X2383" s="2" t="s">
        <v>219</v>
      </c>
      <c r="Y2383" s="2" t="s">
        <v>2788</v>
      </c>
      <c r="Z2383" s="4">
        <v>335</v>
      </c>
      <c r="AA2383" s="4">
        <f>=ROUNDDOWN(22.1854304635762,0)</f>
      </c>
      <c r="AB2383" s="5">
        <v>15.1</v>
      </c>
      <c r="AC2383" s="2" t="s">
        <v>222</v>
      </c>
      <c r="AD2383" s="4">
        <v>150</v>
      </c>
      <c r="AE2383" s="4">
        <v>400</v>
      </c>
      <c r="AF2383" s="6">
        <v>64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>
        <v>427</v>
      </c>
      <c r="BK2383" s="8">
        <v>8472.69</v>
      </c>
      <c r="BL2383" s="2" t="s">
        <v>4511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2528</v>
      </c>
      <c r="BV2383" s="2" t="s">
        <v>97</v>
      </c>
      <c r="BW2383" s="2" t="s">
        <v>100</v>
      </c>
      <c r="BX2383" s="2" t="s">
        <v>100</v>
      </c>
      <c r="BY2383" s="2" t="s">
        <v>113</v>
      </c>
      <c r="BZ2383" s="2" t="s">
        <v>100</v>
      </c>
    </row>
    <row r="2384">
      <c r="A2384" s="2" t="s">
        <v>7508</v>
      </c>
      <c r="B2384" s="2" t="s">
        <v>5764</v>
      </c>
      <c r="C2384" s="2" t="s">
        <v>2850</v>
      </c>
      <c r="D2384" s="2" t="s">
        <v>1842</v>
      </c>
      <c r="E2384" s="2" t="s">
        <v>6020</v>
      </c>
      <c r="F2384" s="2" t="s">
        <v>7460</v>
      </c>
      <c r="G2384" s="2" t="s">
        <v>7460</v>
      </c>
      <c r="H2384" s="2" t="s">
        <v>7460</v>
      </c>
      <c r="I2384" s="2" t="s">
        <v>6020</v>
      </c>
      <c r="J2384" s="2" t="s">
        <v>5024</v>
      </c>
      <c r="K2384" s="2" t="s">
        <v>496</v>
      </c>
      <c r="L2384" s="3">
        <v>18.09</v>
      </c>
      <c r="M2384" s="3">
        <v>18.99</v>
      </c>
      <c r="N2384" s="3">
        <v>38.99</v>
      </c>
      <c r="O2384" s="2" t="s">
        <v>97</v>
      </c>
      <c r="P2384" s="2" t="s">
        <v>950</v>
      </c>
      <c r="Q2384" s="2" t="s">
        <v>99</v>
      </c>
      <c r="R2384" s="2" t="s">
        <v>100</v>
      </c>
      <c r="S2384" s="2" t="s">
        <v>7469</v>
      </c>
      <c r="T2384" s="2" t="s">
        <v>6578</v>
      </c>
      <c r="U2384" s="2" t="s">
        <v>1847</v>
      </c>
      <c r="V2384" s="2" t="s">
        <v>146</v>
      </c>
      <c r="W2384" s="2" t="s">
        <v>183</v>
      </c>
      <c r="X2384" s="2" t="s">
        <v>219</v>
      </c>
      <c r="Y2384" s="2" t="s">
        <v>2788</v>
      </c>
      <c r="Z2384" s="4">
        <v>172</v>
      </c>
      <c r="AA2384" s="4">
        <f>=ROUNDDOWN(6.37037037037037,0)</f>
      </c>
      <c r="AB2384" s="5">
        <v>27</v>
      </c>
      <c r="AC2384" s="2" t="s">
        <v>356</v>
      </c>
      <c r="AD2384" s="4">
        <v>300</v>
      </c>
      <c r="AE2384" s="4">
        <v>1350</v>
      </c>
      <c r="AF2384" s="6">
        <v>64</v>
      </c>
      <c r="AG2384" s="6"/>
      <c r="AH2384" s="7">
        <v>0.9893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760</v>
      </c>
      <c r="BK2384" s="8">
        <v>15068.54</v>
      </c>
      <c r="BL2384" s="2" t="s">
        <v>7509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2480</v>
      </c>
      <c r="BV2384" s="2" t="s">
        <v>97</v>
      </c>
      <c r="BW2384" s="2" t="s">
        <v>100</v>
      </c>
      <c r="BX2384" s="2" t="s">
        <v>100</v>
      </c>
      <c r="BY2384" s="2" t="s">
        <v>113</v>
      </c>
      <c r="BZ2384" s="2" t="s">
        <v>100</v>
      </c>
    </row>
    <row r="2385">
      <c r="A2385" s="2" t="s">
        <v>7510</v>
      </c>
      <c r="B2385" s="2" t="s">
        <v>5764</v>
      </c>
      <c r="C2385" s="2" t="s">
        <v>2850</v>
      </c>
      <c r="D2385" s="2" t="s">
        <v>1842</v>
      </c>
      <c r="E2385" s="2" t="s">
        <v>6020</v>
      </c>
      <c r="F2385" s="2" t="s">
        <v>7460</v>
      </c>
      <c r="G2385" s="2" t="s">
        <v>7460</v>
      </c>
      <c r="H2385" s="2" t="s">
        <v>7460</v>
      </c>
      <c r="I2385" s="2" t="s">
        <v>6020</v>
      </c>
      <c r="J2385" s="2" t="s">
        <v>5024</v>
      </c>
      <c r="K2385" s="2" t="s">
        <v>1614</v>
      </c>
      <c r="L2385" s="3">
        <v>18.09</v>
      </c>
      <c r="M2385" s="3">
        <v>18.99</v>
      </c>
      <c r="N2385" s="3">
        <v>38.99</v>
      </c>
      <c r="O2385" s="2" t="s">
        <v>97</v>
      </c>
      <c r="P2385" s="2" t="s">
        <v>119</v>
      </c>
      <c r="Q2385" s="2" t="s">
        <v>99</v>
      </c>
      <c r="R2385" s="2" t="s">
        <v>100</v>
      </c>
      <c r="S2385" s="2" t="s">
        <v>7475</v>
      </c>
      <c r="T2385" s="2" t="s">
        <v>6578</v>
      </c>
      <c r="U2385" s="2" t="s">
        <v>100</v>
      </c>
      <c r="V2385" s="2" t="s">
        <v>146</v>
      </c>
      <c r="W2385" s="2" t="s">
        <v>183</v>
      </c>
      <c r="X2385" s="2" t="s">
        <v>219</v>
      </c>
      <c r="Y2385" s="2" t="s">
        <v>240</v>
      </c>
      <c r="Z2385" s="4">
        <v>280</v>
      </c>
      <c r="AA2385" s="4">
        <f>=ROUNDDOWN(12.1739130434783,0)</f>
      </c>
      <c r="AB2385" s="5">
        <v>23</v>
      </c>
      <c r="AC2385" s="2" t="s">
        <v>356</v>
      </c>
      <c r="AD2385" s="4">
        <v>300</v>
      </c>
      <c r="AE2385" s="4">
        <v>1100</v>
      </c>
      <c r="AF2385" s="6">
        <v>64</v>
      </c>
      <c r="AG2385" s="6"/>
      <c r="AH2385" s="7">
        <v>0.9572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/>
      <c r="BJ2385" s="4">
        <v>588</v>
      </c>
      <c r="BK2385" s="8">
        <v>11345.77</v>
      </c>
      <c r="BL2385" s="2" t="s">
        <v>7511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2528</v>
      </c>
      <c r="BV2385" s="2" t="s">
        <v>97</v>
      </c>
      <c r="BW2385" s="2" t="s">
        <v>100</v>
      </c>
      <c r="BX2385" s="2" t="s">
        <v>100</v>
      </c>
      <c r="BY2385" s="2" t="s">
        <v>113</v>
      </c>
      <c r="BZ2385" s="2" t="s">
        <v>100</v>
      </c>
    </row>
    <row r="2386">
      <c r="A2386" s="2" t="s">
        <v>7512</v>
      </c>
      <c r="B2386" s="2" t="s">
        <v>5764</v>
      </c>
      <c r="C2386" s="2" t="s">
        <v>2850</v>
      </c>
      <c r="D2386" s="2" t="s">
        <v>1842</v>
      </c>
      <c r="E2386" s="2" t="s">
        <v>6020</v>
      </c>
      <c r="F2386" s="2" t="s">
        <v>7460</v>
      </c>
      <c r="G2386" s="2" t="s">
        <v>7460</v>
      </c>
      <c r="H2386" s="2" t="s">
        <v>7460</v>
      </c>
      <c r="I2386" s="2" t="s">
        <v>6020</v>
      </c>
      <c r="J2386" s="2" t="s">
        <v>5024</v>
      </c>
      <c r="K2386" s="2" t="s">
        <v>6337</v>
      </c>
      <c r="L2386" s="3">
        <v>18.09</v>
      </c>
      <c r="M2386" s="3">
        <v>18.99</v>
      </c>
      <c r="N2386" s="3">
        <v>38.99</v>
      </c>
      <c r="O2386" s="2" t="s">
        <v>97</v>
      </c>
      <c r="P2386" s="2" t="s">
        <v>119</v>
      </c>
      <c r="Q2386" s="2" t="s">
        <v>99</v>
      </c>
      <c r="R2386" s="2" t="s">
        <v>100</v>
      </c>
      <c r="S2386" s="2" t="s">
        <v>7480</v>
      </c>
      <c r="T2386" s="2" t="s">
        <v>6578</v>
      </c>
      <c r="U2386" s="2" t="s">
        <v>1847</v>
      </c>
      <c r="V2386" s="2" t="s">
        <v>146</v>
      </c>
      <c r="W2386" s="2" t="s">
        <v>183</v>
      </c>
      <c r="X2386" s="2" t="s">
        <v>219</v>
      </c>
      <c r="Y2386" s="2" t="s">
        <v>7481</v>
      </c>
      <c r="Z2386" s="4">
        <v>210</v>
      </c>
      <c r="AA2386" s="4">
        <f>=ROUNDDOWN(11.0526315789474,0)</f>
      </c>
      <c r="AB2386" s="5">
        <v>19</v>
      </c>
      <c r="AC2386" s="2" t="s">
        <v>542</v>
      </c>
      <c r="AD2386" s="4">
        <v>350</v>
      </c>
      <c r="AE2386" s="4">
        <v>700</v>
      </c>
      <c r="AF2386" s="6">
        <v>65</v>
      </c>
      <c r="AG2386" s="6"/>
      <c r="AH2386" s="7">
        <v>0.9947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523</v>
      </c>
      <c r="BK2386" s="8">
        <v>10475.6</v>
      </c>
      <c r="BL2386" s="2" t="s">
        <v>1336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2528</v>
      </c>
      <c r="BV2386" s="2" t="s">
        <v>97</v>
      </c>
      <c r="BW2386" s="2" t="s">
        <v>100</v>
      </c>
      <c r="BX2386" s="2" t="s">
        <v>100</v>
      </c>
      <c r="BY2386" s="2" t="s">
        <v>113</v>
      </c>
      <c r="BZ2386" s="2" t="s">
        <v>100</v>
      </c>
    </row>
    <row r="2387">
      <c r="A2387" s="2" t="s">
        <v>7513</v>
      </c>
      <c r="B2387" s="2" t="s">
        <v>5764</v>
      </c>
      <c r="C2387" s="2" t="s">
        <v>2850</v>
      </c>
      <c r="D2387" s="2" t="s">
        <v>1842</v>
      </c>
      <c r="E2387" s="2" t="s">
        <v>6020</v>
      </c>
      <c r="F2387" s="2" t="s">
        <v>7514</v>
      </c>
      <c r="G2387" s="2" t="s">
        <v>7515</v>
      </c>
      <c r="H2387" s="2" t="s">
        <v>100</v>
      </c>
      <c r="I2387" s="2" t="s">
        <v>7516</v>
      </c>
      <c r="J2387" s="2" t="s">
        <v>5024</v>
      </c>
      <c r="K2387" s="2" t="s">
        <v>96</v>
      </c>
      <c r="L2387" s="3">
        <v>19.22</v>
      </c>
      <c r="M2387" s="3">
        <v>20.18</v>
      </c>
      <c r="N2387" s="3">
        <v>41.99</v>
      </c>
      <c r="O2387" s="2" t="s">
        <v>97</v>
      </c>
      <c r="P2387" s="2" t="s">
        <v>119</v>
      </c>
      <c r="Q2387" s="2" t="s">
        <v>99</v>
      </c>
      <c r="R2387" s="2" t="s">
        <v>100</v>
      </c>
      <c r="S2387" s="2" t="s">
        <v>7517</v>
      </c>
      <c r="T2387" s="2" t="s">
        <v>6578</v>
      </c>
      <c r="U2387" s="2" t="s">
        <v>100</v>
      </c>
      <c r="V2387" s="2" t="s">
        <v>3546</v>
      </c>
      <c r="W2387" s="2" t="s">
        <v>1580</v>
      </c>
      <c r="X2387" s="2" t="s">
        <v>561</v>
      </c>
      <c r="Y2387" s="2" t="s">
        <v>240</v>
      </c>
      <c r="Z2387" s="4">
        <v>467</v>
      </c>
      <c r="AA2387" s="4">
        <f>=ROUNDDOWN(33.3571428571429,0)</f>
      </c>
      <c r="AB2387" s="5">
        <v>14</v>
      </c>
      <c r="AC2387" s="2" t="s">
        <v>931</v>
      </c>
      <c r="AD2387" s="4">
        <v>500</v>
      </c>
      <c r="AE2387" s="4">
        <v>500</v>
      </c>
      <c r="AF2387" s="6">
        <v>64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374</v>
      </c>
      <c r="BK2387" s="8">
        <v>7498.1</v>
      </c>
      <c r="BL2387" s="2" t="s">
        <v>7518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2528</v>
      </c>
      <c r="BV2387" s="2" t="s">
        <v>97</v>
      </c>
      <c r="BW2387" s="2" t="s">
        <v>100</v>
      </c>
      <c r="BX2387" s="2" t="s">
        <v>100</v>
      </c>
      <c r="BY2387" s="2" t="s">
        <v>113</v>
      </c>
      <c r="BZ2387" s="2" t="s">
        <v>100</v>
      </c>
    </row>
    <row r="2388">
      <c r="A2388" s="2" t="s">
        <v>7519</v>
      </c>
      <c r="B2388" s="2" t="s">
        <v>5764</v>
      </c>
      <c r="C2388" s="2" t="s">
        <v>2850</v>
      </c>
      <c r="D2388" s="2" t="s">
        <v>1842</v>
      </c>
      <c r="E2388" s="2" t="s">
        <v>6020</v>
      </c>
      <c r="F2388" s="2" t="s">
        <v>7514</v>
      </c>
      <c r="G2388" s="2" t="s">
        <v>7515</v>
      </c>
      <c r="H2388" s="2" t="s">
        <v>100</v>
      </c>
      <c r="I2388" s="2" t="s">
        <v>7516</v>
      </c>
      <c r="J2388" s="2" t="s">
        <v>5024</v>
      </c>
      <c r="K2388" s="2" t="s">
        <v>198</v>
      </c>
      <c r="L2388" s="3">
        <v>19.22</v>
      </c>
      <c r="M2388" s="3">
        <v>20.18</v>
      </c>
      <c r="N2388" s="3">
        <v>41.99</v>
      </c>
      <c r="O2388" s="2" t="s">
        <v>97</v>
      </c>
      <c r="P2388" s="2" t="s">
        <v>119</v>
      </c>
      <c r="Q2388" s="2" t="s">
        <v>99</v>
      </c>
      <c r="R2388" s="2" t="s">
        <v>100</v>
      </c>
      <c r="S2388" s="2" t="s">
        <v>7520</v>
      </c>
      <c r="T2388" s="2" t="s">
        <v>6578</v>
      </c>
      <c r="U2388" s="2" t="s">
        <v>1847</v>
      </c>
      <c r="V2388" s="2" t="s">
        <v>3546</v>
      </c>
      <c r="W2388" s="2" t="s">
        <v>1580</v>
      </c>
      <c r="X2388" s="2" t="s">
        <v>561</v>
      </c>
      <c r="Y2388" s="2" t="s">
        <v>7521</v>
      </c>
      <c r="Z2388" s="4">
        <v>145</v>
      </c>
      <c r="AA2388" s="4">
        <f>=ROUNDDOWN(9.66666666666667,0)</f>
      </c>
      <c r="AB2388" s="5">
        <v>15</v>
      </c>
      <c r="AC2388" s="2" t="s">
        <v>542</v>
      </c>
      <c r="AD2388" s="4">
        <v>500</v>
      </c>
      <c r="AE2388" s="4">
        <v>1000</v>
      </c>
      <c r="AF2388" s="6">
        <v>64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315</v>
      </c>
      <c r="BK2388" s="8">
        <v>6474.09</v>
      </c>
      <c r="BL2388" s="2" t="s">
        <v>7522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2528</v>
      </c>
      <c r="BV2388" s="2" t="s">
        <v>97</v>
      </c>
      <c r="BW2388" s="2" t="s">
        <v>100</v>
      </c>
      <c r="BX2388" s="2" t="s">
        <v>100</v>
      </c>
      <c r="BY2388" s="2" t="s">
        <v>113</v>
      </c>
      <c r="BZ2388" s="2" t="s">
        <v>100</v>
      </c>
    </row>
    <row r="2389">
      <c r="A2389" s="2" t="s">
        <v>7523</v>
      </c>
      <c r="B2389" s="2" t="s">
        <v>5764</v>
      </c>
      <c r="C2389" s="2" t="s">
        <v>2850</v>
      </c>
      <c r="D2389" s="2" t="s">
        <v>1842</v>
      </c>
      <c r="E2389" s="2" t="s">
        <v>6020</v>
      </c>
      <c r="F2389" s="2" t="s">
        <v>7514</v>
      </c>
      <c r="G2389" s="2" t="s">
        <v>7515</v>
      </c>
      <c r="H2389" s="2" t="s">
        <v>100</v>
      </c>
      <c r="I2389" s="2" t="s">
        <v>7516</v>
      </c>
      <c r="J2389" s="2" t="s">
        <v>5024</v>
      </c>
      <c r="K2389" s="2" t="s">
        <v>629</v>
      </c>
      <c r="L2389" s="3">
        <v>19.22</v>
      </c>
      <c r="M2389" s="3">
        <v>20.18</v>
      </c>
      <c r="N2389" s="3">
        <v>41.99</v>
      </c>
      <c r="O2389" s="2" t="s">
        <v>97</v>
      </c>
      <c r="P2389" s="2" t="s">
        <v>119</v>
      </c>
      <c r="Q2389" s="2" t="s">
        <v>99</v>
      </c>
      <c r="R2389" s="2" t="s">
        <v>100</v>
      </c>
      <c r="S2389" s="2" t="s">
        <v>7524</v>
      </c>
      <c r="T2389" s="2" t="s">
        <v>6578</v>
      </c>
      <c r="U2389" s="2" t="s">
        <v>100</v>
      </c>
      <c r="V2389" s="2" t="s">
        <v>3546</v>
      </c>
      <c r="W2389" s="2" t="s">
        <v>1580</v>
      </c>
      <c r="X2389" s="2" t="s">
        <v>561</v>
      </c>
      <c r="Y2389" s="2" t="s">
        <v>240</v>
      </c>
      <c r="Z2389" s="4">
        <v>456</v>
      </c>
      <c r="AA2389" s="4">
        <f>=ROUNDDOWN(38,0)</f>
      </c>
      <c r="AB2389" s="5">
        <v>12</v>
      </c>
      <c r="AC2389" s="2" t="s">
        <v>931</v>
      </c>
      <c r="AD2389" s="4">
        <v>500</v>
      </c>
      <c r="AE2389" s="4">
        <v>500</v>
      </c>
      <c r="AF2389" s="6">
        <v>64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433</v>
      </c>
      <c r="BK2389" s="8">
        <v>8782.55</v>
      </c>
      <c r="BL2389" s="2" t="s">
        <v>7525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2528</v>
      </c>
      <c r="BV2389" s="2" t="s">
        <v>97</v>
      </c>
      <c r="BW2389" s="2" t="s">
        <v>100</v>
      </c>
      <c r="BX2389" s="2" t="s">
        <v>100</v>
      </c>
      <c r="BY2389" s="2" t="s">
        <v>113</v>
      </c>
      <c r="BZ2389" s="2" t="s">
        <v>100</v>
      </c>
    </row>
    <row r="2390">
      <c r="A2390" s="2" t="s">
        <v>7526</v>
      </c>
      <c r="B2390" s="2" t="s">
        <v>5764</v>
      </c>
      <c r="C2390" s="2" t="s">
        <v>2850</v>
      </c>
      <c r="D2390" s="2" t="s">
        <v>1842</v>
      </c>
      <c r="E2390" s="2" t="s">
        <v>6020</v>
      </c>
      <c r="F2390" s="2" t="s">
        <v>7514</v>
      </c>
      <c r="G2390" s="2" t="s">
        <v>7515</v>
      </c>
      <c r="H2390" s="2" t="s">
        <v>100</v>
      </c>
      <c r="I2390" s="2" t="s">
        <v>7516</v>
      </c>
      <c r="J2390" s="2" t="s">
        <v>5024</v>
      </c>
      <c r="K2390" s="2" t="s">
        <v>297</v>
      </c>
      <c r="L2390" s="3">
        <v>19.22</v>
      </c>
      <c r="M2390" s="3">
        <v>20.18</v>
      </c>
      <c r="N2390" s="3">
        <v>41.99</v>
      </c>
      <c r="O2390" s="2" t="s">
        <v>97</v>
      </c>
      <c r="P2390" s="2" t="s">
        <v>119</v>
      </c>
      <c r="Q2390" s="2" t="s">
        <v>99</v>
      </c>
      <c r="R2390" s="2" t="s">
        <v>100</v>
      </c>
      <c r="S2390" s="2" t="s">
        <v>7527</v>
      </c>
      <c r="T2390" s="2" t="s">
        <v>6578</v>
      </c>
      <c r="U2390" s="2" t="s">
        <v>100</v>
      </c>
      <c r="V2390" s="2" t="s">
        <v>3546</v>
      </c>
      <c r="W2390" s="2" t="s">
        <v>1580</v>
      </c>
      <c r="X2390" s="2" t="s">
        <v>561</v>
      </c>
      <c r="Y2390" s="2" t="s">
        <v>240</v>
      </c>
      <c r="Z2390" s="4">
        <v>147</v>
      </c>
      <c r="AA2390" s="4">
        <f>=ROUNDDOWN(7.73684210526316,0)</f>
      </c>
      <c r="AB2390" s="5">
        <v>19</v>
      </c>
      <c r="AC2390" s="2" t="s">
        <v>542</v>
      </c>
      <c r="AD2390" s="4">
        <v>500</v>
      </c>
      <c r="AE2390" s="4">
        <v>1000</v>
      </c>
      <c r="AF2390" s="6">
        <v>64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509</v>
      </c>
      <c r="BK2390" s="8">
        <v>9873.66</v>
      </c>
      <c r="BL2390" s="2" t="s">
        <v>7528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2528</v>
      </c>
      <c r="BV2390" s="2" t="s">
        <v>97</v>
      </c>
      <c r="BW2390" s="2" t="s">
        <v>100</v>
      </c>
      <c r="BX2390" s="2" t="s">
        <v>100</v>
      </c>
      <c r="BY2390" s="2" t="s">
        <v>113</v>
      </c>
      <c r="BZ2390" s="2" t="s">
        <v>100</v>
      </c>
    </row>
    <row r="2391">
      <c r="A2391" s="2" t="s">
        <v>7529</v>
      </c>
      <c r="B2391" s="2" t="s">
        <v>5764</v>
      </c>
      <c r="C2391" s="2" t="s">
        <v>4995</v>
      </c>
      <c r="D2391" s="2" t="s">
        <v>6111</v>
      </c>
      <c r="E2391" s="2" t="s">
        <v>6112</v>
      </c>
      <c r="F2391" s="2" t="s">
        <v>7530</v>
      </c>
      <c r="G2391" s="2" t="s">
        <v>7530</v>
      </c>
      <c r="H2391" s="2" t="s">
        <v>7530</v>
      </c>
      <c r="I2391" s="2" t="s">
        <v>6114</v>
      </c>
      <c r="J2391" s="2" t="s">
        <v>1936</v>
      </c>
      <c r="K2391" s="2" t="s">
        <v>189</v>
      </c>
      <c r="L2391" s="3">
        <v>35.71</v>
      </c>
      <c r="M2391" s="3">
        <v>37.5</v>
      </c>
      <c r="N2391" s="3">
        <v>74.99</v>
      </c>
      <c r="O2391" s="2" t="s">
        <v>97</v>
      </c>
      <c r="P2391" s="2" t="s">
        <v>225</v>
      </c>
      <c r="Q2391" s="2" t="s">
        <v>99</v>
      </c>
      <c r="R2391" s="2" t="s">
        <v>100</v>
      </c>
      <c r="S2391" s="2" t="s">
        <v>7531</v>
      </c>
      <c r="T2391" s="2" t="s">
        <v>218</v>
      </c>
      <c r="U2391" s="2" t="s">
        <v>1847</v>
      </c>
      <c r="V2391" s="2" t="s">
        <v>403</v>
      </c>
      <c r="W2391" s="2" t="s">
        <v>183</v>
      </c>
      <c r="X2391" s="2" t="s">
        <v>100</v>
      </c>
      <c r="Y2391" s="2" t="s">
        <v>1216</v>
      </c>
      <c r="Z2391" s="4">
        <v>194</v>
      </c>
      <c r="AA2391" s="4">
        <f>=ROUNDDOWN(11.4117647058824,0)</f>
      </c>
      <c r="AB2391" s="5">
        <v>17</v>
      </c>
      <c r="AC2391" s="2" t="s">
        <v>282</v>
      </c>
      <c r="AD2391" s="4">
        <v>300</v>
      </c>
      <c r="AE2391" s="4">
        <v>300</v>
      </c>
      <c r="AF2391" s="6">
        <v>66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2</v>
      </c>
      <c r="BK2391" s="8">
        <v>81</v>
      </c>
      <c r="BL2391" s="2" t="s">
        <v>3765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207</v>
      </c>
      <c r="BV2391" s="2" t="s">
        <v>97</v>
      </c>
      <c r="BW2391" s="2" t="s">
        <v>100</v>
      </c>
      <c r="BX2391" s="2" t="s">
        <v>100</v>
      </c>
      <c r="BY2391" s="2" t="s">
        <v>113</v>
      </c>
      <c r="BZ2391" s="2" t="s">
        <v>100</v>
      </c>
    </row>
    <row r="2392">
      <c r="A2392" s="2" t="s">
        <v>7532</v>
      </c>
      <c r="B2392" s="2" t="s">
        <v>5764</v>
      </c>
      <c r="C2392" s="2" t="s">
        <v>4995</v>
      </c>
      <c r="D2392" s="2" t="s">
        <v>6111</v>
      </c>
      <c r="E2392" s="2" t="s">
        <v>6112</v>
      </c>
      <c r="F2392" s="2" t="s">
        <v>7530</v>
      </c>
      <c r="G2392" s="2" t="s">
        <v>7530</v>
      </c>
      <c r="H2392" s="2" t="s">
        <v>7530</v>
      </c>
      <c r="I2392" s="2" t="s">
        <v>6114</v>
      </c>
      <c r="J2392" s="2" t="s">
        <v>2072</v>
      </c>
      <c r="K2392" s="2" t="s">
        <v>189</v>
      </c>
      <c r="L2392" s="3">
        <v>35.71</v>
      </c>
      <c r="M2392" s="3">
        <v>37.5</v>
      </c>
      <c r="N2392" s="3">
        <v>74.99</v>
      </c>
      <c r="O2392" s="2" t="s">
        <v>97</v>
      </c>
      <c r="P2392" s="2" t="s">
        <v>225</v>
      </c>
      <c r="Q2392" s="2" t="s">
        <v>99</v>
      </c>
      <c r="R2392" s="2" t="s">
        <v>100</v>
      </c>
      <c r="S2392" s="2" t="s">
        <v>7531</v>
      </c>
      <c r="T2392" s="2" t="s">
        <v>218</v>
      </c>
      <c r="U2392" s="2" t="s">
        <v>1847</v>
      </c>
      <c r="V2392" s="2" t="s">
        <v>403</v>
      </c>
      <c r="W2392" s="2" t="s">
        <v>183</v>
      </c>
      <c r="X2392" s="2" t="s">
        <v>100</v>
      </c>
      <c r="Y2392" s="2" t="s">
        <v>1214</v>
      </c>
      <c r="Z2392" s="4">
        <v>216</v>
      </c>
      <c r="AA2392" s="4">
        <f>=ROUNDDOWN(9.39130434782609,0)</f>
      </c>
      <c r="AB2392" s="5">
        <v>23</v>
      </c>
      <c r="AC2392" s="2" t="s">
        <v>282</v>
      </c>
      <c r="AD2392" s="4">
        <v>380</v>
      </c>
      <c r="AE2392" s="4">
        <v>380</v>
      </c>
      <c r="AF2392" s="6">
        <v>66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100</v>
      </c>
      <c r="AW2392" s="8" t="s">
        <v>100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22</v>
      </c>
      <c r="BK2392" s="8">
        <v>889.31</v>
      </c>
      <c r="BL2392" s="2" t="s">
        <v>7533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207</v>
      </c>
      <c r="BV2392" s="2" t="s">
        <v>97</v>
      </c>
      <c r="BW2392" s="2" t="s">
        <v>100</v>
      </c>
      <c r="BX2392" s="2" t="s">
        <v>100</v>
      </c>
      <c r="BY2392" s="2" t="s">
        <v>113</v>
      </c>
      <c r="BZ2392" s="2" t="s">
        <v>100</v>
      </c>
    </row>
    <row r="2393">
      <c r="A2393" s="2" t="s">
        <v>7534</v>
      </c>
      <c r="B2393" s="2" t="s">
        <v>5764</v>
      </c>
      <c r="C2393" s="2" t="s">
        <v>4995</v>
      </c>
      <c r="D2393" s="2" t="s">
        <v>6111</v>
      </c>
      <c r="E2393" s="2" t="s">
        <v>6112</v>
      </c>
      <c r="F2393" s="2" t="s">
        <v>7530</v>
      </c>
      <c r="G2393" s="2" t="s">
        <v>7530</v>
      </c>
      <c r="H2393" s="2" t="s">
        <v>7530</v>
      </c>
      <c r="I2393" s="2" t="s">
        <v>6114</v>
      </c>
      <c r="J2393" s="2" t="s">
        <v>717</v>
      </c>
      <c r="K2393" s="2" t="s">
        <v>189</v>
      </c>
      <c r="L2393" s="3">
        <v>40.47</v>
      </c>
      <c r="M2393" s="3">
        <v>42.49</v>
      </c>
      <c r="N2393" s="3">
        <v>84.99</v>
      </c>
      <c r="O2393" s="2" t="s">
        <v>97</v>
      </c>
      <c r="P2393" s="2" t="s">
        <v>225</v>
      </c>
      <c r="Q2393" s="2" t="s">
        <v>99</v>
      </c>
      <c r="R2393" s="2" t="s">
        <v>100</v>
      </c>
      <c r="S2393" s="2" t="s">
        <v>7531</v>
      </c>
      <c r="T2393" s="2" t="s">
        <v>218</v>
      </c>
      <c r="U2393" s="2" t="s">
        <v>1847</v>
      </c>
      <c r="V2393" s="2" t="s">
        <v>403</v>
      </c>
      <c r="W2393" s="2" t="s">
        <v>183</v>
      </c>
      <c r="X2393" s="2" t="s">
        <v>100</v>
      </c>
      <c r="Y2393" s="2" t="s">
        <v>7064</v>
      </c>
      <c r="Z2393" s="4">
        <v>321</v>
      </c>
      <c r="AA2393" s="4">
        <f>=ROUNDDOWN(11.0689655172414,0)</f>
      </c>
      <c r="AB2393" s="5">
        <v>29</v>
      </c>
      <c r="AC2393" s="2" t="s">
        <v>282</v>
      </c>
      <c r="AD2393" s="4">
        <v>500</v>
      </c>
      <c r="AE2393" s="4">
        <v>500</v>
      </c>
      <c r="AF2393" s="6">
        <v>66</v>
      </c>
      <c r="AG2393" s="6"/>
      <c r="AH2393" s="7">
        <v>0.5556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100</v>
      </c>
      <c r="AW2393" s="8" t="s">
        <v>100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12</v>
      </c>
      <c r="BK2393" s="8">
        <v>548.17</v>
      </c>
      <c r="BL2393" s="2" t="s">
        <v>7535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207</v>
      </c>
      <c r="BV2393" s="2" t="s">
        <v>97</v>
      </c>
      <c r="BW2393" s="2" t="s">
        <v>100</v>
      </c>
      <c r="BX2393" s="2" t="s">
        <v>100</v>
      </c>
      <c r="BY2393" s="2" t="s">
        <v>113</v>
      </c>
      <c r="BZ2393" s="2" t="s">
        <v>100</v>
      </c>
    </row>
    <row r="2394">
      <c r="A2394" s="2" t="s">
        <v>7536</v>
      </c>
      <c r="B2394" s="2" t="s">
        <v>5764</v>
      </c>
      <c r="C2394" s="2" t="s">
        <v>4995</v>
      </c>
      <c r="D2394" s="2" t="s">
        <v>6111</v>
      </c>
      <c r="E2394" s="2" t="s">
        <v>6112</v>
      </c>
      <c r="F2394" s="2" t="s">
        <v>7530</v>
      </c>
      <c r="G2394" s="2" t="s">
        <v>7530</v>
      </c>
      <c r="H2394" s="2" t="s">
        <v>7530</v>
      </c>
      <c r="I2394" s="2" t="s">
        <v>6114</v>
      </c>
      <c r="J2394" s="2" t="s">
        <v>706</v>
      </c>
      <c r="K2394" s="2" t="s">
        <v>189</v>
      </c>
      <c r="L2394" s="3">
        <v>54.76</v>
      </c>
      <c r="M2394" s="3">
        <v>57.5</v>
      </c>
      <c r="N2394" s="3">
        <v>114.99</v>
      </c>
      <c r="O2394" s="2" t="s">
        <v>97</v>
      </c>
      <c r="P2394" s="2" t="s">
        <v>225</v>
      </c>
      <c r="Q2394" s="2" t="s">
        <v>99</v>
      </c>
      <c r="R2394" s="2" t="s">
        <v>100</v>
      </c>
      <c r="S2394" s="2" t="s">
        <v>7531</v>
      </c>
      <c r="T2394" s="2" t="s">
        <v>218</v>
      </c>
      <c r="U2394" s="2" t="s">
        <v>1847</v>
      </c>
      <c r="V2394" s="2" t="s">
        <v>403</v>
      </c>
      <c r="W2394" s="2" t="s">
        <v>183</v>
      </c>
      <c r="X2394" s="2" t="s">
        <v>100</v>
      </c>
      <c r="Y2394" s="2" t="s">
        <v>7064</v>
      </c>
      <c r="Z2394" s="4">
        <v>590</v>
      </c>
      <c r="AA2394" s="4">
        <f>=ROUNDDOWN(10.7272727272727,0)</f>
      </c>
      <c r="AB2394" s="5">
        <v>55</v>
      </c>
      <c r="AC2394" s="2" t="s">
        <v>282</v>
      </c>
      <c r="AD2394" s="4">
        <v>1060</v>
      </c>
      <c r="AE2394" s="4">
        <v>1060</v>
      </c>
      <c r="AF2394" s="6">
        <v>66</v>
      </c>
      <c r="AG2394" s="6"/>
      <c r="AH2394" s="7">
        <v>0.5432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100</v>
      </c>
      <c r="AW2394" s="8" t="s">
        <v>100</v>
      </c>
      <c r="AX2394" s="4" t="s">
        <v>100</v>
      </c>
      <c r="AY2394" s="8" t="s">
        <v>100</v>
      </c>
      <c r="AZ2394" s="7" t="s">
        <v>100</v>
      </c>
      <c r="BA2394" s="7" t="s">
        <v>100</v>
      </c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63</v>
      </c>
      <c r="BK2394" s="8">
        <v>3902.28</v>
      </c>
      <c r="BL2394" s="2" t="s">
        <v>7537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207</v>
      </c>
      <c r="BV2394" s="2" t="s">
        <v>97</v>
      </c>
      <c r="BW2394" s="2" t="s">
        <v>100</v>
      </c>
      <c r="BX2394" s="2" t="s">
        <v>100</v>
      </c>
      <c r="BY2394" s="2" t="s">
        <v>113</v>
      </c>
      <c r="BZ2394" s="2" t="s">
        <v>100</v>
      </c>
    </row>
    <row r="2395">
      <c r="A2395" s="2" t="s">
        <v>7538</v>
      </c>
      <c r="B2395" s="2" t="s">
        <v>5764</v>
      </c>
      <c r="C2395" s="2" t="s">
        <v>4995</v>
      </c>
      <c r="D2395" s="2" t="s">
        <v>6111</v>
      </c>
      <c r="E2395" s="2" t="s">
        <v>6112</v>
      </c>
      <c r="F2395" s="2" t="s">
        <v>7530</v>
      </c>
      <c r="G2395" s="2" t="s">
        <v>7530</v>
      </c>
      <c r="H2395" s="2" t="s">
        <v>7530</v>
      </c>
      <c r="I2395" s="2" t="s">
        <v>6114</v>
      </c>
      <c r="J2395" s="2" t="s">
        <v>714</v>
      </c>
      <c r="K2395" s="2" t="s">
        <v>189</v>
      </c>
      <c r="L2395" s="3">
        <v>59.52</v>
      </c>
      <c r="M2395" s="3">
        <v>62.5</v>
      </c>
      <c r="N2395" s="3">
        <v>124.99</v>
      </c>
      <c r="O2395" s="2" t="s">
        <v>97</v>
      </c>
      <c r="P2395" s="2" t="s">
        <v>225</v>
      </c>
      <c r="Q2395" s="2" t="s">
        <v>99</v>
      </c>
      <c r="R2395" s="2" t="s">
        <v>100</v>
      </c>
      <c r="S2395" s="2" t="s">
        <v>7531</v>
      </c>
      <c r="T2395" s="2" t="s">
        <v>218</v>
      </c>
      <c r="U2395" s="2" t="s">
        <v>1847</v>
      </c>
      <c r="V2395" s="2" t="s">
        <v>403</v>
      </c>
      <c r="W2395" s="2" t="s">
        <v>183</v>
      </c>
      <c r="X2395" s="2" t="s">
        <v>100</v>
      </c>
      <c r="Y2395" s="2" t="s">
        <v>1214</v>
      </c>
      <c r="Z2395" s="4">
        <v>361</v>
      </c>
      <c r="AA2395" s="4">
        <f>=ROUNDDOWN(8.20454545454546,0)</f>
      </c>
      <c r="AB2395" s="5">
        <v>44</v>
      </c>
      <c r="AC2395" s="2" t="s">
        <v>282</v>
      </c>
      <c r="AD2395" s="4">
        <v>640</v>
      </c>
      <c r="AE2395" s="4">
        <v>640</v>
      </c>
      <c r="AF2395" s="6">
        <v>66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100</v>
      </c>
      <c r="AW2395" s="8" t="s">
        <v>100</v>
      </c>
      <c r="AX2395" s="4" t="s">
        <v>100</v>
      </c>
      <c r="AY2395" s="8" t="s">
        <v>100</v>
      </c>
      <c r="AZ2395" s="7" t="s">
        <v>100</v>
      </c>
      <c r="BA2395" s="7" t="s">
        <v>100</v>
      </c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32</v>
      </c>
      <c r="BK2395" s="8">
        <v>2155.97</v>
      </c>
      <c r="BL2395" s="2" t="s">
        <v>7539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207</v>
      </c>
      <c r="BV2395" s="2" t="s">
        <v>97</v>
      </c>
      <c r="BW2395" s="2" t="s">
        <v>100</v>
      </c>
      <c r="BX2395" s="2" t="s">
        <v>100</v>
      </c>
      <c r="BY2395" s="2" t="s">
        <v>113</v>
      </c>
      <c r="BZ2395" s="2" t="s">
        <v>100</v>
      </c>
    </row>
    <row r="2396">
      <c r="A2396" s="2" t="s">
        <v>7540</v>
      </c>
      <c r="B2396" s="2" t="s">
        <v>5764</v>
      </c>
      <c r="C2396" s="2" t="s">
        <v>4995</v>
      </c>
      <c r="D2396" s="2" t="s">
        <v>6111</v>
      </c>
      <c r="E2396" s="2" t="s">
        <v>6112</v>
      </c>
      <c r="F2396" s="2" t="s">
        <v>7530</v>
      </c>
      <c r="G2396" s="2" t="s">
        <v>7530</v>
      </c>
      <c r="H2396" s="2" t="s">
        <v>7530</v>
      </c>
      <c r="I2396" s="2" t="s">
        <v>6114</v>
      </c>
      <c r="J2396" s="2" t="s">
        <v>817</v>
      </c>
      <c r="K2396" s="2" t="s">
        <v>189</v>
      </c>
      <c r="L2396" s="3">
        <v>59.52</v>
      </c>
      <c r="M2396" s="3">
        <v>62.5</v>
      </c>
      <c r="N2396" s="3">
        <v>124.99</v>
      </c>
      <c r="O2396" s="2" t="s">
        <v>97</v>
      </c>
      <c r="P2396" s="2" t="s">
        <v>225</v>
      </c>
      <c r="Q2396" s="2" t="s">
        <v>99</v>
      </c>
      <c r="R2396" s="2" t="s">
        <v>100</v>
      </c>
      <c r="S2396" s="2" t="s">
        <v>7531</v>
      </c>
      <c r="T2396" s="2" t="s">
        <v>218</v>
      </c>
      <c r="U2396" s="2" t="s">
        <v>1847</v>
      </c>
      <c r="V2396" s="2" t="s">
        <v>403</v>
      </c>
      <c r="W2396" s="2" t="s">
        <v>183</v>
      </c>
      <c r="X2396" s="2" t="s">
        <v>100</v>
      </c>
      <c r="Y2396" s="2" t="s">
        <v>1216</v>
      </c>
      <c r="Z2396" s="4">
        <v>192</v>
      </c>
      <c r="AA2396" s="4">
        <f>=ROUNDDOWN(16,0)</f>
      </c>
      <c r="AB2396" s="5">
        <v>12</v>
      </c>
      <c r="AC2396" s="2" t="s">
        <v>282</v>
      </c>
      <c r="AD2396" s="4">
        <v>300</v>
      </c>
      <c r="AE2396" s="4">
        <v>300</v>
      </c>
      <c r="AF2396" s="6">
        <v>66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100</v>
      </c>
      <c r="AW2396" s="8" t="s">
        <v>100</v>
      </c>
      <c r="AX2396" s="4" t="s">
        <v>100</v>
      </c>
      <c r="AY2396" s="8" t="s">
        <v>100</v>
      </c>
      <c r="AZ2396" s="7" t="s">
        <v>100</v>
      </c>
      <c r="BA2396" s="7" t="s">
        <v>100</v>
      </c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5</v>
      </c>
      <c r="BK2396" s="8">
        <v>332.5</v>
      </c>
      <c r="BL2396" s="2" t="s">
        <v>6950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207</v>
      </c>
      <c r="BV2396" s="2" t="s">
        <v>97</v>
      </c>
      <c r="BW2396" s="2" t="s">
        <v>100</v>
      </c>
      <c r="BX2396" s="2" t="s">
        <v>100</v>
      </c>
      <c r="BY2396" s="2" t="s">
        <v>113</v>
      </c>
      <c r="BZ2396" s="2" t="s">
        <v>100</v>
      </c>
    </row>
    <row r="2397">
      <c r="A2397" s="2" t="s">
        <v>7541</v>
      </c>
      <c r="B2397" s="2" t="s">
        <v>5764</v>
      </c>
      <c r="C2397" s="2" t="s">
        <v>4995</v>
      </c>
      <c r="D2397" s="2" t="s">
        <v>5765</v>
      </c>
      <c r="E2397" s="2" t="s">
        <v>6018</v>
      </c>
      <c r="F2397" s="2" t="s">
        <v>7542</v>
      </c>
      <c r="G2397" s="2" t="s">
        <v>7543</v>
      </c>
      <c r="H2397" s="2" t="s">
        <v>7543</v>
      </c>
      <c r="I2397" s="2" t="s">
        <v>7544</v>
      </c>
      <c r="J2397" s="2" t="s">
        <v>5024</v>
      </c>
      <c r="K2397" s="2" t="s">
        <v>118</v>
      </c>
      <c r="L2397" s="3">
        <v>33.33</v>
      </c>
      <c r="M2397" s="3">
        <v>35</v>
      </c>
      <c r="N2397" s="3">
        <v>69.99</v>
      </c>
      <c r="O2397" s="2" t="s">
        <v>97</v>
      </c>
      <c r="P2397" s="2" t="s">
        <v>225</v>
      </c>
      <c r="Q2397" s="2" t="s">
        <v>99</v>
      </c>
      <c r="R2397" s="2" t="s">
        <v>100</v>
      </c>
      <c r="S2397" s="2" t="s">
        <v>7545</v>
      </c>
      <c r="T2397" s="2" t="s">
        <v>200</v>
      </c>
      <c r="U2397" s="2" t="s">
        <v>1847</v>
      </c>
      <c r="V2397" s="2" t="s">
        <v>146</v>
      </c>
      <c r="W2397" s="2" t="s">
        <v>183</v>
      </c>
      <c r="X2397" s="2" t="s">
        <v>100</v>
      </c>
      <c r="Y2397" s="2" t="s">
        <v>7064</v>
      </c>
      <c r="Z2397" s="4">
        <v>736</v>
      </c>
      <c r="AA2397" s="4">
        <f>=ROUNDDOWN(27.2592592592593,0)</f>
      </c>
      <c r="AB2397" s="5">
        <v>27</v>
      </c>
      <c r="AC2397" s="2" t="s">
        <v>100</v>
      </c>
      <c r="AD2397" s="4"/>
      <c r="AE2397" s="4"/>
      <c r="AF2397" s="6">
        <v>66</v>
      </c>
      <c r="AG2397" s="6"/>
      <c r="AH2397" s="7">
        <v>0.5556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21</v>
      </c>
      <c r="BK2397" s="8">
        <v>794.34</v>
      </c>
      <c r="BL2397" s="2" t="s">
        <v>7546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207</v>
      </c>
      <c r="BV2397" s="2" t="s">
        <v>97</v>
      </c>
      <c r="BW2397" s="2" t="s">
        <v>100</v>
      </c>
      <c r="BX2397" s="2" t="s">
        <v>100</v>
      </c>
      <c r="BY2397" s="2" t="s">
        <v>113</v>
      </c>
      <c r="BZ2397" s="2" t="s">
        <v>100</v>
      </c>
    </row>
    <row r="2398">
      <c r="A2398" s="2" t="s">
        <v>7547</v>
      </c>
      <c r="B2398" s="2" t="s">
        <v>5764</v>
      </c>
      <c r="C2398" s="2" t="s">
        <v>4995</v>
      </c>
      <c r="D2398" s="2" t="s">
        <v>5765</v>
      </c>
      <c r="E2398" s="2" t="s">
        <v>6018</v>
      </c>
      <c r="F2398" s="2" t="s">
        <v>7542</v>
      </c>
      <c r="G2398" s="2" t="s">
        <v>7543</v>
      </c>
      <c r="H2398" s="2" t="s">
        <v>7543</v>
      </c>
      <c r="I2398" s="2" t="s">
        <v>7544</v>
      </c>
      <c r="J2398" s="2" t="s">
        <v>5024</v>
      </c>
      <c r="K2398" s="2" t="s">
        <v>7548</v>
      </c>
      <c r="L2398" s="3">
        <v>33.33</v>
      </c>
      <c r="M2398" s="3">
        <v>35</v>
      </c>
      <c r="N2398" s="3">
        <v>69.99</v>
      </c>
      <c r="O2398" s="2" t="s">
        <v>97</v>
      </c>
      <c r="P2398" s="2" t="s">
        <v>225</v>
      </c>
      <c r="Q2398" s="2" t="s">
        <v>99</v>
      </c>
      <c r="R2398" s="2" t="s">
        <v>100</v>
      </c>
      <c r="S2398" s="2" t="s">
        <v>7549</v>
      </c>
      <c r="T2398" s="2" t="s">
        <v>200</v>
      </c>
      <c r="U2398" s="2" t="s">
        <v>1847</v>
      </c>
      <c r="V2398" s="2" t="s">
        <v>403</v>
      </c>
      <c r="W2398" s="2" t="s">
        <v>561</v>
      </c>
      <c r="X2398" s="2" t="s">
        <v>100</v>
      </c>
      <c r="Y2398" s="2" t="s">
        <v>1214</v>
      </c>
      <c r="Z2398" s="4">
        <v>533</v>
      </c>
      <c r="AA2398" s="4">
        <f>=ROUNDDOWN(12.3953488372093,0)</f>
      </c>
      <c r="AB2398" s="5">
        <v>43</v>
      </c>
      <c r="AC2398" s="2" t="s">
        <v>282</v>
      </c>
      <c r="AD2398" s="4">
        <v>670</v>
      </c>
      <c r="AE2398" s="4">
        <v>670</v>
      </c>
      <c r="AF2398" s="6">
        <v>66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18</v>
      </c>
      <c r="BK2398" s="8">
        <v>684.64</v>
      </c>
      <c r="BL2398" s="2" t="s">
        <v>7550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207</v>
      </c>
      <c r="BV2398" s="2" t="s">
        <v>97</v>
      </c>
      <c r="BW2398" s="2" t="s">
        <v>100</v>
      </c>
      <c r="BX2398" s="2" t="s">
        <v>100</v>
      </c>
      <c r="BY2398" s="2" t="s">
        <v>113</v>
      </c>
      <c r="BZ2398" s="2" t="s">
        <v>100</v>
      </c>
    </row>
    <row r="2399">
      <c r="A2399" s="2" t="s">
        <v>7551</v>
      </c>
      <c r="B2399" s="2" t="s">
        <v>5764</v>
      </c>
      <c r="C2399" s="2" t="s">
        <v>4995</v>
      </c>
      <c r="D2399" s="2" t="s">
        <v>5765</v>
      </c>
      <c r="E2399" s="2" t="s">
        <v>6018</v>
      </c>
      <c r="F2399" s="2" t="s">
        <v>7542</v>
      </c>
      <c r="G2399" s="2" t="s">
        <v>7543</v>
      </c>
      <c r="H2399" s="2" t="s">
        <v>7543</v>
      </c>
      <c r="I2399" s="2" t="s">
        <v>7544</v>
      </c>
      <c r="J2399" s="2" t="s">
        <v>5024</v>
      </c>
      <c r="K2399" s="2" t="s">
        <v>913</v>
      </c>
      <c r="L2399" s="3">
        <v>33.33</v>
      </c>
      <c r="M2399" s="3">
        <v>35</v>
      </c>
      <c r="N2399" s="3">
        <v>69.99</v>
      </c>
      <c r="O2399" s="2" t="s">
        <v>97</v>
      </c>
      <c r="P2399" s="2" t="s">
        <v>225</v>
      </c>
      <c r="Q2399" s="2" t="s">
        <v>99</v>
      </c>
      <c r="R2399" s="2" t="s">
        <v>100</v>
      </c>
      <c r="S2399" s="2" t="s">
        <v>7552</v>
      </c>
      <c r="T2399" s="2" t="s">
        <v>200</v>
      </c>
      <c r="U2399" s="2" t="s">
        <v>1847</v>
      </c>
      <c r="V2399" s="2" t="s">
        <v>146</v>
      </c>
      <c r="W2399" s="2" t="s">
        <v>183</v>
      </c>
      <c r="X2399" s="2" t="s">
        <v>100</v>
      </c>
      <c r="Y2399" s="2" t="s">
        <v>1216</v>
      </c>
      <c r="Z2399" s="4">
        <v>948</v>
      </c>
      <c r="AA2399" s="4">
        <f>=ROUNDDOWN(28.7272727272727,0)</f>
      </c>
      <c r="AB2399" s="5">
        <v>33</v>
      </c>
      <c r="AC2399" s="2" t="s">
        <v>100</v>
      </c>
      <c r="AD2399" s="4"/>
      <c r="AE2399" s="4"/>
      <c r="AF2399" s="6">
        <v>66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/>
      <c r="BJ2399" s="4">
        <v>21</v>
      </c>
      <c r="BK2399" s="8">
        <v>792.24</v>
      </c>
      <c r="BL2399" s="2" t="s">
        <v>7553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207</v>
      </c>
      <c r="BV2399" s="2" t="s">
        <v>97</v>
      </c>
      <c r="BW2399" s="2" t="s">
        <v>100</v>
      </c>
      <c r="BX2399" s="2" t="s">
        <v>100</v>
      </c>
      <c r="BY2399" s="2" t="s">
        <v>113</v>
      </c>
      <c r="BZ2399" s="2" t="s">
        <v>100</v>
      </c>
    </row>
    <row r="2400">
      <c r="A2400" s="2" t="s">
        <v>7554</v>
      </c>
      <c r="B2400" s="2" t="s">
        <v>5764</v>
      </c>
      <c r="C2400" s="2" t="s">
        <v>4995</v>
      </c>
      <c r="D2400" s="2" t="s">
        <v>5765</v>
      </c>
      <c r="E2400" s="2" t="s">
        <v>6018</v>
      </c>
      <c r="F2400" s="2" t="s">
        <v>7542</v>
      </c>
      <c r="G2400" s="2" t="s">
        <v>7543</v>
      </c>
      <c r="H2400" s="2" t="s">
        <v>7543</v>
      </c>
      <c r="I2400" s="2" t="s">
        <v>7544</v>
      </c>
      <c r="J2400" s="2" t="s">
        <v>5024</v>
      </c>
      <c r="K2400" s="2" t="s">
        <v>7555</v>
      </c>
      <c r="L2400" s="3">
        <v>33.33</v>
      </c>
      <c r="M2400" s="3">
        <v>35</v>
      </c>
      <c r="N2400" s="3">
        <v>69.99</v>
      </c>
      <c r="O2400" s="2" t="s">
        <v>97</v>
      </c>
      <c r="P2400" s="2" t="s">
        <v>225</v>
      </c>
      <c r="Q2400" s="2" t="s">
        <v>99</v>
      </c>
      <c r="R2400" s="2" t="s">
        <v>100</v>
      </c>
      <c r="S2400" s="2" t="s">
        <v>7556</v>
      </c>
      <c r="T2400" s="2" t="s">
        <v>200</v>
      </c>
      <c r="U2400" s="2" t="s">
        <v>1847</v>
      </c>
      <c r="V2400" s="2" t="s">
        <v>403</v>
      </c>
      <c r="W2400" s="2" t="s">
        <v>561</v>
      </c>
      <c r="X2400" s="2" t="s">
        <v>100</v>
      </c>
      <c r="Y2400" s="2" t="s">
        <v>7064</v>
      </c>
      <c r="Z2400" s="4">
        <v>678</v>
      </c>
      <c r="AA2400" s="4">
        <f>=ROUNDDOWN(30.8181818181818,0)</f>
      </c>
      <c r="AB2400" s="5">
        <v>22</v>
      </c>
      <c r="AC2400" s="2" t="s">
        <v>100</v>
      </c>
      <c r="AD2400" s="4"/>
      <c r="AE2400" s="4"/>
      <c r="AF2400" s="6">
        <v>66</v>
      </c>
      <c r="AG2400" s="6"/>
      <c r="AH2400" s="7">
        <v>0.5556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10</v>
      </c>
      <c r="BK2400" s="8">
        <v>378.53</v>
      </c>
      <c r="BL2400" s="2" t="s">
        <v>7550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207</v>
      </c>
      <c r="BV2400" s="2" t="s">
        <v>97</v>
      </c>
      <c r="BW2400" s="2" t="s">
        <v>100</v>
      </c>
      <c r="BX2400" s="2" t="s">
        <v>100</v>
      </c>
      <c r="BY2400" s="2" t="s">
        <v>113</v>
      </c>
      <c r="BZ2400" s="2" t="s">
        <v>100</v>
      </c>
    </row>
    <row r="2401">
      <c r="A2401" s="2" t="s">
        <v>7557</v>
      </c>
      <c r="B2401" s="2" t="s">
        <v>5764</v>
      </c>
      <c r="C2401" s="2" t="s">
        <v>4995</v>
      </c>
      <c r="D2401" s="2" t="s">
        <v>5765</v>
      </c>
      <c r="E2401" s="2" t="s">
        <v>6018</v>
      </c>
      <c r="F2401" s="2" t="s">
        <v>7542</v>
      </c>
      <c r="G2401" s="2" t="s">
        <v>7543</v>
      </c>
      <c r="H2401" s="2" t="s">
        <v>7543</v>
      </c>
      <c r="I2401" s="2" t="s">
        <v>7544</v>
      </c>
      <c r="J2401" s="2" t="s">
        <v>5024</v>
      </c>
      <c r="K2401" s="2" t="s">
        <v>198</v>
      </c>
      <c r="L2401" s="3">
        <v>33.33</v>
      </c>
      <c r="M2401" s="3">
        <v>35</v>
      </c>
      <c r="N2401" s="3">
        <v>69.99</v>
      </c>
      <c r="O2401" s="2" t="s">
        <v>97</v>
      </c>
      <c r="P2401" s="2" t="s">
        <v>225</v>
      </c>
      <c r="Q2401" s="2" t="s">
        <v>99</v>
      </c>
      <c r="R2401" s="2" t="s">
        <v>100</v>
      </c>
      <c r="S2401" s="2" t="s">
        <v>7558</v>
      </c>
      <c r="T2401" s="2" t="s">
        <v>200</v>
      </c>
      <c r="U2401" s="2" t="s">
        <v>1847</v>
      </c>
      <c r="V2401" s="2" t="s">
        <v>146</v>
      </c>
      <c r="W2401" s="2" t="s">
        <v>183</v>
      </c>
      <c r="X2401" s="2" t="s">
        <v>100</v>
      </c>
      <c r="Y2401" s="2" t="s">
        <v>1216</v>
      </c>
      <c r="Z2401" s="4">
        <v>964</v>
      </c>
      <c r="AA2401" s="4">
        <f>=ROUNDDOWN(29.2121212121212,0)</f>
      </c>
      <c r="AB2401" s="5">
        <v>33</v>
      </c>
      <c r="AC2401" s="2" t="s">
        <v>100</v>
      </c>
      <c r="AD2401" s="4"/>
      <c r="AE2401" s="4"/>
      <c r="AF2401" s="6">
        <v>66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22</v>
      </c>
      <c r="BK2401" s="8">
        <v>828.46</v>
      </c>
      <c r="BL2401" s="2" t="s">
        <v>7559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207</v>
      </c>
      <c r="BV2401" s="2" t="s">
        <v>97</v>
      </c>
      <c r="BW2401" s="2" t="s">
        <v>100</v>
      </c>
      <c r="BX2401" s="2" t="s">
        <v>100</v>
      </c>
      <c r="BY2401" s="2" t="s">
        <v>113</v>
      </c>
      <c r="BZ2401" s="2" t="s">
        <v>100</v>
      </c>
    </row>
    <row r="2402">
      <c r="A2402" s="2" t="s">
        <v>7560</v>
      </c>
      <c r="B2402" s="2" t="s">
        <v>5764</v>
      </c>
      <c r="C2402" s="2" t="s">
        <v>4995</v>
      </c>
      <c r="D2402" s="2" t="s">
        <v>5765</v>
      </c>
      <c r="E2402" s="2" t="s">
        <v>6018</v>
      </c>
      <c r="F2402" s="2" t="s">
        <v>7542</v>
      </c>
      <c r="G2402" s="2" t="s">
        <v>7543</v>
      </c>
      <c r="H2402" s="2" t="s">
        <v>7543</v>
      </c>
      <c r="I2402" s="2" t="s">
        <v>7544</v>
      </c>
      <c r="J2402" s="2" t="s">
        <v>5024</v>
      </c>
      <c r="K2402" s="2" t="s">
        <v>7561</v>
      </c>
      <c r="L2402" s="3">
        <v>33.33</v>
      </c>
      <c r="M2402" s="3">
        <v>35</v>
      </c>
      <c r="N2402" s="3">
        <v>69.99</v>
      </c>
      <c r="O2402" s="2" t="s">
        <v>97</v>
      </c>
      <c r="P2402" s="2" t="s">
        <v>225</v>
      </c>
      <c r="Q2402" s="2" t="s">
        <v>99</v>
      </c>
      <c r="R2402" s="2" t="s">
        <v>100</v>
      </c>
      <c r="S2402" s="2" t="s">
        <v>7562</v>
      </c>
      <c r="T2402" s="2" t="s">
        <v>200</v>
      </c>
      <c r="U2402" s="2" t="s">
        <v>1847</v>
      </c>
      <c r="V2402" s="2" t="s">
        <v>403</v>
      </c>
      <c r="W2402" s="2" t="s">
        <v>561</v>
      </c>
      <c r="X2402" s="2" t="s">
        <v>100</v>
      </c>
      <c r="Y2402" s="2" t="s">
        <v>1214</v>
      </c>
      <c r="Z2402" s="4">
        <v>829</v>
      </c>
      <c r="AA2402" s="4">
        <f>=ROUNDDOWN(28.5862068965517,0)</f>
      </c>
      <c r="AB2402" s="5">
        <v>29</v>
      </c>
      <c r="AC2402" s="2" t="s">
        <v>100</v>
      </c>
      <c r="AD2402" s="4"/>
      <c r="AE2402" s="4"/>
      <c r="AF2402" s="6">
        <v>66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16</v>
      </c>
      <c r="BK2402" s="8">
        <v>607.46</v>
      </c>
      <c r="BL2402" s="2" t="s">
        <v>7546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207</v>
      </c>
      <c r="BV2402" s="2" t="s">
        <v>97</v>
      </c>
      <c r="BW2402" s="2" t="s">
        <v>100</v>
      </c>
      <c r="BX2402" s="2" t="s">
        <v>100</v>
      </c>
      <c r="BY2402" s="2" t="s">
        <v>113</v>
      </c>
      <c r="BZ2402" s="2" t="s">
        <v>100</v>
      </c>
    </row>
    <row r="2403">
      <c r="A2403" s="2" t="s">
        <v>7563</v>
      </c>
      <c r="B2403" s="2" t="s">
        <v>5764</v>
      </c>
      <c r="C2403" s="2" t="s">
        <v>4995</v>
      </c>
      <c r="D2403" s="2" t="s">
        <v>5765</v>
      </c>
      <c r="E2403" s="2" t="s">
        <v>6018</v>
      </c>
      <c r="F2403" s="2" t="s">
        <v>7542</v>
      </c>
      <c r="G2403" s="2" t="s">
        <v>7543</v>
      </c>
      <c r="H2403" s="2" t="s">
        <v>7543</v>
      </c>
      <c r="I2403" s="2" t="s">
        <v>7544</v>
      </c>
      <c r="J2403" s="2" t="s">
        <v>5024</v>
      </c>
      <c r="K2403" s="2" t="s">
        <v>1614</v>
      </c>
      <c r="L2403" s="3">
        <v>33.33</v>
      </c>
      <c r="M2403" s="3">
        <v>35</v>
      </c>
      <c r="N2403" s="3">
        <v>69.99</v>
      </c>
      <c r="O2403" s="2" t="s">
        <v>97</v>
      </c>
      <c r="P2403" s="2" t="s">
        <v>225</v>
      </c>
      <c r="Q2403" s="2" t="s">
        <v>99</v>
      </c>
      <c r="R2403" s="2" t="s">
        <v>100</v>
      </c>
      <c r="S2403" s="2" t="s">
        <v>7564</v>
      </c>
      <c r="T2403" s="2" t="s">
        <v>200</v>
      </c>
      <c r="U2403" s="2" t="s">
        <v>1847</v>
      </c>
      <c r="V2403" s="2" t="s">
        <v>146</v>
      </c>
      <c r="W2403" s="2" t="s">
        <v>183</v>
      </c>
      <c r="X2403" s="2" t="s">
        <v>100</v>
      </c>
      <c r="Y2403" s="2" t="s">
        <v>1216</v>
      </c>
      <c r="Z2403" s="4">
        <v>644</v>
      </c>
      <c r="AA2403" s="4">
        <f>=ROUNDDOWN(30.6666666666667,0)</f>
      </c>
      <c r="AB2403" s="5">
        <v>21</v>
      </c>
      <c r="AC2403" s="2" t="s">
        <v>100</v>
      </c>
      <c r="AD2403" s="4"/>
      <c r="AE2403" s="4"/>
      <c r="AF2403" s="6">
        <v>66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28</v>
      </c>
      <c r="BK2403" s="8">
        <v>1063.2</v>
      </c>
      <c r="BL2403" s="2" t="s">
        <v>7565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207</v>
      </c>
      <c r="BV2403" s="2" t="s">
        <v>97</v>
      </c>
      <c r="BW2403" s="2" t="s">
        <v>100</v>
      </c>
      <c r="BX2403" s="2" t="s">
        <v>100</v>
      </c>
      <c r="BY2403" s="2" t="s">
        <v>113</v>
      </c>
      <c r="BZ2403" s="2" t="s">
        <v>100</v>
      </c>
    </row>
    <row r="2404">
      <c r="A2404" s="2" t="s">
        <v>7566</v>
      </c>
      <c r="B2404" s="2" t="s">
        <v>5764</v>
      </c>
      <c r="C2404" s="2" t="s">
        <v>3413</v>
      </c>
      <c r="D2404" s="2" t="s">
        <v>4473</v>
      </c>
      <c r="E2404" s="2" t="s">
        <v>5768</v>
      </c>
      <c r="F2404" s="2" t="s">
        <v>7567</v>
      </c>
      <c r="G2404" s="2" t="s">
        <v>7567</v>
      </c>
      <c r="H2404" s="2" t="s">
        <v>7567</v>
      </c>
      <c r="I2404" s="2" t="s">
        <v>7568</v>
      </c>
      <c r="J2404" s="2" t="s">
        <v>1936</v>
      </c>
      <c r="K2404" s="2" t="s">
        <v>198</v>
      </c>
      <c r="L2404" s="3">
        <v>22.29</v>
      </c>
      <c r="M2404" s="3">
        <v>23.4</v>
      </c>
      <c r="N2404" s="3">
        <v>49.99</v>
      </c>
      <c r="O2404" s="2" t="s">
        <v>97</v>
      </c>
      <c r="P2404" s="2" t="s">
        <v>2478</v>
      </c>
      <c r="Q2404" s="2" t="s">
        <v>99</v>
      </c>
      <c r="R2404" s="2" t="s">
        <v>100</v>
      </c>
      <c r="S2404" s="2" t="s">
        <v>100</v>
      </c>
      <c r="T2404" s="2" t="s">
        <v>100</v>
      </c>
      <c r="U2404" s="2" t="s">
        <v>1847</v>
      </c>
      <c r="V2404" s="2" t="s">
        <v>146</v>
      </c>
      <c r="W2404" s="2" t="s">
        <v>100</v>
      </c>
      <c r="X2404" s="2" t="s">
        <v>100</v>
      </c>
      <c r="Y2404" s="2" t="s">
        <v>100</v>
      </c>
      <c r="Z2404" s="4"/>
      <c r="AA2404" s="4">
        <f>=ROUNDDOWN({0},0)</f>
      </c>
      <c r="AB2404" s="5"/>
      <c r="AC2404" s="2" t="s">
        <v>100</v>
      </c>
      <c r="AD2404" s="4"/>
      <c r="AE2404" s="4"/>
      <c r="AF2404" s="6"/>
      <c r="AG2404" s="6"/>
      <c r="AH2404" s="7"/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/>
      <c r="BK2404" s="8"/>
      <c r="BL2404" s="2" t="s">
        <v>100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2480</v>
      </c>
      <c r="BV2404" s="2" t="s">
        <v>97</v>
      </c>
      <c r="BW2404" s="2" t="s">
        <v>100</v>
      </c>
      <c r="BX2404" s="2" t="s">
        <v>100</v>
      </c>
      <c r="BY2404" s="2" t="s">
        <v>113</v>
      </c>
      <c r="BZ2404" s="2" t="s">
        <v>100</v>
      </c>
    </row>
    <row r="2405">
      <c r="A2405" s="2" t="s">
        <v>7569</v>
      </c>
      <c r="B2405" s="2" t="s">
        <v>5764</v>
      </c>
      <c r="C2405" s="2" t="s">
        <v>3413</v>
      </c>
      <c r="D2405" s="2" t="s">
        <v>4473</v>
      </c>
      <c r="E2405" s="2" t="s">
        <v>5768</v>
      </c>
      <c r="F2405" s="2" t="s">
        <v>7567</v>
      </c>
      <c r="G2405" s="2" t="s">
        <v>7567</v>
      </c>
      <c r="H2405" s="2" t="s">
        <v>7567</v>
      </c>
      <c r="I2405" s="2" t="s">
        <v>7568</v>
      </c>
      <c r="J2405" s="2" t="s">
        <v>247</v>
      </c>
      <c r="K2405" s="2" t="s">
        <v>198</v>
      </c>
      <c r="L2405" s="3">
        <v>26.75</v>
      </c>
      <c r="M2405" s="3">
        <v>28.09</v>
      </c>
      <c r="N2405" s="3">
        <v>59.99</v>
      </c>
      <c r="O2405" s="2" t="s">
        <v>97</v>
      </c>
      <c r="P2405" s="2" t="s">
        <v>2478</v>
      </c>
      <c r="Q2405" s="2" t="s">
        <v>99</v>
      </c>
      <c r="R2405" s="2" t="s">
        <v>100</v>
      </c>
      <c r="S2405" s="2" t="s">
        <v>100</v>
      </c>
      <c r="T2405" s="2" t="s">
        <v>100</v>
      </c>
      <c r="U2405" s="2" t="s">
        <v>1847</v>
      </c>
      <c r="V2405" s="2" t="s">
        <v>146</v>
      </c>
      <c r="W2405" s="2" t="s">
        <v>100</v>
      </c>
      <c r="X2405" s="2" t="s">
        <v>100</v>
      </c>
      <c r="Y2405" s="2" t="s">
        <v>100</v>
      </c>
      <c r="Z2405" s="4"/>
      <c r="AA2405" s="4">
        <f>=ROUNDDOWN({0},0)</f>
      </c>
      <c r="AB2405" s="5"/>
      <c r="AC2405" s="2" t="s">
        <v>100</v>
      </c>
      <c r="AD2405" s="4"/>
      <c r="AE2405" s="4"/>
      <c r="AF2405" s="6"/>
      <c r="AG2405" s="6"/>
      <c r="AH2405" s="7"/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100</v>
      </c>
      <c r="AW2405" s="8" t="s">
        <v>100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/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/>
      <c r="BJ2405" s="4"/>
      <c r="BK2405" s="8"/>
      <c r="BL2405" s="2" t="s">
        <v>100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2480</v>
      </c>
      <c r="BV2405" s="2" t="s">
        <v>97</v>
      </c>
      <c r="BW2405" s="2" t="s">
        <v>100</v>
      </c>
      <c r="BX2405" s="2" t="s">
        <v>100</v>
      </c>
      <c r="BY2405" s="2" t="s">
        <v>113</v>
      </c>
      <c r="BZ2405" s="2" t="s">
        <v>100</v>
      </c>
    </row>
    <row r="2406">
      <c r="A2406" s="2" t="s">
        <v>7570</v>
      </c>
      <c r="B2406" s="2" t="s">
        <v>5764</v>
      </c>
      <c r="C2406" s="2" t="s">
        <v>3413</v>
      </c>
      <c r="D2406" s="2" t="s">
        <v>4473</v>
      </c>
      <c r="E2406" s="2" t="s">
        <v>5768</v>
      </c>
      <c r="F2406" s="2" t="s">
        <v>7567</v>
      </c>
      <c r="G2406" s="2" t="s">
        <v>7567</v>
      </c>
      <c r="H2406" s="2" t="s">
        <v>7567</v>
      </c>
      <c r="I2406" s="2" t="s">
        <v>7568</v>
      </c>
      <c r="J2406" s="2" t="s">
        <v>714</v>
      </c>
      <c r="K2406" s="2" t="s">
        <v>198</v>
      </c>
      <c r="L2406" s="3">
        <v>31.21</v>
      </c>
      <c r="M2406" s="3">
        <v>32.77</v>
      </c>
      <c r="N2406" s="3">
        <v>69.99</v>
      </c>
      <c r="O2406" s="2" t="s">
        <v>97</v>
      </c>
      <c r="P2406" s="2" t="s">
        <v>2478</v>
      </c>
      <c r="Q2406" s="2" t="s">
        <v>99</v>
      </c>
      <c r="R2406" s="2" t="s">
        <v>100</v>
      </c>
      <c r="S2406" s="2" t="s">
        <v>100</v>
      </c>
      <c r="T2406" s="2" t="s">
        <v>100</v>
      </c>
      <c r="U2406" s="2" t="s">
        <v>1847</v>
      </c>
      <c r="V2406" s="2" t="s">
        <v>146</v>
      </c>
      <c r="W2406" s="2" t="s">
        <v>100</v>
      </c>
      <c r="X2406" s="2" t="s">
        <v>100</v>
      </c>
      <c r="Y2406" s="2" t="s">
        <v>100</v>
      </c>
      <c r="Z2406" s="4"/>
      <c r="AA2406" s="4">
        <f>=ROUNDDOWN({0},0)</f>
      </c>
      <c r="AB2406" s="5"/>
      <c r="AC2406" s="2" t="s">
        <v>100</v>
      </c>
      <c r="AD2406" s="4"/>
      <c r="AE2406" s="4"/>
      <c r="AF2406" s="6"/>
      <c r="AG2406" s="6"/>
      <c r="AH2406" s="7"/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100</v>
      </c>
      <c r="AW2406" s="8" t="s">
        <v>100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/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/>
      <c r="BJ2406" s="4"/>
      <c r="BK2406" s="8"/>
      <c r="BL2406" s="2" t="s">
        <v>100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2480</v>
      </c>
      <c r="BV2406" s="2" t="s">
        <v>97</v>
      </c>
      <c r="BW2406" s="2" t="s">
        <v>100</v>
      </c>
      <c r="BX2406" s="2" t="s">
        <v>100</v>
      </c>
      <c r="BY2406" s="2" t="s">
        <v>113</v>
      </c>
      <c r="BZ2406" s="2" t="s">
        <v>100</v>
      </c>
    </row>
    <row r="2407">
      <c r="A2407" s="2" t="s">
        <v>7571</v>
      </c>
      <c r="B2407" s="2" t="s">
        <v>5764</v>
      </c>
      <c r="C2407" s="2" t="s">
        <v>3413</v>
      </c>
      <c r="D2407" s="2" t="s">
        <v>4473</v>
      </c>
      <c r="E2407" s="2" t="s">
        <v>5768</v>
      </c>
      <c r="F2407" s="2" t="s">
        <v>7567</v>
      </c>
      <c r="G2407" s="2" t="s">
        <v>7567</v>
      </c>
      <c r="H2407" s="2" t="s">
        <v>7567</v>
      </c>
      <c r="I2407" s="2" t="s">
        <v>7568</v>
      </c>
      <c r="J2407" s="2" t="s">
        <v>1936</v>
      </c>
      <c r="K2407" s="2" t="s">
        <v>1614</v>
      </c>
      <c r="L2407" s="3">
        <v>22.29</v>
      </c>
      <c r="M2407" s="3">
        <v>23.4</v>
      </c>
      <c r="N2407" s="3">
        <v>49.99</v>
      </c>
      <c r="O2407" s="2" t="s">
        <v>97</v>
      </c>
      <c r="P2407" s="2" t="s">
        <v>2478</v>
      </c>
      <c r="Q2407" s="2" t="s">
        <v>99</v>
      </c>
      <c r="R2407" s="2" t="s">
        <v>100</v>
      </c>
      <c r="S2407" s="2" t="s">
        <v>100</v>
      </c>
      <c r="T2407" s="2" t="s">
        <v>100</v>
      </c>
      <c r="U2407" s="2" t="s">
        <v>1847</v>
      </c>
      <c r="V2407" s="2" t="s">
        <v>146</v>
      </c>
      <c r="W2407" s="2" t="s">
        <v>100</v>
      </c>
      <c r="X2407" s="2" t="s">
        <v>100</v>
      </c>
      <c r="Y2407" s="2" t="s">
        <v>100</v>
      </c>
      <c r="Z2407" s="4"/>
      <c r="AA2407" s="4">
        <f>=ROUNDDOWN({0},0)</f>
      </c>
      <c r="AB2407" s="5"/>
      <c r="AC2407" s="2" t="s">
        <v>100</v>
      </c>
      <c r="AD2407" s="4"/>
      <c r="AE2407" s="4"/>
      <c r="AF2407" s="6"/>
      <c r="AG2407" s="6"/>
      <c r="AH2407" s="7"/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100</v>
      </c>
      <c r="AW2407" s="8" t="s">
        <v>100</v>
      </c>
      <c r="AX2407" s="4" t="s">
        <v>100</v>
      </c>
      <c r="AY2407" s="8" t="s">
        <v>100</v>
      </c>
      <c r="AZ2407" s="7" t="s">
        <v>100</v>
      </c>
      <c r="BA2407" s="7" t="s">
        <v>100</v>
      </c>
      <c r="BB2407" s="7"/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/>
      <c r="BJ2407" s="4"/>
      <c r="BK2407" s="8"/>
      <c r="BL2407" s="2" t="s">
        <v>100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2480</v>
      </c>
      <c r="BV2407" s="2" t="s">
        <v>97</v>
      </c>
      <c r="BW2407" s="2" t="s">
        <v>100</v>
      </c>
      <c r="BX2407" s="2" t="s">
        <v>100</v>
      </c>
      <c r="BY2407" s="2" t="s">
        <v>113</v>
      </c>
      <c r="BZ2407" s="2" t="s">
        <v>100</v>
      </c>
    </row>
    <row r="2408">
      <c r="A2408" s="2" t="s">
        <v>7572</v>
      </c>
      <c r="B2408" s="2" t="s">
        <v>5764</v>
      </c>
      <c r="C2408" s="2" t="s">
        <v>3413</v>
      </c>
      <c r="D2408" s="2" t="s">
        <v>4473</v>
      </c>
      <c r="E2408" s="2" t="s">
        <v>5768</v>
      </c>
      <c r="F2408" s="2" t="s">
        <v>7567</v>
      </c>
      <c r="G2408" s="2" t="s">
        <v>7567</v>
      </c>
      <c r="H2408" s="2" t="s">
        <v>7567</v>
      </c>
      <c r="I2408" s="2" t="s">
        <v>7568</v>
      </c>
      <c r="J2408" s="2" t="s">
        <v>247</v>
      </c>
      <c r="K2408" s="2" t="s">
        <v>1614</v>
      </c>
      <c r="L2408" s="3">
        <v>26.75</v>
      </c>
      <c r="M2408" s="3">
        <v>28.09</v>
      </c>
      <c r="N2408" s="3">
        <v>59.99</v>
      </c>
      <c r="O2408" s="2" t="s">
        <v>97</v>
      </c>
      <c r="P2408" s="2" t="s">
        <v>2478</v>
      </c>
      <c r="Q2408" s="2" t="s">
        <v>99</v>
      </c>
      <c r="R2408" s="2" t="s">
        <v>100</v>
      </c>
      <c r="S2408" s="2" t="s">
        <v>100</v>
      </c>
      <c r="T2408" s="2" t="s">
        <v>100</v>
      </c>
      <c r="U2408" s="2" t="s">
        <v>1847</v>
      </c>
      <c r="V2408" s="2" t="s">
        <v>146</v>
      </c>
      <c r="W2408" s="2" t="s">
        <v>100</v>
      </c>
      <c r="X2408" s="2" t="s">
        <v>100</v>
      </c>
      <c r="Y2408" s="2" t="s">
        <v>100</v>
      </c>
      <c r="Z2408" s="4"/>
      <c r="AA2408" s="4">
        <f>=ROUNDDOWN({0},0)</f>
      </c>
      <c r="AB2408" s="5"/>
      <c r="AC2408" s="2" t="s">
        <v>100</v>
      </c>
      <c r="AD2408" s="4"/>
      <c r="AE2408" s="4"/>
      <c r="AF2408" s="6"/>
      <c r="AG2408" s="6"/>
      <c r="AH2408" s="7"/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100</v>
      </c>
      <c r="AW2408" s="8" t="s">
        <v>100</v>
      </c>
      <c r="AX2408" s="4" t="s">
        <v>100</v>
      </c>
      <c r="AY2408" s="8" t="s">
        <v>100</v>
      </c>
      <c r="AZ2408" s="7" t="s">
        <v>100</v>
      </c>
      <c r="BA2408" s="7" t="s">
        <v>100</v>
      </c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/>
      <c r="BK2408" s="8"/>
      <c r="BL2408" s="2" t="s">
        <v>100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2480</v>
      </c>
      <c r="BV2408" s="2" t="s">
        <v>97</v>
      </c>
      <c r="BW2408" s="2" t="s">
        <v>100</v>
      </c>
      <c r="BX2408" s="2" t="s">
        <v>100</v>
      </c>
      <c r="BY2408" s="2" t="s">
        <v>113</v>
      </c>
      <c r="BZ2408" s="2" t="s">
        <v>100</v>
      </c>
    </row>
    <row r="2409">
      <c r="A2409" s="2" t="s">
        <v>7573</v>
      </c>
      <c r="B2409" s="2" t="s">
        <v>5764</v>
      </c>
      <c r="C2409" s="2" t="s">
        <v>3413</v>
      </c>
      <c r="D2409" s="2" t="s">
        <v>4473</v>
      </c>
      <c r="E2409" s="2" t="s">
        <v>5768</v>
      </c>
      <c r="F2409" s="2" t="s">
        <v>7567</v>
      </c>
      <c r="G2409" s="2" t="s">
        <v>7567</v>
      </c>
      <c r="H2409" s="2" t="s">
        <v>7567</v>
      </c>
      <c r="I2409" s="2" t="s">
        <v>7568</v>
      </c>
      <c r="J2409" s="2" t="s">
        <v>714</v>
      </c>
      <c r="K2409" s="2" t="s">
        <v>1614</v>
      </c>
      <c r="L2409" s="3">
        <v>31.21</v>
      </c>
      <c r="M2409" s="3">
        <v>32.77</v>
      </c>
      <c r="N2409" s="3">
        <v>69.99</v>
      </c>
      <c r="O2409" s="2" t="s">
        <v>97</v>
      </c>
      <c r="P2409" s="2" t="s">
        <v>2478</v>
      </c>
      <c r="Q2409" s="2" t="s">
        <v>99</v>
      </c>
      <c r="R2409" s="2" t="s">
        <v>100</v>
      </c>
      <c r="S2409" s="2" t="s">
        <v>100</v>
      </c>
      <c r="T2409" s="2" t="s">
        <v>100</v>
      </c>
      <c r="U2409" s="2" t="s">
        <v>1847</v>
      </c>
      <c r="V2409" s="2" t="s">
        <v>146</v>
      </c>
      <c r="W2409" s="2" t="s">
        <v>100</v>
      </c>
      <c r="X2409" s="2" t="s">
        <v>100</v>
      </c>
      <c r="Y2409" s="2" t="s">
        <v>100</v>
      </c>
      <c r="Z2409" s="4"/>
      <c r="AA2409" s="4">
        <f>=ROUNDDOWN({0},0)</f>
      </c>
      <c r="AB2409" s="5"/>
      <c r="AC2409" s="2" t="s">
        <v>100</v>
      </c>
      <c r="AD2409" s="4"/>
      <c r="AE2409" s="4"/>
      <c r="AF2409" s="6"/>
      <c r="AG2409" s="6"/>
      <c r="AH2409" s="7"/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100</v>
      </c>
      <c r="AW2409" s="8" t="s">
        <v>100</v>
      </c>
      <c r="AX2409" s="4" t="s">
        <v>100</v>
      </c>
      <c r="AY2409" s="8" t="s">
        <v>100</v>
      </c>
      <c r="AZ2409" s="7" t="s">
        <v>100</v>
      </c>
      <c r="BA2409" s="7" t="s">
        <v>100</v>
      </c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/>
      <c r="BK2409" s="8"/>
      <c r="BL2409" s="2" t="s">
        <v>100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2480</v>
      </c>
      <c r="BV2409" s="2" t="s">
        <v>97</v>
      </c>
      <c r="BW2409" s="2" t="s">
        <v>100</v>
      </c>
      <c r="BX2409" s="2" t="s">
        <v>100</v>
      </c>
      <c r="BY2409" s="2" t="s">
        <v>113</v>
      </c>
      <c r="BZ2409" s="2" t="s">
        <v>100</v>
      </c>
    </row>
    <row r="2410">
      <c r="A2410" s="2" t="s">
        <v>7574</v>
      </c>
      <c r="B2410" s="2" t="s">
        <v>5764</v>
      </c>
      <c r="C2410" s="2" t="s">
        <v>3413</v>
      </c>
      <c r="D2410" s="2" t="s">
        <v>4473</v>
      </c>
      <c r="E2410" s="2" t="s">
        <v>5768</v>
      </c>
      <c r="F2410" s="2" t="s">
        <v>7567</v>
      </c>
      <c r="G2410" s="2" t="s">
        <v>7567</v>
      </c>
      <c r="H2410" s="2" t="s">
        <v>7567</v>
      </c>
      <c r="I2410" s="2" t="s">
        <v>7568</v>
      </c>
      <c r="J2410" s="2" t="s">
        <v>1936</v>
      </c>
      <c r="K2410" s="2" t="s">
        <v>144</v>
      </c>
      <c r="L2410" s="3">
        <v>22.29</v>
      </c>
      <c r="M2410" s="3">
        <v>23.4</v>
      </c>
      <c r="N2410" s="3">
        <v>49.99</v>
      </c>
      <c r="O2410" s="2" t="s">
        <v>97</v>
      </c>
      <c r="P2410" s="2" t="s">
        <v>2478</v>
      </c>
      <c r="Q2410" s="2" t="s">
        <v>99</v>
      </c>
      <c r="R2410" s="2" t="s">
        <v>100</v>
      </c>
      <c r="S2410" s="2" t="s">
        <v>100</v>
      </c>
      <c r="T2410" s="2" t="s">
        <v>100</v>
      </c>
      <c r="U2410" s="2" t="s">
        <v>1847</v>
      </c>
      <c r="V2410" s="2" t="s">
        <v>146</v>
      </c>
      <c r="W2410" s="2" t="s">
        <v>100</v>
      </c>
      <c r="X2410" s="2" t="s">
        <v>100</v>
      </c>
      <c r="Y2410" s="2" t="s">
        <v>100</v>
      </c>
      <c r="Z2410" s="4"/>
      <c r="AA2410" s="4">
        <f>=ROUNDDOWN({0},0)</f>
      </c>
      <c r="AB2410" s="5"/>
      <c r="AC2410" s="2" t="s">
        <v>100</v>
      </c>
      <c r="AD2410" s="4"/>
      <c r="AE2410" s="4"/>
      <c r="AF2410" s="6"/>
      <c r="AG2410" s="6"/>
      <c r="AH2410" s="7"/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100</v>
      </c>
      <c r="AW2410" s="8" t="s">
        <v>100</v>
      </c>
      <c r="AX2410" s="4" t="s">
        <v>100</v>
      </c>
      <c r="AY2410" s="8" t="s">
        <v>100</v>
      </c>
      <c r="AZ2410" s="7" t="s">
        <v>100</v>
      </c>
      <c r="BA2410" s="7" t="s">
        <v>100</v>
      </c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/>
      <c r="BK2410" s="8"/>
      <c r="BL2410" s="2" t="s">
        <v>100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2480</v>
      </c>
      <c r="BV2410" s="2" t="s">
        <v>97</v>
      </c>
      <c r="BW2410" s="2" t="s">
        <v>100</v>
      </c>
      <c r="BX2410" s="2" t="s">
        <v>100</v>
      </c>
      <c r="BY2410" s="2" t="s">
        <v>113</v>
      </c>
      <c r="BZ2410" s="2" t="s">
        <v>100</v>
      </c>
    </row>
    <row r="2411">
      <c r="A2411" s="2" t="s">
        <v>7575</v>
      </c>
      <c r="B2411" s="2" t="s">
        <v>5764</v>
      </c>
      <c r="C2411" s="2" t="s">
        <v>3413</v>
      </c>
      <c r="D2411" s="2" t="s">
        <v>4473</v>
      </c>
      <c r="E2411" s="2" t="s">
        <v>5768</v>
      </c>
      <c r="F2411" s="2" t="s">
        <v>7567</v>
      </c>
      <c r="G2411" s="2" t="s">
        <v>7567</v>
      </c>
      <c r="H2411" s="2" t="s">
        <v>7567</v>
      </c>
      <c r="I2411" s="2" t="s">
        <v>7568</v>
      </c>
      <c r="J2411" s="2" t="s">
        <v>247</v>
      </c>
      <c r="K2411" s="2" t="s">
        <v>144</v>
      </c>
      <c r="L2411" s="3">
        <v>26.75</v>
      </c>
      <c r="M2411" s="3">
        <v>28.09</v>
      </c>
      <c r="N2411" s="3">
        <v>59.99</v>
      </c>
      <c r="O2411" s="2" t="s">
        <v>97</v>
      </c>
      <c r="P2411" s="2" t="s">
        <v>2478</v>
      </c>
      <c r="Q2411" s="2" t="s">
        <v>99</v>
      </c>
      <c r="R2411" s="2" t="s">
        <v>100</v>
      </c>
      <c r="S2411" s="2" t="s">
        <v>100</v>
      </c>
      <c r="T2411" s="2" t="s">
        <v>100</v>
      </c>
      <c r="U2411" s="2" t="s">
        <v>1847</v>
      </c>
      <c r="V2411" s="2" t="s">
        <v>146</v>
      </c>
      <c r="W2411" s="2" t="s">
        <v>100</v>
      </c>
      <c r="X2411" s="2" t="s">
        <v>100</v>
      </c>
      <c r="Y2411" s="2" t="s">
        <v>100</v>
      </c>
      <c r="Z2411" s="4"/>
      <c r="AA2411" s="4">
        <f>=ROUNDDOWN({0},0)</f>
      </c>
      <c r="AB2411" s="5"/>
      <c r="AC2411" s="2" t="s">
        <v>100</v>
      </c>
      <c r="AD2411" s="4"/>
      <c r="AE2411" s="4"/>
      <c r="AF2411" s="6"/>
      <c r="AG2411" s="6"/>
      <c r="AH2411" s="7"/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100</v>
      </c>
      <c r="AW2411" s="8" t="s">
        <v>100</v>
      </c>
      <c r="AX2411" s="4" t="s">
        <v>100</v>
      </c>
      <c r="AY2411" s="8" t="s">
        <v>100</v>
      </c>
      <c r="AZ2411" s="7" t="s">
        <v>100</v>
      </c>
      <c r="BA2411" s="7" t="s">
        <v>100</v>
      </c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/>
      <c r="BK2411" s="8"/>
      <c r="BL2411" s="2" t="s">
        <v>100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2480</v>
      </c>
      <c r="BV2411" s="2" t="s">
        <v>97</v>
      </c>
      <c r="BW2411" s="2" t="s">
        <v>100</v>
      </c>
      <c r="BX2411" s="2" t="s">
        <v>100</v>
      </c>
      <c r="BY2411" s="2" t="s">
        <v>113</v>
      </c>
      <c r="BZ2411" s="2" t="s">
        <v>100</v>
      </c>
    </row>
    <row r="2412">
      <c r="A2412" s="2" t="s">
        <v>7576</v>
      </c>
      <c r="B2412" s="2" t="s">
        <v>5764</v>
      </c>
      <c r="C2412" s="2" t="s">
        <v>3413</v>
      </c>
      <c r="D2412" s="2" t="s">
        <v>4473</v>
      </c>
      <c r="E2412" s="2" t="s">
        <v>5768</v>
      </c>
      <c r="F2412" s="2" t="s">
        <v>7567</v>
      </c>
      <c r="G2412" s="2" t="s">
        <v>7567</v>
      </c>
      <c r="H2412" s="2" t="s">
        <v>7567</v>
      </c>
      <c r="I2412" s="2" t="s">
        <v>7568</v>
      </c>
      <c r="J2412" s="2" t="s">
        <v>714</v>
      </c>
      <c r="K2412" s="2" t="s">
        <v>144</v>
      </c>
      <c r="L2412" s="3">
        <v>31.21</v>
      </c>
      <c r="M2412" s="3">
        <v>32.77</v>
      </c>
      <c r="N2412" s="3">
        <v>69.99</v>
      </c>
      <c r="O2412" s="2" t="s">
        <v>97</v>
      </c>
      <c r="P2412" s="2" t="s">
        <v>2478</v>
      </c>
      <c r="Q2412" s="2" t="s">
        <v>99</v>
      </c>
      <c r="R2412" s="2" t="s">
        <v>100</v>
      </c>
      <c r="S2412" s="2" t="s">
        <v>100</v>
      </c>
      <c r="T2412" s="2" t="s">
        <v>100</v>
      </c>
      <c r="U2412" s="2" t="s">
        <v>1847</v>
      </c>
      <c r="V2412" s="2" t="s">
        <v>146</v>
      </c>
      <c r="W2412" s="2" t="s">
        <v>100</v>
      </c>
      <c r="X2412" s="2" t="s">
        <v>100</v>
      </c>
      <c r="Y2412" s="2" t="s">
        <v>100</v>
      </c>
      <c r="Z2412" s="4"/>
      <c r="AA2412" s="4">
        <f>=ROUNDDOWN({0},0)</f>
      </c>
      <c r="AB2412" s="5"/>
      <c r="AC2412" s="2" t="s">
        <v>100</v>
      </c>
      <c r="AD2412" s="4"/>
      <c r="AE2412" s="4"/>
      <c r="AF2412" s="6"/>
      <c r="AG2412" s="6"/>
      <c r="AH2412" s="7"/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100</v>
      </c>
      <c r="AW2412" s="8" t="s">
        <v>100</v>
      </c>
      <c r="AX2412" s="4" t="s">
        <v>100</v>
      </c>
      <c r="AY2412" s="8" t="s">
        <v>100</v>
      </c>
      <c r="AZ2412" s="7" t="s">
        <v>100</v>
      </c>
      <c r="BA2412" s="7" t="s">
        <v>100</v>
      </c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/>
      <c r="BK2412" s="8"/>
      <c r="BL2412" s="2" t="s">
        <v>100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2480</v>
      </c>
      <c r="BV2412" s="2" t="s">
        <v>97</v>
      </c>
      <c r="BW2412" s="2" t="s">
        <v>100</v>
      </c>
      <c r="BX2412" s="2" t="s">
        <v>100</v>
      </c>
      <c r="BY2412" s="2" t="s">
        <v>113</v>
      </c>
      <c r="BZ2412" s="2" t="s">
        <v>100</v>
      </c>
    </row>
    <row r="2413">
      <c r="A2413" s="2" t="s">
        <v>7577</v>
      </c>
      <c r="B2413" s="2" t="s">
        <v>5764</v>
      </c>
      <c r="C2413" s="2" t="s">
        <v>3413</v>
      </c>
      <c r="D2413" s="2" t="s">
        <v>4473</v>
      </c>
      <c r="E2413" s="2" t="s">
        <v>5768</v>
      </c>
      <c r="F2413" s="2" t="s">
        <v>7567</v>
      </c>
      <c r="G2413" s="2" t="s">
        <v>7567</v>
      </c>
      <c r="H2413" s="2" t="s">
        <v>7567</v>
      </c>
      <c r="I2413" s="2" t="s">
        <v>7568</v>
      </c>
      <c r="J2413" s="2" t="s">
        <v>1936</v>
      </c>
      <c r="K2413" s="2" t="s">
        <v>6337</v>
      </c>
      <c r="L2413" s="3">
        <v>22.29</v>
      </c>
      <c r="M2413" s="3">
        <v>23.4</v>
      </c>
      <c r="N2413" s="3">
        <v>49.99</v>
      </c>
      <c r="O2413" s="2" t="s">
        <v>97</v>
      </c>
      <c r="P2413" s="2" t="s">
        <v>2478</v>
      </c>
      <c r="Q2413" s="2" t="s">
        <v>99</v>
      </c>
      <c r="R2413" s="2" t="s">
        <v>100</v>
      </c>
      <c r="S2413" s="2" t="s">
        <v>100</v>
      </c>
      <c r="T2413" s="2" t="s">
        <v>100</v>
      </c>
      <c r="U2413" s="2" t="s">
        <v>1847</v>
      </c>
      <c r="V2413" s="2" t="s">
        <v>146</v>
      </c>
      <c r="W2413" s="2" t="s">
        <v>100</v>
      </c>
      <c r="X2413" s="2" t="s">
        <v>100</v>
      </c>
      <c r="Y2413" s="2" t="s">
        <v>100</v>
      </c>
      <c r="Z2413" s="4"/>
      <c r="AA2413" s="4">
        <f>=ROUNDDOWN({0},0)</f>
      </c>
      <c r="AB2413" s="5"/>
      <c r="AC2413" s="2" t="s">
        <v>100</v>
      </c>
      <c r="AD2413" s="4"/>
      <c r="AE2413" s="4"/>
      <c r="AF2413" s="6"/>
      <c r="AG2413" s="6"/>
      <c r="AH2413" s="7"/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100</v>
      </c>
      <c r="AW2413" s="8" t="s">
        <v>100</v>
      </c>
      <c r="AX2413" s="4" t="s">
        <v>100</v>
      </c>
      <c r="AY2413" s="8" t="s">
        <v>100</v>
      </c>
      <c r="AZ2413" s="7" t="s">
        <v>100</v>
      </c>
      <c r="BA2413" s="7" t="s">
        <v>100</v>
      </c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/>
      <c r="BK2413" s="8"/>
      <c r="BL2413" s="2" t="s">
        <v>100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2480</v>
      </c>
      <c r="BV2413" s="2" t="s">
        <v>97</v>
      </c>
      <c r="BW2413" s="2" t="s">
        <v>100</v>
      </c>
      <c r="BX2413" s="2" t="s">
        <v>100</v>
      </c>
      <c r="BY2413" s="2" t="s">
        <v>113</v>
      </c>
      <c r="BZ2413" s="2" t="s">
        <v>100</v>
      </c>
    </row>
    <row r="2414">
      <c r="A2414" s="2" t="s">
        <v>7578</v>
      </c>
      <c r="B2414" s="2" t="s">
        <v>5764</v>
      </c>
      <c r="C2414" s="2" t="s">
        <v>3413</v>
      </c>
      <c r="D2414" s="2" t="s">
        <v>4473</v>
      </c>
      <c r="E2414" s="2" t="s">
        <v>5768</v>
      </c>
      <c r="F2414" s="2" t="s">
        <v>7567</v>
      </c>
      <c r="G2414" s="2" t="s">
        <v>7567</v>
      </c>
      <c r="H2414" s="2" t="s">
        <v>7567</v>
      </c>
      <c r="I2414" s="2" t="s">
        <v>7568</v>
      </c>
      <c r="J2414" s="2" t="s">
        <v>247</v>
      </c>
      <c r="K2414" s="2" t="s">
        <v>6337</v>
      </c>
      <c r="L2414" s="3">
        <v>26.75</v>
      </c>
      <c r="M2414" s="3">
        <v>28.09</v>
      </c>
      <c r="N2414" s="3">
        <v>59.99</v>
      </c>
      <c r="O2414" s="2" t="s">
        <v>97</v>
      </c>
      <c r="P2414" s="2" t="s">
        <v>2478</v>
      </c>
      <c r="Q2414" s="2" t="s">
        <v>99</v>
      </c>
      <c r="R2414" s="2" t="s">
        <v>100</v>
      </c>
      <c r="S2414" s="2" t="s">
        <v>100</v>
      </c>
      <c r="T2414" s="2" t="s">
        <v>100</v>
      </c>
      <c r="U2414" s="2" t="s">
        <v>1847</v>
      </c>
      <c r="V2414" s="2" t="s">
        <v>146</v>
      </c>
      <c r="W2414" s="2" t="s">
        <v>100</v>
      </c>
      <c r="X2414" s="2" t="s">
        <v>100</v>
      </c>
      <c r="Y2414" s="2" t="s">
        <v>100</v>
      </c>
      <c r="Z2414" s="4"/>
      <c r="AA2414" s="4">
        <f>=ROUNDDOWN({0},0)</f>
      </c>
      <c r="AB2414" s="5"/>
      <c r="AC2414" s="2" t="s">
        <v>100</v>
      </c>
      <c r="AD2414" s="4"/>
      <c r="AE2414" s="4"/>
      <c r="AF2414" s="6"/>
      <c r="AG2414" s="6"/>
      <c r="AH2414" s="7"/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100</v>
      </c>
      <c r="AW2414" s="8" t="s">
        <v>100</v>
      </c>
      <c r="AX2414" s="4" t="s">
        <v>100</v>
      </c>
      <c r="AY2414" s="8" t="s">
        <v>100</v>
      </c>
      <c r="AZ2414" s="7" t="s">
        <v>100</v>
      </c>
      <c r="BA2414" s="7" t="s">
        <v>100</v>
      </c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/>
      <c r="BK2414" s="8"/>
      <c r="BL2414" s="2" t="s">
        <v>100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2480</v>
      </c>
      <c r="BV2414" s="2" t="s">
        <v>97</v>
      </c>
      <c r="BW2414" s="2" t="s">
        <v>100</v>
      </c>
      <c r="BX2414" s="2" t="s">
        <v>100</v>
      </c>
      <c r="BY2414" s="2" t="s">
        <v>113</v>
      </c>
      <c r="BZ2414" s="2" t="s">
        <v>100</v>
      </c>
    </row>
    <row r="2415">
      <c r="A2415" s="2" t="s">
        <v>7579</v>
      </c>
      <c r="B2415" s="2" t="s">
        <v>5764</v>
      </c>
      <c r="C2415" s="2" t="s">
        <v>3413</v>
      </c>
      <c r="D2415" s="2" t="s">
        <v>4473</v>
      </c>
      <c r="E2415" s="2" t="s">
        <v>5768</v>
      </c>
      <c r="F2415" s="2" t="s">
        <v>7567</v>
      </c>
      <c r="G2415" s="2" t="s">
        <v>7567</v>
      </c>
      <c r="H2415" s="2" t="s">
        <v>7567</v>
      </c>
      <c r="I2415" s="2" t="s">
        <v>7568</v>
      </c>
      <c r="J2415" s="2" t="s">
        <v>714</v>
      </c>
      <c r="K2415" s="2" t="s">
        <v>6337</v>
      </c>
      <c r="L2415" s="3">
        <v>31.21</v>
      </c>
      <c r="M2415" s="3">
        <v>32.77</v>
      </c>
      <c r="N2415" s="3">
        <v>69.99</v>
      </c>
      <c r="O2415" s="2" t="s">
        <v>97</v>
      </c>
      <c r="P2415" s="2" t="s">
        <v>2478</v>
      </c>
      <c r="Q2415" s="2" t="s">
        <v>99</v>
      </c>
      <c r="R2415" s="2" t="s">
        <v>100</v>
      </c>
      <c r="S2415" s="2" t="s">
        <v>100</v>
      </c>
      <c r="T2415" s="2" t="s">
        <v>100</v>
      </c>
      <c r="U2415" s="2" t="s">
        <v>1847</v>
      </c>
      <c r="V2415" s="2" t="s">
        <v>146</v>
      </c>
      <c r="W2415" s="2" t="s">
        <v>100</v>
      </c>
      <c r="X2415" s="2" t="s">
        <v>100</v>
      </c>
      <c r="Y2415" s="2" t="s">
        <v>100</v>
      </c>
      <c r="Z2415" s="4"/>
      <c r="AA2415" s="4">
        <f>=ROUNDDOWN({0},0)</f>
      </c>
      <c r="AB2415" s="5"/>
      <c r="AC2415" s="2" t="s">
        <v>100</v>
      </c>
      <c r="AD2415" s="4"/>
      <c r="AE2415" s="4"/>
      <c r="AF2415" s="6"/>
      <c r="AG2415" s="6"/>
      <c r="AH2415" s="7"/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100</v>
      </c>
      <c r="AW2415" s="8" t="s">
        <v>100</v>
      </c>
      <c r="AX2415" s="4" t="s">
        <v>100</v>
      </c>
      <c r="AY2415" s="8" t="s">
        <v>100</v>
      </c>
      <c r="AZ2415" s="7" t="s">
        <v>100</v>
      </c>
      <c r="BA2415" s="7" t="s">
        <v>100</v>
      </c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/>
      <c r="BK2415" s="8"/>
      <c r="BL2415" s="2" t="s">
        <v>100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2480</v>
      </c>
      <c r="BV2415" s="2" t="s">
        <v>97</v>
      </c>
      <c r="BW2415" s="2" t="s">
        <v>100</v>
      </c>
      <c r="BX2415" s="2" t="s">
        <v>100</v>
      </c>
      <c r="BY2415" s="2" t="s">
        <v>113</v>
      </c>
      <c r="BZ2415" s="2" t="s">
        <v>100</v>
      </c>
    </row>
    <row r="2416">
      <c r="A2416" s="2" t="s">
        <v>7580</v>
      </c>
      <c r="B2416" s="2" t="s">
        <v>5764</v>
      </c>
      <c r="C2416" s="2" t="s">
        <v>3413</v>
      </c>
      <c r="D2416" s="2" t="s">
        <v>4473</v>
      </c>
      <c r="E2416" s="2" t="s">
        <v>5768</v>
      </c>
      <c r="F2416" s="2" t="s">
        <v>7567</v>
      </c>
      <c r="G2416" s="2" t="s">
        <v>7567</v>
      </c>
      <c r="H2416" s="2" t="s">
        <v>7567</v>
      </c>
      <c r="I2416" s="2" t="s">
        <v>7568</v>
      </c>
      <c r="J2416" s="2" t="s">
        <v>1936</v>
      </c>
      <c r="K2416" s="2" t="s">
        <v>360</v>
      </c>
      <c r="L2416" s="3">
        <v>22.29</v>
      </c>
      <c r="M2416" s="3">
        <v>23.4</v>
      </c>
      <c r="N2416" s="3">
        <v>49.99</v>
      </c>
      <c r="O2416" s="2" t="s">
        <v>97</v>
      </c>
      <c r="P2416" s="2" t="s">
        <v>2478</v>
      </c>
      <c r="Q2416" s="2" t="s">
        <v>99</v>
      </c>
      <c r="R2416" s="2" t="s">
        <v>100</v>
      </c>
      <c r="S2416" s="2" t="s">
        <v>100</v>
      </c>
      <c r="T2416" s="2" t="s">
        <v>100</v>
      </c>
      <c r="U2416" s="2" t="s">
        <v>1847</v>
      </c>
      <c r="V2416" s="2" t="s">
        <v>146</v>
      </c>
      <c r="W2416" s="2" t="s">
        <v>100</v>
      </c>
      <c r="X2416" s="2" t="s">
        <v>100</v>
      </c>
      <c r="Y2416" s="2" t="s">
        <v>100</v>
      </c>
      <c r="Z2416" s="4"/>
      <c r="AA2416" s="4">
        <f>=ROUNDDOWN({0},0)</f>
      </c>
      <c r="AB2416" s="5"/>
      <c r="AC2416" s="2" t="s">
        <v>100</v>
      </c>
      <c r="AD2416" s="4"/>
      <c r="AE2416" s="4"/>
      <c r="AF2416" s="6"/>
      <c r="AG2416" s="6"/>
      <c r="AH2416" s="7"/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100</v>
      </c>
      <c r="AW2416" s="8" t="s">
        <v>100</v>
      </c>
      <c r="AX2416" s="4" t="s">
        <v>100</v>
      </c>
      <c r="AY2416" s="8" t="s">
        <v>100</v>
      </c>
      <c r="AZ2416" s="7" t="s">
        <v>100</v>
      </c>
      <c r="BA2416" s="7" t="s">
        <v>100</v>
      </c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/>
      <c r="BK2416" s="8"/>
      <c r="BL2416" s="2" t="s">
        <v>100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2480</v>
      </c>
      <c r="BV2416" s="2" t="s">
        <v>97</v>
      </c>
      <c r="BW2416" s="2" t="s">
        <v>100</v>
      </c>
      <c r="BX2416" s="2" t="s">
        <v>100</v>
      </c>
      <c r="BY2416" s="2" t="s">
        <v>113</v>
      </c>
      <c r="BZ2416" s="2" t="s">
        <v>100</v>
      </c>
    </row>
    <row r="2417">
      <c r="A2417" s="2" t="s">
        <v>7581</v>
      </c>
      <c r="B2417" s="2" t="s">
        <v>5764</v>
      </c>
      <c r="C2417" s="2" t="s">
        <v>3413</v>
      </c>
      <c r="D2417" s="2" t="s">
        <v>4473</v>
      </c>
      <c r="E2417" s="2" t="s">
        <v>5768</v>
      </c>
      <c r="F2417" s="2" t="s">
        <v>7567</v>
      </c>
      <c r="G2417" s="2" t="s">
        <v>7567</v>
      </c>
      <c r="H2417" s="2" t="s">
        <v>7567</v>
      </c>
      <c r="I2417" s="2" t="s">
        <v>7568</v>
      </c>
      <c r="J2417" s="2" t="s">
        <v>247</v>
      </c>
      <c r="K2417" s="2" t="s">
        <v>360</v>
      </c>
      <c r="L2417" s="3">
        <v>26.75</v>
      </c>
      <c r="M2417" s="3">
        <v>28.09</v>
      </c>
      <c r="N2417" s="3">
        <v>59.99</v>
      </c>
      <c r="O2417" s="2" t="s">
        <v>97</v>
      </c>
      <c r="P2417" s="2" t="s">
        <v>2478</v>
      </c>
      <c r="Q2417" s="2" t="s">
        <v>99</v>
      </c>
      <c r="R2417" s="2" t="s">
        <v>100</v>
      </c>
      <c r="S2417" s="2" t="s">
        <v>100</v>
      </c>
      <c r="T2417" s="2" t="s">
        <v>100</v>
      </c>
      <c r="U2417" s="2" t="s">
        <v>1847</v>
      </c>
      <c r="V2417" s="2" t="s">
        <v>146</v>
      </c>
      <c r="W2417" s="2" t="s">
        <v>100</v>
      </c>
      <c r="X2417" s="2" t="s">
        <v>100</v>
      </c>
      <c r="Y2417" s="2" t="s">
        <v>100</v>
      </c>
      <c r="Z2417" s="4"/>
      <c r="AA2417" s="4">
        <f>=ROUNDDOWN({0},0)</f>
      </c>
      <c r="AB2417" s="5"/>
      <c r="AC2417" s="2" t="s">
        <v>100</v>
      </c>
      <c r="AD2417" s="4"/>
      <c r="AE2417" s="4"/>
      <c r="AF2417" s="6"/>
      <c r="AG2417" s="6"/>
      <c r="AH2417" s="7"/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100</v>
      </c>
      <c r="AW2417" s="8" t="s">
        <v>100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/>
      <c r="BK2417" s="8"/>
      <c r="BL2417" s="2" t="s">
        <v>100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2480</v>
      </c>
      <c r="BV2417" s="2" t="s">
        <v>97</v>
      </c>
      <c r="BW2417" s="2" t="s">
        <v>100</v>
      </c>
      <c r="BX2417" s="2" t="s">
        <v>100</v>
      </c>
      <c r="BY2417" s="2" t="s">
        <v>113</v>
      </c>
      <c r="BZ2417" s="2" t="s">
        <v>100</v>
      </c>
    </row>
    <row r="2418">
      <c r="A2418" s="2" t="s">
        <v>7582</v>
      </c>
      <c r="B2418" s="2" t="s">
        <v>5764</v>
      </c>
      <c r="C2418" s="2" t="s">
        <v>3413</v>
      </c>
      <c r="D2418" s="2" t="s">
        <v>4473</v>
      </c>
      <c r="E2418" s="2" t="s">
        <v>5768</v>
      </c>
      <c r="F2418" s="2" t="s">
        <v>7567</v>
      </c>
      <c r="G2418" s="2" t="s">
        <v>7567</v>
      </c>
      <c r="H2418" s="2" t="s">
        <v>7567</v>
      </c>
      <c r="I2418" s="2" t="s">
        <v>7568</v>
      </c>
      <c r="J2418" s="2" t="s">
        <v>714</v>
      </c>
      <c r="K2418" s="2" t="s">
        <v>360</v>
      </c>
      <c r="L2418" s="3">
        <v>31.21</v>
      </c>
      <c r="M2418" s="3">
        <v>32.77</v>
      </c>
      <c r="N2418" s="3">
        <v>69.99</v>
      </c>
      <c r="O2418" s="2" t="s">
        <v>97</v>
      </c>
      <c r="P2418" s="2" t="s">
        <v>2478</v>
      </c>
      <c r="Q2418" s="2" t="s">
        <v>99</v>
      </c>
      <c r="R2418" s="2" t="s">
        <v>100</v>
      </c>
      <c r="S2418" s="2" t="s">
        <v>100</v>
      </c>
      <c r="T2418" s="2" t="s">
        <v>100</v>
      </c>
      <c r="U2418" s="2" t="s">
        <v>1847</v>
      </c>
      <c r="V2418" s="2" t="s">
        <v>146</v>
      </c>
      <c r="W2418" s="2" t="s">
        <v>100</v>
      </c>
      <c r="X2418" s="2" t="s">
        <v>100</v>
      </c>
      <c r="Y2418" s="2" t="s">
        <v>100</v>
      </c>
      <c r="Z2418" s="4"/>
      <c r="AA2418" s="4">
        <f>=ROUNDDOWN({0},0)</f>
      </c>
      <c r="AB2418" s="5"/>
      <c r="AC2418" s="2" t="s">
        <v>100</v>
      </c>
      <c r="AD2418" s="4"/>
      <c r="AE2418" s="4"/>
      <c r="AF2418" s="6"/>
      <c r="AG2418" s="6"/>
      <c r="AH2418" s="7"/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100</v>
      </c>
      <c r="AW2418" s="8" t="s">
        <v>100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/>
      <c r="BK2418" s="8"/>
      <c r="BL2418" s="2" t="s">
        <v>100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2480</v>
      </c>
      <c r="BV2418" s="2" t="s">
        <v>97</v>
      </c>
      <c r="BW2418" s="2" t="s">
        <v>100</v>
      </c>
      <c r="BX2418" s="2" t="s">
        <v>100</v>
      </c>
      <c r="BY2418" s="2" t="s">
        <v>113</v>
      </c>
      <c r="BZ2418" s="2" t="s">
        <v>100</v>
      </c>
    </row>
    <row r="2419">
      <c r="A2419" s="2" t="s">
        <v>7583</v>
      </c>
      <c r="B2419" s="2" t="s">
        <v>5764</v>
      </c>
      <c r="C2419" s="2" t="s">
        <v>3413</v>
      </c>
      <c r="D2419" s="2" t="s">
        <v>4473</v>
      </c>
      <c r="E2419" s="2" t="s">
        <v>5768</v>
      </c>
      <c r="F2419" s="2" t="s">
        <v>7567</v>
      </c>
      <c r="G2419" s="2" t="s">
        <v>7567</v>
      </c>
      <c r="H2419" s="2" t="s">
        <v>7567</v>
      </c>
      <c r="I2419" s="2" t="s">
        <v>7568</v>
      </c>
      <c r="J2419" s="2" t="s">
        <v>1936</v>
      </c>
      <c r="K2419" s="2" t="s">
        <v>440</v>
      </c>
      <c r="L2419" s="3">
        <v>22.29</v>
      </c>
      <c r="M2419" s="3">
        <v>23.4</v>
      </c>
      <c r="N2419" s="3">
        <v>49.99</v>
      </c>
      <c r="O2419" s="2" t="s">
        <v>97</v>
      </c>
      <c r="P2419" s="2" t="s">
        <v>2478</v>
      </c>
      <c r="Q2419" s="2" t="s">
        <v>99</v>
      </c>
      <c r="R2419" s="2" t="s">
        <v>100</v>
      </c>
      <c r="S2419" s="2" t="s">
        <v>100</v>
      </c>
      <c r="T2419" s="2" t="s">
        <v>100</v>
      </c>
      <c r="U2419" s="2" t="s">
        <v>1847</v>
      </c>
      <c r="V2419" s="2" t="s">
        <v>146</v>
      </c>
      <c r="W2419" s="2" t="s">
        <v>100</v>
      </c>
      <c r="X2419" s="2" t="s">
        <v>100</v>
      </c>
      <c r="Y2419" s="2" t="s">
        <v>100</v>
      </c>
      <c r="Z2419" s="4"/>
      <c r="AA2419" s="4">
        <f>=ROUNDDOWN({0},0)</f>
      </c>
      <c r="AB2419" s="5"/>
      <c r="AC2419" s="2" t="s">
        <v>100</v>
      </c>
      <c r="AD2419" s="4"/>
      <c r="AE2419" s="4"/>
      <c r="AF2419" s="6"/>
      <c r="AG2419" s="6"/>
      <c r="AH2419" s="7"/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/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/>
      <c r="BJ2419" s="4"/>
      <c r="BK2419" s="8"/>
      <c r="BL2419" s="2" t="s">
        <v>100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2480</v>
      </c>
      <c r="BV2419" s="2" t="s">
        <v>97</v>
      </c>
      <c r="BW2419" s="2" t="s">
        <v>100</v>
      </c>
      <c r="BX2419" s="2" t="s">
        <v>100</v>
      </c>
      <c r="BY2419" s="2" t="s">
        <v>113</v>
      </c>
      <c r="BZ2419" s="2" t="s">
        <v>100</v>
      </c>
    </row>
    <row r="2420">
      <c r="A2420" s="2" t="s">
        <v>7584</v>
      </c>
      <c r="B2420" s="2" t="s">
        <v>5764</v>
      </c>
      <c r="C2420" s="2" t="s">
        <v>3413</v>
      </c>
      <c r="D2420" s="2" t="s">
        <v>4473</v>
      </c>
      <c r="E2420" s="2" t="s">
        <v>5768</v>
      </c>
      <c r="F2420" s="2" t="s">
        <v>7567</v>
      </c>
      <c r="G2420" s="2" t="s">
        <v>7567</v>
      </c>
      <c r="H2420" s="2" t="s">
        <v>7567</v>
      </c>
      <c r="I2420" s="2" t="s">
        <v>7568</v>
      </c>
      <c r="J2420" s="2" t="s">
        <v>247</v>
      </c>
      <c r="K2420" s="2" t="s">
        <v>440</v>
      </c>
      <c r="L2420" s="3">
        <v>26.75</v>
      </c>
      <c r="M2420" s="3">
        <v>28.09</v>
      </c>
      <c r="N2420" s="3">
        <v>59.99</v>
      </c>
      <c r="O2420" s="2" t="s">
        <v>97</v>
      </c>
      <c r="P2420" s="2" t="s">
        <v>2478</v>
      </c>
      <c r="Q2420" s="2" t="s">
        <v>99</v>
      </c>
      <c r="R2420" s="2" t="s">
        <v>100</v>
      </c>
      <c r="S2420" s="2" t="s">
        <v>100</v>
      </c>
      <c r="T2420" s="2" t="s">
        <v>100</v>
      </c>
      <c r="U2420" s="2" t="s">
        <v>1847</v>
      </c>
      <c r="V2420" s="2" t="s">
        <v>146</v>
      </c>
      <c r="W2420" s="2" t="s">
        <v>100</v>
      </c>
      <c r="X2420" s="2" t="s">
        <v>100</v>
      </c>
      <c r="Y2420" s="2" t="s">
        <v>100</v>
      </c>
      <c r="Z2420" s="4"/>
      <c r="AA2420" s="4">
        <f>=ROUNDDOWN({0},0)</f>
      </c>
      <c r="AB2420" s="5"/>
      <c r="AC2420" s="2" t="s">
        <v>100</v>
      </c>
      <c r="AD2420" s="4"/>
      <c r="AE2420" s="4"/>
      <c r="AF2420" s="6"/>
      <c r="AG2420" s="6"/>
      <c r="AH2420" s="7"/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100</v>
      </c>
      <c r="AW2420" s="8" t="s">
        <v>100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/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/>
      <c r="BJ2420" s="4"/>
      <c r="BK2420" s="8"/>
      <c r="BL2420" s="2" t="s">
        <v>100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2480</v>
      </c>
      <c r="BV2420" s="2" t="s">
        <v>97</v>
      </c>
      <c r="BW2420" s="2" t="s">
        <v>100</v>
      </c>
      <c r="BX2420" s="2" t="s">
        <v>100</v>
      </c>
      <c r="BY2420" s="2" t="s">
        <v>113</v>
      </c>
      <c r="BZ2420" s="2" t="s">
        <v>100</v>
      </c>
    </row>
    <row r="2421">
      <c r="A2421" s="2" t="s">
        <v>7585</v>
      </c>
      <c r="B2421" s="2" t="s">
        <v>5764</v>
      </c>
      <c r="C2421" s="2" t="s">
        <v>3413</v>
      </c>
      <c r="D2421" s="2" t="s">
        <v>4473</v>
      </c>
      <c r="E2421" s="2" t="s">
        <v>5768</v>
      </c>
      <c r="F2421" s="2" t="s">
        <v>7567</v>
      </c>
      <c r="G2421" s="2" t="s">
        <v>7567</v>
      </c>
      <c r="H2421" s="2" t="s">
        <v>7567</v>
      </c>
      <c r="I2421" s="2" t="s">
        <v>7568</v>
      </c>
      <c r="J2421" s="2" t="s">
        <v>714</v>
      </c>
      <c r="K2421" s="2" t="s">
        <v>440</v>
      </c>
      <c r="L2421" s="3">
        <v>31.21</v>
      </c>
      <c r="M2421" s="3">
        <v>32.77</v>
      </c>
      <c r="N2421" s="3">
        <v>69.99</v>
      </c>
      <c r="O2421" s="2" t="s">
        <v>97</v>
      </c>
      <c r="P2421" s="2" t="s">
        <v>2478</v>
      </c>
      <c r="Q2421" s="2" t="s">
        <v>99</v>
      </c>
      <c r="R2421" s="2" t="s">
        <v>100</v>
      </c>
      <c r="S2421" s="2" t="s">
        <v>100</v>
      </c>
      <c r="T2421" s="2" t="s">
        <v>100</v>
      </c>
      <c r="U2421" s="2" t="s">
        <v>1847</v>
      </c>
      <c r="V2421" s="2" t="s">
        <v>146</v>
      </c>
      <c r="W2421" s="2" t="s">
        <v>100</v>
      </c>
      <c r="X2421" s="2" t="s">
        <v>100</v>
      </c>
      <c r="Y2421" s="2" t="s">
        <v>100</v>
      </c>
      <c r="Z2421" s="4"/>
      <c r="AA2421" s="4">
        <f>=ROUNDDOWN({0},0)</f>
      </c>
      <c r="AB2421" s="5"/>
      <c r="AC2421" s="2" t="s">
        <v>100</v>
      </c>
      <c r="AD2421" s="4"/>
      <c r="AE2421" s="4"/>
      <c r="AF2421" s="6"/>
      <c r="AG2421" s="6"/>
      <c r="AH2421" s="7"/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/>
      <c r="BK2421" s="8"/>
      <c r="BL2421" s="2" t="s">
        <v>100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2480</v>
      </c>
      <c r="BV2421" s="2" t="s">
        <v>97</v>
      </c>
      <c r="BW2421" s="2" t="s">
        <v>100</v>
      </c>
      <c r="BX2421" s="2" t="s">
        <v>100</v>
      </c>
      <c r="BY2421" s="2" t="s">
        <v>113</v>
      </c>
      <c r="BZ2421" s="2" t="s">
        <v>100</v>
      </c>
    </row>
    <row r="2422">
      <c r="A2422" s="2" t="s">
        <v>7586</v>
      </c>
      <c r="B2422" s="2" t="s">
        <v>5764</v>
      </c>
      <c r="C2422" s="2" t="s">
        <v>3413</v>
      </c>
      <c r="D2422" s="2" t="s">
        <v>4473</v>
      </c>
      <c r="E2422" s="2" t="s">
        <v>5768</v>
      </c>
      <c r="F2422" s="2" t="s">
        <v>7567</v>
      </c>
      <c r="G2422" s="2" t="s">
        <v>7567</v>
      </c>
      <c r="H2422" s="2" t="s">
        <v>7567</v>
      </c>
      <c r="I2422" s="2" t="s">
        <v>7568</v>
      </c>
      <c r="J2422" s="2" t="s">
        <v>1936</v>
      </c>
      <c r="K2422" s="2" t="s">
        <v>189</v>
      </c>
      <c r="L2422" s="3">
        <v>22.29</v>
      </c>
      <c r="M2422" s="3">
        <v>23.4</v>
      </c>
      <c r="N2422" s="3">
        <v>49.99</v>
      </c>
      <c r="O2422" s="2" t="s">
        <v>97</v>
      </c>
      <c r="P2422" s="2" t="s">
        <v>2478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1847</v>
      </c>
      <c r="V2422" s="2" t="s">
        <v>146</v>
      </c>
      <c r="W2422" s="2" t="s">
        <v>100</v>
      </c>
      <c r="X2422" s="2" t="s">
        <v>100</v>
      </c>
      <c r="Y2422" s="2" t="s">
        <v>100</v>
      </c>
      <c r="Z2422" s="4"/>
      <c r="AA2422" s="4">
        <f>=ROUNDDOWN({0},0)</f>
      </c>
      <c r="AB2422" s="5"/>
      <c r="AC2422" s="2" t="s">
        <v>100</v>
      </c>
      <c r="AD2422" s="4"/>
      <c r="AE2422" s="4"/>
      <c r="AF2422" s="6"/>
      <c r="AG2422" s="6"/>
      <c r="AH2422" s="7"/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100</v>
      </c>
      <c r="AW2422" s="8" t="s">
        <v>100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/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/>
      <c r="BJ2422" s="4"/>
      <c r="BK2422" s="8"/>
      <c r="BL2422" s="2" t="s">
        <v>100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2480</v>
      </c>
      <c r="BV2422" s="2" t="s">
        <v>97</v>
      </c>
      <c r="BW2422" s="2" t="s">
        <v>100</v>
      </c>
      <c r="BX2422" s="2" t="s">
        <v>100</v>
      </c>
      <c r="BY2422" s="2" t="s">
        <v>113</v>
      </c>
      <c r="BZ2422" s="2" t="s">
        <v>100</v>
      </c>
    </row>
    <row r="2423">
      <c r="A2423" s="2" t="s">
        <v>7587</v>
      </c>
      <c r="B2423" s="2" t="s">
        <v>5764</v>
      </c>
      <c r="C2423" s="2" t="s">
        <v>3413</v>
      </c>
      <c r="D2423" s="2" t="s">
        <v>4473</v>
      </c>
      <c r="E2423" s="2" t="s">
        <v>5768</v>
      </c>
      <c r="F2423" s="2" t="s">
        <v>7567</v>
      </c>
      <c r="G2423" s="2" t="s">
        <v>7567</v>
      </c>
      <c r="H2423" s="2" t="s">
        <v>7567</v>
      </c>
      <c r="I2423" s="2" t="s">
        <v>7568</v>
      </c>
      <c r="J2423" s="2" t="s">
        <v>247</v>
      </c>
      <c r="K2423" s="2" t="s">
        <v>189</v>
      </c>
      <c r="L2423" s="3">
        <v>26.75</v>
      </c>
      <c r="M2423" s="3">
        <v>28.09</v>
      </c>
      <c r="N2423" s="3">
        <v>59.99</v>
      </c>
      <c r="O2423" s="2" t="s">
        <v>97</v>
      </c>
      <c r="P2423" s="2" t="s">
        <v>2478</v>
      </c>
      <c r="Q2423" s="2" t="s">
        <v>99</v>
      </c>
      <c r="R2423" s="2" t="s">
        <v>100</v>
      </c>
      <c r="S2423" s="2" t="s">
        <v>100</v>
      </c>
      <c r="T2423" s="2" t="s">
        <v>100</v>
      </c>
      <c r="U2423" s="2" t="s">
        <v>1847</v>
      </c>
      <c r="V2423" s="2" t="s">
        <v>146</v>
      </c>
      <c r="W2423" s="2" t="s">
        <v>100</v>
      </c>
      <c r="X2423" s="2" t="s">
        <v>100</v>
      </c>
      <c r="Y2423" s="2" t="s">
        <v>100</v>
      </c>
      <c r="Z2423" s="4"/>
      <c r="AA2423" s="4">
        <f>=ROUNDDOWN({0},0)</f>
      </c>
      <c r="AB2423" s="5"/>
      <c r="AC2423" s="2" t="s">
        <v>100</v>
      </c>
      <c r="AD2423" s="4"/>
      <c r="AE2423" s="4"/>
      <c r="AF2423" s="6"/>
      <c r="AG2423" s="6"/>
      <c r="AH2423" s="7"/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/>
      <c r="BK2423" s="8"/>
      <c r="BL2423" s="2" t="s">
        <v>100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2480</v>
      </c>
      <c r="BV2423" s="2" t="s">
        <v>97</v>
      </c>
      <c r="BW2423" s="2" t="s">
        <v>100</v>
      </c>
      <c r="BX2423" s="2" t="s">
        <v>100</v>
      </c>
      <c r="BY2423" s="2" t="s">
        <v>113</v>
      </c>
      <c r="BZ2423" s="2" t="s">
        <v>100</v>
      </c>
    </row>
    <row r="2424">
      <c r="A2424" s="2" t="s">
        <v>7588</v>
      </c>
      <c r="B2424" s="2" t="s">
        <v>5764</v>
      </c>
      <c r="C2424" s="2" t="s">
        <v>3413</v>
      </c>
      <c r="D2424" s="2" t="s">
        <v>4473</v>
      </c>
      <c r="E2424" s="2" t="s">
        <v>5768</v>
      </c>
      <c r="F2424" s="2" t="s">
        <v>7567</v>
      </c>
      <c r="G2424" s="2" t="s">
        <v>7567</v>
      </c>
      <c r="H2424" s="2" t="s">
        <v>7567</v>
      </c>
      <c r="I2424" s="2" t="s">
        <v>7568</v>
      </c>
      <c r="J2424" s="2" t="s">
        <v>714</v>
      </c>
      <c r="K2424" s="2" t="s">
        <v>189</v>
      </c>
      <c r="L2424" s="3">
        <v>31.21</v>
      </c>
      <c r="M2424" s="3">
        <v>32.77</v>
      </c>
      <c r="N2424" s="3">
        <v>69.99</v>
      </c>
      <c r="O2424" s="2" t="s">
        <v>97</v>
      </c>
      <c r="P2424" s="2" t="s">
        <v>2478</v>
      </c>
      <c r="Q2424" s="2" t="s">
        <v>99</v>
      </c>
      <c r="R2424" s="2" t="s">
        <v>100</v>
      </c>
      <c r="S2424" s="2" t="s">
        <v>100</v>
      </c>
      <c r="T2424" s="2" t="s">
        <v>100</v>
      </c>
      <c r="U2424" s="2" t="s">
        <v>1847</v>
      </c>
      <c r="V2424" s="2" t="s">
        <v>146</v>
      </c>
      <c r="W2424" s="2" t="s">
        <v>100</v>
      </c>
      <c r="X2424" s="2" t="s">
        <v>100</v>
      </c>
      <c r="Y2424" s="2" t="s">
        <v>100</v>
      </c>
      <c r="Z2424" s="4"/>
      <c r="AA2424" s="4">
        <f>=ROUNDDOWN({0},0)</f>
      </c>
      <c r="AB2424" s="5"/>
      <c r="AC2424" s="2" t="s">
        <v>100</v>
      </c>
      <c r="AD2424" s="4"/>
      <c r="AE2424" s="4"/>
      <c r="AF2424" s="6"/>
      <c r="AG2424" s="6"/>
      <c r="AH2424" s="7"/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/>
      <c r="BK2424" s="8"/>
      <c r="BL2424" s="2" t="s">
        <v>100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2480</v>
      </c>
      <c r="BV2424" s="2" t="s">
        <v>97</v>
      </c>
      <c r="BW2424" s="2" t="s">
        <v>100</v>
      </c>
      <c r="BX2424" s="2" t="s">
        <v>100</v>
      </c>
      <c r="BY2424" s="2" t="s">
        <v>113</v>
      </c>
      <c r="BZ2424" s="2" t="s">
        <v>100</v>
      </c>
    </row>
    <row r="2425">
      <c r="A2425" s="2" t="s">
        <v>7589</v>
      </c>
      <c r="B2425" s="2" t="s">
        <v>5764</v>
      </c>
      <c r="C2425" s="2" t="s">
        <v>3413</v>
      </c>
      <c r="D2425" s="2" t="s">
        <v>803</v>
      </c>
      <c r="E2425" s="2" t="s">
        <v>1532</v>
      </c>
      <c r="F2425" s="2" t="s">
        <v>7590</v>
      </c>
      <c r="G2425" s="2" t="s">
        <v>7591</v>
      </c>
      <c r="H2425" s="2" t="s">
        <v>7592</v>
      </c>
      <c r="I2425" s="2" t="s">
        <v>7593</v>
      </c>
      <c r="J2425" s="2" t="s">
        <v>237</v>
      </c>
      <c r="K2425" s="2" t="s">
        <v>118</v>
      </c>
      <c r="L2425" s="3">
        <v>28.98</v>
      </c>
      <c r="M2425" s="3">
        <v>30.43</v>
      </c>
      <c r="N2425" s="3">
        <v>64.99</v>
      </c>
      <c r="O2425" s="2" t="s">
        <v>97</v>
      </c>
      <c r="P2425" s="2" t="s">
        <v>225</v>
      </c>
      <c r="Q2425" s="2" t="s">
        <v>99</v>
      </c>
      <c r="R2425" s="2" t="s">
        <v>100</v>
      </c>
      <c r="S2425" s="2" t="s">
        <v>7594</v>
      </c>
      <c r="T2425" s="2" t="s">
        <v>200</v>
      </c>
      <c r="U2425" s="2" t="s">
        <v>514</v>
      </c>
      <c r="V2425" s="2" t="s">
        <v>350</v>
      </c>
      <c r="W2425" s="2" t="s">
        <v>183</v>
      </c>
      <c r="X2425" s="2" t="s">
        <v>219</v>
      </c>
      <c r="Y2425" s="2" t="s">
        <v>5379</v>
      </c>
      <c r="Z2425" s="4">
        <v>301</v>
      </c>
      <c r="AA2425" s="4">
        <f>=ROUNDDOWN(7.92105263157895,0)</f>
      </c>
      <c r="AB2425" s="5">
        <v>38</v>
      </c>
      <c r="AC2425" s="2" t="s">
        <v>241</v>
      </c>
      <c r="AD2425" s="4">
        <v>648</v>
      </c>
      <c r="AE2425" s="4">
        <v>1618</v>
      </c>
      <c r="AF2425" s="6">
        <v>65</v>
      </c>
      <c r="AG2425" s="6">
        <v>48</v>
      </c>
      <c r="AH2425" s="7">
        <v>0.7372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>
        <v>255</v>
      </c>
      <c r="BK2425" s="8">
        <v>7294.3</v>
      </c>
      <c r="BL2425" s="2" t="s">
        <v>7595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207</v>
      </c>
      <c r="BV2425" s="2" t="s">
        <v>97</v>
      </c>
      <c r="BW2425" s="2" t="s">
        <v>100</v>
      </c>
      <c r="BX2425" s="2" t="s">
        <v>100</v>
      </c>
      <c r="BY2425" s="2" t="s">
        <v>113</v>
      </c>
      <c r="BZ2425" s="2" t="s">
        <v>245</v>
      </c>
    </row>
    <row r="2426">
      <c r="A2426" s="2" t="s">
        <v>7596</v>
      </c>
      <c r="B2426" s="2" t="s">
        <v>5764</v>
      </c>
      <c r="C2426" s="2" t="s">
        <v>3413</v>
      </c>
      <c r="D2426" s="2" t="s">
        <v>803</v>
      </c>
      <c r="E2426" s="2" t="s">
        <v>1532</v>
      </c>
      <c r="F2426" s="2" t="s">
        <v>7590</v>
      </c>
      <c r="G2426" s="2" t="s">
        <v>7591</v>
      </c>
      <c r="H2426" s="2" t="s">
        <v>7592</v>
      </c>
      <c r="I2426" s="2" t="s">
        <v>7593</v>
      </c>
      <c r="J2426" s="2" t="s">
        <v>247</v>
      </c>
      <c r="K2426" s="2" t="s">
        <v>118</v>
      </c>
      <c r="L2426" s="3">
        <v>33.44</v>
      </c>
      <c r="M2426" s="3">
        <v>35.11</v>
      </c>
      <c r="N2426" s="3">
        <v>74.99</v>
      </c>
      <c r="O2426" s="2" t="s">
        <v>97</v>
      </c>
      <c r="P2426" s="2" t="s">
        <v>225</v>
      </c>
      <c r="Q2426" s="2" t="s">
        <v>99</v>
      </c>
      <c r="R2426" s="2" t="s">
        <v>100</v>
      </c>
      <c r="S2426" s="2" t="s">
        <v>7594</v>
      </c>
      <c r="T2426" s="2" t="s">
        <v>200</v>
      </c>
      <c r="U2426" s="2" t="s">
        <v>480</v>
      </c>
      <c r="V2426" s="2" t="s">
        <v>350</v>
      </c>
      <c r="W2426" s="2" t="s">
        <v>183</v>
      </c>
      <c r="X2426" s="2" t="s">
        <v>219</v>
      </c>
      <c r="Y2426" s="2" t="s">
        <v>2157</v>
      </c>
      <c r="Z2426" s="4">
        <v>704</v>
      </c>
      <c r="AA2426" s="4">
        <f>=ROUNDDOWN(7.04,0)</f>
      </c>
      <c r="AB2426" s="5">
        <v>100</v>
      </c>
      <c r="AC2426" s="2" t="s">
        <v>320</v>
      </c>
      <c r="AD2426" s="4">
        <v>336</v>
      </c>
      <c r="AE2426" s="4">
        <v>4752</v>
      </c>
      <c r="AF2426" s="6">
        <v>65</v>
      </c>
      <c r="AG2426" s="6">
        <v>48</v>
      </c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650</v>
      </c>
      <c r="BK2426" s="8">
        <v>22403.14</v>
      </c>
      <c r="BL2426" s="2" t="s">
        <v>7595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207</v>
      </c>
      <c r="BV2426" s="2" t="s">
        <v>97</v>
      </c>
      <c r="BW2426" s="2" t="s">
        <v>100</v>
      </c>
      <c r="BX2426" s="2" t="s">
        <v>100</v>
      </c>
      <c r="BY2426" s="2" t="s">
        <v>113</v>
      </c>
      <c r="BZ2426" s="2" t="s">
        <v>245</v>
      </c>
    </row>
    <row r="2427">
      <c r="A2427" s="2" t="s">
        <v>7597</v>
      </c>
      <c r="B2427" s="2" t="s">
        <v>5764</v>
      </c>
      <c r="C2427" s="2" t="s">
        <v>3413</v>
      </c>
      <c r="D2427" s="2" t="s">
        <v>803</v>
      </c>
      <c r="E2427" s="2" t="s">
        <v>1532</v>
      </c>
      <c r="F2427" s="2" t="s">
        <v>7590</v>
      </c>
      <c r="G2427" s="2" t="s">
        <v>7591</v>
      </c>
      <c r="H2427" s="2" t="s">
        <v>7592</v>
      </c>
      <c r="I2427" s="2" t="s">
        <v>7593</v>
      </c>
      <c r="J2427" s="2" t="s">
        <v>270</v>
      </c>
      <c r="K2427" s="2" t="s">
        <v>118</v>
      </c>
      <c r="L2427" s="3">
        <v>37.89</v>
      </c>
      <c r="M2427" s="3">
        <v>39.78</v>
      </c>
      <c r="N2427" s="3">
        <v>84.99</v>
      </c>
      <c r="O2427" s="2" t="s">
        <v>97</v>
      </c>
      <c r="P2427" s="2" t="s">
        <v>225</v>
      </c>
      <c r="Q2427" s="2" t="s">
        <v>99</v>
      </c>
      <c r="R2427" s="2" t="s">
        <v>100</v>
      </c>
      <c r="S2427" s="2" t="s">
        <v>7594</v>
      </c>
      <c r="T2427" s="2" t="s">
        <v>200</v>
      </c>
      <c r="U2427" s="2" t="s">
        <v>480</v>
      </c>
      <c r="V2427" s="2" t="s">
        <v>350</v>
      </c>
      <c r="W2427" s="2" t="s">
        <v>183</v>
      </c>
      <c r="X2427" s="2" t="s">
        <v>219</v>
      </c>
      <c r="Y2427" s="2" t="s">
        <v>2157</v>
      </c>
      <c r="Z2427" s="4">
        <v>261</v>
      </c>
      <c r="AA2427" s="4">
        <f>=ROUNDDOWN(3.625,0)</f>
      </c>
      <c r="AB2427" s="5">
        <v>72</v>
      </c>
      <c r="AC2427" s="2" t="s">
        <v>320</v>
      </c>
      <c r="AD2427" s="4">
        <v>1092</v>
      </c>
      <c r="AE2427" s="4">
        <v>3788</v>
      </c>
      <c r="AF2427" s="6">
        <v>65</v>
      </c>
      <c r="AG2427" s="6">
        <v>48</v>
      </c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929</v>
      </c>
      <c r="BK2427" s="8">
        <v>36101.62</v>
      </c>
      <c r="BL2427" s="2" t="s">
        <v>3421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207</v>
      </c>
      <c r="BV2427" s="2" t="s">
        <v>97</v>
      </c>
      <c r="BW2427" s="2" t="s">
        <v>100</v>
      </c>
      <c r="BX2427" s="2" t="s">
        <v>100</v>
      </c>
      <c r="BY2427" s="2" t="s">
        <v>113</v>
      </c>
      <c r="BZ2427" s="2" t="s">
        <v>245</v>
      </c>
    </row>
    <row r="2428">
      <c r="A2428" s="2" t="s">
        <v>7598</v>
      </c>
      <c r="B2428" s="2" t="s">
        <v>5764</v>
      </c>
      <c r="C2428" s="2" t="s">
        <v>3413</v>
      </c>
      <c r="D2428" s="2" t="s">
        <v>803</v>
      </c>
      <c r="E2428" s="2" t="s">
        <v>1532</v>
      </c>
      <c r="F2428" s="2" t="s">
        <v>7590</v>
      </c>
      <c r="G2428" s="2" t="s">
        <v>7591</v>
      </c>
      <c r="H2428" s="2" t="s">
        <v>7592</v>
      </c>
      <c r="I2428" s="2" t="s">
        <v>7593</v>
      </c>
      <c r="J2428" s="2" t="s">
        <v>237</v>
      </c>
      <c r="K2428" s="2" t="s">
        <v>7599</v>
      </c>
      <c r="L2428" s="3">
        <v>31.21</v>
      </c>
      <c r="M2428" s="3">
        <v>32.77</v>
      </c>
      <c r="N2428" s="3">
        <v>69.99</v>
      </c>
      <c r="O2428" s="2" t="s">
        <v>97</v>
      </c>
      <c r="P2428" s="2" t="s">
        <v>225</v>
      </c>
      <c r="Q2428" s="2" t="s">
        <v>99</v>
      </c>
      <c r="R2428" s="2" t="s">
        <v>100</v>
      </c>
      <c r="S2428" s="2" t="s">
        <v>100</v>
      </c>
      <c r="T2428" s="2" t="s">
        <v>200</v>
      </c>
      <c r="U2428" s="2" t="s">
        <v>514</v>
      </c>
      <c r="V2428" s="2" t="s">
        <v>350</v>
      </c>
      <c r="W2428" s="2" t="s">
        <v>183</v>
      </c>
      <c r="X2428" s="2" t="s">
        <v>219</v>
      </c>
      <c r="Y2428" s="2" t="s">
        <v>552</v>
      </c>
      <c r="Z2428" s="4">
        <v>53</v>
      </c>
      <c r="AA2428" s="4">
        <f>=ROUNDDOWN(1.10416666666667,0)</f>
      </c>
      <c r="AB2428" s="5">
        <v>48</v>
      </c>
      <c r="AC2428" s="2" t="s">
        <v>542</v>
      </c>
      <c r="AD2428" s="4">
        <v>152</v>
      </c>
      <c r="AE2428" s="4">
        <v>1004</v>
      </c>
      <c r="AF2428" s="6">
        <v>66</v>
      </c>
      <c r="AG2428" s="6">
        <v>49</v>
      </c>
      <c r="AH2428" s="7">
        <v>0.9667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248</v>
      </c>
      <c r="BK2428" s="8">
        <v>7781.45</v>
      </c>
      <c r="BL2428" s="2" t="s">
        <v>3404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207</v>
      </c>
      <c r="BV2428" s="2" t="s">
        <v>97</v>
      </c>
      <c r="BW2428" s="2" t="s">
        <v>100</v>
      </c>
      <c r="BX2428" s="2" t="s">
        <v>100</v>
      </c>
      <c r="BY2428" s="2" t="s">
        <v>113</v>
      </c>
      <c r="BZ2428" s="2" t="s">
        <v>245</v>
      </c>
    </row>
    <row r="2429">
      <c r="A2429" s="2" t="s">
        <v>7600</v>
      </c>
      <c r="B2429" s="2" t="s">
        <v>5764</v>
      </c>
      <c r="C2429" s="2" t="s">
        <v>3413</v>
      </c>
      <c r="D2429" s="2" t="s">
        <v>803</v>
      </c>
      <c r="E2429" s="2" t="s">
        <v>1532</v>
      </c>
      <c r="F2429" s="2" t="s">
        <v>7590</v>
      </c>
      <c r="G2429" s="2" t="s">
        <v>7591</v>
      </c>
      <c r="H2429" s="2" t="s">
        <v>7592</v>
      </c>
      <c r="I2429" s="2" t="s">
        <v>7593</v>
      </c>
      <c r="J2429" s="2" t="s">
        <v>247</v>
      </c>
      <c r="K2429" s="2" t="s">
        <v>7599</v>
      </c>
      <c r="L2429" s="3">
        <v>35.67</v>
      </c>
      <c r="M2429" s="3">
        <v>37.45</v>
      </c>
      <c r="N2429" s="3">
        <v>79.99</v>
      </c>
      <c r="O2429" s="2" t="s">
        <v>97</v>
      </c>
      <c r="P2429" s="2" t="s">
        <v>225</v>
      </c>
      <c r="Q2429" s="2" t="s">
        <v>99</v>
      </c>
      <c r="R2429" s="2" t="s">
        <v>100</v>
      </c>
      <c r="S2429" s="2" t="s">
        <v>100</v>
      </c>
      <c r="T2429" s="2" t="s">
        <v>200</v>
      </c>
      <c r="U2429" s="2" t="s">
        <v>480</v>
      </c>
      <c r="V2429" s="2" t="s">
        <v>350</v>
      </c>
      <c r="W2429" s="2" t="s">
        <v>183</v>
      </c>
      <c r="X2429" s="2" t="s">
        <v>219</v>
      </c>
      <c r="Y2429" s="2" t="s">
        <v>552</v>
      </c>
      <c r="Z2429" s="4">
        <v>48</v>
      </c>
      <c r="AA2429" s="4">
        <f>=ROUNDDOWN(0.494845360824742,0)</f>
      </c>
      <c r="AB2429" s="5">
        <v>97</v>
      </c>
      <c r="AC2429" s="2" t="s">
        <v>1102</v>
      </c>
      <c r="AD2429" s="4">
        <v>2592</v>
      </c>
      <c r="AE2429" s="4">
        <v>4302</v>
      </c>
      <c r="AF2429" s="6">
        <v>66</v>
      </c>
      <c r="AG2429" s="6">
        <v>49</v>
      </c>
      <c r="AH2429" s="7">
        <v>0.9667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613</v>
      </c>
      <c r="BK2429" s="8">
        <v>21848.89</v>
      </c>
      <c r="BL2429" s="2" t="s">
        <v>7601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207</v>
      </c>
      <c r="BV2429" s="2" t="s">
        <v>97</v>
      </c>
      <c r="BW2429" s="2" t="s">
        <v>100</v>
      </c>
      <c r="BX2429" s="2" t="s">
        <v>100</v>
      </c>
      <c r="BY2429" s="2" t="s">
        <v>113</v>
      </c>
      <c r="BZ2429" s="2" t="s">
        <v>245</v>
      </c>
    </row>
    <row r="2430">
      <c r="A2430" s="2" t="s">
        <v>7602</v>
      </c>
      <c r="B2430" s="2" t="s">
        <v>5764</v>
      </c>
      <c r="C2430" s="2" t="s">
        <v>3413</v>
      </c>
      <c r="D2430" s="2" t="s">
        <v>803</v>
      </c>
      <c r="E2430" s="2" t="s">
        <v>1532</v>
      </c>
      <c r="F2430" s="2" t="s">
        <v>7590</v>
      </c>
      <c r="G2430" s="2" t="s">
        <v>7591</v>
      </c>
      <c r="H2430" s="2" t="s">
        <v>7592</v>
      </c>
      <c r="I2430" s="2" t="s">
        <v>7593</v>
      </c>
      <c r="J2430" s="2" t="s">
        <v>270</v>
      </c>
      <c r="K2430" s="2" t="s">
        <v>7599</v>
      </c>
      <c r="L2430" s="3">
        <v>40.12</v>
      </c>
      <c r="M2430" s="3">
        <v>42.13</v>
      </c>
      <c r="N2430" s="3">
        <v>89.99</v>
      </c>
      <c r="O2430" s="2" t="s">
        <v>97</v>
      </c>
      <c r="P2430" s="2" t="s">
        <v>225</v>
      </c>
      <c r="Q2430" s="2" t="s">
        <v>99</v>
      </c>
      <c r="R2430" s="2" t="s">
        <v>100</v>
      </c>
      <c r="S2430" s="2" t="s">
        <v>100</v>
      </c>
      <c r="T2430" s="2" t="s">
        <v>200</v>
      </c>
      <c r="U2430" s="2" t="s">
        <v>480</v>
      </c>
      <c r="V2430" s="2" t="s">
        <v>350</v>
      </c>
      <c r="W2430" s="2" t="s">
        <v>183</v>
      </c>
      <c r="X2430" s="2" t="s">
        <v>219</v>
      </c>
      <c r="Y2430" s="2" t="s">
        <v>552</v>
      </c>
      <c r="Z2430" s="4">
        <v>12</v>
      </c>
      <c r="AA2430" s="4">
        <f>=ROUNDDOWN(0.176470588235294,0)</f>
      </c>
      <c r="AB2430" s="5">
        <v>68</v>
      </c>
      <c r="AC2430" s="2" t="s">
        <v>1102</v>
      </c>
      <c r="AD2430" s="4">
        <v>1890</v>
      </c>
      <c r="AE2430" s="4">
        <v>3024</v>
      </c>
      <c r="AF2430" s="6">
        <v>66</v>
      </c>
      <c r="AG2430" s="6">
        <v>49</v>
      </c>
      <c r="AH2430" s="7">
        <v>0.95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339</v>
      </c>
      <c r="BK2430" s="8">
        <v>13534.06</v>
      </c>
      <c r="BL2430" s="2" t="s">
        <v>4879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207</v>
      </c>
      <c r="BV2430" s="2" t="s">
        <v>97</v>
      </c>
      <c r="BW2430" s="2" t="s">
        <v>100</v>
      </c>
      <c r="BX2430" s="2" t="s">
        <v>100</v>
      </c>
      <c r="BY2430" s="2" t="s">
        <v>113</v>
      </c>
      <c r="BZ2430" s="2" t="s">
        <v>245</v>
      </c>
    </row>
    <row r="2431">
      <c r="A2431" s="2" t="s">
        <v>7603</v>
      </c>
      <c r="B2431" s="2" t="s">
        <v>5764</v>
      </c>
      <c r="C2431" s="2" t="s">
        <v>3413</v>
      </c>
      <c r="D2431" s="2" t="s">
        <v>803</v>
      </c>
      <c r="E2431" s="2" t="s">
        <v>1532</v>
      </c>
      <c r="F2431" s="2" t="s">
        <v>7590</v>
      </c>
      <c r="G2431" s="2" t="s">
        <v>7591</v>
      </c>
      <c r="H2431" s="2" t="s">
        <v>7592</v>
      </c>
      <c r="I2431" s="2" t="s">
        <v>7593</v>
      </c>
      <c r="J2431" s="2" t="s">
        <v>237</v>
      </c>
      <c r="K2431" s="2" t="s">
        <v>7604</v>
      </c>
      <c r="L2431" s="3">
        <v>31.21</v>
      </c>
      <c r="M2431" s="3">
        <v>32.77</v>
      </c>
      <c r="N2431" s="3">
        <v>69.99</v>
      </c>
      <c r="O2431" s="2" t="s">
        <v>97</v>
      </c>
      <c r="P2431" s="2" t="s">
        <v>225</v>
      </c>
      <c r="Q2431" s="2" t="s">
        <v>99</v>
      </c>
      <c r="R2431" s="2" t="s">
        <v>100</v>
      </c>
      <c r="S2431" s="2" t="s">
        <v>100</v>
      </c>
      <c r="T2431" s="2" t="s">
        <v>200</v>
      </c>
      <c r="U2431" s="2" t="s">
        <v>514</v>
      </c>
      <c r="V2431" s="2" t="s">
        <v>350</v>
      </c>
      <c r="W2431" s="2" t="s">
        <v>183</v>
      </c>
      <c r="X2431" s="2" t="s">
        <v>219</v>
      </c>
      <c r="Y2431" s="2" t="s">
        <v>552</v>
      </c>
      <c r="Z2431" s="4">
        <v>19</v>
      </c>
      <c r="AA2431" s="4">
        <f>=ROUNDDOWN(0.558823529411765,0)</f>
      </c>
      <c r="AB2431" s="5">
        <v>34</v>
      </c>
      <c r="AC2431" s="2" t="s">
        <v>542</v>
      </c>
      <c r="AD2431" s="4">
        <v>108</v>
      </c>
      <c r="AE2431" s="4">
        <v>732</v>
      </c>
      <c r="AF2431" s="6">
        <v>66</v>
      </c>
      <c r="AG2431" s="6">
        <v>49</v>
      </c>
      <c r="AH2431" s="7">
        <v>0.9833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166</v>
      </c>
      <c r="BK2431" s="8">
        <v>5397.27</v>
      </c>
      <c r="BL2431" s="2" t="s">
        <v>4942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207</v>
      </c>
      <c r="BV2431" s="2" t="s">
        <v>97</v>
      </c>
      <c r="BW2431" s="2" t="s">
        <v>100</v>
      </c>
      <c r="BX2431" s="2" t="s">
        <v>100</v>
      </c>
      <c r="BY2431" s="2" t="s">
        <v>113</v>
      </c>
      <c r="BZ2431" s="2" t="s">
        <v>245</v>
      </c>
    </row>
    <row r="2432">
      <c r="A2432" s="2" t="s">
        <v>7605</v>
      </c>
      <c r="B2432" s="2" t="s">
        <v>5764</v>
      </c>
      <c r="C2432" s="2" t="s">
        <v>3413</v>
      </c>
      <c r="D2432" s="2" t="s">
        <v>803</v>
      </c>
      <c r="E2432" s="2" t="s">
        <v>1532</v>
      </c>
      <c r="F2432" s="2" t="s">
        <v>7590</v>
      </c>
      <c r="G2432" s="2" t="s">
        <v>7591</v>
      </c>
      <c r="H2432" s="2" t="s">
        <v>7592</v>
      </c>
      <c r="I2432" s="2" t="s">
        <v>7593</v>
      </c>
      <c r="J2432" s="2" t="s">
        <v>247</v>
      </c>
      <c r="K2432" s="2" t="s">
        <v>7604</v>
      </c>
      <c r="L2432" s="3">
        <v>35.67</v>
      </c>
      <c r="M2432" s="3">
        <v>37.45</v>
      </c>
      <c r="N2432" s="3">
        <v>79.99</v>
      </c>
      <c r="O2432" s="2" t="s">
        <v>97</v>
      </c>
      <c r="P2432" s="2" t="s">
        <v>225</v>
      </c>
      <c r="Q2432" s="2" t="s">
        <v>99</v>
      </c>
      <c r="R2432" s="2" t="s">
        <v>100</v>
      </c>
      <c r="S2432" s="2" t="s">
        <v>100</v>
      </c>
      <c r="T2432" s="2" t="s">
        <v>200</v>
      </c>
      <c r="U2432" s="2" t="s">
        <v>480</v>
      </c>
      <c r="V2432" s="2" t="s">
        <v>350</v>
      </c>
      <c r="W2432" s="2" t="s">
        <v>183</v>
      </c>
      <c r="X2432" s="2" t="s">
        <v>219</v>
      </c>
      <c r="Y2432" s="2" t="s">
        <v>552</v>
      </c>
      <c r="Z2432" s="4">
        <v>20</v>
      </c>
      <c r="AA2432" s="4">
        <f>=ROUNDDOWN(0.285714285714286,0)</f>
      </c>
      <c r="AB2432" s="5">
        <v>70</v>
      </c>
      <c r="AC2432" s="2" t="s">
        <v>542</v>
      </c>
      <c r="AD2432" s="4">
        <v>352</v>
      </c>
      <c r="AE2432" s="4">
        <v>1300</v>
      </c>
      <c r="AF2432" s="6">
        <v>66</v>
      </c>
      <c r="AG2432" s="6">
        <v>49</v>
      </c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>
        <v>466</v>
      </c>
      <c r="BK2432" s="8">
        <v>17321.39</v>
      </c>
      <c r="BL2432" s="2" t="s">
        <v>3444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207</v>
      </c>
      <c r="BV2432" s="2" t="s">
        <v>97</v>
      </c>
      <c r="BW2432" s="2" t="s">
        <v>100</v>
      </c>
      <c r="BX2432" s="2" t="s">
        <v>100</v>
      </c>
      <c r="BY2432" s="2" t="s">
        <v>113</v>
      </c>
      <c r="BZ2432" s="2" t="s">
        <v>245</v>
      </c>
    </row>
    <row r="2433">
      <c r="A2433" s="2" t="s">
        <v>7606</v>
      </c>
      <c r="B2433" s="2" t="s">
        <v>5764</v>
      </c>
      <c r="C2433" s="2" t="s">
        <v>3413</v>
      </c>
      <c r="D2433" s="2" t="s">
        <v>803</v>
      </c>
      <c r="E2433" s="2" t="s">
        <v>1532</v>
      </c>
      <c r="F2433" s="2" t="s">
        <v>7590</v>
      </c>
      <c r="G2433" s="2" t="s">
        <v>7591</v>
      </c>
      <c r="H2433" s="2" t="s">
        <v>7592</v>
      </c>
      <c r="I2433" s="2" t="s">
        <v>7593</v>
      </c>
      <c r="J2433" s="2" t="s">
        <v>270</v>
      </c>
      <c r="K2433" s="2" t="s">
        <v>7604</v>
      </c>
      <c r="L2433" s="3">
        <v>40.12</v>
      </c>
      <c r="M2433" s="3">
        <v>42.13</v>
      </c>
      <c r="N2433" s="3">
        <v>89.99</v>
      </c>
      <c r="O2433" s="2" t="s">
        <v>97</v>
      </c>
      <c r="P2433" s="2" t="s">
        <v>225</v>
      </c>
      <c r="Q2433" s="2" t="s">
        <v>99</v>
      </c>
      <c r="R2433" s="2" t="s">
        <v>100</v>
      </c>
      <c r="S2433" s="2" t="s">
        <v>100</v>
      </c>
      <c r="T2433" s="2" t="s">
        <v>200</v>
      </c>
      <c r="U2433" s="2" t="s">
        <v>480</v>
      </c>
      <c r="V2433" s="2" t="s">
        <v>350</v>
      </c>
      <c r="W2433" s="2" t="s">
        <v>183</v>
      </c>
      <c r="X2433" s="2" t="s">
        <v>219</v>
      </c>
      <c r="Y2433" s="2" t="s">
        <v>552</v>
      </c>
      <c r="Z2433" s="4">
        <v>41</v>
      </c>
      <c r="AA2433" s="4">
        <f>=ROUNDDOWN(0.836734693877551,0)</f>
      </c>
      <c r="AB2433" s="5">
        <v>49</v>
      </c>
      <c r="AC2433" s="2" t="s">
        <v>542</v>
      </c>
      <c r="AD2433" s="4">
        <v>272</v>
      </c>
      <c r="AE2433" s="4">
        <v>982</v>
      </c>
      <c r="AF2433" s="6">
        <v>66</v>
      </c>
      <c r="AG2433" s="6">
        <v>49</v>
      </c>
      <c r="AH2433" s="7">
        <v>0.9833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315</v>
      </c>
      <c r="BK2433" s="8">
        <v>12647.49</v>
      </c>
      <c r="BL2433" s="2" t="s">
        <v>7607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207</v>
      </c>
      <c r="BV2433" s="2" t="s">
        <v>97</v>
      </c>
      <c r="BW2433" s="2" t="s">
        <v>100</v>
      </c>
      <c r="BX2433" s="2" t="s">
        <v>100</v>
      </c>
      <c r="BY2433" s="2" t="s">
        <v>113</v>
      </c>
      <c r="BZ2433" s="2" t="s">
        <v>245</v>
      </c>
    </row>
    <row r="2434">
      <c r="A2434" s="2" t="s">
        <v>7608</v>
      </c>
      <c r="B2434" s="2" t="s">
        <v>5764</v>
      </c>
      <c r="C2434" s="2" t="s">
        <v>3413</v>
      </c>
      <c r="D2434" s="2" t="s">
        <v>803</v>
      </c>
      <c r="E2434" s="2" t="s">
        <v>1532</v>
      </c>
      <c r="F2434" s="2" t="s">
        <v>7590</v>
      </c>
      <c r="G2434" s="2" t="s">
        <v>7591</v>
      </c>
      <c r="H2434" s="2" t="s">
        <v>7592</v>
      </c>
      <c r="I2434" s="2" t="s">
        <v>7593</v>
      </c>
      <c r="J2434" s="2" t="s">
        <v>237</v>
      </c>
      <c r="K2434" s="2" t="s">
        <v>1148</v>
      </c>
      <c r="L2434" s="3">
        <v>28.98</v>
      </c>
      <c r="M2434" s="3">
        <v>30.43</v>
      </c>
      <c r="N2434" s="3">
        <v>64.99</v>
      </c>
      <c r="O2434" s="2" t="s">
        <v>97</v>
      </c>
      <c r="P2434" s="2" t="s">
        <v>225</v>
      </c>
      <c r="Q2434" s="2" t="s">
        <v>99</v>
      </c>
      <c r="R2434" s="2" t="s">
        <v>100</v>
      </c>
      <c r="S2434" s="2" t="s">
        <v>7609</v>
      </c>
      <c r="T2434" s="2" t="s">
        <v>200</v>
      </c>
      <c r="U2434" s="2" t="s">
        <v>514</v>
      </c>
      <c r="V2434" s="2" t="s">
        <v>350</v>
      </c>
      <c r="W2434" s="2" t="s">
        <v>183</v>
      </c>
      <c r="X2434" s="2" t="s">
        <v>219</v>
      </c>
      <c r="Y2434" s="2" t="s">
        <v>5379</v>
      </c>
      <c r="Z2434" s="4">
        <v>194</v>
      </c>
      <c r="AA2434" s="4">
        <f>=ROUNDDOWN(3.07936507936508,0)</f>
      </c>
      <c r="AB2434" s="5">
        <v>63</v>
      </c>
      <c r="AC2434" s="2" t="s">
        <v>320</v>
      </c>
      <c r="AD2434" s="4">
        <v>50</v>
      </c>
      <c r="AE2434" s="4">
        <v>1762</v>
      </c>
      <c r="AF2434" s="6">
        <v>65</v>
      </c>
      <c r="AG2434" s="6">
        <v>48</v>
      </c>
      <c r="AH2434" s="7">
        <v>0.7445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548</v>
      </c>
      <c r="BK2434" s="8">
        <v>16334.21</v>
      </c>
      <c r="BL2434" s="2" t="s">
        <v>7610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207</v>
      </c>
      <c r="BV2434" s="2" t="s">
        <v>97</v>
      </c>
      <c r="BW2434" s="2" t="s">
        <v>100</v>
      </c>
      <c r="BX2434" s="2" t="s">
        <v>100</v>
      </c>
      <c r="BY2434" s="2" t="s">
        <v>113</v>
      </c>
      <c r="BZ2434" s="2" t="s">
        <v>245</v>
      </c>
    </row>
    <row r="2435">
      <c r="A2435" s="2" t="s">
        <v>7611</v>
      </c>
      <c r="B2435" s="2" t="s">
        <v>5764</v>
      </c>
      <c r="C2435" s="2" t="s">
        <v>3413</v>
      </c>
      <c r="D2435" s="2" t="s">
        <v>803</v>
      </c>
      <c r="E2435" s="2" t="s">
        <v>1532</v>
      </c>
      <c r="F2435" s="2" t="s">
        <v>7590</v>
      </c>
      <c r="G2435" s="2" t="s">
        <v>7591</v>
      </c>
      <c r="H2435" s="2" t="s">
        <v>7592</v>
      </c>
      <c r="I2435" s="2" t="s">
        <v>7593</v>
      </c>
      <c r="J2435" s="2" t="s">
        <v>247</v>
      </c>
      <c r="K2435" s="2" t="s">
        <v>1148</v>
      </c>
      <c r="L2435" s="3">
        <v>33.44</v>
      </c>
      <c r="M2435" s="3">
        <v>35.11</v>
      </c>
      <c r="N2435" s="3">
        <v>74.99</v>
      </c>
      <c r="O2435" s="2" t="s">
        <v>97</v>
      </c>
      <c r="P2435" s="2" t="s">
        <v>225</v>
      </c>
      <c r="Q2435" s="2" t="s">
        <v>99</v>
      </c>
      <c r="R2435" s="2" t="s">
        <v>100</v>
      </c>
      <c r="S2435" s="2" t="s">
        <v>7609</v>
      </c>
      <c r="T2435" s="2" t="s">
        <v>200</v>
      </c>
      <c r="U2435" s="2" t="s">
        <v>480</v>
      </c>
      <c r="V2435" s="2" t="s">
        <v>350</v>
      </c>
      <c r="W2435" s="2" t="s">
        <v>183</v>
      </c>
      <c r="X2435" s="2" t="s">
        <v>219</v>
      </c>
      <c r="Y2435" s="2" t="s">
        <v>5379</v>
      </c>
      <c r="Z2435" s="4">
        <v>285</v>
      </c>
      <c r="AA2435" s="4">
        <f>=ROUNDDOWN(1.63793103448276,0)</f>
      </c>
      <c r="AB2435" s="5">
        <v>174</v>
      </c>
      <c r="AC2435" s="2" t="s">
        <v>320</v>
      </c>
      <c r="AD2435" s="4">
        <v>2464</v>
      </c>
      <c r="AE2435" s="4">
        <v>7824</v>
      </c>
      <c r="AF2435" s="6">
        <v>65</v>
      </c>
      <c r="AG2435" s="6">
        <v>48</v>
      </c>
      <c r="AH2435" s="7">
        <v>0.7445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1848</v>
      </c>
      <c r="BK2435" s="8">
        <v>64650.26</v>
      </c>
      <c r="BL2435" s="2" t="s">
        <v>446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207</v>
      </c>
      <c r="BV2435" s="2" t="s">
        <v>97</v>
      </c>
      <c r="BW2435" s="2" t="s">
        <v>100</v>
      </c>
      <c r="BX2435" s="2" t="s">
        <v>100</v>
      </c>
      <c r="BY2435" s="2" t="s">
        <v>113</v>
      </c>
      <c r="BZ2435" s="2" t="s">
        <v>245</v>
      </c>
    </row>
    <row r="2436">
      <c r="A2436" s="2" t="s">
        <v>7612</v>
      </c>
      <c r="B2436" s="2" t="s">
        <v>5764</v>
      </c>
      <c r="C2436" s="2" t="s">
        <v>3413</v>
      </c>
      <c r="D2436" s="2" t="s">
        <v>803</v>
      </c>
      <c r="E2436" s="2" t="s">
        <v>1532</v>
      </c>
      <c r="F2436" s="2" t="s">
        <v>7590</v>
      </c>
      <c r="G2436" s="2" t="s">
        <v>7591</v>
      </c>
      <c r="H2436" s="2" t="s">
        <v>7592</v>
      </c>
      <c r="I2436" s="2" t="s">
        <v>7593</v>
      </c>
      <c r="J2436" s="2" t="s">
        <v>270</v>
      </c>
      <c r="K2436" s="2" t="s">
        <v>1148</v>
      </c>
      <c r="L2436" s="3">
        <v>37.89</v>
      </c>
      <c r="M2436" s="3">
        <v>39.78</v>
      </c>
      <c r="N2436" s="3">
        <v>84.99</v>
      </c>
      <c r="O2436" s="2" t="s">
        <v>97</v>
      </c>
      <c r="P2436" s="2" t="s">
        <v>225</v>
      </c>
      <c r="Q2436" s="2" t="s">
        <v>99</v>
      </c>
      <c r="R2436" s="2" t="s">
        <v>100</v>
      </c>
      <c r="S2436" s="2" t="s">
        <v>7609</v>
      </c>
      <c r="T2436" s="2" t="s">
        <v>200</v>
      </c>
      <c r="U2436" s="2" t="s">
        <v>480</v>
      </c>
      <c r="V2436" s="2" t="s">
        <v>350</v>
      </c>
      <c r="W2436" s="2" t="s">
        <v>183</v>
      </c>
      <c r="X2436" s="2" t="s">
        <v>219</v>
      </c>
      <c r="Y2436" s="2" t="s">
        <v>2157</v>
      </c>
      <c r="Z2436" s="4">
        <v>180</v>
      </c>
      <c r="AA2436" s="4">
        <f>=ROUNDDOWN(1.44,0)</f>
      </c>
      <c r="AB2436" s="5">
        <v>125</v>
      </c>
      <c r="AC2436" s="2" t="s">
        <v>320</v>
      </c>
      <c r="AD2436" s="4">
        <v>1988</v>
      </c>
      <c r="AE2436" s="4">
        <v>5844</v>
      </c>
      <c r="AF2436" s="6">
        <v>65</v>
      </c>
      <c r="AG2436" s="6">
        <v>48</v>
      </c>
      <c r="AH2436" s="7">
        <v>0.9406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>
        <v>1572</v>
      </c>
      <c r="BK2436" s="8">
        <v>60183.01</v>
      </c>
      <c r="BL2436" s="2" t="s">
        <v>3488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207</v>
      </c>
      <c r="BV2436" s="2" t="s">
        <v>97</v>
      </c>
      <c r="BW2436" s="2" t="s">
        <v>100</v>
      </c>
      <c r="BX2436" s="2" t="s">
        <v>100</v>
      </c>
      <c r="BY2436" s="2" t="s">
        <v>113</v>
      </c>
      <c r="BZ2436" s="2" t="s">
        <v>245</v>
      </c>
    </row>
    <row r="2437">
      <c r="A2437" s="2" t="s">
        <v>7613</v>
      </c>
      <c r="B2437" s="2" t="s">
        <v>5764</v>
      </c>
      <c r="C2437" s="2" t="s">
        <v>3413</v>
      </c>
      <c r="D2437" s="2" t="s">
        <v>803</v>
      </c>
      <c r="E2437" s="2" t="s">
        <v>1532</v>
      </c>
      <c r="F2437" s="2" t="s">
        <v>7590</v>
      </c>
      <c r="G2437" s="2" t="s">
        <v>7591</v>
      </c>
      <c r="H2437" s="2" t="s">
        <v>7592</v>
      </c>
      <c r="I2437" s="2" t="s">
        <v>7593</v>
      </c>
      <c r="J2437" s="2" t="s">
        <v>237</v>
      </c>
      <c r="K2437" s="2" t="s">
        <v>278</v>
      </c>
      <c r="L2437" s="3">
        <v>28.98</v>
      </c>
      <c r="M2437" s="3">
        <v>30.43</v>
      </c>
      <c r="N2437" s="3">
        <v>64.99</v>
      </c>
      <c r="O2437" s="2" t="s">
        <v>97</v>
      </c>
      <c r="P2437" s="2" t="s">
        <v>225</v>
      </c>
      <c r="Q2437" s="2" t="s">
        <v>99</v>
      </c>
      <c r="R2437" s="2" t="s">
        <v>100</v>
      </c>
      <c r="S2437" s="2" t="s">
        <v>7614</v>
      </c>
      <c r="T2437" s="2" t="s">
        <v>200</v>
      </c>
      <c r="U2437" s="2" t="s">
        <v>514</v>
      </c>
      <c r="V2437" s="2" t="s">
        <v>350</v>
      </c>
      <c r="W2437" s="2" t="s">
        <v>183</v>
      </c>
      <c r="X2437" s="2" t="s">
        <v>219</v>
      </c>
      <c r="Y2437" s="2" t="s">
        <v>2157</v>
      </c>
      <c r="Z2437" s="4">
        <v>88</v>
      </c>
      <c r="AA2437" s="4">
        <f>=ROUNDDOWN(2.25641025641026,0)</f>
      </c>
      <c r="AB2437" s="5">
        <v>39</v>
      </c>
      <c r="AC2437" s="2" t="s">
        <v>356</v>
      </c>
      <c r="AD2437" s="4">
        <v>660</v>
      </c>
      <c r="AE2437" s="4">
        <v>1672</v>
      </c>
      <c r="AF2437" s="6">
        <v>65</v>
      </c>
      <c r="AG2437" s="6">
        <v>48</v>
      </c>
      <c r="AH2437" s="7">
        <v>0.9307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>
        <v>338</v>
      </c>
      <c r="BK2437" s="8">
        <v>9509.89</v>
      </c>
      <c r="BL2437" s="2" t="s">
        <v>3563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207</v>
      </c>
      <c r="BV2437" s="2" t="s">
        <v>97</v>
      </c>
      <c r="BW2437" s="2" t="s">
        <v>100</v>
      </c>
      <c r="BX2437" s="2" t="s">
        <v>100</v>
      </c>
      <c r="BY2437" s="2" t="s">
        <v>113</v>
      </c>
      <c r="BZ2437" s="2" t="s">
        <v>245</v>
      </c>
    </row>
    <row r="2438">
      <c r="A2438" s="2" t="s">
        <v>7615</v>
      </c>
      <c r="B2438" s="2" t="s">
        <v>5764</v>
      </c>
      <c r="C2438" s="2" t="s">
        <v>3413</v>
      </c>
      <c r="D2438" s="2" t="s">
        <v>803</v>
      </c>
      <c r="E2438" s="2" t="s">
        <v>1532</v>
      </c>
      <c r="F2438" s="2" t="s">
        <v>7590</v>
      </c>
      <c r="G2438" s="2" t="s">
        <v>7591</v>
      </c>
      <c r="H2438" s="2" t="s">
        <v>7592</v>
      </c>
      <c r="I2438" s="2" t="s">
        <v>7593</v>
      </c>
      <c r="J2438" s="2" t="s">
        <v>247</v>
      </c>
      <c r="K2438" s="2" t="s">
        <v>278</v>
      </c>
      <c r="L2438" s="3">
        <v>33.44</v>
      </c>
      <c r="M2438" s="3">
        <v>35.11</v>
      </c>
      <c r="N2438" s="3">
        <v>74.99</v>
      </c>
      <c r="O2438" s="2" t="s">
        <v>97</v>
      </c>
      <c r="P2438" s="2" t="s">
        <v>225</v>
      </c>
      <c r="Q2438" s="2" t="s">
        <v>99</v>
      </c>
      <c r="R2438" s="2" t="s">
        <v>100</v>
      </c>
      <c r="S2438" s="2" t="s">
        <v>7614</v>
      </c>
      <c r="T2438" s="2" t="s">
        <v>200</v>
      </c>
      <c r="U2438" s="2" t="s">
        <v>480</v>
      </c>
      <c r="V2438" s="2" t="s">
        <v>350</v>
      </c>
      <c r="W2438" s="2" t="s">
        <v>183</v>
      </c>
      <c r="X2438" s="2" t="s">
        <v>219</v>
      </c>
      <c r="Y2438" s="2" t="s">
        <v>2157</v>
      </c>
      <c r="Z2438" s="4">
        <v>235</v>
      </c>
      <c r="AA2438" s="4">
        <f>=ROUNDDOWN(2.39795918367347,0)</f>
      </c>
      <c r="AB2438" s="5">
        <v>98</v>
      </c>
      <c r="AC2438" s="2" t="s">
        <v>356</v>
      </c>
      <c r="AD2438" s="4">
        <v>1900</v>
      </c>
      <c r="AE2438" s="4">
        <v>3976</v>
      </c>
      <c r="AF2438" s="6">
        <v>65</v>
      </c>
      <c r="AG2438" s="6">
        <v>48</v>
      </c>
      <c r="AH2438" s="7">
        <v>0.8911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>
        <v>872</v>
      </c>
      <c r="BK2438" s="8">
        <v>30040.19</v>
      </c>
      <c r="BL2438" s="2" t="s">
        <v>7595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207</v>
      </c>
      <c r="BV2438" s="2" t="s">
        <v>97</v>
      </c>
      <c r="BW2438" s="2" t="s">
        <v>100</v>
      </c>
      <c r="BX2438" s="2" t="s">
        <v>100</v>
      </c>
      <c r="BY2438" s="2" t="s">
        <v>113</v>
      </c>
      <c r="BZ2438" s="2" t="s">
        <v>245</v>
      </c>
    </row>
    <row r="2439">
      <c r="A2439" s="2" t="s">
        <v>7616</v>
      </c>
      <c r="B2439" s="2" t="s">
        <v>5764</v>
      </c>
      <c r="C2439" s="2" t="s">
        <v>3413</v>
      </c>
      <c r="D2439" s="2" t="s">
        <v>803</v>
      </c>
      <c r="E2439" s="2" t="s">
        <v>1532</v>
      </c>
      <c r="F2439" s="2" t="s">
        <v>7590</v>
      </c>
      <c r="G2439" s="2" t="s">
        <v>7591</v>
      </c>
      <c r="H2439" s="2" t="s">
        <v>7592</v>
      </c>
      <c r="I2439" s="2" t="s">
        <v>7593</v>
      </c>
      <c r="J2439" s="2" t="s">
        <v>270</v>
      </c>
      <c r="K2439" s="2" t="s">
        <v>278</v>
      </c>
      <c r="L2439" s="3">
        <v>37.89</v>
      </c>
      <c r="M2439" s="3">
        <v>39.78</v>
      </c>
      <c r="N2439" s="3">
        <v>84.99</v>
      </c>
      <c r="O2439" s="2" t="s">
        <v>97</v>
      </c>
      <c r="P2439" s="2" t="s">
        <v>225</v>
      </c>
      <c r="Q2439" s="2" t="s">
        <v>99</v>
      </c>
      <c r="R2439" s="2" t="s">
        <v>100</v>
      </c>
      <c r="S2439" s="2" t="s">
        <v>7614</v>
      </c>
      <c r="T2439" s="2" t="s">
        <v>200</v>
      </c>
      <c r="U2439" s="2" t="s">
        <v>480</v>
      </c>
      <c r="V2439" s="2" t="s">
        <v>350</v>
      </c>
      <c r="W2439" s="2" t="s">
        <v>183</v>
      </c>
      <c r="X2439" s="2" t="s">
        <v>219</v>
      </c>
      <c r="Y2439" s="2" t="s">
        <v>2157</v>
      </c>
      <c r="Z2439" s="4">
        <v>175</v>
      </c>
      <c r="AA2439" s="4">
        <f>=ROUNDDOWN(2.46478873239437,0)</f>
      </c>
      <c r="AB2439" s="5">
        <v>71</v>
      </c>
      <c r="AC2439" s="2" t="s">
        <v>320</v>
      </c>
      <c r="AD2439" s="4">
        <v>756</v>
      </c>
      <c r="AE2439" s="4">
        <v>3074</v>
      </c>
      <c r="AF2439" s="6">
        <v>65</v>
      </c>
      <c r="AG2439" s="6">
        <v>48</v>
      </c>
      <c r="AH2439" s="7">
        <v>0.8614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>
        <v>686</v>
      </c>
      <c r="BK2439" s="8">
        <v>26000.08</v>
      </c>
      <c r="BL2439" s="2" t="s">
        <v>7595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207</v>
      </c>
      <c r="BV2439" s="2" t="s">
        <v>97</v>
      </c>
      <c r="BW2439" s="2" t="s">
        <v>100</v>
      </c>
      <c r="BX2439" s="2" t="s">
        <v>100</v>
      </c>
      <c r="BY2439" s="2" t="s">
        <v>113</v>
      </c>
      <c r="BZ2439" s="2" t="s">
        <v>245</v>
      </c>
    </row>
    <row r="2440">
      <c r="A2440" s="2" t="s">
        <v>7617</v>
      </c>
      <c r="B2440" s="2" t="s">
        <v>5764</v>
      </c>
      <c r="C2440" s="2" t="s">
        <v>3413</v>
      </c>
      <c r="D2440" s="2" t="s">
        <v>803</v>
      </c>
      <c r="E2440" s="2" t="s">
        <v>1532</v>
      </c>
      <c r="F2440" s="2" t="s">
        <v>7590</v>
      </c>
      <c r="G2440" s="2" t="s">
        <v>7591</v>
      </c>
      <c r="H2440" s="2" t="s">
        <v>7592</v>
      </c>
      <c r="I2440" s="2" t="s">
        <v>7593</v>
      </c>
      <c r="J2440" s="2" t="s">
        <v>237</v>
      </c>
      <c r="K2440" s="2" t="s">
        <v>7618</v>
      </c>
      <c r="L2440" s="3">
        <v>31.21</v>
      </c>
      <c r="M2440" s="3">
        <v>32.77</v>
      </c>
      <c r="N2440" s="3">
        <v>69.99</v>
      </c>
      <c r="O2440" s="2" t="s">
        <v>97</v>
      </c>
      <c r="P2440" s="2" t="s">
        <v>225</v>
      </c>
      <c r="Q2440" s="2" t="s">
        <v>99</v>
      </c>
      <c r="R2440" s="2" t="s">
        <v>100</v>
      </c>
      <c r="S2440" s="2" t="s">
        <v>100</v>
      </c>
      <c r="T2440" s="2" t="s">
        <v>200</v>
      </c>
      <c r="U2440" s="2" t="s">
        <v>514</v>
      </c>
      <c r="V2440" s="2" t="s">
        <v>350</v>
      </c>
      <c r="W2440" s="2" t="s">
        <v>183</v>
      </c>
      <c r="X2440" s="2" t="s">
        <v>219</v>
      </c>
      <c r="Y2440" s="2" t="s">
        <v>552</v>
      </c>
      <c r="Z2440" s="4">
        <v>9</v>
      </c>
      <c r="AA2440" s="4">
        <f>=ROUNDDOWN(0.209302325581395,0)</f>
      </c>
      <c r="AB2440" s="5">
        <v>43</v>
      </c>
      <c r="AC2440" s="2" t="s">
        <v>542</v>
      </c>
      <c r="AD2440" s="4">
        <v>144</v>
      </c>
      <c r="AE2440" s="4">
        <v>938</v>
      </c>
      <c r="AF2440" s="6">
        <v>66</v>
      </c>
      <c r="AG2440" s="6">
        <v>49</v>
      </c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>
        <v>248</v>
      </c>
      <c r="BK2440" s="8">
        <v>7564.71</v>
      </c>
      <c r="BL2440" s="2" t="s">
        <v>7619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207</v>
      </c>
      <c r="BV2440" s="2" t="s">
        <v>97</v>
      </c>
      <c r="BW2440" s="2" t="s">
        <v>100</v>
      </c>
      <c r="BX2440" s="2" t="s">
        <v>100</v>
      </c>
      <c r="BY2440" s="2" t="s">
        <v>113</v>
      </c>
      <c r="BZ2440" s="2" t="s">
        <v>245</v>
      </c>
    </row>
    <row r="2441">
      <c r="A2441" s="2" t="s">
        <v>7620</v>
      </c>
      <c r="B2441" s="2" t="s">
        <v>5764</v>
      </c>
      <c r="C2441" s="2" t="s">
        <v>3413</v>
      </c>
      <c r="D2441" s="2" t="s">
        <v>803</v>
      </c>
      <c r="E2441" s="2" t="s">
        <v>1532</v>
      </c>
      <c r="F2441" s="2" t="s">
        <v>7590</v>
      </c>
      <c r="G2441" s="2" t="s">
        <v>7591</v>
      </c>
      <c r="H2441" s="2" t="s">
        <v>7592</v>
      </c>
      <c r="I2441" s="2" t="s">
        <v>7593</v>
      </c>
      <c r="J2441" s="2" t="s">
        <v>247</v>
      </c>
      <c r="K2441" s="2" t="s">
        <v>7618</v>
      </c>
      <c r="L2441" s="3">
        <v>35.67</v>
      </c>
      <c r="M2441" s="3">
        <v>37.45</v>
      </c>
      <c r="N2441" s="3">
        <v>79.99</v>
      </c>
      <c r="O2441" s="2" t="s">
        <v>97</v>
      </c>
      <c r="P2441" s="2" t="s">
        <v>225</v>
      </c>
      <c r="Q2441" s="2" t="s">
        <v>99</v>
      </c>
      <c r="R2441" s="2" t="s">
        <v>100</v>
      </c>
      <c r="S2441" s="2" t="s">
        <v>100</v>
      </c>
      <c r="T2441" s="2" t="s">
        <v>200</v>
      </c>
      <c r="U2441" s="2" t="s">
        <v>480</v>
      </c>
      <c r="V2441" s="2" t="s">
        <v>350</v>
      </c>
      <c r="W2441" s="2" t="s">
        <v>183</v>
      </c>
      <c r="X2441" s="2" t="s">
        <v>219</v>
      </c>
      <c r="Y2441" s="2" t="s">
        <v>552</v>
      </c>
      <c r="Z2441" s="4">
        <v>8</v>
      </c>
      <c r="AA2441" s="4">
        <f>=ROUNDDOWN(0.0833333333333333,0)</f>
      </c>
      <c r="AB2441" s="5">
        <v>96</v>
      </c>
      <c r="AC2441" s="2" t="s">
        <v>1102</v>
      </c>
      <c r="AD2441" s="4">
        <v>2520</v>
      </c>
      <c r="AE2441" s="4">
        <v>4234</v>
      </c>
      <c r="AF2441" s="6">
        <v>66</v>
      </c>
      <c r="AG2441" s="6">
        <v>49</v>
      </c>
      <c r="AH2441" s="7">
        <v>0.8667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>
        <v>744</v>
      </c>
      <c r="BK2441" s="8">
        <v>26580.35</v>
      </c>
      <c r="BL2441" s="2" t="s">
        <v>7621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207</v>
      </c>
      <c r="BV2441" s="2" t="s">
        <v>97</v>
      </c>
      <c r="BW2441" s="2" t="s">
        <v>100</v>
      </c>
      <c r="BX2441" s="2" t="s">
        <v>100</v>
      </c>
      <c r="BY2441" s="2" t="s">
        <v>113</v>
      </c>
      <c r="BZ2441" s="2" t="s">
        <v>245</v>
      </c>
    </row>
    <row r="2442">
      <c r="A2442" s="2" t="s">
        <v>7622</v>
      </c>
      <c r="B2442" s="2" t="s">
        <v>5764</v>
      </c>
      <c r="C2442" s="2" t="s">
        <v>3413</v>
      </c>
      <c r="D2442" s="2" t="s">
        <v>803</v>
      </c>
      <c r="E2442" s="2" t="s">
        <v>1532</v>
      </c>
      <c r="F2442" s="2" t="s">
        <v>7590</v>
      </c>
      <c r="G2442" s="2" t="s">
        <v>7591</v>
      </c>
      <c r="H2442" s="2" t="s">
        <v>7592</v>
      </c>
      <c r="I2442" s="2" t="s">
        <v>7593</v>
      </c>
      <c r="J2442" s="2" t="s">
        <v>270</v>
      </c>
      <c r="K2442" s="2" t="s">
        <v>7618</v>
      </c>
      <c r="L2442" s="3">
        <v>40.12</v>
      </c>
      <c r="M2442" s="3">
        <v>42.13</v>
      </c>
      <c r="N2442" s="3">
        <v>89.99</v>
      </c>
      <c r="O2442" s="2" t="s">
        <v>97</v>
      </c>
      <c r="P2442" s="2" t="s">
        <v>225</v>
      </c>
      <c r="Q2442" s="2" t="s">
        <v>99</v>
      </c>
      <c r="R2442" s="2" t="s">
        <v>100</v>
      </c>
      <c r="S2442" s="2" t="s">
        <v>100</v>
      </c>
      <c r="T2442" s="2" t="s">
        <v>200</v>
      </c>
      <c r="U2442" s="2" t="s">
        <v>480</v>
      </c>
      <c r="V2442" s="2" t="s">
        <v>350</v>
      </c>
      <c r="W2442" s="2" t="s">
        <v>183</v>
      </c>
      <c r="X2442" s="2" t="s">
        <v>219</v>
      </c>
      <c r="Y2442" s="2" t="s">
        <v>552</v>
      </c>
      <c r="Z2442" s="4"/>
      <c r="AA2442" s="4">
        <f>=ROUNDDOWN({0},0)</f>
      </c>
      <c r="AB2442" s="5">
        <v>72</v>
      </c>
      <c r="AC2442" s="2" t="s">
        <v>1102</v>
      </c>
      <c r="AD2442" s="4">
        <v>1764</v>
      </c>
      <c r="AE2442" s="4">
        <v>3038</v>
      </c>
      <c r="AF2442" s="6">
        <v>66</v>
      </c>
      <c r="AG2442" s="6">
        <v>49</v>
      </c>
      <c r="AH2442" s="7">
        <v>0.85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>
        <v>476</v>
      </c>
      <c r="BK2442" s="8">
        <v>18922.16</v>
      </c>
      <c r="BL2442" s="2" t="s">
        <v>4879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207</v>
      </c>
      <c r="BV2442" s="2" t="s">
        <v>97</v>
      </c>
      <c r="BW2442" s="2" t="s">
        <v>100</v>
      </c>
      <c r="BX2442" s="2" t="s">
        <v>100</v>
      </c>
      <c r="BY2442" s="2" t="s">
        <v>113</v>
      </c>
      <c r="BZ2442" s="2" t="s">
        <v>245</v>
      </c>
    </row>
    <row r="2443">
      <c r="A2443" s="2" t="s">
        <v>7623</v>
      </c>
      <c r="B2443" s="2" t="s">
        <v>5764</v>
      </c>
      <c r="C2443" s="2" t="s">
        <v>3413</v>
      </c>
      <c r="D2443" s="2" t="s">
        <v>803</v>
      </c>
      <c r="E2443" s="2" t="s">
        <v>1532</v>
      </c>
      <c r="F2443" s="2" t="s">
        <v>7590</v>
      </c>
      <c r="G2443" s="2" t="s">
        <v>7591</v>
      </c>
      <c r="H2443" s="2" t="s">
        <v>7592</v>
      </c>
      <c r="I2443" s="2" t="s">
        <v>7593</v>
      </c>
      <c r="J2443" s="2" t="s">
        <v>237</v>
      </c>
      <c r="K2443" s="2" t="s">
        <v>1614</v>
      </c>
      <c r="L2443" s="3">
        <v>28.98</v>
      </c>
      <c r="M2443" s="3">
        <v>30.43</v>
      </c>
      <c r="N2443" s="3">
        <v>64.99</v>
      </c>
      <c r="O2443" s="2" t="s">
        <v>97</v>
      </c>
      <c r="P2443" s="2" t="s">
        <v>225</v>
      </c>
      <c r="Q2443" s="2" t="s">
        <v>99</v>
      </c>
      <c r="R2443" s="2" t="s">
        <v>100</v>
      </c>
      <c r="S2443" s="2" t="s">
        <v>7624</v>
      </c>
      <c r="T2443" s="2" t="s">
        <v>200</v>
      </c>
      <c r="U2443" s="2" t="s">
        <v>514</v>
      </c>
      <c r="V2443" s="2" t="s">
        <v>350</v>
      </c>
      <c r="W2443" s="2" t="s">
        <v>183</v>
      </c>
      <c r="X2443" s="2" t="s">
        <v>219</v>
      </c>
      <c r="Y2443" s="2" t="s">
        <v>5379</v>
      </c>
      <c r="Z2443" s="4">
        <v>462</v>
      </c>
      <c r="AA2443" s="4">
        <f>=ROUNDDOWN(8.25,0)</f>
      </c>
      <c r="AB2443" s="5">
        <v>56</v>
      </c>
      <c r="AC2443" s="2" t="s">
        <v>241</v>
      </c>
      <c r="AD2443" s="4">
        <v>612</v>
      </c>
      <c r="AE2443" s="4">
        <v>2250</v>
      </c>
      <c r="AF2443" s="6">
        <v>65</v>
      </c>
      <c r="AG2443" s="6">
        <v>48</v>
      </c>
      <c r="AH2443" s="7">
        <v>0.7372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429</v>
      </c>
      <c r="BK2443" s="8">
        <v>12630.94</v>
      </c>
      <c r="BL2443" s="2" t="s">
        <v>3453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207</v>
      </c>
      <c r="BV2443" s="2" t="s">
        <v>97</v>
      </c>
      <c r="BW2443" s="2" t="s">
        <v>100</v>
      </c>
      <c r="BX2443" s="2" t="s">
        <v>100</v>
      </c>
      <c r="BY2443" s="2" t="s">
        <v>113</v>
      </c>
      <c r="BZ2443" s="2" t="s">
        <v>245</v>
      </c>
    </row>
    <row r="2444">
      <c r="A2444" s="2" t="s">
        <v>7625</v>
      </c>
      <c r="B2444" s="2" t="s">
        <v>5764</v>
      </c>
      <c r="C2444" s="2" t="s">
        <v>3413</v>
      </c>
      <c r="D2444" s="2" t="s">
        <v>803</v>
      </c>
      <c r="E2444" s="2" t="s">
        <v>1532</v>
      </c>
      <c r="F2444" s="2" t="s">
        <v>7590</v>
      </c>
      <c r="G2444" s="2" t="s">
        <v>7591</v>
      </c>
      <c r="H2444" s="2" t="s">
        <v>7592</v>
      </c>
      <c r="I2444" s="2" t="s">
        <v>7593</v>
      </c>
      <c r="J2444" s="2" t="s">
        <v>247</v>
      </c>
      <c r="K2444" s="2" t="s">
        <v>1614</v>
      </c>
      <c r="L2444" s="3">
        <v>33.44</v>
      </c>
      <c r="M2444" s="3">
        <v>35.11</v>
      </c>
      <c r="N2444" s="3">
        <v>74.99</v>
      </c>
      <c r="O2444" s="2" t="s">
        <v>97</v>
      </c>
      <c r="P2444" s="2" t="s">
        <v>225</v>
      </c>
      <c r="Q2444" s="2" t="s">
        <v>99</v>
      </c>
      <c r="R2444" s="2" t="s">
        <v>100</v>
      </c>
      <c r="S2444" s="2" t="s">
        <v>7624</v>
      </c>
      <c r="T2444" s="2" t="s">
        <v>200</v>
      </c>
      <c r="U2444" s="2" t="s">
        <v>480</v>
      </c>
      <c r="V2444" s="2" t="s">
        <v>350</v>
      </c>
      <c r="W2444" s="2" t="s">
        <v>183</v>
      </c>
      <c r="X2444" s="2" t="s">
        <v>219</v>
      </c>
      <c r="Y2444" s="2" t="s">
        <v>5379</v>
      </c>
      <c r="Z2444" s="4">
        <v>793</v>
      </c>
      <c r="AA2444" s="4">
        <f>=ROUNDDOWN(4.7202380952381,0)</f>
      </c>
      <c r="AB2444" s="5">
        <v>168</v>
      </c>
      <c r="AC2444" s="2" t="s">
        <v>320</v>
      </c>
      <c r="AD2444" s="4">
        <v>2912</v>
      </c>
      <c r="AE2444" s="4">
        <v>7960</v>
      </c>
      <c r="AF2444" s="6">
        <v>65</v>
      </c>
      <c r="AG2444" s="6">
        <v>48</v>
      </c>
      <c r="AH2444" s="7">
        <v>0.7372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1774</v>
      </c>
      <c r="BK2444" s="8">
        <v>61675.5</v>
      </c>
      <c r="BL2444" s="2" t="s">
        <v>446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207</v>
      </c>
      <c r="BV2444" s="2" t="s">
        <v>97</v>
      </c>
      <c r="BW2444" s="2" t="s">
        <v>100</v>
      </c>
      <c r="BX2444" s="2" t="s">
        <v>100</v>
      </c>
      <c r="BY2444" s="2" t="s">
        <v>113</v>
      </c>
      <c r="BZ2444" s="2" t="s">
        <v>245</v>
      </c>
    </row>
    <row r="2445">
      <c r="A2445" s="2" t="s">
        <v>7626</v>
      </c>
      <c r="B2445" s="2" t="s">
        <v>5764</v>
      </c>
      <c r="C2445" s="2" t="s">
        <v>3413</v>
      </c>
      <c r="D2445" s="2" t="s">
        <v>803</v>
      </c>
      <c r="E2445" s="2" t="s">
        <v>1532</v>
      </c>
      <c r="F2445" s="2" t="s">
        <v>7590</v>
      </c>
      <c r="G2445" s="2" t="s">
        <v>7591</v>
      </c>
      <c r="H2445" s="2" t="s">
        <v>7592</v>
      </c>
      <c r="I2445" s="2" t="s">
        <v>7593</v>
      </c>
      <c r="J2445" s="2" t="s">
        <v>270</v>
      </c>
      <c r="K2445" s="2" t="s">
        <v>1614</v>
      </c>
      <c r="L2445" s="3">
        <v>37.89</v>
      </c>
      <c r="M2445" s="3">
        <v>39.78</v>
      </c>
      <c r="N2445" s="3">
        <v>84.99</v>
      </c>
      <c r="O2445" s="2" t="s">
        <v>97</v>
      </c>
      <c r="P2445" s="2" t="s">
        <v>225</v>
      </c>
      <c r="Q2445" s="2" t="s">
        <v>99</v>
      </c>
      <c r="R2445" s="2" t="s">
        <v>100</v>
      </c>
      <c r="S2445" s="2" t="s">
        <v>7624</v>
      </c>
      <c r="T2445" s="2" t="s">
        <v>200</v>
      </c>
      <c r="U2445" s="2" t="s">
        <v>480</v>
      </c>
      <c r="V2445" s="2" t="s">
        <v>350</v>
      </c>
      <c r="W2445" s="2" t="s">
        <v>183</v>
      </c>
      <c r="X2445" s="2" t="s">
        <v>219</v>
      </c>
      <c r="Y2445" s="2" t="s">
        <v>2157</v>
      </c>
      <c r="Z2445" s="4">
        <v>467</v>
      </c>
      <c r="AA2445" s="4">
        <f>=ROUNDDOWN(3.56488549618321,0)</f>
      </c>
      <c r="AB2445" s="5">
        <v>131</v>
      </c>
      <c r="AC2445" s="2" t="s">
        <v>320</v>
      </c>
      <c r="AD2445" s="4">
        <v>2268</v>
      </c>
      <c r="AE2445" s="4">
        <v>6154</v>
      </c>
      <c r="AF2445" s="6">
        <v>65</v>
      </c>
      <c r="AG2445" s="6">
        <v>48</v>
      </c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/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/>
      <c r="BJ2445" s="4">
        <v>1380</v>
      </c>
      <c r="BK2445" s="8">
        <v>54437.74</v>
      </c>
      <c r="BL2445" s="2" t="s">
        <v>3444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207</v>
      </c>
      <c r="BV2445" s="2" t="s">
        <v>97</v>
      </c>
      <c r="BW2445" s="2" t="s">
        <v>100</v>
      </c>
      <c r="BX2445" s="2" t="s">
        <v>100</v>
      </c>
      <c r="BY2445" s="2" t="s">
        <v>113</v>
      </c>
      <c r="BZ2445" s="2" t="s">
        <v>245</v>
      </c>
    </row>
    <row r="2446">
      <c r="A2446" s="2" t="s">
        <v>7627</v>
      </c>
      <c r="B2446" s="2" t="s">
        <v>5764</v>
      </c>
      <c r="C2446" s="2" t="s">
        <v>3413</v>
      </c>
      <c r="D2446" s="2" t="s">
        <v>803</v>
      </c>
      <c r="E2446" s="2" t="s">
        <v>1532</v>
      </c>
      <c r="F2446" s="2" t="s">
        <v>7590</v>
      </c>
      <c r="G2446" s="2" t="s">
        <v>7591</v>
      </c>
      <c r="H2446" s="2" t="s">
        <v>7592</v>
      </c>
      <c r="I2446" s="2" t="s">
        <v>7593</v>
      </c>
      <c r="J2446" s="2" t="s">
        <v>237</v>
      </c>
      <c r="K2446" s="2" t="s">
        <v>3560</v>
      </c>
      <c r="L2446" s="3">
        <v>28.98</v>
      </c>
      <c r="M2446" s="3">
        <v>30.43</v>
      </c>
      <c r="N2446" s="3">
        <v>64.99</v>
      </c>
      <c r="O2446" s="2" t="s">
        <v>97</v>
      </c>
      <c r="P2446" s="2" t="s">
        <v>225</v>
      </c>
      <c r="Q2446" s="2" t="s">
        <v>99</v>
      </c>
      <c r="R2446" s="2" t="s">
        <v>100</v>
      </c>
      <c r="S2446" s="2" t="s">
        <v>7628</v>
      </c>
      <c r="T2446" s="2" t="s">
        <v>200</v>
      </c>
      <c r="U2446" s="2" t="s">
        <v>514</v>
      </c>
      <c r="V2446" s="2" t="s">
        <v>350</v>
      </c>
      <c r="W2446" s="2" t="s">
        <v>183</v>
      </c>
      <c r="X2446" s="2" t="s">
        <v>219</v>
      </c>
      <c r="Y2446" s="2" t="s">
        <v>5379</v>
      </c>
      <c r="Z2446" s="4">
        <v>289</v>
      </c>
      <c r="AA2446" s="4">
        <f>=ROUNDDOWN(5.89795918367347,0)</f>
      </c>
      <c r="AB2446" s="5">
        <v>49</v>
      </c>
      <c r="AC2446" s="2" t="s">
        <v>356</v>
      </c>
      <c r="AD2446" s="4">
        <v>1344</v>
      </c>
      <c r="AE2446" s="4">
        <v>1974</v>
      </c>
      <c r="AF2446" s="6">
        <v>65</v>
      </c>
      <c r="AG2446" s="6">
        <v>48</v>
      </c>
      <c r="AH2446" s="7">
        <v>0.7445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>
        <v>517</v>
      </c>
      <c r="BK2446" s="8">
        <v>15083.21</v>
      </c>
      <c r="BL2446" s="2" t="s">
        <v>7629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207</v>
      </c>
      <c r="BV2446" s="2" t="s">
        <v>97</v>
      </c>
      <c r="BW2446" s="2" t="s">
        <v>100</v>
      </c>
      <c r="BX2446" s="2" t="s">
        <v>100</v>
      </c>
      <c r="BY2446" s="2" t="s">
        <v>113</v>
      </c>
      <c r="BZ2446" s="2" t="s">
        <v>245</v>
      </c>
    </row>
    <row r="2447">
      <c r="A2447" s="2" t="s">
        <v>7630</v>
      </c>
      <c r="B2447" s="2" t="s">
        <v>5764</v>
      </c>
      <c r="C2447" s="2" t="s">
        <v>3413</v>
      </c>
      <c r="D2447" s="2" t="s">
        <v>803</v>
      </c>
      <c r="E2447" s="2" t="s">
        <v>1532</v>
      </c>
      <c r="F2447" s="2" t="s">
        <v>7590</v>
      </c>
      <c r="G2447" s="2" t="s">
        <v>7591</v>
      </c>
      <c r="H2447" s="2" t="s">
        <v>7592</v>
      </c>
      <c r="I2447" s="2" t="s">
        <v>7593</v>
      </c>
      <c r="J2447" s="2" t="s">
        <v>247</v>
      </c>
      <c r="K2447" s="2" t="s">
        <v>3560</v>
      </c>
      <c r="L2447" s="3">
        <v>33.44</v>
      </c>
      <c r="M2447" s="3">
        <v>35.11</v>
      </c>
      <c r="N2447" s="3">
        <v>74.99</v>
      </c>
      <c r="O2447" s="2" t="s">
        <v>97</v>
      </c>
      <c r="P2447" s="2" t="s">
        <v>225</v>
      </c>
      <c r="Q2447" s="2" t="s">
        <v>99</v>
      </c>
      <c r="R2447" s="2" t="s">
        <v>100</v>
      </c>
      <c r="S2447" s="2" t="s">
        <v>7628</v>
      </c>
      <c r="T2447" s="2" t="s">
        <v>200</v>
      </c>
      <c r="U2447" s="2" t="s">
        <v>480</v>
      </c>
      <c r="V2447" s="2" t="s">
        <v>350</v>
      </c>
      <c r="W2447" s="2" t="s">
        <v>183</v>
      </c>
      <c r="X2447" s="2" t="s">
        <v>219</v>
      </c>
      <c r="Y2447" s="2" t="s">
        <v>2136</v>
      </c>
      <c r="Z2447" s="4">
        <v>721</v>
      </c>
      <c r="AA2447" s="4">
        <f>=ROUNDDOWN(6.93269230769231,0)</f>
      </c>
      <c r="AB2447" s="5">
        <v>104</v>
      </c>
      <c r="AC2447" s="2" t="s">
        <v>320</v>
      </c>
      <c r="AD2447" s="4">
        <v>1988</v>
      </c>
      <c r="AE2447" s="4">
        <v>5328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100</v>
      </c>
      <c r="AW2447" s="8" t="s">
        <v>100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/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/>
      <c r="BJ2447" s="4">
        <v>1579</v>
      </c>
      <c r="BK2447" s="8">
        <v>55933.11</v>
      </c>
      <c r="BL2447" s="2" t="s">
        <v>3814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207</v>
      </c>
      <c r="BV2447" s="2" t="s">
        <v>97</v>
      </c>
      <c r="BW2447" s="2" t="s">
        <v>100</v>
      </c>
      <c r="BX2447" s="2" t="s">
        <v>100</v>
      </c>
      <c r="BY2447" s="2" t="s">
        <v>113</v>
      </c>
      <c r="BZ2447" s="2" t="s">
        <v>245</v>
      </c>
    </row>
    <row r="2448">
      <c r="A2448" s="2" t="s">
        <v>7631</v>
      </c>
      <c r="B2448" s="2" t="s">
        <v>5764</v>
      </c>
      <c r="C2448" s="2" t="s">
        <v>3413</v>
      </c>
      <c r="D2448" s="2" t="s">
        <v>803</v>
      </c>
      <c r="E2448" s="2" t="s">
        <v>1532</v>
      </c>
      <c r="F2448" s="2" t="s">
        <v>7590</v>
      </c>
      <c r="G2448" s="2" t="s">
        <v>7591</v>
      </c>
      <c r="H2448" s="2" t="s">
        <v>7592</v>
      </c>
      <c r="I2448" s="2" t="s">
        <v>7593</v>
      </c>
      <c r="J2448" s="2" t="s">
        <v>270</v>
      </c>
      <c r="K2448" s="2" t="s">
        <v>3560</v>
      </c>
      <c r="L2448" s="3">
        <v>37.89</v>
      </c>
      <c r="M2448" s="3">
        <v>39.78</v>
      </c>
      <c r="N2448" s="3">
        <v>84.99</v>
      </c>
      <c r="O2448" s="2" t="s">
        <v>97</v>
      </c>
      <c r="P2448" s="2" t="s">
        <v>225</v>
      </c>
      <c r="Q2448" s="2" t="s">
        <v>99</v>
      </c>
      <c r="R2448" s="2" t="s">
        <v>100</v>
      </c>
      <c r="S2448" s="2" t="s">
        <v>7628</v>
      </c>
      <c r="T2448" s="2" t="s">
        <v>200</v>
      </c>
      <c r="U2448" s="2" t="s">
        <v>480</v>
      </c>
      <c r="V2448" s="2" t="s">
        <v>350</v>
      </c>
      <c r="W2448" s="2" t="s">
        <v>183</v>
      </c>
      <c r="X2448" s="2" t="s">
        <v>219</v>
      </c>
      <c r="Y2448" s="2" t="s">
        <v>2157</v>
      </c>
      <c r="Z2448" s="4">
        <v>1222</v>
      </c>
      <c r="AA2448" s="4">
        <f>=ROUNDDOWN(19.09375,0)</f>
      </c>
      <c r="AB2448" s="5">
        <v>64</v>
      </c>
      <c r="AC2448" s="2" t="s">
        <v>320</v>
      </c>
      <c r="AD2448" s="4">
        <v>1428</v>
      </c>
      <c r="AE2448" s="4">
        <v>3168</v>
      </c>
      <c r="AF2448" s="6">
        <v>65</v>
      </c>
      <c r="AG2448" s="6">
        <v>48</v>
      </c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100</v>
      </c>
      <c r="AW2448" s="8" t="s">
        <v>100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/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/>
      <c r="BJ2448" s="4">
        <v>538</v>
      </c>
      <c r="BK2448" s="8">
        <v>20583.03</v>
      </c>
      <c r="BL2448" s="2" t="s">
        <v>3421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207</v>
      </c>
      <c r="BV2448" s="2" t="s">
        <v>97</v>
      </c>
      <c r="BW2448" s="2" t="s">
        <v>100</v>
      </c>
      <c r="BX2448" s="2" t="s">
        <v>100</v>
      </c>
      <c r="BY2448" s="2" t="s">
        <v>113</v>
      </c>
      <c r="BZ2448" s="2" t="s">
        <v>245</v>
      </c>
    </row>
    <row r="2449">
      <c r="A2449" s="2" t="s">
        <v>7632</v>
      </c>
      <c r="B2449" s="2" t="s">
        <v>5764</v>
      </c>
      <c r="C2449" s="2" t="s">
        <v>3413</v>
      </c>
      <c r="D2449" s="2" t="s">
        <v>803</v>
      </c>
      <c r="E2449" s="2" t="s">
        <v>1532</v>
      </c>
      <c r="F2449" s="2" t="s">
        <v>7633</v>
      </c>
      <c r="G2449" s="2" t="s">
        <v>7634</v>
      </c>
      <c r="H2449" s="2" t="s">
        <v>7635</v>
      </c>
      <c r="I2449" s="2" t="s">
        <v>7636</v>
      </c>
      <c r="J2449" s="2" t="s">
        <v>237</v>
      </c>
      <c r="K2449" s="2" t="s">
        <v>118</v>
      </c>
      <c r="L2449" s="3">
        <v>24.52</v>
      </c>
      <c r="M2449" s="3">
        <v>25.75</v>
      </c>
      <c r="N2449" s="3">
        <v>49.99</v>
      </c>
      <c r="O2449" s="2" t="s">
        <v>97</v>
      </c>
      <c r="P2449" s="2" t="s">
        <v>225</v>
      </c>
      <c r="Q2449" s="2" t="s">
        <v>99</v>
      </c>
      <c r="R2449" s="2" t="s">
        <v>100</v>
      </c>
      <c r="S2449" s="2" t="s">
        <v>7637</v>
      </c>
      <c r="T2449" s="2" t="s">
        <v>200</v>
      </c>
      <c r="U2449" s="2" t="s">
        <v>514</v>
      </c>
      <c r="V2449" s="2" t="s">
        <v>403</v>
      </c>
      <c r="W2449" s="2" t="s">
        <v>561</v>
      </c>
      <c r="X2449" s="2" t="s">
        <v>183</v>
      </c>
      <c r="Y2449" s="2" t="s">
        <v>481</v>
      </c>
      <c r="Z2449" s="4">
        <v>364</v>
      </c>
      <c r="AA2449" s="4">
        <f>=ROUNDDOWN(11.375,0)</f>
      </c>
      <c r="AB2449" s="5">
        <v>32</v>
      </c>
      <c r="AC2449" s="2" t="s">
        <v>542</v>
      </c>
      <c r="AD2449" s="4">
        <v>138</v>
      </c>
      <c r="AE2449" s="4">
        <v>681</v>
      </c>
      <c r="AF2449" s="6">
        <v>65</v>
      </c>
      <c r="AG2449" s="6">
        <v>48</v>
      </c>
      <c r="AH2449" s="7">
        <v>0.7736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>
        <v>169</v>
      </c>
      <c r="BK2449" s="8">
        <v>4190.02</v>
      </c>
      <c r="BL2449" s="2" t="s">
        <v>7070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2480</v>
      </c>
      <c r="BV2449" s="2" t="s">
        <v>97</v>
      </c>
      <c r="BW2449" s="2" t="s">
        <v>100</v>
      </c>
      <c r="BX2449" s="2" t="s">
        <v>100</v>
      </c>
      <c r="BY2449" s="2" t="s">
        <v>113</v>
      </c>
      <c r="BZ2449" s="2" t="s">
        <v>245</v>
      </c>
    </row>
    <row r="2450">
      <c r="A2450" s="2" t="s">
        <v>7638</v>
      </c>
      <c r="B2450" s="2" t="s">
        <v>5764</v>
      </c>
      <c r="C2450" s="2" t="s">
        <v>3413</v>
      </c>
      <c r="D2450" s="2" t="s">
        <v>803</v>
      </c>
      <c r="E2450" s="2" t="s">
        <v>1532</v>
      </c>
      <c r="F2450" s="2" t="s">
        <v>7633</v>
      </c>
      <c r="G2450" s="2" t="s">
        <v>7634</v>
      </c>
      <c r="H2450" s="2" t="s">
        <v>7635</v>
      </c>
      <c r="I2450" s="2" t="s">
        <v>7636</v>
      </c>
      <c r="J2450" s="2" t="s">
        <v>247</v>
      </c>
      <c r="K2450" s="2" t="s">
        <v>118</v>
      </c>
      <c r="L2450" s="3">
        <v>28.98</v>
      </c>
      <c r="M2450" s="3">
        <v>30.43</v>
      </c>
      <c r="N2450" s="3">
        <v>59.99</v>
      </c>
      <c r="O2450" s="2" t="s">
        <v>97</v>
      </c>
      <c r="P2450" s="2" t="s">
        <v>225</v>
      </c>
      <c r="Q2450" s="2" t="s">
        <v>99</v>
      </c>
      <c r="R2450" s="2" t="s">
        <v>100</v>
      </c>
      <c r="S2450" s="2" t="s">
        <v>7637</v>
      </c>
      <c r="T2450" s="2" t="s">
        <v>200</v>
      </c>
      <c r="U2450" s="2" t="s">
        <v>480</v>
      </c>
      <c r="V2450" s="2" t="s">
        <v>403</v>
      </c>
      <c r="W2450" s="2" t="s">
        <v>561</v>
      </c>
      <c r="X2450" s="2" t="s">
        <v>183</v>
      </c>
      <c r="Y2450" s="2" t="s">
        <v>5007</v>
      </c>
      <c r="Z2450" s="4">
        <v>985</v>
      </c>
      <c r="AA2450" s="4">
        <f>=ROUNDDOWN(11.453488372093,0)</f>
      </c>
      <c r="AB2450" s="5">
        <v>86</v>
      </c>
      <c r="AC2450" s="2" t="s">
        <v>542</v>
      </c>
      <c r="AD2450" s="4">
        <v>402</v>
      </c>
      <c r="AE2450" s="4">
        <v>1662</v>
      </c>
      <c r="AF2450" s="6">
        <v>65</v>
      </c>
      <c r="AG2450" s="6">
        <v>48</v>
      </c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711</v>
      </c>
      <c r="BK2450" s="8">
        <v>21910.68</v>
      </c>
      <c r="BL2450" s="2" t="s">
        <v>3629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2480</v>
      </c>
      <c r="BV2450" s="2" t="s">
        <v>97</v>
      </c>
      <c r="BW2450" s="2" t="s">
        <v>100</v>
      </c>
      <c r="BX2450" s="2" t="s">
        <v>100</v>
      </c>
      <c r="BY2450" s="2" t="s">
        <v>113</v>
      </c>
      <c r="BZ2450" s="2" t="s">
        <v>245</v>
      </c>
    </row>
    <row r="2451">
      <c r="A2451" s="2" t="s">
        <v>7639</v>
      </c>
      <c r="B2451" s="2" t="s">
        <v>5764</v>
      </c>
      <c r="C2451" s="2" t="s">
        <v>3413</v>
      </c>
      <c r="D2451" s="2" t="s">
        <v>803</v>
      </c>
      <c r="E2451" s="2" t="s">
        <v>1532</v>
      </c>
      <c r="F2451" s="2" t="s">
        <v>7633</v>
      </c>
      <c r="G2451" s="2" t="s">
        <v>7634</v>
      </c>
      <c r="H2451" s="2" t="s">
        <v>7635</v>
      </c>
      <c r="I2451" s="2" t="s">
        <v>7636</v>
      </c>
      <c r="J2451" s="2" t="s">
        <v>270</v>
      </c>
      <c r="K2451" s="2" t="s">
        <v>118</v>
      </c>
      <c r="L2451" s="3">
        <v>33.44</v>
      </c>
      <c r="M2451" s="3">
        <v>35.11</v>
      </c>
      <c r="N2451" s="3">
        <v>69.99</v>
      </c>
      <c r="O2451" s="2" t="s">
        <v>97</v>
      </c>
      <c r="P2451" s="2" t="s">
        <v>225</v>
      </c>
      <c r="Q2451" s="2" t="s">
        <v>99</v>
      </c>
      <c r="R2451" s="2" t="s">
        <v>100</v>
      </c>
      <c r="S2451" s="2" t="s">
        <v>7637</v>
      </c>
      <c r="T2451" s="2" t="s">
        <v>200</v>
      </c>
      <c r="U2451" s="2" t="s">
        <v>480</v>
      </c>
      <c r="V2451" s="2" t="s">
        <v>403</v>
      </c>
      <c r="W2451" s="2" t="s">
        <v>561</v>
      </c>
      <c r="X2451" s="2" t="s">
        <v>183</v>
      </c>
      <c r="Y2451" s="2" t="s">
        <v>5007</v>
      </c>
      <c r="Z2451" s="4">
        <v>571</v>
      </c>
      <c r="AA2451" s="4">
        <f>=ROUNDDOWN(7.61333333333333,0)</f>
      </c>
      <c r="AB2451" s="5">
        <v>75</v>
      </c>
      <c r="AC2451" s="2" t="s">
        <v>542</v>
      </c>
      <c r="AD2451" s="4">
        <v>339</v>
      </c>
      <c r="AE2451" s="4">
        <v>1470</v>
      </c>
      <c r="AF2451" s="6">
        <v>65</v>
      </c>
      <c r="AG2451" s="6">
        <v>48</v>
      </c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814</v>
      </c>
      <c r="BK2451" s="8">
        <v>28768.44</v>
      </c>
      <c r="BL2451" s="2" t="s">
        <v>3814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2480</v>
      </c>
      <c r="BV2451" s="2" t="s">
        <v>97</v>
      </c>
      <c r="BW2451" s="2" t="s">
        <v>100</v>
      </c>
      <c r="BX2451" s="2" t="s">
        <v>100</v>
      </c>
      <c r="BY2451" s="2" t="s">
        <v>113</v>
      </c>
      <c r="BZ2451" s="2" t="s">
        <v>245</v>
      </c>
    </row>
    <row r="2452">
      <c r="A2452" s="2" t="s">
        <v>7640</v>
      </c>
      <c r="B2452" s="2" t="s">
        <v>5764</v>
      </c>
      <c r="C2452" s="2" t="s">
        <v>3413</v>
      </c>
      <c r="D2452" s="2" t="s">
        <v>803</v>
      </c>
      <c r="E2452" s="2" t="s">
        <v>1532</v>
      </c>
      <c r="F2452" s="2" t="s">
        <v>7633</v>
      </c>
      <c r="G2452" s="2" t="s">
        <v>7634</v>
      </c>
      <c r="H2452" s="2" t="s">
        <v>7635</v>
      </c>
      <c r="I2452" s="2" t="s">
        <v>7636</v>
      </c>
      <c r="J2452" s="2" t="s">
        <v>237</v>
      </c>
      <c r="K2452" s="2" t="s">
        <v>913</v>
      </c>
      <c r="L2452" s="3">
        <v>24.52</v>
      </c>
      <c r="M2452" s="3">
        <v>25.75</v>
      </c>
      <c r="N2452" s="3">
        <v>49.99</v>
      </c>
      <c r="O2452" s="2" t="s">
        <v>97</v>
      </c>
      <c r="P2452" s="2" t="s">
        <v>225</v>
      </c>
      <c r="Q2452" s="2" t="s">
        <v>99</v>
      </c>
      <c r="R2452" s="2" t="s">
        <v>100</v>
      </c>
      <c r="S2452" s="2" t="s">
        <v>7641</v>
      </c>
      <c r="T2452" s="2" t="s">
        <v>200</v>
      </c>
      <c r="U2452" s="2" t="s">
        <v>514</v>
      </c>
      <c r="V2452" s="2" t="s">
        <v>403</v>
      </c>
      <c r="W2452" s="2" t="s">
        <v>561</v>
      </c>
      <c r="X2452" s="2" t="s">
        <v>183</v>
      </c>
      <c r="Y2452" s="2" t="s">
        <v>481</v>
      </c>
      <c r="Z2452" s="4">
        <v>333</v>
      </c>
      <c r="AA2452" s="4">
        <f>=ROUNDDOWN(41.625,0)</f>
      </c>
      <c r="AB2452" s="5">
        <v>8</v>
      </c>
      <c r="AC2452" s="2" t="s">
        <v>542</v>
      </c>
      <c r="AD2452" s="4">
        <v>147</v>
      </c>
      <c r="AE2452" s="4">
        <v>468</v>
      </c>
      <c r="AF2452" s="6">
        <v>65</v>
      </c>
      <c r="AG2452" s="6">
        <v>48</v>
      </c>
      <c r="AH2452" s="7">
        <v>0.7736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81</v>
      </c>
      <c r="BK2452" s="8">
        <v>2045.97</v>
      </c>
      <c r="BL2452" s="2" t="s">
        <v>7642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2480</v>
      </c>
      <c r="BV2452" s="2" t="s">
        <v>97</v>
      </c>
      <c r="BW2452" s="2" t="s">
        <v>100</v>
      </c>
      <c r="BX2452" s="2" t="s">
        <v>100</v>
      </c>
      <c r="BY2452" s="2" t="s">
        <v>113</v>
      </c>
      <c r="BZ2452" s="2" t="s">
        <v>245</v>
      </c>
    </row>
    <row r="2453">
      <c r="A2453" s="2" t="s">
        <v>7643</v>
      </c>
      <c r="B2453" s="2" t="s">
        <v>5764</v>
      </c>
      <c r="C2453" s="2" t="s">
        <v>3413</v>
      </c>
      <c r="D2453" s="2" t="s">
        <v>803</v>
      </c>
      <c r="E2453" s="2" t="s">
        <v>1532</v>
      </c>
      <c r="F2453" s="2" t="s">
        <v>7633</v>
      </c>
      <c r="G2453" s="2" t="s">
        <v>7634</v>
      </c>
      <c r="H2453" s="2" t="s">
        <v>7635</v>
      </c>
      <c r="I2453" s="2" t="s">
        <v>7636</v>
      </c>
      <c r="J2453" s="2" t="s">
        <v>247</v>
      </c>
      <c r="K2453" s="2" t="s">
        <v>913</v>
      </c>
      <c r="L2453" s="3">
        <v>28.98</v>
      </c>
      <c r="M2453" s="3">
        <v>30.43</v>
      </c>
      <c r="N2453" s="3">
        <v>59.99</v>
      </c>
      <c r="O2453" s="2" t="s">
        <v>97</v>
      </c>
      <c r="P2453" s="2" t="s">
        <v>225</v>
      </c>
      <c r="Q2453" s="2" t="s">
        <v>99</v>
      </c>
      <c r="R2453" s="2" t="s">
        <v>100</v>
      </c>
      <c r="S2453" s="2" t="s">
        <v>7641</v>
      </c>
      <c r="T2453" s="2" t="s">
        <v>200</v>
      </c>
      <c r="U2453" s="2" t="s">
        <v>480</v>
      </c>
      <c r="V2453" s="2" t="s">
        <v>403</v>
      </c>
      <c r="W2453" s="2" t="s">
        <v>561</v>
      </c>
      <c r="X2453" s="2" t="s">
        <v>183</v>
      </c>
      <c r="Y2453" s="2" t="s">
        <v>5007</v>
      </c>
      <c r="Z2453" s="4">
        <v>667</v>
      </c>
      <c r="AA2453" s="4">
        <f>=ROUNDDOWN(30.3181818181818,0)</f>
      </c>
      <c r="AB2453" s="5">
        <v>22</v>
      </c>
      <c r="AC2453" s="2" t="s">
        <v>542</v>
      </c>
      <c r="AD2453" s="4">
        <v>351</v>
      </c>
      <c r="AE2453" s="4">
        <v>1023</v>
      </c>
      <c r="AF2453" s="6">
        <v>65</v>
      </c>
      <c r="AG2453" s="6">
        <v>48</v>
      </c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429</v>
      </c>
      <c r="BK2453" s="8">
        <v>12807.3</v>
      </c>
      <c r="BL2453" s="2" t="s">
        <v>3814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2480</v>
      </c>
      <c r="BV2453" s="2" t="s">
        <v>97</v>
      </c>
      <c r="BW2453" s="2" t="s">
        <v>100</v>
      </c>
      <c r="BX2453" s="2" t="s">
        <v>100</v>
      </c>
      <c r="BY2453" s="2" t="s">
        <v>113</v>
      </c>
      <c r="BZ2453" s="2" t="s">
        <v>245</v>
      </c>
    </row>
    <row r="2454">
      <c r="A2454" s="2" t="s">
        <v>7644</v>
      </c>
      <c r="B2454" s="2" t="s">
        <v>5764</v>
      </c>
      <c r="C2454" s="2" t="s">
        <v>3413</v>
      </c>
      <c r="D2454" s="2" t="s">
        <v>803</v>
      </c>
      <c r="E2454" s="2" t="s">
        <v>1532</v>
      </c>
      <c r="F2454" s="2" t="s">
        <v>7633</v>
      </c>
      <c r="G2454" s="2" t="s">
        <v>7634</v>
      </c>
      <c r="H2454" s="2" t="s">
        <v>7635</v>
      </c>
      <c r="I2454" s="2" t="s">
        <v>7636</v>
      </c>
      <c r="J2454" s="2" t="s">
        <v>270</v>
      </c>
      <c r="K2454" s="2" t="s">
        <v>913</v>
      </c>
      <c r="L2454" s="3">
        <v>33.44</v>
      </c>
      <c r="M2454" s="3">
        <v>35.11</v>
      </c>
      <c r="N2454" s="3">
        <v>69.99</v>
      </c>
      <c r="O2454" s="2" t="s">
        <v>97</v>
      </c>
      <c r="P2454" s="2" t="s">
        <v>225</v>
      </c>
      <c r="Q2454" s="2" t="s">
        <v>99</v>
      </c>
      <c r="R2454" s="2" t="s">
        <v>100</v>
      </c>
      <c r="S2454" s="2" t="s">
        <v>7641</v>
      </c>
      <c r="T2454" s="2" t="s">
        <v>200</v>
      </c>
      <c r="U2454" s="2" t="s">
        <v>480</v>
      </c>
      <c r="V2454" s="2" t="s">
        <v>403</v>
      </c>
      <c r="W2454" s="2" t="s">
        <v>561</v>
      </c>
      <c r="X2454" s="2" t="s">
        <v>183</v>
      </c>
      <c r="Y2454" s="2" t="s">
        <v>5007</v>
      </c>
      <c r="Z2454" s="4">
        <v>172</v>
      </c>
      <c r="AA2454" s="4">
        <f>=ROUNDDOWN(10.1176470588235,0)</f>
      </c>
      <c r="AB2454" s="5">
        <v>17</v>
      </c>
      <c r="AC2454" s="2" t="s">
        <v>542</v>
      </c>
      <c r="AD2454" s="4">
        <v>294</v>
      </c>
      <c r="AE2454" s="4">
        <v>726</v>
      </c>
      <c r="AF2454" s="6">
        <v>65</v>
      </c>
      <c r="AG2454" s="6">
        <v>48</v>
      </c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688</v>
      </c>
      <c r="BK2454" s="8">
        <v>24189.69</v>
      </c>
      <c r="BL2454" s="2" t="s">
        <v>7645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2480</v>
      </c>
      <c r="BV2454" s="2" t="s">
        <v>97</v>
      </c>
      <c r="BW2454" s="2" t="s">
        <v>100</v>
      </c>
      <c r="BX2454" s="2" t="s">
        <v>100</v>
      </c>
      <c r="BY2454" s="2" t="s">
        <v>113</v>
      </c>
      <c r="BZ2454" s="2" t="s">
        <v>245</v>
      </c>
    </row>
    <row r="2455">
      <c r="A2455" s="2" t="s">
        <v>7646</v>
      </c>
      <c r="B2455" s="2" t="s">
        <v>5764</v>
      </c>
      <c r="C2455" s="2" t="s">
        <v>3413</v>
      </c>
      <c r="D2455" s="2" t="s">
        <v>803</v>
      </c>
      <c r="E2455" s="2" t="s">
        <v>1532</v>
      </c>
      <c r="F2455" s="2" t="s">
        <v>7633</v>
      </c>
      <c r="G2455" s="2" t="s">
        <v>7634</v>
      </c>
      <c r="H2455" s="2" t="s">
        <v>7635</v>
      </c>
      <c r="I2455" s="2" t="s">
        <v>7636</v>
      </c>
      <c r="J2455" s="2" t="s">
        <v>237</v>
      </c>
      <c r="K2455" s="2" t="s">
        <v>1148</v>
      </c>
      <c r="L2455" s="3">
        <v>24.52</v>
      </c>
      <c r="M2455" s="3">
        <v>25.75</v>
      </c>
      <c r="N2455" s="3">
        <v>49.99</v>
      </c>
      <c r="O2455" s="2" t="s">
        <v>97</v>
      </c>
      <c r="P2455" s="2" t="s">
        <v>225</v>
      </c>
      <c r="Q2455" s="2" t="s">
        <v>99</v>
      </c>
      <c r="R2455" s="2" t="s">
        <v>100</v>
      </c>
      <c r="S2455" s="2" t="s">
        <v>7647</v>
      </c>
      <c r="T2455" s="2" t="s">
        <v>200</v>
      </c>
      <c r="U2455" s="2" t="s">
        <v>514</v>
      </c>
      <c r="V2455" s="2" t="s">
        <v>403</v>
      </c>
      <c r="W2455" s="2" t="s">
        <v>561</v>
      </c>
      <c r="X2455" s="2" t="s">
        <v>183</v>
      </c>
      <c r="Y2455" s="2" t="s">
        <v>481</v>
      </c>
      <c r="Z2455" s="4">
        <v>705</v>
      </c>
      <c r="AA2455" s="4">
        <f>=ROUNDDOWN(47,0)</f>
      </c>
      <c r="AB2455" s="5">
        <v>15</v>
      </c>
      <c r="AC2455" s="2" t="s">
        <v>542</v>
      </c>
      <c r="AD2455" s="4">
        <v>252</v>
      </c>
      <c r="AE2455" s="4">
        <v>654</v>
      </c>
      <c r="AF2455" s="6">
        <v>65</v>
      </c>
      <c r="AG2455" s="6">
        <v>48</v>
      </c>
      <c r="AH2455" s="7">
        <v>0.7799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125</v>
      </c>
      <c r="BK2455" s="8">
        <v>3167.48</v>
      </c>
      <c r="BL2455" s="2" t="s">
        <v>7648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2480</v>
      </c>
      <c r="BV2455" s="2" t="s">
        <v>97</v>
      </c>
      <c r="BW2455" s="2" t="s">
        <v>100</v>
      </c>
      <c r="BX2455" s="2" t="s">
        <v>100</v>
      </c>
      <c r="BY2455" s="2" t="s">
        <v>113</v>
      </c>
      <c r="BZ2455" s="2" t="s">
        <v>245</v>
      </c>
    </row>
    <row r="2456">
      <c r="A2456" s="2" t="s">
        <v>7649</v>
      </c>
      <c r="B2456" s="2" t="s">
        <v>5764</v>
      </c>
      <c r="C2456" s="2" t="s">
        <v>3413</v>
      </c>
      <c r="D2456" s="2" t="s">
        <v>803</v>
      </c>
      <c r="E2456" s="2" t="s">
        <v>1532</v>
      </c>
      <c r="F2456" s="2" t="s">
        <v>7633</v>
      </c>
      <c r="G2456" s="2" t="s">
        <v>7634</v>
      </c>
      <c r="H2456" s="2" t="s">
        <v>7635</v>
      </c>
      <c r="I2456" s="2" t="s">
        <v>7636</v>
      </c>
      <c r="J2456" s="2" t="s">
        <v>247</v>
      </c>
      <c r="K2456" s="2" t="s">
        <v>1148</v>
      </c>
      <c r="L2456" s="3">
        <v>28.98</v>
      </c>
      <c r="M2456" s="3">
        <v>30.43</v>
      </c>
      <c r="N2456" s="3">
        <v>59.99</v>
      </c>
      <c r="O2456" s="2" t="s">
        <v>97</v>
      </c>
      <c r="P2456" s="2" t="s">
        <v>225</v>
      </c>
      <c r="Q2456" s="2" t="s">
        <v>99</v>
      </c>
      <c r="R2456" s="2" t="s">
        <v>100</v>
      </c>
      <c r="S2456" s="2" t="s">
        <v>7647</v>
      </c>
      <c r="T2456" s="2" t="s">
        <v>200</v>
      </c>
      <c r="U2456" s="2" t="s">
        <v>480</v>
      </c>
      <c r="V2456" s="2" t="s">
        <v>403</v>
      </c>
      <c r="W2456" s="2" t="s">
        <v>561</v>
      </c>
      <c r="X2456" s="2" t="s">
        <v>183</v>
      </c>
      <c r="Y2456" s="2" t="s">
        <v>481</v>
      </c>
      <c r="Z2456" s="4">
        <v>2023</v>
      </c>
      <c r="AA2456" s="4">
        <f>=ROUNDDOWN(51.8717948717949,0)</f>
      </c>
      <c r="AB2456" s="5">
        <v>39</v>
      </c>
      <c r="AC2456" s="2" t="s">
        <v>542</v>
      </c>
      <c r="AD2456" s="4">
        <v>750</v>
      </c>
      <c r="AE2456" s="4">
        <v>1680</v>
      </c>
      <c r="AF2456" s="6">
        <v>65</v>
      </c>
      <c r="AG2456" s="6">
        <v>48</v>
      </c>
      <c r="AH2456" s="7">
        <v>0.7799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644</v>
      </c>
      <c r="BK2456" s="8">
        <v>19730.06</v>
      </c>
      <c r="BL2456" s="2" t="s">
        <v>3814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2480</v>
      </c>
      <c r="BV2456" s="2" t="s">
        <v>97</v>
      </c>
      <c r="BW2456" s="2" t="s">
        <v>100</v>
      </c>
      <c r="BX2456" s="2" t="s">
        <v>100</v>
      </c>
      <c r="BY2456" s="2" t="s">
        <v>113</v>
      </c>
      <c r="BZ2456" s="2" t="s">
        <v>245</v>
      </c>
    </row>
    <row r="2457">
      <c r="A2457" s="2" t="s">
        <v>7650</v>
      </c>
      <c r="B2457" s="2" t="s">
        <v>5764</v>
      </c>
      <c r="C2457" s="2" t="s">
        <v>3413</v>
      </c>
      <c r="D2457" s="2" t="s">
        <v>803</v>
      </c>
      <c r="E2457" s="2" t="s">
        <v>1532</v>
      </c>
      <c r="F2457" s="2" t="s">
        <v>7633</v>
      </c>
      <c r="G2457" s="2" t="s">
        <v>7634</v>
      </c>
      <c r="H2457" s="2" t="s">
        <v>7635</v>
      </c>
      <c r="I2457" s="2" t="s">
        <v>7636</v>
      </c>
      <c r="J2457" s="2" t="s">
        <v>270</v>
      </c>
      <c r="K2457" s="2" t="s">
        <v>1148</v>
      </c>
      <c r="L2457" s="3">
        <v>33.44</v>
      </c>
      <c r="M2457" s="3">
        <v>35.11</v>
      </c>
      <c r="N2457" s="3">
        <v>69.99</v>
      </c>
      <c r="O2457" s="2" t="s">
        <v>97</v>
      </c>
      <c r="P2457" s="2" t="s">
        <v>225</v>
      </c>
      <c r="Q2457" s="2" t="s">
        <v>99</v>
      </c>
      <c r="R2457" s="2" t="s">
        <v>100</v>
      </c>
      <c r="S2457" s="2" t="s">
        <v>7647</v>
      </c>
      <c r="T2457" s="2" t="s">
        <v>200</v>
      </c>
      <c r="U2457" s="2" t="s">
        <v>480</v>
      </c>
      <c r="V2457" s="2" t="s">
        <v>403</v>
      </c>
      <c r="W2457" s="2" t="s">
        <v>561</v>
      </c>
      <c r="X2457" s="2" t="s">
        <v>183</v>
      </c>
      <c r="Y2457" s="2" t="s">
        <v>5007</v>
      </c>
      <c r="Z2457" s="4">
        <v>1448</v>
      </c>
      <c r="AA2457" s="4">
        <f>=ROUNDDOWN(41.3714285714286,0)</f>
      </c>
      <c r="AB2457" s="5">
        <v>35</v>
      </c>
      <c r="AC2457" s="2" t="s">
        <v>542</v>
      </c>
      <c r="AD2457" s="4">
        <v>642</v>
      </c>
      <c r="AE2457" s="4">
        <v>1515</v>
      </c>
      <c r="AF2457" s="6">
        <v>65</v>
      </c>
      <c r="AG2457" s="6">
        <v>48</v>
      </c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703</v>
      </c>
      <c r="BK2457" s="8">
        <v>24531.36</v>
      </c>
      <c r="BL2457" s="2" t="s">
        <v>3463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2480</v>
      </c>
      <c r="BV2457" s="2" t="s">
        <v>97</v>
      </c>
      <c r="BW2457" s="2" t="s">
        <v>100</v>
      </c>
      <c r="BX2457" s="2" t="s">
        <v>100</v>
      </c>
      <c r="BY2457" s="2" t="s">
        <v>113</v>
      </c>
      <c r="BZ2457" s="2" t="s">
        <v>245</v>
      </c>
    </row>
    <row r="2458">
      <c r="A2458" s="2" t="s">
        <v>7651</v>
      </c>
      <c r="B2458" s="2" t="s">
        <v>5764</v>
      </c>
      <c r="C2458" s="2" t="s">
        <v>3413</v>
      </c>
      <c r="D2458" s="2" t="s">
        <v>803</v>
      </c>
      <c r="E2458" s="2" t="s">
        <v>1532</v>
      </c>
      <c r="F2458" s="2" t="s">
        <v>7633</v>
      </c>
      <c r="G2458" s="2" t="s">
        <v>7634</v>
      </c>
      <c r="H2458" s="2" t="s">
        <v>7635</v>
      </c>
      <c r="I2458" s="2" t="s">
        <v>7636</v>
      </c>
      <c r="J2458" s="2" t="s">
        <v>237</v>
      </c>
      <c r="K2458" s="2" t="s">
        <v>1614</v>
      </c>
      <c r="L2458" s="3">
        <v>24.52</v>
      </c>
      <c r="M2458" s="3">
        <v>25.75</v>
      </c>
      <c r="N2458" s="3">
        <v>49.99</v>
      </c>
      <c r="O2458" s="2" t="s">
        <v>97</v>
      </c>
      <c r="P2458" s="2" t="s">
        <v>225</v>
      </c>
      <c r="Q2458" s="2" t="s">
        <v>99</v>
      </c>
      <c r="R2458" s="2" t="s">
        <v>100</v>
      </c>
      <c r="S2458" s="2" t="s">
        <v>7652</v>
      </c>
      <c r="T2458" s="2" t="s">
        <v>200</v>
      </c>
      <c r="U2458" s="2" t="s">
        <v>514</v>
      </c>
      <c r="V2458" s="2" t="s">
        <v>403</v>
      </c>
      <c r="W2458" s="2" t="s">
        <v>561</v>
      </c>
      <c r="X2458" s="2" t="s">
        <v>183</v>
      </c>
      <c r="Y2458" s="2" t="s">
        <v>481</v>
      </c>
      <c r="Z2458" s="4">
        <v>622</v>
      </c>
      <c r="AA2458" s="4">
        <f>=ROUNDDOWN(21.448275862069,0)</f>
      </c>
      <c r="AB2458" s="5">
        <v>29</v>
      </c>
      <c r="AC2458" s="2" t="s">
        <v>542</v>
      </c>
      <c r="AD2458" s="4">
        <v>189</v>
      </c>
      <c r="AE2458" s="4">
        <v>540</v>
      </c>
      <c r="AF2458" s="6">
        <v>65</v>
      </c>
      <c r="AG2458" s="6">
        <v>48</v>
      </c>
      <c r="AH2458" s="7">
        <v>0.7799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129</v>
      </c>
      <c r="BK2458" s="8">
        <v>3274.83</v>
      </c>
      <c r="BL2458" s="2" t="s">
        <v>3471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2480</v>
      </c>
      <c r="BV2458" s="2" t="s">
        <v>97</v>
      </c>
      <c r="BW2458" s="2" t="s">
        <v>100</v>
      </c>
      <c r="BX2458" s="2" t="s">
        <v>100</v>
      </c>
      <c r="BY2458" s="2" t="s">
        <v>113</v>
      </c>
      <c r="BZ2458" s="2" t="s">
        <v>245</v>
      </c>
    </row>
    <row r="2459">
      <c r="A2459" s="2" t="s">
        <v>7653</v>
      </c>
      <c r="B2459" s="2" t="s">
        <v>5764</v>
      </c>
      <c r="C2459" s="2" t="s">
        <v>3413</v>
      </c>
      <c r="D2459" s="2" t="s">
        <v>803</v>
      </c>
      <c r="E2459" s="2" t="s">
        <v>1532</v>
      </c>
      <c r="F2459" s="2" t="s">
        <v>7633</v>
      </c>
      <c r="G2459" s="2" t="s">
        <v>7634</v>
      </c>
      <c r="H2459" s="2" t="s">
        <v>7635</v>
      </c>
      <c r="I2459" s="2" t="s">
        <v>7636</v>
      </c>
      <c r="J2459" s="2" t="s">
        <v>247</v>
      </c>
      <c r="K2459" s="2" t="s">
        <v>1614</v>
      </c>
      <c r="L2459" s="3">
        <v>28.98</v>
      </c>
      <c r="M2459" s="3">
        <v>30.43</v>
      </c>
      <c r="N2459" s="3">
        <v>59.99</v>
      </c>
      <c r="O2459" s="2" t="s">
        <v>97</v>
      </c>
      <c r="P2459" s="2" t="s">
        <v>225</v>
      </c>
      <c r="Q2459" s="2" t="s">
        <v>99</v>
      </c>
      <c r="R2459" s="2" t="s">
        <v>100</v>
      </c>
      <c r="S2459" s="2" t="s">
        <v>7652</v>
      </c>
      <c r="T2459" s="2" t="s">
        <v>200</v>
      </c>
      <c r="U2459" s="2" t="s">
        <v>480</v>
      </c>
      <c r="V2459" s="2" t="s">
        <v>403</v>
      </c>
      <c r="W2459" s="2" t="s">
        <v>561</v>
      </c>
      <c r="X2459" s="2" t="s">
        <v>183</v>
      </c>
      <c r="Y2459" s="2" t="s">
        <v>481</v>
      </c>
      <c r="Z2459" s="4">
        <v>2356</v>
      </c>
      <c r="AA2459" s="4">
        <f>=ROUNDDOWN(25.3333333333333,0)</f>
      </c>
      <c r="AB2459" s="5">
        <v>93</v>
      </c>
      <c r="AC2459" s="2" t="s">
        <v>542</v>
      </c>
      <c r="AD2459" s="4">
        <v>618</v>
      </c>
      <c r="AE2459" s="4">
        <v>879</v>
      </c>
      <c r="AF2459" s="6">
        <v>65</v>
      </c>
      <c r="AG2459" s="6">
        <v>48</v>
      </c>
      <c r="AH2459" s="7">
        <v>0.7799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378</v>
      </c>
      <c r="BK2459" s="8">
        <v>11355.15</v>
      </c>
      <c r="BL2459" s="2" t="s">
        <v>3453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2480</v>
      </c>
      <c r="BV2459" s="2" t="s">
        <v>97</v>
      </c>
      <c r="BW2459" s="2" t="s">
        <v>100</v>
      </c>
      <c r="BX2459" s="2" t="s">
        <v>100</v>
      </c>
      <c r="BY2459" s="2" t="s">
        <v>113</v>
      </c>
      <c r="BZ2459" s="2" t="s">
        <v>245</v>
      </c>
    </row>
    <row r="2460">
      <c r="A2460" s="2" t="s">
        <v>7654</v>
      </c>
      <c r="B2460" s="2" t="s">
        <v>5764</v>
      </c>
      <c r="C2460" s="2" t="s">
        <v>3413</v>
      </c>
      <c r="D2460" s="2" t="s">
        <v>803</v>
      </c>
      <c r="E2460" s="2" t="s">
        <v>1532</v>
      </c>
      <c r="F2460" s="2" t="s">
        <v>7633</v>
      </c>
      <c r="G2460" s="2" t="s">
        <v>7634</v>
      </c>
      <c r="H2460" s="2" t="s">
        <v>7635</v>
      </c>
      <c r="I2460" s="2" t="s">
        <v>7636</v>
      </c>
      <c r="J2460" s="2" t="s">
        <v>270</v>
      </c>
      <c r="K2460" s="2" t="s">
        <v>1614</v>
      </c>
      <c r="L2460" s="3">
        <v>33.44</v>
      </c>
      <c r="M2460" s="3">
        <v>35.11</v>
      </c>
      <c r="N2460" s="3">
        <v>69.99</v>
      </c>
      <c r="O2460" s="2" t="s">
        <v>97</v>
      </c>
      <c r="P2460" s="2" t="s">
        <v>225</v>
      </c>
      <c r="Q2460" s="2" t="s">
        <v>99</v>
      </c>
      <c r="R2460" s="2" t="s">
        <v>100</v>
      </c>
      <c r="S2460" s="2" t="s">
        <v>7652</v>
      </c>
      <c r="T2460" s="2" t="s">
        <v>200</v>
      </c>
      <c r="U2460" s="2" t="s">
        <v>480</v>
      </c>
      <c r="V2460" s="2" t="s">
        <v>403</v>
      </c>
      <c r="W2460" s="2" t="s">
        <v>561</v>
      </c>
      <c r="X2460" s="2" t="s">
        <v>183</v>
      </c>
      <c r="Y2460" s="2" t="s">
        <v>5007</v>
      </c>
      <c r="Z2460" s="4">
        <v>1700</v>
      </c>
      <c r="AA2460" s="4">
        <f>=ROUNDDOWN(23.2876712328767,0)</f>
      </c>
      <c r="AB2460" s="5">
        <v>73</v>
      </c>
      <c r="AC2460" s="2" t="s">
        <v>542</v>
      </c>
      <c r="AD2460" s="4">
        <v>519</v>
      </c>
      <c r="AE2460" s="4">
        <v>873</v>
      </c>
      <c r="AF2460" s="6">
        <v>65</v>
      </c>
      <c r="AG2460" s="6">
        <v>48</v>
      </c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462</v>
      </c>
      <c r="BK2460" s="8">
        <v>15975.75</v>
      </c>
      <c r="BL2460" s="2" t="s">
        <v>7621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2480</v>
      </c>
      <c r="BV2460" s="2" t="s">
        <v>97</v>
      </c>
      <c r="BW2460" s="2" t="s">
        <v>100</v>
      </c>
      <c r="BX2460" s="2" t="s">
        <v>100</v>
      </c>
      <c r="BY2460" s="2" t="s">
        <v>113</v>
      </c>
      <c r="BZ2460" s="2" t="s">
        <v>245</v>
      </c>
    </row>
    <row r="2461">
      <c r="A2461" s="2" t="s">
        <v>7655</v>
      </c>
      <c r="B2461" s="2" t="s">
        <v>5764</v>
      </c>
      <c r="C2461" s="2" t="s">
        <v>4861</v>
      </c>
      <c r="D2461" s="2" t="s">
        <v>4473</v>
      </c>
      <c r="E2461" s="2" t="s">
        <v>5768</v>
      </c>
      <c r="F2461" s="2" t="s">
        <v>7656</v>
      </c>
      <c r="G2461" s="2" t="s">
        <v>7656</v>
      </c>
      <c r="H2461" s="2" t="s">
        <v>7656</v>
      </c>
      <c r="I2461" s="2" t="s">
        <v>5768</v>
      </c>
      <c r="J2461" s="2" t="s">
        <v>1936</v>
      </c>
      <c r="K2461" s="2" t="s">
        <v>118</v>
      </c>
      <c r="L2461" s="3">
        <v>10.71</v>
      </c>
      <c r="M2461" s="3">
        <v>11.25</v>
      </c>
      <c r="N2461" s="3">
        <v>24.99</v>
      </c>
      <c r="O2461" s="2" t="s">
        <v>97</v>
      </c>
      <c r="P2461" s="2" t="s">
        <v>225</v>
      </c>
      <c r="Q2461" s="2" t="s">
        <v>99</v>
      </c>
      <c r="R2461" s="2" t="s">
        <v>100</v>
      </c>
      <c r="S2461" s="2" t="s">
        <v>7657</v>
      </c>
      <c r="T2461" s="2" t="s">
        <v>5869</v>
      </c>
      <c r="U2461" s="2" t="s">
        <v>1847</v>
      </c>
      <c r="V2461" s="2" t="s">
        <v>403</v>
      </c>
      <c r="W2461" s="2" t="s">
        <v>183</v>
      </c>
      <c r="X2461" s="2" t="s">
        <v>100</v>
      </c>
      <c r="Y2461" s="2" t="s">
        <v>7658</v>
      </c>
      <c r="Z2461" s="4">
        <v>103</v>
      </c>
      <c r="AA2461" s="4">
        <f>=ROUNDDOWN(12.875,0)</f>
      </c>
      <c r="AB2461" s="5">
        <v>8</v>
      </c>
      <c r="AC2461" s="2" t="s">
        <v>4745</v>
      </c>
      <c r="AD2461" s="4">
        <v>210</v>
      </c>
      <c r="AE2461" s="4">
        <v>210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126</v>
      </c>
      <c r="BK2461" s="8">
        <v>1550.55</v>
      </c>
      <c r="BL2461" s="2" t="s">
        <v>7659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207</v>
      </c>
      <c r="BV2461" s="2" t="s">
        <v>97</v>
      </c>
      <c r="BW2461" s="2" t="s">
        <v>100</v>
      </c>
      <c r="BX2461" s="2" t="s">
        <v>100</v>
      </c>
      <c r="BY2461" s="2" t="s">
        <v>113</v>
      </c>
      <c r="BZ2461" s="2" t="s">
        <v>100</v>
      </c>
    </row>
    <row r="2462">
      <c r="A2462" s="2" t="s">
        <v>7660</v>
      </c>
      <c r="B2462" s="2" t="s">
        <v>5764</v>
      </c>
      <c r="C2462" s="2" t="s">
        <v>4861</v>
      </c>
      <c r="D2462" s="2" t="s">
        <v>4473</v>
      </c>
      <c r="E2462" s="2" t="s">
        <v>5768</v>
      </c>
      <c r="F2462" s="2" t="s">
        <v>7656</v>
      </c>
      <c r="G2462" s="2" t="s">
        <v>7656</v>
      </c>
      <c r="H2462" s="2" t="s">
        <v>7656</v>
      </c>
      <c r="I2462" s="2" t="s">
        <v>5768</v>
      </c>
      <c r="J2462" s="2" t="s">
        <v>247</v>
      </c>
      <c r="K2462" s="2" t="s">
        <v>118</v>
      </c>
      <c r="L2462" s="3">
        <v>12.7</v>
      </c>
      <c r="M2462" s="3">
        <v>13.34</v>
      </c>
      <c r="N2462" s="3">
        <v>28.99</v>
      </c>
      <c r="O2462" s="2" t="s">
        <v>97</v>
      </c>
      <c r="P2462" s="2" t="s">
        <v>225</v>
      </c>
      <c r="Q2462" s="2" t="s">
        <v>99</v>
      </c>
      <c r="R2462" s="2" t="s">
        <v>100</v>
      </c>
      <c r="S2462" s="2" t="s">
        <v>7657</v>
      </c>
      <c r="T2462" s="2" t="s">
        <v>5869</v>
      </c>
      <c r="U2462" s="2" t="s">
        <v>1847</v>
      </c>
      <c r="V2462" s="2" t="s">
        <v>403</v>
      </c>
      <c r="W2462" s="2" t="s">
        <v>183</v>
      </c>
      <c r="X2462" s="2" t="s">
        <v>100</v>
      </c>
      <c r="Y2462" s="2" t="s">
        <v>7661</v>
      </c>
      <c r="Z2462" s="4">
        <v>396</v>
      </c>
      <c r="AA2462" s="4">
        <f>=ROUNDDOWN(24.75,0)</f>
      </c>
      <c r="AB2462" s="5">
        <v>16</v>
      </c>
      <c r="AC2462" s="2" t="s">
        <v>4745</v>
      </c>
      <c r="AD2462" s="4">
        <v>300</v>
      </c>
      <c r="AE2462" s="4">
        <v>300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209</v>
      </c>
      <c r="BK2462" s="8">
        <v>3011.6</v>
      </c>
      <c r="BL2462" s="2" t="s">
        <v>7662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207</v>
      </c>
      <c r="BV2462" s="2" t="s">
        <v>97</v>
      </c>
      <c r="BW2462" s="2" t="s">
        <v>100</v>
      </c>
      <c r="BX2462" s="2" t="s">
        <v>100</v>
      </c>
      <c r="BY2462" s="2" t="s">
        <v>113</v>
      </c>
      <c r="BZ2462" s="2" t="s">
        <v>100</v>
      </c>
    </row>
    <row r="2463">
      <c r="A2463" s="2" t="s">
        <v>7663</v>
      </c>
      <c r="B2463" s="2" t="s">
        <v>5764</v>
      </c>
      <c r="C2463" s="2" t="s">
        <v>4861</v>
      </c>
      <c r="D2463" s="2" t="s">
        <v>4473</v>
      </c>
      <c r="E2463" s="2" t="s">
        <v>5768</v>
      </c>
      <c r="F2463" s="2" t="s">
        <v>7656</v>
      </c>
      <c r="G2463" s="2" t="s">
        <v>7656</v>
      </c>
      <c r="H2463" s="2" t="s">
        <v>7656</v>
      </c>
      <c r="I2463" s="2" t="s">
        <v>5768</v>
      </c>
      <c r="J2463" s="2" t="s">
        <v>714</v>
      </c>
      <c r="K2463" s="2" t="s">
        <v>118</v>
      </c>
      <c r="L2463" s="3">
        <v>14.45</v>
      </c>
      <c r="M2463" s="3">
        <v>15.17</v>
      </c>
      <c r="N2463" s="3">
        <v>32.99</v>
      </c>
      <c r="O2463" s="2" t="s">
        <v>97</v>
      </c>
      <c r="P2463" s="2" t="s">
        <v>225</v>
      </c>
      <c r="Q2463" s="2" t="s">
        <v>99</v>
      </c>
      <c r="R2463" s="2" t="s">
        <v>100</v>
      </c>
      <c r="S2463" s="2" t="s">
        <v>7657</v>
      </c>
      <c r="T2463" s="2" t="s">
        <v>5869</v>
      </c>
      <c r="U2463" s="2" t="s">
        <v>1847</v>
      </c>
      <c r="V2463" s="2" t="s">
        <v>403</v>
      </c>
      <c r="W2463" s="2" t="s">
        <v>183</v>
      </c>
      <c r="X2463" s="2" t="s">
        <v>100</v>
      </c>
      <c r="Y2463" s="2" t="s">
        <v>7658</v>
      </c>
      <c r="Z2463" s="4">
        <v>170</v>
      </c>
      <c r="AA2463" s="4">
        <f>=ROUNDDOWN(17,0)</f>
      </c>
      <c r="AB2463" s="5">
        <v>10</v>
      </c>
      <c r="AC2463" s="2" t="s">
        <v>4745</v>
      </c>
      <c r="AD2463" s="4">
        <v>290</v>
      </c>
      <c r="AE2463" s="4">
        <v>290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136</v>
      </c>
      <c r="BK2463" s="8">
        <v>2232.26</v>
      </c>
      <c r="BL2463" s="2" t="s">
        <v>3806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207</v>
      </c>
      <c r="BV2463" s="2" t="s">
        <v>97</v>
      </c>
      <c r="BW2463" s="2" t="s">
        <v>100</v>
      </c>
      <c r="BX2463" s="2" t="s">
        <v>100</v>
      </c>
      <c r="BY2463" s="2" t="s">
        <v>113</v>
      </c>
      <c r="BZ2463" s="2" t="s">
        <v>100</v>
      </c>
    </row>
    <row r="2464">
      <c r="A2464" s="2" t="s">
        <v>7664</v>
      </c>
      <c r="B2464" s="2" t="s">
        <v>5764</v>
      </c>
      <c r="C2464" s="2" t="s">
        <v>4861</v>
      </c>
      <c r="D2464" s="2" t="s">
        <v>4473</v>
      </c>
      <c r="E2464" s="2" t="s">
        <v>5768</v>
      </c>
      <c r="F2464" s="2" t="s">
        <v>7656</v>
      </c>
      <c r="G2464" s="2" t="s">
        <v>7656</v>
      </c>
      <c r="H2464" s="2" t="s">
        <v>7656</v>
      </c>
      <c r="I2464" s="2" t="s">
        <v>5768</v>
      </c>
      <c r="J2464" s="2" t="s">
        <v>1936</v>
      </c>
      <c r="K2464" s="2" t="s">
        <v>198</v>
      </c>
      <c r="L2464" s="3">
        <v>10.71</v>
      </c>
      <c r="M2464" s="3">
        <v>11.25</v>
      </c>
      <c r="N2464" s="3">
        <v>24.99</v>
      </c>
      <c r="O2464" s="2" t="s">
        <v>97</v>
      </c>
      <c r="P2464" s="2" t="s">
        <v>225</v>
      </c>
      <c r="Q2464" s="2" t="s">
        <v>99</v>
      </c>
      <c r="R2464" s="2" t="s">
        <v>100</v>
      </c>
      <c r="S2464" s="2" t="s">
        <v>7665</v>
      </c>
      <c r="T2464" s="2" t="s">
        <v>5869</v>
      </c>
      <c r="U2464" s="2" t="s">
        <v>1847</v>
      </c>
      <c r="V2464" s="2" t="s">
        <v>403</v>
      </c>
      <c r="W2464" s="2" t="s">
        <v>183</v>
      </c>
      <c r="X2464" s="2" t="s">
        <v>100</v>
      </c>
      <c r="Y2464" s="2" t="s">
        <v>7661</v>
      </c>
      <c r="Z2464" s="4">
        <v>129</v>
      </c>
      <c r="AA2464" s="4">
        <f>=ROUNDDOWN(12.9,0)</f>
      </c>
      <c r="AB2464" s="5">
        <v>10</v>
      </c>
      <c r="AC2464" s="2" t="s">
        <v>4745</v>
      </c>
      <c r="AD2464" s="4">
        <v>200</v>
      </c>
      <c r="AE2464" s="4">
        <v>200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65</v>
      </c>
      <c r="BK2464" s="8">
        <v>790.26</v>
      </c>
      <c r="BL2464" s="2" t="s">
        <v>7666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207</v>
      </c>
      <c r="BV2464" s="2" t="s">
        <v>97</v>
      </c>
      <c r="BW2464" s="2" t="s">
        <v>100</v>
      </c>
      <c r="BX2464" s="2" t="s">
        <v>100</v>
      </c>
      <c r="BY2464" s="2" t="s">
        <v>113</v>
      </c>
      <c r="BZ2464" s="2" t="s">
        <v>100</v>
      </c>
    </row>
    <row r="2465">
      <c r="A2465" s="2" t="s">
        <v>7667</v>
      </c>
      <c r="B2465" s="2" t="s">
        <v>5764</v>
      </c>
      <c r="C2465" s="2" t="s">
        <v>4861</v>
      </c>
      <c r="D2465" s="2" t="s">
        <v>4473</v>
      </c>
      <c r="E2465" s="2" t="s">
        <v>5768</v>
      </c>
      <c r="F2465" s="2" t="s">
        <v>7656</v>
      </c>
      <c r="G2465" s="2" t="s">
        <v>7656</v>
      </c>
      <c r="H2465" s="2" t="s">
        <v>7656</v>
      </c>
      <c r="I2465" s="2" t="s">
        <v>5768</v>
      </c>
      <c r="J2465" s="2" t="s">
        <v>247</v>
      </c>
      <c r="K2465" s="2" t="s">
        <v>198</v>
      </c>
      <c r="L2465" s="3">
        <v>12.7</v>
      </c>
      <c r="M2465" s="3">
        <v>13.34</v>
      </c>
      <c r="N2465" s="3">
        <v>28.99</v>
      </c>
      <c r="O2465" s="2" t="s">
        <v>97</v>
      </c>
      <c r="P2465" s="2" t="s">
        <v>225</v>
      </c>
      <c r="Q2465" s="2" t="s">
        <v>99</v>
      </c>
      <c r="R2465" s="2" t="s">
        <v>100</v>
      </c>
      <c r="S2465" s="2" t="s">
        <v>7665</v>
      </c>
      <c r="T2465" s="2" t="s">
        <v>5869</v>
      </c>
      <c r="U2465" s="2" t="s">
        <v>1847</v>
      </c>
      <c r="V2465" s="2" t="s">
        <v>403</v>
      </c>
      <c r="W2465" s="2" t="s">
        <v>183</v>
      </c>
      <c r="X2465" s="2" t="s">
        <v>100</v>
      </c>
      <c r="Y2465" s="2" t="s">
        <v>7661</v>
      </c>
      <c r="Z2465" s="4">
        <v>274</v>
      </c>
      <c r="AA2465" s="4">
        <f>=ROUNDDOWN(17.125,0)</f>
      </c>
      <c r="AB2465" s="5">
        <v>16</v>
      </c>
      <c r="AC2465" s="2" t="s">
        <v>4745</v>
      </c>
      <c r="AD2465" s="4">
        <v>300</v>
      </c>
      <c r="AE2465" s="4">
        <v>300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189</v>
      </c>
      <c r="BK2465" s="8">
        <v>2716.47</v>
      </c>
      <c r="BL2465" s="2" t="s">
        <v>2073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207</v>
      </c>
      <c r="BV2465" s="2" t="s">
        <v>97</v>
      </c>
      <c r="BW2465" s="2" t="s">
        <v>100</v>
      </c>
      <c r="BX2465" s="2" t="s">
        <v>100</v>
      </c>
      <c r="BY2465" s="2" t="s">
        <v>113</v>
      </c>
      <c r="BZ2465" s="2" t="s">
        <v>100</v>
      </c>
    </row>
    <row r="2466">
      <c r="A2466" s="2" t="s">
        <v>7668</v>
      </c>
      <c r="B2466" s="2" t="s">
        <v>5764</v>
      </c>
      <c r="C2466" s="2" t="s">
        <v>4861</v>
      </c>
      <c r="D2466" s="2" t="s">
        <v>4473</v>
      </c>
      <c r="E2466" s="2" t="s">
        <v>5768</v>
      </c>
      <c r="F2466" s="2" t="s">
        <v>7656</v>
      </c>
      <c r="G2466" s="2" t="s">
        <v>7656</v>
      </c>
      <c r="H2466" s="2" t="s">
        <v>7656</v>
      </c>
      <c r="I2466" s="2" t="s">
        <v>5768</v>
      </c>
      <c r="J2466" s="2" t="s">
        <v>714</v>
      </c>
      <c r="K2466" s="2" t="s">
        <v>198</v>
      </c>
      <c r="L2466" s="3">
        <v>14.45</v>
      </c>
      <c r="M2466" s="3">
        <v>15.17</v>
      </c>
      <c r="N2466" s="3">
        <v>32.99</v>
      </c>
      <c r="O2466" s="2" t="s">
        <v>97</v>
      </c>
      <c r="P2466" s="2" t="s">
        <v>225</v>
      </c>
      <c r="Q2466" s="2" t="s">
        <v>99</v>
      </c>
      <c r="R2466" s="2" t="s">
        <v>100</v>
      </c>
      <c r="S2466" s="2" t="s">
        <v>7665</v>
      </c>
      <c r="T2466" s="2" t="s">
        <v>5869</v>
      </c>
      <c r="U2466" s="2" t="s">
        <v>1847</v>
      </c>
      <c r="V2466" s="2" t="s">
        <v>403</v>
      </c>
      <c r="W2466" s="2" t="s">
        <v>183</v>
      </c>
      <c r="X2466" s="2" t="s">
        <v>100</v>
      </c>
      <c r="Y2466" s="2" t="s">
        <v>7661</v>
      </c>
      <c r="Z2466" s="4">
        <v>62</v>
      </c>
      <c r="AA2466" s="4">
        <f>=ROUNDDOWN(5.16666666666667,0)</f>
      </c>
      <c r="AB2466" s="5">
        <v>12</v>
      </c>
      <c r="AC2466" s="2" t="s">
        <v>4745</v>
      </c>
      <c r="AD2466" s="4">
        <v>300</v>
      </c>
      <c r="AE2466" s="4">
        <v>300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183</v>
      </c>
      <c r="BK2466" s="8">
        <v>3006.89</v>
      </c>
      <c r="BL2466" s="2" t="s">
        <v>2302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207</v>
      </c>
      <c r="BV2466" s="2" t="s">
        <v>97</v>
      </c>
      <c r="BW2466" s="2" t="s">
        <v>100</v>
      </c>
      <c r="BX2466" s="2" t="s">
        <v>100</v>
      </c>
      <c r="BY2466" s="2" t="s">
        <v>113</v>
      </c>
      <c r="BZ2466" s="2" t="s">
        <v>100</v>
      </c>
    </row>
    <row r="2467">
      <c r="A2467" s="2" t="s">
        <v>7669</v>
      </c>
      <c r="B2467" s="2" t="s">
        <v>5764</v>
      </c>
      <c r="C2467" s="2" t="s">
        <v>4861</v>
      </c>
      <c r="D2467" s="2" t="s">
        <v>4473</v>
      </c>
      <c r="E2467" s="2" t="s">
        <v>5768</v>
      </c>
      <c r="F2467" s="2" t="s">
        <v>7656</v>
      </c>
      <c r="G2467" s="2" t="s">
        <v>7656</v>
      </c>
      <c r="H2467" s="2" t="s">
        <v>7656</v>
      </c>
      <c r="I2467" s="2" t="s">
        <v>5768</v>
      </c>
      <c r="J2467" s="2" t="s">
        <v>1936</v>
      </c>
      <c r="K2467" s="2" t="s">
        <v>1614</v>
      </c>
      <c r="L2467" s="3">
        <v>10.71</v>
      </c>
      <c r="M2467" s="3">
        <v>11.25</v>
      </c>
      <c r="N2467" s="3">
        <v>24.99</v>
      </c>
      <c r="O2467" s="2" t="s">
        <v>97</v>
      </c>
      <c r="P2467" s="2" t="s">
        <v>225</v>
      </c>
      <c r="Q2467" s="2" t="s">
        <v>99</v>
      </c>
      <c r="R2467" s="2" t="s">
        <v>100</v>
      </c>
      <c r="S2467" s="2" t="s">
        <v>7670</v>
      </c>
      <c r="T2467" s="2" t="s">
        <v>5869</v>
      </c>
      <c r="U2467" s="2" t="s">
        <v>1847</v>
      </c>
      <c r="V2467" s="2" t="s">
        <v>403</v>
      </c>
      <c r="W2467" s="2" t="s">
        <v>183</v>
      </c>
      <c r="X2467" s="2" t="s">
        <v>100</v>
      </c>
      <c r="Y2467" s="2" t="s">
        <v>7658</v>
      </c>
      <c r="Z2467" s="4">
        <v>241</v>
      </c>
      <c r="AA2467" s="4">
        <f>=ROUNDDOWN(24.1,0)</f>
      </c>
      <c r="AB2467" s="5">
        <v>10</v>
      </c>
      <c r="AC2467" s="2" t="s">
        <v>4745</v>
      </c>
      <c r="AD2467" s="4">
        <v>180</v>
      </c>
      <c r="AE2467" s="4">
        <v>180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84</v>
      </c>
      <c r="BK2467" s="8">
        <v>1015.67</v>
      </c>
      <c r="BL2467" s="2" t="s">
        <v>7662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207</v>
      </c>
      <c r="BV2467" s="2" t="s">
        <v>97</v>
      </c>
      <c r="BW2467" s="2" t="s">
        <v>100</v>
      </c>
      <c r="BX2467" s="2" t="s">
        <v>100</v>
      </c>
      <c r="BY2467" s="2" t="s">
        <v>113</v>
      </c>
      <c r="BZ2467" s="2" t="s">
        <v>100</v>
      </c>
    </row>
    <row r="2468">
      <c r="A2468" s="2" t="s">
        <v>7671</v>
      </c>
      <c r="B2468" s="2" t="s">
        <v>5764</v>
      </c>
      <c r="C2468" s="2" t="s">
        <v>4861</v>
      </c>
      <c r="D2468" s="2" t="s">
        <v>4473</v>
      </c>
      <c r="E2468" s="2" t="s">
        <v>5768</v>
      </c>
      <c r="F2468" s="2" t="s">
        <v>7656</v>
      </c>
      <c r="G2468" s="2" t="s">
        <v>7656</v>
      </c>
      <c r="H2468" s="2" t="s">
        <v>7656</v>
      </c>
      <c r="I2468" s="2" t="s">
        <v>5768</v>
      </c>
      <c r="J2468" s="2" t="s">
        <v>247</v>
      </c>
      <c r="K2468" s="2" t="s">
        <v>1614</v>
      </c>
      <c r="L2468" s="3">
        <v>12.7</v>
      </c>
      <c r="M2468" s="3">
        <v>13.34</v>
      </c>
      <c r="N2468" s="3">
        <v>28.99</v>
      </c>
      <c r="O2468" s="2" t="s">
        <v>97</v>
      </c>
      <c r="P2468" s="2" t="s">
        <v>225</v>
      </c>
      <c r="Q2468" s="2" t="s">
        <v>99</v>
      </c>
      <c r="R2468" s="2" t="s">
        <v>100</v>
      </c>
      <c r="S2468" s="2" t="s">
        <v>7670</v>
      </c>
      <c r="T2468" s="2" t="s">
        <v>5869</v>
      </c>
      <c r="U2468" s="2" t="s">
        <v>1847</v>
      </c>
      <c r="V2468" s="2" t="s">
        <v>403</v>
      </c>
      <c r="W2468" s="2" t="s">
        <v>183</v>
      </c>
      <c r="X2468" s="2" t="s">
        <v>100</v>
      </c>
      <c r="Y2468" s="2" t="s">
        <v>7661</v>
      </c>
      <c r="Z2468" s="4">
        <v>502</v>
      </c>
      <c r="AA2468" s="4">
        <f>=ROUNDDOWN(27.8888888888889,0)</f>
      </c>
      <c r="AB2468" s="5">
        <v>18</v>
      </c>
      <c r="AC2468" s="2" t="s">
        <v>4745</v>
      </c>
      <c r="AD2468" s="4">
        <v>350</v>
      </c>
      <c r="AE2468" s="4">
        <v>350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215</v>
      </c>
      <c r="BK2468" s="8">
        <v>3099.58</v>
      </c>
      <c r="BL2468" s="2" t="s">
        <v>2908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207</v>
      </c>
      <c r="BV2468" s="2" t="s">
        <v>97</v>
      </c>
      <c r="BW2468" s="2" t="s">
        <v>100</v>
      </c>
      <c r="BX2468" s="2" t="s">
        <v>100</v>
      </c>
      <c r="BY2468" s="2" t="s">
        <v>113</v>
      </c>
      <c r="BZ2468" s="2" t="s">
        <v>100</v>
      </c>
    </row>
    <row r="2469">
      <c r="A2469" s="2" t="s">
        <v>7672</v>
      </c>
      <c r="B2469" s="2" t="s">
        <v>5764</v>
      </c>
      <c r="C2469" s="2" t="s">
        <v>4861</v>
      </c>
      <c r="D2469" s="2" t="s">
        <v>4473</v>
      </c>
      <c r="E2469" s="2" t="s">
        <v>5768</v>
      </c>
      <c r="F2469" s="2" t="s">
        <v>7656</v>
      </c>
      <c r="G2469" s="2" t="s">
        <v>7656</v>
      </c>
      <c r="H2469" s="2" t="s">
        <v>7656</v>
      </c>
      <c r="I2469" s="2" t="s">
        <v>5768</v>
      </c>
      <c r="J2469" s="2" t="s">
        <v>714</v>
      </c>
      <c r="K2469" s="2" t="s">
        <v>1614</v>
      </c>
      <c r="L2469" s="3">
        <v>14.45</v>
      </c>
      <c r="M2469" s="3">
        <v>15.17</v>
      </c>
      <c r="N2469" s="3">
        <v>32.99</v>
      </c>
      <c r="O2469" s="2" t="s">
        <v>97</v>
      </c>
      <c r="P2469" s="2" t="s">
        <v>225</v>
      </c>
      <c r="Q2469" s="2" t="s">
        <v>99</v>
      </c>
      <c r="R2469" s="2" t="s">
        <v>100</v>
      </c>
      <c r="S2469" s="2" t="s">
        <v>7670</v>
      </c>
      <c r="T2469" s="2" t="s">
        <v>5869</v>
      </c>
      <c r="U2469" s="2" t="s">
        <v>1847</v>
      </c>
      <c r="V2469" s="2" t="s">
        <v>403</v>
      </c>
      <c r="W2469" s="2" t="s">
        <v>183</v>
      </c>
      <c r="X2469" s="2" t="s">
        <v>100</v>
      </c>
      <c r="Y2469" s="2" t="s">
        <v>7661</v>
      </c>
      <c r="Z2469" s="4">
        <v>301</v>
      </c>
      <c r="AA2469" s="4">
        <f>=ROUNDDOWN(25.0833333333333,0)</f>
      </c>
      <c r="AB2469" s="5">
        <v>12</v>
      </c>
      <c r="AC2469" s="2" t="s">
        <v>4745</v>
      </c>
      <c r="AD2469" s="4">
        <v>270</v>
      </c>
      <c r="AE2469" s="4">
        <v>270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95</v>
      </c>
      <c r="BK2469" s="8">
        <v>1586.98</v>
      </c>
      <c r="BL2469" s="2" t="s">
        <v>4619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207</v>
      </c>
      <c r="BV2469" s="2" t="s">
        <v>97</v>
      </c>
      <c r="BW2469" s="2" t="s">
        <v>100</v>
      </c>
      <c r="BX2469" s="2" t="s">
        <v>100</v>
      </c>
      <c r="BY2469" s="2" t="s">
        <v>113</v>
      </c>
      <c r="BZ2469" s="2" t="s">
        <v>100</v>
      </c>
    </row>
    <row r="2470">
      <c r="A2470" s="2" t="s">
        <v>7673</v>
      </c>
      <c r="B2470" s="2" t="s">
        <v>5764</v>
      </c>
      <c r="C2470" s="2" t="s">
        <v>4861</v>
      </c>
      <c r="D2470" s="2" t="s">
        <v>4473</v>
      </c>
      <c r="E2470" s="2" t="s">
        <v>5768</v>
      </c>
      <c r="F2470" s="2" t="s">
        <v>7656</v>
      </c>
      <c r="G2470" s="2" t="s">
        <v>7656</v>
      </c>
      <c r="H2470" s="2" t="s">
        <v>7656</v>
      </c>
      <c r="I2470" s="2" t="s">
        <v>5768</v>
      </c>
      <c r="J2470" s="2" t="s">
        <v>1936</v>
      </c>
      <c r="K2470" s="2" t="s">
        <v>629</v>
      </c>
      <c r="L2470" s="3">
        <v>10.71</v>
      </c>
      <c r="M2470" s="3">
        <v>11.25</v>
      </c>
      <c r="N2470" s="3">
        <v>24.99</v>
      </c>
      <c r="O2470" s="2" t="s">
        <v>97</v>
      </c>
      <c r="P2470" s="2" t="s">
        <v>225</v>
      </c>
      <c r="Q2470" s="2" t="s">
        <v>99</v>
      </c>
      <c r="R2470" s="2" t="s">
        <v>100</v>
      </c>
      <c r="S2470" s="2" t="s">
        <v>7674</v>
      </c>
      <c r="T2470" s="2" t="s">
        <v>5869</v>
      </c>
      <c r="U2470" s="2" t="s">
        <v>1847</v>
      </c>
      <c r="V2470" s="2" t="s">
        <v>403</v>
      </c>
      <c r="W2470" s="2" t="s">
        <v>183</v>
      </c>
      <c r="X2470" s="2" t="s">
        <v>100</v>
      </c>
      <c r="Y2470" s="2" t="s">
        <v>7661</v>
      </c>
      <c r="Z2470" s="4">
        <v>258</v>
      </c>
      <c r="AA2470" s="4">
        <f>=ROUNDDOWN(32.25,0)</f>
      </c>
      <c r="AB2470" s="5">
        <v>8</v>
      </c>
      <c r="AC2470" s="2" t="s">
        <v>4745</v>
      </c>
      <c r="AD2470" s="4">
        <v>240</v>
      </c>
      <c r="AE2470" s="4">
        <v>240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69</v>
      </c>
      <c r="BK2470" s="8">
        <v>836.99</v>
      </c>
      <c r="BL2470" s="2" t="s">
        <v>2163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207</v>
      </c>
      <c r="BV2470" s="2" t="s">
        <v>97</v>
      </c>
      <c r="BW2470" s="2" t="s">
        <v>100</v>
      </c>
      <c r="BX2470" s="2" t="s">
        <v>100</v>
      </c>
      <c r="BY2470" s="2" t="s">
        <v>113</v>
      </c>
      <c r="BZ2470" s="2" t="s">
        <v>100</v>
      </c>
    </row>
    <row r="2471">
      <c r="A2471" s="2" t="s">
        <v>7675</v>
      </c>
      <c r="B2471" s="2" t="s">
        <v>5764</v>
      </c>
      <c r="C2471" s="2" t="s">
        <v>4861</v>
      </c>
      <c r="D2471" s="2" t="s">
        <v>4473</v>
      </c>
      <c r="E2471" s="2" t="s">
        <v>5768</v>
      </c>
      <c r="F2471" s="2" t="s">
        <v>7656</v>
      </c>
      <c r="G2471" s="2" t="s">
        <v>7656</v>
      </c>
      <c r="H2471" s="2" t="s">
        <v>7656</v>
      </c>
      <c r="I2471" s="2" t="s">
        <v>5768</v>
      </c>
      <c r="J2471" s="2" t="s">
        <v>247</v>
      </c>
      <c r="K2471" s="2" t="s">
        <v>629</v>
      </c>
      <c r="L2471" s="3">
        <v>12.7</v>
      </c>
      <c r="M2471" s="3">
        <v>13.34</v>
      </c>
      <c r="N2471" s="3">
        <v>28.99</v>
      </c>
      <c r="O2471" s="2" t="s">
        <v>97</v>
      </c>
      <c r="P2471" s="2" t="s">
        <v>225</v>
      </c>
      <c r="Q2471" s="2" t="s">
        <v>99</v>
      </c>
      <c r="R2471" s="2" t="s">
        <v>100</v>
      </c>
      <c r="S2471" s="2" t="s">
        <v>7674</v>
      </c>
      <c r="T2471" s="2" t="s">
        <v>5869</v>
      </c>
      <c r="U2471" s="2" t="s">
        <v>1847</v>
      </c>
      <c r="V2471" s="2" t="s">
        <v>403</v>
      </c>
      <c r="W2471" s="2" t="s">
        <v>183</v>
      </c>
      <c r="X2471" s="2" t="s">
        <v>100</v>
      </c>
      <c r="Y2471" s="2" t="s">
        <v>7661</v>
      </c>
      <c r="Z2471" s="4">
        <v>543</v>
      </c>
      <c r="AA2471" s="4">
        <f>=ROUNDDOWN(30.1666666666667,0)</f>
      </c>
      <c r="AB2471" s="5">
        <v>18</v>
      </c>
      <c r="AC2471" s="2" t="s">
        <v>4745</v>
      </c>
      <c r="AD2471" s="4">
        <v>390</v>
      </c>
      <c r="AE2471" s="4">
        <v>390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177</v>
      </c>
      <c r="BK2471" s="8">
        <v>2544.48</v>
      </c>
      <c r="BL2471" s="2" t="s">
        <v>3826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207</v>
      </c>
      <c r="BV2471" s="2" t="s">
        <v>97</v>
      </c>
      <c r="BW2471" s="2" t="s">
        <v>100</v>
      </c>
      <c r="BX2471" s="2" t="s">
        <v>100</v>
      </c>
      <c r="BY2471" s="2" t="s">
        <v>113</v>
      </c>
      <c r="BZ2471" s="2" t="s">
        <v>100</v>
      </c>
    </row>
    <row r="2472">
      <c r="A2472" s="2" t="s">
        <v>7676</v>
      </c>
      <c r="B2472" s="2" t="s">
        <v>5764</v>
      </c>
      <c r="C2472" s="2" t="s">
        <v>4861</v>
      </c>
      <c r="D2472" s="2" t="s">
        <v>4473</v>
      </c>
      <c r="E2472" s="2" t="s">
        <v>5768</v>
      </c>
      <c r="F2472" s="2" t="s">
        <v>7656</v>
      </c>
      <c r="G2472" s="2" t="s">
        <v>7656</v>
      </c>
      <c r="H2472" s="2" t="s">
        <v>7656</v>
      </c>
      <c r="I2472" s="2" t="s">
        <v>5768</v>
      </c>
      <c r="J2472" s="2" t="s">
        <v>714</v>
      </c>
      <c r="K2472" s="2" t="s">
        <v>629</v>
      </c>
      <c r="L2472" s="3">
        <v>14.45</v>
      </c>
      <c r="M2472" s="3">
        <v>15.17</v>
      </c>
      <c r="N2472" s="3">
        <v>32.99</v>
      </c>
      <c r="O2472" s="2" t="s">
        <v>97</v>
      </c>
      <c r="P2472" s="2" t="s">
        <v>225</v>
      </c>
      <c r="Q2472" s="2" t="s">
        <v>99</v>
      </c>
      <c r="R2472" s="2" t="s">
        <v>100</v>
      </c>
      <c r="S2472" s="2" t="s">
        <v>7674</v>
      </c>
      <c r="T2472" s="2" t="s">
        <v>5869</v>
      </c>
      <c r="U2472" s="2" t="s">
        <v>1847</v>
      </c>
      <c r="V2472" s="2" t="s">
        <v>403</v>
      </c>
      <c r="W2472" s="2" t="s">
        <v>183</v>
      </c>
      <c r="X2472" s="2" t="s">
        <v>100</v>
      </c>
      <c r="Y2472" s="2" t="s">
        <v>7661</v>
      </c>
      <c r="Z2472" s="4">
        <v>304</v>
      </c>
      <c r="AA2472" s="4">
        <f>=ROUNDDOWN(38,0)</f>
      </c>
      <c r="AB2472" s="5">
        <v>8</v>
      </c>
      <c r="AC2472" s="2" t="s">
        <v>4745</v>
      </c>
      <c r="AD2472" s="4">
        <v>170</v>
      </c>
      <c r="AE2472" s="4">
        <v>170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111</v>
      </c>
      <c r="BK2472" s="8">
        <v>1817.15</v>
      </c>
      <c r="BL2472" s="2" t="s">
        <v>2302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207</v>
      </c>
      <c r="BV2472" s="2" t="s">
        <v>97</v>
      </c>
      <c r="BW2472" s="2" t="s">
        <v>100</v>
      </c>
      <c r="BX2472" s="2" t="s">
        <v>100</v>
      </c>
      <c r="BY2472" s="2" t="s">
        <v>113</v>
      </c>
      <c r="BZ2472" s="2" t="s">
        <v>100</v>
      </c>
    </row>
    <row r="2473">
      <c r="A2473" s="2" t="s">
        <v>7677</v>
      </c>
      <c r="B2473" s="2" t="s">
        <v>5764</v>
      </c>
      <c r="C2473" s="2" t="s">
        <v>4861</v>
      </c>
      <c r="D2473" s="2" t="s">
        <v>5765</v>
      </c>
      <c r="E2473" s="2" t="s">
        <v>5766</v>
      </c>
      <c r="F2473" s="2" t="s">
        <v>7678</v>
      </c>
      <c r="G2473" s="2" t="s">
        <v>7678</v>
      </c>
      <c r="H2473" s="2" t="s">
        <v>7678</v>
      </c>
      <c r="I2473" s="2" t="s">
        <v>5867</v>
      </c>
      <c r="J2473" s="2" t="s">
        <v>1936</v>
      </c>
      <c r="K2473" s="2" t="s">
        <v>118</v>
      </c>
      <c r="L2473" s="3">
        <v>45.23</v>
      </c>
      <c r="M2473" s="3">
        <v>47.49</v>
      </c>
      <c r="N2473" s="3">
        <v>94.99</v>
      </c>
      <c r="O2473" s="2" t="s">
        <v>97</v>
      </c>
      <c r="P2473" s="2" t="s">
        <v>119</v>
      </c>
      <c r="Q2473" s="2" t="s">
        <v>99</v>
      </c>
      <c r="R2473" s="2" t="s">
        <v>100</v>
      </c>
      <c r="S2473" s="2" t="s">
        <v>7679</v>
      </c>
      <c r="T2473" s="2" t="s">
        <v>5945</v>
      </c>
      <c r="U2473" s="2" t="s">
        <v>1847</v>
      </c>
      <c r="V2473" s="2" t="s">
        <v>146</v>
      </c>
      <c r="W2473" s="2" t="s">
        <v>183</v>
      </c>
      <c r="X2473" s="2" t="s">
        <v>202</v>
      </c>
      <c r="Y2473" s="2" t="s">
        <v>4611</v>
      </c>
      <c r="Z2473" s="4">
        <v>156</v>
      </c>
      <c r="AA2473" s="4">
        <f>=ROUNDDOWN(17.3333333333333,0)</f>
      </c>
      <c r="AB2473" s="5">
        <v>9</v>
      </c>
      <c r="AC2473" s="2" t="s">
        <v>768</v>
      </c>
      <c r="AD2473" s="4">
        <v>140</v>
      </c>
      <c r="AE2473" s="4">
        <v>140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51</v>
      </c>
      <c r="BK2473" s="8">
        <v>2574.83</v>
      </c>
      <c r="BL2473" s="2" t="s">
        <v>736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207</v>
      </c>
      <c r="BV2473" s="2" t="s">
        <v>97</v>
      </c>
      <c r="BW2473" s="2" t="s">
        <v>100</v>
      </c>
      <c r="BX2473" s="2" t="s">
        <v>100</v>
      </c>
      <c r="BY2473" s="2" t="s">
        <v>113</v>
      </c>
      <c r="BZ2473" s="2" t="s">
        <v>100</v>
      </c>
    </row>
    <row r="2474">
      <c r="A2474" s="2" t="s">
        <v>7680</v>
      </c>
      <c r="B2474" s="2" t="s">
        <v>5764</v>
      </c>
      <c r="C2474" s="2" t="s">
        <v>4861</v>
      </c>
      <c r="D2474" s="2" t="s">
        <v>5765</v>
      </c>
      <c r="E2474" s="2" t="s">
        <v>5766</v>
      </c>
      <c r="F2474" s="2" t="s">
        <v>7678</v>
      </c>
      <c r="G2474" s="2" t="s">
        <v>7678</v>
      </c>
      <c r="H2474" s="2" t="s">
        <v>7678</v>
      </c>
      <c r="I2474" s="2" t="s">
        <v>5867</v>
      </c>
      <c r="J2474" s="2" t="s">
        <v>717</v>
      </c>
      <c r="K2474" s="2" t="s">
        <v>118</v>
      </c>
      <c r="L2474" s="3">
        <v>50</v>
      </c>
      <c r="M2474" s="3">
        <v>52.5</v>
      </c>
      <c r="N2474" s="3">
        <v>104.99</v>
      </c>
      <c r="O2474" s="2" t="s">
        <v>97</v>
      </c>
      <c r="P2474" s="2" t="s">
        <v>119</v>
      </c>
      <c r="Q2474" s="2" t="s">
        <v>99</v>
      </c>
      <c r="R2474" s="2" t="s">
        <v>100</v>
      </c>
      <c r="S2474" s="2" t="s">
        <v>7679</v>
      </c>
      <c r="T2474" s="2" t="s">
        <v>5945</v>
      </c>
      <c r="U2474" s="2" t="s">
        <v>1847</v>
      </c>
      <c r="V2474" s="2" t="s">
        <v>146</v>
      </c>
      <c r="W2474" s="2" t="s">
        <v>183</v>
      </c>
      <c r="X2474" s="2" t="s">
        <v>202</v>
      </c>
      <c r="Y2474" s="2" t="s">
        <v>6895</v>
      </c>
      <c r="Z2474" s="4">
        <v>114</v>
      </c>
      <c r="AA2474" s="4">
        <f>=ROUNDDOWN(12.6666666666667,0)</f>
      </c>
      <c r="AB2474" s="5">
        <v>9</v>
      </c>
      <c r="AC2474" s="2" t="s">
        <v>768</v>
      </c>
      <c r="AD2474" s="4">
        <v>130</v>
      </c>
      <c r="AE2474" s="4">
        <v>130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67</v>
      </c>
      <c r="BK2474" s="8">
        <v>3772.62</v>
      </c>
      <c r="BL2474" s="2" t="s">
        <v>2675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207</v>
      </c>
      <c r="BV2474" s="2" t="s">
        <v>97</v>
      </c>
      <c r="BW2474" s="2" t="s">
        <v>100</v>
      </c>
      <c r="BX2474" s="2" t="s">
        <v>100</v>
      </c>
      <c r="BY2474" s="2" t="s">
        <v>113</v>
      </c>
      <c r="BZ2474" s="2" t="s">
        <v>100</v>
      </c>
    </row>
    <row r="2475">
      <c r="A2475" s="2" t="s">
        <v>7681</v>
      </c>
      <c r="B2475" s="2" t="s">
        <v>5764</v>
      </c>
      <c r="C2475" s="2" t="s">
        <v>4861</v>
      </c>
      <c r="D2475" s="2" t="s">
        <v>5765</v>
      </c>
      <c r="E2475" s="2" t="s">
        <v>5766</v>
      </c>
      <c r="F2475" s="2" t="s">
        <v>7678</v>
      </c>
      <c r="G2475" s="2" t="s">
        <v>7678</v>
      </c>
      <c r="H2475" s="2" t="s">
        <v>7678</v>
      </c>
      <c r="I2475" s="2" t="s">
        <v>5867</v>
      </c>
      <c r="J2475" s="2" t="s">
        <v>706</v>
      </c>
      <c r="K2475" s="2" t="s">
        <v>118</v>
      </c>
      <c r="L2475" s="3">
        <v>69.04</v>
      </c>
      <c r="M2475" s="3">
        <v>72.49</v>
      </c>
      <c r="N2475" s="3">
        <v>144.99</v>
      </c>
      <c r="O2475" s="2" t="s">
        <v>97</v>
      </c>
      <c r="P2475" s="2" t="s">
        <v>119</v>
      </c>
      <c r="Q2475" s="2" t="s">
        <v>99</v>
      </c>
      <c r="R2475" s="2" t="s">
        <v>100</v>
      </c>
      <c r="S2475" s="2" t="s">
        <v>7679</v>
      </c>
      <c r="T2475" s="2" t="s">
        <v>5945</v>
      </c>
      <c r="U2475" s="2" t="s">
        <v>1847</v>
      </c>
      <c r="V2475" s="2" t="s">
        <v>146</v>
      </c>
      <c r="W2475" s="2" t="s">
        <v>183</v>
      </c>
      <c r="X2475" s="2" t="s">
        <v>202</v>
      </c>
      <c r="Y2475" s="2" t="s">
        <v>6895</v>
      </c>
      <c r="Z2475" s="4">
        <v>316</v>
      </c>
      <c r="AA2475" s="4">
        <f>=ROUNDDOWN(28.7272727272727,0)</f>
      </c>
      <c r="AB2475" s="5">
        <v>11</v>
      </c>
      <c r="AC2475" s="2" t="s">
        <v>768</v>
      </c>
      <c r="AD2475" s="4">
        <v>59</v>
      </c>
      <c r="AE2475" s="4">
        <v>80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79</v>
      </c>
      <c r="BK2475" s="8">
        <v>6102.11</v>
      </c>
      <c r="BL2475" s="2" t="s">
        <v>7682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207</v>
      </c>
      <c r="BV2475" s="2" t="s">
        <v>97</v>
      </c>
      <c r="BW2475" s="2" t="s">
        <v>100</v>
      </c>
      <c r="BX2475" s="2" t="s">
        <v>100</v>
      </c>
      <c r="BY2475" s="2" t="s">
        <v>113</v>
      </c>
      <c r="BZ2475" s="2" t="s">
        <v>100</v>
      </c>
    </row>
    <row r="2476">
      <c r="A2476" s="2" t="s">
        <v>7683</v>
      </c>
      <c r="B2476" s="2" t="s">
        <v>5764</v>
      </c>
      <c r="C2476" s="2" t="s">
        <v>4861</v>
      </c>
      <c r="D2476" s="2" t="s">
        <v>5765</v>
      </c>
      <c r="E2476" s="2" t="s">
        <v>5766</v>
      </c>
      <c r="F2476" s="2" t="s">
        <v>7678</v>
      </c>
      <c r="G2476" s="2" t="s">
        <v>7678</v>
      </c>
      <c r="H2476" s="2" t="s">
        <v>7678</v>
      </c>
      <c r="I2476" s="2" t="s">
        <v>5867</v>
      </c>
      <c r="J2476" s="2" t="s">
        <v>714</v>
      </c>
      <c r="K2476" s="2" t="s">
        <v>118</v>
      </c>
      <c r="L2476" s="3">
        <v>78.57</v>
      </c>
      <c r="M2476" s="3">
        <v>82.5</v>
      </c>
      <c r="N2476" s="3">
        <v>164.99</v>
      </c>
      <c r="O2476" s="2" t="s">
        <v>97</v>
      </c>
      <c r="P2476" s="2" t="s">
        <v>119</v>
      </c>
      <c r="Q2476" s="2" t="s">
        <v>99</v>
      </c>
      <c r="R2476" s="2" t="s">
        <v>100</v>
      </c>
      <c r="S2476" s="2" t="s">
        <v>7679</v>
      </c>
      <c r="T2476" s="2" t="s">
        <v>5945</v>
      </c>
      <c r="U2476" s="2" t="s">
        <v>1847</v>
      </c>
      <c r="V2476" s="2" t="s">
        <v>146</v>
      </c>
      <c r="W2476" s="2" t="s">
        <v>183</v>
      </c>
      <c r="X2476" s="2" t="s">
        <v>202</v>
      </c>
      <c r="Y2476" s="2" t="s">
        <v>6895</v>
      </c>
      <c r="Z2476" s="4">
        <v>416</v>
      </c>
      <c r="AA2476" s="4">
        <f>=ROUNDDOWN(37.8181818181818,0)</f>
      </c>
      <c r="AB2476" s="5">
        <v>11</v>
      </c>
      <c r="AC2476" s="2" t="s">
        <v>768</v>
      </c>
      <c r="AD2476" s="4">
        <v>30</v>
      </c>
      <c r="AE2476" s="4">
        <v>40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63</v>
      </c>
      <c r="BK2476" s="8">
        <v>5544.36</v>
      </c>
      <c r="BL2476" s="2" t="s">
        <v>7682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207</v>
      </c>
      <c r="BV2476" s="2" t="s">
        <v>97</v>
      </c>
      <c r="BW2476" s="2" t="s">
        <v>100</v>
      </c>
      <c r="BX2476" s="2" t="s">
        <v>100</v>
      </c>
      <c r="BY2476" s="2" t="s">
        <v>113</v>
      </c>
      <c r="BZ2476" s="2" t="s">
        <v>100</v>
      </c>
    </row>
    <row r="2477">
      <c r="A2477" s="2" t="s">
        <v>7684</v>
      </c>
      <c r="B2477" s="2" t="s">
        <v>5764</v>
      </c>
      <c r="C2477" s="2" t="s">
        <v>4861</v>
      </c>
      <c r="D2477" s="2" t="s">
        <v>5765</v>
      </c>
      <c r="E2477" s="2" t="s">
        <v>5766</v>
      </c>
      <c r="F2477" s="2" t="s">
        <v>7678</v>
      </c>
      <c r="G2477" s="2" t="s">
        <v>7678</v>
      </c>
      <c r="H2477" s="2" t="s">
        <v>7678</v>
      </c>
      <c r="I2477" s="2" t="s">
        <v>5867</v>
      </c>
      <c r="J2477" s="2" t="s">
        <v>1936</v>
      </c>
      <c r="K2477" s="2" t="s">
        <v>913</v>
      </c>
      <c r="L2477" s="3">
        <v>45.23</v>
      </c>
      <c r="M2477" s="3">
        <v>47.49</v>
      </c>
      <c r="N2477" s="3">
        <v>94.99</v>
      </c>
      <c r="O2477" s="2" t="s">
        <v>97</v>
      </c>
      <c r="P2477" s="2" t="s">
        <v>119</v>
      </c>
      <c r="Q2477" s="2" t="s">
        <v>99</v>
      </c>
      <c r="R2477" s="2" t="s">
        <v>100</v>
      </c>
      <c r="S2477" s="2" t="s">
        <v>7685</v>
      </c>
      <c r="T2477" s="2" t="s">
        <v>5945</v>
      </c>
      <c r="U2477" s="2" t="s">
        <v>1847</v>
      </c>
      <c r="V2477" s="2" t="s">
        <v>146</v>
      </c>
      <c r="W2477" s="2" t="s">
        <v>183</v>
      </c>
      <c r="X2477" s="2" t="s">
        <v>202</v>
      </c>
      <c r="Y2477" s="2" t="s">
        <v>6895</v>
      </c>
      <c r="Z2477" s="4">
        <v>204</v>
      </c>
      <c r="AA2477" s="4">
        <f>=ROUNDDOWN(51,0)</f>
      </c>
      <c r="AB2477" s="5">
        <v>4</v>
      </c>
      <c r="AC2477" s="2" t="s">
        <v>100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34</v>
      </c>
      <c r="BK2477" s="8">
        <v>1735.4</v>
      </c>
      <c r="BL2477" s="2" t="s">
        <v>7686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207</v>
      </c>
      <c r="BV2477" s="2" t="s">
        <v>97</v>
      </c>
      <c r="BW2477" s="2" t="s">
        <v>100</v>
      </c>
      <c r="BX2477" s="2" t="s">
        <v>100</v>
      </c>
      <c r="BY2477" s="2" t="s">
        <v>113</v>
      </c>
      <c r="BZ2477" s="2" t="s">
        <v>100</v>
      </c>
    </row>
    <row r="2478">
      <c r="A2478" s="2" t="s">
        <v>7687</v>
      </c>
      <c r="B2478" s="2" t="s">
        <v>5764</v>
      </c>
      <c r="C2478" s="2" t="s">
        <v>4861</v>
      </c>
      <c r="D2478" s="2" t="s">
        <v>5765</v>
      </c>
      <c r="E2478" s="2" t="s">
        <v>5766</v>
      </c>
      <c r="F2478" s="2" t="s">
        <v>7678</v>
      </c>
      <c r="G2478" s="2" t="s">
        <v>7678</v>
      </c>
      <c r="H2478" s="2" t="s">
        <v>7678</v>
      </c>
      <c r="I2478" s="2" t="s">
        <v>5867</v>
      </c>
      <c r="J2478" s="2" t="s">
        <v>717</v>
      </c>
      <c r="K2478" s="2" t="s">
        <v>913</v>
      </c>
      <c r="L2478" s="3">
        <v>50</v>
      </c>
      <c r="M2478" s="3">
        <v>52.5</v>
      </c>
      <c r="N2478" s="3">
        <v>104.99</v>
      </c>
      <c r="O2478" s="2" t="s">
        <v>97</v>
      </c>
      <c r="P2478" s="2" t="s">
        <v>119</v>
      </c>
      <c r="Q2478" s="2" t="s">
        <v>99</v>
      </c>
      <c r="R2478" s="2" t="s">
        <v>100</v>
      </c>
      <c r="S2478" s="2" t="s">
        <v>7685</v>
      </c>
      <c r="T2478" s="2" t="s">
        <v>5945</v>
      </c>
      <c r="U2478" s="2" t="s">
        <v>1847</v>
      </c>
      <c r="V2478" s="2" t="s">
        <v>146</v>
      </c>
      <c r="W2478" s="2" t="s">
        <v>183</v>
      </c>
      <c r="X2478" s="2" t="s">
        <v>202</v>
      </c>
      <c r="Y2478" s="2" t="s">
        <v>6895</v>
      </c>
      <c r="Z2478" s="4">
        <v>348</v>
      </c>
      <c r="AA2478" s="4">
        <f>=ROUNDDOWN(49.7142857142857,0)</f>
      </c>
      <c r="AB2478" s="5">
        <v>7</v>
      </c>
      <c r="AC2478" s="2" t="s">
        <v>768</v>
      </c>
      <c r="AD2478" s="4">
        <v>120</v>
      </c>
      <c r="AE2478" s="4">
        <v>120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51</v>
      </c>
      <c r="BK2478" s="8">
        <v>2877.52</v>
      </c>
      <c r="BL2478" s="2" t="s">
        <v>1352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207</v>
      </c>
      <c r="BV2478" s="2" t="s">
        <v>97</v>
      </c>
      <c r="BW2478" s="2" t="s">
        <v>100</v>
      </c>
      <c r="BX2478" s="2" t="s">
        <v>100</v>
      </c>
      <c r="BY2478" s="2" t="s">
        <v>113</v>
      </c>
      <c r="BZ2478" s="2" t="s">
        <v>100</v>
      </c>
    </row>
    <row r="2479">
      <c r="A2479" s="2" t="s">
        <v>7688</v>
      </c>
      <c r="B2479" s="2" t="s">
        <v>5764</v>
      </c>
      <c r="C2479" s="2" t="s">
        <v>4861</v>
      </c>
      <c r="D2479" s="2" t="s">
        <v>5765</v>
      </c>
      <c r="E2479" s="2" t="s">
        <v>5766</v>
      </c>
      <c r="F2479" s="2" t="s">
        <v>7678</v>
      </c>
      <c r="G2479" s="2" t="s">
        <v>7678</v>
      </c>
      <c r="H2479" s="2" t="s">
        <v>7678</v>
      </c>
      <c r="I2479" s="2" t="s">
        <v>5867</v>
      </c>
      <c r="J2479" s="2" t="s">
        <v>706</v>
      </c>
      <c r="K2479" s="2" t="s">
        <v>913</v>
      </c>
      <c r="L2479" s="3">
        <v>69.04</v>
      </c>
      <c r="M2479" s="3">
        <v>72.49</v>
      </c>
      <c r="N2479" s="3">
        <v>144.99</v>
      </c>
      <c r="O2479" s="2" t="s">
        <v>97</v>
      </c>
      <c r="P2479" s="2" t="s">
        <v>119</v>
      </c>
      <c r="Q2479" s="2" t="s">
        <v>99</v>
      </c>
      <c r="R2479" s="2" t="s">
        <v>100</v>
      </c>
      <c r="S2479" s="2" t="s">
        <v>7685</v>
      </c>
      <c r="T2479" s="2" t="s">
        <v>5945</v>
      </c>
      <c r="U2479" s="2" t="s">
        <v>1847</v>
      </c>
      <c r="V2479" s="2" t="s">
        <v>146</v>
      </c>
      <c r="W2479" s="2" t="s">
        <v>183</v>
      </c>
      <c r="X2479" s="2" t="s">
        <v>202</v>
      </c>
      <c r="Y2479" s="2" t="s">
        <v>6895</v>
      </c>
      <c r="Z2479" s="4">
        <v>325</v>
      </c>
      <c r="AA2479" s="4">
        <f>=ROUNDDOWN(46.4285714285714,0)</f>
      </c>
      <c r="AB2479" s="5">
        <v>7</v>
      </c>
      <c r="AC2479" s="2" t="s">
        <v>768</v>
      </c>
      <c r="AD2479" s="4">
        <v>120</v>
      </c>
      <c r="AE2479" s="4">
        <v>120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38</v>
      </c>
      <c r="BK2479" s="8">
        <v>2968.66</v>
      </c>
      <c r="BL2479" s="2" t="s">
        <v>7689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207</v>
      </c>
      <c r="BV2479" s="2" t="s">
        <v>97</v>
      </c>
      <c r="BW2479" s="2" t="s">
        <v>100</v>
      </c>
      <c r="BX2479" s="2" t="s">
        <v>100</v>
      </c>
      <c r="BY2479" s="2" t="s">
        <v>113</v>
      </c>
      <c r="BZ2479" s="2" t="s">
        <v>100</v>
      </c>
    </row>
    <row r="2480">
      <c r="A2480" s="2" t="s">
        <v>7690</v>
      </c>
      <c r="B2480" s="2" t="s">
        <v>5764</v>
      </c>
      <c r="C2480" s="2" t="s">
        <v>4861</v>
      </c>
      <c r="D2480" s="2" t="s">
        <v>5765</v>
      </c>
      <c r="E2480" s="2" t="s">
        <v>5766</v>
      </c>
      <c r="F2480" s="2" t="s">
        <v>7678</v>
      </c>
      <c r="G2480" s="2" t="s">
        <v>7678</v>
      </c>
      <c r="H2480" s="2" t="s">
        <v>7678</v>
      </c>
      <c r="I2480" s="2" t="s">
        <v>5867</v>
      </c>
      <c r="J2480" s="2" t="s">
        <v>714</v>
      </c>
      <c r="K2480" s="2" t="s">
        <v>913</v>
      </c>
      <c r="L2480" s="3">
        <v>78.57</v>
      </c>
      <c r="M2480" s="3">
        <v>82.5</v>
      </c>
      <c r="N2480" s="3">
        <v>164.99</v>
      </c>
      <c r="O2480" s="2" t="s">
        <v>97</v>
      </c>
      <c r="P2480" s="2" t="s">
        <v>119</v>
      </c>
      <c r="Q2480" s="2" t="s">
        <v>99</v>
      </c>
      <c r="R2480" s="2" t="s">
        <v>100</v>
      </c>
      <c r="S2480" s="2" t="s">
        <v>7685</v>
      </c>
      <c r="T2480" s="2" t="s">
        <v>5945</v>
      </c>
      <c r="U2480" s="2" t="s">
        <v>1847</v>
      </c>
      <c r="V2480" s="2" t="s">
        <v>146</v>
      </c>
      <c r="W2480" s="2" t="s">
        <v>183</v>
      </c>
      <c r="X2480" s="2" t="s">
        <v>202</v>
      </c>
      <c r="Y2480" s="2" t="s">
        <v>6895</v>
      </c>
      <c r="Z2480" s="4">
        <v>210</v>
      </c>
      <c r="AA2480" s="4">
        <f>=ROUNDDOWN(30,0)</f>
      </c>
      <c r="AB2480" s="5">
        <v>7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69</v>
      </c>
      <c r="BK2480" s="8">
        <v>6134.56</v>
      </c>
      <c r="BL2480" s="2" t="s">
        <v>1352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207</v>
      </c>
      <c r="BV2480" s="2" t="s">
        <v>97</v>
      </c>
      <c r="BW2480" s="2" t="s">
        <v>100</v>
      </c>
      <c r="BX2480" s="2" t="s">
        <v>100</v>
      </c>
      <c r="BY2480" s="2" t="s">
        <v>113</v>
      </c>
      <c r="BZ2480" s="2" t="s">
        <v>100</v>
      </c>
    </row>
    <row r="2481">
      <c r="A2481" s="2" t="s">
        <v>7691</v>
      </c>
      <c r="B2481" s="2" t="s">
        <v>5764</v>
      </c>
      <c r="C2481" s="2" t="s">
        <v>4861</v>
      </c>
      <c r="D2481" s="2" t="s">
        <v>5765</v>
      </c>
      <c r="E2481" s="2" t="s">
        <v>5766</v>
      </c>
      <c r="F2481" s="2" t="s">
        <v>7678</v>
      </c>
      <c r="G2481" s="2" t="s">
        <v>7678</v>
      </c>
      <c r="H2481" s="2" t="s">
        <v>7678</v>
      </c>
      <c r="I2481" s="2" t="s">
        <v>5867</v>
      </c>
      <c r="J2481" s="2" t="s">
        <v>1936</v>
      </c>
      <c r="K2481" s="2" t="s">
        <v>198</v>
      </c>
      <c r="L2481" s="3">
        <v>45.23</v>
      </c>
      <c r="M2481" s="3">
        <v>47.49</v>
      </c>
      <c r="N2481" s="3">
        <v>94.99</v>
      </c>
      <c r="O2481" s="2" t="s">
        <v>97</v>
      </c>
      <c r="P2481" s="2" t="s">
        <v>119</v>
      </c>
      <c r="Q2481" s="2" t="s">
        <v>99</v>
      </c>
      <c r="R2481" s="2" t="s">
        <v>100</v>
      </c>
      <c r="S2481" s="2" t="s">
        <v>7692</v>
      </c>
      <c r="T2481" s="2" t="s">
        <v>5945</v>
      </c>
      <c r="U2481" s="2" t="s">
        <v>1847</v>
      </c>
      <c r="V2481" s="2" t="s">
        <v>146</v>
      </c>
      <c r="W2481" s="2" t="s">
        <v>183</v>
      </c>
      <c r="X2481" s="2" t="s">
        <v>202</v>
      </c>
      <c r="Y2481" s="2" t="s">
        <v>6895</v>
      </c>
      <c r="Z2481" s="4">
        <v>282</v>
      </c>
      <c r="AA2481" s="4">
        <f>=ROUNDDOWN(28.2,0)</f>
      </c>
      <c r="AB2481" s="5">
        <v>10</v>
      </c>
      <c r="AC2481" s="2" t="s">
        <v>768</v>
      </c>
      <c r="AD2481" s="4">
        <v>5</v>
      </c>
      <c r="AE2481" s="4">
        <v>5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58</v>
      </c>
      <c r="BK2481" s="8">
        <v>2980.09</v>
      </c>
      <c r="BL2481" s="2" t="s">
        <v>3168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207</v>
      </c>
      <c r="BV2481" s="2" t="s">
        <v>97</v>
      </c>
      <c r="BW2481" s="2" t="s">
        <v>100</v>
      </c>
      <c r="BX2481" s="2" t="s">
        <v>100</v>
      </c>
      <c r="BY2481" s="2" t="s">
        <v>113</v>
      </c>
      <c r="BZ2481" s="2" t="s">
        <v>100</v>
      </c>
    </row>
    <row r="2482">
      <c r="A2482" s="2" t="s">
        <v>7693</v>
      </c>
      <c r="B2482" s="2" t="s">
        <v>5764</v>
      </c>
      <c r="C2482" s="2" t="s">
        <v>4861</v>
      </c>
      <c r="D2482" s="2" t="s">
        <v>5765</v>
      </c>
      <c r="E2482" s="2" t="s">
        <v>5766</v>
      </c>
      <c r="F2482" s="2" t="s">
        <v>7678</v>
      </c>
      <c r="G2482" s="2" t="s">
        <v>7678</v>
      </c>
      <c r="H2482" s="2" t="s">
        <v>7678</v>
      </c>
      <c r="I2482" s="2" t="s">
        <v>5867</v>
      </c>
      <c r="J2482" s="2" t="s">
        <v>717</v>
      </c>
      <c r="K2482" s="2" t="s">
        <v>198</v>
      </c>
      <c r="L2482" s="3">
        <v>50</v>
      </c>
      <c r="M2482" s="3">
        <v>52.5</v>
      </c>
      <c r="N2482" s="3">
        <v>104.99</v>
      </c>
      <c r="O2482" s="2" t="s">
        <v>97</v>
      </c>
      <c r="P2482" s="2" t="s">
        <v>119</v>
      </c>
      <c r="Q2482" s="2" t="s">
        <v>99</v>
      </c>
      <c r="R2482" s="2" t="s">
        <v>100</v>
      </c>
      <c r="S2482" s="2" t="s">
        <v>7692</v>
      </c>
      <c r="T2482" s="2" t="s">
        <v>5945</v>
      </c>
      <c r="U2482" s="2" t="s">
        <v>1847</v>
      </c>
      <c r="V2482" s="2" t="s">
        <v>146</v>
      </c>
      <c r="W2482" s="2" t="s">
        <v>183</v>
      </c>
      <c r="X2482" s="2" t="s">
        <v>202</v>
      </c>
      <c r="Y2482" s="2" t="s">
        <v>6895</v>
      </c>
      <c r="Z2482" s="4">
        <v>431</v>
      </c>
      <c r="AA2482" s="4">
        <f>=ROUNDDOWN(53.875,0)</f>
      </c>
      <c r="AB2482" s="5">
        <v>8</v>
      </c>
      <c r="AC2482" s="2" t="s">
        <v>768</v>
      </c>
      <c r="AD2482" s="4">
        <v>29</v>
      </c>
      <c r="AE2482" s="4">
        <v>29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72</v>
      </c>
      <c r="BK2482" s="8">
        <v>4062.44</v>
      </c>
      <c r="BL2482" s="2" t="s">
        <v>7694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207</v>
      </c>
      <c r="BV2482" s="2" t="s">
        <v>97</v>
      </c>
      <c r="BW2482" s="2" t="s">
        <v>100</v>
      </c>
      <c r="BX2482" s="2" t="s">
        <v>100</v>
      </c>
      <c r="BY2482" s="2" t="s">
        <v>113</v>
      </c>
      <c r="BZ2482" s="2" t="s">
        <v>100</v>
      </c>
    </row>
    <row r="2483">
      <c r="A2483" s="2" t="s">
        <v>7695</v>
      </c>
      <c r="B2483" s="2" t="s">
        <v>5764</v>
      </c>
      <c r="C2483" s="2" t="s">
        <v>4861</v>
      </c>
      <c r="D2483" s="2" t="s">
        <v>5765</v>
      </c>
      <c r="E2483" s="2" t="s">
        <v>5766</v>
      </c>
      <c r="F2483" s="2" t="s">
        <v>7678</v>
      </c>
      <c r="G2483" s="2" t="s">
        <v>7678</v>
      </c>
      <c r="H2483" s="2" t="s">
        <v>7678</v>
      </c>
      <c r="I2483" s="2" t="s">
        <v>5867</v>
      </c>
      <c r="J2483" s="2" t="s">
        <v>706</v>
      </c>
      <c r="K2483" s="2" t="s">
        <v>198</v>
      </c>
      <c r="L2483" s="3">
        <v>69.04</v>
      </c>
      <c r="M2483" s="3">
        <v>72.49</v>
      </c>
      <c r="N2483" s="3">
        <v>144.99</v>
      </c>
      <c r="O2483" s="2" t="s">
        <v>97</v>
      </c>
      <c r="P2483" s="2" t="s">
        <v>119</v>
      </c>
      <c r="Q2483" s="2" t="s">
        <v>99</v>
      </c>
      <c r="R2483" s="2" t="s">
        <v>100</v>
      </c>
      <c r="S2483" s="2" t="s">
        <v>7692</v>
      </c>
      <c r="T2483" s="2" t="s">
        <v>5945</v>
      </c>
      <c r="U2483" s="2" t="s">
        <v>1847</v>
      </c>
      <c r="V2483" s="2" t="s">
        <v>146</v>
      </c>
      <c r="W2483" s="2" t="s">
        <v>183</v>
      </c>
      <c r="X2483" s="2" t="s">
        <v>202</v>
      </c>
      <c r="Y2483" s="2" t="s">
        <v>4611</v>
      </c>
      <c r="Z2483" s="4">
        <v>397</v>
      </c>
      <c r="AA2483" s="4">
        <f>=ROUNDDOWN(44.1111111111111,0)</f>
      </c>
      <c r="AB2483" s="5">
        <v>9</v>
      </c>
      <c r="AC2483" s="2" t="s">
        <v>768</v>
      </c>
      <c r="AD2483" s="4">
        <v>5</v>
      </c>
      <c r="AE2483" s="4">
        <v>5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74</v>
      </c>
      <c r="BK2483" s="8">
        <v>5757.03</v>
      </c>
      <c r="BL2483" s="2" t="s">
        <v>2714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207</v>
      </c>
      <c r="BV2483" s="2" t="s">
        <v>97</v>
      </c>
      <c r="BW2483" s="2" t="s">
        <v>100</v>
      </c>
      <c r="BX2483" s="2" t="s">
        <v>100</v>
      </c>
      <c r="BY2483" s="2" t="s">
        <v>113</v>
      </c>
      <c r="BZ2483" s="2" t="s">
        <v>100</v>
      </c>
    </row>
    <row r="2484">
      <c r="A2484" s="2" t="s">
        <v>7696</v>
      </c>
      <c r="B2484" s="2" t="s">
        <v>5764</v>
      </c>
      <c r="C2484" s="2" t="s">
        <v>4861</v>
      </c>
      <c r="D2484" s="2" t="s">
        <v>5765</v>
      </c>
      <c r="E2484" s="2" t="s">
        <v>5766</v>
      </c>
      <c r="F2484" s="2" t="s">
        <v>7678</v>
      </c>
      <c r="G2484" s="2" t="s">
        <v>7678</v>
      </c>
      <c r="H2484" s="2" t="s">
        <v>7678</v>
      </c>
      <c r="I2484" s="2" t="s">
        <v>5867</v>
      </c>
      <c r="J2484" s="2" t="s">
        <v>714</v>
      </c>
      <c r="K2484" s="2" t="s">
        <v>198</v>
      </c>
      <c r="L2484" s="3">
        <v>78.57</v>
      </c>
      <c r="M2484" s="3">
        <v>82.5</v>
      </c>
      <c r="N2484" s="3">
        <v>164.99</v>
      </c>
      <c r="O2484" s="2" t="s">
        <v>97</v>
      </c>
      <c r="P2484" s="2" t="s">
        <v>119</v>
      </c>
      <c r="Q2484" s="2" t="s">
        <v>99</v>
      </c>
      <c r="R2484" s="2" t="s">
        <v>100</v>
      </c>
      <c r="S2484" s="2" t="s">
        <v>7692</v>
      </c>
      <c r="T2484" s="2" t="s">
        <v>5945</v>
      </c>
      <c r="U2484" s="2" t="s">
        <v>1847</v>
      </c>
      <c r="V2484" s="2" t="s">
        <v>146</v>
      </c>
      <c r="W2484" s="2" t="s">
        <v>183</v>
      </c>
      <c r="X2484" s="2" t="s">
        <v>202</v>
      </c>
      <c r="Y2484" s="2" t="s">
        <v>6895</v>
      </c>
      <c r="Z2484" s="4">
        <v>453</v>
      </c>
      <c r="AA2484" s="4">
        <f>=ROUNDDOWN(41.1818181818182,0)</f>
      </c>
      <c r="AB2484" s="5">
        <v>11</v>
      </c>
      <c r="AC2484" s="2" t="s">
        <v>768</v>
      </c>
      <c r="AD2484" s="4">
        <v>140</v>
      </c>
      <c r="AE2484" s="4">
        <v>140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98</v>
      </c>
      <c r="BK2484" s="8">
        <v>8649.28</v>
      </c>
      <c r="BL2484" s="2" t="s">
        <v>7218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207</v>
      </c>
      <c r="BV2484" s="2" t="s">
        <v>97</v>
      </c>
      <c r="BW2484" s="2" t="s">
        <v>100</v>
      </c>
      <c r="BX2484" s="2" t="s">
        <v>100</v>
      </c>
      <c r="BY2484" s="2" t="s">
        <v>113</v>
      </c>
      <c r="BZ2484" s="2" t="s">
        <v>100</v>
      </c>
    </row>
    <row r="2485">
      <c r="A2485" s="2" t="s">
        <v>7697</v>
      </c>
      <c r="B2485" s="2" t="s">
        <v>5764</v>
      </c>
      <c r="C2485" s="2" t="s">
        <v>4861</v>
      </c>
      <c r="D2485" s="2" t="s">
        <v>5765</v>
      </c>
      <c r="E2485" s="2" t="s">
        <v>5766</v>
      </c>
      <c r="F2485" s="2" t="s">
        <v>7678</v>
      </c>
      <c r="G2485" s="2" t="s">
        <v>7678</v>
      </c>
      <c r="H2485" s="2" t="s">
        <v>7678</v>
      </c>
      <c r="I2485" s="2" t="s">
        <v>5867</v>
      </c>
      <c r="J2485" s="2" t="s">
        <v>1936</v>
      </c>
      <c r="K2485" s="2" t="s">
        <v>1614</v>
      </c>
      <c r="L2485" s="3">
        <v>45.23</v>
      </c>
      <c r="M2485" s="3">
        <v>47.49</v>
      </c>
      <c r="N2485" s="3">
        <v>94.99</v>
      </c>
      <c r="O2485" s="2" t="s">
        <v>97</v>
      </c>
      <c r="P2485" s="2" t="s">
        <v>119</v>
      </c>
      <c r="Q2485" s="2" t="s">
        <v>99</v>
      </c>
      <c r="R2485" s="2" t="s">
        <v>100</v>
      </c>
      <c r="S2485" s="2" t="s">
        <v>7698</v>
      </c>
      <c r="T2485" s="2" t="s">
        <v>5945</v>
      </c>
      <c r="U2485" s="2" t="s">
        <v>1847</v>
      </c>
      <c r="V2485" s="2" t="s">
        <v>146</v>
      </c>
      <c r="W2485" s="2" t="s">
        <v>183</v>
      </c>
      <c r="X2485" s="2" t="s">
        <v>202</v>
      </c>
      <c r="Y2485" s="2" t="s">
        <v>6895</v>
      </c>
      <c r="Z2485" s="4">
        <v>314</v>
      </c>
      <c r="AA2485" s="4">
        <f>=ROUNDDOWN(52.3333333333333,0)</f>
      </c>
      <c r="AB2485" s="5">
        <v>6</v>
      </c>
      <c r="AC2485" s="2" t="s">
        <v>768</v>
      </c>
      <c r="AD2485" s="4">
        <v>140</v>
      </c>
      <c r="AE2485" s="4">
        <v>140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/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/>
      <c r="BJ2485" s="4">
        <v>40</v>
      </c>
      <c r="BK2485" s="8">
        <v>2021.56</v>
      </c>
      <c r="BL2485" s="2" t="s">
        <v>1354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207</v>
      </c>
      <c r="BV2485" s="2" t="s">
        <v>97</v>
      </c>
      <c r="BW2485" s="2" t="s">
        <v>100</v>
      </c>
      <c r="BX2485" s="2" t="s">
        <v>100</v>
      </c>
      <c r="BY2485" s="2" t="s">
        <v>113</v>
      </c>
      <c r="BZ2485" s="2" t="s">
        <v>100</v>
      </c>
    </row>
    <row r="2486">
      <c r="A2486" s="2" t="s">
        <v>7699</v>
      </c>
      <c r="B2486" s="2" t="s">
        <v>5764</v>
      </c>
      <c r="C2486" s="2" t="s">
        <v>4861</v>
      </c>
      <c r="D2486" s="2" t="s">
        <v>5765</v>
      </c>
      <c r="E2486" s="2" t="s">
        <v>5766</v>
      </c>
      <c r="F2486" s="2" t="s">
        <v>7678</v>
      </c>
      <c r="G2486" s="2" t="s">
        <v>7678</v>
      </c>
      <c r="H2486" s="2" t="s">
        <v>7678</v>
      </c>
      <c r="I2486" s="2" t="s">
        <v>5867</v>
      </c>
      <c r="J2486" s="2" t="s">
        <v>717</v>
      </c>
      <c r="K2486" s="2" t="s">
        <v>1614</v>
      </c>
      <c r="L2486" s="3">
        <v>50</v>
      </c>
      <c r="M2486" s="3">
        <v>52.5</v>
      </c>
      <c r="N2486" s="3">
        <v>104.99</v>
      </c>
      <c r="O2486" s="2" t="s">
        <v>97</v>
      </c>
      <c r="P2486" s="2" t="s">
        <v>119</v>
      </c>
      <c r="Q2486" s="2" t="s">
        <v>99</v>
      </c>
      <c r="R2486" s="2" t="s">
        <v>100</v>
      </c>
      <c r="S2486" s="2" t="s">
        <v>7698</v>
      </c>
      <c r="T2486" s="2" t="s">
        <v>5945</v>
      </c>
      <c r="U2486" s="2" t="s">
        <v>1847</v>
      </c>
      <c r="V2486" s="2" t="s">
        <v>146</v>
      </c>
      <c r="W2486" s="2" t="s">
        <v>183</v>
      </c>
      <c r="X2486" s="2" t="s">
        <v>202</v>
      </c>
      <c r="Y2486" s="2" t="s">
        <v>4611</v>
      </c>
      <c r="Z2486" s="4">
        <v>256</v>
      </c>
      <c r="AA2486" s="4">
        <f>=ROUNDDOWN(25.6,0)</f>
      </c>
      <c r="AB2486" s="5">
        <v>10</v>
      </c>
      <c r="AC2486" s="2" t="s">
        <v>768</v>
      </c>
      <c r="AD2486" s="4">
        <v>130</v>
      </c>
      <c r="AE2486" s="4">
        <v>130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/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/>
      <c r="BJ2486" s="4">
        <v>56</v>
      </c>
      <c r="BK2486" s="8">
        <v>3135.8</v>
      </c>
      <c r="BL2486" s="2" t="s">
        <v>1354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207</v>
      </c>
      <c r="BV2486" s="2" t="s">
        <v>97</v>
      </c>
      <c r="BW2486" s="2" t="s">
        <v>100</v>
      </c>
      <c r="BX2486" s="2" t="s">
        <v>100</v>
      </c>
      <c r="BY2486" s="2" t="s">
        <v>113</v>
      </c>
      <c r="BZ2486" s="2" t="s">
        <v>100</v>
      </c>
    </row>
    <row r="2487">
      <c r="A2487" s="2" t="s">
        <v>7700</v>
      </c>
      <c r="B2487" s="2" t="s">
        <v>5764</v>
      </c>
      <c r="C2487" s="2" t="s">
        <v>4861</v>
      </c>
      <c r="D2487" s="2" t="s">
        <v>5765</v>
      </c>
      <c r="E2487" s="2" t="s">
        <v>5766</v>
      </c>
      <c r="F2487" s="2" t="s">
        <v>7678</v>
      </c>
      <c r="G2487" s="2" t="s">
        <v>7678</v>
      </c>
      <c r="H2487" s="2" t="s">
        <v>7678</v>
      </c>
      <c r="I2487" s="2" t="s">
        <v>5867</v>
      </c>
      <c r="J2487" s="2" t="s">
        <v>706</v>
      </c>
      <c r="K2487" s="2" t="s">
        <v>1614</v>
      </c>
      <c r="L2487" s="3">
        <v>69.04</v>
      </c>
      <c r="M2487" s="3">
        <v>72.49</v>
      </c>
      <c r="N2487" s="3">
        <v>144.99</v>
      </c>
      <c r="O2487" s="2" t="s">
        <v>97</v>
      </c>
      <c r="P2487" s="2" t="s">
        <v>119</v>
      </c>
      <c r="Q2487" s="2" t="s">
        <v>99</v>
      </c>
      <c r="R2487" s="2" t="s">
        <v>100</v>
      </c>
      <c r="S2487" s="2" t="s">
        <v>7698</v>
      </c>
      <c r="T2487" s="2" t="s">
        <v>5945</v>
      </c>
      <c r="U2487" s="2" t="s">
        <v>1847</v>
      </c>
      <c r="V2487" s="2" t="s">
        <v>146</v>
      </c>
      <c r="W2487" s="2" t="s">
        <v>183</v>
      </c>
      <c r="X2487" s="2" t="s">
        <v>202</v>
      </c>
      <c r="Y2487" s="2" t="s">
        <v>6895</v>
      </c>
      <c r="Z2487" s="4">
        <v>305</v>
      </c>
      <c r="AA2487" s="4">
        <f>=ROUNDDOWN(30.5,0)</f>
      </c>
      <c r="AB2487" s="5">
        <v>10</v>
      </c>
      <c r="AC2487" s="2" t="s">
        <v>768</v>
      </c>
      <c r="AD2487" s="4">
        <v>60</v>
      </c>
      <c r="AE2487" s="4">
        <v>60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/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/>
      <c r="BJ2487" s="4">
        <v>92</v>
      </c>
      <c r="BK2487" s="8">
        <v>7132.29</v>
      </c>
      <c r="BL2487" s="2" t="s">
        <v>2355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207</v>
      </c>
      <c r="BV2487" s="2" t="s">
        <v>97</v>
      </c>
      <c r="BW2487" s="2" t="s">
        <v>100</v>
      </c>
      <c r="BX2487" s="2" t="s">
        <v>100</v>
      </c>
      <c r="BY2487" s="2" t="s">
        <v>113</v>
      </c>
      <c r="BZ2487" s="2" t="s">
        <v>100</v>
      </c>
    </row>
    <row r="2488">
      <c r="A2488" s="2" t="s">
        <v>7701</v>
      </c>
      <c r="B2488" s="2" t="s">
        <v>5764</v>
      </c>
      <c r="C2488" s="2" t="s">
        <v>4861</v>
      </c>
      <c r="D2488" s="2" t="s">
        <v>5765</v>
      </c>
      <c r="E2488" s="2" t="s">
        <v>5766</v>
      </c>
      <c r="F2488" s="2" t="s">
        <v>7678</v>
      </c>
      <c r="G2488" s="2" t="s">
        <v>7678</v>
      </c>
      <c r="H2488" s="2" t="s">
        <v>7678</v>
      </c>
      <c r="I2488" s="2" t="s">
        <v>5867</v>
      </c>
      <c r="J2488" s="2" t="s">
        <v>714</v>
      </c>
      <c r="K2488" s="2" t="s">
        <v>1614</v>
      </c>
      <c r="L2488" s="3">
        <v>78.57</v>
      </c>
      <c r="M2488" s="3">
        <v>82.5</v>
      </c>
      <c r="N2488" s="3">
        <v>164.99</v>
      </c>
      <c r="O2488" s="2" t="s">
        <v>97</v>
      </c>
      <c r="P2488" s="2" t="s">
        <v>119</v>
      </c>
      <c r="Q2488" s="2" t="s">
        <v>99</v>
      </c>
      <c r="R2488" s="2" t="s">
        <v>100</v>
      </c>
      <c r="S2488" s="2" t="s">
        <v>7698</v>
      </c>
      <c r="T2488" s="2" t="s">
        <v>5945</v>
      </c>
      <c r="U2488" s="2" t="s">
        <v>1847</v>
      </c>
      <c r="V2488" s="2" t="s">
        <v>146</v>
      </c>
      <c r="W2488" s="2" t="s">
        <v>183</v>
      </c>
      <c r="X2488" s="2" t="s">
        <v>202</v>
      </c>
      <c r="Y2488" s="2" t="s">
        <v>6895</v>
      </c>
      <c r="Z2488" s="4">
        <v>317</v>
      </c>
      <c r="AA2488" s="4">
        <f>=ROUNDDOWN(31.7,0)</f>
      </c>
      <c r="AB2488" s="5">
        <v>10</v>
      </c>
      <c r="AC2488" s="2" t="s">
        <v>768</v>
      </c>
      <c r="AD2488" s="4">
        <v>140</v>
      </c>
      <c r="AE2488" s="4">
        <v>140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98</v>
      </c>
      <c r="BK2488" s="8">
        <v>8646.38</v>
      </c>
      <c r="BL2488" s="2" t="s">
        <v>780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207</v>
      </c>
      <c r="BV2488" s="2" t="s">
        <v>97</v>
      </c>
      <c r="BW2488" s="2" t="s">
        <v>100</v>
      </c>
      <c r="BX2488" s="2" t="s">
        <v>100</v>
      </c>
      <c r="BY2488" s="2" t="s">
        <v>113</v>
      </c>
      <c r="BZ2488" s="2" t="s">
        <v>100</v>
      </c>
    </row>
    <row r="2489">
      <c r="A2489" s="2" t="s">
        <v>7702</v>
      </c>
      <c r="B2489" s="2" t="s">
        <v>5764</v>
      </c>
      <c r="C2489" s="2" t="s">
        <v>4861</v>
      </c>
      <c r="D2489" s="2" t="s">
        <v>5765</v>
      </c>
      <c r="E2489" s="2" t="s">
        <v>6018</v>
      </c>
      <c r="F2489" s="2" t="s">
        <v>7703</v>
      </c>
      <c r="G2489" s="2" t="s">
        <v>7703</v>
      </c>
      <c r="H2489" s="2" t="s">
        <v>7703</v>
      </c>
      <c r="I2489" s="2" t="s">
        <v>6971</v>
      </c>
      <c r="J2489" s="2" t="s">
        <v>5024</v>
      </c>
      <c r="K2489" s="2" t="s">
        <v>118</v>
      </c>
      <c r="L2489" s="3">
        <v>30.95</v>
      </c>
      <c r="M2489" s="3">
        <v>32.5</v>
      </c>
      <c r="N2489" s="3">
        <v>64.99</v>
      </c>
      <c r="O2489" s="2" t="s">
        <v>97</v>
      </c>
      <c r="P2489" s="2" t="s">
        <v>119</v>
      </c>
      <c r="Q2489" s="2" t="s">
        <v>99</v>
      </c>
      <c r="R2489" s="2" t="s">
        <v>100</v>
      </c>
      <c r="S2489" s="2" t="s">
        <v>7704</v>
      </c>
      <c r="T2489" s="2" t="s">
        <v>5945</v>
      </c>
      <c r="U2489" s="2" t="s">
        <v>1847</v>
      </c>
      <c r="V2489" s="2" t="s">
        <v>146</v>
      </c>
      <c r="W2489" s="2" t="s">
        <v>183</v>
      </c>
      <c r="X2489" s="2" t="s">
        <v>100</v>
      </c>
      <c r="Y2489" s="2" t="s">
        <v>6005</v>
      </c>
      <c r="Z2489" s="4">
        <v>1374</v>
      </c>
      <c r="AA2489" s="4">
        <f>=ROUNDDOWN(76.3333333333333,0)</f>
      </c>
      <c r="AB2489" s="5">
        <v>18</v>
      </c>
      <c r="AC2489" s="2" t="s">
        <v>768</v>
      </c>
      <c r="AD2489" s="4">
        <v>214</v>
      </c>
      <c r="AE2489" s="4">
        <v>1000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/>
      <c r="BJ2489" s="4">
        <v>137</v>
      </c>
      <c r="BK2489" s="8">
        <v>4759.43</v>
      </c>
      <c r="BL2489" s="2" t="s">
        <v>2260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207</v>
      </c>
      <c r="BV2489" s="2" t="s">
        <v>97</v>
      </c>
      <c r="BW2489" s="2" t="s">
        <v>100</v>
      </c>
      <c r="BX2489" s="2" t="s">
        <v>100</v>
      </c>
      <c r="BY2489" s="2" t="s">
        <v>113</v>
      </c>
      <c r="BZ2489" s="2" t="s">
        <v>100</v>
      </c>
    </row>
    <row r="2490">
      <c r="A2490" s="2" t="s">
        <v>7705</v>
      </c>
      <c r="B2490" s="2" t="s">
        <v>5764</v>
      </c>
      <c r="C2490" s="2" t="s">
        <v>4861</v>
      </c>
      <c r="D2490" s="2" t="s">
        <v>5765</v>
      </c>
      <c r="E2490" s="2" t="s">
        <v>6018</v>
      </c>
      <c r="F2490" s="2" t="s">
        <v>7703</v>
      </c>
      <c r="G2490" s="2" t="s">
        <v>7703</v>
      </c>
      <c r="H2490" s="2" t="s">
        <v>7703</v>
      </c>
      <c r="I2490" s="2" t="s">
        <v>6971</v>
      </c>
      <c r="J2490" s="2" t="s">
        <v>5024</v>
      </c>
      <c r="K2490" s="2" t="s">
        <v>913</v>
      </c>
      <c r="L2490" s="3">
        <v>30.95</v>
      </c>
      <c r="M2490" s="3">
        <v>32.5</v>
      </c>
      <c r="N2490" s="3">
        <v>64.99</v>
      </c>
      <c r="O2490" s="2" t="s">
        <v>97</v>
      </c>
      <c r="P2490" s="2" t="s">
        <v>119</v>
      </c>
      <c r="Q2490" s="2" t="s">
        <v>99</v>
      </c>
      <c r="R2490" s="2" t="s">
        <v>100</v>
      </c>
      <c r="S2490" s="2" t="s">
        <v>7706</v>
      </c>
      <c r="T2490" s="2" t="s">
        <v>5945</v>
      </c>
      <c r="U2490" s="2" t="s">
        <v>1847</v>
      </c>
      <c r="V2490" s="2" t="s">
        <v>146</v>
      </c>
      <c r="W2490" s="2" t="s">
        <v>183</v>
      </c>
      <c r="X2490" s="2" t="s">
        <v>100</v>
      </c>
      <c r="Y2490" s="2" t="s">
        <v>6005</v>
      </c>
      <c r="Z2490" s="4">
        <v>940</v>
      </c>
      <c r="AA2490" s="4">
        <f>=ROUNDDOWN(39.1666666666667,0)</f>
      </c>
      <c r="AB2490" s="5">
        <v>24</v>
      </c>
      <c r="AC2490" s="2" t="s">
        <v>542</v>
      </c>
      <c r="AD2490" s="4">
        <v>490</v>
      </c>
      <c r="AE2490" s="4">
        <v>490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/>
      <c r="BJ2490" s="4">
        <v>130</v>
      </c>
      <c r="BK2490" s="8">
        <v>4518.9</v>
      </c>
      <c r="BL2490" s="2" t="s">
        <v>3848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207</v>
      </c>
      <c r="BV2490" s="2" t="s">
        <v>97</v>
      </c>
      <c r="BW2490" s="2" t="s">
        <v>100</v>
      </c>
      <c r="BX2490" s="2" t="s">
        <v>100</v>
      </c>
      <c r="BY2490" s="2" t="s">
        <v>113</v>
      </c>
      <c r="BZ2490" s="2" t="s">
        <v>100</v>
      </c>
    </row>
    <row r="2491">
      <c r="A2491" s="2" t="s">
        <v>7707</v>
      </c>
      <c r="B2491" s="2" t="s">
        <v>5764</v>
      </c>
      <c r="C2491" s="2" t="s">
        <v>4861</v>
      </c>
      <c r="D2491" s="2" t="s">
        <v>5765</v>
      </c>
      <c r="E2491" s="2" t="s">
        <v>6018</v>
      </c>
      <c r="F2491" s="2" t="s">
        <v>7703</v>
      </c>
      <c r="G2491" s="2" t="s">
        <v>7703</v>
      </c>
      <c r="H2491" s="2" t="s">
        <v>7703</v>
      </c>
      <c r="I2491" s="2" t="s">
        <v>6971</v>
      </c>
      <c r="J2491" s="2" t="s">
        <v>5024</v>
      </c>
      <c r="K2491" s="2" t="s">
        <v>198</v>
      </c>
      <c r="L2491" s="3">
        <v>30.95</v>
      </c>
      <c r="M2491" s="3">
        <v>32.5</v>
      </c>
      <c r="N2491" s="3">
        <v>64.99</v>
      </c>
      <c r="O2491" s="2" t="s">
        <v>97</v>
      </c>
      <c r="P2491" s="2" t="s">
        <v>119</v>
      </c>
      <c r="Q2491" s="2" t="s">
        <v>99</v>
      </c>
      <c r="R2491" s="2" t="s">
        <v>100</v>
      </c>
      <c r="S2491" s="2" t="s">
        <v>7708</v>
      </c>
      <c r="T2491" s="2" t="s">
        <v>5945</v>
      </c>
      <c r="U2491" s="2" t="s">
        <v>1847</v>
      </c>
      <c r="V2491" s="2" t="s">
        <v>146</v>
      </c>
      <c r="W2491" s="2" t="s">
        <v>183</v>
      </c>
      <c r="X2491" s="2" t="s">
        <v>100</v>
      </c>
      <c r="Y2491" s="2" t="s">
        <v>6005</v>
      </c>
      <c r="Z2491" s="4">
        <v>2275</v>
      </c>
      <c r="AA2491" s="4">
        <f>=ROUNDDOWN(38.5593220338983,0)</f>
      </c>
      <c r="AB2491" s="5">
        <v>59</v>
      </c>
      <c r="AC2491" s="2" t="s">
        <v>282</v>
      </c>
      <c r="AD2491" s="4">
        <v>480</v>
      </c>
      <c r="AE2491" s="4">
        <v>780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/>
      <c r="BJ2491" s="4">
        <v>170</v>
      </c>
      <c r="BK2491" s="8">
        <v>5925.84</v>
      </c>
      <c r="BL2491" s="2" t="s">
        <v>7709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207</v>
      </c>
      <c r="BV2491" s="2" t="s">
        <v>97</v>
      </c>
      <c r="BW2491" s="2" t="s">
        <v>100</v>
      </c>
      <c r="BX2491" s="2" t="s">
        <v>100</v>
      </c>
      <c r="BY2491" s="2" t="s">
        <v>113</v>
      </c>
      <c r="BZ2491" s="2" t="s">
        <v>100</v>
      </c>
    </row>
    <row r="2492">
      <c r="A2492" s="2" t="s">
        <v>7710</v>
      </c>
      <c r="B2492" s="2" t="s">
        <v>7711</v>
      </c>
      <c r="C2492" s="2" t="s">
        <v>2213</v>
      </c>
      <c r="D2492" s="2" t="s">
        <v>7712</v>
      </c>
      <c r="E2492" s="2" t="s">
        <v>7713</v>
      </c>
      <c r="F2492" s="2" t="s">
        <v>389</v>
      </c>
      <c r="G2492" s="2" t="s">
        <v>389</v>
      </c>
      <c r="H2492" s="2" t="s">
        <v>389</v>
      </c>
      <c r="I2492" s="2" t="s">
        <v>7714</v>
      </c>
      <c r="J2492" s="2" t="s">
        <v>3877</v>
      </c>
      <c r="K2492" s="2" t="s">
        <v>118</v>
      </c>
      <c r="L2492" s="3">
        <v>85</v>
      </c>
      <c r="M2492" s="3">
        <v>89.25</v>
      </c>
      <c r="N2492" s="3">
        <v>179</v>
      </c>
      <c r="O2492" s="2" t="s">
        <v>97</v>
      </c>
      <c r="P2492" s="2" t="s">
        <v>225</v>
      </c>
      <c r="Q2492" s="2" t="s">
        <v>99</v>
      </c>
      <c r="R2492" s="2" t="s">
        <v>100</v>
      </c>
      <c r="S2492" s="2" t="s">
        <v>100</v>
      </c>
      <c r="T2492" s="2" t="s">
        <v>100</v>
      </c>
      <c r="U2492" s="2" t="s">
        <v>1847</v>
      </c>
      <c r="V2492" s="2" t="s">
        <v>3188</v>
      </c>
      <c r="W2492" s="2" t="s">
        <v>104</v>
      </c>
      <c r="X2492" s="2" t="s">
        <v>309</v>
      </c>
      <c r="Y2492" s="2" t="s">
        <v>531</v>
      </c>
      <c r="Z2492" s="4">
        <v>88</v>
      </c>
      <c r="AA2492" s="4">
        <f>=ROUNDDOWN(88,0)</f>
      </c>
      <c r="AB2492" s="5">
        <v>1</v>
      </c>
      <c r="AC2492" s="2" t="s">
        <v>100</v>
      </c>
      <c r="AD2492" s="4"/>
      <c r="AE2492" s="4"/>
      <c r="AF2492" s="6">
        <v>76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/>
      <c r="BJ2492" s="4">
        <v>1</v>
      </c>
      <c r="BK2492" s="8">
        <v>89.25</v>
      </c>
      <c r="BL2492" s="2" t="s">
        <v>7715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230</v>
      </c>
      <c r="BV2492" s="2" t="s">
        <v>97</v>
      </c>
      <c r="BW2492" s="2" t="s">
        <v>100</v>
      </c>
      <c r="BX2492" s="2" t="s">
        <v>100</v>
      </c>
      <c r="BY2492" s="2" t="s">
        <v>113</v>
      </c>
      <c r="BZ2492" s="2" t="s">
        <v>100</v>
      </c>
    </row>
    <row r="2493">
      <c r="A2493" s="2" t="s">
        <v>7716</v>
      </c>
      <c r="B2493" s="2" t="s">
        <v>7711</v>
      </c>
      <c r="C2493" s="2" t="s">
        <v>2213</v>
      </c>
      <c r="D2493" s="2" t="s">
        <v>7712</v>
      </c>
      <c r="E2493" s="2" t="s">
        <v>7713</v>
      </c>
      <c r="F2493" s="2" t="s">
        <v>389</v>
      </c>
      <c r="G2493" s="2" t="s">
        <v>389</v>
      </c>
      <c r="H2493" s="2" t="s">
        <v>389</v>
      </c>
      <c r="I2493" s="2" t="s">
        <v>7714</v>
      </c>
      <c r="J2493" s="2" t="s">
        <v>3877</v>
      </c>
      <c r="K2493" s="2" t="s">
        <v>604</v>
      </c>
      <c r="L2493" s="3">
        <v>85</v>
      </c>
      <c r="M2493" s="3">
        <v>89.25</v>
      </c>
      <c r="N2493" s="3">
        <v>179</v>
      </c>
      <c r="O2493" s="2" t="s">
        <v>97</v>
      </c>
      <c r="P2493" s="2" t="s">
        <v>225</v>
      </c>
      <c r="Q2493" s="2" t="s">
        <v>99</v>
      </c>
      <c r="R2493" s="2" t="s">
        <v>100</v>
      </c>
      <c r="S2493" s="2" t="s">
        <v>100</v>
      </c>
      <c r="T2493" s="2" t="s">
        <v>100</v>
      </c>
      <c r="U2493" s="2" t="s">
        <v>1847</v>
      </c>
      <c r="V2493" s="2" t="s">
        <v>3188</v>
      </c>
      <c r="W2493" s="2" t="s">
        <v>104</v>
      </c>
      <c r="X2493" s="2" t="s">
        <v>309</v>
      </c>
      <c r="Y2493" s="2" t="s">
        <v>531</v>
      </c>
      <c r="Z2493" s="4">
        <v>85</v>
      </c>
      <c r="AA2493" s="4">
        <f>=ROUNDDOWN(85,0)</f>
      </c>
      <c r="AB2493" s="5">
        <v>1</v>
      </c>
      <c r="AC2493" s="2" t="s">
        <v>100</v>
      </c>
      <c r="AD2493" s="4"/>
      <c r="AE2493" s="4"/>
      <c r="AF2493" s="6">
        <v>76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/>
      <c r="BJ2493" s="4">
        <v>4</v>
      </c>
      <c r="BK2493" s="8">
        <v>376.89</v>
      </c>
      <c r="BL2493" s="2" t="s">
        <v>7717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230</v>
      </c>
      <c r="BV2493" s="2" t="s">
        <v>97</v>
      </c>
      <c r="BW2493" s="2" t="s">
        <v>100</v>
      </c>
      <c r="BX2493" s="2" t="s">
        <v>100</v>
      </c>
      <c r="BY2493" s="2" t="s">
        <v>113</v>
      </c>
      <c r="BZ2493" s="2" t="s">
        <v>100</v>
      </c>
    </row>
    <row r="2494">
      <c r="A2494" s="2" t="s">
        <v>7718</v>
      </c>
      <c r="B2494" s="2" t="s">
        <v>7711</v>
      </c>
      <c r="C2494" s="2" t="s">
        <v>2213</v>
      </c>
      <c r="D2494" s="2" t="s">
        <v>7712</v>
      </c>
      <c r="E2494" s="2" t="s">
        <v>7713</v>
      </c>
      <c r="F2494" s="2" t="s">
        <v>389</v>
      </c>
      <c r="G2494" s="2" t="s">
        <v>389</v>
      </c>
      <c r="H2494" s="2" t="s">
        <v>389</v>
      </c>
      <c r="I2494" s="2" t="s">
        <v>7714</v>
      </c>
      <c r="J2494" s="2" t="s">
        <v>3877</v>
      </c>
      <c r="K2494" s="2" t="s">
        <v>858</v>
      </c>
      <c r="L2494" s="3">
        <v>85</v>
      </c>
      <c r="M2494" s="3">
        <v>89.25</v>
      </c>
      <c r="N2494" s="3">
        <v>179</v>
      </c>
      <c r="O2494" s="2" t="s">
        <v>97</v>
      </c>
      <c r="P2494" s="2" t="s">
        <v>225</v>
      </c>
      <c r="Q2494" s="2" t="s">
        <v>99</v>
      </c>
      <c r="R2494" s="2" t="s">
        <v>100</v>
      </c>
      <c r="S2494" s="2" t="s">
        <v>100</v>
      </c>
      <c r="T2494" s="2" t="s">
        <v>100</v>
      </c>
      <c r="U2494" s="2" t="s">
        <v>1847</v>
      </c>
      <c r="V2494" s="2" t="s">
        <v>3188</v>
      </c>
      <c r="W2494" s="2" t="s">
        <v>104</v>
      </c>
      <c r="X2494" s="2" t="s">
        <v>309</v>
      </c>
      <c r="Y2494" s="2" t="s">
        <v>531</v>
      </c>
      <c r="Z2494" s="4">
        <v>151</v>
      </c>
      <c r="AA2494" s="4">
        <f>=ROUNDDOWN(151,0)</f>
      </c>
      <c r="AB2494" s="5">
        <v>1</v>
      </c>
      <c r="AC2494" s="2" t="s">
        <v>100</v>
      </c>
      <c r="AD2494" s="4"/>
      <c r="AE2494" s="4"/>
      <c r="AF2494" s="6">
        <v>76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/>
      <c r="BJ2494" s="4">
        <v>6</v>
      </c>
      <c r="BK2494" s="8">
        <v>555.14</v>
      </c>
      <c r="BL2494" s="2" t="s">
        <v>7719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230</v>
      </c>
      <c r="BV2494" s="2" t="s">
        <v>97</v>
      </c>
      <c r="BW2494" s="2" t="s">
        <v>100</v>
      </c>
      <c r="BX2494" s="2" t="s">
        <v>100</v>
      </c>
      <c r="BY2494" s="2" t="s">
        <v>113</v>
      </c>
      <c r="BZ2494" s="2" t="s">
        <v>100</v>
      </c>
    </row>
    <row r="2495">
      <c r="A2495" s="2" t="s">
        <v>7720</v>
      </c>
      <c r="B2495" s="2" t="s">
        <v>7711</v>
      </c>
      <c r="C2495" s="2" t="s">
        <v>2213</v>
      </c>
      <c r="D2495" s="2" t="s">
        <v>7712</v>
      </c>
      <c r="E2495" s="2" t="s">
        <v>7713</v>
      </c>
      <c r="F2495" s="2" t="s">
        <v>1074</v>
      </c>
      <c r="G2495" s="2" t="s">
        <v>1074</v>
      </c>
      <c r="H2495" s="2" t="s">
        <v>1074</v>
      </c>
      <c r="I2495" s="2" t="s">
        <v>7721</v>
      </c>
      <c r="J2495" s="2" t="s">
        <v>3877</v>
      </c>
      <c r="K2495" s="2" t="s">
        <v>3515</v>
      </c>
      <c r="L2495" s="3">
        <v>83.6</v>
      </c>
      <c r="M2495" s="3">
        <v>87.78</v>
      </c>
      <c r="N2495" s="3">
        <v>179</v>
      </c>
      <c r="O2495" s="2" t="s">
        <v>97</v>
      </c>
      <c r="P2495" s="2" t="s">
        <v>225</v>
      </c>
      <c r="Q2495" s="2" t="s">
        <v>99</v>
      </c>
      <c r="R2495" s="2" t="s">
        <v>100</v>
      </c>
      <c r="S2495" s="2" t="s">
        <v>100</v>
      </c>
      <c r="T2495" s="2" t="s">
        <v>100</v>
      </c>
      <c r="U2495" s="2" t="s">
        <v>1847</v>
      </c>
      <c r="V2495" s="2" t="s">
        <v>3188</v>
      </c>
      <c r="W2495" s="2" t="s">
        <v>104</v>
      </c>
      <c r="X2495" s="2" t="s">
        <v>561</v>
      </c>
      <c r="Y2495" s="2" t="s">
        <v>1288</v>
      </c>
      <c r="Z2495" s="4">
        <v>129</v>
      </c>
      <c r="AA2495" s="4">
        <f>=ROUNDDOWN(64.5,0)</f>
      </c>
      <c r="AB2495" s="5">
        <v>2</v>
      </c>
      <c r="AC2495" s="2" t="s">
        <v>100</v>
      </c>
      <c r="AD2495" s="4"/>
      <c r="AE2495" s="4"/>
      <c r="AF2495" s="6">
        <v>76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/>
      <c r="BJ2495" s="4">
        <v>28</v>
      </c>
      <c r="BK2495" s="8">
        <v>2703.29</v>
      </c>
      <c r="BL2495" s="2" t="s">
        <v>7722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2480</v>
      </c>
      <c r="BV2495" s="2" t="s">
        <v>97</v>
      </c>
      <c r="BW2495" s="2" t="s">
        <v>100</v>
      </c>
      <c r="BX2495" s="2" t="s">
        <v>100</v>
      </c>
      <c r="BY2495" s="2" t="s">
        <v>113</v>
      </c>
      <c r="BZ2495" s="2" t="s">
        <v>100</v>
      </c>
    </row>
    <row r="2496">
      <c r="A2496" s="2" t="s">
        <v>7723</v>
      </c>
      <c r="B2496" s="2" t="s">
        <v>7711</v>
      </c>
      <c r="C2496" s="2" t="s">
        <v>2213</v>
      </c>
      <c r="D2496" s="2" t="s">
        <v>7712</v>
      </c>
      <c r="E2496" s="2" t="s">
        <v>7713</v>
      </c>
      <c r="F2496" s="2" t="s">
        <v>1074</v>
      </c>
      <c r="G2496" s="2" t="s">
        <v>1074</v>
      </c>
      <c r="H2496" s="2" t="s">
        <v>1074</v>
      </c>
      <c r="I2496" s="2" t="s">
        <v>7721</v>
      </c>
      <c r="J2496" s="2" t="s">
        <v>3877</v>
      </c>
      <c r="K2496" s="2" t="s">
        <v>7724</v>
      </c>
      <c r="L2496" s="3">
        <v>83.6</v>
      </c>
      <c r="M2496" s="3">
        <v>87.78</v>
      </c>
      <c r="N2496" s="3">
        <v>179</v>
      </c>
      <c r="O2496" s="2" t="s">
        <v>97</v>
      </c>
      <c r="P2496" s="2" t="s">
        <v>225</v>
      </c>
      <c r="Q2496" s="2" t="s">
        <v>99</v>
      </c>
      <c r="R2496" s="2" t="s">
        <v>100</v>
      </c>
      <c r="S2496" s="2" t="s">
        <v>100</v>
      </c>
      <c r="T2496" s="2" t="s">
        <v>100</v>
      </c>
      <c r="U2496" s="2" t="s">
        <v>1847</v>
      </c>
      <c r="V2496" s="2" t="s">
        <v>3188</v>
      </c>
      <c r="W2496" s="2" t="s">
        <v>104</v>
      </c>
      <c r="X2496" s="2" t="s">
        <v>561</v>
      </c>
      <c r="Y2496" s="2" t="s">
        <v>7725</v>
      </c>
      <c r="Z2496" s="4">
        <v>91</v>
      </c>
      <c r="AA2496" s="4">
        <f>=ROUNDDOWN(91,0)</f>
      </c>
      <c r="AB2496" s="5">
        <v>1</v>
      </c>
      <c r="AC2496" s="2" t="s">
        <v>100</v>
      </c>
      <c r="AD2496" s="4"/>
      <c r="AE2496" s="4"/>
      <c r="AF2496" s="6">
        <v>76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/>
      <c r="BJ2496" s="4">
        <v>7</v>
      </c>
      <c r="BK2496" s="8">
        <v>638.95</v>
      </c>
      <c r="BL2496" s="2" t="s">
        <v>7719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230</v>
      </c>
      <c r="BV2496" s="2" t="s">
        <v>97</v>
      </c>
      <c r="BW2496" s="2" t="s">
        <v>100</v>
      </c>
      <c r="BX2496" s="2" t="s">
        <v>100</v>
      </c>
      <c r="BY2496" s="2" t="s">
        <v>113</v>
      </c>
      <c r="BZ2496" s="2" t="s">
        <v>100</v>
      </c>
    </row>
    <row r="2497">
      <c r="A2497" s="2" t="s">
        <v>7726</v>
      </c>
      <c r="B2497" s="2" t="s">
        <v>7711</v>
      </c>
      <c r="C2497" s="2" t="s">
        <v>2213</v>
      </c>
      <c r="D2497" s="2" t="s">
        <v>7712</v>
      </c>
      <c r="E2497" s="2" t="s">
        <v>7713</v>
      </c>
      <c r="F2497" s="2" t="s">
        <v>1074</v>
      </c>
      <c r="G2497" s="2" t="s">
        <v>1074</v>
      </c>
      <c r="H2497" s="2" t="s">
        <v>1074</v>
      </c>
      <c r="I2497" s="2" t="s">
        <v>7721</v>
      </c>
      <c r="J2497" s="2" t="s">
        <v>3877</v>
      </c>
      <c r="K2497" s="2" t="s">
        <v>7727</v>
      </c>
      <c r="L2497" s="3">
        <v>83.6</v>
      </c>
      <c r="M2497" s="3">
        <v>87.78</v>
      </c>
      <c r="N2497" s="3">
        <v>179</v>
      </c>
      <c r="O2497" s="2" t="s">
        <v>97</v>
      </c>
      <c r="P2497" s="2" t="s">
        <v>225</v>
      </c>
      <c r="Q2497" s="2" t="s">
        <v>99</v>
      </c>
      <c r="R2497" s="2" t="s">
        <v>100</v>
      </c>
      <c r="S2497" s="2" t="s">
        <v>100</v>
      </c>
      <c r="T2497" s="2" t="s">
        <v>100</v>
      </c>
      <c r="U2497" s="2" t="s">
        <v>1847</v>
      </c>
      <c r="V2497" s="2" t="s">
        <v>3188</v>
      </c>
      <c r="W2497" s="2" t="s">
        <v>104</v>
      </c>
      <c r="X2497" s="2" t="s">
        <v>561</v>
      </c>
      <c r="Y2497" s="2" t="s">
        <v>531</v>
      </c>
      <c r="Z2497" s="4">
        <v>87</v>
      </c>
      <c r="AA2497" s="4">
        <f>=ROUNDDOWN(43.5,0)</f>
      </c>
      <c r="AB2497" s="5">
        <v>2</v>
      </c>
      <c r="AC2497" s="2" t="s">
        <v>100</v>
      </c>
      <c r="AD2497" s="4"/>
      <c r="AE2497" s="4"/>
      <c r="AF2497" s="6">
        <v>76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/>
      <c r="BJ2497" s="4">
        <v>12</v>
      </c>
      <c r="BK2497" s="8">
        <v>1181</v>
      </c>
      <c r="BL2497" s="2" t="s">
        <v>7728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230</v>
      </c>
      <c r="BV2497" s="2" t="s">
        <v>97</v>
      </c>
      <c r="BW2497" s="2" t="s">
        <v>100</v>
      </c>
      <c r="BX2497" s="2" t="s">
        <v>100</v>
      </c>
      <c r="BY2497" s="2" t="s">
        <v>113</v>
      </c>
      <c r="BZ2497" s="2" t="s">
        <v>100</v>
      </c>
    </row>
    <row r="2498">
      <c r="A2498" s="2" t="s">
        <v>7729</v>
      </c>
      <c r="B2498" s="2" t="s">
        <v>7711</v>
      </c>
      <c r="C2498" s="2" t="s">
        <v>2213</v>
      </c>
      <c r="D2498" s="2" t="s">
        <v>7730</v>
      </c>
      <c r="E2498" s="2" t="s">
        <v>7731</v>
      </c>
      <c r="F2498" s="2" t="s">
        <v>7732</v>
      </c>
      <c r="G2498" s="2" t="s">
        <v>7732</v>
      </c>
      <c r="H2498" s="2" t="s">
        <v>7732</v>
      </c>
      <c r="I2498" s="2" t="s">
        <v>7733</v>
      </c>
      <c r="J2498" s="2" t="s">
        <v>3877</v>
      </c>
      <c r="K2498" s="2" t="s">
        <v>604</v>
      </c>
      <c r="L2498" s="3">
        <v>112.1</v>
      </c>
      <c r="M2498" s="3">
        <v>117.7</v>
      </c>
      <c r="N2498" s="3">
        <v>239</v>
      </c>
      <c r="O2498" s="2" t="s">
        <v>97</v>
      </c>
      <c r="P2498" s="2" t="s">
        <v>225</v>
      </c>
      <c r="Q2498" s="2" t="s">
        <v>99</v>
      </c>
      <c r="R2498" s="2" t="s">
        <v>100</v>
      </c>
      <c r="S2498" s="2" t="s">
        <v>100</v>
      </c>
      <c r="T2498" s="2" t="s">
        <v>100</v>
      </c>
      <c r="U2498" s="2" t="s">
        <v>1847</v>
      </c>
      <c r="V2498" s="2" t="s">
        <v>3188</v>
      </c>
      <c r="W2498" s="2" t="s">
        <v>104</v>
      </c>
      <c r="X2498" s="2" t="s">
        <v>561</v>
      </c>
      <c r="Y2498" s="2" t="s">
        <v>3747</v>
      </c>
      <c r="Z2498" s="4">
        <v>78</v>
      </c>
      <c r="AA2498" s="4">
        <f>=ROUNDDOWN(111.428571428571,0)</f>
      </c>
      <c r="AB2498" s="5">
        <v>0.7</v>
      </c>
      <c r="AC2498" s="2" t="s">
        <v>100</v>
      </c>
      <c r="AD2498" s="4"/>
      <c r="AE2498" s="4"/>
      <c r="AF2498" s="6">
        <v>76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/>
      <c r="BJ2498" s="4">
        <v>16</v>
      </c>
      <c r="BK2498" s="8">
        <v>2171.38</v>
      </c>
      <c r="BL2498" s="2" t="s">
        <v>7734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2480</v>
      </c>
      <c r="BV2498" s="2" t="s">
        <v>97</v>
      </c>
      <c r="BW2498" s="2" t="s">
        <v>100</v>
      </c>
      <c r="BX2498" s="2" t="s">
        <v>100</v>
      </c>
      <c r="BY2498" s="2" t="s">
        <v>113</v>
      </c>
      <c r="BZ2498" s="2" t="s">
        <v>100</v>
      </c>
    </row>
    <row r="2499">
      <c r="A2499" s="2" t="s">
        <v>7735</v>
      </c>
      <c r="B2499" s="2" t="s">
        <v>7711</v>
      </c>
      <c r="C2499" s="2" t="s">
        <v>2213</v>
      </c>
      <c r="D2499" s="2" t="s">
        <v>7730</v>
      </c>
      <c r="E2499" s="2" t="s">
        <v>7731</v>
      </c>
      <c r="F2499" s="2" t="s">
        <v>7732</v>
      </c>
      <c r="G2499" s="2" t="s">
        <v>7732</v>
      </c>
      <c r="H2499" s="2" t="s">
        <v>7732</v>
      </c>
      <c r="I2499" s="2" t="s">
        <v>7733</v>
      </c>
      <c r="J2499" s="2" t="s">
        <v>3877</v>
      </c>
      <c r="K2499" s="2" t="s">
        <v>7736</v>
      </c>
      <c r="L2499" s="3">
        <v>112.1</v>
      </c>
      <c r="M2499" s="3">
        <v>117.7</v>
      </c>
      <c r="N2499" s="3">
        <v>239</v>
      </c>
      <c r="O2499" s="2" t="s">
        <v>97</v>
      </c>
      <c r="P2499" s="2" t="s">
        <v>225</v>
      </c>
      <c r="Q2499" s="2" t="s">
        <v>99</v>
      </c>
      <c r="R2499" s="2" t="s">
        <v>100</v>
      </c>
      <c r="S2499" s="2" t="s">
        <v>100</v>
      </c>
      <c r="T2499" s="2" t="s">
        <v>100</v>
      </c>
      <c r="U2499" s="2" t="s">
        <v>1847</v>
      </c>
      <c r="V2499" s="2" t="s">
        <v>3188</v>
      </c>
      <c r="W2499" s="2" t="s">
        <v>104</v>
      </c>
      <c r="X2499" s="2" t="s">
        <v>561</v>
      </c>
      <c r="Y2499" s="2" t="s">
        <v>6169</v>
      </c>
      <c r="Z2499" s="4">
        <v>196</v>
      </c>
      <c r="AA2499" s="4">
        <f>=ROUNDDOWN(980,0)</f>
      </c>
      <c r="AB2499" s="5">
        <v>0.2</v>
      </c>
      <c r="AC2499" s="2" t="s">
        <v>100</v>
      </c>
      <c r="AD2499" s="4"/>
      <c r="AE2499" s="4"/>
      <c r="AF2499" s="6">
        <v>76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/>
      <c r="BJ2499" s="4">
        <v>3</v>
      </c>
      <c r="BK2499" s="8">
        <v>356.3</v>
      </c>
      <c r="BL2499" s="2" t="s">
        <v>7737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2480</v>
      </c>
      <c r="BV2499" s="2" t="s">
        <v>97</v>
      </c>
      <c r="BW2499" s="2" t="s">
        <v>100</v>
      </c>
      <c r="BX2499" s="2" t="s">
        <v>100</v>
      </c>
      <c r="BY2499" s="2" t="s">
        <v>113</v>
      </c>
      <c r="BZ2499" s="2" t="s">
        <v>100</v>
      </c>
    </row>
    <row r="2500">
      <c r="A2500" s="2" t="s">
        <v>7738</v>
      </c>
      <c r="B2500" s="2" t="s">
        <v>7711</v>
      </c>
      <c r="C2500" s="2" t="s">
        <v>2213</v>
      </c>
      <c r="D2500" s="2" t="s">
        <v>7730</v>
      </c>
      <c r="E2500" s="2" t="s">
        <v>7731</v>
      </c>
      <c r="F2500" s="2" t="s">
        <v>7732</v>
      </c>
      <c r="G2500" s="2" t="s">
        <v>7732</v>
      </c>
      <c r="H2500" s="2" t="s">
        <v>7732</v>
      </c>
      <c r="I2500" s="2" t="s">
        <v>7733</v>
      </c>
      <c r="J2500" s="2" t="s">
        <v>3877</v>
      </c>
      <c r="K2500" s="2" t="s">
        <v>7739</v>
      </c>
      <c r="L2500" s="3">
        <v>112.1</v>
      </c>
      <c r="M2500" s="3">
        <v>117.7</v>
      </c>
      <c r="N2500" s="3">
        <v>239</v>
      </c>
      <c r="O2500" s="2" t="s">
        <v>97</v>
      </c>
      <c r="P2500" s="2" t="s">
        <v>225</v>
      </c>
      <c r="Q2500" s="2" t="s">
        <v>99</v>
      </c>
      <c r="R2500" s="2" t="s">
        <v>100</v>
      </c>
      <c r="S2500" s="2" t="s">
        <v>100</v>
      </c>
      <c r="T2500" s="2" t="s">
        <v>100</v>
      </c>
      <c r="U2500" s="2" t="s">
        <v>1847</v>
      </c>
      <c r="V2500" s="2" t="s">
        <v>3188</v>
      </c>
      <c r="W2500" s="2" t="s">
        <v>104</v>
      </c>
      <c r="X2500" s="2" t="s">
        <v>561</v>
      </c>
      <c r="Y2500" s="2" t="s">
        <v>7740</v>
      </c>
      <c r="Z2500" s="4">
        <v>68</v>
      </c>
      <c r="AA2500" s="4">
        <f>=ROUNDDOWN(52.3076923076923,0)</f>
      </c>
      <c r="AB2500" s="5">
        <v>1.3</v>
      </c>
      <c r="AC2500" s="2" t="s">
        <v>100</v>
      </c>
      <c r="AD2500" s="4"/>
      <c r="AE2500" s="4"/>
      <c r="AF2500" s="6">
        <v>76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/>
      <c r="BJ2500" s="4">
        <v>8</v>
      </c>
      <c r="BK2500" s="8">
        <v>1013.38</v>
      </c>
      <c r="BL2500" s="2" t="s">
        <v>2609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2480</v>
      </c>
      <c r="BV2500" s="2" t="s">
        <v>97</v>
      </c>
      <c r="BW2500" s="2" t="s">
        <v>100</v>
      </c>
      <c r="BX2500" s="2" t="s">
        <v>100</v>
      </c>
      <c r="BY2500" s="2" t="s">
        <v>113</v>
      </c>
      <c r="BZ2500" s="2" t="s">
        <v>100</v>
      </c>
    </row>
    <row r="2501">
      <c r="A2501" s="2" t="s">
        <v>7741</v>
      </c>
      <c r="B2501" s="2" t="s">
        <v>7711</v>
      </c>
      <c r="C2501" s="2" t="s">
        <v>2213</v>
      </c>
      <c r="D2501" s="2" t="s">
        <v>7730</v>
      </c>
      <c r="E2501" s="2" t="s">
        <v>7731</v>
      </c>
      <c r="F2501" s="2" t="s">
        <v>7742</v>
      </c>
      <c r="G2501" s="2" t="s">
        <v>7742</v>
      </c>
      <c r="H2501" s="2" t="s">
        <v>7742</v>
      </c>
      <c r="I2501" s="2" t="s">
        <v>7743</v>
      </c>
      <c r="J2501" s="2" t="s">
        <v>3877</v>
      </c>
      <c r="K2501" s="2" t="s">
        <v>7736</v>
      </c>
      <c r="L2501" s="3">
        <v>112.1</v>
      </c>
      <c r="M2501" s="3">
        <v>117.7</v>
      </c>
      <c r="N2501" s="3">
        <v>239</v>
      </c>
      <c r="O2501" s="2" t="s">
        <v>97</v>
      </c>
      <c r="P2501" s="2" t="s">
        <v>225</v>
      </c>
      <c r="Q2501" s="2" t="s">
        <v>99</v>
      </c>
      <c r="R2501" s="2" t="s">
        <v>100</v>
      </c>
      <c r="S2501" s="2" t="s">
        <v>100</v>
      </c>
      <c r="T2501" s="2" t="s">
        <v>100</v>
      </c>
      <c r="U2501" s="2" t="s">
        <v>1847</v>
      </c>
      <c r="V2501" s="2" t="s">
        <v>3188</v>
      </c>
      <c r="W2501" s="2" t="s">
        <v>104</v>
      </c>
      <c r="X2501" s="2" t="s">
        <v>561</v>
      </c>
      <c r="Y2501" s="2" t="s">
        <v>7740</v>
      </c>
      <c r="Z2501" s="4">
        <v>254</v>
      </c>
      <c r="AA2501" s="4">
        <f>=ROUNDDOWN(254,0)</f>
      </c>
      <c r="AB2501" s="5">
        <v>1</v>
      </c>
      <c r="AC2501" s="2" t="s">
        <v>100</v>
      </c>
      <c r="AD2501" s="4"/>
      <c r="AE2501" s="4"/>
      <c r="AF2501" s="6">
        <v>76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/>
      <c r="BJ2501" s="4">
        <v>26</v>
      </c>
      <c r="BK2501" s="8">
        <v>3194.81</v>
      </c>
      <c r="BL2501" s="2" t="s">
        <v>7744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2480</v>
      </c>
      <c r="BV2501" s="2" t="s">
        <v>97</v>
      </c>
      <c r="BW2501" s="2" t="s">
        <v>100</v>
      </c>
      <c r="BX2501" s="2" t="s">
        <v>100</v>
      </c>
      <c r="BY2501" s="2" t="s">
        <v>113</v>
      </c>
      <c r="BZ2501" s="2" t="s">
        <v>100</v>
      </c>
    </row>
    <row r="2502">
      <c r="A2502" s="2" t="s">
        <v>7745</v>
      </c>
      <c r="B2502" s="2" t="s">
        <v>7711</v>
      </c>
      <c r="C2502" s="2" t="s">
        <v>2213</v>
      </c>
      <c r="D2502" s="2" t="s">
        <v>7730</v>
      </c>
      <c r="E2502" s="2" t="s">
        <v>7731</v>
      </c>
      <c r="F2502" s="2" t="s">
        <v>7742</v>
      </c>
      <c r="G2502" s="2" t="s">
        <v>7742</v>
      </c>
      <c r="H2502" s="2" t="s">
        <v>7742</v>
      </c>
      <c r="I2502" s="2" t="s">
        <v>7743</v>
      </c>
      <c r="J2502" s="2" t="s">
        <v>3877</v>
      </c>
      <c r="K2502" s="2" t="s">
        <v>3515</v>
      </c>
      <c r="L2502" s="3">
        <v>112.1</v>
      </c>
      <c r="M2502" s="3">
        <v>117.7</v>
      </c>
      <c r="N2502" s="3">
        <v>239</v>
      </c>
      <c r="O2502" s="2" t="s">
        <v>97</v>
      </c>
      <c r="P2502" s="2" t="s">
        <v>225</v>
      </c>
      <c r="Q2502" s="2" t="s">
        <v>99</v>
      </c>
      <c r="R2502" s="2" t="s">
        <v>100</v>
      </c>
      <c r="S2502" s="2" t="s">
        <v>100</v>
      </c>
      <c r="T2502" s="2" t="s">
        <v>100</v>
      </c>
      <c r="U2502" s="2" t="s">
        <v>1847</v>
      </c>
      <c r="V2502" s="2" t="s">
        <v>3188</v>
      </c>
      <c r="W2502" s="2" t="s">
        <v>104</v>
      </c>
      <c r="X2502" s="2" t="s">
        <v>561</v>
      </c>
      <c r="Y2502" s="2" t="s">
        <v>7658</v>
      </c>
      <c r="Z2502" s="4">
        <v>89</v>
      </c>
      <c r="AA2502" s="4">
        <f>=ROUNDDOWN(27.8125,0)</f>
      </c>
      <c r="AB2502" s="5">
        <v>3.2</v>
      </c>
      <c r="AC2502" s="2" t="s">
        <v>100</v>
      </c>
      <c r="AD2502" s="4"/>
      <c r="AE2502" s="4"/>
      <c r="AF2502" s="6">
        <v>76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/>
      <c r="BJ2502" s="4">
        <v>9</v>
      </c>
      <c r="BK2502" s="8">
        <v>1164.91</v>
      </c>
      <c r="BL2502" s="2" t="s">
        <v>7746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2480</v>
      </c>
      <c r="BV2502" s="2" t="s">
        <v>97</v>
      </c>
      <c r="BW2502" s="2" t="s">
        <v>100</v>
      </c>
      <c r="BX2502" s="2" t="s">
        <v>100</v>
      </c>
      <c r="BY2502" s="2" t="s">
        <v>113</v>
      </c>
      <c r="BZ2502" s="2" t="s">
        <v>100</v>
      </c>
    </row>
    <row r="2503">
      <c r="A2503" s="2" t="s">
        <v>7747</v>
      </c>
      <c r="B2503" s="2" t="s">
        <v>7711</v>
      </c>
      <c r="C2503" s="2" t="s">
        <v>2213</v>
      </c>
      <c r="D2503" s="2" t="s">
        <v>7730</v>
      </c>
      <c r="E2503" s="2" t="s">
        <v>7731</v>
      </c>
      <c r="F2503" s="2" t="s">
        <v>7748</v>
      </c>
      <c r="G2503" s="2" t="s">
        <v>7748</v>
      </c>
      <c r="H2503" s="2" t="s">
        <v>7748</v>
      </c>
      <c r="I2503" s="2" t="s">
        <v>7749</v>
      </c>
      <c r="J2503" s="2" t="s">
        <v>3877</v>
      </c>
      <c r="K2503" s="2" t="s">
        <v>604</v>
      </c>
      <c r="L2503" s="3">
        <v>118.75</v>
      </c>
      <c r="M2503" s="3">
        <v>124.69</v>
      </c>
      <c r="N2503" s="3">
        <v>249</v>
      </c>
      <c r="O2503" s="2" t="s">
        <v>97</v>
      </c>
      <c r="P2503" s="2" t="s">
        <v>119</v>
      </c>
      <c r="Q2503" s="2" t="s">
        <v>99</v>
      </c>
      <c r="R2503" s="2" t="s">
        <v>100</v>
      </c>
      <c r="S2503" s="2" t="s">
        <v>100</v>
      </c>
      <c r="T2503" s="2" t="s">
        <v>100</v>
      </c>
      <c r="U2503" s="2" t="s">
        <v>1847</v>
      </c>
      <c r="V2503" s="2" t="s">
        <v>3188</v>
      </c>
      <c r="W2503" s="2" t="s">
        <v>104</v>
      </c>
      <c r="X2503" s="2" t="s">
        <v>183</v>
      </c>
      <c r="Y2503" s="2" t="s">
        <v>1288</v>
      </c>
      <c r="Z2503" s="4">
        <v>365</v>
      </c>
      <c r="AA2503" s="4">
        <f>=ROUNDDOWN(60.8333333333333,0)</f>
      </c>
      <c r="AB2503" s="5">
        <v>6</v>
      </c>
      <c r="AC2503" s="2" t="s">
        <v>100</v>
      </c>
      <c r="AD2503" s="4"/>
      <c r="AE2503" s="4"/>
      <c r="AF2503" s="6">
        <v>76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/>
      <c r="BJ2503" s="4">
        <v>136</v>
      </c>
      <c r="BK2503" s="8">
        <v>17242.74</v>
      </c>
      <c r="BL2503" s="2" t="s">
        <v>7750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2480</v>
      </c>
      <c r="BV2503" s="2" t="s">
        <v>97</v>
      </c>
      <c r="BW2503" s="2" t="s">
        <v>100</v>
      </c>
      <c r="BX2503" s="2" t="s">
        <v>100</v>
      </c>
      <c r="BY2503" s="2" t="s">
        <v>113</v>
      </c>
      <c r="BZ2503" s="2" t="s">
        <v>100</v>
      </c>
    </row>
    <row r="2504">
      <c r="A2504" s="2" t="s">
        <v>7751</v>
      </c>
      <c r="B2504" s="2" t="s">
        <v>7711</v>
      </c>
      <c r="C2504" s="2" t="s">
        <v>2213</v>
      </c>
      <c r="D2504" s="2" t="s">
        <v>7730</v>
      </c>
      <c r="E2504" s="2" t="s">
        <v>7731</v>
      </c>
      <c r="F2504" s="2" t="s">
        <v>7748</v>
      </c>
      <c r="G2504" s="2" t="s">
        <v>7748</v>
      </c>
      <c r="H2504" s="2" t="s">
        <v>7748</v>
      </c>
      <c r="I2504" s="2" t="s">
        <v>7749</v>
      </c>
      <c r="J2504" s="2" t="s">
        <v>3877</v>
      </c>
      <c r="K2504" s="2" t="s">
        <v>6337</v>
      </c>
      <c r="L2504" s="3">
        <v>118.75</v>
      </c>
      <c r="M2504" s="3">
        <v>124.69</v>
      </c>
      <c r="N2504" s="3">
        <v>249</v>
      </c>
      <c r="O2504" s="2" t="s">
        <v>97</v>
      </c>
      <c r="P2504" s="2" t="s">
        <v>119</v>
      </c>
      <c r="Q2504" s="2" t="s">
        <v>99</v>
      </c>
      <c r="R2504" s="2" t="s">
        <v>100</v>
      </c>
      <c r="S2504" s="2" t="s">
        <v>100</v>
      </c>
      <c r="T2504" s="2" t="s">
        <v>100</v>
      </c>
      <c r="U2504" s="2" t="s">
        <v>1847</v>
      </c>
      <c r="V2504" s="2" t="s">
        <v>3188</v>
      </c>
      <c r="W2504" s="2" t="s">
        <v>104</v>
      </c>
      <c r="X2504" s="2" t="s">
        <v>183</v>
      </c>
      <c r="Y2504" s="2" t="s">
        <v>1281</v>
      </c>
      <c r="Z2504" s="4">
        <v>657</v>
      </c>
      <c r="AA2504" s="4">
        <f>=ROUNDDOWN(21.9,0)</f>
      </c>
      <c r="AB2504" s="5">
        <v>30</v>
      </c>
      <c r="AC2504" s="2" t="s">
        <v>320</v>
      </c>
      <c r="AD2504" s="4">
        <v>133</v>
      </c>
      <c r="AE2504" s="4">
        <v>512</v>
      </c>
      <c r="AF2504" s="6">
        <v>76</v>
      </c>
      <c r="AG2504" s="6">
        <v>62</v>
      </c>
      <c r="AH2504" s="7">
        <v>0.4171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/>
      <c r="BJ2504" s="4">
        <v>179</v>
      </c>
      <c r="BK2504" s="8">
        <v>24806.32</v>
      </c>
      <c r="BL2504" s="2" t="s">
        <v>7752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2480</v>
      </c>
      <c r="BV2504" s="2" t="s">
        <v>97</v>
      </c>
      <c r="BW2504" s="2" t="s">
        <v>100</v>
      </c>
      <c r="BX2504" s="2" t="s">
        <v>100</v>
      </c>
      <c r="BY2504" s="2" t="s">
        <v>113</v>
      </c>
      <c r="BZ2504" s="2" t="s">
        <v>100</v>
      </c>
    </row>
    <row r="2505">
      <c r="A2505" s="2" t="s">
        <v>7753</v>
      </c>
      <c r="B2505" s="2" t="s">
        <v>7711</v>
      </c>
      <c r="C2505" s="2" t="s">
        <v>2213</v>
      </c>
      <c r="D2505" s="2" t="s">
        <v>7730</v>
      </c>
      <c r="E2505" s="2" t="s">
        <v>7731</v>
      </c>
      <c r="F2505" s="2" t="s">
        <v>7748</v>
      </c>
      <c r="G2505" s="2" t="s">
        <v>7748</v>
      </c>
      <c r="H2505" s="2" t="s">
        <v>7748</v>
      </c>
      <c r="I2505" s="2" t="s">
        <v>7749</v>
      </c>
      <c r="J2505" s="2" t="s">
        <v>3877</v>
      </c>
      <c r="K2505" s="2" t="s">
        <v>7727</v>
      </c>
      <c r="L2505" s="3">
        <v>118.75</v>
      </c>
      <c r="M2505" s="3">
        <v>124.69</v>
      </c>
      <c r="N2505" s="3">
        <v>249</v>
      </c>
      <c r="O2505" s="2" t="s">
        <v>97</v>
      </c>
      <c r="P2505" s="2" t="s">
        <v>225</v>
      </c>
      <c r="Q2505" s="2" t="s">
        <v>99</v>
      </c>
      <c r="R2505" s="2" t="s">
        <v>100</v>
      </c>
      <c r="S2505" s="2" t="s">
        <v>100</v>
      </c>
      <c r="T2505" s="2" t="s">
        <v>100</v>
      </c>
      <c r="U2505" s="2" t="s">
        <v>1847</v>
      </c>
      <c r="V2505" s="2" t="s">
        <v>3188</v>
      </c>
      <c r="W2505" s="2" t="s">
        <v>104</v>
      </c>
      <c r="X2505" s="2" t="s">
        <v>183</v>
      </c>
      <c r="Y2505" s="2" t="s">
        <v>2157</v>
      </c>
      <c r="Z2505" s="4">
        <v>69</v>
      </c>
      <c r="AA2505" s="4">
        <f>=ROUNDDOWN(34.5,0)</f>
      </c>
      <c r="AB2505" s="5">
        <v>2</v>
      </c>
      <c r="AC2505" s="2" t="s">
        <v>100</v>
      </c>
      <c r="AD2505" s="4"/>
      <c r="AE2505" s="4"/>
      <c r="AF2505" s="6">
        <v>76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/>
      <c r="BJ2505" s="4">
        <v>30</v>
      </c>
      <c r="BK2505" s="8">
        <v>3839.87</v>
      </c>
      <c r="BL2505" s="2" t="s">
        <v>2133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230</v>
      </c>
      <c r="BV2505" s="2" t="s">
        <v>97</v>
      </c>
      <c r="BW2505" s="2" t="s">
        <v>100</v>
      </c>
      <c r="BX2505" s="2" t="s">
        <v>100</v>
      </c>
      <c r="BY2505" s="2" t="s">
        <v>113</v>
      </c>
      <c r="BZ2505" s="2" t="s">
        <v>100</v>
      </c>
    </row>
    <row r="2506">
      <c r="A2506" s="2" t="s">
        <v>7754</v>
      </c>
      <c r="B2506" s="2" t="s">
        <v>7711</v>
      </c>
      <c r="C2506" s="2" t="s">
        <v>2213</v>
      </c>
      <c r="D2506" s="2" t="s">
        <v>7755</v>
      </c>
      <c r="E2506" s="2" t="s">
        <v>7756</v>
      </c>
      <c r="F2506" s="2" t="s">
        <v>389</v>
      </c>
      <c r="G2506" s="2" t="s">
        <v>389</v>
      </c>
      <c r="H2506" s="2" t="s">
        <v>389</v>
      </c>
      <c r="I2506" s="2" t="s">
        <v>7757</v>
      </c>
      <c r="J2506" s="2" t="s">
        <v>3877</v>
      </c>
      <c r="K2506" s="2" t="s">
        <v>118</v>
      </c>
      <c r="L2506" s="3">
        <v>142</v>
      </c>
      <c r="M2506" s="3">
        <v>149.1</v>
      </c>
      <c r="N2506" s="3">
        <v>299</v>
      </c>
      <c r="O2506" s="2" t="s">
        <v>97</v>
      </c>
      <c r="P2506" s="2" t="s">
        <v>225</v>
      </c>
      <c r="Q2506" s="2" t="s">
        <v>99</v>
      </c>
      <c r="R2506" s="2" t="s">
        <v>100</v>
      </c>
      <c r="S2506" s="2" t="s">
        <v>100</v>
      </c>
      <c r="T2506" s="2" t="s">
        <v>100</v>
      </c>
      <c r="U2506" s="2" t="s">
        <v>514</v>
      </c>
      <c r="V2506" s="2" t="s">
        <v>3188</v>
      </c>
      <c r="W2506" s="2" t="s">
        <v>104</v>
      </c>
      <c r="X2506" s="2" t="s">
        <v>309</v>
      </c>
      <c r="Y2506" s="2" t="s">
        <v>2168</v>
      </c>
      <c r="Z2506" s="4">
        <v>90</v>
      </c>
      <c r="AA2506" s="4">
        <f>=ROUNDDOWN({0},0)</f>
      </c>
      <c r="AB2506" s="5"/>
      <c r="AC2506" s="2" t="s">
        <v>100</v>
      </c>
      <c r="AD2506" s="4"/>
      <c r="AE2506" s="4"/>
      <c r="AF2506" s="6">
        <v>76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/>
      <c r="BJ2506" s="4"/>
      <c r="BK2506" s="8"/>
      <c r="BL2506" s="2" t="s">
        <v>100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230</v>
      </c>
      <c r="BV2506" s="2" t="s">
        <v>97</v>
      </c>
      <c r="BW2506" s="2" t="s">
        <v>100</v>
      </c>
      <c r="BX2506" s="2" t="s">
        <v>100</v>
      </c>
      <c r="BY2506" s="2" t="s">
        <v>113</v>
      </c>
      <c r="BZ2506" s="2" t="s">
        <v>100</v>
      </c>
    </row>
    <row r="2507">
      <c r="A2507" s="2" t="s">
        <v>7758</v>
      </c>
      <c r="B2507" s="2" t="s">
        <v>7711</v>
      </c>
      <c r="C2507" s="2" t="s">
        <v>2213</v>
      </c>
      <c r="D2507" s="2" t="s">
        <v>7755</v>
      </c>
      <c r="E2507" s="2" t="s">
        <v>7756</v>
      </c>
      <c r="F2507" s="2" t="s">
        <v>389</v>
      </c>
      <c r="G2507" s="2" t="s">
        <v>389</v>
      </c>
      <c r="H2507" s="2" t="s">
        <v>389</v>
      </c>
      <c r="I2507" s="2" t="s">
        <v>7757</v>
      </c>
      <c r="J2507" s="2" t="s">
        <v>3877</v>
      </c>
      <c r="K2507" s="2" t="s">
        <v>6337</v>
      </c>
      <c r="L2507" s="3">
        <v>142</v>
      </c>
      <c r="M2507" s="3">
        <v>149.1</v>
      </c>
      <c r="N2507" s="3">
        <v>299</v>
      </c>
      <c r="O2507" s="2" t="s">
        <v>97</v>
      </c>
      <c r="P2507" s="2" t="s">
        <v>225</v>
      </c>
      <c r="Q2507" s="2" t="s">
        <v>99</v>
      </c>
      <c r="R2507" s="2" t="s">
        <v>100</v>
      </c>
      <c r="S2507" s="2" t="s">
        <v>100</v>
      </c>
      <c r="T2507" s="2" t="s">
        <v>100</v>
      </c>
      <c r="U2507" s="2" t="s">
        <v>514</v>
      </c>
      <c r="V2507" s="2" t="s">
        <v>3188</v>
      </c>
      <c r="W2507" s="2" t="s">
        <v>104</v>
      </c>
      <c r="X2507" s="2" t="s">
        <v>309</v>
      </c>
      <c r="Y2507" s="2" t="s">
        <v>2168</v>
      </c>
      <c r="Z2507" s="4">
        <v>84</v>
      </c>
      <c r="AA2507" s="4">
        <f>=ROUNDDOWN(42,0)</f>
      </c>
      <c r="AB2507" s="5">
        <v>2</v>
      </c>
      <c r="AC2507" s="2" t="s">
        <v>100</v>
      </c>
      <c r="AD2507" s="4"/>
      <c r="AE2507" s="4"/>
      <c r="AF2507" s="6">
        <v>76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/>
      <c r="BJ2507" s="4">
        <v>6</v>
      </c>
      <c r="BK2507" s="8">
        <v>954.24</v>
      </c>
      <c r="BL2507" s="2" t="s">
        <v>7759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230</v>
      </c>
      <c r="BV2507" s="2" t="s">
        <v>97</v>
      </c>
      <c r="BW2507" s="2" t="s">
        <v>100</v>
      </c>
      <c r="BX2507" s="2" t="s">
        <v>100</v>
      </c>
      <c r="BY2507" s="2" t="s">
        <v>113</v>
      </c>
      <c r="BZ2507" s="2" t="s">
        <v>100</v>
      </c>
    </row>
    <row r="2508">
      <c r="A2508" s="2" t="s">
        <v>7760</v>
      </c>
      <c r="B2508" s="2" t="s">
        <v>7711</v>
      </c>
      <c r="C2508" s="2" t="s">
        <v>2213</v>
      </c>
      <c r="D2508" s="2" t="s">
        <v>7755</v>
      </c>
      <c r="E2508" s="2" t="s">
        <v>7756</v>
      </c>
      <c r="F2508" s="2" t="s">
        <v>389</v>
      </c>
      <c r="G2508" s="2" t="s">
        <v>389</v>
      </c>
      <c r="H2508" s="2" t="s">
        <v>389</v>
      </c>
      <c r="I2508" s="2" t="s">
        <v>7757</v>
      </c>
      <c r="J2508" s="2" t="s">
        <v>3877</v>
      </c>
      <c r="K2508" s="2" t="s">
        <v>858</v>
      </c>
      <c r="L2508" s="3">
        <v>142</v>
      </c>
      <c r="M2508" s="3">
        <v>149.1</v>
      </c>
      <c r="N2508" s="3">
        <v>299</v>
      </c>
      <c r="O2508" s="2" t="s">
        <v>97</v>
      </c>
      <c r="P2508" s="2" t="s">
        <v>225</v>
      </c>
      <c r="Q2508" s="2" t="s">
        <v>99</v>
      </c>
      <c r="R2508" s="2" t="s">
        <v>100</v>
      </c>
      <c r="S2508" s="2" t="s">
        <v>100</v>
      </c>
      <c r="T2508" s="2" t="s">
        <v>100</v>
      </c>
      <c r="U2508" s="2" t="s">
        <v>514</v>
      </c>
      <c r="V2508" s="2" t="s">
        <v>3188</v>
      </c>
      <c r="W2508" s="2" t="s">
        <v>104</v>
      </c>
      <c r="X2508" s="2" t="s">
        <v>309</v>
      </c>
      <c r="Y2508" s="2" t="s">
        <v>2168</v>
      </c>
      <c r="Z2508" s="4">
        <v>157</v>
      </c>
      <c r="AA2508" s="4">
        <f>=ROUNDDOWN({0},0)</f>
      </c>
      <c r="AB2508" s="5"/>
      <c r="AC2508" s="2" t="s">
        <v>100</v>
      </c>
      <c r="AD2508" s="4"/>
      <c r="AE2508" s="4"/>
      <c r="AF2508" s="6">
        <v>76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/>
      <c r="BJ2508" s="4"/>
      <c r="BK2508" s="8"/>
      <c r="BL2508" s="2" t="s">
        <v>100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230</v>
      </c>
      <c r="BV2508" s="2" t="s">
        <v>97</v>
      </c>
      <c r="BW2508" s="2" t="s">
        <v>100</v>
      </c>
      <c r="BX2508" s="2" t="s">
        <v>100</v>
      </c>
      <c r="BY2508" s="2" t="s">
        <v>113</v>
      </c>
      <c r="BZ2508" s="2" t="s">
        <v>100</v>
      </c>
    </row>
    <row r="2509">
      <c r="A2509" s="2" t="s">
        <v>7761</v>
      </c>
      <c r="B2509" s="2" t="s">
        <v>7711</v>
      </c>
      <c r="C2509" s="2" t="s">
        <v>2213</v>
      </c>
      <c r="D2509" s="2" t="s">
        <v>7762</v>
      </c>
      <c r="E2509" s="2" t="s">
        <v>7763</v>
      </c>
      <c r="F2509" s="2" t="s">
        <v>389</v>
      </c>
      <c r="G2509" s="2" t="s">
        <v>389</v>
      </c>
      <c r="H2509" s="2" t="s">
        <v>389</v>
      </c>
      <c r="I2509" s="2" t="s">
        <v>7764</v>
      </c>
      <c r="J2509" s="2" t="s">
        <v>3877</v>
      </c>
      <c r="K2509" s="2" t="s">
        <v>118</v>
      </c>
      <c r="L2509" s="3">
        <v>105</v>
      </c>
      <c r="M2509" s="3">
        <v>110.25</v>
      </c>
      <c r="N2509" s="3">
        <v>219</v>
      </c>
      <c r="O2509" s="2" t="s">
        <v>97</v>
      </c>
      <c r="P2509" s="2" t="s">
        <v>225</v>
      </c>
      <c r="Q2509" s="2" t="s">
        <v>99</v>
      </c>
      <c r="R2509" s="2" t="s">
        <v>100</v>
      </c>
      <c r="S2509" s="2" t="s">
        <v>100</v>
      </c>
      <c r="T2509" s="2" t="s">
        <v>100</v>
      </c>
      <c r="U2509" s="2" t="s">
        <v>514</v>
      </c>
      <c r="V2509" s="2" t="s">
        <v>3188</v>
      </c>
      <c r="W2509" s="2" t="s">
        <v>104</v>
      </c>
      <c r="X2509" s="2" t="s">
        <v>309</v>
      </c>
      <c r="Y2509" s="2" t="s">
        <v>531</v>
      </c>
      <c r="Z2509" s="4">
        <v>85</v>
      </c>
      <c r="AA2509" s="4">
        <f>=ROUNDDOWN(85,0)</f>
      </c>
      <c r="AB2509" s="5">
        <v>1</v>
      </c>
      <c r="AC2509" s="2" t="s">
        <v>100</v>
      </c>
      <c r="AD2509" s="4"/>
      <c r="AE2509" s="4"/>
      <c r="AF2509" s="6">
        <v>76</v>
      </c>
      <c r="AG2509" s="6"/>
      <c r="AH2509" s="7">
        <v>0.9909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/>
      <c r="BJ2509" s="4">
        <v>3</v>
      </c>
      <c r="BK2509" s="8">
        <v>363.84</v>
      </c>
      <c r="BL2509" s="2" t="s">
        <v>7765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230</v>
      </c>
      <c r="BV2509" s="2" t="s">
        <v>97</v>
      </c>
      <c r="BW2509" s="2" t="s">
        <v>100</v>
      </c>
      <c r="BX2509" s="2" t="s">
        <v>100</v>
      </c>
      <c r="BY2509" s="2" t="s">
        <v>113</v>
      </c>
      <c r="BZ2509" s="2" t="s">
        <v>100</v>
      </c>
    </row>
    <row r="2510">
      <c r="A2510" s="2" t="s">
        <v>7766</v>
      </c>
      <c r="B2510" s="2" t="s">
        <v>7711</v>
      </c>
      <c r="C2510" s="2" t="s">
        <v>2213</v>
      </c>
      <c r="D2510" s="2" t="s">
        <v>7762</v>
      </c>
      <c r="E2510" s="2" t="s">
        <v>7763</v>
      </c>
      <c r="F2510" s="2" t="s">
        <v>389</v>
      </c>
      <c r="G2510" s="2" t="s">
        <v>389</v>
      </c>
      <c r="H2510" s="2" t="s">
        <v>389</v>
      </c>
      <c r="I2510" s="2" t="s">
        <v>7764</v>
      </c>
      <c r="J2510" s="2" t="s">
        <v>3877</v>
      </c>
      <c r="K2510" s="2" t="s">
        <v>6337</v>
      </c>
      <c r="L2510" s="3">
        <v>105</v>
      </c>
      <c r="M2510" s="3">
        <v>110.25</v>
      </c>
      <c r="N2510" s="3">
        <v>219</v>
      </c>
      <c r="O2510" s="2" t="s">
        <v>97</v>
      </c>
      <c r="P2510" s="2" t="s">
        <v>225</v>
      </c>
      <c r="Q2510" s="2" t="s">
        <v>99</v>
      </c>
      <c r="R2510" s="2" t="s">
        <v>100</v>
      </c>
      <c r="S2510" s="2" t="s">
        <v>100</v>
      </c>
      <c r="T2510" s="2" t="s">
        <v>100</v>
      </c>
      <c r="U2510" s="2" t="s">
        <v>514</v>
      </c>
      <c r="V2510" s="2" t="s">
        <v>3188</v>
      </c>
      <c r="W2510" s="2" t="s">
        <v>104</v>
      </c>
      <c r="X2510" s="2" t="s">
        <v>309</v>
      </c>
      <c r="Y2510" s="2" t="s">
        <v>531</v>
      </c>
      <c r="Z2510" s="4">
        <v>85</v>
      </c>
      <c r="AA2510" s="4">
        <f>=ROUNDDOWN(85,0)</f>
      </c>
      <c r="AB2510" s="5">
        <v>1</v>
      </c>
      <c r="AC2510" s="2" t="s">
        <v>100</v>
      </c>
      <c r="AD2510" s="4"/>
      <c r="AE2510" s="4"/>
      <c r="AF2510" s="6">
        <v>76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/>
      <c r="BJ2510" s="4">
        <v>3</v>
      </c>
      <c r="BK2510" s="8">
        <v>340.68</v>
      </c>
      <c r="BL2510" s="2" t="s">
        <v>7767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230</v>
      </c>
      <c r="BV2510" s="2" t="s">
        <v>97</v>
      </c>
      <c r="BW2510" s="2" t="s">
        <v>100</v>
      </c>
      <c r="BX2510" s="2" t="s">
        <v>100</v>
      </c>
      <c r="BY2510" s="2" t="s">
        <v>113</v>
      </c>
      <c r="BZ2510" s="2" t="s">
        <v>100</v>
      </c>
    </row>
    <row r="2511">
      <c r="A2511" s="2" t="s">
        <v>7768</v>
      </c>
      <c r="B2511" s="2" t="s">
        <v>7711</v>
      </c>
      <c r="C2511" s="2" t="s">
        <v>2213</v>
      </c>
      <c r="D2511" s="2" t="s">
        <v>7762</v>
      </c>
      <c r="E2511" s="2" t="s">
        <v>7763</v>
      </c>
      <c r="F2511" s="2" t="s">
        <v>389</v>
      </c>
      <c r="G2511" s="2" t="s">
        <v>389</v>
      </c>
      <c r="H2511" s="2" t="s">
        <v>389</v>
      </c>
      <c r="I2511" s="2" t="s">
        <v>7764</v>
      </c>
      <c r="J2511" s="2" t="s">
        <v>3877</v>
      </c>
      <c r="K2511" s="2" t="s">
        <v>858</v>
      </c>
      <c r="L2511" s="3">
        <v>105</v>
      </c>
      <c r="M2511" s="3">
        <v>110.25</v>
      </c>
      <c r="N2511" s="3">
        <v>219</v>
      </c>
      <c r="O2511" s="2" t="s">
        <v>97</v>
      </c>
      <c r="P2511" s="2" t="s">
        <v>225</v>
      </c>
      <c r="Q2511" s="2" t="s">
        <v>99</v>
      </c>
      <c r="R2511" s="2" t="s">
        <v>100</v>
      </c>
      <c r="S2511" s="2" t="s">
        <v>100</v>
      </c>
      <c r="T2511" s="2" t="s">
        <v>100</v>
      </c>
      <c r="U2511" s="2" t="s">
        <v>514</v>
      </c>
      <c r="V2511" s="2" t="s">
        <v>3188</v>
      </c>
      <c r="W2511" s="2" t="s">
        <v>104</v>
      </c>
      <c r="X2511" s="2" t="s">
        <v>309</v>
      </c>
      <c r="Y2511" s="2" t="s">
        <v>531</v>
      </c>
      <c r="Z2511" s="4">
        <v>157</v>
      </c>
      <c r="AA2511" s="4">
        <f>=ROUNDDOWN({0},0)</f>
      </c>
      <c r="AB2511" s="5"/>
      <c r="AC2511" s="2" t="s">
        <v>100</v>
      </c>
      <c r="AD2511" s="4"/>
      <c r="AE2511" s="4"/>
      <c r="AF2511" s="6">
        <v>76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/>
      <c r="BJ2511" s="4"/>
      <c r="BK2511" s="8"/>
      <c r="BL2511" s="2" t="s">
        <v>100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230</v>
      </c>
      <c r="BV2511" s="2" t="s">
        <v>97</v>
      </c>
      <c r="BW2511" s="2" t="s">
        <v>100</v>
      </c>
      <c r="BX2511" s="2" t="s">
        <v>100</v>
      </c>
      <c r="BY2511" s="2" t="s">
        <v>113</v>
      </c>
      <c r="BZ2511" s="2" t="s">
        <v>100</v>
      </c>
    </row>
    <row r="2512">
      <c r="A2512" s="2" t="s">
        <v>7769</v>
      </c>
      <c r="B2512" s="2" t="s">
        <v>7711</v>
      </c>
      <c r="C2512" s="2" t="s">
        <v>2213</v>
      </c>
      <c r="D2512" s="2" t="s">
        <v>7762</v>
      </c>
      <c r="E2512" s="2" t="s">
        <v>7763</v>
      </c>
      <c r="F2512" s="2" t="s">
        <v>7770</v>
      </c>
      <c r="G2512" s="2" t="s">
        <v>7770</v>
      </c>
      <c r="H2512" s="2" t="s">
        <v>7770</v>
      </c>
      <c r="I2512" s="2" t="s">
        <v>7771</v>
      </c>
      <c r="J2512" s="2" t="s">
        <v>3877</v>
      </c>
      <c r="K2512" s="2" t="s">
        <v>3515</v>
      </c>
      <c r="L2512" s="3">
        <v>102.6</v>
      </c>
      <c r="M2512" s="3">
        <v>107.73</v>
      </c>
      <c r="N2512" s="3">
        <v>219</v>
      </c>
      <c r="O2512" s="2" t="s">
        <v>97</v>
      </c>
      <c r="P2512" s="2" t="s">
        <v>225</v>
      </c>
      <c r="Q2512" s="2" t="s">
        <v>99</v>
      </c>
      <c r="R2512" s="2" t="s">
        <v>100</v>
      </c>
      <c r="S2512" s="2" t="s">
        <v>100</v>
      </c>
      <c r="T2512" s="2" t="s">
        <v>200</v>
      </c>
      <c r="U2512" s="2" t="s">
        <v>514</v>
      </c>
      <c r="V2512" s="2" t="s">
        <v>3188</v>
      </c>
      <c r="W2512" s="2" t="s">
        <v>104</v>
      </c>
      <c r="X2512" s="2" t="s">
        <v>561</v>
      </c>
      <c r="Y2512" s="2" t="s">
        <v>7772</v>
      </c>
      <c r="Z2512" s="4">
        <v>93</v>
      </c>
      <c r="AA2512" s="4">
        <f>=ROUNDDOWN(46.5,0)</f>
      </c>
      <c r="AB2512" s="5">
        <v>2</v>
      </c>
      <c r="AC2512" s="2" t="s">
        <v>100</v>
      </c>
      <c r="AD2512" s="4"/>
      <c r="AE2512" s="4"/>
      <c r="AF2512" s="6">
        <v>76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/>
      <c r="BJ2512" s="4">
        <v>6</v>
      </c>
      <c r="BK2512" s="8">
        <v>665.76</v>
      </c>
      <c r="BL2512" s="2" t="s">
        <v>7767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230</v>
      </c>
      <c r="BV2512" s="2" t="s">
        <v>97</v>
      </c>
      <c r="BW2512" s="2" t="s">
        <v>100</v>
      </c>
      <c r="BX2512" s="2" t="s">
        <v>100</v>
      </c>
      <c r="BY2512" s="2" t="s">
        <v>113</v>
      </c>
      <c r="BZ2512" s="2" t="s">
        <v>100</v>
      </c>
    </row>
    <row r="2513">
      <c r="A2513" s="2" t="s">
        <v>7773</v>
      </c>
      <c r="B2513" s="2" t="s">
        <v>7711</v>
      </c>
      <c r="C2513" s="2" t="s">
        <v>2213</v>
      </c>
      <c r="D2513" s="2" t="s">
        <v>7762</v>
      </c>
      <c r="E2513" s="2" t="s">
        <v>7763</v>
      </c>
      <c r="F2513" s="2" t="s">
        <v>7770</v>
      </c>
      <c r="G2513" s="2" t="s">
        <v>7770</v>
      </c>
      <c r="H2513" s="2" t="s">
        <v>7770</v>
      </c>
      <c r="I2513" s="2" t="s">
        <v>7771</v>
      </c>
      <c r="J2513" s="2" t="s">
        <v>3877</v>
      </c>
      <c r="K2513" s="2" t="s">
        <v>7727</v>
      </c>
      <c r="L2513" s="3">
        <v>102.6</v>
      </c>
      <c r="M2513" s="3">
        <v>107.73</v>
      </c>
      <c r="N2513" s="3">
        <v>219</v>
      </c>
      <c r="O2513" s="2" t="s">
        <v>97</v>
      </c>
      <c r="P2513" s="2" t="s">
        <v>225</v>
      </c>
      <c r="Q2513" s="2" t="s">
        <v>99</v>
      </c>
      <c r="R2513" s="2" t="s">
        <v>100</v>
      </c>
      <c r="S2513" s="2" t="s">
        <v>100</v>
      </c>
      <c r="T2513" s="2" t="s">
        <v>100</v>
      </c>
      <c r="U2513" s="2" t="s">
        <v>514</v>
      </c>
      <c r="V2513" s="2" t="s">
        <v>3188</v>
      </c>
      <c r="W2513" s="2" t="s">
        <v>104</v>
      </c>
      <c r="X2513" s="2" t="s">
        <v>561</v>
      </c>
      <c r="Y2513" s="2" t="s">
        <v>7774</v>
      </c>
      <c r="Z2513" s="4">
        <v>170</v>
      </c>
      <c r="AA2513" s="4">
        <f>=ROUNDDOWN(85,0)</f>
      </c>
      <c r="AB2513" s="5">
        <v>2</v>
      </c>
      <c r="AC2513" s="2" t="s">
        <v>100</v>
      </c>
      <c r="AD2513" s="4"/>
      <c r="AE2513" s="4"/>
      <c r="AF2513" s="6">
        <v>76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/>
      <c r="BJ2513" s="4">
        <v>4</v>
      </c>
      <c r="BK2513" s="8">
        <v>475.94</v>
      </c>
      <c r="BL2513" s="2" t="s">
        <v>6950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2480</v>
      </c>
      <c r="BV2513" s="2" t="s">
        <v>97</v>
      </c>
      <c r="BW2513" s="2" t="s">
        <v>100</v>
      </c>
      <c r="BX2513" s="2" t="s">
        <v>100</v>
      </c>
      <c r="BY2513" s="2" t="s">
        <v>113</v>
      </c>
      <c r="BZ2513" s="2" t="s">
        <v>100</v>
      </c>
    </row>
    <row r="2514">
      <c r="A2514" s="2" t="s">
        <v>7775</v>
      </c>
      <c r="B2514" s="2" t="s">
        <v>7711</v>
      </c>
      <c r="C2514" s="2" t="s">
        <v>2850</v>
      </c>
      <c r="D2514" s="2" t="s">
        <v>7712</v>
      </c>
      <c r="E2514" s="2" t="s">
        <v>7776</v>
      </c>
      <c r="F2514" s="2" t="s">
        <v>1128</v>
      </c>
      <c r="G2514" s="2" t="s">
        <v>1128</v>
      </c>
      <c r="H2514" s="2" t="s">
        <v>1128</v>
      </c>
      <c r="I2514" s="2" t="s">
        <v>7777</v>
      </c>
      <c r="J2514" s="2" t="s">
        <v>3877</v>
      </c>
      <c r="K2514" s="2" t="s">
        <v>1172</v>
      </c>
      <c r="L2514" s="3">
        <v>118.8</v>
      </c>
      <c r="M2514" s="3">
        <v>124.74</v>
      </c>
      <c r="N2514" s="3">
        <v>249</v>
      </c>
      <c r="O2514" s="2" t="s">
        <v>97</v>
      </c>
      <c r="P2514" s="2" t="s">
        <v>119</v>
      </c>
      <c r="Q2514" s="2" t="s">
        <v>99</v>
      </c>
      <c r="R2514" s="2" t="s">
        <v>100</v>
      </c>
      <c r="S2514" s="2" t="s">
        <v>100</v>
      </c>
      <c r="T2514" s="2" t="s">
        <v>100</v>
      </c>
      <c r="U2514" s="2" t="s">
        <v>1847</v>
      </c>
      <c r="V2514" s="2" t="s">
        <v>146</v>
      </c>
      <c r="W2514" s="2" t="s">
        <v>104</v>
      </c>
      <c r="X2514" s="2" t="s">
        <v>673</v>
      </c>
      <c r="Y2514" s="2" t="s">
        <v>5847</v>
      </c>
      <c r="Z2514" s="4">
        <v>85</v>
      </c>
      <c r="AA2514" s="4">
        <f>=ROUNDDOWN(21.25,0)</f>
      </c>
      <c r="AB2514" s="5">
        <v>4</v>
      </c>
      <c r="AC2514" s="2" t="s">
        <v>123</v>
      </c>
      <c r="AD2514" s="4">
        <v>150</v>
      </c>
      <c r="AE2514" s="4">
        <v>250</v>
      </c>
      <c r="AF2514" s="6">
        <v>66</v>
      </c>
      <c r="AG2514" s="6">
        <v>49</v>
      </c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>
        <v>85</v>
      </c>
      <c r="BK2514" s="8">
        <v>10566.53</v>
      </c>
      <c r="BL2514" s="2" t="s">
        <v>7778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2528</v>
      </c>
      <c r="BV2514" s="2" t="s">
        <v>97</v>
      </c>
      <c r="BW2514" s="2" t="s">
        <v>100</v>
      </c>
      <c r="BX2514" s="2" t="s">
        <v>100</v>
      </c>
      <c r="BY2514" s="2" t="s">
        <v>113</v>
      </c>
      <c r="BZ2514" s="2" t="s">
        <v>100</v>
      </c>
    </row>
    <row r="2515">
      <c r="A2515" s="2" t="s">
        <v>7779</v>
      </c>
      <c r="B2515" s="2" t="s">
        <v>7711</v>
      </c>
      <c r="C2515" s="2" t="s">
        <v>2850</v>
      </c>
      <c r="D2515" s="2" t="s">
        <v>7712</v>
      </c>
      <c r="E2515" s="2" t="s">
        <v>7776</v>
      </c>
      <c r="F2515" s="2" t="s">
        <v>7780</v>
      </c>
      <c r="G2515" s="2" t="s">
        <v>7780</v>
      </c>
      <c r="H2515" s="2" t="s">
        <v>7780</v>
      </c>
      <c r="I2515" s="2" t="s">
        <v>7781</v>
      </c>
      <c r="J2515" s="2" t="s">
        <v>3877</v>
      </c>
      <c r="K2515" s="2" t="s">
        <v>913</v>
      </c>
      <c r="L2515" s="3">
        <v>142.2</v>
      </c>
      <c r="M2515" s="3">
        <v>149.31</v>
      </c>
      <c r="N2515" s="3">
        <v>299</v>
      </c>
      <c r="O2515" s="2" t="s">
        <v>97</v>
      </c>
      <c r="P2515" s="2" t="s">
        <v>119</v>
      </c>
      <c r="Q2515" s="2" t="s">
        <v>99</v>
      </c>
      <c r="R2515" s="2" t="s">
        <v>100</v>
      </c>
      <c r="S2515" s="2" t="s">
        <v>7782</v>
      </c>
      <c r="T2515" s="2" t="s">
        <v>100</v>
      </c>
      <c r="U2515" s="2" t="s">
        <v>100</v>
      </c>
      <c r="V2515" s="2" t="s">
        <v>146</v>
      </c>
      <c r="W2515" s="2" t="s">
        <v>3886</v>
      </c>
      <c r="X2515" s="2" t="s">
        <v>100</v>
      </c>
      <c r="Y2515" s="2" t="s">
        <v>7783</v>
      </c>
      <c r="Z2515" s="4">
        <v>969</v>
      </c>
      <c r="AA2515" s="4">
        <f>=ROUNDDOWN(71.25,0)</f>
      </c>
      <c r="AB2515" s="5">
        <v>13.6</v>
      </c>
      <c r="AC2515" s="2" t="s">
        <v>100</v>
      </c>
      <c r="AD2515" s="4"/>
      <c r="AE2515" s="4"/>
      <c r="AF2515" s="6">
        <v>76</v>
      </c>
      <c r="AG2515" s="6">
        <v>62</v>
      </c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>
        <v>319</v>
      </c>
      <c r="BK2515" s="8">
        <v>47181.46</v>
      </c>
      <c r="BL2515" s="2" t="s">
        <v>7784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2528</v>
      </c>
      <c r="BV2515" s="2" t="s">
        <v>97</v>
      </c>
      <c r="BW2515" s="2" t="s">
        <v>100</v>
      </c>
      <c r="BX2515" s="2" t="s">
        <v>100</v>
      </c>
      <c r="BY2515" s="2" t="s">
        <v>113</v>
      </c>
      <c r="BZ2515" s="2" t="s">
        <v>100</v>
      </c>
    </row>
    <row r="2516">
      <c r="A2516" s="2" t="s">
        <v>7785</v>
      </c>
      <c r="B2516" s="2" t="s">
        <v>7711</v>
      </c>
      <c r="C2516" s="2" t="s">
        <v>2850</v>
      </c>
      <c r="D2516" s="2" t="s">
        <v>7712</v>
      </c>
      <c r="E2516" s="2" t="s">
        <v>7776</v>
      </c>
      <c r="F2516" s="2" t="s">
        <v>7786</v>
      </c>
      <c r="G2516" s="2" t="s">
        <v>7786</v>
      </c>
      <c r="H2516" s="2" t="s">
        <v>7786</v>
      </c>
      <c r="I2516" s="2" t="s">
        <v>7787</v>
      </c>
      <c r="J2516" s="2" t="s">
        <v>7788</v>
      </c>
      <c r="K2516" s="2" t="s">
        <v>3269</v>
      </c>
      <c r="L2516" s="3">
        <v>110</v>
      </c>
      <c r="M2516" s="3">
        <v>115.5</v>
      </c>
      <c r="N2516" s="3">
        <v>229</v>
      </c>
      <c r="O2516" s="2" t="s">
        <v>97</v>
      </c>
      <c r="P2516" s="2" t="s">
        <v>225</v>
      </c>
      <c r="Q2516" s="2" t="s">
        <v>99</v>
      </c>
      <c r="R2516" s="2" t="s">
        <v>100</v>
      </c>
      <c r="S2516" s="2" t="s">
        <v>100</v>
      </c>
      <c r="T2516" s="2" t="s">
        <v>100</v>
      </c>
      <c r="U2516" s="2" t="s">
        <v>1847</v>
      </c>
      <c r="V2516" s="2" t="s">
        <v>146</v>
      </c>
      <c r="W2516" s="2" t="s">
        <v>183</v>
      </c>
      <c r="X2516" s="2" t="s">
        <v>100</v>
      </c>
      <c r="Y2516" s="2" t="s">
        <v>7789</v>
      </c>
      <c r="Z2516" s="4">
        <v>186</v>
      </c>
      <c r="AA2516" s="4">
        <f>=ROUNDDOWN(62,0)</f>
      </c>
      <c r="AB2516" s="5">
        <v>3</v>
      </c>
      <c r="AC2516" s="2" t="s">
        <v>100</v>
      </c>
      <c r="AD2516" s="4"/>
      <c r="AE2516" s="4"/>
      <c r="AF2516" s="6">
        <v>66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/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/>
      <c r="BJ2516" s="4">
        <v>66</v>
      </c>
      <c r="BK2516" s="8">
        <v>7532.73</v>
      </c>
      <c r="BL2516" s="2" t="s">
        <v>7790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2528</v>
      </c>
      <c r="BV2516" s="2" t="s">
        <v>97</v>
      </c>
      <c r="BW2516" s="2" t="s">
        <v>100</v>
      </c>
      <c r="BX2516" s="2" t="s">
        <v>100</v>
      </c>
      <c r="BY2516" s="2" t="s">
        <v>113</v>
      </c>
      <c r="BZ2516" s="2" t="s">
        <v>100</v>
      </c>
    </row>
    <row r="2517">
      <c r="A2517" s="2" t="s">
        <v>7791</v>
      </c>
      <c r="B2517" s="2" t="s">
        <v>7711</v>
      </c>
      <c r="C2517" s="2" t="s">
        <v>2850</v>
      </c>
      <c r="D2517" s="2" t="s">
        <v>7712</v>
      </c>
      <c r="E2517" s="2" t="s">
        <v>7776</v>
      </c>
      <c r="F2517" s="2" t="s">
        <v>7786</v>
      </c>
      <c r="G2517" s="2" t="s">
        <v>7786</v>
      </c>
      <c r="H2517" s="2" t="s">
        <v>7786</v>
      </c>
      <c r="I2517" s="2" t="s">
        <v>7787</v>
      </c>
      <c r="J2517" s="2" t="s">
        <v>7792</v>
      </c>
      <c r="K2517" s="2" t="s">
        <v>3269</v>
      </c>
      <c r="L2517" s="3">
        <v>135</v>
      </c>
      <c r="M2517" s="3">
        <v>141.75</v>
      </c>
      <c r="N2517" s="3">
        <v>265</v>
      </c>
      <c r="O2517" s="2" t="s">
        <v>97</v>
      </c>
      <c r="P2517" s="2" t="s">
        <v>225</v>
      </c>
      <c r="Q2517" s="2" t="s">
        <v>99</v>
      </c>
      <c r="R2517" s="2" t="s">
        <v>100</v>
      </c>
      <c r="S2517" s="2" t="s">
        <v>100</v>
      </c>
      <c r="T2517" s="2" t="s">
        <v>100</v>
      </c>
      <c r="U2517" s="2" t="s">
        <v>1847</v>
      </c>
      <c r="V2517" s="2" t="s">
        <v>3188</v>
      </c>
      <c r="W2517" s="2" t="s">
        <v>183</v>
      </c>
      <c r="X2517" s="2" t="s">
        <v>100</v>
      </c>
      <c r="Y2517" s="2" t="s">
        <v>7789</v>
      </c>
      <c r="Z2517" s="4">
        <v>121</v>
      </c>
      <c r="AA2517" s="4">
        <f>=ROUNDDOWN(121,0)</f>
      </c>
      <c r="AB2517" s="5">
        <v>1</v>
      </c>
      <c r="AC2517" s="2" t="s">
        <v>100</v>
      </c>
      <c r="AD2517" s="4"/>
      <c r="AE2517" s="4"/>
      <c r="AF2517" s="6">
        <v>66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/>
      <c r="BJ2517" s="4">
        <v>23</v>
      </c>
      <c r="BK2517" s="8">
        <v>3495.82</v>
      </c>
      <c r="BL2517" s="2" t="s">
        <v>3304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2528</v>
      </c>
      <c r="BV2517" s="2" t="s">
        <v>97</v>
      </c>
      <c r="BW2517" s="2" t="s">
        <v>100</v>
      </c>
      <c r="BX2517" s="2" t="s">
        <v>100</v>
      </c>
      <c r="BY2517" s="2" t="s">
        <v>113</v>
      </c>
      <c r="BZ2517" s="2" t="s">
        <v>100</v>
      </c>
    </row>
    <row r="2518">
      <c r="A2518" s="2" t="s">
        <v>7793</v>
      </c>
      <c r="B2518" s="2" t="s">
        <v>7711</v>
      </c>
      <c r="C2518" s="2" t="s">
        <v>2850</v>
      </c>
      <c r="D2518" s="2" t="s">
        <v>7712</v>
      </c>
      <c r="E2518" s="2" t="s">
        <v>7776</v>
      </c>
      <c r="F2518" s="2" t="s">
        <v>7786</v>
      </c>
      <c r="G2518" s="2" t="s">
        <v>7786</v>
      </c>
      <c r="H2518" s="2" t="s">
        <v>7786</v>
      </c>
      <c r="I2518" s="2" t="s">
        <v>7787</v>
      </c>
      <c r="J2518" s="2" t="s">
        <v>7788</v>
      </c>
      <c r="K2518" s="2" t="s">
        <v>604</v>
      </c>
      <c r="L2518" s="3">
        <v>110</v>
      </c>
      <c r="M2518" s="3">
        <v>115.5</v>
      </c>
      <c r="N2518" s="3">
        <v>229</v>
      </c>
      <c r="O2518" s="2" t="s">
        <v>97</v>
      </c>
      <c r="P2518" s="2" t="s">
        <v>119</v>
      </c>
      <c r="Q2518" s="2" t="s">
        <v>99</v>
      </c>
      <c r="R2518" s="2" t="s">
        <v>100</v>
      </c>
      <c r="S2518" s="2" t="s">
        <v>7794</v>
      </c>
      <c r="T2518" s="2" t="s">
        <v>100</v>
      </c>
      <c r="U2518" s="2" t="s">
        <v>1847</v>
      </c>
      <c r="V2518" s="2" t="s">
        <v>146</v>
      </c>
      <c r="W2518" s="2" t="s">
        <v>183</v>
      </c>
      <c r="X2518" s="2" t="s">
        <v>100</v>
      </c>
      <c r="Y2518" s="2" t="s">
        <v>7795</v>
      </c>
      <c r="Z2518" s="4">
        <v>325</v>
      </c>
      <c r="AA2518" s="4">
        <f>=ROUNDDOWN(20.3125,0)</f>
      </c>
      <c r="AB2518" s="5">
        <v>16</v>
      </c>
      <c r="AC2518" s="2" t="s">
        <v>2618</v>
      </c>
      <c r="AD2518" s="4">
        <v>226</v>
      </c>
      <c r="AE2518" s="4">
        <v>334</v>
      </c>
      <c r="AF2518" s="6">
        <v>66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/>
      <c r="BJ2518" s="4">
        <v>377</v>
      </c>
      <c r="BK2518" s="8">
        <v>46052.98</v>
      </c>
      <c r="BL2518" s="2" t="s">
        <v>7796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2528</v>
      </c>
      <c r="BV2518" s="2" t="s">
        <v>97</v>
      </c>
      <c r="BW2518" s="2" t="s">
        <v>100</v>
      </c>
      <c r="BX2518" s="2" t="s">
        <v>100</v>
      </c>
      <c r="BY2518" s="2" t="s">
        <v>113</v>
      </c>
      <c r="BZ2518" s="2" t="s">
        <v>100</v>
      </c>
    </row>
    <row r="2519">
      <c r="A2519" s="2" t="s">
        <v>7797</v>
      </c>
      <c r="B2519" s="2" t="s">
        <v>7711</v>
      </c>
      <c r="C2519" s="2" t="s">
        <v>2850</v>
      </c>
      <c r="D2519" s="2" t="s">
        <v>7712</v>
      </c>
      <c r="E2519" s="2" t="s">
        <v>7776</v>
      </c>
      <c r="F2519" s="2" t="s">
        <v>7786</v>
      </c>
      <c r="G2519" s="2" t="s">
        <v>7786</v>
      </c>
      <c r="H2519" s="2" t="s">
        <v>7786</v>
      </c>
      <c r="I2519" s="2" t="s">
        <v>7787</v>
      </c>
      <c r="J2519" s="2" t="s">
        <v>7792</v>
      </c>
      <c r="K2519" s="2" t="s">
        <v>604</v>
      </c>
      <c r="L2519" s="3">
        <v>135</v>
      </c>
      <c r="M2519" s="3">
        <v>141.75</v>
      </c>
      <c r="N2519" s="3">
        <v>265</v>
      </c>
      <c r="O2519" s="2" t="s">
        <v>97</v>
      </c>
      <c r="P2519" s="2" t="s">
        <v>225</v>
      </c>
      <c r="Q2519" s="2" t="s">
        <v>99</v>
      </c>
      <c r="R2519" s="2" t="s">
        <v>100</v>
      </c>
      <c r="S2519" s="2" t="s">
        <v>100</v>
      </c>
      <c r="T2519" s="2" t="s">
        <v>100</v>
      </c>
      <c r="U2519" s="2" t="s">
        <v>1847</v>
      </c>
      <c r="V2519" s="2" t="s">
        <v>3188</v>
      </c>
      <c r="W2519" s="2" t="s">
        <v>183</v>
      </c>
      <c r="X2519" s="2" t="s">
        <v>100</v>
      </c>
      <c r="Y2519" s="2" t="s">
        <v>7798</v>
      </c>
      <c r="Z2519" s="4">
        <v>171</v>
      </c>
      <c r="AA2519" s="4">
        <f>=ROUNDDOWN(42.75,0)</f>
      </c>
      <c r="AB2519" s="5">
        <v>4</v>
      </c>
      <c r="AC2519" s="2" t="s">
        <v>100</v>
      </c>
      <c r="AD2519" s="4"/>
      <c r="AE2519" s="4"/>
      <c r="AF2519" s="6">
        <v>66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/>
      <c r="BJ2519" s="4">
        <v>81</v>
      </c>
      <c r="BK2519" s="8">
        <v>11683.28</v>
      </c>
      <c r="BL2519" s="2" t="s">
        <v>7799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2528</v>
      </c>
      <c r="BV2519" s="2" t="s">
        <v>97</v>
      </c>
      <c r="BW2519" s="2" t="s">
        <v>100</v>
      </c>
      <c r="BX2519" s="2" t="s">
        <v>100</v>
      </c>
      <c r="BY2519" s="2" t="s">
        <v>113</v>
      </c>
      <c r="BZ2519" s="2" t="s">
        <v>100</v>
      </c>
    </row>
    <row r="2520">
      <c r="A2520" s="2" t="s">
        <v>7800</v>
      </c>
      <c r="B2520" s="2" t="s">
        <v>7711</v>
      </c>
      <c r="C2520" s="2" t="s">
        <v>2850</v>
      </c>
      <c r="D2520" s="2" t="s">
        <v>7712</v>
      </c>
      <c r="E2520" s="2" t="s">
        <v>7776</v>
      </c>
      <c r="F2520" s="2" t="s">
        <v>7786</v>
      </c>
      <c r="G2520" s="2" t="s">
        <v>7786</v>
      </c>
      <c r="H2520" s="2" t="s">
        <v>7786</v>
      </c>
      <c r="I2520" s="2" t="s">
        <v>7787</v>
      </c>
      <c r="J2520" s="2" t="s">
        <v>7788</v>
      </c>
      <c r="K2520" s="2" t="s">
        <v>278</v>
      </c>
      <c r="L2520" s="3">
        <v>110</v>
      </c>
      <c r="M2520" s="3">
        <v>115.5</v>
      </c>
      <c r="N2520" s="3">
        <v>229</v>
      </c>
      <c r="O2520" s="2" t="s">
        <v>97</v>
      </c>
      <c r="P2520" s="2" t="s">
        <v>225</v>
      </c>
      <c r="Q2520" s="2" t="s">
        <v>99</v>
      </c>
      <c r="R2520" s="2" t="s">
        <v>100</v>
      </c>
      <c r="S2520" s="2" t="s">
        <v>7794</v>
      </c>
      <c r="T2520" s="2" t="s">
        <v>100</v>
      </c>
      <c r="U2520" s="2" t="s">
        <v>1847</v>
      </c>
      <c r="V2520" s="2" t="s">
        <v>146</v>
      </c>
      <c r="W2520" s="2" t="s">
        <v>183</v>
      </c>
      <c r="X2520" s="2" t="s">
        <v>100</v>
      </c>
      <c r="Y2520" s="2" t="s">
        <v>1233</v>
      </c>
      <c r="Z2520" s="4">
        <v>46</v>
      </c>
      <c r="AA2520" s="4">
        <f>=ROUNDDOWN(23,0)</f>
      </c>
      <c r="AB2520" s="5">
        <v>2</v>
      </c>
      <c r="AC2520" s="2" t="s">
        <v>100</v>
      </c>
      <c r="AD2520" s="4"/>
      <c r="AE2520" s="4"/>
      <c r="AF2520" s="6">
        <v>66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/>
      <c r="BJ2520" s="4">
        <v>24</v>
      </c>
      <c r="BK2520" s="8">
        <v>3108.68</v>
      </c>
      <c r="BL2520" s="2" t="s">
        <v>3254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2528</v>
      </c>
      <c r="BV2520" s="2" t="s">
        <v>97</v>
      </c>
      <c r="BW2520" s="2" t="s">
        <v>100</v>
      </c>
      <c r="BX2520" s="2" t="s">
        <v>100</v>
      </c>
      <c r="BY2520" s="2" t="s">
        <v>113</v>
      </c>
      <c r="BZ2520" s="2" t="s">
        <v>100</v>
      </c>
    </row>
    <row r="2521">
      <c r="A2521" s="2" t="s">
        <v>7801</v>
      </c>
      <c r="B2521" s="2" t="s">
        <v>7711</v>
      </c>
      <c r="C2521" s="2" t="s">
        <v>2850</v>
      </c>
      <c r="D2521" s="2" t="s">
        <v>7712</v>
      </c>
      <c r="E2521" s="2" t="s">
        <v>7776</v>
      </c>
      <c r="F2521" s="2" t="s">
        <v>7786</v>
      </c>
      <c r="G2521" s="2" t="s">
        <v>7786</v>
      </c>
      <c r="H2521" s="2" t="s">
        <v>7786</v>
      </c>
      <c r="I2521" s="2" t="s">
        <v>7787</v>
      </c>
      <c r="J2521" s="2" t="s">
        <v>7792</v>
      </c>
      <c r="K2521" s="2" t="s">
        <v>278</v>
      </c>
      <c r="L2521" s="3">
        <v>135</v>
      </c>
      <c r="M2521" s="3">
        <v>141.75</v>
      </c>
      <c r="N2521" s="3">
        <v>265</v>
      </c>
      <c r="O2521" s="2" t="s">
        <v>97</v>
      </c>
      <c r="P2521" s="2" t="s">
        <v>225</v>
      </c>
      <c r="Q2521" s="2" t="s">
        <v>99</v>
      </c>
      <c r="R2521" s="2" t="s">
        <v>100</v>
      </c>
      <c r="S2521" s="2" t="s">
        <v>100</v>
      </c>
      <c r="T2521" s="2" t="s">
        <v>100</v>
      </c>
      <c r="U2521" s="2" t="s">
        <v>1847</v>
      </c>
      <c r="V2521" s="2" t="s">
        <v>3188</v>
      </c>
      <c r="W2521" s="2" t="s">
        <v>183</v>
      </c>
      <c r="X2521" s="2" t="s">
        <v>100</v>
      </c>
      <c r="Y2521" s="2" t="s">
        <v>228</v>
      </c>
      <c r="Z2521" s="4">
        <v>48</v>
      </c>
      <c r="AA2521" s="4">
        <f>=ROUNDDOWN(24,0)</f>
      </c>
      <c r="AB2521" s="5">
        <v>2</v>
      </c>
      <c r="AC2521" s="2" t="s">
        <v>100</v>
      </c>
      <c r="AD2521" s="4"/>
      <c r="AE2521" s="4"/>
      <c r="AF2521" s="6">
        <v>66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/>
      <c r="BJ2521" s="4">
        <v>15</v>
      </c>
      <c r="BK2521" s="8">
        <v>2396.72</v>
      </c>
      <c r="BL2521" s="2" t="s">
        <v>3254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2528</v>
      </c>
      <c r="BV2521" s="2" t="s">
        <v>97</v>
      </c>
      <c r="BW2521" s="2" t="s">
        <v>100</v>
      </c>
      <c r="BX2521" s="2" t="s">
        <v>100</v>
      </c>
      <c r="BY2521" s="2" t="s">
        <v>113</v>
      </c>
      <c r="BZ2521" s="2" t="s">
        <v>100</v>
      </c>
    </row>
    <row r="2522">
      <c r="A2522" s="2" t="s">
        <v>7802</v>
      </c>
      <c r="B2522" s="2" t="s">
        <v>7711</v>
      </c>
      <c r="C2522" s="2" t="s">
        <v>2850</v>
      </c>
      <c r="D2522" s="2" t="s">
        <v>7712</v>
      </c>
      <c r="E2522" s="2" t="s">
        <v>7713</v>
      </c>
      <c r="F2522" s="2" t="s">
        <v>7803</v>
      </c>
      <c r="G2522" s="2" t="s">
        <v>7803</v>
      </c>
      <c r="H2522" s="2" t="s">
        <v>7803</v>
      </c>
      <c r="I2522" s="2" t="s">
        <v>7804</v>
      </c>
      <c r="J2522" s="2" t="s">
        <v>3877</v>
      </c>
      <c r="K2522" s="2" t="s">
        <v>7805</v>
      </c>
      <c r="L2522" s="3">
        <v>155</v>
      </c>
      <c r="M2522" s="3">
        <v>162.75</v>
      </c>
      <c r="N2522" s="3">
        <v>319</v>
      </c>
      <c r="O2522" s="2" t="s">
        <v>97</v>
      </c>
      <c r="P2522" s="2" t="s">
        <v>119</v>
      </c>
      <c r="Q2522" s="2" t="s">
        <v>99</v>
      </c>
      <c r="R2522" s="2" t="s">
        <v>100</v>
      </c>
      <c r="S2522" s="2" t="s">
        <v>100</v>
      </c>
      <c r="T2522" s="2" t="s">
        <v>100</v>
      </c>
      <c r="U2522" s="2" t="s">
        <v>1847</v>
      </c>
      <c r="V2522" s="2" t="s">
        <v>3188</v>
      </c>
      <c r="W2522" s="2" t="s">
        <v>1580</v>
      </c>
      <c r="X2522" s="2" t="s">
        <v>561</v>
      </c>
      <c r="Y2522" s="2" t="s">
        <v>7806</v>
      </c>
      <c r="Z2522" s="4"/>
      <c r="AA2522" s="4">
        <f>=ROUNDDOWN({0},0)</f>
      </c>
      <c r="AB2522" s="5">
        <v>15</v>
      </c>
      <c r="AC2522" s="2" t="s">
        <v>241</v>
      </c>
      <c r="AD2522" s="4">
        <v>50</v>
      </c>
      <c r="AE2522" s="4">
        <v>600</v>
      </c>
      <c r="AF2522" s="6">
        <v>66</v>
      </c>
      <c r="AG2522" s="6">
        <v>49</v>
      </c>
      <c r="AH2522" s="7">
        <v>0.9144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>
        <v>334</v>
      </c>
      <c r="BK2522" s="8">
        <v>54208.92</v>
      </c>
      <c r="BL2522" s="2" t="s">
        <v>7807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2528</v>
      </c>
      <c r="BV2522" s="2" t="s">
        <v>97</v>
      </c>
      <c r="BW2522" s="2" t="s">
        <v>100</v>
      </c>
      <c r="BX2522" s="2" t="s">
        <v>100</v>
      </c>
      <c r="BY2522" s="2" t="s">
        <v>113</v>
      </c>
      <c r="BZ2522" s="2" t="s">
        <v>100</v>
      </c>
    </row>
    <row r="2523">
      <c r="A2523" s="2" t="s">
        <v>7808</v>
      </c>
      <c r="B2523" s="2" t="s">
        <v>7711</v>
      </c>
      <c r="C2523" s="2" t="s">
        <v>2850</v>
      </c>
      <c r="D2523" s="2" t="s">
        <v>7712</v>
      </c>
      <c r="E2523" s="2" t="s">
        <v>7713</v>
      </c>
      <c r="F2523" s="2" t="s">
        <v>7809</v>
      </c>
      <c r="G2523" s="2" t="s">
        <v>7809</v>
      </c>
      <c r="H2523" s="2" t="s">
        <v>7809</v>
      </c>
      <c r="I2523" s="2" t="s">
        <v>7810</v>
      </c>
      <c r="J2523" s="2" t="s">
        <v>3877</v>
      </c>
      <c r="K2523" s="2" t="s">
        <v>5943</v>
      </c>
      <c r="L2523" s="3">
        <v>117</v>
      </c>
      <c r="M2523" s="3">
        <v>122.85</v>
      </c>
      <c r="N2523" s="3">
        <v>249</v>
      </c>
      <c r="O2523" s="2" t="s">
        <v>97</v>
      </c>
      <c r="P2523" s="2" t="s">
        <v>225</v>
      </c>
      <c r="Q2523" s="2" t="s">
        <v>99</v>
      </c>
      <c r="R2523" s="2" t="s">
        <v>100</v>
      </c>
      <c r="S2523" s="2" t="s">
        <v>100</v>
      </c>
      <c r="T2523" s="2" t="s">
        <v>100</v>
      </c>
      <c r="U2523" s="2" t="s">
        <v>1847</v>
      </c>
      <c r="V2523" s="2" t="s">
        <v>3188</v>
      </c>
      <c r="W2523" s="2" t="s">
        <v>183</v>
      </c>
      <c r="X2523" s="2" t="s">
        <v>100</v>
      </c>
      <c r="Y2523" s="2" t="s">
        <v>7064</v>
      </c>
      <c r="Z2523" s="4">
        <v>44</v>
      </c>
      <c r="AA2523" s="4">
        <f>=ROUNDDOWN(14.6666666666667,0)</f>
      </c>
      <c r="AB2523" s="5">
        <v>3</v>
      </c>
      <c r="AC2523" s="2" t="s">
        <v>1164</v>
      </c>
      <c r="AD2523" s="4">
        <v>100</v>
      </c>
      <c r="AE2523" s="4">
        <v>100</v>
      </c>
      <c r="AF2523" s="6">
        <v>66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/>
      <c r="BJ2523" s="4">
        <v>22</v>
      </c>
      <c r="BK2523" s="8">
        <v>2885.47</v>
      </c>
      <c r="BL2523" s="2" t="s">
        <v>3254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2528</v>
      </c>
      <c r="BV2523" s="2" t="s">
        <v>97</v>
      </c>
      <c r="BW2523" s="2" t="s">
        <v>100</v>
      </c>
      <c r="BX2523" s="2" t="s">
        <v>100</v>
      </c>
      <c r="BY2523" s="2" t="s">
        <v>113</v>
      </c>
      <c r="BZ2523" s="2" t="s">
        <v>100</v>
      </c>
    </row>
    <row r="2524">
      <c r="A2524" s="2" t="s">
        <v>7811</v>
      </c>
      <c r="B2524" s="2" t="s">
        <v>7711</v>
      </c>
      <c r="C2524" s="2" t="s">
        <v>2850</v>
      </c>
      <c r="D2524" s="2" t="s">
        <v>7712</v>
      </c>
      <c r="E2524" s="2" t="s">
        <v>7713</v>
      </c>
      <c r="F2524" s="2" t="s">
        <v>7809</v>
      </c>
      <c r="G2524" s="2" t="s">
        <v>7809</v>
      </c>
      <c r="H2524" s="2" t="s">
        <v>7809</v>
      </c>
      <c r="I2524" s="2" t="s">
        <v>7810</v>
      </c>
      <c r="J2524" s="2" t="s">
        <v>3877</v>
      </c>
      <c r="K2524" s="2" t="s">
        <v>604</v>
      </c>
      <c r="L2524" s="3">
        <v>117</v>
      </c>
      <c r="M2524" s="3">
        <v>122.85</v>
      </c>
      <c r="N2524" s="3">
        <v>249</v>
      </c>
      <c r="O2524" s="2" t="s">
        <v>97</v>
      </c>
      <c r="P2524" s="2" t="s">
        <v>225</v>
      </c>
      <c r="Q2524" s="2" t="s">
        <v>99</v>
      </c>
      <c r="R2524" s="2" t="s">
        <v>100</v>
      </c>
      <c r="S2524" s="2" t="s">
        <v>100</v>
      </c>
      <c r="T2524" s="2" t="s">
        <v>100</v>
      </c>
      <c r="U2524" s="2" t="s">
        <v>1847</v>
      </c>
      <c r="V2524" s="2" t="s">
        <v>3188</v>
      </c>
      <c r="W2524" s="2" t="s">
        <v>183</v>
      </c>
      <c r="X2524" s="2" t="s">
        <v>100</v>
      </c>
      <c r="Y2524" s="2" t="s">
        <v>7064</v>
      </c>
      <c r="Z2524" s="4"/>
      <c r="AA2524" s="4">
        <f>=ROUNDDOWN({0},0)</f>
      </c>
      <c r="AB2524" s="5">
        <v>7</v>
      </c>
      <c r="AC2524" s="2" t="s">
        <v>1292</v>
      </c>
      <c r="AD2524" s="4">
        <v>100</v>
      </c>
      <c r="AE2524" s="4">
        <v>250</v>
      </c>
      <c r="AF2524" s="6">
        <v>66</v>
      </c>
      <c r="AG2524" s="6"/>
      <c r="AH2524" s="7">
        <v>0.9506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/>
      <c r="BJ2524" s="4">
        <v>66</v>
      </c>
      <c r="BK2524" s="8">
        <v>8847.59</v>
      </c>
      <c r="BL2524" s="2" t="s">
        <v>7812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2528</v>
      </c>
      <c r="BV2524" s="2" t="s">
        <v>97</v>
      </c>
      <c r="BW2524" s="2" t="s">
        <v>100</v>
      </c>
      <c r="BX2524" s="2" t="s">
        <v>100</v>
      </c>
      <c r="BY2524" s="2" t="s">
        <v>113</v>
      </c>
      <c r="BZ2524" s="2" t="s">
        <v>100</v>
      </c>
    </row>
    <row r="2525">
      <c r="A2525" s="2" t="s">
        <v>7813</v>
      </c>
      <c r="B2525" s="2" t="s">
        <v>7711</v>
      </c>
      <c r="C2525" s="2" t="s">
        <v>2850</v>
      </c>
      <c r="D2525" s="2" t="s">
        <v>7712</v>
      </c>
      <c r="E2525" s="2" t="s">
        <v>7713</v>
      </c>
      <c r="F2525" s="2" t="s">
        <v>7809</v>
      </c>
      <c r="G2525" s="2" t="s">
        <v>7809</v>
      </c>
      <c r="H2525" s="2" t="s">
        <v>7809</v>
      </c>
      <c r="I2525" s="2" t="s">
        <v>7810</v>
      </c>
      <c r="J2525" s="2" t="s">
        <v>3877</v>
      </c>
      <c r="K2525" s="2" t="s">
        <v>278</v>
      </c>
      <c r="L2525" s="3">
        <v>117</v>
      </c>
      <c r="M2525" s="3">
        <v>122.85</v>
      </c>
      <c r="N2525" s="3">
        <v>249</v>
      </c>
      <c r="O2525" s="2" t="s">
        <v>97</v>
      </c>
      <c r="P2525" s="2" t="s">
        <v>225</v>
      </c>
      <c r="Q2525" s="2" t="s">
        <v>99</v>
      </c>
      <c r="R2525" s="2" t="s">
        <v>100</v>
      </c>
      <c r="S2525" s="2" t="s">
        <v>100</v>
      </c>
      <c r="T2525" s="2" t="s">
        <v>100</v>
      </c>
      <c r="U2525" s="2" t="s">
        <v>1847</v>
      </c>
      <c r="V2525" s="2" t="s">
        <v>3188</v>
      </c>
      <c r="W2525" s="2" t="s">
        <v>183</v>
      </c>
      <c r="X2525" s="2" t="s">
        <v>100</v>
      </c>
      <c r="Y2525" s="2" t="s">
        <v>7064</v>
      </c>
      <c r="Z2525" s="4">
        <v>46</v>
      </c>
      <c r="AA2525" s="4">
        <f>=ROUNDDOWN(7.66666666666667,0)</f>
      </c>
      <c r="AB2525" s="5">
        <v>6</v>
      </c>
      <c r="AC2525" s="2" t="s">
        <v>2618</v>
      </c>
      <c r="AD2525" s="4">
        <v>88</v>
      </c>
      <c r="AE2525" s="4">
        <v>178</v>
      </c>
      <c r="AF2525" s="6">
        <v>66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/>
      <c r="BJ2525" s="4">
        <v>45</v>
      </c>
      <c r="BK2525" s="8">
        <v>5925.78</v>
      </c>
      <c r="BL2525" s="2" t="s">
        <v>7814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2528</v>
      </c>
      <c r="BV2525" s="2" t="s">
        <v>97</v>
      </c>
      <c r="BW2525" s="2" t="s">
        <v>100</v>
      </c>
      <c r="BX2525" s="2" t="s">
        <v>100</v>
      </c>
      <c r="BY2525" s="2" t="s">
        <v>113</v>
      </c>
      <c r="BZ2525" s="2" t="s">
        <v>100</v>
      </c>
    </row>
    <row r="2526">
      <c r="A2526" s="2" t="s">
        <v>7815</v>
      </c>
      <c r="B2526" s="2" t="s">
        <v>7711</v>
      </c>
      <c r="C2526" s="2" t="s">
        <v>2850</v>
      </c>
      <c r="D2526" s="2" t="s">
        <v>7712</v>
      </c>
      <c r="E2526" s="2" t="s">
        <v>7713</v>
      </c>
      <c r="F2526" s="2" t="s">
        <v>7809</v>
      </c>
      <c r="G2526" s="2" t="s">
        <v>7809</v>
      </c>
      <c r="H2526" s="2" t="s">
        <v>7809</v>
      </c>
      <c r="I2526" s="2" t="s">
        <v>7810</v>
      </c>
      <c r="J2526" s="2" t="s">
        <v>3877</v>
      </c>
      <c r="K2526" s="2" t="s">
        <v>629</v>
      </c>
      <c r="L2526" s="3">
        <v>117</v>
      </c>
      <c r="M2526" s="3">
        <v>122.85</v>
      </c>
      <c r="N2526" s="3">
        <v>249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100</v>
      </c>
      <c r="T2526" s="2" t="s">
        <v>100</v>
      </c>
      <c r="U2526" s="2" t="s">
        <v>1847</v>
      </c>
      <c r="V2526" s="2" t="s">
        <v>3188</v>
      </c>
      <c r="W2526" s="2" t="s">
        <v>183</v>
      </c>
      <c r="X2526" s="2" t="s">
        <v>100</v>
      </c>
      <c r="Y2526" s="2" t="s">
        <v>7816</v>
      </c>
      <c r="Z2526" s="4">
        <v>694</v>
      </c>
      <c r="AA2526" s="4">
        <f>=ROUNDDOWN(30.1739130434783,0)</f>
      </c>
      <c r="AB2526" s="5">
        <v>23</v>
      </c>
      <c r="AC2526" s="2" t="s">
        <v>1516</v>
      </c>
      <c r="AD2526" s="4">
        <v>76</v>
      </c>
      <c r="AE2526" s="4">
        <v>248</v>
      </c>
      <c r="AF2526" s="6">
        <v>66</v>
      </c>
      <c r="AG2526" s="6"/>
      <c r="AH2526" s="7">
        <v>0.9251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/>
      <c r="BJ2526" s="4">
        <v>506</v>
      </c>
      <c r="BK2526" s="8">
        <v>65524.61</v>
      </c>
      <c r="BL2526" s="2" t="s">
        <v>7817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2528</v>
      </c>
      <c r="BV2526" s="2" t="s">
        <v>97</v>
      </c>
      <c r="BW2526" s="2" t="s">
        <v>100</v>
      </c>
      <c r="BX2526" s="2" t="s">
        <v>100</v>
      </c>
      <c r="BY2526" s="2" t="s">
        <v>113</v>
      </c>
      <c r="BZ2526" s="2" t="s">
        <v>100</v>
      </c>
    </row>
    <row r="2527">
      <c r="A2527" s="2" t="s">
        <v>7818</v>
      </c>
      <c r="B2527" s="2" t="s">
        <v>7711</v>
      </c>
      <c r="C2527" s="2" t="s">
        <v>2850</v>
      </c>
      <c r="D2527" s="2" t="s">
        <v>7730</v>
      </c>
      <c r="E2527" s="2" t="s">
        <v>7731</v>
      </c>
      <c r="F2527" s="2" t="s">
        <v>7819</v>
      </c>
      <c r="G2527" s="2" t="s">
        <v>7819</v>
      </c>
      <c r="H2527" s="2" t="s">
        <v>7819</v>
      </c>
      <c r="I2527" s="2" t="s">
        <v>7820</v>
      </c>
      <c r="J2527" s="2" t="s">
        <v>3877</v>
      </c>
      <c r="K2527" s="2" t="s">
        <v>3515</v>
      </c>
      <c r="L2527" s="3">
        <v>261</v>
      </c>
      <c r="M2527" s="3">
        <v>274.05</v>
      </c>
      <c r="N2527" s="3">
        <v>549</v>
      </c>
      <c r="O2527" s="2" t="s">
        <v>97</v>
      </c>
      <c r="P2527" s="2" t="s">
        <v>119</v>
      </c>
      <c r="Q2527" s="2" t="s">
        <v>99</v>
      </c>
      <c r="R2527" s="2" t="s">
        <v>100</v>
      </c>
      <c r="S2527" s="2" t="s">
        <v>7821</v>
      </c>
      <c r="T2527" s="2" t="s">
        <v>100</v>
      </c>
      <c r="U2527" s="2" t="s">
        <v>100</v>
      </c>
      <c r="V2527" s="2" t="s">
        <v>146</v>
      </c>
      <c r="W2527" s="2" t="s">
        <v>1580</v>
      </c>
      <c r="X2527" s="2" t="s">
        <v>100</v>
      </c>
      <c r="Y2527" s="2" t="s">
        <v>240</v>
      </c>
      <c r="Z2527" s="4">
        <v>199</v>
      </c>
      <c r="AA2527" s="4">
        <f>=ROUNDDOWN(99.5,0)</f>
      </c>
      <c r="AB2527" s="5">
        <v>2</v>
      </c>
      <c r="AC2527" s="2" t="s">
        <v>4520</v>
      </c>
      <c r="AD2527" s="4">
        <v>58</v>
      </c>
      <c r="AE2527" s="4">
        <v>58</v>
      </c>
      <c r="AF2527" s="6">
        <v>66</v>
      </c>
      <c r="AG2527" s="6">
        <v>49</v>
      </c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/>
      <c r="BJ2527" s="4">
        <v>71</v>
      </c>
      <c r="BK2527" s="8">
        <v>18311.1</v>
      </c>
      <c r="BL2527" s="2" t="s">
        <v>7822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2528</v>
      </c>
      <c r="BV2527" s="2" t="s">
        <v>97</v>
      </c>
      <c r="BW2527" s="2" t="s">
        <v>100</v>
      </c>
      <c r="BX2527" s="2" t="s">
        <v>100</v>
      </c>
      <c r="BY2527" s="2" t="s">
        <v>113</v>
      </c>
      <c r="BZ2527" s="2" t="s">
        <v>100</v>
      </c>
    </row>
    <row r="2528">
      <c r="A2528" s="2" t="s">
        <v>7823</v>
      </c>
      <c r="B2528" s="2" t="s">
        <v>7711</v>
      </c>
      <c r="C2528" s="2" t="s">
        <v>2850</v>
      </c>
      <c r="D2528" s="2" t="s">
        <v>7730</v>
      </c>
      <c r="E2528" s="2" t="s">
        <v>7731</v>
      </c>
      <c r="F2528" s="2" t="s">
        <v>7819</v>
      </c>
      <c r="G2528" s="2" t="s">
        <v>7819</v>
      </c>
      <c r="H2528" s="2" t="s">
        <v>7819</v>
      </c>
      <c r="I2528" s="2" t="s">
        <v>7820</v>
      </c>
      <c r="J2528" s="2" t="s">
        <v>3877</v>
      </c>
      <c r="K2528" s="2" t="s">
        <v>1172</v>
      </c>
      <c r="L2528" s="3">
        <v>261</v>
      </c>
      <c r="M2528" s="3">
        <v>274.05</v>
      </c>
      <c r="N2528" s="3">
        <v>549</v>
      </c>
      <c r="O2528" s="2" t="s">
        <v>97</v>
      </c>
      <c r="P2528" s="2" t="s">
        <v>119</v>
      </c>
      <c r="Q2528" s="2" t="s">
        <v>99</v>
      </c>
      <c r="R2528" s="2" t="s">
        <v>100</v>
      </c>
      <c r="S2528" s="2" t="s">
        <v>7824</v>
      </c>
      <c r="T2528" s="2" t="s">
        <v>100</v>
      </c>
      <c r="U2528" s="2" t="s">
        <v>100</v>
      </c>
      <c r="V2528" s="2" t="s">
        <v>146</v>
      </c>
      <c r="W2528" s="2" t="s">
        <v>1580</v>
      </c>
      <c r="X2528" s="2" t="s">
        <v>100</v>
      </c>
      <c r="Y2528" s="2" t="s">
        <v>2054</v>
      </c>
      <c r="Z2528" s="4">
        <v>78</v>
      </c>
      <c r="AA2528" s="4">
        <f>=ROUNDDOWN(15.9183673469388,0)</f>
      </c>
      <c r="AB2528" s="5">
        <v>4.9</v>
      </c>
      <c r="AC2528" s="2" t="s">
        <v>7825</v>
      </c>
      <c r="AD2528" s="4">
        <v>50</v>
      </c>
      <c r="AE2528" s="4">
        <v>100</v>
      </c>
      <c r="AF2528" s="6">
        <v>66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/>
      <c r="BJ2528" s="4">
        <v>104</v>
      </c>
      <c r="BK2528" s="8">
        <v>26209.49</v>
      </c>
      <c r="BL2528" s="2" t="s">
        <v>7826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2528</v>
      </c>
      <c r="BV2528" s="2" t="s">
        <v>97</v>
      </c>
      <c r="BW2528" s="2" t="s">
        <v>100</v>
      </c>
      <c r="BX2528" s="2" t="s">
        <v>100</v>
      </c>
      <c r="BY2528" s="2" t="s">
        <v>113</v>
      </c>
      <c r="BZ2528" s="2" t="s">
        <v>100</v>
      </c>
    </row>
    <row r="2529">
      <c r="A2529" s="2" t="s">
        <v>7827</v>
      </c>
      <c r="B2529" s="2" t="s">
        <v>7711</v>
      </c>
      <c r="C2529" s="2" t="s">
        <v>2850</v>
      </c>
      <c r="D2529" s="2" t="s">
        <v>7730</v>
      </c>
      <c r="E2529" s="2" t="s">
        <v>7731</v>
      </c>
      <c r="F2529" s="2" t="s">
        <v>7828</v>
      </c>
      <c r="G2529" s="2" t="s">
        <v>7828</v>
      </c>
      <c r="H2529" s="2" t="s">
        <v>100</v>
      </c>
      <c r="I2529" s="2" t="s">
        <v>7829</v>
      </c>
      <c r="J2529" s="2" t="s">
        <v>3877</v>
      </c>
      <c r="K2529" s="2" t="s">
        <v>7830</v>
      </c>
      <c r="L2529" s="3">
        <v>261.25</v>
      </c>
      <c r="M2529" s="3">
        <v>274.31</v>
      </c>
      <c r="N2529" s="3">
        <v>549</v>
      </c>
      <c r="O2529" s="2" t="s">
        <v>97</v>
      </c>
      <c r="P2529" s="2" t="s">
        <v>119</v>
      </c>
      <c r="Q2529" s="2" t="s">
        <v>99</v>
      </c>
      <c r="R2529" s="2" t="s">
        <v>100</v>
      </c>
      <c r="S2529" s="2" t="s">
        <v>7831</v>
      </c>
      <c r="T2529" s="2" t="s">
        <v>100</v>
      </c>
      <c r="U2529" s="2" t="s">
        <v>100</v>
      </c>
      <c r="V2529" s="2" t="s">
        <v>146</v>
      </c>
      <c r="W2529" s="2" t="s">
        <v>183</v>
      </c>
      <c r="X2529" s="2" t="s">
        <v>100</v>
      </c>
      <c r="Y2529" s="2" t="s">
        <v>240</v>
      </c>
      <c r="Z2529" s="4">
        <v>188</v>
      </c>
      <c r="AA2529" s="4">
        <f>=ROUNDDOWN(30.8196721311475,0)</f>
      </c>
      <c r="AB2529" s="5">
        <v>6.1</v>
      </c>
      <c r="AC2529" s="2" t="s">
        <v>100</v>
      </c>
      <c r="AD2529" s="4"/>
      <c r="AE2529" s="4"/>
      <c r="AF2529" s="6">
        <v>66</v>
      </c>
      <c r="AG2529" s="6">
        <v>49</v>
      </c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/>
      <c r="BD2529" s="8"/>
      <c r="BE2529" s="4"/>
      <c r="BF2529" s="8"/>
      <c r="BG2529" s="7"/>
      <c r="BH2529" s="7"/>
      <c r="BI2529" s="7"/>
      <c r="BJ2529" s="4">
        <v>177</v>
      </c>
      <c r="BK2529" s="8">
        <v>46434.5</v>
      </c>
      <c r="BL2529" s="2" t="s">
        <v>7832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2528</v>
      </c>
      <c r="BV2529" s="2" t="s">
        <v>97</v>
      </c>
      <c r="BW2529" s="2" t="s">
        <v>100</v>
      </c>
      <c r="BX2529" s="2" t="s">
        <v>100</v>
      </c>
      <c r="BY2529" s="2" t="s">
        <v>113</v>
      </c>
      <c r="BZ2529" s="2" t="s">
        <v>100</v>
      </c>
    </row>
    <row r="2530">
      <c r="A2530" s="2" t="s">
        <v>7833</v>
      </c>
      <c r="B2530" s="2" t="s">
        <v>7711</v>
      </c>
      <c r="C2530" s="2" t="s">
        <v>2850</v>
      </c>
      <c r="D2530" s="2" t="s">
        <v>7730</v>
      </c>
      <c r="E2530" s="2" t="s">
        <v>7731</v>
      </c>
      <c r="F2530" s="2" t="s">
        <v>7834</v>
      </c>
      <c r="G2530" s="2" t="s">
        <v>7834</v>
      </c>
      <c r="H2530" s="2" t="s">
        <v>7834</v>
      </c>
      <c r="I2530" s="2" t="s">
        <v>7820</v>
      </c>
      <c r="J2530" s="2" t="s">
        <v>3877</v>
      </c>
      <c r="K2530" s="2" t="s">
        <v>7835</v>
      </c>
      <c r="L2530" s="3">
        <v>172</v>
      </c>
      <c r="M2530" s="3">
        <v>180.6</v>
      </c>
      <c r="N2530" s="3">
        <v>359</v>
      </c>
      <c r="O2530" s="2" t="s">
        <v>97</v>
      </c>
      <c r="P2530" s="2" t="s">
        <v>119</v>
      </c>
      <c r="Q2530" s="2" t="s">
        <v>99</v>
      </c>
      <c r="R2530" s="2" t="s">
        <v>100</v>
      </c>
      <c r="S2530" s="2" t="s">
        <v>100</v>
      </c>
      <c r="T2530" s="2" t="s">
        <v>100</v>
      </c>
      <c r="U2530" s="2" t="s">
        <v>1847</v>
      </c>
      <c r="V2530" s="2" t="s">
        <v>146</v>
      </c>
      <c r="W2530" s="2" t="s">
        <v>183</v>
      </c>
      <c r="X2530" s="2" t="s">
        <v>100</v>
      </c>
      <c r="Y2530" s="2" t="s">
        <v>5421</v>
      </c>
      <c r="Z2530" s="4">
        <v>319</v>
      </c>
      <c r="AA2530" s="4">
        <f>=ROUNDDOWN(26.5833333333333,0)</f>
      </c>
      <c r="AB2530" s="5">
        <v>12</v>
      </c>
      <c r="AC2530" s="2" t="s">
        <v>7836</v>
      </c>
      <c r="AD2530" s="4">
        <v>100</v>
      </c>
      <c r="AE2530" s="4">
        <v>200</v>
      </c>
      <c r="AF2530" s="6">
        <v>66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/>
      <c r="BD2530" s="8"/>
      <c r="BE2530" s="4"/>
      <c r="BF2530" s="8"/>
      <c r="BG2530" s="7"/>
      <c r="BH2530" s="7"/>
      <c r="BI2530" s="7"/>
      <c r="BJ2530" s="4">
        <v>288</v>
      </c>
      <c r="BK2530" s="8">
        <v>52889.79</v>
      </c>
      <c r="BL2530" s="2" t="s">
        <v>7837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2528</v>
      </c>
      <c r="BV2530" s="2" t="s">
        <v>97</v>
      </c>
      <c r="BW2530" s="2" t="s">
        <v>100</v>
      </c>
      <c r="BX2530" s="2" t="s">
        <v>100</v>
      </c>
      <c r="BY2530" s="2" t="s">
        <v>113</v>
      </c>
      <c r="BZ2530" s="2" t="s">
        <v>100</v>
      </c>
    </row>
    <row r="2531">
      <c r="A2531" s="2" t="s">
        <v>7838</v>
      </c>
      <c r="B2531" s="2" t="s">
        <v>7711</v>
      </c>
      <c r="C2531" s="2" t="s">
        <v>2850</v>
      </c>
      <c r="D2531" s="2" t="s">
        <v>7730</v>
      </c>
      <c r="E2531" s="2" t="s">
        <v>7731</v>
      </c>
      <c r="F2531" s="2" t="s">
        <v>7839</v>
      </c>
      <c r="G2531" s="2" t="s">
        <v>7839</v>
      </c>
      <c r="H2531" s="2" t="s">
        <v>7839</v>
      </c>
      <c r="I2531" s="2" t="s">
        <v>7840</v>
      </c>
      <c r="J2531" s="2" t="s">
        <v>3877</v>
      </c>
      <c r="K2531" s="2" t="s">
        <v>3269</v>
      </c>
      <c r="L2531" s="3">
        <v>180.5</v>
      </c>
      <c r="M2531" s="3">
        <v>189.52</v>
      </c>
      <c r="N2531" s="3">
        <v>379</v>
      </c>
      <c r="O2531" s="2" t="s">
        <v>97</v>
      </c>
      <c r="P2531" s="2" t="s">
        <v>119</v>
      </c>
      <c r="Q2531" s="2" t="s">
        <v>99</v>
      </c>
      <c r="R2531" s="2" t="s">
        <v>100</v>
      </c>
      <c r="S2531" s="2" t="s">
        <v>100</v>
      </c>
      <c r="T2531" s="2" t="s">
        <v>100</v>
      </c>
      <c r="U2531" s="2" t="s">
        <v>100</v>
      </c>
      <c r="V2531" s="2" t="s">
        <v>146</v>
      </c>
      <c r="W2531" s="2" t="s">
        <v>1580</v>
      </c>
      <c r="X2531" s="2" t="s">
        <v>100</v>
      </c>
      <c r="Y2531" s="2" t="s">
        <v>7841</v>
      </c>
      <c r="Z2531" s="4">
        <v>252</v>
      </c>
      <c r="AA2531" s="4">
        <f>=ROUNDDOWN(25.2,0)</f>
      </c>
      <c r="AB2531" s="5">
        <v>10</v>
      </c>
      <c r="AC2531" s="2" t="s">
        <v>1555</v>
      </c>
      <c r="AD2531" s="4">
        <v>100</v>
      </c>
      <c r="AE2531" s="4">
        <v>361</v>
      </c>
      <c r="AF2531" s="6">
        <v>74</v>
      </c>
      <c r="AG2531" s="6">
        <v>60</v>
      </c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0.1444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262</v>
      </c>
      <c r="BK2531" s="8">
        <v>44568.98</v>
      </c>
      <c r="BL2531" s="2" t="s">
        <v>7842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2528</v>
      </c>
      <c r="BV2531" s="2" t="s">
        <v>97</v>
      </c>
      <c r="BW2531" s="2" t="s">
        <v>100</v>
      </c>
      <c r="BX2531" s="2" t="s">
        <v>100</v>
      </c>
      <c r="BY2531" s="2" t="s">
        <v>113</v>
      </c>
      <c r="BZ2531" s="2" t="s">
        <v>100</v>
      </c>
    </row>
    <row r="2532">
      <c r="A2532" s="2" t="s">
        <v>7843</v>
      </c>
      <c r="B2532" s="2" t="s">
        <v>7711</v>
      </c>
      <c r="C2532" s="2" t="s">
        <v>2850</v>
      </c>
      <c r="D2532" s="2" t="s">
        <v>7730</v>
      </c>
      <c r="E2532" s="2" t="s">
        <v>7731</v>
      </c>
      <c r="F2532" s="2" t="s">
        <v>7839</v>
      </c>
      <c r="G2532" s="2" t="s">
        <v>7839</v>
      </c>
      <c r="H2532" s="2" t="s">
        <v>7839</v>
      </c>
      <c r="I2532" s="2" t="s">
        <v>7840</v>
      </c>
      <c r="J2532" s="2" t="s">
        <v>3877</v>
      </c>
      <c r="K2532" s="2" t="s">
        <v>118</v>
      </c>
      <c r="L2532" s="3">
        <v>180.5</v>
      </c>
      <c r="M2532" s="3">
        <v>189.52</v>
      </c>
      <c r="N2532" s="3">
        <v>379</v>
      </c>
      <c r="O2532" s="2" t="s">
        <v>97</v>
      </c>
      <c r="P2532" s="2" t="s">
        <v>372</v>
      </c>
      <c r="Q2532" s="2" t="s">
        <v>99</v>
      </c>
      <c r="R2532" s="2" t="s">
        <v>100</v>
      </c>
      <c r="S2532" s="2" t="s">
        <v>7844</v>
      </c>
      <c r="T2532" s="2" t="s">
        <v>100</v>
      </c>
      <c r="U2532" s="2" t="s">
        <v>100</v>
      </c>
      <c r="V2532" s="2" t="s">
        <v>146</v>
      </c>
      <c r="W2532" s="2" t="s">
        <v>1580</v>
      </c>
      <c r="X2532" s="2" t="s">
        <v>100</v>
      </c>
      <c r="Y2532" s="2" t="s">
        <v>5157</v>
      </c>
      <c r="Z2532" s="4">
        <v>1028</v>
      </c>
      <c r="AA2532" s="4">
        <f>=ROUNDDOWN(90.1754385964912,0)</f>
      </c>
      <c r="AB2532" s="5">
        <v>11.4</v>
      </c>
      <c r="AC2532" s="2" t="s">
        <v>1555</v>
      </c>
      <c r="AD2532" s="4">
        <v>78</v>
      </c>
      <c r="AE2532" s="4">
        <v>402</v>
      </c>
      <c r="AF2532" s="6">
        <v>74</v>
      </c>
      <c r="AG2532" s="6">
        <v>60</v>
      </c>
      <c r="AH2532" s="7">
        <v>1</v>
      </c>
      <c r="AI2532" s="4"/>
      <c r="AJ2532" s="4">
        <f>=ROUNDDOWN({0},0)</f>
      </c>
      <c r="AK2532" s="5">
        <v>99.4</v>
      </c>
      <c r="AL2532" s="2" t="s">
        <v>7845</v>
      </c>
      <c r="AM2532" s="4">
        <v>111</v>
      </c>
      <c r="AN2532" s="4">
        <v>509</v>
      </c>
      <c r="AO2532" s="7">
        <v>0.2674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/>
      <c r="BJ2532" s="4">
        <v>951</v>
      </c>
      <c r="BK2532" s="8">
        <v>147480.1</v>
      </c>
      <c r="BL2532" s="2" t="s">
        <v>7846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2528</v>
      </c>
      <c r="BV2532" s="2" t="s">
        <v>97</v>
      </c>
      <c r="BW2532" s="2" t="s">
        <v>100</v>
      </c>
      <c r="BX2532" s="2" t="s">
        <v>100</v>
      </c>
      <c r="BY2532" s="2" t="s">
        <v>113</v>
      </c>
      <c r="BZ2532" s="2" t="s">
        <v>100</v>
      </c>
    </row>
    <row r="2533">
      <c r="A2533" s="2" t="s">
        <v>7847</v>
      </c>
      <c r="B2533" s="2" t="s">
        <v>7711</v>
      </c>
      <c r="C2533" s="2" t="s">
        <v>2850</v>
      </c>
      <c r="D2533" s="2" t="s">
        <v>7730</v>
      </c>
      <c r="E2533" s="2" t="s">
        <v>7731</v>
      </c>
      <c r="F2533" s="2" t="s">
        <v>7839</v>
      </c>
      <c r="G2533" s="2" t="s">
        <v>7839</v>
      </c>
      <c r="H2533" s="2" t="s">
        <v>7839</v>
      </c>
      <c r="I2533" s="2" t="s">
        <v>7840</v>
      </c>
      <c r="J2533" s="2" t="s">
        <v>3877</v>
      </c>
      <c r="K2533" s="2" t="s">
        <v>2477</v>
      </c>
      <c r="L2533" s="3">
        <v>180.5</v>
      </c>
      <c r="M2533" s="3">
        <v>189.52</v>
      </c>
      <c r="N2533" s="3">
        <v>379</v>
      </c>
      <c r="O2533" s="2" t="s">
        <v>97</v>
      </c>
      <c r="P2533" s="2" t="s">
        <v>119</v>
      </c>
      <c r="Q2533" s="2" t="s">
        <v>99</v>
      </c>
      <c r="R2533" s="2" t="s">
        <v>100</v>
      </c>
      <c r="S2533" s="2" t="s">
        <v>100</v>
      </c>
      <c r="T2533" s="2" t="s">
        <v>100</v>
      </c>
      <c r="U2533" s="2" t="s">
        <v>1847</v>
      </c>
      <c r="V2533" s="2" t="s">
        <v>146</v>
      </c>
      <c r="W2533" s="2" t="s">
        <v>1580</v>
      </c>
      <c r="X2533" s="2" t="s">
        <v>100</v>
      </c>
      <c r="Y2533" s="2" t="s">
        <v>7848</v>
      </c>
      <c r="Z2533" s="4">
        <v>446</v>
      </c>
      <c r="AA2533" s="4">
        <f>=ROUNDDOWN(185.833333333333,0)</f>
      </c>
      <c r="AB2533" s="5">
        <v>2.4</v>
      </c>
      <c r="AC2533" s="2" t="s">
        <v>2618</v>
      </c>
      <c r="AD2533" s="4">
        <v>50</v>
      </c>
      <c r="AE2533" s="4">
        <v>90</v>
      </c>
      <c r="AF2533" s="6">
        <v>74</v>
      </c>
      <c r="AG2533" s="6">
        <v>60</v>
      </c>
      <c r="AH2533" s="7">
        <v>1</v>
      </c>
      <c r="AI2533" s="4"/>
      <c r="AJ2533" s="4">
        <f>=ROUNDDOWN({0},0)</f>
      </c>
      <c r="AK2533" s="5">
        <v>22.1</v>
      </c>
      <c r="AL2533" s="2" t="s">
        <v>123</v>
      </c>
      <c r="AM2533" s="4">
        <v>50</v>
      </c>
      <c r="AN2533" s="4">
        <v>50</v>
      </c>
      <c r="AO2533" s="7">
        <v>0.4332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/>
      <c r="BJ2533" s="4">
        <v>342</v>
      </c>
      <c r="BK2533" s="8">
        <v>55153.38</v>
      </c>
      <c r="BL2533" s="2" t="s">
        <v>7849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2528</v>
      </c>
      <c r="BV2533" s="2" t="s">
        <v>97</v>
      </c>
      <c r="BW2533" s="2" t="s">
        <v>100</v>
      </c>
      <c r="BX2533" s="2" t="s">
        <v>100</v>
      </c>
      <c r="BY2533" s="2" t="s">
        <v>113</v>
      </c>
      <c r="BZ2533" s="2" t="s">
        <v>100</v>
      </c>
    </row>
    <row r="2534">
      <c r="A2534" s="2" t="s">
        <v>7850</v>
      </c>
      <c r="B2534" s="2" t="s">
        <v>7711</v>
      </c>
      <c r="C2534" s="2" t="s">
        <v>2850</v>
      </c>
      <c r="D2534" s="2" t="s">
        <v>7730</v>
      </c>
      <c r="E2534" s="2" t="s">
        <v>7731</v>
      </c>
      <c r="F2534" s="2" t="s">
        <v>7839</v>
      </c>
      <c r="G2534" s="2" t="s">
        <v>7839</v>
      </c>
      <c r="H2534" s="2" t="s">
        <v>7839</v>
      </c>
      <c r="I2534" s="2" t="s">
        <v>7840</v>
      </c>
      <c r="J2534" s="2" t="s">
        <v>3877</v>
      </c>
      <c r="K2534" s="2" t="s">
        <v>6337</v>
      </c>
      <c r="L2534" s="3">
        <v>180.5</v>
      </c>
      <c r="M2534" s="3">
        <v>189.52</v>
      </c>
      <c r="N2534" s="3">
        <v>379</v>
      </c>
      <c r="O2534" s="2" t="s">
        <v>97</v>
      </c>
      <c r="P2534" s="2" t="s">
        <v>119</v>
      </c>
      <c r="Q2534" s="2" t="s">
        <v>99</v>
      </c>
      <c r="R2534" s="2" t="s">
        <v>100</v>
      </c>
      <c r="S2534" s="2" t="s">
        <v>100</v>
      </c>
      <c r="T2534" s="2" t="s">
        <v>100</v>
      </c>
      <c r="U2534" s="2" t="s">
        <v>1847</v>
      </c>
      <c r="V2534" s="2" t="s">
        <v>146</v>
      </c>
      <c r="W2534" s="2" t="s">
        <v>1580</v>
      </c>
      <c r="X2534" s="2" t="s">
        <v>100</v>
      </c>
      <c r="Y2534" s="2" t="s">
        <v>2058</v>
      </c>
      <c r="Z2534" s="4">
        <v>297</v>
      </c>
      <c r="AA2534" s="4">
        <f>=ROUNDDOWN(118.8,0)</f>
      </c>
      <c r="AB2534" s="5">
        <v>2.5</v>
      </c>
      <c r="AC2534" s="2" t="s">
        <v>1555</v>
      </c>
      <c r="AD2534" s="4">
        <v>170</v>
      </c>
      <c r="AE2534" s="4">
        <v>267</v>
      </c>
      <c r="AF2534" s="6">
        <v>74</v>
      </c>
      <c r="AG2534" s="6">
        <v>60</v>
      </c>
      <c r="AH2534" s="7">
        <v>1</v>
      </c>
      <c r="AI2534" s="4"/>
      <c r="AJ2534" s="4">
        <f>=ROUNDDOWN({0},0)</f>
      </c>
      <c r="AK2534" s="5">
        <v>57</v>
      </c>
      <c r="AL2534" s="2" t="s">
        <v>123</v>
      </c>
      <c r="AM2534" s="4">
        <v>64</v>
      </c>
      <c r="AN2534" s="4">
        <v>121</v>
      </c>
      <c r="AO2534" s="7">
        <v>0.1444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/>
      <c r="BJ2534" s="4">
        <v>304</v>
      </c>
      <c r="BK2534" s="8">
        <v>47690.67</v>
      </c>
      <c r="BL2534" s="2" t="s">
        <v>7851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2528</v>
      </c>
      <c r="BV2534" s="2" t="s">
        <v>97</v>
      </c>
      <c r="BW2534" s="2" t="s">
        <v>100</v>
      </c>
      <c r="BX2534" s="2" t="s">
        <v>100</v>
      </c>
      <c r="BY2534" s="2" t="s">
        <v>113</v>
      </c>
      <c r="BZ2534" s="2" t="s">
        <v>100</v>
      </c>
    </row>
    <row r="2535">
      <c r="A2535" s="2" t="s">
        <v>7852</v>
      </c>
      <c r="B2535" s="2" t="s">
        <v>7711</v>
      </c>
      <c r="C2535" s="2" t="s">
        <v>2850</v>
      </c>
      <c r="D2535" s="2" t="s">
        <v>7730</v>
      </c>
      <c r="E2535" s="2" t="s">
        <v>7731</v>
      </c>
      <c r="F2535" s="2" t="s">
        <v>7839</v>
      </c>
      <c r="G2535" s="2" t="s">
        <v>7839</v>
      </c>
      <c r="H2535" s="2" t="s">
        <v>7839</v>
      </c>
      <c r="I2535" s="2" t="s">
        <v>7840</v>
      </c>
      <c r="J2535" s="2" t="s">
        <v>3877</v>
      </c>
      <c r="K2535" s="2" t="s">
        <v>3515</v>
      </c>
      <c r="L2535" s="3">
        <v>180.5</v>
      </c>
      <c r="M2535" s="3">
        <v>189.52</v>
      </c>
      <c r="N2535" s="3">
        <v>379</v>
      </c>
      <c r="O2535" s="2" t="s">
        <v>97</v>
      </c>
      <c r="P2535" s="2" t="s">
        <v>119</v>
      </c>
      <c r="Q2535" s="2" t="s">
        <v>99</v>
      </c>
      <c r="R2535" s="2" t="s">
        <v>100</v>
      </c>
      <c r="S2535" s="2" t="s">
        <v>100</v>
      </c>
      <c r="T2535" s="2" t="s">
        <v>100</v>
      </c>
      <c r="U2535" s="2" t="s">
        <v>1847</v>
      </c>
      <c r="V2535" s="2" t="s">
        <v>146</v>
      </c>
      <c r="W2535" s="2" t="s">
        <v>1580</v>
      </c>
      <c r="X2535" s="2" t="s">
        <v>100</v>
      </c>
      <c r="Y2535" s="2" t="s">
        <v>6105</v>
      </c>
      <c r="Z2535" s="4">
        <v>399</v>
      </c>
      <c r="AA2535" s="4">
        <f>=ROUNDDOWN(159.6,0)</f>
      </c>
      <c r="AB2535" s="5">
        <v>2.5</v>
      </c>
      <c r="AC2535" s="2" t="s">
        <v>2618</v>
      </c>
      <c r="AD2535" s="4">
        <v>40</v>
      </c>
      <c r="AE2535" s="4">
        <v>90</v>
      </c>
      <c r="AF2535" s="6">
        <v>74</v>
      </c>
      <c r="AG2535" s="6">
        <v>60</v>
      </c>
      <c r="AH2535" s="7">
        <v>1</v>
      </c>
      <c r="AI2535" s="4"/>
      <c r="AJ2535" s="4">
        <f>=ROUNDDOWN({0},0)</f>
      </c>
      <c r="AK2535" s="5">
        <v>18.5</v>
      </c>
      <c r="AL2535" s="2" t="s">
        <v>123</v>
      </c>
      <c r="AM2535" s="4">
        <v>60</v>
      </c>
      <c r="AN2535" s="4">
        <v>110</v>
      </c>
      <c r="AO2535" s="7">
        <v>0.4332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/>
      <c r="BJ2535" s="4">
        <v>242</v>
      </c>
      <c r="BK2535" s="8">
        <v>37122.26</v>
      </c>
      <c r="BL2535" s="2" t="s">
        <v>7853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2528</v>
      </c>
      <c r="BV2535" s="2" t="s">
        <v>97</v>
      </c>
      <c r="BW2535" s="2" t="s">
        <v>100</v>
      </c>
      <c r="BX2535" s="2" t="s">
        <v>100</v>
      </c>
      <c r="BY2535" s="2" t="s">
        <v>113</v>
      </c>
      <c r="BZ2535" s="2" t="s">
        <v>100</v>
      </c>
    </row>
    <row r="2536">
      <c r="A2536" s="2" t="s">
        <v>7854</v>
      </c>
      <c r="B2536" s="2" t="s">
        <v>7711</v>
      </c>
      <c r="C2536" s="2" t="s">
        <v>2850</v>
      </c>
      <c r="D2536" s="2" t="s">
        <v>7730</v>
      </c>
      <c r="E2536" s="2" t="s">
        <v>7731</v>
      </c>
      <c r="F2536" s="2" t="s">
        <v>7839</v>
      </c>
      <c r="G2536" s="2" t="s">
        <v>7839</v>
      </c>
      <c r="H2536" s="2" t="s">
        <v>7839</v>
      </c>
      <c r="I2536" s="2" t="s">
        <v>7840</v>
      </c>
      <c r="J2536" s="2" t="s">
        <v>3877</v>
      </c>
      <c r="K2536" s="2" t="s">
        <v>7855</v>
      </c>
      <c r="L2536" s="3">
        <v>180.5</v>
      </c>
      <c r="M2536" s="3">
        <v>189.52</v>
      </c>
      <c r="N2536" s="3">
        <v>379</v>
      </c>
      <c r="O2536" s="2" t="s">
        <v>97</v>
      </c>
      <c r="P2536" s="2" t="s">
        <v>119</v>
      </c>
      <c r="Q2536" s="2" t="s">
        <v>99</v>
      </c>
      <c r="R2536" s="2" t="s">
        <v>100</v>
      </c>
      <c r="S2536" s="2" t="s">
        <v>7856</v>
      </c>
      <c r="T2536" s="2" t="s">
        <v>218</v>
      </c>
      <c r="U2536" s="2" t="s">
        <v>100</v>
      </c>
      <c r="V2536" s="2" t="s">
        <v>146</v>
      </c>
      <c r="W2536" s="2" t="s">
        <v>1580</v>
      </c>
      <c r="X2536" s="2" t="s">
        <v>100</v>
      </c>
      <c r="Y2536" s="2" t="s">
        <v>240</v>
      </c>
      <c r="Z2536" s="4">
        <v>237</v>
      </c>
      <c r="AA2536" s="4">
        <f>=ROUNDDOWN(33.8571428571429,0)</f>
      </c>
      <c r="AB2536" s="5">
        <v>7</v>
      </c>
      <c r="AC2536" s="2" t="s">
        <v>2618</v>
      </c>
      <c r="AD2536" s="4">
        <v>100</v>
      </c>
      <c r="AE2536" s="4">
        <v>200</v>
      </c>
      <c r="AF2536" s="6">
        <v>74</v>
      </c>
      <c r="AG2536" s="6">
        <v>60</v>
      </c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196</v>
      </c>
      <c r="BK2536" s="8">
        <v>31477.29</v>
      </c>
      <c r="BL2536" s="2" t="s">
        <v>7857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2528</v>
      </c>
      <c r="BV2536" s="2" t="s">
        <v>97</v>
      </c>
      <c r="BW2536" s="2" t="s">
        <v>100</v>
      </c>
      <c r="BX2536" s="2" t="s">
        <v>100</v>
      </c>
      <c r="BY2536" s="2" t="s">
        <v>113</v>
      </c>
      <c r="BZ2536" s="2" t="s">
        <v>100</v>
      </c>
    </row>
    <row r="2537">
      <c r="A2537" s="2" t="s">
        <v>7858</v>
      </c>
      <c r="B2537" s="2" t="s">
        <v>7711</v>
      </c>
      <c r="C2537" s="2" t="s">
        <v>2850</v>
      </c>
      <c r="D2537" s="2" t="s">
        <v>7730</v>
      </c>
      <c r="E2537" s="2" t="s">
        <v>7731</v>
      </c>
      <c r="F2537" s="2" t="s">
        <v>7839</v>
      </c>
      <c r="G2537" s="2" t="s">
        <v>7839</v>
      </c>
      <c r="H2537" s="2" t="s">
        <v>7839</v>
      </c>
      <c r="I2537" s="2" t="s">
        <v>7840</v>
      </c>
      <c r="J2537" s="2" t="s">
        <v>3877</v>
      </c>
      <c r="K2537" s="2" t="s">
        <v>1294</v>
      </c>
      <c r="L2537" s="3">
        <v>180.5</v>
      </c>
      <c r="M2537" s="3">
        <v>189.52</v>
      </c>
      <c r="N2537" s="3">
        <v>379</v>
      </c>
      <c r="O2537" s="2" t="s">
        <v>97</v>
      </c>
      <c r="P2537" s="2" t="s">
        <v>98</v>
      </c>
      <c r="Q2537" s="2" t="s">
        <v>99</v>
      </c>
      <c r="R2537" s="2" t="s">
        <v>100</v>
      </c>
      <c r="S2537" s="2" t="s">
        <v>100</v>
      </c>
      <c r="T2537" s="2" t="s">
        <v>100</v>
      </c>
      <c r="U2537" s="2" t="s">
        <v>1847</v>
      </c>
      <c r="V2537" s="2" t="s">
        <v>146</v>
      </c>
      <c r="W2537" s="2" t="s">
        <v>1580</v>
      </c>
      <c r="X2537" s="2" t="s">
        <v>100</v>
      </c>
      <c r="Y2537" s="2" t="s">
        <v>7226</v>
      </c>
      <c r="Z2537" s="4">
        <v>358</v>
      </c>
      <c r="AA2537" s="4">
        <f>=ROUNDDOWN(18.8421052631579,0)</f>
      </c>
      <c r="AB2537" s="5">
        <v>19</v>
      </c>
      <c r="AC2537" s="2" t="s">
        <v>977</v>
      </c>
      <c r="AD2537" s="4">
        <v>26</v>
      </c>
      <c r="AE2537" s="4">
        <v>156</v>
      </c>
      <c r="AF2537" s="6">
        <v>74</v>
      </c>
      <c r="AG2537" s="6">
        <v>60</v>
      </c>
      <c r="AH2537" s="7">
        <v>1</v>
      </c>
      <c r="AI2537" s="4"/>
      <c r="AJ2537" s="4">
        <f>=ROUNDDOWN({0},0)</f>
      </c>
      <c r="AK2537" s="5">
        <v>31.2</v>
      </c>
      <c r="AL2537" s="2" t="s">
        <v>7845</v>
      </c>
      <c r="AM2537" s="4">
        <v>63</v>
      </c>
      <c r="AN2537" s="4">
        <v>254</v>
      </c>
      <c r="AO2537" s="7">
        <v>0.4332</v>
      </c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/>
      <c r="BJ2537" s="4">
        <v>605</v>
      </c>
      <c r="BK2537" s="8">
        <v>98813.25</v>
      </c>
      <c r="BL2537" s="2" t="s">
        <v>7859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2528</v>
      </c>
      <c r="BV2537" s="2" t="s">
        <v>97</v>
      </c>
      <c r="BW2537" s="2" t="s">
        <v>100</v>
      </c>
      <c r="BX2537" s="2" t="s">
        <v>100</v>
      </c>
      <c r="BY2537" s="2" t="s">
        <v>113</v>
      </c>
      <c r="BZ2537" s="2" t="s">
        <v>100</v>
      </c>
    </row>
    <row r="2538">
      <c r="A2538" s="2" t="s">
        <v>7860</v>
      </c>
      <c r="B2538" s="2" t="s">
        <v>7711</v>
      </c>
      <c r="C2538" s="2" t="s">
        <v>2850</v>
      </c>
      <c r="D2538" s="2" t="s">
        <v>7730</v>
      </c>
      <c r="E2538" s="2" t="s">
        <v>7731</v>
      </c>
      <c r="F2538" s="2" t="s">
        <v>7861</v>
      </c>
      <c r="G2538" s="2" t="s">
        <v>7861</v>
      </c>
      <c r="H2538" s="2" t="s">
        <v>7861</v>
      </c>
      <c r="I2538" s="2" t="s">
        <v>7862</v>
      </c>
      <c r="J2538" s="2" t="s">
        <v>3877</v>
      </c>
      <c r="K2538" s="2" t="s">
        <v>604</v>
      </c>
      <c r="L2538" s="3">
        <v>161.5</v>
      </c>
      <c r="M2538" s="3">
        <v>169.58</v>
      </c>
      <c r="N2538" s="3">
        <v>339</v>
      </c>
      <c r="O2538" s="2" t="s">
        <v>97</v>
      </c>
      <c r="P2538" s="2" t="s">
        <v>98</v>
      </c>
      <c r="Q2538" s="2" t="s">
        <v>99</v>
      </c>
      <c r="R2538" s="2" t="s">
        <v>100</v>
      </c>
      <c r="S2538" s="2" t="s">
        <v>100</v>
      </c>
      <c r="T2538" s="2" t="s">
        <v>100</v>
      </c>
      <c r="U2538" s="2" t="s">
        <v>1847</v>
      </c>
      <c r="V2538" s="2" t="s">
        <v>146</v>
      </c>
      <c r="W2538" s="2" t="s">
        <v>1580</v>
      </c>
      <c r="X2538" s="2" t="s">
        <v>561</v>
      </c>
      <c r="Y2538" s="2" t="s">
        <v>7863</v>
      </c>
      <c r="Z2538" s="4">
        <v>316</v>
      </c>
      <c r="AA2538" s="4">
        <f>=ROUNDDOWN(14.3636363636364,0)</f>
      </c>
      <c r="AB2538" s="5">
        <v>22</v>
      </c>
      <c r="AC2538" s="2" t="s">
        <v>1728</v>
      </c>
      <c r="AD2538" s="4">
        <v>110</v>
      </c>
      <c r="AE2538" s="4">
        <v>485</v>
      </c>
      <c r="AF2538" s="6">
        <v>74</v>
      </c>
      <c r="AG2538" s="6">
        <v>60</v>
      </c>
      <c r="AH2538" s="7">
        <v>0.754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/>
      <c r="BJ2538" s="4">
        <v>404</v>
      </c>
      <c r="BK2538" s="8">
        <v>56589.86</v>
      </c>
      <c r="BL2538" s="2" t="s">
        <v>7864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2528</v>
      </c>
      <c r="BV2538" s="2" t="s">
        <v>97</v>
      </c>
      <c r="BW2538" s="2" t="s">
        <v>100</v>
      </c>
      <c r="BX2538" s="2" t="s">
        <v>100</v>
      </c>
      <c r="BY2538" s="2" t="s">
        <v>113</v>
      </c>
      <c r="BZ2538" s="2" t="s">
        <v>100</v>
      </c>
    </row>
    <row r="2539">
      <c r="A2539" s="2" t="s">
        <v>7865</v>
      </c>
      <c r="B2539" s="2" t="s">
        <v>7711</v>
      </c>
      <c r="C2539" s="2" t="s">
        <v>2850</v>
      </c>
      <c r="D2539" s="2" t="s">
        <v>7730</v>
      </c>
      <c r="E2539" s="2" t="s">
        <v>7731</v>
      </c>
      <c r="F2539" s="2" t="s">
        <v>7861</v>
      </c>
      <c r="G2539" s="2" t="s">
        <v>7861</v>
      </c>
      <c r="H2539" s="2" t="s">
        <v>7861</v>
      </c>
      <c r="I2539" s="2" t="s">
        <v>7862</v>
      </c>
      <c r="J2539" s="2" t="s">
        <v>3877</v>
      </c>
      <c r="K2539" s="2" t="s">
        <v>198</v>
      </c>
      <c r="L2539" s="3">
        <v>161.5</v>
      </c>
      <c r="M2539" s="3">
        <v>169.58</v>
      </c>
      <c r="N2539" s="3">
        <v>339</v>
      </c>
      <c r="O2539" s="2" t="s">
        <v>97</v>
      </c>
      <c r="P2539" s="2" t="s">
        <v>119</v>
      </c>
      <c r="Q2539" s="2" t="s">
        <v>99</v>
      </c>
      <c r="R2539" s="2" t="s">
        <v>100</v>
      </c>
      <c r="S2539" s="2" t="s">
        <v>100</v>
      </c>
      <c r="T2539" s="2" t="s">
        <v>100</v>
      </c>
      <c r="U2539" s="2" t="s">
        <v>1847</v>
      </c>
      <c r="V2539" s="2" t="s">
        <v>146</v>
      </c>
      <c r="W2539" s="2" t="s">
        <v>1580</v>
      </c>
      <c r="X2539" s="2" t="s">
        <v>561</v>
      </c>
      <c r="Y2539" s="2" t="s">
        <v>7866</v>
      </c>
      <c r="Z2539" s="4">
        <v>93</v>
      </c>
      <c r="AA2539" s="4">
        <f>=ROUNDDOWN(13.2857142857143,0)</f>
      </c>
      <c r="AB2539" s="5">
        <v>7</v>
      </c>
      <c r="AC2539" s="2" t="s">
        <v>1728</v>
      </c>
      <c r="AD2539" s="4">
        <v>82</v>
      </c>
      <c r="AE2539" s="4">
        <v>232</v>
      </c>
      <c r="AF2539" s="6">
        <v>74</v>
      </c>
      <c r="AG2539" s="6">
        <v>60</v>
      </c>
      <c r="AH2539" s="7">
        <v>0.5989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/>
      <c r="BJ2539" s="4">
        <v>142</v>
      </c>
      <c r="BK2539" s="8">
        <v>20017.81</v>
      </c>
      <c r="BL2539" s="2" t="s">
        <v>7867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2528</v>
      </c>
      <c r="BV2539" s="2" t="s">
        <v>97</v>
      </c>
      <c r="BW2539" s="2" t="s">
        <v>100</v>
      </c>
      <c r="BX2539" s="2" t="s">
        <v>100</v>
      </c>
      <c r="BY2539" s="2" t="s">
        <v>113</v>
      </c>
      <c r="BZ2539" s="2" t="s">
        <v>100</v>
      </c>
    </row>
    <row r="2540">
      <c r="A2540" s="2" t="s">
        <v>7868</v>
      </c>
      <c r="B2540" s="2" t="s">
        <v>7711</v>
      </c>
      <c r="C2540" s="2" t="s">
        <v>2850</v>
      </c>
      <c r="D2540" s="2" t="s">
        <v>7730</v>
      </c>
      <c r="E2540" s="2" t="s">
        <v>7731</v>
      </c>
      <c r="F2540" s="2" t="s">
        <v>7861</v>
      </c>
      <c r="G2540" s="2" t="s">
        <v>7861</v>
      </c>
      <c r="H2540" s="2" t="s">
        <v>7861</v>
      </c>
      <c r="I2540" s="2" t="s">
        <v>7862</v>
      </c>
      <c r="J2540" s="2" t="s">
        <v>3877</v>
      </c>
      <c r="K2540" s="2" t="s">
        <v>6337</v>
      </c>
      <c r="L2540" s="3">
        <v>161.5</v>
      </c>
      <c r="M2540" s="3">
        <v>169.58</v>
      </c>
      <c r="N2540" s="3">
        <v>339</v>
      </c>
      <c r="O2540" s="2" t="s">
        <v>97</v>
      </c>
      <c r="P2540" s="2" t="s">
        <v>98</v>
      </c>
      <c r="Q2540" s="2" t="s">
        <v>99</v>
      </c>
      <c r="R2540" s="2" t="s">
        <v>100</v>
      </c>
      <c r="S2540" s="2" t="s">
        <v>100</v>
      </c>
      <c r="T2540" s="2" t="s">
        <v>100</v>
      </c>
      <c r="U2540" s="2" t="s">
        <v>1847</v>
      </c>
      <c r="V2540" s="2" t="s">
        <v>146</v>
      </c>
      <c r="W2540" s="2" t="s">
        <v>1580</v>
      </c>
      <c r="X2540" s="2" t="s">
        <v>561</v>
      </c>
      <c r="Y2540" s="2" t="s">
        <v>2195</v>
      </c>
      <c r="Z2540" s="4">
        <v>209</v>
      </c>
      <c r="AA2540" s="4">
        <f>=ROUNDDOWN(31.6666666666667,0)</f>
      </c>
      <c r="AB2540" s="5">
        <v>6.6</v>
      </c>
      <c r="AC2540" s="2" t="s">
        <v>1728</v>
      </c>
      <c r="AD2540" s="4">
        <v>134</v>
      </c>
      <c r="AE2540" s="4">
        <v>535</v>
      </c>
      <c r="AF2540" s="6">
        <v>74</v>
      </c>
      <c r="AG2540" s="6">
        <v>60</v>
      </c>
      <c r="AH2540" s="7">
        <v>1</v>
      </c>
      <c r="AI2540" s="4"/>
      <c r="AJ2540" s="4">
        <f>=ROUNDDOWN({0},0)</f>
      </c>
      <c r="AK2540" s="5">
        <v>41.3</v>
      </c>
      <c r="AL2540" s="2" t="s">
        <v>5523</v>
      </c>
      <c r="AM2540" s="4">
        <v>200</v>
      </c>
      <c r="AN2540" s="4">
        <v>280</v>
      </c>
      <c r="AO2540" s="7">
        <v>0.4332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664</v>
      </c>
      <c r="BK2540" s="8">
        <v>91084.95</v>
      </c>
      <c r="BL2540" s="2" t="s">
        <v>7869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2528</v>
      </c>
      <c r="BV2540" s="2" t="s">
        <v>97</v>
      </c>
      <c r="BW2540" s="2" t="s">
        <v>100</v>
      </c>
      <c r="BX2540" s="2" t="s">
        <v>100</v>
      </c>
      <c r="BY2540" s="2" t="s">
        <v>113</v>
      </c>
      <c r="BZ2540" s="2" t="s">
        <v>100</v>
      </c>
    </row>
    <row r="2541">
      <c r="A2541" s="2" t="s">
        <v>7870</v>
      </c>
      <c r="B2541" s="2" t="s">
        <v>7711</v>
      </c>
      <c r="C2541" s="2" t="s">
        <v>2850</v>
      </c>
      <c r="D2541" s="2" t="s">
        <v>7730</v>
      </c>
      <c r="E2541" s="2" t="s">
        <v>7731</v>
      </c>
      <c r="F2541" s="2" t="s">
        <v>7861</v>
      </c>
      <c r="G2541" s="2" t="s">
        <v>7861</v>
      </c>
      <c r="H2541" s="2" t="s">
        <v>7861</v>
      </c>
      <c r="I2541" s="2" t="s">
        <v>7862</v>
      </c>
      <c r="J2541" s="2" t="s">
        <v>3877</v>
      </c>
      <c r="K2541" s="2" t="s">
        <v>629</v>
      </c>
      <c r="L2541" s="3">
        <v>161.5</v>
      </c>
      <c r="M2541" s="3">
        <v>169.58</v>
      </c>
      <c r="N2541" s="3">
        <v>339</v>
      </c>
      <c r="O2541" s="2" t="s">
        <v>97</v>
      </c>
      <c r="P2541" s="2" t="s">
        <v>372</v>
      </c>
      <c r="Q2541" s="2" t="s">
        <v>99</v>
      </c>
      <c r="R2541" s="2" t="s">
        <v>100</v>
      </c>
      <c r="S2541" s="2" t="s">
        <v>7871</v>
      </c>
      <c r="T2541" s="2" t="s">
        <v>100</v>
      </c>
      <c r="U2541" s="2" t="s">
        <v>1847</v>
      </c>
      <c r="V2541" s="2" t="s">
        <v>146</v>
      </c>
      <c r="W2541" s="2" t="s">
        <v>1580</v>
      </c>
      <c r="X2541" s="2" t="s">
        <v>561</v>
      </c>
      <c r="Y2541" s="2" t="s">
        <v>240</v>
      </c>
      <c r="Z2541" s="4">
        <v>442</v>
      </c>
      <c r="AA2541" s="4">
        <f>=ROUNDDOWN(32.0289855072464,0)</f>
      </c>
      <c r="AB2541" s="5">
        <v>13.8</v>
      </c>
      <c r="AC2541" s="2" t="s">
        <v>1728</v>
      </c>
      <c r="AD2541" s="4">
        <v>219</v>
      </c>
      <c r="AE2541" s="4">
        <v>537</v>
      </c>
      <c r="AF2541" s="6">
        <v>74</v>
      </c>
      <c r="AG2541" s="6">
        <v>60</v>
      </c>
      <c r="AH2541" s="7">
        <v>0.9572</v>
      </c>
      <c r="AI2541" s="4"/>
      <c r="AJ2541" s="4">
        <f>=ROUNDDOWN({0},0)</f>
      </c>
      <c r="AK2541" s="5">
        <v>29.9</v>
      </c>
      <c r="AL2541" s="2" t="s">
        <v>5523</v>
      </c>
      <c r="AM2541" s="4">
        <v>140</v>
      </c>
      <c r="AN2541" s="4">
        <v>220</v>
      </c>
      <c r="AO2541" s="7">
        <v>0.4332</v>
      </c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>
        <v>752</v>
      </c>
      <c r="BK2541" s="8">
        <v>111564.11</v>
      </c>
      <c r="BL2541" s="2" t="s">
        <v>7872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2528</v>
      </c>
      <c r="BV2541" s="2" t="s">
        <v>97</v>
      </c>
      <c r="BW2541" s="2" t="s">
        <v>100</v>
      </c>
      <c r="BX2541" s="2" t="s">
        <v>100</v>
      </c>
      <c r="BY2541" s="2" t="s">
        <v>113</v>
      </c>
      <c r="BZ2541" s="2" t="s">
        <v>100</v>
      </c>
    </row>
    <row r="2542">
      <c r="A2542" s="2" t="s">
        <v>7873</v>
      </c>
      <c r="B2542" s="2" t="s">
        <v>7711</v>
      </c>
      <c r="C2542" s="2" t="s">
        <v>2850</v>
      </c>
      <c r="D2542" s="2" t="s">
        <v>7730</v>
      </c>
      <c r="E2542" s="2" t="s">
        <v>7731</v>
      </c>
      <c r="F2542" s="2" t="s">
        <v>7861</v>
      </c>
      <c r="G2542" s="2" t="s">
        <v>7861</v>
      </c>
      <c r="H2542" s="2" t="s">
        <v>7861</v>
      </c>
      <c r="I2542" s="2" t="s">
        <v>7862</v>
      </c>
      <c r="J2542" s="2" t="s">
        <v>3877</v>
      </c>
      <c r="K2542" s="2" t="s">
        <v>578</v>
      </c>
      <c r="L2542" s="3">
        <v>161.5</v>
      </c>
      <c r="M2542" s="3">
        <v>169.58</v>
      </c>
      <c r="N2542" s="3">
        <v>339</v>
      </c>
      <c r="O2542" s="2" t="s">
        <v>97</v>
      </c>
      <c r="P2542" s="2" t="s">
        <v>119</v>
      </c>
      <c r="Q2542" s="2" t="s">
        <v>99</v>
      </c>
      <c r="R2542" s="2" t="s">
        <v>100</v>
      </c>
      <c r="S2542" s="2" t="s">
        <v>100</v>
      </c>
      <c r="T2542" s="2" t="s">
        <v>100</v>
      </c>
      <c r="U2542" s="2" t="s">
        <v>1847</v>
      </c>
      <c r="V2542" s="2" t="s">
        <v>146</v>
      </c>
      <c r="W2542" s="2" t="s">
        <v>1580</v>
      </c>
      <c r="X2542" s="2" t="s">
        <v>561</v>
      </c>
      <c r="Y2542" s="2" t="s">
        <v>7866</v>
      </c>
      <c r="Z2542" s="4">
        <v>112</v>
      </c>
      <c r="AA2542" s="4">
        <f>=ROUNDDOWN(12.0430107526882,0)</f>
      </c>
      <c r="AB2542" s="5">
        <v>9.3</v>
      </c>
      <c r="AC2542" s="2" t="s">
        <v>1728</v>
      </c>
      <c r="AD2542" s="4">
        <v>69</v>
      </c>
      <c r="AE2542" s="4">
        <v>359</v>
      </c>
      <c r="AF2542" s="6">
        <v>74</v>
      </c>
      <c r="AG2542" s="6">
        <v>60</v>
      </c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/>
      <c r="BJ2542" s="4">
        <v>240</v>
      </c>
      <c r="BK2542" s="8">
        <v>34169.94</v>
      </c>
      <c r="BL2542" s="2" t="s">
        <v>7874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2528</v>
      </c>
      <c r="BV2542" s="2" t="s">
        <v>97</v>
      </c>
      <c r="BW2542" s="2" t="s">
        <v>100</v>
      </c>
      <c r="BX2542" s="2" t="s">
        <v>100</v>
      </c>
      <c r="BY2542" s="2" t="s">
        <v>113</v>
      </c>
      <c r="BZ2542" s="2" t="s">
        <v>100</v>
      </c>
    </row>
    <row r="2543">
      <c r="A2543" s="2" t="s">
        <v>7875</v>
      </c>
      <c r="B2543" s="2" t="s">
        <v>7711</v>
      </c>
      <c r="C2543" s="2" t="s">
        <v>2850</v>
      </c>
      <c r="D2543" s="2" t="s">
        <v>7730</v>
      </c>
      <c r="E2543" s="2" t="s">
        <v>7731</v>
      </c>
      <c r="F2543" s="2" t="s">
        <v>7876</v>
      </c>
      <c r="G2543" s="2" t="s">
        <v>7876</v>
      </c>
      <c r="H2543" s="2" t="s">
        <v>7876</v>
      </c>
      <c r="I2543" s="2" t="s">
        <v>7877</v>
      </c>
      <c r="J2543" s="2" t="s">
        <v>3877</v>
      </c>
      <c r="K2543" s="2" t="s">
        <v>7878</v>
      </c>
      <c r="L2543" s="3">
        <v>161.5</v>
      </c>
      <c r="M2543" s="3">
        <v>169.58</v>
      </c>
      <c r="N2543" s="3">
        <v>339</v>
      </c>
      <c r="O2543" s="2" t="s">
        <v>97</v>
      </c>
      <c r="P2543" s="2" t="s">
        <v>119</v>
      </c>
      <c r="Q2543" s="2" t="s">
        <v>99</v>
      </c>
      <c r="R2543" s="2" t="s">
        <v>100</v>
      </c>
      <c r="S2543" s="2" t="s">
        <v>7879</v>
      </c>
      <c r="T2543" s="2" t="s">
        <v>100</v>
      </c>
      <c r="U2543" s="2" t="s">
        <v>100</v>
      </c>
      <c r="V2543" s="2" t="s">
        <v>146</v>
      </c>
      <c r="W2543" s="2" t="s">
        <v>1580</v>
      </c>
      <c r="X2543" s="2" t="s">
        <v>100</v>
      </c>
      <c r="Y2543" s="2" t="s">
        <v>2054</v>
      </c>
      <c r="Z2543" s="4">
        <v>399</v>
      </c>
      <c r="AA2543" s="4">
        <f>=ROUNDDOWN(32.7049180327869,0)</f>
      </c>
      <c r="AB2543" s="5">
        <v>12.2</v>
      </c>
      <c r="AC2543" s="2" t="s">
        <v>356</v>
      </c>
      <c r="AD2543" s="4">
        <v>44</v>
      </c>
      <c r="AE2543" s="4">
        <v>224</v>
      </c>
      <c r="AF2543" s="6">
        <v>66</v>
      </c>
      <c r="AG2543" s="6">
        <v>49</v>
      </c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407</v>
      </c>
      <c r="BK2543" s="8">
        <v>63558.84</v>
      </c>
      <c r="BL2543" s="2" t="s">
        <v>7880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2528</v>
      </c>
      <c r="BV2543" s="2" t="s">
        <v>97</v>
      </c>
      <c r="BW2543" s="2" t="s">
        <v>100</v>
      </c>
      <c r="BX2543" s="2" t="s">
        <v>100</v>
      </c>
      <c r="BY2543" s="2" t="s">
        <v>113</v>
      </c>
      <c r="BZ2543" s="2" t="s">
        <v>100</v>
      </c>
    </row>
    <row r="2544">
      <c r="A2544" s="2" t="s">
        <v>7881</v>
      </c>
      <c r="B2544" s="2" t="s">
        <v>7711</v>
      </c>
      <c r="C2544" s="2" t="s">
        <v>2850</v>
      </c>
      <c r="D2544" s="2" t="s">
        <v>7730</v>
      </c>
      <c r="E2544" s="2" t="s">
        <v>7731</v>
      </c>
      <c r="F2544" s="2" t="s">
        <v>7876</v>
      </c>
      <c r="G2544" s="2" t="s">
        <v>7876</v>
      </c>
      <c r="H2544" s="2" t="s">
        <v>7876</v>
      </c>
      <c r="I2544" s="2" t="s">
        <v>7877</v>
      </c>
      <c r="J2544" s="2" t="s">
        <v>3877</v>
      </c>
      <c r="K2544" s="2" t="s">
        <v>3515</v>
      </c>
      <c r="L2544" s="3">
        <v>161.5</v>
      </c>
      <c r="M2544" s="3">
        <v>169.58</v>
      </c>
      <c r="N2544" s="3">
        <v>339</v>
      </c>
      <c r="O2544" s="2" t="s">
        <v>97</v>
      </c>
      <c r="P2544" s="2" t="s">
        <v>119</v>
      </c>
      <c r="Q2544" s="2" t="s">
        <v>99</v>
      </c>
      <c r="R2544" s="2" t="s">
        <v>100</v>
      </c>
      <c r="S2544" s="2" t="s">
        <v>100</v>
      </c>
      <c r="T2544" s="2" t="s">
        <v>100</v>
      </c>
      <c r="U2544" s="2" t="s">
        <v>1847</v>
      </c>
      <c r="V2544" s="2" t="s">
        <v>146</v>
      </c>
      <c r="W2544" s="2" t="s">
        <v>1580</v>
      </c>
      <c r="X2544" s="2" t="s">
        <v>100</v>
      </c>
      <c r="Y2544" s="2" t="s">
        <v>2192</v>
      </c>
      <c r="Z2544" s="4">
        <v>363</v>
      </c>
      <c r="AA2544" s="4">
        <f>=ROUNDDOWN(36.3,0)</f>
      </c>
      <c r="AB2544" s="5">
        <v>10</v>
      </c>
      <c r="AC2544" s="2" t="s">
        <v>100</v>
      </c>
      <c r="AD2544" s="4"/>
      <c r="AE2544" s="4"/>
      <c r="AF2544" s="6">
        <v>66</v>
      </c>
      <c r="AG2544" s="6">
        <v>49</v>
      </c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332</v>
      </c>
      <c r="BK2544" s="8">
        <v>53183.16</v>
      </c>
      <c r="BL2544" s="2" t="s">
        <v>7882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2528</v>
      </c>
      <c r="BV2544" s="2" t="s">
        <v>97</v>
      </c>
      <c r="BW2544" s="2" t="s">
        <v>100</v>
      </c>
      <c r="BX2544" s="2" t="s">
        <v>100</v>
      </c>
      <c r="BY2544" s="2" t="s">
        <v>113</v>
      </c>
      <c r="BZ2544" s="2" t="s">
        <v>100</v>
      </c>
    </row>
    <row r="2545">
      <c r="A2545" s="2" t="s">
        <v>7883</v>
      </c>
      <c r="B2545" s="2" t="s">
        <v>7711</v>
      </c>
      <c r="C2545" s="2" t="s">
        <v>2850</v>
      </c>
      <c r="D2545" s="2" t="s">
        <v>7730</v>
      </c>
      <c r="E2545" s="2" t="s">
        <v>7731</v>
      </c>
      <c r="F2545" s="2" t="s">
        <v>7876</v>
      </c>
      <c r="G2545" s="2" t="s">
        <v>7876</v>
      </c>
      <c r="H2545" s="2" t="s">
        <v>100</v>
      </c>
      <c r="I2545" s="2" t="s">
        <v>7877</v>
      </c>
      <c r="J2545" s="2" t="s">
        <v>3877</v>
      </c>
      <c r="K2545" s="2" t="s">
        <v>324</v>
      </c>
      <c r="L2545" s="3">
        <v>161.5</v>
      </c>
      <c r="M2545" s="3">
        <v>169.58</v>
      </c>
      <c r="N2545" s="3">
        <v>339</v>
      </c>
      <c r="O2545" s="2" t="s">
        <v>97</v>
      </c>
      <c r="P2545" s="2" t="s">
        <v>119</v>
      </c>
      <c r="Q2545" s="2" t="s">
        <v>99</v>
      </c>
      <c r="R2545" s="2" t="s">
        <v>100</v>
      </c>
      <c r="S2545" s="2" t="s">
        <v>7884</v>
      </c>
      <c r="T2545" s="2" t="s">
        <v>100</v>
      </c>
      <c r="U2545" s="2" t="s">
        <v>100</v>
      </c>
      <c r="V2545" s="2" t="s">
        <v>146</v>
      </c>
      <c r="W2545" s="2" t="s">
        <v>1580</v>
      </c>
      <c r="X2545" s="2" t="s">
        <v>100</v>
      </c>
      <c r="Y2545" s="2" t="s">
        <v>240</v>
      </c>
      <c r="Z2545" s="4">
        <v>46</v>
      </c>
      <c r="AA2545" s="4">
        <f>=ROUNDDOWN(5.05494505494506,0)</f>
      </c>
      <c r="AB2545" s="5">
        <v>9.1</v>
      </c>
      <c r="AC2545" s="2" t="s">
        <v>241</v>
      </c>
      <c r="AD2545" s="4">
        <v>63</v>
      </c>
      <c r="AE2545" s="4">
        <v>300</v>
      </c>
      <c r="AF2545" s="6">
        <v>66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>
        <v>229</v>
      </c>
      <c r="BK2545" s="8">
        <v>37309.22</v>
      </c>
      <c r="BL2545" s="2" t="s">
        <v>7885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2528</v>
      </c>
      <c r="BV2545" s="2" t="s">
        <v>97</v>
      </c>
      <c r="BW2545" s="2" t="s">
        <v>100</v>
      </c>
      <c r="BX2545" s="2" t="s">
        <v>100</v>
      </c>
      <c r="BY2545" s="2" t="s">
        <v>113</v>
      </c>
      <c r="BZ2545" s="2" t="s">
        <v>100</v>
      </c>
    </row>
    <row r="2546">
      <c r="A2546" s="2" t="s">
        <v>7886</v>
      </c>
      <c r="B2546" s="2" t="s">
        <v>7711</v>
      </c>
      <c r="C2546" s="2" t="s">
        <v>2850</v>
      </c>
      <c r="D2546" s="2" t="s">
        <v>7730</v>
      </c>
      <c r="E2546" s="2" t="s">
        <v>7731</v>
      </c>
      <c r="F2546" s="2" t="s">
        <v>7876</v>
      </c>
      <c r="G2546" s="2" t="s">
        <v>7876</v>
      </c>
      <c r="H2546" s="2" t="s">
        <v>100</v>
      </c>
      <c r="I2546" s="2" t="s">
        <v>7877</v>
      </c>
      <c r="J2546" s="2" t="s">
        <v>3877</v>
      </c>
      <c r="K2546" s="2" t="s">
        <v>512</v>
      </c>
      <c r="L2546" s="3">
        <v>161.5</v>
      </c>
      <c r="M2546" s="3">
        <v>169.58</v>
      </c>
      <c r="N2546" s="3">
        <v>339</v>
      </c>
      <c r="O2546" s="2" t="s">
        <v>97</v>
      </c>
      <c r="P2546" s="2" t="s">
        <v>119</v>
      </c>
      <c r="Q2546" s="2" t="s">
        <v>99</v>
      </c>
      <c r="R2546" s="2" t="s">
        <v>100</v>
      </c>
      <c r="S2546" s="2" t="s">
        <v>7887</v>
      </c>
      <c r="T2546" s="2" t="s">
        <v>100</v>
      </c>
      <c r="U2546" s="2" t="s">
        <v>100</v>
      </c>
      <c r="V2546" s="2" t="s">
        <v>146</v>
      </c>
      <c r="W2546" s="2" t="s">
        <v>1580</v>
      </c>
      <c r="X2546" s="2" t="s">
        <v>100</v>
      </c>
      <c r="Y2546" s="2" t="s">
        <v>240</v>
      </c>
      <c r="Z2546" s="4">
        <v>138</v>
      </c>
      <c r="AA2546" s="4">
        <f>=ROUNDDOWN(8.11764705882353,0)</f>
      </c>
      <c r="AB2546" s="5">
        <v>17</v>
      </c>
      <c r="AC2546" s="2" t="s">
        <v>7888</v>
      </c>
      <c r="AD2546" s="4">
        <v>150</v>
      </c>
      <c r="AE2546" s="4">
        <v>150</v>
      </c>
      <c r="AF2546" s="6">
        <v>66</v>
      </c>
      <c r="AG2546" s="6">
        <v>49</v>
      </c>
      <c r="AH2546" s="7">
        <v>1</v>
      </c>
      <c r="AI2546" s="4"/>
      <c r="AJ2546" s="4">
        <f>=ROUNDDOWN({0},0)</f>
      </c>
      <c r="AK2546" s="5">
        <v>11.1</v>
      </c>
      <c r="AL2546" s="2" t="s">
        <v>100</v>
      </c>
      <c r="AM2546" s="4"/>
      <c r="AN2546" s="4"/>
      <c r="AO2546" s="7">
        <v>0.4332</v>
      </c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212</v>
      </c>
      <c r="BK2546" s="8">
        <v>34243.82</v>
      </c>
      <c r="BL2546" s="2" t="s">
        <v>7889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2528</v>
      </c>
      <c r="BV2546" s="2" t="s">
        <v>97</v>
      </c>
      <c r="BW2546" s="2" t="s">
        <v>100</v>
      </c>
      <c r="BX2546" s="2" t="s">
        <v>100</v>
      </c>
      <c r="BY2546" s="2" t="s">
        <v>113</v>
      </c>
      <c r="BZ2546" s="2" t="s">
        <v>100</v>
      </c>
    </row>
    <row r="2547">
      <c r="A2547" s="2" t="s">
        <v>7890</v>
      </c>
      <c r="B2547" s="2" t="s">
        <v>7711</v>
      </c>
      <c r="C2547" s="2" t="s">
        <v>2850</v>
      </c>
      <c r="D2547" s="2" t="s">
        <v>7730</v>
      </c>
      <c r="E2547" s="2" t="s">
        <v>7731</v>
      </c>
      <c r="F2547" s="2" t="s">
        <v>7891</v>
      </c>
      <c r="G2547" s="2" t="s">
        <v>7891</v>
      </c>
      <c r="H2547" s="2" t="s">
        <v>7891</v>
      </c>
      <c r="I2547" s="2" t="s">
        <v>7820</v>
      </c>
      <c r="J2547" s="2" t="s">
        <v>3877</v>
      </c>
      <c r="K2547" s="2" t="s">
        <v>913</v>
      </c>
      <c r="L2547" s="3">
        <v>226.1</v>
      </c>
      <c r="M2547" s="3">
        <v>237.4</v>
      </c>
      <c r="N2547" s="3">
        <v>479</v>
      </c>
      <c r="O2547" s="2" t="s">
        <v>97</v>
      </c>
      <c r="P2547" s="2" t="s">
        <v>119</v>
      </c>
      <c r="Q2547" s="2" t="s">
        <v>99</v>
      </c>
      <c r="R2547" s="2" t="s">
        <v>100</v>
      </c>
      <c r="S2547" s="2" t="s">
        <v>7892</v>
      </c>
      <c r="T2547" s="2" t="s">
        <v>100</v>
      </c>
      <c r="U2547" s="2" t="s">
        <v>100</v>
      </c>
      <c r="V2547" s="2" t="s">
        <v>146</v>
      </c>
      <c r="W2547" s="2" t="s">
        <v>3886</v>
      </c>
      <c r="X2547" s="2" t="s">
        <v>100</v>
      </c>
      <c r="Y2547" s="2" t="s">
        <v>815</v>
      </c>
      <c r="Z2547" s="4">
        <v>37</v>
      </c>
      <c r="AA2547" s="4">
        <f>=ROUNDDOWN(7.4,0)</f>
      </c>
      <c r="AB2547" s="5">
        <v>5</v>
      </c>
      <c r="AC2547" s="2" t="s">
        <v>872</v>
      </c>
      <c r="AD2547" s="4">
        <v>102</v>
      </c>
      <c r="AE2547" s="4">
        <v>188</v>
      </c>
      <c r="AF2547" s="6">
        <v>66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/>
      <c r="BD2547" s="8"/>
      <c r="BE2547" s="4"/>
      <c r="BF2547" s="8"/>
      <c r="BG2547" s="7"/>
      <c r="BH2547" s="7"/>
      <c r="BI2547" s="7"/>
      <c r="BJ2547" s="4">
        <v>180</v>
      </c>
      <c r="BK2547" s="8">
        <v>37451.06</v>
      </c>
      <c r="BL2547" s="2" t="s">
        <v>7893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2528</v>
      </c>
      <c r="BV2547" s="2" t="s">
        <v>97</v>
      </c>
      <c r="BW2547" s="2" t="s">
        <v>100</v>
      </c>
      <c r="BX2547" s="2" t="s">
        <v>100</v>
      </c>
      <c r="BY2547" s="2" t="s">
        <v>113</v>
      </c>
      <c r="BZ2547" s="2" t="s">
        <v>100</v>
      </c>
    </row>
    <row r="2548">
      <c r="A2548" s="2" t="s">
        <v>7894</v>
      </c>
      <c r="B2548" s="2" t="s">
        <v>7711</v>
      </c>
      <c r="C2548" s="2" t="s">
        <v>2850</v>
      </c>
      <c r="D2548" s="2" t="s">
        <v>7730</v>
      </c>
      <c r="E2548" s="2" t="s">
        <v>7731</v>
      </c>
      <c r="F2548" s="2" t="s">
        <v>7895</v>
      </c>
      <c r="G2548" s="2" t="s">
        <v>7895</v>
      </c>
      <c r="H2548" s="2" t="s">
        <v>7895</v>
      </c>
      <c r="I2548" s="2" t="s">
        <v>7820</v>
      </c>
      <c r="J2548" s="2" t="s">
        <v>3877</v>
      </c>
      <c r="K2548" s="2" t="s">
        <v>7896</v>
      </c>
      <c r="L2548" s="3">
        <v>263.5</v>
      </c>
      <c r="M2548" s="3">
        <v>276.68</v>
      </c>
      <c r="N2548" s="3">
        <v>549</v>
      </c>
      <c r="O2548" s="2" t="s">
        <v>97</v>
      </c>
      <c r="P2548" s="2" t="s">
        <v>119</v>
      </c>
      <c r="Q2548" s="2" t="s">
        <v>99</v>
      </c>
      <c r="R2548" s="2" t="s">
        <v>100</v>
      </c>
      <c r="S2548" s="2" t="s">
        <v>100</v>
      </c>
      <c r="T2548" s="2" t="s">
        <v>100</v>
      </c>
      <c r="U2548" s="2" t="s">
        <v>100</v>
      </c>
      <c r="V2548" s="2" t="s">
        <v>146</v>
      </c>
      <c r="W2548" s="2" t="s">
        <v>1580</v>
      </c>
      <c r="X2548" s="2" t="s">
        <v>100</v>
      </c>
      <c r="Y2548" s="2" t="s">
        <v>7897</v>
      </c>
      <c r="Z2548" s="4">
        <v>125</v>
      </c>
      <c r="AA2548" s="4">
        <f>=ROUNDDOWN(25,0)</f>
      </c>
      <c r="AB2548" s="5">
        <v>5</v>
      </c>
      <c r="AC2548" s="2" t="s">
        <v>7898</v>
      </c>
      <c r="AD2548" s="4">
        <v>100</v>
      </c>
      <c r="AE2548" s="4">
        <v>100</v>
      </c>
      <c r="AF2548" s="6">
        <v>66</v>
      </c>
      <c r="AG2548" s="6"/>
      <c r="AH2548" s="7">
        <v>0.9465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0.2995</v>
      </c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/>
      <c r="BD2548" s="8"/>
      <c r="BE2548" s="4"/>
      <c r="BF2548" s="8"/>
      <c r="BG2548" s="7"/>
      <c r="BH2548" s="7"/>
      <c r="BI2548" s="7"/>
      <c r="BJ2548" s="4">
        <v>147</v>
      </c>
      <c r="BK2548" s="8">
        <v>37311.99</v>
      </c>
      <c r="BL2548" s="2" t="s">
        <v>7899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2528</v>
      </c>
      <c r="BV2548" s="2" t="s">
        <v>97</v>
      </c>
      <c r="BW2548" s="2" t="s">
        <v>100</v>
      </c>
      <c r="BX2548" s="2" t="s">
        <v>100</v>
      </c>
      <c r="BY2548" s="2" t="s">
        <v>113</v>
      </c>
      <c r="BZ2548" s="2" t="s">
        <v>100</v>
      </c>
    </row>
    <row r="2549">
      <c r="A2549" s="2" t="s">
        <v>7900</v>
      </c>
      <c r="B2549" s="2" t="s">
        <v>7711</v>
      </c>
      <c r="C2549" s="2" t="s">
        <v>2850</v>
      </c>
      <c r="D2549" s="2" t="s">
        <v>7730</v>
      </c>
      <c r="E2549" s="2" t="s">
        <v>7901</v>
      </c>
      <c r="F2549" s="2" t="s">
        <v>7902</v>
      </c>
      <c r="G2549" s="2" t="s">
        <v>7902</v>
      </c>
      <c r="H2549" s="2" t="s">
        <v>7902</v>
      </c>
      <c r="I2549" s="2" t="s">
        <v>7820</v>
      </c>
      <c r="J2549" s="2" t="s">
        <v>3877</v>
      </c>
      <c r="K2549" s="2" t="s">
        <v>1172</v>
      </c>
      <c r="L2549" s="3">
        <v>174.8</v>
      </c>
      <c r="M2549" s="3">
        <v>183.54</v>
      </c>
      <c r="N2549" s="3">
        <v>369</v>
      </c>
      <c r="O2549" s="2" t="s">
        <v>97</v>
      </c>
      <c r="P2549" s="2" t="s">
        <v>119</v>
      </c>
      <c r="Q2549" s="2" t="s">
        <v>99</v>
      </c>
      <c r="R2549" s="2" t="s">
        <v>100</v>
      </c>
      <c r="S2549" s="2" t="s">
        <v>100</v>
      </c>
      <c r="T2549" s="2" t="s">
        <v>100</v>
      </c>
      <c r="U2549" s="2" t="s">
        <v>1847</v>
      </c>
      <c r="V2549" s="2" t="s">
        <v>146</v>
      </c>
      <c r="W2549" s="2" t="s">
        <v>1580</v>
      </c>
      <c r="X2549" s="2" t="s">
        <v>100</v>
      </c>
      <c r="Y2549" s="2" t="s">
        <v>7903</v>
      </c>
      <c r="Z2549" s="4">
        <v>195</v>
      </c>
      <c r="AA2549" s="4">
        <f>=ROUNDDOWN(32.5,0)</f>
      </c>
      <c r="AB2549" s="5">
        <v>6</v>
      </c>
      <c r="AC2549" s="2" t="s">
        <v>2618</v>
      </c>
      <c r="AD2549" s="4">
        <v>100</v>
      </c>
      <c r="AE2549" s="4">
        <v>100</v>
      </c>
      <c r="AF2549" s="6">
        <v>66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/>
      <c r="BD2549" s="8"/>
      <c r="BE2549" s="4"/>
      <c r="BF2549" s="8"/>
      <c r="BG2549" s="7"/>
      <c r="BH2549" s="7"/>
      <c r="BI2549" s="7"/>
      <c r="BJ2549" s="4">
        <v>160</v>
      </c>
      <c r="BK2549" s="8">
        <v>26235.34</v>
      </c>
      <c r="BL2549" s="2" t="s">
        <v>7904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2528</v>
      </c>
      <c r="BV2549" s="2" t="s">
        <v>97</v>
      </c>
      <c r="BW2549" s="2" t="s">
        <v>100</v>
      </c>
      <c r="BX2549" s="2" t="s">
        <v>100</v>
      </c>
      <c r="BY2549" s="2" t="s">
        <v>113</v>
      </c>
      <c r="BZ2549" s="2" t="s">
        <v>100</v>
      </c>
    </row>
    <row r="2550">
      <c r="A2550" s="2" t="s">
        <v>7905</v>
      </c>
      <c r="B2550" s="2" t="s">
        <v>7711</v>
      </c>
      <c r="C2550" s="2" t="s">
        <v>2850</v>
      </c>
      <c r="D2550" s="2" t="s">
        <v>7906</v>
      </c>
      <c r="E2550" s="2" t="s">
        <v>7907</v>
      </c>
      <c r="F2550" s="2" t="s">
        <v>669</v>
      </c>
      <c r="G2550" s="2" t="s">
        <v>669</v>
      </c>
      <c r="H2550" s="2" t="s">
        <v>669</v>
      </c>
      <c r="I2550" s="2" t="s">
        <v>7908</v>
      </c>
      <c r="J2550" s="2" t="s">
        <v>3877</v>
      </c>
      <c r="K2550" s="2" t="s">
        <v>4008</v>
      </c>
      <c r="L2550" s="3">
        <v>118</v>
      </c>
      <c r="M2550" s="3">
        <v>123.9</v>
      </c>
      <c r="N2550" s="3">
        <v>249</v>
      </c>
      <c r="O2550" s="2" t="s">
        <v>97</v>
      </c>
      <c r="P2550" s="2" t="s">
        <v>119</v>
      </c>
      <c r="Q2550" s="2" t="s">
        <v>99</v>
      </c>
      <c r="R2550" s="2" t="s">
        <v>100</v>
      </c>
      <c r="S2550" s="2" t="s">
        <v>7909</v>
      </c>
      <c r="T2550" s="2" t="s">
        <v>100</v>
      </c>
      <c r="U2550" s="2" t="s">
        <v>100</v>
      </c>
      <c r="V2550" s="2" t="s">
        <v>146</v>
      </c>
      <c r="W2550" s="2" t="s">
        <v>1580</v>
      </c>
      <c r="X2550" s="2" t="s">
        <v>100</v>
      </c>
      <c r="Y2550" s="2" t="s">
        <v>240</v>
      </c>
      <c r="Z2550" s="4">
        <v>92</v>
      </c>
      <c r="AA2550" s="4">
        <f>=ROUNDDOWN(18.7755102040816,0)</f>
      </c>
      <c r="AB2550" s="5">
        <v>4.9</v>
      </c>
      <c r="AC2550" s="2" t="s">
        <v>3371</v>
      </c>
      <c r="AD2550" s="4">
        <v>100</v>
      </c>
      <c r="AE2550" s="4">
        <v>100</v>
      </c>
      <c r="AF2550" s="6">
        <v>74</v>
      </c>
      <c r="AG2550" s="6">
        <v>60</v>
      </c>
      <c r="AH2550" s="7">
        <v>0.9947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/>
      <c r="BD2550" s="8"/>
      <c r="BE2550" s="4"/>
      <c r="BF2550" s="8"/>
      <c r="BG2550" s="7"/>
      <c r="BH2550" s="7"/>
      <c r="BI2550" s="7"/>
      <c r="BJ2550" s="4">
        <v>119</v>
      </c>
      <c r="BK2550" s="8">
        <v>12299.44</v>
      </c>
      <c r="BL2550" s="2" t="s">
        <v>7910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2528</v>
      </c>
      <c r="BV2550" s="2" t="s">
        <v>97</v>
      </c>
      <c r="BW2550" s="2" t="s">
        <v>100</v>
      </c>
      <c r="BX2550" s="2" t="s">
        <v>100</v>
      </c>
      <c r="BY2550" s="2" t="s">
        <v>113</v>
      </c>
      <c r="BZ2550" s="2" t="s">
        <v>100</v>
      </c>
    </row>
    <row r="2551">
      <c r="A2551" s="2" t="s">
        <v>7911</v>
      </c>
      <c r="B2551" s="2" t="s">
        <v>7711</v>
      </c>
      <c r="C2551" s="2" t="s">
        <v>2850</v>
      </c>
      <c r="D2551" s="2" t="s">
        <v>7906</v>
      </c>
      <c r="E2551" s="2" t="s">
        <v>7907</v>
      </c>
      <c r="F2551" s="2" t="s">
        <v>7912</v>
      </c>
      <c r="G2551" s="2" t="s">
        <v>100</v>
      </c>
      <c r="H2551" s="2" t="s">
        <v>100</v>
      </c>
      <c r="I2551" s="2" t="s">
        <v>7913</v>
      </c>
      <c r="J2551" s="2" t="s">
        <v>3877</v>
      </c>
      <c r="K2551" s="2" t="s">
        <v>7914</v>
      </c>
      <c r="L2551" s="3">
        <v>71.82</v>
      </c>
      <c r="M2551" s="3">
        <v>75.41</v>
      </c>
      <c r="N2551" s="3">
        <v>149</v>
      </c>
      <c r="O2551" s="2" t="s">
        <v>97</v>
      </c>
      <c r="P2551" s="2" t="s">
        <v>119</v>
      </c>
      <c r="Q2551" s="2" t="s">
        <v>99</v>
      </c>
      <c r="R2551" s="2" t="s">
        <v>100</v>
      </c>
      <c r="S2551" s="2" t="s">
        <v>7915</v>
      </c>
      <c r="T2551" s="2" t="s">
        <v>100</v>
      </c>
      <c r="U2551" s="2" t="s">
        <v>100</v>
      </c>
      <c r="V2551" s="2" t="s">
        <v>146</v>
      </c>
      <c r="W2551" s="2" t="s">
        <v>1580</v>
      </c>
      <c r="X2551" s="2" t="s">
        <v>100</v>
      </c>
      <c r="Y2551" s="2" t="s">
        <v>240</v>
      </c>
      <c r="Z2551" s="4">
        <v>174</v>
      </c>
      <c r="AA2551" s="4">
        <f>=ROUNDDOWN(15.8181818181818,0)</f>
      </c>
      <c r="AB2551" s="5">
        <v>11</v>
      </c>
      <c r="AC2551" s="2" t="s">
        <v>356</v>
      </c>
      <c r="AD2551" s="4">
        <v>80</v>
      </c>
      <c r="AE2551" s="4">
        <v>180</v>
      </c>
      <c r="AF2551" s="6">
        <v>74</v>
      </c>
      <c r="AG2551" s="6">
        <v>60</v>
      </c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/>
      <c r="BD2551" s="8"/>
      <c r="BE2551" s="4"/>
      <c r="BF2551" s="8"/>
      <c r="BG2551" s="7"/>
      <c r="BH2551" s="7"/>
      <c r="BI2551" s="7"/>
      <c r="BJ2551" s="4">
        <v>275</v>
      </c>
      <c r="BK2551" s="8">
        <v>20494.36</v>
      </c>
      <c r="BL2551" s="2" t="s">
        <v>7916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2528</v>
      </c>
      <c r="BV2551" s="2" t="s">
        <v>97</v>
      </c>
      <c r="BW2551" s="2" t="s">
        <v>100</v>
      </c>
      <c r="BX2551" s="2" t="s">
        <v>100</v>
      </c>
      <c r="BY2551" s="2" t="s">
        <v>113</v>
      </c>
      <c r="BZ2551" s="2" t="s">
        <v>100</v>
      </c>
    </row>
    <row r="2552">
      <c r="A2552" s="2" t="s">
        <v>7917</v>
      </c>
      <c r="B2552" s="2" t="s">
        <v>7711</v>
      </c>
      <c r="C2552" s="2" t="s">
        <v>2850</v>
      </c>
      <c r="D2552" s="2" t="s">
        <v>7755</v>
      </c>
      <c r="E2552" s="2" t="s">
        <v>7756</v>
      </c>
      <c r="F2552" s="2" t="s">
        <v>7918</v>
      </c>
      <c r="G2552" s="2" t="s">
        <v>7918</v>
      </c>
      <c r="H2552" s="2" t="s">
        <v>7918</v>
      </c>
      <c r="I2552" s="2" t="s">
        <v>7756</v>
      </c>
      <c r="J2552" s="2" t="s">
        <v>3877</v>
      </c>
      <c r="K2552" s="2" t="s">
        <v>3515</v>
      </c>
      <c r="L2552" s="3">
        <v>119.7</v>
      </c>
      <c r="M2552" s="3">
        <v>125.68</v>
      </c>
      <c r="N2552" s="3">
        <v>249</v>
      </c>
      <c r="O2552" s="2" t="s">
        <v>97</v>
      </c>
      <c r="P2552" s="2" t="s">
        <v>119</v>
      </c>
      <c r="Q2552" s="2" t="s">
        <v>99</v>
      </c>
      <c r="R2552" s="2" t="s">
        <v>100</v>
      </c>
      <c r="S2552" s="2" t="s">
        <v>7919</v>
      </c>
      <c r="T2552" s="2" t="s">
        <v>100</v>
      </c>
      <c r="U2552" s="2" t="s">
        <v>1847</v>
      </c>
      <c r="V2552" s="2" t="s">
        <v>146</v>
      </c>
      <c r="W2552" s="2" t="s">
        <v>1580</v>
      </c>
      <c r="X2552" s="2" t="s">
        <v>100</v>
      </c>
      <c r="Y2552" s="2" t="s">
        <v>7920</v>
      </c>
      <c r="Z2552" s="4">
        <v>151</v>
      </c>
      <c r="AA2552" s="4">
        <f>=ROUNDDOWN(8.67816091954023,0)</f>
      </c>
      <c r="AB2552" s="5">
        <v>17.4</v>
      </c>
      <c r="AC2552" s="2" t="s">
        <v>241</v>
      </c>
      <c r="AD2552" s="4">
        <v>55</v>
      </c>
      <c r="AE2552" s="4">
        <v>340</v>
      </c>
      <c r="AF2552" s="6">
        <v>66</v>
      </c>
      <c r="AG2552" s="6">
        <v>49</v>
      </c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/>
      <c r="BJ2552" s="4">
        <v>410</v>
      </c>
      <c r="BK2552" s="8">
        <v>50400.2</v>
      </c>
      <c r="BL2552" s="2" t="s">
        <v>7921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2528</v>
      </c>
      <c r="BV2552" s="2" t="s">
        <v>97</v>
      </c>
      <c r="BW2552" s="2" t="s">
        <v>100</v>
      </c>
      <c r="BX2552" s="2" t="s">
        <v>100</v>
      </c>
      <c r="BY2552" s="2" t="s">
        <v>113</v>
      </c>
      <c r="BZ2552" s="2" t="s">
        <v>100</v>
      </c>
    </row>
    <row r="2553">
      <c r="A2553" s="2" t="s">
        <v>7922</v>
      </c>
      <c r="B2553" s="2" t="s">
        <v>7711</v>
      </c>
      <c r="C2553" s="2" t="s">
        <v>2850</v>
      </c>
      <c r="D2553" s="2" t="s">
        <v>7755</v>
      </c>
      <c r="E2553" s="2" t="s">
        <v>7756</v>
      </c>
      <c r="F2553" s="2" t="s">
        <v>7918</v>
      </c>
      <c r="G2553" s="2" t="s">
        <v>7918</v>
      </c>
      <c r="H2553" s="2" t="s">
        <v>7918</v>
      </c>
      <c r="I2553" s="2" t="s">
        <v>7756</v>
      </c>
      <c r="J2553" s="2" t="s">
        <v>3877</v>
      </c>
      <c r="K2553" s="2" t="s">
        <v>360</v>
      </c>
      <c r="L2553" s="3">
        <v>119.7</v>
      </c>
      <c r="M2553" s="3">
        <v>125.68</v>
      </c>
      <c r="N2553" s="3">
        <v>249</v>
      </c>
      <c r="O2553" s="2" t="s">
        <v>97</v>
      </c>
      <c r="P2553" s="2" t="s">
        <v>119</v>
      </c>
      <c r="Q2553" s="2" t="s">
        <v>99</v>
      </c>
      <c r="R2553" s="2" t="s">
        <v>100</v>
      </c>
      <c r="S2553" s="2" t="s">
        <v>100</v>
      </c>
      <c r="T2553" s="2" t="s">
        <v>100</v>
      </c>
      <c r="U2553" s="2" t="s">
        <v>1847</v>
      </c>
      <c r="V2553" s="2" t="s">
        <v>146</v>
      </c>
      <c r="W2553" s="2" t="s">
        <v>1580</v>
      </c>
      <c r="X2553" s="2" t="s">
        <v>100</v>
      </c>
      <c r="Y2553" s="2" t="s">
        <v>7923</v>
      </c>
      <c r="Z2553" s="4">
        <v>174</v>
      </c>
      <c r="AA2553" s="4">
        <f>=ROUNDDOWN(24.8571428571429,0)</f>
      </c>
      <c r="AB2553" s="5">
        <v>7</v>
      </c>
      <c r="AC2553" s="2" t="s">
        <v>320</v>
      </c>
      <c r="AD2553" s="4">
        <v>180</v>
      </c>
      <c r="AE2553" s="4">
        <v>290</v>
      </c>
      <c r="AF2553" s="6">
        <v>66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/>
      <c r="BJ2553" s="4">
        <v>181</v>
      </c>
      <c r="BK2553" s="8">
        <v>21597.78</v>
      </c>
      <c r="BL2553" s="2" t="s">
        <v>7924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2528</v>
      </c>
      <c r="BV2553" s="2" t="s">
        <v>97</v>
      </c>
      <c r="BW2553" s="2" t="s">
        <v>100</v>
      </c>
      <c r="BX2553" s="2" t="s">
        <v>100</v>
      </c>
      <c r="BY2553" s="2" t="s">
        <v>113</v>
      </c>
      <c r="BZ2553" s="2" t="s">
        <v>100</v>
      </c>
    </row>
    <row r="2554">
      <c r="A2554" s="2" t="s">
        <v>7925</v>
      </c>
      <c r="B2554" s="2" t="s">
        <v>7711</v>
      </c>
      <c r="C2554" s="2" t="s">
        <v>2850</v>
      </c>
      <c r="D2554" s="2" t="s">
        <v>7755</v>
      </c>
      <c r="E2554" s="2" t="s">
        <v>7756</v>
      </c>
      <c r="F2554" s="2" t="s">
        <v>7819</v>
      </c>
      <c r="G2554" s="2" t="s">
        <v>7819</v>
      </c>
      <c r="H2554" s="2" t="s">
        <v>7819</v>
      </c>
      <c r="I2554" s="2" t="s">
        <v>7756</v>
      </c>
      <c r="J2554" s="2" t="s">
        <v>3877</v>
      </c>
      <c r="K2554" s="2" t="s">
        <v>3515</v>
      </c>
      <c r="L2554" s="3">
        <v>133</v>
      </c>
      <c r="M2554" s="3">
        <v>139.65</v>
      </c>
      <c r="N2554" s="3">
        <v>279</v>
      </c>
      <c r="O2554" s="2" t="s">
        <v>97</v>
      </c>
      <c r="P2554" s="2" t="s">
        <v>119</v>
      </c>
      <c r="Q2554" s="2" t="s">
        <v>99</v>
      </c>
      <c r="R2554" s="2" t="s">
        <v>100</v>
      </c>
      <c r="S2554" s="2" t="s">
        <v>7926</v>
      </c>
      <c r="T2554" s="2" t="s">
        <v>100</v>
      </c>
      <c r="U2554" s="2" t="s">
        <v>100</v>
      </c>
      <c r="V2554" s="2" t="s">
        <v>146</v>
      </c>
      <c r="W2554" s="2" t="s">
        <v>104</v>
      </c>
      <c r="X2554" s="2" t="s">
        <v>100</v>
      </c>
      <c r="Y2554" s="2" t="s">
        <v>240</v>
      </c>
      <c r="Z2554" s="4">
        <v>351</v>
      </c>
      <c r="AA2554" s="4">
        <f>=ROUNDDOWN(27,0)</f>
      </c>
      <c r="AB2554" s="5">
        <v>13</v>
      </c>
      <c r="AC2554" s="2" t="s">
        <v>1191</v>
      </c>
      <c r="AD2554" s="4">
        <v>160</v>
      </c>
      <c r="AE2554" s="4">
        <v>160</v>
      </c>
      <c r="AF2554" s="6">
        <v>66</v>
      </c>
      <c r="AG2554" s="6">
        <v>49</v>
      </c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/>
      <c r="BD2554" s="8"/>
      <c r="BE2554" s="4"/>
      <c r="BF2554" s="8"/>
      <c r="BG2554" s="7"/>
      <c r="BH2554" s="7"/>
      <c r="BI2554" s="7"/>
      <c r="BJ2554" s="4">
        <v>405</v>
      </c>
      <c r="BK2554" s="8">
        <v>52246.65</v>
      </c>
      <c r="BL2554" s="2" t="s">
        <v>7927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2528</v>
      </c>
      <c r="BV2554" s="2" t="s">
        <v>97</v>
      </c>
      <c r="BW2554" s="2" t="s">
        <v>100</v>
      </c>
      <c r="BX2554" s="2" t="s">
        <v>100</v>
      </c>
      <c r="BY2554" s="2" t="s">
        <v>113</v>
      </c>
      <c r="BZ2554" s="2" t="s">
        <v>100</v>
      </c>
    </row>
    <row r="2555">
      <c r="A2555" s="2" t="s">
        <v>7928</v>
      </c>
      <c r="B2555" s="2" t="s">
        <v>7711</v>
      </c>
      <c r="C2555" s="2" t="s">
        <v>2850</v>
      </c>
      <c r="D2555" s="2" t="s">
        <v>7755</v>
      </c>
      <c r="E2555" s="2" t="s">
        <v>7756</v>
      </c>
      <c r="F2555" s="2" t="s">
        <v>7929</v>
      </c>
      <c r="G2555" s="2" t="s">
        <v>7929</v>
      </c>
      <c r="H2555" s="2" t="s">
        <v>100</v>
      </c>
      <c r="I2555" s="2" t="s">
        <v>7930</v>
      </c>
      <c r="J2555" s="2" t="s">
        <v>3877</v>
      </c>
      <c r="K2555" s="2" t="s">
        <v>167</v>
      </c>
      <c r="L2555" s="3">
        <v>118.75</v>
      </c>
      <c r="M2555" s="3">
        <v>124.69</v>
      </c>
      <c r="N2555" s="3">
        <v>249</v>
      </c>
      <c r="O2555" s="2" t="s">
        <v>97</v>
      </c>
      <c r="P2555" s="2" t="s">
        <v>119</v>
      </c>
      <c r="Q2555" s="2" t="s">
        <v>99</v>
      </c>
      <c r="R2555" s="2" t="s">
        <v>100</v>
      </c>
      <c r="S2555" s="2" t="s">
        <v>7931</v>
      </c>
      <c r="T2555" s="2" t="s">
        <v>100</v>
      </c>
      <c r="U2555" s="2" t="s">
        <v>100</v>
      </c>
      <c r="V2555" s="2" t="s">
        <v>146</v>
      </c>
      <c r="W2555" s="2" t="s">
        <v>3886</v>
      </c>
      <c r="X2555" s="2" t="s">
        <v>100</v>
      </c>
      <c r="Y2555" s="2" t="s">
        <v>240</v>
      </c>
      <c r="Z2555" s="4">
        <v>238</v>
      </c>
      <c r="AA2555" s="4">
        <f>=ROUNDDOWN(17,0)</f>
      </c>
      <c r="AB2555" s="5">
        <v>14</v>
      </c>
      <c r="AC2555" s="2" t="s">
        <v>4745</v>
      </c>
      <c r="AD2555" s="4">
        <v>150</v>
      </c>
      <c r="AE2555" s="4">
        <v>150</v>
      </c>
      <c r="AF2555" s="6">
        <v>74</v>
      </c>
      <c r="AG2555" s="6">
        <v>60</v>
      </c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/>
      <c r="BD2555" s="8"/>
      <c r="BE2555" s="4"/>
      <c r="BF2555" s="8"/>
      <c r="BG2555" s="7"/>
      <c r="BH2555" s="7"/>
      <c r="BI2555" s="7"/>
      <c r="BJ2555" s="4">
        <v>371</v>
      </c>
      <c r="BK2555" s="8">
        <v>42580.42</v>
      </c>
      <c r="BL2555" s="2" t="s">
        <v>7932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2528</v>
      </c>
      <c r="BV2555" s="2" t="s">
        <v>97</v>
      </c>
      <c r="BW2555" s="2" t="s">
        <v>100</v>
      </c>
      <c r="BX2555" s="2" t="s">
        <v>100</v>
      </c>
      <c r="BY2555" s="2" t="s">
        <v>113</v>
      </c>
      <c r="BZ2555" s="2" t="s">
        <v>100</v>
      </c>
    </row>
    <row r="2556">
      <c r="A2556" s="2" t="s">
        <v>7933</v>
      </c>
      <c r="B2556" s="2" t="s">
        <v>7711</v>
      </c>
      <c r="C2556" s="2" t="s">
        <v>2850</v>
      </c>
      <c r="D2556" s="2" t="s">
        <v>7755</v>
      </c>
      <c r="E2556" s="2" t="s">
        <v>7756</v>
      </c>
      <c r="F2556" s="2" t="s">
        <v>214</v>
      </c>
      <c r="G2556" s="2" t="s">
        <v>214</v>
      </c>
      <c r="H2556" s="2" t="s">
        <v>214</v>
      </c>
      <c r="I2556" s="2" t="s">
        <v>7934</v>
      </c>
      <c r="J2556" s="2" t="s">
        <v>3877</v>
      </c>
      <c r="K2556" s="2" t="s">
        <v>1614</v>
      </c>
      <c r="L2556" s="3">
        <v>66.5</v>
      </c>
      <c r="M2556" s="3">
        <v>69.82</v>
      </c>
      <c r="N2556" s="3">
        <v>139</v>
      </c>
      <c r="O2556" s="2" t="s">
        <v>97</v>
      </c>
      <c r="P2556" s="2" t="s">
        <v>119</v>
      </c>
      <c r="Q2556" s="2" t="s">
        <v>99</v>
      </c>
      <c r="R2556" s="2" t="s">
        <v>100</v>
      </c>
      <c r="S2556" s="2" t="s">
        <v>100</v>
      </c>
      <c r="T2556" s="2" t="s">
        <v>100</v>
      </c>
      <c r="U2556" s="2" t="s">
        <v>1847</v>
      </c>
      <c r="V2556" s="2" t="s">
        <v>3188</v>
      </c>
      <c r="W2556" s="2" t="s">
        <v>561</v>
      </c>
      <c r="X2556" s="2" t="s">
        <v>100</v>
      </c>
      <c r="Y2556" s="2" t="s">
        <v>7935</v>
      </c>
      <c r="Z2556" s="4">
        <v>317</v>
      </c>
      <c r="AA2556" s="4">
        <f>=ROUNDDOWN(35.2222222222222,0)</f>
      </c>
      <c r="AB2556" s="5">
        <v>9</v>
      </c>
      <c r="AC2556" s="2" t="s">
        <v>100</v>
      </c>
      <c r="AD2556" s="4"/>
      <c r="AE2556" s="4"/>
      <c r="AF2556" s="6">
        <v>66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>
        <v>257</v>
      </c>
      <c r="BK2556" s="8">
        <v>18116.05</v>
      </c>
      <c r="BL2556" s="2" t="s">
        <v>7936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2528</v>
      </c>
      <c r="BV2556" s="2" t="s">
        <v>97</v>
      </c>
      <c r="BW2556" s="2" t="s">
        <v>100</v>
      </c>
      <c r="BX2556" s="2" t="s">
        <v>100</v>
      </c>
      <c r="BY2556" s="2" t="s">
        <v>113</v>
      </c>
      <c r="BZ2556" s="2" t="s">
        <v>100</v>
      </c>
    </row>
    <row r="2557">
      <c r="A2557" s="2" t="s">
        <v>7937</v>
      </c>
      <c r="B2557" s="2" t="s">
        <v>7711</v>
      </c>
      <c r="C2557" s="2" t="s">
        <v>2850</v>
      </c>
      <c r="D2557" s="2" t="s">
        <v>7755</v>
      </c>
      <c r="E2557" s="2" t="s">
        <v>7756</v>
      </c>
      <c r="F2557" s="2" t="s">
        <v>7938</v>
      </c>
      <c r="G2557" s="2" t="s">
        <v>7938</v>
      </c>
      <c r="H2557" s="2" t="s">
        <v>7938</v>
      </c>
      <c r="I2557" s="2" t="s">
        <v>7939</v>
      </c>
      <c r="J2557" s="2" t="s">
        <v>3877</v>
      </c>
      <c r="K2557" s="2" t="s">
        <v>913</v>
      </c>
      <c r="L2557" s="3">
        <v>131.75</v>
      </c>
      <c r="M2557" s="3">
        <v>138.34</v>
      </c>
      <c r="N2557" s="3">
        <v>279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100</v>
      </c>
      <c r="T2557" s="2" t="s">
        <v>100</v>
      </c>
      <c r="U2557" s="2" t="s">
        <v>1847</v>
      </c>
      <c r="V2557" s="2" t="s">
        <v>3188</v>
      </c>
      <c r="W2557" s="2" t="s">
        <v>183</v>
      </c>
      <c r="X2557" s="2" t="s">
        <v>1580</v>
      </c>
      <c r="Y2557" s="2" t="s">
        <v>7940</v>
      </c>
      <c r="Z2557" s="4">
        <v>114</v>
      </c>
      <c r="AA2557" s="4">
        <f>=ROUNDDOWN(5.18181818181818,0)</f>
      </c>
      <c r="AB2557" s="5">
        <v>22</v>
      </c>
      <c r="AC2557" s="2" t="s">
        <v>5100</v>
      </c>
      <c r="AD2557" s="4">
        <v>160</v>
      </c>
      <c r="AE2557" s="4">
        <v>360</v>
      </c>
      <c r="AF2557" s="6">
        <v>74</v>
      </c>
      <c r="AG2557" s="6"/>
      <c r="AH2557" s="7">
        <v>0.9733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>
        <v>537</v>
      </c>
      <c r="BK2557" s="8">
        <v>74285.08</v>
      </c>
      <c r="BL2557" s="2" t="s">
        <v>7941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2528</v>
      </c>
      <c r="BV2557" s="2" t="s">
        <v>97</v>
      </c>
      <c r="BW2557" s="2" t="s">
        <v>100</v>
      </c>
      <c r="BX2557" s="2" t="s">
        <v>100</v>
      </c>
      <c r="BY2557" s="2" t="s">
        <v>113</v>
      </c>
      <c r="BZ2557" s="2" t="s">
        <v>100</v>
      </c>
    </row>
    <row r="2558">
      <c r="A2558" s="2" t="s">
        <v>7942</v>
      </c>
      <c r="B2558" s="2" t="s">
        <v>7711</v>
      </c>
      <c r="C2558" s="2" t="s">
        <v>2850</v>
      </c>
      <c r="D2558" s="2" t="s">
        <v>7755</v>
      </c>
      <c r="E2558" s="2" t="s">
        <v>7756</v>
      </c>
      <c r="F2558" s="2" t="s">
        <v>7943</v>
      </c>
      <c r="G2558" s="2" t="s">
        <v>7943</v>
      </c>
      <c r="H2558" s="2" t="s">
        <v>100</v>
      </c>
      <c r="I2558" s="2" t="s">
        <v>7944</v>
      </c>
      <c r="J2558" s="2" t="s">
        <v>3877</v>
      </c>
      <c r="K2558" s="2" t="s">
        <v>198</v>
      </c>
      <c r="L2558" s="3">
        <v>114</v>
      </c>
      <c r="M2558" s="3">
        <v>119.7</v>
      </c>
      <c r="N2558" s="3">
        <v>239</v>
      </c>
      <c r="O2558" s="2" t="s">
        <v>97</v>
      </c>
      <c r="P2558" s="2" t="s">
        <v>119</v>
      </c>
      <c r="Q2558" s="2" t="s">
        <v>99</v>
      </c>
      <c r="R2558" s="2" t="s">
        <v>100</v>
      </c>
      <c r="S2558" s="2" t="s">
        <v>7945</v>
      </c>
      <c r="T2558" s="2" t="s">
        <v>100</v>
      </c>
      <c r="U2558" s="2" t="s">
        <v>100</v>
      </c>
      <c r="V2558" s="2" t="s">
        <v>146</v>
      </c>
      <c r="W2558" s="2" t="s">
        <v>3886</v>
      </c>
      <c r="X2558" s="2" t="s">
        <v>100</v>
      </c>
      <c r="Y2558" s="2" t="s">
        <v>240</v>
      </c>
      <c r="Z2558" s="4">
        <v>369</v>
      </c>
      <c r="AA2558" s="4">
        <f>=ROUNDDOWN(46.125,0)</f>
      </c>
      <c r="AB2558" s="5">
        <v>8</v>
      </c>
      <c r="AC2558" s="2" t="s">
        <v>100</v>
      </c>
      <c r="AD2558" s="4"/>
      <c r="AE2558" s="4"/>
      <c r="AF2558" s="6">
        <v>76</v>
      </c>
      <c r="AG2558" s="6">
        <v>62</v>
      </c>
      <c r="AH2558" s="7">
        <v>0.7754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/>
      <c r="BD2558" s="8"/>
      <c r="BE2558" s="4"/>
      <c r="BF2558" s="8"/>
      <c r="BG2558" s="7"/>
      <c r="BH2558" s="7"/>
      <c r="BI2558" s="7"/>
      <c r="BJ2558" s="4">
        <v>127</v>
      </c>
      <c r="BK2558" s="8">
        <v>14798.85</v>
      </c>
      <c r="BL2558" s="2" t="s">
        <v>7946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2528</v>
      </c>
      <c r="BV2558" s="2" t="s">
        <v>97</v>
      </c>
      <c r="BW2558" s="2" t="s">
        <v>100</v>
      </c>
      <c r="BX2558" s="2" t="s">
        <v>100</v>
      </c>
      <c r="BY2558" s="2" t="s">
        <v>113</v>
      </c>
      <c r="BZ2558" s="2" t="s">
        <v>100</v>
      </c>
    </row>
    <row r="2559">
      <c r="A2559" s="2" t="s">
        <v>7947</v>
      </c>
      <c r="B2559" s="2" t="s">
        <v>7711</v>
      </c>
      <c r="C2559" s="2" t="s">
        <v>2850</v>
      </c>
      <c r="D2559" s="2" t="s">
        <v>7755</v>
      </c>
      <c r="E2559" s="2" t="s">
        <v>7756</v>
      </c>
      <c r="F2559" s="2" t="s">
        <v>7948</v>
      </c>
      <c r="G2559" s="2" t="s">
        <v>100</v>
      </c>
      <c r="H2559" s="2" t="s">
        <v>100</v>
      </c>
      <c r="I2559" s="2" t="s">
        <v>7756</v>
      </c>
      <c r="J2559" s="2" t="s">
        <v>3877</v>
      </c>
      <c r="K2559" s="2" t="s">
        <v>7949</v>
      </c>
      <c r="L2559" s="3">
        <v>75</v>
      </c>
      <c r="M2559" s="3">
        <v>78.75</v>
      </c>
      <c r="N2559" s="3">
        <v>159</v>
      </c>
      <c r="O2559" s="2" t="s">
        <v>97</v>
      </c>
      <c r="P2559" s="2" t="s">
        <v>119</v>
      </c>
      <c r="Q2559" s="2" t="s">
        <v>99</v>
      </c>
      <c r="R2559" s="2" t="s">
        <v>100</v>
      </c>
      <c r="S2559" s="2" t="s">
        <v>7950</v>
      </c>
      <c r="T2559" s="2" t="s">
        <v>100</v>
      </c>
      <c r="U2559" s="2" t="s">
        <v>100</v>
      </c>
      <c r="V2559" s="2" t="s">
        <v>146</v>
      </c>
      <c r="W2559" s="2" t="s">
        <v>3886</v>
      </c>
      <c r="X2559" s="2" t="s">
        <v>100</v>
      </c>
      <c r="Y2559" s="2" t="s">
        <v>4993</v>
      </c>
      <c r="Z2559" s="4">
        <v>169</v>
      </c>
      <c r="AA2559" s="4">
        <f>=ROUNDDOWN(26,0)</f>
      </c>
      <c r="AB2559" s="5">
        <v>6.5</v>
      </c>
      <c r="AC2559" s="2" t="s">
        <v>7951</v>
      </c>
      <c r="AD2559" s="4">
        <v>100</v>
      </c>
      <c r="AE2559" s="4">
        <v>100</v>
      </c>
      <c r="AF2559" s="6">
        <v>74</v>
      </c>
      <c r="AG2559" s="6">
        <v>60</v>
      </c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/>
      <c r="BD2559" s="8"/>
      <c r="BE2559" s="4"/>
      <c r="BF2559" s="8"/>
      <c r="BG2559" s="7"/>
      <c r="BH2559" s="7"/>
      <c r="BI2559" s="7"/>
      <c r="BJ2559" s="4">
        <v>142</v>
      </c>
      <c r="BK2559" s="8">
        <v>10600.62</v>
      </c>
      <c r="BL2559" s="2" t="s">
        <v>7952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2528</v>
      </c>
      <c r="BV2559" s="2" t="s">
        <v>97</v>
      </c>
      <c r="BW2559" s="2" t="s">
        <v>100</v>
      </c>
      <c r="BX2559" s="2" t="s">
        <v>100</v>
      </c>
      <c r="BY2559" s="2" t="s">
        <v>113</v>
      </c>
      <c r="BZ2559" s="2" t="s">
        <v>100</v>
      </c>
    </row>
    <row r="2560">
      <c r="A2560" s="2" t="s">
        <v>7953</v>
      </c>
      <c r="B2560" s="2" t="s">
        <v>7711</v>
      </c>
      <c r="C2560" s="2" t="s">
        <v>2850</v>
      </c>
      <c r="D2560" s="2" t="s">
        <v>7755</v>
      </c>
      <c r="E2560" s="2" t="s">
        <v>7954</v>
      </c>
      <c r="F2560" s="2" t="s">
        <v>7955</v>
      </c>
      <c r="G2560" s="2" t="s">
        <v>7955</v>
      </c>
      <c r="H2560" s="2" t="s">
        <v>7955</v>
      </c>
      <c r="I2560" s="2" t="s">
        <v>7956</v>
      </c>
      <c r="J2560" s="2" t="s">
        <v>3877</v>
      </c>
      <c r="K2560" s="2" t="s">
        <v>858</v>
      </c>
      <c r="L2560" s="3">
        <v>165</v>
      </c>
      <c r="M2560" s="3">
        <v>173.25</v>
      </c>
      <c r="N2560" s="3">
        <v>349</v>
      </c>
      <c r="O2560" s="2" t="s">
        <v>97</v>
      </c>
      <c r="P2560" s="2" t="s">
        <v>225</v>
      </c>
      <c r="Q2560" s="2" t="s">
        <v>99</v>
      </c>
      <c r="R2560" s="2" t="s">
        <v>100</v>
      </c>
      <c r="S2560" s="2" t="s">
        <v>100</v>
      </c>
      <c r="T2560" s="2" t="s">
        <v>100</v>
      </c>
      <c r="U2560" s="2" t="s">
        <v>1847</v>
      </c>
      <c r="V2560" s="2" t="s">
        <v>3188</v>
      </c>
      <c r="W2560" s="2" t="s">
        <v>1580</v>
      </c>
      <c r="X2560" s="2" t="s">
        <v>561</v>
      </c>
      <c r="Y2560" s="2" t="s">
        <v>2168</v>
      </c>
      <c r="Z2560" s="4">
        <v>81</v>
      </c>
      <c r="AA2560" s="4">
        <f>=ROUNDDOWN(40.5,0)</f>
      </c>
      <c r="AB2560" s="5">
        <v>2</v>
      </c>
      <c r="AC2560" s="2" t="s">
        <v>100</v>
      </c>
      <c r="AD2560" s="4"/>
      <c r="AE2560" s="4"/>
      <c r="AF2560" s="6">
        <v>66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/>
      <c r="BD2560" s="8"/>
      <c r="BE2560" s="4"/>
      <c r="BF2560" s="8"/>
      <c r="BG2560" s="7"/>
      <c r="BH2560" s="7"/>
      <c r="BI2560" s="7"/>
      <c r="BJ2560" s="4">
        <v>17</v>
      </c>
      <c r="BK2560" s="8">
        <v>3209.78</v>
      </c>
      <c r="BL2560" s="2" t="s">
        <v>7957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2528</v>
      </c>
      <c r="BV2560" s="2" t="s">
        <v>97</v>
      </c>
      <c r="BW2560" s="2" t="s">
        <v>100</v>
      </c>
      <c r="BX2560" s="2" t="s">
        <v>100</v>
      </c>
      <c r="BY2560" s="2" t="s">
        <v>113</v>
      </c>
      <c r="BZ2560" s="2" t="s">
        <v>100</v>
      </c>
    </row>
    <row r="2561">
      <c r="A2561" s="2" t="s">
        <v>7958</v>
      </c>
      <c r="B2561" s="2" t="s">
        <v>7711</v>
      </c>
      <c r="C2561" s="2" t="s">
        <v>2850</v>
      </c>
      <c r="D2561" s="2" t="s">
        <v>7755</v>
      </c>
      <c r="E2561" s="2" t="s">
        <v>7954</v>
      </c>
      <c r="F2561" s="2" t="s">
        <v>7959</v>
      </c>
      <c r="G2561" s="2" t="s">
        <v>7959</v>
      </c>
      <c r="H2561" s="2" t="s">
        <v>7959</v>
      </c>
      <c r="I2561" s="2" t="s">
        <v>7954</v>
      </c>
      <c r="J2561" s="2" t="s">
        <v>3877</v>
      </c>
      <c r="K2561" s="2" t="s">
        <v>7960</v>
      </c>
      <c r="L2561" s="3">
        <v>80.75</v>
      </c>
      <c r="M2561" s="3">
        <v>84.79</v>
      </c>
      <c r="N2561" s="3">
        <v>169</v>
      </c>
      <c r="O2561" s="2" t="s">
        <v>97</v>
      </c>
      <c r="P2561" s="2" t="s">
        <v>119</v>
      </c>
      <c r="Q2561" s="2" t="s">
        <v>99</v>
      </c>
      <c r="R2561" s="2" t="s">
        <v>100</v>
      </c>
      <c r="S2561" s="2" t="s">
        <v>100</v>
      </c>
      <c r="T2561" s="2" t="s">
        <v>100</v>
      </c>
      <c r="U2561" s="2" t="s">
        <v>1847</v>
      </c>
      <c r="V2561" s="2" t="s">
        <v>146</v>
      </c>
      <c r="W2561" s="2" t="s">
        <v>3886</v>
      </c>
      <c r="X2561" s="2" t="s">
        <v>100</v>
      </c>
      <c r="Y2561" s="2" t="s">
        <v>1895</v>
      </c>
      <c r="Z2561" s="4">
        <v>358</v>
      </c>
      <c r="AA2561" s="4">
        <f>=ROUNDDOWN(35.8,0)</f>
      </c>
      <c r="AB2561" s="5">
        <v>10</v>
      </c>
      <c r="AC2561" s="2" t="s">
        <v>100</v>
      </c>
      <c r="AD2561" s="4"/>
      <c r="AE2561" s="4"/>
      <c r="AF2561" s="6">
        <v>74</v>
      </c>
      <c r="AG2561" s="6">
        <v>60</v>
      </c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/>
      <c r="BD2561" s="8"/>
      <c r="BE2561" s="4"/>
      <c r="BF2561" s="8"/>
      <c r="BG2561" s="7"/>
      <c r="BH2561" s="7"/>
      <c r="BI2561" s="7"/>
      <c r="BJ2561" s="4">
        <v>262</v>
      </c>
      <c r="BK2561" s="8">
        <v>21433.06</v>
      </c>
      <c r="BL2561" s="2" t="s">
        <v>7961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2528</v>
      </c>
      <c r="BV2561" s="2" t="s">
        <v>97</v>
      </c>
      <c r="BW2561" s="2" t="s">
        <v>100</v>
      </c>
      <c r="BX2561" s="2" t="s">
        <v>100</v>
      </c>
      <c r="BY2561" s="2" t="s">
        <v>113</v>
      </c>
      <c r="BZ2561" s="2" t="s">
        <v>100</v>
      </c>
    </row>
    <row r="2562">
      <c r="A2562" s="2" t="s">
        <v>7962</v>
      </c>
      <c r="B2562" s="2" t="s">
        <v>7711</v>
      </c>
      <c r="C2562" s="2" t="s">
        <v>2850</v>
      </c>
      <c r="D2562" s="2" t="s">
        <v>7963</v>
      </c>
      <c r="E2562" s="2" t="s">
        <v>7964</v>
      </c>
      <c r="F2562" s="2" t="s">
        <v>7965</v>
      </c>
      <c r="G2562" s="2" t="s">
        <v>7965</v>
      </c>
      <c r="H2562" s="2" t="s">
        <v>7965</v>
      </c>
      <c r="I2562" s="2" t="s">
        <v>7966</v>
      </c>
      <c r="J2562" s="2" t="s">
        <v>706</v>
      </c>
      <c r="K2562" s="2" t="s">
        <v>3995</v>
      </c>
      <c r="L2562" s="3">
        <v>552</v>
      </c>
      <c r="M2562" s="3">
        <v>579.6</v>
      </c>
      <c r="N2562" s="3">
        <v>1149</v>
      </c>
      <c r="O2562" s="2" t="s">
        <v>97</v>
      </c>
      <c r="P2562" s="2" t="s">
        <v>225</v>
      </c>
      <c r="Q2562" s="2" t="s">
        <v>99</v>
      </c>
      <c r="R2562" s="2" t="s">
        <v>100</v>
      </c>
      <c r="S2562" s="2" t="s">
        <v>100</v>
      </c>
      <c r="T2562" s="2" t="s">
        <v>100</v>
      </c>
      <c r="U2562" s="2" t="s">
        <v>1847</v>
      </c>
      <c r="V2562" s="2" t="s">
        <v>146</v>
      </c>
      <c r="W2562" s="2" t="s">
        <v>561</v>
      </c>
      <c r="X2562" s="2" t="s">
        <v>183</v>
      </c>
      <c r="Y2562" s="2" t="s">
        <v>4211</v>
      </c>
      <c r="Z2562" s="4">
        <v>140</v>
      </c>
      <c r="AA2562" s="4">
        <f>=ROUNDDOWN(200,0)</f>
      </c>
      <c r="AB2562" s="5">
        <v>0.7</v>
      </c>
      <c r="AC2562" s="2" t="s">
        <v>100</v>
      </c>
      <c r="AD2562" s="4"/>
      <c r="AE2562" s="4"/>
      <c r="AF2562" s="6">
        <v>74</v>
      </c>
      <c r="AG2562" s="6"/>
      <c r="AH2562" s="7">
        <v>0.9907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1</v>
      </c>
      <c r="BK2562" s="8">
        <v>579.6</v>
      </c>
      <c r="BL2562" s="2" t="s">
        <v>7715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2528</v>
      </c>
      <c r="BV2562" s="2" t="s">
        <v>97</v>
      </c>
      <c r="BW2562" s="2" t="s">
        <v>100</v>
      </c>
      <c r="BX2562" s="2" t="s">
        <v>100</v>
      </c>
      <c r="BY2562" s="2" t="s">
        <v>113</v>
      </c>
      <c r="BZ2562" s="2" t="s">
        <v>100</v>
      </c>
    </row>
    <row r="2563">
      <c r="A2563" s="2" t="s">
        <v>7967</v>
      </c>
      <c r="B2563" s="2" t="s">
        <v>7711</v>
      </c>
      <c r="C2563" s="2" t="s">
        <v>2850</v>
      </c>
      <c r="D2563" s="2" t="s">
        <v>7963</v>
      </c>
      <c r="E2563" s="2" t="s">
        <v>7964</v>
      </c>
      <c r="F2563" s="2" t="s">
        <v>7965</v>
      </c>
      <c r="G2563" s="2" t="s">
        <v>100</v>
      </c>
      <c r="H2563" s="2" t="s">
        <v>100</v>
      </c>
      <c r="I2563" s="2" t="s">
        <v>7968</v>
      </c>
      <c r="J2563" s="2" t="s">
        <v>714</v>
      </c>
      <c r="K2563" s="2" t="s">
        <v>7914</v>
      </c>
      <c r="L2563" s="3">
        <v>574.7</v>
      </c>
      <c r="M2563" s="3">
        <v>603.44</v>
      </c>
      <c r="N2563" s="3">
        <v>1199</v>
      </c>
      <c r="O2563" s="2" t="s">
        <v>97</v>
      </c>
      <c r="P2563" s="2" t="s">
        <v>119</v>
      </c>
      <c r="Q2563" s="2" t="s">
        <v>99</v>
      </c>
      <c r="R2563" s="2" t="s">
        <v>100</v>
      </c>
      <c r="S2563" s="2" t="s">
        <v>7969</v>
      </c>
      <c r="T2563" s="2" t="s">
        <v>100</v>
      </c>
      <c r="U2563" s="2" t="s">
        <v>100</v>
      </c>
      <c r="V2563" s="2" t="s">
        <v>146</v>
      </c>
      <c r="W2563" s="2" t="s">
        <v>1580</v>
      </c>
      <c r="X2563" s="2" t="s">
        <v>100</v>
      </c>
      <c r="Y2563" s="2" t="s">
        <v>7970</v>
      </c>
      <c r="Z2563" s="4">
        <v>122</v>
      </c>
      <c r="AA2563" s="4">
        <f>=ROUNDDOWN(27.1111111111111,0)</f>
      </c>
      <c r="AB2563" s="5">
        <v>4.5</v>
      </c>
      <c r="AC2563" s="2" t="s">
        <v>100</v>
      </c>
      <c r="AD2563" s="4"/>
      <c r="AE2563" s="4"/>
      <c r="AF2563" s="6">
        <v>74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>
        <v>120</v>
      </c>
      <c r="BK2563" s="8">
        <v>66515.17</v>
      </c>
      <c r="BL2563" s="2" t="s">
        <v>7971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2528</v>
      </c>
      <c r="BV2563" s="2" t="s">
        <v>97</v>
      </c>
      <c r="BW2563" s="2" t="s">
        <v>100</v>
      </c>
      <c r="BX2563" s="2" t="s">
        <v>100</v>
      </c>
      <c r="BY2563" s="2" t="s">
        <v>113</v>
      </c>
      <c r="BZ2563" s="2" t="s">
        <v>100</v>
      </c>
    </row>
    <row r="2564">
      <c r="A2564" s="2" t="s">
        <v>7972</v>
      </c>
      <c r="B2564" s="2" t="s">
        <v>7711</v>
      </c>
      <c r="C2564" s="2" t="s">
        <v>2850</v>
      </c>
      <c r="D2564" s="2" t="s">
        <v>7973</v>
      </c>
      <c r="E2564" s="2" t="s">
        <v>7776</v>
      </c>
      <c r="F2564" s="2" t="s">
        <v>7974</v>
      </c>
      <c r="G2564" s="2" t="s">
        <v>7974</v>
      </c>
      <c r="H2564" s="2" t="s">
        <v>7974</v>
      </c>
      <c r="I2564" s="2" t="s">
        <v>7975</v>
      </c>
      <c r="J2564" s="2" t="s">
        <v>3877</v>
      </c>
      <c r="K2564" s="2" t="s">
        <v>858</v>
      </c>
      <c r="L2564" s="3">
        <v>121.5</v>
      </c>
      <c r="M2564" s="3">
        <v>127.58</v>
      </c>
      <c r="N2564" s="3">
        <v>259</v>
      </c>
      <c r="O2564" s="2" t="s">
        <v>97</v>
      </c>
      <c r="P2564" s="2" t="s">
        <v>119</v>
      </c>
      <c r="Q2564" s="2" t="s">
        <v>99</v>
      </c>
      <c r="R2564" s="2" t="s">
        <v>100</v>
      </c>
      <c r="S2564" s="2" t="s">
        <v>100</v>
      </c>
      <c r="T2564" s="2" t="s">
        <v>100</v>
      </c>
      <c r="U2564" s="2" t="s">
        <v>100</v>
      </c>
      <c r="V2564" s="2" t="s">
        <v>146</v>
      </c>
      <c r="W2564" s="2" t="s">
        <v>3886</v>
      </c>
      <c r="X2564" s="2" t="s">
        <v>100</v>
      </c>
      <c r="Y2564" s="2" t="s">
        <v>815</v>
      </c>
      <c r="Z2564" s="4">
        <v>67</v>
      </c>
      <c r="AA2564" s="4">
        <f>=ROUNDDOWN(8.375,0)</f>
      </c>
      <c r="AB2564" s="5">
        <v>8</v>
      </c>
      <c r="AC2564" s="2" t="s">
        <v>2618</v>
      </c>
      <c r="AD2564" s="4">
        <v>100</v>
      </c>
      <c r="AE2564" s="4">
        <v>100</v>
      </c>
      <c r="AF2564" s="6">
        <v>74</v>
      </c>
      <c r="AG2564" s="6">
        <v>60</v>
      </c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/>
      <c r="BD2564" s="8"/>
      <c r="BE2564" s="4"/>
      <c r="BF2564" s="8"/>
      <c r="BG2564" s="7"/>
      <c r="BH2564" s="7"/>
      <c r="BI2564" s="7"/>
      <c r="BJ2564" s="4">
        <v>203</v>
      </c>
      <c r="BK2564" s="8">
        <v>24996.3</v>
      </c>
      <c r="BL2564" s="2" t="s">
        <v>7976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2528</v>
      </c>
      <c r="BV2564" s="2" t="s">
        <v>97</v>
      </c>
      <c r="BW2564" s="2" t="s">
        <v>100</v>
      </c>
      <c r="BX2564" s="2" t="s">
        <v>100</v>
      </c>
      <c r="BY2564" s="2" t="s">
        <v>113</v>
      </c>
      <c r="BZ2564" s="2" t="s">
        <v>100</v>
      </c>
    </row>
    <row r="2565">
      <c r="A2565" s="2" t="s">
        <v>7977</v>
      </c>
      <c r="B2565" s="2" t="s">
        <v>7711</v>
      </c>
      <c r="C2565" s="2" t="s">
        <v>2850</v>
      </c>
      <c r="D2565" s="2" t="s">
        <v>7762</v>
      </c>
      <c r="E2565" s="2" t="s">
        <v>7763</v>
      </c>
      <c r="F2565" s="2" t="s">
        <v>7918</v>
      </c>
      <c r="G2565" s="2" t="s">
        <v>7918</v>
      </c>
      <c r="H2565" s="2" t="s">
        <v>7918</v>
      </c>
      <c r="I2565" s="2" t="s">
        <v>7978</v>
      </c>
      <c r="J2565" s="2" t="s">
        <v>3877</v>
      </c>
      <c r="K2565" s="2" t="s">
        <v>118</v>
      </c>
      <c r="L2565" s="3">
        <v>193.5</v>
      </c>
      <c r="M2565" s="3">
        <v>203.18</v>
      </c>
      <c r="N2565" s="3">
        <v>399</v>
      </c>
      <c r="O2565" s="2" t="s">
        <v>97</v>
      </c>
      <c r="P2565" s="2" t="s">
        <v>119</v>
      </c>
      <c r="Q2565" s="2" t="s">
        <v>99</v>
      </c>
      <c r="R2565" s="2" t="s">
        <v>100</v>
      </c>
      <c r="S2565" s="2" t="s">
        <v>7979</v>
      </c>
      <c r="T2565" s="2" t="s">
        <v>100</v>
      </c>
      <c r="U2565" s="2" t="s">
        <v>100</v>
      </c>
      <c r="V2565" s="2" t="s">
        <v>146</v>
      </c>
      <c r="W2565" s="2" t="s">
        <v>1580</v>
      </c>
      <c r="X2565" s="2" t="s">
        <v>100</v>
      </c>
      <c r="Y2565" s="2" t="s">
        <v>240</v>
      </c>
      <c r="Z2565" s="4">
        <v>172</v>
      </c>
      <c r="AA2565" s="4">
        <f>=ROUNDDOWN(17.5510204081633,0)</f>
      </c>
      <c r="AB2565" s="5">
        <v>9.8</v>
      </c>
      <c r="AC2565" s="2" t="s">
        <v>356</v>
      </c>
      <c r="AD2565" s="4">
        <v>400</v>
      </c>
      <c r="AE2565" s="4">
        <v>700</v>
      </c>
      <c r="AF2565" s="6">
        <v>66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289</v>
      </c>
      <c r="BK2565" s="8">
        <v>55531.55</v>
      </c>
      <c r="BL2565" s="2" t="s">
        <v>7980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2528</v>
      </c>
      <c r="BV2565" s="2" t="s">
        <v>97</v>
      </c>
      <c r="BW2565" s="2" t="s">
        <v>100</v>
      </c>
      <c r="BX2565" s="2" t="s">
        <v>100</v>
      </c>
      <c r="BY2565" s="2" t="s">
        <v>113</v>
      </c>
      <c r="BZ2565" s="2" t="s">
        <v>100</v>
      </c>
    </row>
    <row r="2566">
      <c r="A2566" s="2" t="s">
        <v>7981</v>
      </c>
      <c r="B2566" s="2" t="s">
        <v>7711</v>
      </c>
      <c r="C2566" s="2" t="s">
        <v>2850</v>
      </c>
      <c r="D2566" s="2" t="s">
        <v>7762</v>
      </c>
      <c r="E2566" s="2" t="s">
        <v>7763</v>
      </c>
      <c r="F2566" s="2" t="s">
        <v>7918</v>
      </c>
      <c r="G2566" s="2" t="s">
        <v>7918</v>
      </c>
      <c r="H2566" s="2" t="s">
        <v>7918</v>
      </c>
      <c r="I2566" s="2" t="s">
        <v>7978</v>
      </c>
      <c r="J2566" s="2" t="s">
        <v>3877</v>
      </c>
      <c r="K2566" s="2" t="s">
        <v>3515</v>
      </c>
      <c r="L2566" s="3">
        <v>193.5</v>
      </c>
      <c r="M2566" s="3">
        <v>203.18</v>
      </c>
      <c r="N2566" s="3">
        <v>399</v>
      </c>
      <c r="O2566" s="2" t="s">
        <v>97</v>
      </c>
      <c r="P2566" s="2" t="s">
        <v>119</v>
      </c>
      <c r="Q2566" s="2" t="s">
        <v>99</v>
      </c>
      <c r="R2566" s="2" t="s">
        <v>100</v>
      </c>
      <c r="S2566" s="2" t="s">
        <v>7919</v>
      </c>
      <c r="T2566" s="2" t="s">
        <v>100</v>
      </c>
      <c r="U2566" s="2" t="s">
        <v>100</v>
      </c>
      <c r="V2566" s="2" t="s">
        <v>146</v>
      </c>
      <c r="W2566" s="2" t="s">
        <v>3886</v>
      </c>
      <c r="X2566" s="2" t="s">
        <v>100</v>
      </c>
      <c r="Y2566" s="2" t="s">
        <v>7982</v>
      </c>
      <c r="Z2566" s="4">
        <v>138</v>
      </c>
      <c r="AA2566" s="4">
        <f>=ROUNDDOWN(16.4285714285714,0)</f>
      </c>
      <c r="AB2566" s="5">
        <v>8.4</v>
      </c>
      <c r="AC2566" s="2" t="s">
        <v>320</v>
      </c>
      <c r="AD2566" s="4">
        <v>99</v>
      </c>
      <c r="AE2566" s="4">
        <v>203</v>
      </c>
      <c r="AF2566" s="6">
        <v>66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255</v>
      </c>
      <c r="BK2566" s="8">
        <v>49200.96</v>
      </c>
      <c r="BL2566" s="2" t="s">
        <v>7921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2528</v>
      </c>
      <c r="BV2566" s="2" t="s">
        <v>97</v>
      </c>
      <c r="BW2566" s="2" t="s">
        <v>100</v>
      </c>
      <c r="BX2566" s="2" t="s">
        <v>100</v>
      </c>
      <c r="BY2566" s="2" t="s">
        <v>113</v>
      </c>
      <c r="BZ2566" s="2" t="s">
        <v>100</v>
      </c>
    </row>
    <row r="2567">
      <c r="A2567" s="2" t="s">
        <v>7983</v>
      </c>
      <c r="B2567" s="2" t="s">
        <v>7711</v>
      </c>
      <c r="C2567" s="2" t="s">
        <v>2850</v>
      </c>
      <c r="D2567" s="2" t="s">
        <v>7762</v>
      </c>
      <c r="E2567" s="2" t="s">
        <v>7763</v>
      </c>
      <c r="F2567" s="2" t="s">
        <v>5642</v>
      </c>
      <c r="G2567" s="2" t="s">
        <v>100</v>
      </c>
      <c r="H2567" s="2" t="s">
        <v>100</v>
      </c>
      <c r="I2567" s="2" t="s">
        <v>7984</v>
      </c>
      <c r="J2567" s="2" t="s">
        <v>3877</v>
      </c>
      <c r="K2567" s="2" t="s">
        <v>604</v>
      </c>
      <c r="L2567" s="3">
        <v>256.5</v>
      </c>
      <c r="M2567" s="3">
        <v>269.32</v>
      </c>
      <c r="N2567" s="3">
        <v>549</v>
      </c>
      <c r="O2567" s="2" t="s">
        <v>97</v>
      </c>
      <c r="P2567" s="2" t="s">
        <v>119</v>
      </c>
      <c r="Q2567" s="2" t="s">
        <v>99</v>
      </c>
      <c r="R2567" s="2" t="s">
        <v>100</v>
      </c>
      <c r="S2567" s="2" t="s">
        <v>7985</v>
      </c>
      <c r="T2567" s="2" t="s">
        <v>100</v>
      </c>
      <c r="U2567" s="2" t="s">
        <v>100</v>
      </c>
      <c r="V2567" s="2" t="s">
        <v>146</v>
      </c>
      <c r="W2567" s="2" t="s">
        <v>104</v>
      </c>
      <c r="X2567" s="2" t="s">
        <v>100</v>
      </c>
      <c r="Y2567" s="2" t="s">
        <v>240</v>
      </c>
      <c r="Z2567" s="4">
        <v>143</v>
      </c>
      <c r="AA2567" s="4">
        <f>=ROUNDDOWN(15.5434782608696,0)</f>
      </c>
      <c r="AB2567" s="5">
        <v>9.2</v>
      </c>
      <c r="AC2567" s="2" t="s">
        <v>2681</v>
      </c>
      <c r="AD2567" s="4">
        <v>100</v>
      </c>
      <c r="AE2567" s="4">
        <v>100</v>
      </c>
      <c r="AF2567" s="6">
        <v>66</v>
      </c>
      <c r="AG2567" s="6">
        <v>49</v>
      </c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/>
      <c r="BD2567" s="8"/>
      <c r="BE2567" s="4"/>
      <c r="BF2567" s="8"/>
      <c r="BG2567" s="7"/>
      <c r="BH2567" s="7"/>
      <c r="BI2567" s="7"/>
      <c r="BJ2567" s="4">
        <v>181</v>
      </c>
      <c r="BK2567" s="8">
        <v>49517.97</v>
      </c>
      <c r="BL2567" s="2" t="s">
        <v>7986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2528</v>
      </c>
      <c r="BV2567" s="2" t="s">
        <v>97</v>
      </c>
      <c r="BW2567" s="2" t="s">
        <v>100</v>
      </c>
      <c r="BX2567" s="2" t="s">
        <v>100</v>
      </c>
      <c r="BY2567" s="2" t="s">
        <v>113</v>
      </c>
      <c r="BZ2567" s="2" t="s">
        <v>100</v>
      </c>
    </row>
    <row r="2568">
      <c r="A2568" s="2" t="s">
        <v>7987</v>
      </c>
      <c r="B2568" s="2" t="s">
        <v>7711</v>
      </c>
      <c r="C2568" s="2" t="s">
        <v>2850</v>
      </c>
      <c r="D2568" s="2" t="s">
        <v>7762</v>
      </c>
      <c r="E2568" s="2" t="s">
        <v>7763</v>
      </c>
      <c r="F2568" s="2" t="s">
        <v>7988</v>
      </c>
      <c r="G2568" s="2" t="s">
        <v>7988</v>
      </c>
      <c r="H2568" s="2" t="s">
        <v>7988</v>
      </c>
      <c r="I2568" s="2" t="s">
        <v>7989</v>
      </c>
      <c r="J2568" s="2" t="s">
        <v>3877</v>
      </c>
      <c r="K2568" s="2" t="s">
        <v>1148</v>
      </c>
      <c r="L2568" s="3">
        <v>215</v>
      </c>
      <c r="M2568" s="3">
        <v>225.75</v>
      </c>
      <c r="N2568" s="3">
        <v>449</v>
      </c>
      <c r="O2568" s="2" t="s">
        <v>97</v>
      </c>
      <c r="P2568" s="2" t="s">
        <v>119</v>
      </c>
      <c r="Q2568" s="2" t="s">
        <v>99</v>
      </c>
      <c r="R2568" s="2" t="s">
        <v>100</v>
      </c>
      <c r="S2568" s="2" t="s">
        <v>100</v>
      </c>
      <c r="T2568" s="2" t="s">
        <v>100</v>
      </c>
      <c r="U2568" s="2" t="s">
        <v>514</v>
      </c>
      <c r="V2568" s="2" t="s">
        <v>3188</v>
      </c>
      <c r="W2568" s="2" t="s">
        <v>183</v>
      </c>
      <c r="X2568" s="2" t="s">
        <v>561</v>
      </c>
      <c r="Y2568" s="2" t="s">
        <v>6770</v>
      </c>
      <c r="Z2568" s="4">
        <v>130</v>
      </c>
      <c r="AA2568" s="4">
        <f>=ROUNDDOWN(22.0338983050847,0)</f>
      </c>
      <c r="AB2568" s="5">
        <v>5.9</v>
      </c>
      <c r="AC2568" s="2" t="s">
        <v>7990</v>
      </c>
      <c r="AD2568" s="4">
        <v>100</v>
      </c>
      <c r="AE2568" s="4">
        <v>100</v>
      </c>
      <c r="AF2568" s="6">
        <v>74</v>
      </c>
      <c r="AG2568" s="6"/>
      <c r="AH2568" s="7">
        <v>0.8503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/>
      <c r="BD2568" s="8"/>
      <c r="BE2568" s="4"/>
      <c r="BF2568" s="8"/>
      <c r="BG2568" s="7"/>
      <c r="BH2568" s="7"/>
      <c r="BI2568" s="7"/>
      <c r="BJ2568" s="4">
        <v>109</v>
      </c>
      <c r="BK2568" s="8">
        <v>24884.22</v>
      </c>
      <c r="BL2568" s="2" t="s">
        <v>7991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2528</v>
      </c>
      <c r="BV2568" s="2" t="s">
        <v>97</v>
      </c>
      <c r="BW2568" s="2" t="s">
        <v>100</v>
      </c>
      <c r="BX2568" s="2" t="s">
        <v>100</v>
      </c>
      <c r="BY2568" s="2" t="s">
        <v>113</v>
      </c>
      <c r="BZ2568" s="2" t="s">
        <v>100</v>
      </c>
    </row>
    <row r="2569">
      <c r="A2569" s="2" t="s">
        <v>7992</v>
      </c>
      <c r="B2569" s="2" t="s">
        <v>7711</v>
      </c>
      <c r="C2569" s="2" t="s">
        <v>2850</v>
      </c>
      <c r="D2569" s="2" t="s">
        <v>7762</v>
      </c>
      <c r="E2569" s="2" t="s">
        <v>7763</v>
      </c>
      <c r="F2569" s="2" t="s">
        <v>7834</v>
      </c>
      <c r="G2569" s="2" t="s">
        <v>7834</v>
      </c>
      <c r="H2569" s="2" t="s">
        <v>7834</v>
      </c>
      <c r="I2569" s="2" t="s">
        <v>7993</v>
      </c>
      <c r="J2569" s="2" t="s">
        <v>3877</v>
      </c>
      <c r="K2569" s="2" t="s">
        <v>913</v>
      </c>
      <c r="L2569" s="3">
        <v>203</v>
      </c>
      <c r="M2569" s="3">
        <v>213.15</v>
      </c>
      <c r="N2569" s="3">
        <v>429</v>
      </c>
      <c r="O2569" s="2" t="s">
        <v>97</v>
      </c>
      <c r="P2569" s="2" t="s">
        <v>119</v>
      </c>
      <c r="Q2569" s="2" t="s">
        <v>99</v>
      </c>
      <c r="R2569" s="2" t="s">
        <v>100</v>
      </c>
      <c r="S2569" s="2" t="s">
        <v>100</v>
      </c>
      <c r="T2569" s="2" t="s">
        <v>100</v>
      </c>
      <c r="U2569" s="2" t="s">
        <v>514</v>
      </c>
      <c r="V2569" s="2" t="s">
        <v>3188</v>
      </c>
      <c r="W2569" s="2" t="s">
        <v>183</v>
      </c>
      <c r="X2569" s="2" t="s">
        <v>561</v>
      </c>
      <c r="Y2569" s="2" t="s">
        <v>7994</v>
      </c>
      <c r="Z2569" s="4">
        <v>106</v>
      </c>
      <c r="AA2569" s="4">
        <f>=ROUNDDOWN(10.6,0)</f>
      </c>
      <c r="AB2569" s="5">
        <v>10</v>
      </c>
      <c r="AC2569" s="2" t="s">
        <v>7995</v>
      </c>
      <c r="AD2569" s="4">
        <v>100</v>
      </c>
      <c r="AE2569" s="4">
        <v>100</v>
      </c>
      <c r="AF2569" s="6">
        <v>74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>
        <v>259</v>
      </c>
      <c r="BK2569" s="8">
        <v>46583.2</v>
      </c>
      <c r="BL2569" s="2" t="s">
        <v>7996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2528</v>
      </c>
      <c r="BV2569" s="2" t="s">
        <v>97</v>
      </c>
      <c r="BW2569" s="2" t="s">
        <v>100</v>
      </c>
      <c r="BX2569" s="2" t="s">
        <v>100</v>
      </c>
      <c r="BY2569" s="2" t="s">
        <v>113</v>
      </c>
      <c r="BZ2569" s="2" t="s">
        <v>100</v>
      </c>
    </row>
    <row r="2570">
      <c r="A2570" s="2" t="s">
        <v>7997</v>
      </c>
      <c r="B2570" s="2" t="s">
        <v>7711</v>
      </c>
      <c r="C2570" s="2" t="s">
        <v>2850</v>
      </c>
      <c r="D2570" s="2" t="s">
        <v>7762</v>
      </c>
      <c r="E2570" s="2" t="s">
        <v>7763</v>
      </c>
      <c r="F2570" s="2" t="s">
        <v>7834</v>
      </c>
      <c r="G2570" s="2" t="s">
        <v>7834</v>
      </c>
      <c r="H2570" s="2" t="s">
        <v>7834</v>
      </c>
      <c r="I2570" s="2" t="s">
        <v>7993</v>
      </c>
      <c r="J2570" s="2" t="s">
        <v>3877</v>
      </c>
      <c r="K2570" s="2" t="s">
        <v>7835</v>
      </c>
      <c r="L2570" s="3">
        <v>203</v>
      </c>
      <c r="M2570" s="3">
        <v>213.15</v>
      </c>
      <c r="N2570" s="3">
        <v>429</v>
      </c>
      <c r="O2570" s="2" t="s">
        <v>97</v>
      </c>
      <c r="P2570" s="2" t="s">
        <v>372</v>
      </c>
      <c r="Q2570" s="2" t="s">
        <v>99</v>
      </c>
      <c r="R2570" s="2" t="s">
        <v>100</v>
      </c>
      <c r="S2570" s="2" t="s">
        <v>100</v>
      </c>
      <c r="T2570" s="2" t="s">
        <v>100</v>
      </c>
      <c r="U2570" s="2" t="s">
        <v>514</v>
      </c>
      <c r="V2570" s="2" t="s">
        <v>146</v>
      </c>
      <c r="W2570" s="2" t="s">
        <v>183</v>
      </c>
      <c r="X2570" s="2" t="s">
        <v>100</v>
      </c>
      <c r="Y2570" s="2" t="s">
        <v>5421</v>
      </c>
      <c r="Z2570" s="4">
        <v>354</v>
      </c>
      <c r="AA2570" s="4">
        <f>=ROUNDDOWN(19.2391304347826,0)</f>
      </c>
      <c r="AB2570" s="5">
        <v>18.4</v>
      </c>
      <c r="AC2570" s="2" t="s">
        <v>1292</v>
      </c>
      <c r="AD2570" s="4">
        <v>124</v>
      </c>
      <c r="AE2570" s="4">
        <v>410</v>
      </c>
      <c r="AF2570" s="6">
        <v>74</v>
      </c>
      <c r="AG2570" s="6">
        <v>60</v>
      </c>
      <c r="AH2570" s="7">
        <v>1</v>
      </c>
      <c r="AI2570" s="4"/>
      <c r="AJ2570" s="4">
        <f>=ROUNDDOWN({0},0)</f>
      </c>
      <c r="AK2570" s="5">
        <v>62.4</v>
      </c>
      <c r="AL2570" s="2" t="s">
        <v>5523</v>
      </c>
      <c r="AM2570" s="4">
        <v>210</v>
      </c>
      <c r="AN2570" s="4">
        <v>350</v>
      </c>
      <c r="AO2570" s="7">
        <v>0.246</v>
      </c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>
        <v>742</v>
      </c>
      <c r="BK2570" s="8">
        <v>137335.92</v>
      </c>
      <c r="BL2570" s="2" t="s">
        <v>7998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2528</v>
      </c>
      <c r="BV2570" s="2" t="s">
        <v>97</v>
      </c>
      <c r="BW2570" s="2" t="s">
        <v>100</v>
      </c>
      <c r="BX2570" s="2" t="s">
        <v>100</v>
      </c>
      <c r="BY2570" s="2" t="s">
        <v>113</v>
      </c>
      <c r="BZ2570" s="2" t="s">
        <v>100</v>
      </c>
    </row>
    <row r="2571">
      <c r="A2571" s="2" t="s">
        <v>7999</v>
      </c>
      <c r="B2571" s="2" t="s">
        <v>7711</v>
      </c>
      <c r="C2571" s="2" t="s">
        <v>2850</v>
      </c>
      <c r="D2571" s="2" t="s">
        <v>7762</v>
      </c>
      <c r="E2571" s="2" t="s">
        <v>7763</v>
      </c>
      <c r="F2571" s="2" t="s">
        <v>7929</v>
      </c>
      <c r="G2571" s="2" t="s">
        <v>100</v>
      </c>
      <c r="H2571" s="2" t="s">
        <v>100</v>
      </c>
      <c r="I2571" s="2" t="s">
        <v>7763</v>
      </c>
      <c r="J2571" s="2" t="s">
        <v>3877</v>
      </c>
      <c r="K2571" s="2" t="s">
        <v>5943</v>
      </c>
      <c r="L2571" s="3">
        <v>121.6</v>
      </c>
      <c r="M2571" s="3">
        <v>127.68</v>
      </c>
      <c r="N2571" s="3">
        <v>259</v>
      </c>
      <c r="O2571" s="2" t="s">
        <v>97</v>
      </c>
      <c r="P2571" s="2" t="s">
        <v>119</v>
      </c>
      <c r="Q2571" s="2" t="s">
        <v>99</v>
      </c>
      <c r="R2571" s="2" t="s">
        <v>100</v>
      </c>
      <c r="S2571" s="2" t="s">
        <v>8000</v>
      </c>
      <c r="T2571" s="2" t="s">
        <v>100</v>
      </c>
      <c r="U2571" s="2" t="s">
        <v>100</v>
      </c>
      <c r="V2571" s="2" t="s">
        <v>146</v>
      </c>
      <c r="W2571" s="2" t="s">
        <v>3886</v>
      </c>
      <c r="X2571" s="2" t="s">
        <v>100</v>
      </c>
      <c r="Y2571" s="2" t="s">
        <v>240</v>
      </c>
      <c r="Z2571" s="4">
        <v>270</v>
      </c>
      <c r="AA2571" s="4">
        <f>=ROUNDDOWN(41.5384615384615,0)</f>
      </c>
      <c r="AB2571" s="5">
        <v>6.5</v>
      </c>
      <c r="AC2571" s="2" t="s">
        <v>4745</v>
      </c>
      <c r="AD2571" s="4">
        <v>150</v>
      </c>
      <c r="AE2571" s="4">
        <v>150</v>
      </c>
      <c r="AF2571" s="6">
        <v>74</v>
      </c>
      <c r="AG2571" s="6">
        <v>60</v>
      </c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0.1444</v>
      </c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/>
      <c r="BD2571" s="8"/>
      <c r="BE2571" s="4"/>
      <c r="BF2571" s="8"/>
      <c r="BG2571" s="7"/>
      <c r="BH2571" s="7"/>
      <c r="BI2571" s="7"/>
      <c r="BJ2571" s="4">
        <v>241</v>
      </c>
      <c r="BK2571" s="8">
        <v>29992.11</v>
      </c>
      <c r="BL2571" s="2" t="s">
        <v>8001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2528</v>
      </c>
      <c r="BV2571" s="2" t="s">
        <v>97</v>
      </c>
      <c r="BW2571" s="2" t="s">
        <v>100</v>
      </c>
      <c r="BX2571" s="2" t="s">
        <v>100</v>
      </c>
      <c r="BY2571" s="2" t="s">
        <v>113</v>
      </c>
      <c r="BZ2571" s="2" t="s">
        <v>100</v>
      </c>
    </row>
    <row r="2572">
      <c r="A2572" s="2" t="s">
        <v>8002</v>
      </c>
      <c r="B2572" s="2" t="s">
        <v>7711</v>
      </c>
      <c r="C2572" s="2" t="s">
        <v>2850</v>
      </c>
      <c r="D2572" s="2" t="s">
        <v>7762</v>
      </c>
      <c r="E2572" s="2" t="s">
        <v>7763</v>
      </c>
      <c r="F2572" s="2" t="s">
        <v>8003</v>
      </c>
      <c r="G2572" s="2" t="s">
        <v>8003</v>
      </c>
      <c r="H2572" s="2" t="s">
        <v>8003</v>
      </c>
      <c r="I2572" s="2" t="s">
        <v>8004</v>
      </c>
      <c r="J2572" s="2" t="s">
        <v>3877</v>
      </c>
      <c r="K2572" s="2" t="s">
        <v>604</v>
      </c>
      <c r="L2572" s="3">
        <v>209</v>
      </c>
      <c r="M2572" s="3">
        <v>219.45</v>
      </c>
      <c r="N2572" s="3">
        <v>459</v>
      </c>
      <c r="O2572" s="2" t="s">
        <v>97</v>
      </c>
      <c r="P2572" s="2" t="s">
        <v>372</v>
      </c>
      <c r="Q2572" s="2" t="s">
        <v>99</v>
      </c>
      <c r="R2572" s="2" t="s">
        <v>100</v>
      </c>
      <c r="S2572" s="2" t="s">
        <v>100</v>
      </c>
      <c r="T2572" s="2" t="s">
        <v>100</v>
      </c>
      <c r="U2572" s="2" t="s">
        <v>514</v>
      </c>
      <c r="V2572" s="2" t="s">
        <v>146</v>
      </c>
      <c r="W2572" s="2" t="s">
        <v>183</v>
      </c>
      <c r="X2572" s="2" t="s">
        <v>100</v>
      </c>
      <c r="Y2572" s="2" t="s">
        <v>8005</v>
      </c>
      <c r="Z2572" s="4">
        <v>1343</v>
      </c>
      <c r="AA2572" s="4">
        <f>=ROUNDDOWN(37.3055555555556,0)</f>
      </c>
      <c r="AB2572" s="5">
        <v>36</v>
      </c>
      <c r="AC2572" s="2" t="s">
        <v>100</v>
      </c>
      <c r="AD2572" s="4"/>
      <c r="AE2572" s="4"/>
      <c r="AF2572" s="6">
        <v>74</v>
      </c>
      <c r="AG2572" s="6">
        <v>60</v>
      </c>
      <c r="AH2572" s="7">
        <v>0.738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>
        <v>718</v>
      </c>
      <c r="BK2572" s="8">
        <v>157484.51</v>
      </c>
      <c r="BL2572" s="2" t="s">
        <v>8006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2528</v>
      </c>
      <c r="BV2572" s="2" t="s">
        <v>97</v>
      </c>
      <c r="BW2572" s="2" t="s">
        <v>100</v>
      </c>
      <c r="BX2572" s="2" t="s">
        <v>100</v>
      </c>
      <c r="BY2572" s="2" t="s">
        <v>113</v>
      </c>
      <c r="BZ2572" s="2" t="s">
        <v>100</v>
      </c>
    </row>
    <row r="2573">
      <c r="A2573" s="2" t="s">
        <v>8007</v>
      </c>
      <c r="B2573" s="2" t="s">
        <v>7711</v>
      </c>
      <c r="C2573" s="2" t="s">
        <v>2850</v>
      </c>
      <c r="D2573" s="2" t="s">
        <v>7762</v>
      </c>
      <c r="E2573" s="2" t="s">
        <v>7763</v>
      </c>
      <c r="F2573" s="2" t="s">
        <v>8003</v>
      </c>
      <c r="G2573" s="2" t="s">
        <v>8003</v>
      </c>
      <c r="H2573" s="2" t="s">
        <v>8003</v>
      </c>
      <c r="I2573" s="2" t="s">
        <v>8004</v>
      </c>
      <c r="J2573" s="2" t="s">
        <v>3877</v>
      </c>
      <c r="K2573" s="2" t="s">
        <v>360</v>
      </c>
      <c r="L2573" s="3">
        <v>209</v>
      </c>
      <c r="M2573" s="3">
        <v>219.45</v>
      </c>
      <c r="N2573" s="3">
        <v>459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100</v>
      </c>
      <c r="T2573" s="2" t="s">
        <v>100</v>
      </c>
      <c r="U2573" s="2" t="s">
        <v>514</v>
      </c>
      <c r="V2573" s="2" t="s">
        <v>146</v>
      </c>
      <c r="W2573" s="2" t="s">
        <v>183</v>
      </c>
      <c r="X2573" s="2" t="s">
        <v>100</v>
      </c>
      <c r="Y2573" s="2" t="s">
        <v>7240</v>
      </c>
      <c r="Z2573" s="4">
        <v>623</v>
      </c>
      <c r="AA2573" s="4">
        <f>=ROUNDDOWN(51.9166666666667,0)</f>
      </c>
      <c r="AB2573" s="5">
        <v>12</v>
      </c>
      <c r="AC2573" s="2" t="s">
        <v>320</v>
      </c>
      <c r="AD2573" s="4">
        <v>78</v>
      </c>
      <c r="AE2573" s="4">
        <v>78</v>
      </c>
      <c r="AF2573" s="6">
        <v>74</v>
      </c>
      <c r="AG2573" s="6">
        <v>60</v>
      </c>
      <c r="AH2573" s="7">
        <v>0.893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291</v>
      </c>
      <c r="BK2573" s="8">
        <v>62969.11</v>
      </c>
      <c r="BL2573" s="2" t="s">
        <v>8008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2528</v>
      </c>
      <c r="BV2573" s="2" t="s">
        <v>97</v>
      </c>
      <c r="BW2573" s="2" t="s">
        <v>100</v>
      </c>
      <c r="BX2573" s="2" t="s">
        <v>100</v>
      </c>
      <c r="BY2573" s="2" t="s">
        <v>113</v>
      </c>
      <c r="BZ2573" s="2" t="s">
        <v>100</v>
      </c>
    </row>
    <row r="2574">
      <c r="A2574" s="2" t="s">
        <v>8009</v>
      </c>
      <c r="B2574" s="2" t="s">
        <v>7711</v>
      </c>
      <c r="C2574" s="2" t="s">
        <v>2850</v>
      </c>
      <c r="D2574" s="2" t="s">
        <v>7762</v>
      </c>
      <c r="E2574" s="2" t="s">
        <v>7763</v>
      </c>
      <c r="F2574" s="2" t="s">
        <v>8003</v>
      </c>
      <c r="G2574" s="2" t="s">
        <v>8003</v>
      </c>
      <c r="H2574" s="2" t="s">
        <v>8003</v>
      </c>
      <c r="I2574" s="2" t="s">
        <v>8004</v>
      </c>
      <c r="J2574" s="2" t="s">
        <v>3877</v>
      </c>
      <c r="K2574" s="2" t="s">
        <v>8010</v>
      </c>
      <c r="L2574" s="3">
        <v>209</v>
      </c>
      <c r="M2574" s="3">
        <v>219.45</v>
      </c>
      <c r="N2574" s="3">
        <v>459</v>
      </c>
      <c r="O2574" s="2" t="s">
        <v>97</v>
      </c>
      <c r="P2574" s="2" t="s">
        <v>119</v>
      </c>
      <c r="Q2574" s="2" t="s">
        <v>99</v>
      </c>
      <c r="R2574" s="2" t="s">
        <v>100</v>
      </c>
      <c r="S2574" s="2" t="s">
        <v>8011</v>
      </c>
      <c r="T2574" s="2" t="s">
        <v>100</v>
      </c>
      <c r="U2574" s="2" t="s">
        <v>514</v>
      </c>
      <c r="V2574" s="2" t="s">
        <v>146</v>
      </c>
      <c r="W2574" s="2" t="s">
        <v>183</v>
      </c>
      <c r="X2574" s="2" t="s">
        <v>100</v>
      </c>
      <c r="Y2574" s="2" t="s">
        <v>111</v>
      </c>
      <c r="Z2574" s="4">
        <v>124</v>
      </c>
      <c r="AA2574" s="4">
        <f>=ROUNDDOWN(13.7777777777778,0)</f>
      </c>
      <c r="AB2574" s="5">
        <v>9</v>
      </c>
      <c r="AC2574" s="2" t="s">
        <v>1035</v>
      </c>
      <c r="AD2574" s="4">
        <v>68</v>
      </c>
      <c r="AE2574" s="4">
        <v>250</v>
      </c>
      <c r="AF2574" s="6">
        <v>74</v>
      </c>
      <c r="AG2574" s="6">
        <v>60</v>
      </c>
      <c r="AH2574" s="7">
        <v>0.8824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256</v>
      </c>
      <c r="BK2574" s="8">
        <v>53994.77</v>
      </c>
      <c r="BL2574" s="2" t="s">
        <v>8012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2528</v>
      </c>
      <c r="BV2574" s="2" t="s">
        <v>97</v>
      </c>
      <c r="BW2574" s="2" t="s">
        <v>100</v>
      </c>
      <c r="BX2574" s="2" t="s">
        <v>100</v>
      </c>
      <c r="BY2574" s="2" t="s">
        <v>113</v>
      </c>
      <c r="BZ2574" s="2" t="s">
        <v>100</v>
      </c>
    </row>
    <row r="2575">
      <c r="A2575" s="2" t="s">
        <v>8013</v>
      </c>
      <c r="B2575" s="2" t="s">
        <v>7711</v>
      </c>
      <c r="C2575" s="2" t="s">
        <v>2850</v>
      </c>
      <c r="D2575" s="2" t="s">
        <v>7762</v>
      </c>
      <c r="E2575" s="2" t="s">
        <v>7763</v>
      </c>
      <c r="F2575" s="2" t="s">
        <v>8014</v>
      </c>
      <c r="G2575" s="2" t="s">
        <v>8014</v>
      </c>
      <c r="H2575" s="2" t="s">
        <v>8014</v>
      </c>
      <c r="I2575" s="2" t="s">
        <v>8015</v>
      </c>
      <c r="J2575" s="2" t="s">
        <v>3877</v>
      </c>
      <c r="K2575" s="2" t="s">
        <v>4199</v>
      </c>
      <c r="L2575" s="3">
        <v>162</v>
      </c>
      <c r="M2575" s="3">
        <v>170.1</v>
      </c>
      <c r="N2575" s="3">
        <v>349</v>
      </c>
      <c r="O2575" s="2" t="s">
        <v>97</v>
      </c>
      <c r="P2575" s="2" t="s">
        <v>119</v>
      </c>
      <c r="Q2575" s="2" t="s">
        <v>99</v>
      </c>
      <c r="R2575" s="2" t="s">
        <v>100</v>
      </c>
      <c r="S2575" s="2" t="s">
        <v>100</v>
      </c>
      <c r="T2575" s="2" t="s">
        <v>100</v>
      </c>
      <c r="U2575" s="2" t="s">
        <v>100</v>
      </c>
      <c r="V2575" s="2" t="s">
        <v>146</v>
      </c>
      <c r="W2575" s="2" t="s">
        <v>3886</v>
      </c>
      <c r="X2575" s="2" t="s">
        <v>100</v>
      </c>
      <c r="Y2575" s="2" t="s">
        <v>815</v>
      </c>
      <c r="Z2575" s="4">
        <v>324</v>
      </c>
      <c r="AA2575" s="4">
        <f>=ROUNDDOWN(46.2857142857143,0)</f>
      </c>
      <c r="AB2575" s="5">
        <v>7</v>
      </c>
      <c r="AC2575" s="2" t="s">
        <v>100</v>
      </c>
      <c r="AD2575" s="4"/>
      <c r="AE2575" s="4"/>
      <c r="AF2575" s="6">
        <v>74</v>
      </c>
      <c r="AG2575" s="6">
        <v>60</v>
      </c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/>
      <c r="BD2575" s="8"/>
      <c r="BE2575" s="4"/>
      <c r="BF2575" s="8"/>
      <c r="BG2575" s="7"/>
      <c r="BH2575" s="7"/>
      <c r="BI2575" s="7"/>
      <c r="BJ2575" s="4">
        <v>189</v>
      </c>
      <c r="BK2575" s="8">
        <v>28503.15</v>
      </c>
      <c r="BL2575" s="2" t="s">
        <v>8016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2528</v>
      </c>
      <c r="BV2575" s="2" t="s">
        <v>97</v>
      </c>
      <c r="BW2575" s="2" t="s">
        <v>100</v>
      </c>
      <c r="BX2575" s="2" t="s">
        <v>100</v>
      </c>
      <c r="BY2575" s="2" t="s">
        <v>113</v>
      </c>
      <c r="BZ2575" s="2" t="s">
        <v>100</v>
      </c>
    </row>
    <row r="2576">
      <c r="A2576" s="2" t="s">
        <v>8017</v>
      </c>
      <c r="B2576" s="2" t="s">
        <v>7711</v>
      </c>
      <c r="C2576" s="2" t="s">
        <v>2850</v>
      </c>
      <c r="D2576" s="2" t="s">
        <v>7762</v>
      </c>
      <c r="E2576" s="2" t="s">
        <v>7763</v>
      </c>
      <c r="F2576" s="2" t="s">
        <v>7974</v>
      </c>
      <c r="G2576" s="2" t="s">
        <v>7974</v>
      </c>
      <c r="H2576" s="2" t="s">
        <v>7974</v>
      </c>
      <c r="I2576" s="2" t="s">
        <v>8018</v>
      </c>
      <c r="J2576" s="2" t="s">
        <v>3877</v>
      </c>
      <c r="K2576" s="2" t="s">
        <v>4199</v>
      </c>
      <c r="L2576" s="3">
        <v>164.59</v>
      </c>
      <c r="M2576" s="3">
        <v>172.82</v>
      </c>
      <c r="N2576" s="3">
        <v>349</v>
      </c>
      <c r="O2576" s="2" t="s">
        <v>97</v>
      </c>
      <c r="P2576" s="2" t="s">
        <v>119</v>
      </c>
      <c r="Q2576" s="2" t="s">
        <v>99</v>
      </c>
      <c r="R2576" s="2" t="s">
        <v>100</v>
      </c>
      <c r="S2576" s="2" t="s">
        <v>100</v>
      </c>
      <c r="T2576" s="2" t="s">
        <v>100</v>
      </c>
      <c r="U2576" s="2" t="s">
        <v>100</v>
      </c>
      <c r="V2576" s="2" t="s">
        <v>146</v>
      </c>
      <c r="W2576" s="2" t="s">
        <v>3886</v>
      </c>
      <c r="X2576" s="2" t="s">
        <v>100</v>
      </c>
      <c r="Y2576" s="2" t="s">
        <v>815</v>
      </c>
      <c r="Z2576" s="4">
        <v>101</v>
      </c>
      <c r="AA2576" s="4">
        <f>=ROUNDDOWN(13.4666666666667,0)</f>
      </c>
      <c r="AB2576" s="5">
        <v>7.5</v>
      </c>
      <c r="AC2576" s="2" t="s">
        <v>356</v>
      </c>
      <c r="AD2576" s="4">
        <v>120</v>
      </c>
      <c r="AE2576" s="4">
        <v>220</v>
      </c>
      <c r="AF2576" s="6">
        <v>74</v>
      </c>
      <c r="AG2576" s="6">
        <v>60</v>
      </c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/>
      <c r="BJ2576" s="4">
        <v>215</v>
      </c>
      <c r="BK2576" s="8">
        <v>30550.89</v>
      </c>
      <c r="BL2576" s="2" t="s">
        <v>8019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2528</v>
      </c>
      <c r="BV2576" s="2" t="s">
        <v>97</v>
      </c>
      <c r="BW2576" s="2" t="s">
        <v>100</v>
      </c>
      <c r="BX2576" s="2" t="s">
        <v>100</v>
      </c>
      <c r="BY2576" s="2" t="s">
        <v>113</v>
      </c>
      <c r="BZ2576" s="2" t="s">
        <v>100</v>
      </c>
    </row>
    <row r="2577">
      <c r="A2577" s="2" t="s">
        <v>8020</v>
      </c>
      <c r="B2577" s="2" t="s">
        <v>7711</v>
      </c>
      <c r="C2577" s="2" t="s">
        <v>2850</v>
      </c>
      <c r="D2577" s="2" t="s">
        <v>7762</v>
      </c>
      <c r="E2577" s="2" t="s">
        <v>7763</v>
      </c>
      <c r="F2577" s="2" t="s">
        <v>7974</v>
      </c>
      <c r="G2577" s="2" t="s">
        <v>7974</v>
      </c>
      <c r="H2577" s="2" t="s">
        <v>7974</v>
      </c>
      <c r="I2577" s="2" t="s">
        <v>8018</v>
      </c>
      <c r="J2577" s="2" t="s">
        <v>3877</v>
      </c>
      <c r="K2577" s="2" t="s">
        <v>4029</v>
      </c>
      <c r="L2577" s="3">
        <v>164.59</v>
      </c>
      <c r="M2577" s="3">
        <v>172.82</v>
      </c>
      <c r="N2577" s="3">
        <v>349</v>
      </c>
      <c r="O2577" s="2" t="s">
        <v>97</v>
      </c>
      <c r="P2577" s="2" t="s">
        <v>119</v>
      </c>
      <c r="Q2577" s="2" t="s">
        <v>99</v>
      </c>
      <c r="R2577" s="2" t="s">
        <v>100</v>
      </c>
      <c r="S2577" s="2" t="s">
        <v>100</v>
      </c>
      <c r="T2577" s="2" t="s">
        <v>100</v>
      </c>
      <c r="U2577" s="2" t="s">
        <v>100</v>
      </c>
      <c r="V2577" s="2" t="s">
        <v>146</v>
      </c>
      <c r="W2577" s="2" t="s">
        <v>3886</v>
      </c>
      <c r="X2577" s="2" t="s">
        <v>561</v>
      </c>
      <c r="Y2577" s="2" t="s">
        <v>8021</v>
      </c>
      <c r="Z2577" s="4">
        <v>80</v>
      </c>
      <c r="AA2577" s="4">
        <f>=ROUNDDOWN(16,0)</f>
      </c>
      <c r="AB2577" s="5">
        <v>5</v>
      </c>
      <c r="AC2577" s="2" t="s">
        <v>7951</v>
      </c>
      <c r="AD2577" s="4">
        <v>100</v>
      </c>
      <c r="AE2577" s="4">
        <v>100</v>
      </c>
      <c r="AF2577" s="6">
        <v>74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/>
      <c r="BJ2577" s="4">
        <v>150</v>
      </c>
      <c r="BK2577" s="8">
        <v>22229.41</v>
      </c>
      <c r="BL2577" s="2" t="s">
        <v>8022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2528</v>
      </c>
      <c r="BV2577" s="2" t="s">
        <v>97</v>
      </c>
      <c r="BW2577" s="2" t="s">
        <v>100</v>
      </c>
      <c r="BX2577" s="2" t="s">
        <v>100</v>
      </c>
      <c r="BY2577" s="2" t="s">
        <v>113</v>
      </c>
      <c r="BZ2577" s="2" t="s">
        <v>100</v>
      </c>
    </row>
    <row r="2578">
      <c r="A2578" s="2" t="s">
        <v>8023</v>
      </c>
      <c r="B2578" s="2" t="s">
        <v>7711</v>
      </c>
      <c r="C2578" s="2" t="s">
        <v>2850</v>
      </c>
      <c r="D2578" s="2" t="s">
        <v>8024</v>
      </c>
      <c r="E2578" s="2" t="s">
        <v>8025</v>
      </c>
      <c r="F2578" s="2" t="s">
        <v>8026</v>
      </c>
      <c r="G2578" s="2" t="s">
        <v>8026</v>
      </c>
      <c r="H2578" s="2" t="s">
        <v>8026</v>
      </c>
      <c r="I2578" s="2" t="s">
        <v>8027</v>
      </c>
      <c r="J2578" s="2" t="s">
        <v>3877</v>
      </c>
      <c r="K2578" s="2" t="s">
        <v>7914</v>
      </c>
      <c r="L2578" s="3">
        <v>262.2</v>
      </c>
      <c r="M2578" s="3">
        <v>275.31</v>
      </c>
      <c r="N2578" s="3">
        <v>549</v>
      </c>
      <c r="O2578" s="2" t="s">
        <v>97</v>
      </c>
      <c r="P2578" s="2" t="s">
        <v>119</v>
      </c>
      <c r="Q2578" s="2" t="s">
        <v>99</v>
      </c>
      <c r="R2578" s="2" t="s">
        <v>100</v>
      </c>
      <c r="S2578" s="2" t="s">
        <v>100</v>
      </c>
      <c r="T2578" s="2" t="s">
        <v>100</v>
      </c>
      <c r="U2578" s="2" t="s">
        <v>1847</v>
      </c>
      <c r="V2578" s="2" t="s">
        <v>3188</v>
      </c>
      <c r="W2578" s="2" t="s">
        <v>561</v>
      </c>
      <c r="X2578" s="2" t="s">
        <v>183</v>
      </c>
      <c r="Y2578" s="2" t="s">
        <v>8028</v>
      </c>
      <c r="Z2578" s="4">
        <v>111</v>
      </c>
      <c r="AA2578" s="4">
        <f>=ROUNDDOWN(21.3461538461538,0)</f>
      </c>
      <c r="AB2578" s="5">
        <v>5.2</v>
      </c>
      <c r="AC2578" s="2" t="s">
        <v>5308</v>
      </c>
      <c r="AD2578" s="4">
        <v>150</v>
      </c>
      <c r="AE2578" s="4">
        <v>150</v>
      </c>
      <c r="AF2578" s="6">
        <v>66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/>
      <c r="BD2578" s="8"/>
      <c r="BE2578" s="4"/>
      <c r="BF2578" s="8"/>
      <c r="BG2578" s="7"/>
      <c r="BH2578" s="7"/>
      <c r="BI2578" s="7"/>
      <c r="BJ2578" s="4">
        <v>98</v>
      </c>
      <c r="BK2578" s="8">
        <v>25684.22</v>
      </c>
      <c r="BL2578" s="2" t="s">
        <v>8029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2528</v>
      </c>
      <c r="BV2578" s="2" t="s">
        <v>97</v>
      </c>
      <c r="BW2578" s="2" t="s">
        <v>100</v>
      </c>
      <c r="BX2578" s="2" t="s">
        <v>100</v>
      </c>
      <c r="BY2578" s="2" t="s">
        <v>113</v>
      </c>
      <c r="BZ2578" s="2" t="s">
        <v>100</v>
      </c>
    </row>
    <row r="2579">
      <c r="A2579" s="2" t="s">
        <v>8030</v>
      </c>
      <c r="B2579" s="2" t="s">
        <v>7711</v>
      </c>
      <c r="C2579" s="2" t="s">
        <v>2850</v>
      </c>
      <c r="D2579" s="2" t="s">
        <v>8024</v>
      </c>
      <c r="E2579" s="2" t="s">
        <v>8025</v>
      </c>
      <c r="F2579" s="2" t="s">
        <v>7929</v>
      </c>
      <c r="G2579" s="2" t="s">
        <v>7929</v>
      </c>
      <c r="H2579" s="2" t="s">
        <v>100</v>
      </c>
      <c r="I2579" s="2" t="s">
        <v>8031</v>
      </c>
      <c r="J2579" s="2" t="s">
        <v>3877</v>
      </c>
      <c r="K2579" s="2" t="s">
        <v>8032</v>
      </c>
      <c r="L2579" s="3">
        <v>380</v>
      </c>
      <c r="M2579" s="3">
        <v>399</v>
      </c>
      <c r="N2579" s="3">
        <v>799</v>
      </c>
      <c r="O2579" s="2" t="s">
        <v>97</v>
      </c>
      <c r="P2579" s="2" t="s">
        <v>119</v>
      </c>
      <c r="Q2579" s="2" t="s">
        <v>99</v>
      </c>
      <c r="R2579" s="2" t="s">
        <v>100</v>
      </c>
      <c r="S2579" s="2" t="s">
        <v>8033</v>
      </c>
      <c r="T2579" s="2" t="s">
        <v>100</v>
      </c>
      <c r="U2579" s="2" t="s">
        <v>100</v>
      </c>
      <c r="V2579" s="2" t="s">
        <v>146</v>
      </c>
      <c r="W2579" s="2" t="s">
        <v>3886</v>
      </c>
      <c r="X2579" s="2" t="s">
        <v>100</v>
      </c>
      <c r="Y2579" s="2" t="s">
        <v>240</v>
      </c>
      <c r="Z2579" s="4">
        <v>151</v>
      </c>
      <c r="AA2579" s="4">
        <f>=ROUNDDOWN(30.2,0)</f>
      </c>
      <c r="AB2579" s="5">
        <v>5</v>
      </c>
      <c r="AC2579" s="2" t="s">
        <v>100</v>
      </c>
      <c r="AD2579" s="4"/>
      <c r="AE2579" s="4"/>
      <c r="AF2579" s="6">
        <v>74</v>
      </c>
      <c r="AG2579" s="6">
        <v>60</v>
      </c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/>
      <c r="BD2579" s="8"/>
      <c r="BE2579" s="4"/>
      <c r="BF2579" s="8"/>
      <c r="BG2579" s="7"/>
      <c r="BH2579" s="7"/>
      <c r="BI2579" s="7"/>
      <c r="BJ2579" s="4">
        <v>147</v>
      </c>
      <c r="BK2579" s="8">
        <v>57187.63</v>
      </c>
      <c r="BL2579" s="2" t="s">
        <v>8034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2528</v>
      </c>
      <c r="BV2579" s="2" t="s">
        <v>97</v>
      </c>
      <c r="BW2579" s="2" t="s">
        <v>100</v>
      </c>
      <c r="BX2579" s="2" t="s">
        <v>100</v>
      </c>
      <c r="BY2579" s="2" t="s">
        <v>113</v>
      </c>
      <c r="BZ2579" s="2" t="s">
        <v>100</v>
      </c>
    </row>
    <row r="2580">
      <c r="A2580" s="2" t="s">
        <v>8035</v>
      </c>
      <c r="B2580" s="2" t="s">
        <v>7711</v>
      </c>
      <c r="C2580" s="2" t="s">
        <v>2850</v>
      </c>
      <c r="D2580" s="2" t="s">
        <v>8024</v>
      </c>
      <c r="E2580" s="2" t="s">
        <v>8025</v>
      </c>
      <c r="F2580" s="2" t="s">
        <v>5453</v>
      </c>
      <c r="G2580" s="2" t="s">
        <v>5453</v>
      </c>
      <c r="H2580" s="2" t="s">
        <v>100</v>
      </c>
      <c r="I2580" s="2" t="s">
        <v>8036</v>
      </c>
      <c r="J2580" s="2" t="s">
        <v>3877</v>
      </c>
      <c r="K2580" s="2" t="s">
        <v>7835</v>
      </c>
      <c r="L2580" s="3">
        <v>120</v>
      </c>
      <c r="M2580" s="3">
        <v>126</v>
      </c>
      <c r="N2580" s="3">
        <v>249</v>
      </c>
      <c r="O2580" s="2" t="s">
        <v>97</v>
      </c>
      <c r="P2580" s="2" t="s">
        <v>119</v>
      </c>
      <c r="Q2580" s="2" t="s">
        <v>99</v>
      </c>
      <c r="R2580" s="2" t="s">
        <v>100</v>
      </c>
      <c r="S2580" s="2" t="s">
        <v>8037</v>
      </c>
      <c r="T2580" s="2" t="s">
        <v>100</v>
      </c>
      <c r="U2580" s="2" t="s">
        <v>100</v>
      </c>
      <c r="V2580" s="2" t="s">
        <v>146</v>
      </c>
      <c r="W2580" s="2" t="s">
        <v>3886</v>
      </c>
      <c r="X2580" s="2" t="s">
        <v>100</v>
      </c>
      <c r="Y2580" s="2" t="s">
        <v>240</v>
      </c>
      <c r="Z2580" s="4">
        <v>127</v>
      </c>
      <c r="AA2580" s="4">
        <f>=ROUNDDOWN(74.7058823529412,0)</f>
      </c>
      <c r="AB2580" s="5">
        <v>1.7</v>
      </c>
      <c r="AC2580" s="2" t="s">
        <v>100</v>
      </c>
      <c r="AD2580" s="4"/>
      <c r="AE2580" s="4"/>
      <c r="AF2580" s="6">
        <v>74</v>
      </c>
      <c r="AG2580" s="6">
        <v>60</v>
      </c>
      <c r="AH2580" s="7">
        <v>1</v>
      </c>
      <c r="AI2580" s="4"/>
      <c r="AJ2580" s="4">
        <f>=ROUNDDOWN({0},0)</f>
      </c>
      <c r="AK2580" s="5">
        <v>16.4</v>
      </c>
      <c r="AL2580" s="2" t="s">
        <v>100</v>
      </c>
      <c r="AM2580" s="4"/>
      <c r="AN2580" s="4"/>
      <c r="AO2580" s="7">
        <v>0.4332</v>
      </c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/>
      <c r="BD2580" s="8"/>
      <c r="BE2580" s="4"/>
      <c r="BF2580" s="8"/>
      <c r="BG2580" s="7"/>
      <c r="BH2580" s="7"/>
      <c r="BI2580" s="7"/>
      <c r="BJ2580" s="4">
        <v>216</v>
      </c>
      <c r="BK2580" s="8">
        <v>21827.36</v>
      </c>
      <c r="BL2580" s="2" t="s">
        <v>8038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2528</v>
      </c>
      <c r="BV2580" s="2" t="s">
        <v>97</v>
      </c>
      <c r="BW2580" s="2" t="s">
        <v>100</v>
      </c>
      <c r="BX2580" s="2" t="s">
        <v>100</v>
      </c>
      <c r="BY2580" s="2" t="s">
        <v>113</v>
      </c>
      <c r="BZ2580" s="2" t="s">
        <v>100</v>
      </c>
    </row>
    <row r="2581">
      <c r="A2581" s="2" t="s">
        <v>8039</v>
      </c>
      <c r="B2581" s="2" t="s">
        <v>7711</v>
      </c>
      <c r="C2581" s="2" t="s">
        <v>2850</v>
      </c>
      <c r="D2581" s="2" t="s">
        <v>8024</v>
      </c>
      <c r="E2581" s="2" t="s">
        <v>8025</v>
      </c>
      <c r="F2581" s="2" t="s">
        <v>7974</v>
      </c>
      <c r="G2581" s="2" t="s">
        <v>7974</v>
      </c>
      <c r="H2581" s="2" t="s">
        <v>7974</v>
      </c>
      <c r="I2581" s="2" t="s">
        <v>8040</v>
      </c>
      <c r="J2581" s="2" t="s">
        <v>3877</v>
      </c>
      <c r="K2581" s="2" t="s">
        <v>858</v>
      </c>
      <c r="L2581" s="3">
        <v>285.2</v>
      </c>
      <c r="M2581" s="3">
        <v>299.46</v>
      </c>
      <c r="N2581" s="3">
        <v>599</v>
      </c>
      <c r="O2581" s="2" t="s">
        <v>97</v>
      </c>
      <c r="P2581" s="2" t="s">
        <v>119</v>
      </c>
      <c r="Q2581" s="2" t="s">
        <v>99</v>
      </c>
      <c r="R2581" s="2" t="s">
        <v>100</v>
      </c>
      <c r="S2581" s="2" t="s">
        <v>100</v>
      </c>
      <c r="T2581" s="2" t="s">
        <v>100</v>
      </c>
      <c r="U2581" s="2" t="s">
        <v>100</v>
      </c>
      <c r="V2581" s="2" t="s">
        <v>146</v>
      </c>
      <c r="W2581" s="2" t="s">
        <v>3886</v>
      </c>
      <c r="X2581" s="2" t="s">
        <v>100</v>
      </c>
      <c r="Y2581" s="2" t="s">
        <v>815</v>
      </c>
      <c r="Z2581" s="4">
        <v>71</v>
      </c>
      <c r="AA2581" s="4">
        <f>=ROUNDDOWN(19.7222222222222,0)</f>
      </c>
      <c r="AB2581" s="5">
        <v>3.6</v>
      </c>
      <c r="AC2581" s="2" t="s">
        <v>271</v>
      </c>
      <c r="AD2581" s="4">
        <v>65</v>
      </c>
      <c r="AE2581" s="4">
        <v>260</v>
      </c>
      <c r="AF2581" s="6">
        <v>74</v>
      </c>
      <c r="AG2581" s="6">
        <v>60</v>
      </c>
      <c r="AH2581" s="7">
        <v>1</v>
      </c>
      <c r="AI2581" s="4"/>
      <c r="AJ2581" s="4">
        <f>=ROUNDDOWN({0},0)</f>
      </c>
      <c r="AK2581" s="5">
        <v>18.3</v>
      </c>
      <c r="AL2581" s="2" t="s">
        <v>100</v>
      </c>
      <c r="AM2581" s="4"/>
      <c r="AN2581" s="4"/>
      <c r="AO2581" s="7">
        <v>0.4332</v>
      </c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/>
      <c r="BD2581" s="8"/>
      <c r="BE2581" s="4"/>
      <c r="BF2581" s="8"/>
      <c r="BG2581" s="7"/>
      <c r="BH2581" s="7"/>
      <c r="BI2581" s="7"/>
      <c r="BJ2581" s="4">
        <v>314</v>
      </c>
      <c r="BK2581" s="8">
        <v>81567.2</v>
      </c>
      <c r="BL2581" s="2" t="s">
        <v>8041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2528</v>
      </c>
      <c r="BV2581" s="2" t="s">
        <v>97</v>
      </c>
      <c r="BW2581" s="2" t="s">
        <v>100</v>
      </c>
      <c r="BX2581" s="2" t="s">
        <v>100</v>
      </c>
      <c r="BY2581" s="2" t="s">
        <v>113</v>
      </c>
      <c r="BZ2581" s="2" t="s">
        <v>100</v>
      </c>
    </row>
    <row r="2582">
      <c r="A2582" s="2" t="s">
        <v>8042</v>
      </c>
      <c r="B2582" s="2" t="s">
        <v>7711</v>
      </c>
      <c r="C2582" s="2" t="s">
        <v>2850</v>
      </c>
      <c r="D2582" s="2" t="s">
        <v>8043</v>
      </c>
      <c r="E2582" s="2" t="s">
        <v>8044</v>
      </c>
      <c r="F2582" s="2" t="s">
        <v>7876</v>
      </c>
      <c r="G2582" s="2" t="s">
        <v>7876</v>
      </c>
      <c r="H2582" s="2" t="s">
        <v>7876</v>
      </c>
      <c r="I2582" s="2" t="s">
        <v>8045</v>
      </c>
      <c r="J2582" s="2" t="s">
        <v>3877</v>
      </c>
      <c r="K2582" s="2" t="s">
        <v>118</v>
      </c>
      <c r="L2582" s="3">
        <v>230.85</v>
      </c>
      <c r="M2582" s="3">
        <v>242.39</v>
      </c>
      <c r="N2582" s="3">
        <v>479</v>
      </c>
      <c r="O2582" s="2" t="s">
        <v>97</v>
      </c>
      <c r="P2582" s="2" t="s">
        <v>119</v>
      </c>
      <c r="Q2582" s="2" t="s">
        <v>99</v>
      </c>
      <c r="R2582" s="2" t="s">
        <v>100</v>
      </c>
      <c r="S2582" s="2" t="s">
        <v>8046</v>
      </c>
      <c r="T2582" s="2" t="s">
        <v>100</v>
      </c>
      <c r="U2582" s="2" t="s">
        <v>100</v>
      </c>
      <c r="V2582" s="2" t="s">
        <v>146</v>
      </c>
      <c r="W2582" s="2" t="s">
        <v>3886</v>
      </c>
      <c r="X2582" s="2" t="s">
        <v>100</v>
      </c>
      <c r="Y2582" s="2" t="s">
        <v>8047</v>
      </c>
      <c r="Z2582" s="4">
        <v>148</v>
      </c>
      <c r="AA2582" s="4">
        <f>=ROUNDDOWN(36.0975609756098,0)</f>
      </c>
      <c r="AB2582" s="5">
        <v>4.1</v>
      </c>
      <c r="AC2582" s="2" t="s">
        <v>320</v>
      </c>
      <c r="AD2582" s="4">
        <v>100</v>
      </c>
      <c r="AE2582" s="4">
        <v>195</v>
      </c>
      <c r="AF2582" s="6">
        <v>66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/>
      <c r="BD2582" s="8"/>
      <c r="BE2582" s="4"/>
      <c r="BF2582" s="8"/>
      <c r="BG2582" s="7"/>
      <c r="BH2582" s="7"/>
      <c r="BI2582" s="7"/>
      <c r="BJ2582" s="4">
        <v>126</v>
      </c>
      <c r="BK2582" s="8">
        <v>27131.83</v>
      </c>
      <c r="BL2582" s="2" t="s">
        <v>8048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2528</v>
      </c>
      <c r="BV2582" s="2" t="s">
        <v>97</v>
      </c>
      <c r="BW2582" s="2" t="s">
        <v>100</v>
      </c>
      <c r="BX2582" s="2" t="s">
        <v>100</v>
      </c>
      <c r="BY2582" s="2" t="s">
        <v>113</v>
      </c>
      <c r="BZ2582" s="2" t="s">
        <v>100</v>
      </c>
    </row>
    <row r="2583">
      <c r="A2583" s="2" t="s">
        <v>8049</v>
      </c>
      <c r="B2583" s="2" t="s">
        <v>7711</v>
      </c>
      <c r="C2583" s="2" t="s">
        <v>2850</v>
      </c>
      <c r="D2583" s="2" t="s">
        <v>8050</v>
      </c>
      <c r="E2583" s="2" t="s">
        <v>8051</v>
      </c>
      <c r="F2583" s="2" t="s">
        <v>8052</v>
      </c>
      <c r="G2583" s="2" t="s">
        <v>8052</v>
      </c>
      <c r="H2583" s="2" t="s">
        <v>8052</v>
      </c>
      <c r="I2583" s="2" t="s">
        <v>8053</v>
      </c>
      <c r="J2583" s="2" t="s">
        <v>3877</v>
      </c>
      <c r="K2583" s="2" t="s">
        <v>3269</v>
      </c>
      <c r="L2583" s="3">
        <v>213.75</v>
      </c>
      <c r="M2583" s="3">
        <v>224.44</v>
      </c>
      <c r="N2583" s="3">
        <v>449</v>
      </c>
      <c r="O2583" s="2" t="s">
        <v>97</v>
      </c>
      <c r="P2583" s="2" t="s">
        <v>119</v>
      </c>
      <c r="Q2583" s="2" t="s">
        <v>99</v>
      </c>
      <c r="R2583" s="2" t="s">
        <v>100</v>
      </c>
      <c r="S2583" s="2" t="s">
        <v>100</v>
      </c>
      <c r="T2583" s="2" t="s">
        <v>100</v>
      </c>
      <c r="U2583" s="2" t="s">
        <v>1847</v>
      </c>
      <c r="V2583" s="2" t="s">
        <v>3188</v>
      </c>
      <c r="W2583" s="2" t="s">
        <v>104</v>
      </c>
      <c r="X2583" s="2" t="s">
        <v>183</v>
      </c>
      <c r="Y2583" s="2" t="s">
        <v>8054</v>
      </c>
      <c r="Z2583" s="4">
        <v>89</v>
      </c>
      <c r="AA2583" s="4">
        <f>=ROUNDDOWN(26.969696969697,0)</f>
      </c>
      <c r="AB2583" s="5">
        <v>3.3</v>
      </c>
      <c r="AC2583" s="2" t="s">
        <v>266</v>
      </c>
      <c r="AD2583" s="4">
        <v>180</v>
      </c>
      <c r="AE2583" s="4">
        <v>180</v>
      </c>
      <c r="AF2583" s="6">
        <v>74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/>
      <c r="BJ2583" s="4">
        <v>89</v>
      </c>
      <c r="BK2583" s="8">
        <v>20662.09</v>
      </c>
      <c r="BL2583" s="2" t="s">
        <v>8055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2528</v>
      </c>
      <c r="BV2583" s="2" t="s">
        <v>97</v>
      </c>
      <c r="BW2583" s="2" t="s">
        <v>100</v>
      </c>
      <c r="BX2583" s="2" t="s">
        <v>100</v>
      </c>
      <c r="BY2583" s="2" t="s">
        <v>113</v>
      </c>
      <c r="BZ2583" s="2" t="s">
        <v>100</v>
      </c>
    </row>
    <row r="2584">
      <c r="A2584" s="2" t="s">
        <v>8056</v>
      </c>
      <c r="B2584" s="2" t="s">
        <v>7711</v>
      </c>
      <c r="C2584" s="2" t="s">
        <v>2850</v>
      </c>
      <c r="D2584" s="2" t="s">
        <v>8050</v>
      </c>
      <c r="E2584" s="2" t="s">
        <v>8051</v>
      </c>
      <c r="F2584" s="2" t="s">
        <v>8052</v>
      </c>
      <c r="G2584" s="2" t="s">
        <v>8052</v>
      </c>
      <c r="H2584" s="2" t="s">
        <v>8052</v>
      </c>
      <c r="I2584" s="2" t="s">
        <v>8053</v>
      </c>
      <c r="J2584" s="2" t="s">
        <v>3877</v>
      </c>
      <c r="K2584" s="2" t="s">
        <v>5943</v>
      </c>
      <c r="L2584" s="3">
        <v>213.75</v>
      </c>
      <c r="M2584" s="3">
        <v>224.44</v>
      </c>
      <c r="N2584" s="3">
        <v>449</v>
      </c>
      <c r="O2584" s="2" t="s">
        <v>97</v>
      </c>
      <c r="P2584" s="2" t="s">
        <v>225</v>
      </c>
      <c r="Q2584" s="2" t="s">
        <v>99</v>
      </c>
      <c r="R2584" s="2" t="s">
        <v>100</v>
      </c>
      <c r="S2584" s="2" t="s">
        <v>100</v>
      </c>
      <c r="T2584" s="2" t="s">
        <v>100</v>
      </c>
      <c r="U2584" s="2" t="s">
        <v>1847</v>
      </c>
      <c r="V2584" s="2" t="s">
        <v>3188</v>
      </c>
      <c r="W2584" s="2" t="s">
        <v>104</v>
      </c>
      <c r="X2584" s="2" t="s">
        <v>183</v>
      </c>
      <c r="Y2584" s="2" t="s">
        <v>2469</v>
      </c>
      <c r="Z2584" s="4">
        <v>91</v>
      </c>
      <c r="AA2584" s="4">
        <f>=ROUNDDOWN(82.7272727272727,0)</f>
      </c>
      <c r="AB2584" s="5">
        <v>1.1</v>
      </c>
      <c r="AC2584" s="2" t="s">
        <v>100</v>
      </c>
      <c r="AD2584" s="4"/>
      <c r="AE2584" s="4"/>
      <c r="AF2584" s="6">
        <v>74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/>
      <c r="BJ2584" s="4">
        <v>29</v>
      </c>
      <c r="BK2584" s="8">
        <v>6478.99</v>
      </c>
      <c r="BL2584" s="2" t="s">
        <v>8057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2528</v>
      </c>
      <c r="BV2584" s="2" t="s">
        <v>97</v>
      </c>
      <c r="BW2584" s="2" t="s">
        <v>100</v>
      </c>
      <c r="BX2584" s="2" t="s">
        <v>100</v>
      </c>
      <c r="BY2584" s="2" t="s">
        <v>113</v>
      </c>
      <c r="BZ2584" s="2" t="s">
        <v>100</v>
      </c>
    </row>
    <row r="2585">
      <c r="A2585" s="2" t="s">
        <v>8058</v>
      </c>
      <c r="B2585" s="2" t="s">
        <v>7711</v>
      </c>
      <c r="C2585" s="2" t="s">
        <v>2850</v>
      </c>
      <c r="D2585" s="2" t="s">
        <v>8050</v>
      </c>
      <c r="E2585" s="2" t="s">
        <v>8051</v>
      </c>
      <c r="F2585" s="2" t="s">
        <v>8052</v>
      </c>
      <c r="G2585" s="2" t="s">
        <v>8052</v>
      </c>
      <c r="H2585" s="2" t="s">
        <v>8052</v>
      </c>
      <c r="I2585" s="2" t="s">
        <v>8053</v>
      </c>
      <c r="J2585" s="2" t="s">
        <v>3877</v>
      </c>
      <c r="K2585" s="2" t="s">
        <v>604</v>
      </c>
      <c r="L2585" s="3">
        <v>213.75</v>
      </c>
      <c r="M2585" s="3">
        <v>224.44</v>
      </c>
      <c r="N2585" s="3">
        <v>449</v>
      </c>
      <c r="O2585" s="2" t="s">
        <v>97</v>
      </c>
      <c r="P2585" s="2" t="s">
        <v>225</v>
      </c>
      <c r="Q2585" s="2" t="s">
        <v>99</v>
      </c>
      <c r="R2585" s="2" t="s">
        <v>100</v>
      </c>
      <c r="S2585" s="2" t="s">
        <v>100</v>
      </c>
      <c r="T2585" s="2" t="s">
        <v>100</v>
      </c>
      <c r="U2585" s="2" t="s">
        <v>1847</v>
      </c>
      <c r="V2585" s="2" t="s">
        <v>3188</v>
      </c>
      <c r="W2585" s="2" t="s">
        <v>104</v>
      </c>
      <c r="X2585" s="2" t="s">
        <v>183</v>
      </c>
      <c r="Y2585" s="2" t="s">
        <v>3509</v>
      </c>
      <c r="Z2585" s="4">
        <v>44</v>
      </c>
      <c r="AA2585" s="4">
        <f>=ROUNDDOWN(22,0)</f>
      </c>
      <c r="AB2585" s="5">
        <v>2</v>
      </c>
      <c r="AC2585" s="2" t="s">
        <v>934</v>
      </c>
      <c r="AD2585" s="4">
        <v>100</v>
      </c>
      <c r="AE2585" s="4">
        <v>100</v>
      </c>
      <c r="AF2585" s="6">
        <v>74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/>
      <c r="BJ2585" s="4">
        <v>72</v>
      </c>
      <c r="BK2585" s="8">
        <v>16967.37</v>
      </c>
      <c r="BL2585" s="2" t="s">
        <v>8059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2528</v>
      </c>
      <c r="BV2585" s="2" t="s">
        <v>97</v>
      </c>
      <c r="BW2585" s="2" t="s">
        <v>100</v>
      </c>
      <c r="BX2585" s="2" t="s">
        <v>100</v>
      </c>
      <c r="BY2585" s="2" t="s">
        <v>113</v>
      </c>
      <c r="BZ2585" s="2" t="s">
        <v>100</v>
      </c>
    </row>
    <row r="2586">
      <c r="A2586" s="2" t="s">
        <v>8060</v>
      </c>
      <c r="B2586" s="2" t="s">
        <v>7711</v>
      </c>
      <c r="C2586" s="2" t="s">
        <v>2850</v>
      </c>
      <c r="D2586" s="2" t="s">
        <v>8050</v>
      </c>
      <c r="E2586" s="2" t="s">
        <v>8051</v>
      </c>
      <c r="F2586" s="2" t="s">
        <v>8061</v>
      </c>
      <c r="G2586" s="2" t="s">
        <v>8061</v>
      </c>
      <c r="H2586" s="2" t="s">
        <v>8061</v>
      </c>
      <c r="I2586" s="2" t="s">
        <v>8062</v>
      </c>
      <c r="J2586" s="2" t="s">
        <v>3877</v>
      </c>
      <c r="K2586" s="2" t="s">
        <v>604</v>
      </c>
      <c r="L2586" s="3">
        <v>239</v>
      </c>
      <c r="M2586" s="3">
        <v>250.95</v>
      </c>
      <c r="N2586" s="3">
        <v>499</v>
      </c>
      <c r="O2586" s="2" t="s">
        <v>97</v>
      </c>
      <c r="P2586" s="2" t="s">
        <v>225</v>
      </c>
      <c r="Q2586" s="2" t="s">
        <v>99</v>
      </c>
      <c r="R2586" s="2" t="s">
        <v>100</v>
      </c>
      <c r="S2586" s="2" t="s">
        <v>100</v>
      </c>
      <c r="T2586" s="2" t="s">
        <v>100</v>
      </c>
      <c r="U2586" s="2" t="s">
        <v>1847</v>
      </c>
      <c r="V2586" s="2" t="s">
        <v>146</v>
      </c>
      <c r="W2586" s="2" t="s">
        <v>561</v>
      </c>
      <c r="X2586" s="2" t="s">
        <v>183</v>
      </c>
      <c r="Y2586" s="2" t="s">
        <v>552</v>
      </c>
      <c r="Z2586" s="4">
        <v>62</v>
      </c>
      <c r="AA2586" s="4">
        <f>=ROUNDDOWN(62,0)</f>
      </c>
      <c r="AB2586" s="5">
        <v>1</v>
      </c>
      <c r="AC2586" s="2" t="s">
        <v>100</v>
      </c>
      <c r="AD2586" s="4"/>
      <c r="AE2586" s="4"/>
      <c r="AF2586" s="6">
        <v>74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/>
      <c r="BJ2586" s="4">
        <v>4</v>
      </c>
      <c r="BK2586" s="8">
        <v>1003.8</v>
      </c>
      <c r="BL2586" s="2" t="s">
        <v>8063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2528</v>
      </c>
      <c r="BV2586" s="2" t="s">
        <v>97</v>
      </c>
      <c r="BW2586" s="2" t="s">
        <v>100</v>
      </c>
      <c r="BX2586" s="2" t="s">
        <v>100</v>
      </c>
      <c r="BY2586" s="2" t="s">
        <v>113</v>
      </c>
      <c r="BZ2586" s="2" t="s">
        <v>100</v>
      </c>
    </row>
    <row r="2587">
      <c r="A2587" s="2" t="s">
        <v>8064</v>
      </c>
      <c r="B2587" s="2" t="s">
        <v>7711</v>
      </c>
      <c r="C2587" s="2" t="s">
        <v>2850</v>
      </c>
      <c r="D2587" s="2" t="s">
        <v>8050</v>
      </c>
      <c r="E2587" s="2" t="s">
        <v>8051</v>
      </c>
      <c r="F2587" s="2" t="s">
        <v>8061</v>
      </c>
      <c r="G2587" s="2" t="s">
        <v>8061</v>
      </c>
      <c r="H2587" s="2" t="s">
        <v>8061</v>
      </c>
      <c r="I2587" s="2" t="s">
        <v>8062</v>
      </c>
      <c r="J2587" s="2" t="s">
        <v>3877</v>
      </c>
      <c r="K2587" s="2" t="s">
        <v>278</v>
      </c>
      <c r="L2587" s="3">
        <v>239</v>
      </c>
      <c r="M2587" s="3">
        <v>250.95</v>
      </c>
      <c r="N2587" s="3">
        <v>499</v>
      </c>
      <c r="O2587" s="2" t="s">
        <v>97</v>
      </c>
      <c r="P2587" s="2" t="s">
        <v>225</v>
      </c>
      <c r="Q2587" s="2" t="s">
        <v>99</v>
      </c>
      <c r="R2587" s="2" t="s">
        <v>100</v>
      </c>
      <c r="S2587" s="2" t="s">
        <v>100</v>
      </c>
      <c r="T2587" s="2" t="s">
        <v>100</v>
      </c>
      <c r="U2587" s="2" t="s">
        <v>1847</v>
      </c>
      <c r="V2587" s="2" t="s">
        <v>146</v>
      </c>
      <c r="W2587" s="2" t="s">
        <v>561</v>
      </c>
      <c r="X2587" s="2" t="s">
        <v>183</v>
      </c>
      <c r="Y2587" s="2" t="s">
        <v>552</v>
      </c>
      <c r="Z2587" s="4">
        <v>52</v>
      </c>
      <c r="AA2587" s="4">
        <f>=ROUNDDOWN(17.3333333333333,0)</f>
      </c>
      <c r="AB2587" s="5">
        <v>3</v>
      </c>
      <c r="AC2587" s="2" t="s">
        <v>100</v>
      </c>
      <c r="AD2587" s="4"/>
      <c r="AE2587" s="4"/>
      <c r="AF2587" s="6">
        <v>74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/>
      <c r="BJ2587" s="4">
        <v>14</v>
      </c>
      <c r="BK2587" s="8">
        <v>3488.2</v>
      </c>
      <c r="BL2587" s="2" t="s">
        <v>8063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2528</v>
      </c>
      <c r="BV2587" s="2" t="s">
        <v>97</v>
      </c>
      <c r="BW2587" s="2" t="s">
        <v>100</v>
      </c>
      <c r="BX2587" s="2" t="s">
        <v>100</v>
      </c>
      <c r="BY2587" s="2" t="s">
        <v>113</v>
      </c>
      <c r="BZ2587" s="2" t="s">
        <v>100</v>
      </c>
    </row>
    <row r="2588">
      <c r="A2588" s="2" t="s">
        <v>8065</v>
      </c>
      <c r="B2588" s="2" t="s">
        <v>7711</v>
      </c>
      <c r="C2588" s="2" t="s">
        <v>2850</v>
      </c>
      <c r="D2588" s="2" t="s">
        <v>8066</v>
      </c>
      <c r="E2588" s="2" t="s">
        <v>8067</v>
      </c>
      <c r="F2588" s="2" t="s">
        <v>8068</v>
      </c>
      <c r="G2588" s="2" t="s">
        <v>8068</v>
      </c>
      <c r="H2588" s="2" t="s">
        <v>8068</v>
      </c>
      <c r="I2588" s="2" t="s">
        <v>8069</v>
      </c>
      <c r="J2588" s="2" t="s">
        <v>3877</v>
      </c>
      <c r="K2588" s="2" t="s">
        <v>858</v>
      </c>
      <c r="L2588" s="3">
        <v>145</v>
      </c>
      <c r="M2588" s="3">
        <v>152.25</v>
      </c>
      <c r="N2588" s="3">
        <v>299</v>
      </c>
      <c r="O2588" s="2" t="s">
        <v>97</v>
      </c>
      <c r="P2588" s="2" t="s">
        <v>119</v>
      </c>
      <c r="Q2588" s="2" t="s">
        <v>99</v>
      </c>
      <c r="R2588" s="2" t="s">
        <v>100</v>
      </c>
      <c r="S2588" s="2" t="s">
        <v>100</v>
      </c>
      <c r="T2588" s="2" t="s">
        <v>100</v>
      </c>
      <c r="U2588" s="2" t="s">
        <v>100</v>
      </c>
      <c r="V2588" s="2" t="s">
        <v>3188</v>
      </c>
      <c r="W2588" s="2" t="s">
        <v>1580</v>
      </c>
      <c r="X2588" s="2" t="s">
        <v>561</v>
      </c>
      <c r="Y2588" s="2" t="s">
        <v>8070</v>
      </c>
      <c r="Z2588" s="4">
        <v>110</v>
      </c>
      <c r="AA2588" s="4">
        <f>=ROUNDDOWN(22,0)</f>
      </c>
      <c r="AB2588" s="5">
        <v>5</v>
      </c>
      <c r="AC2588" s="2" t="s">
        <v>1457</v>
      </c>
      <c r="AD2588" s="4">
        <v>150</v>
      </c>
      <c r="AE2588" s="4">
        <v>150</v>
      </c>
      <c r="AF2588" s="6">
        <v>74</v>
      </c>
      <c r="AG2588" s="6"/>
      <c r="AH2588" s="7">
        <v>0.8877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/>
      <c r="BD2588" s="8"/>
      <c r="BE2588" s="4"/>
      <c r="BF2588" s="8"/>
      <c r="BG2588" s="7"/>
      <c r="BH2588" s="7"/>
      <c r="BI2588" s="7"/>
      <c r="BJ2588" s="4">
        <v>117</v>
      </c>
      <c r="BK2588" s="8">
        <v>19014.52</v>
      </c>
      <c r="BL2588" s="2" t="s">
        <v>8071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2528</v>
      </c>
      <c r="BV2588" s="2" t="s">
        <v>97</v>
      </c>
      <c r="BW2588" s="2" t="s">
        <v>100</v>
      </c>
      <c r="BX2588" s="2" t="s">
        <v>100</v>
      </c>
      <c r="BY2588" s="2" t="s">
        <v>113</v>
      </c>
      <c r="BZ2588" s="2" t="s">
        <v>100</v>
      </c>
    </row>
    <row r="2589">
      <c r="A2589" s="2" t="s">
        <v>8072</v>
      </c>
      <c r="B2589" s="2" t="s">
        <v>7711</v>
      </c>
      <c r="C2589" s="2" t="s">
        <v>2850</v>
      </c>
      <c r="D2589" s="2" t="s">
        <v>8073</v>
      </c>
      <c r="E2589" s="2" t="s">
        <v>8074</v>
      </c>
      <c r="F2589" s="2" t="s">
        <v>8075</v>
      </c>
      <c r="G2589" s="2" t="s">
        <v>8075</v>
      </c>
      <c r="H2589" s="2" t="s">
        <v>8075</v>
      </c>
      <c r="I2589" s="2" t="s">
        <v>8076</v>
      </c>
      <c r="J2589" s="2" t="s">
        <v>3877</v>
      </c>
      <c r="K2589" s="2" t="s">
        <v>913</v>
      </c>
      <c r="L2589" s="3">
        <v>99.18</v>
      </c>
      <c r="M2589" s="3">
        <v>104.14</v>
      </c>
      <c r="N2589" s="3">
        <v>209</v>
      </c>
      <c r="O2589" s="2" t="s">
        <v>97</v>
      </c>
      <c r="P2589" s="2" t="s">
        <v>372</v>
      </c>
      <c r="Q2589" s="2" t="s">
        <v>99</v>
      </c>
      <c r="R2589" s="2" t="s">
        <v>100</v>
      </c>
      <c r="S2589" s="2" t="s">
        <v>8077</v>
      </c>
      <c r="T2589" s="2" t="s">
        <v>100</v>
      </c>
      <c r="U2589" s="2" t="s">
        <v>100</v>
      </c>
      <c r="V2589" s="2" t="s">
        <v>146</v>
      </c>
      <c r="W2589" s="2" t="s">
        <v>1580</v>
      </c>
      <c r="X2589" s="2" t="s">
        <v>100</v>
      </c>
      <c r="Y2589" s="2" t="s">
        <v>240</v>
      </c>
      <c r="Z2589" s="4">
        <v>660</v>
      </c>
      <c r="AA2589" s="4">
        <f>=ROUNDDOWN(17.8378378378378,0)</f>
      </c>
      <c r="AB2589" s="5">
        <v>37</v>
      </c>
      <c r="AC2589" s="2" t="s">
        <v>5073</v>
      </c>
      <c r="AD2589" s="4">
        <v>140</v>
      </c>
      <c r="AE2589" s="4">
        <v>640</v>
      </c>
      <c r="AF2589" s="6">
        <v>74</v>
      </c>
      <c r="AG2589" s="6">
        <v>60</v>
      </c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/>
      <c r="BJ2589" s="4">
        <v>925</v>
      </c>
      <c r="BK2589" s="8">
        <v>95543.07</v>
      </c>
      <c r="BL2589" s="2" t="s">
        <v>8078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2528</v>
      </c>
      <c r="BV2589" s="2" t="s">
        <v>97</v>
      </c>
      <c r="BW2589" s="2" t="s">
        <v>100</v>
      </c>
      <c r="BX2589" s="2" t="s">
        <v>100</v>
      </c>
      <c r="BY2589" s="2" t="s">
        <v>113</v>
      </c>
      <c r="BZ2589" s="2" t="s">
        <v>100</v>
      </c>
    </row>
    <row r="2590">
      <c r="A2590" s="2" t="s">
        <v>8079</v>
      </c>
      <c r="B2590" s="2" t="s">
        <v>7711</v>
      </c>
      <c r="C2590" s="2" t="s">
        <v>2850</v>
      </c>
      <c r="D2590" s="2" t="s">
        <v>8073</v>
      </c>
      <c r="E2590" s="2" t="s">
        <v>8074</v>
      </c>
      <c r="F2590" s="2" t="s">
        <v>8075</v>
      </c>
      <c r="G2590" s="2" t="s">
        <v>8075</v>
      </c>
      <c r="H2590" s="2" t="s">
        <v>8075</v>
      </c>
      <c r="I2590" s="2" t="s">
        <v>8076</v>
      </c>
      <c r="J2590" s="2" t="s">
        <v>3877</v>
      </c>
      <c r="K2590" s="2" t="s">
        <v>7835</v>
      </c>
      <c r="L2590" s="3">
        <v>99.18</v>
      </c>
      <c r="M2590" s="3">
        <v>104.14</v>
      </c>
      <c r="N2590" s="3">
        <v>209</v>
      </c>
      <c r="O2590" s="2" t="s">
        <v>97</v>
      </c>
      <c r="P2590" s="2" t="s">
        <v>119</v>
      </c>
      <c r="Q2590" s="2" t="s">
        <v>99</v>
      </c>
      <c r="R2590" s="2" t="s">
        <v>100</v>
      </c>
      <c r="S2590" s="2" t="s">
        <v>100</v>
      </c>
      <c r="T2590" s="2" t="s">
        <v>100</v>
      </c>
      <c r="U2590" s="2" t="s">
        <v>1847</v>
      </c>
      <c r="V2590" s="2" t="s">
        <v>146</v>
      </c>
      <c r="W2590" s="2" t="s">
        <v>1580</v>
      </c>
      <c r="X2590" s="2" t="s">
        <v>561</v>
      </c>
      <c r="Y2590" s="2" t="s">
        <v>8080</v>
      </c>
      <c r="Z2590" s="4">
        <v>94</v>
      </c>
      <c r="AA2590" s="4">
        <f>=ROUNDDOWN(7.83333333333333,0)</f>
      </c>
      <c r="AB2590" s="5">
        <v>12</v>
      </c>
      <c r="AC2590" s="2" t="s">
        <v>931</v>
      </c>
      <c r="AD2590" s="4">
        <v>300</v>
      </c>
      <c r="AE2590" s="4">
        <v>600</v>
      </c>
      <c r="AF2590" s="6">
        <v>74</v>
      </c>
      <c r="AG2590" s="6">
        <v>60</v>
      </c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/>
      <c r="BJ2590" s="4">
        <v>300</v>
      </c>
      <c r="BK2590" s="8">
        <v>31396.3</v>
      </c>
      <c r="BL2590" s="2" t="s">
        <v>8081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2528</v>
      </c>
      <c r="BV2590" s="2" t="s">
        <v>97</v>
      </c>
      <c r="BW2590" s="2" t="s">
        <v>100</v>
      </c>
      <c r="BX2590" s="2" t="s">
        <v>100</v>
      </c>
      <c r="BY2590" s="2" t="s">
        <v>113</v>
      </c>
      <c r="BZ2590" s="2" t="s">
        <v>100</v>
      </c>
    </row>
    <row r="2591">
      <c r="A2591" s="2" t="s">
        <v>8082</v>
      </c>
      <c r="B2591" s="2" t="s">
        <v>7711</v>
      </c>
      <c r="C2591" s="2" t="s">
        <v>2850</v>
      </c>
      <c r="D2591" s="2" t="s">
        <v>8073</v>
      </c>
      <c r="E2591" s="2" t="s">
        <v>8074</v>
      </c>
      <c r="F2591" s="2" t="s">
        <v>1304</v>
      </c>
      <c r="G2591" s="2" t="s">
        <v>1304</v>
      </c>
      <c r="H2591" s="2" t="s">
        <v>1304</v>
      </c>
      <c r="I2591" s="2" t="s">
        <v>8083</v>
      </c>
      <c r="J2591" s="2" t="s">
        <v>3877</v>
      </c>
      <c r="K2591" s="2" t="s">
        <v>858</v>
      </c>
      <c r="L2591" s="3">
        <v>189</v>
      </c>
      <c r="M2591" s="3">
        <v>198.45</v>
      </c>
      <c r="N2591" s="3">
        <v>399</v>
      </c>
      <c r="O2591" s="2" t="s">
        <v>97</v>
      </c>
      <c r="P2591" s="2" t="s">
        <v>119</v>
      </c>
      <c r="Q2591" s="2" t="s">
        <v>99</v>
      </c>
      <c r="R2591" s="2" t="s">
        <v>100</v>
      </c>
      <c r="S2591" s="2" t="s">
        <v>100</v>
      </c>
      <c r="T2591" s="2" t="s">
        <v>100</v>
      </c>
      <c r="U2591" s="2" t="s">
        <v>1847</v>
      </c>
      <c r="V2591" s="2" t="s">
        <v>3188</v>
      </c>
      <c r="W2591" s="2" t="s">
        <v>561</v>
      </c>
      <c r="X2591" s="2" t="s">
        <v>100</v>
      </c>
      <c r="Y2591" s="2" t="s">
        <v>8084</v>
      </c>
      <c r="Z2591" s="4">
        <v>68</v>
      </c>
      <c r="AA2591" s="4">
        <f>=ROUNDDOWN(22.6666666666667,0)</f>
      </c>
      <c r="AB2591" s="5">
        <v>3</v>
      </c>
      <c r="AC2591" s="2" t="s">
        <v>7825</v>
      </c>
      <c r="AD2591" s="4">
        <v>50</v>
      </c>
      <c r="AE2591" s="4">
        <v>100</v>
      </c>
      <c r="AF2591" s="6">
        <v>66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/>
      <c r="BD2591" s="8"/>
      <c r="BE2591" s="4"/>
      <c r="BF2591" s="8"/>
      <c r="BG2591" s="7"/>
      <c r="BH2591" s="7"/>
      <c r="BI2591" s="7"/>
      <c r="BJ2591" s="4">
        <v>68</v>
      </c>
      <c r="BK2591" s="8">
        <v>13574.58</v>
      </c>
      <c r="BL2591" s="2" t="s">
        <v>8085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2528</v>
      </c>
      <c r="BV2591" s="2" t="s">
        <v>97</v>
      </c>
      <c r="BW2591" s="2" t="s">
        <v>100</v>
      </c>
      <c r="BX2591" s="2" t="s">
        <v>100</v>
      </c>
      <c r="BY2591" s="2" t="s">
        <v>113</v>
      </c>
      <c r="BZ2591" s="2" t="s">
        <v>100</v>
      </c>
    </row>
    <row r="2592">
      <c r="A2592" s="2" t="s">
        <v>8086</v>
      </c>
      <c r="B2592" s="2" t="s">
        <v>7711</v>
      </c>
      <c r="C2592" s="2" t="s">
        <v>2850</v>
      </c>
      <c r="D2592" s="2" t="s">
        <v>8073</v>
      </c>
      <c r="E2592" s="2" t="s">
        <v>8074</v>
      </c>
      <c r="F2592" s="2" t="s">
        <v>8087</v>
      </c>
      <c r="G2592" s="2" t="s">
        <v>8087</v>
      </c>
      <c r="H2592" s="2" t="s">
        <v>8087</v>
      </c>
      <c r="I2592" s="2" t="s">
        <v>8088</v>
      </c>
      <c r="J2592" s="2" t="s">
        <v>3877</v>
      </c>
      <c r="K2592" s="2" t="s">
        <v>8089</v>
      </c>
      <c r="L2592" s="3">
        <v>210</v>
      </c>
      <c r="M2592" s="3">
        <v>220.5</v>
      </c>
      <c r="N2592" s="3">
        <v>449</v>
      </c>
      <c r="O2592" s="2" t="s">
        <v>97</v>
      </c>
      <c r="P2592" s="2" t="s">
        <v>225</v>
      </c>
      <c r="Q2592" s="2" t="s">
        <v>99</v>
      </c>
      <c r="R2592" s="2" t="s">
        <v>100</v>
      </c>
      <c r="S2592" s="2" t="s">
        <v>100</v>
      </c>
      <c r="T2592" s="2" t="s">
        <v>100</v>
      </c>
      <c r="U2592" s="2" t="s">
        <v>1847</v>
      </c>
      <c r="V2592" s="2" t="s">
        <v>3188</v>
      </c>
      <c r="W2592" s="2" t="s">
        <v>561</v>
      </c>
      <c r="X2592" s="2" t="s">
        <v>183</v>
      </c>
      <c r="Y2592" s="2" t="s">
        <v>8090</v>
      </c>
      <c r="Z2592" s="4">
        <v>98</v>
      </c>
      <c r="AA2592" s="4">
        <f>=ROUNDDOWN(490,0)</f>
      </c>
      <c r="AB2592" s="5">
        <v>0.2</v>
      </c>
      <c r="AC2592" s="2" t="s">
        <v>100</v>
      </c>
      <c r="AD2592" s="4"/>
      <c r="AE2592" s="4"/>
      <c r="AF2592" s="6">
        <v>76</v>
      </c>
      <c r="AG2592" s="6"/>
      <c r="AH2592" s="7">
        <v>0.4385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/>
      <c r="BD2592" s="8"/>
      <c r="BE2592" s="4"/>
      <c r="BF2592" s="8"/>
      <c r="BG2592" s="7"/>
      <c r="BH2592" s="7"/>
      <c r="BI2592" s="7"/>
      <c r="BJ2592" s="4">
        <v>1</v>
      </c>
      <c r="BK2592" s="8">
        <v>220.5</v>
      </c>
      <c r="BL2592" s="2" t="s">
        <v>8063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2528</v>
      </c>
      <c r="BV2592" s="2" t="s">
        <v>97</v>
      </c>
      <c r="BW2592" s="2" t="s">
        <v>100</v>
      </c>
      <c r="BX2592" s="2" t="s">
        <v>100</v>
      </c>
      <c r="BY2592" s="2" t="s">
        <v>113</v>
      </c>
      <c r="BZ2592" s="2" t="s">
        <v>100</v>
      </c>
    </row>
    <row r="2593">
      <c r="A2593" s="2" t="s">
        <v>8091</v>
      </c>
      <c r="B2593" s="2" t="s">
        <v>7711</v>
      </c>
      <c r="C2593" s="2" t="s">
        <v>2850</v>
      </c>
      <c r="D2593" s="2" t="s">
        <v>8073</v>
      </c>
      <c r="E2593" s="2" t="s">
        <v>8074</v>
      </c>
      <c r="F2593" s="2" t="s">
        <v>8092</v>
      </c>
      <c r="G2593" s="2" t="s">
        <v>8092</v>
      </c>
      <c r="H2593" s="2" t="s">
        <v>8092</v>
      </c>
      <c r="I2593" s="2" t="s">
        <v>8093</v>
      </c>
      <c r="J2593" s="2" t="s">
        <v>3877</v>
      </c>
      <c r="K2593" s="2" t="s">
        <v>8094</v>
      </c>
      <c r="L2593" s="3">
        <v>244.7</v>
      </c>
      <c r="M2593" s="3">
        <v>256.94</v>
      </c>
      <c r="N2593" s="3">
        <v>499</v>
      </c>
      <c r="O2593" s="2" t="s">
        <v>97</v>
      </c>
      <c r="P2593" s="2" t="s">
        <v>225</v>
      </c>
      <c r="Q2593" s="2" t="s">
        <v>99</v>
      </c>
      <c r="R2593" s="2" t="s">
        <v>100</v>
      </c>
      <c r="S2593" s="2" t="s">
        <v>100</v>
      </c>
      <c r="T2593" s="2" t="s">
        <v>100</v>
      </c>
      <c r="U2593" s="2" t="s">
        <v>1847</v>
      </c>
      <c r="V2593" s="2" t="s">
        <v>3188</v>
      </c>
      <c r="W2593" s="2" t="s">
        <v>561</v>
      </c>
      <c r="X2593" s="2" t="s">
        <v>100</v>
      </c>
      <c r="Y2593" s="2" t="s">
        <v>8090</v>
      </c>
      <c r="Z2593" s="4">
        <v>81</v>
      </c>
      <c r="AA2593" s="4">
        <f>=ROUNDDOWN(40.5,0)</f>
      </c>
      <c r="AB2593" s="5">
        <v>2</v>
      </c>
      <c r="AC2593" s="2" t="s">
        <v>100</v>
      </c>
      <c r="AD2593" s="4"/>
      <c r="AE2593" s="4"/>
      <c r="AF2593" s="6">
        <v>76</v>
      </c>
      <c r="AG2593" s="6"/>
      <c r="AH2593" s="7">
        <v>0.4385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/>
      <c r="BD2593" s="8"/>
      <c r="BE2593" s="4"/>
      <c r="BF2593" s="8"/>
      <c r="BG2593" s="7"/>
      <c r="BH2593" s="7"/>
      <c r="BI2593" s="7"/>
      <c r="BJ2593" s="4">
        <v>17</v>
      </c>
      <c r="BK2593" s="8">
        <v>4154.9</v>
      </c>
      <c r="BL2593" s="2" t="s">
        <v>7767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2528</v>
      </c>
      <c r="BV2593" s="2" t="s">
        <v>97</v>
      </c>
      <c r="BW2593" s="2" t="s">
        <v>100</v>
      </c>
      <c r="BX2593" s="2" t="s">
        <v>100</v>
      </c>
      <c r="BY2593" s="2" t="s">
        <v>113</v>
      </c>
      <c r="BZ2593" s="2" t="s">
        <v>100</v>
      </c>
    </row>
    <row r="2594">
      <c r="A2594" s="2" t="s">
        <v>8095</v>
      </c>
      <c r="B2594" s="2" t="s">
        <v>7711</v>
      </c>
      <c r="C2594" s="2" t="s">
        <v>2850</v>
      </c>
      <c r="D2594" s="2" t="s">
        <v>8073</v>
      </c>
      <c r="E2594" s="2" t="s">
        <v>8074</v>
      </c>
      <c r="F2594" s="2" t="s">
        <v>7876</v>
      </c>
      <c r="G2594" s="2" t="s">
        <v>7876</v>
      </c>
      <c r="H2594" s="2" t="s">
        <v>7876</v>
      </c>
      <c r="I2594" s="2" t="s">
        <v>8096</v>
      </c>
      <c r="J2594" s="2" t="s">
        <v>3877</v>
      </c>
      <c r="K2594" s="2" t="s">
        <v>7914</v>
      </c>
      <c r="L2594" s="3">
        <v>237.5</v>
      </c>
      <c r="M2594" s="3">
        <v>249.38</v>
      </c>
      <c r="N2594" s="3">
        <v>499</v>
      </c>
      <c r="O2594" s="2" t="s">
        <v>97</v>
      </c>
      <c r="P2594" s="2" t="s">
        <v>372</v>
      </c>
      <c r="Q2594" s="2" t="s">
        <v>99</v>
      </c>
      <c r="R2594" s="2" t="s">
        <v>100</v>
      </c>
      <c r="S2594" s="2" t="s">
        <v>8097</v>
      </c>
      <c r="T2594" s="2" t="s">
        <v>100</v>
      </c>
      <c r="U2594" s="2" t="s">
        <v>100</v>
      </c>
      <c r="V2594" s="2" t="s">
        <v>146</v>
      </c>
      <c r="W2594" s="2" t="s">
        <v>1580</v>
      </c>
      <c r="X2594" s="2" t="s">
        <v>100</v>
      </c>
      <c r="Y2594" s="2" t="s">
        <v>240</v>
      </c>
      <c r="Z2594" s="4">
        <v>144</v>
      </c>
      <c r="AA2594" s="4">
        <f>=ROUNDDOWN(6,0)</f>
      </c>
      <c r="AB2594" s="5">
        <v>24</v>
      </c>
      <c r="AC2594" s="2" t="s">
        <v>320</v>
      </c>
      <c r="AD2594" s="4">
        <v>30</v>
      </c>
      <c r="AE2594" s="4">
        <v>720</v>
      </c>
      <c r="AF2594" s="6">
        <v>66</v>
      </c>
      <c r="AG2594" s="6">
        <v>49</v>
      </c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/>
      <c r="BD2594" s="8"/>
      <c r="BE2594" s="4"/>
      <c r="BF2594" s="8"/>
      <c r="BG2594" s="7"/>
      <c r="BH2594" s="7"/>
      <c r="BI2594" s="7"/>
      <c r="BJ2594" s="4">
        <v>547</v>
      </c>
      <c r="BK2594" s="8">
        <v>124364.77</v>
      </c>
      <c r="BL2594" s="2" t="s">
        <v>8098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2528</v>
      </c>
      <c r="BV2594" s="2" t="s">
        <v>97</v>
      </c>
      <c r="BW2594" s="2" t="s">
        <v>100</v>
      </c>
      <c r="BX2594" s="2" t="s">
        <v>100</v>
      </c>
      <c r="BY2594" s="2" t="s">
        <v>113</v>
      </c>
      <c r="BZ2594" s="2" t="s">
        <v>100</v>
      </c>
    </row>
    <row r="2595">
      <c r="A2595" s="2" t="s">
        <v>8099</v>
      </c>
      <c r="B2595" s="2" t="s">
        <v>7711</v>
      </c>
      <c r="C2595" s="2" t="s">
        <v>2850</v>
      </c>
      <c r="D2595" s="2" t="s">
        <v>8073</v>
      </c>
      <c r="E2595" s="2" t="s">
        <v>8074</v>
      </c>
      <c r="F2595" s="2" t="s">
        <v>8100</v>
      </c>
      <c r="G2595" s="2" t="s">
        <v>8100</v>
      </c>
      <c r="H2595" s="2" t="s">
        <v>8100</v>
      </c>
      <c r="I2595" s="2" t="s">
        <v>8101</v>
      </c>
      <c r="J2595" s="2" t="s">
        <v>3877</v>
      </c>
      <c r="K2595" s="2" t="s">
        <v>858</v>
      </c>
      <c r="L2595" s="3">
        <v>165</v>
      </c>
      <c r="M2595" s="3">
        <v>173.25</v>
      </c>
      <c r="N2595" s="3">
        <v>349</v>
      </c>
      <c r="O2595" s="2" t="s">
        <v>97</v>
      </c>
      <c r="P2595" s="2" t="s">
        <v>119</v>
      </c>
      <c r="Q2595" s="2" t="s">
        <v>99</v>
      </c>
      <c r="R2595" s="2" t="s">
        <v>100</v>
      </c>
      <c r="S2595" s="2" t="s">
        <v>100</v>
      </c>
      <c r="T2595" s="2" t="s">
        <v>100</v>
      </c>
      <c r="U2595" s="2" t="s">
        <v>1847</v>
      </c>
      <c r="V2595" s="2" t="s">
        <v>3188</v>
      </c>
      <c r="W2595" s="2" t="s">
        <v>561</v>
      </c>
      <c r="X2595" s="2" t="s">
        <v>183</v>
      </c>
      <c r="Y2595" s="2" t="s">
        <v>8102</v>
      </c>
      <c r="Z2595" s="4">
        <v>182</v>
      </c>
      <c r="AA2595" s="4">
        <f>=ROUNDDOWN(14,0)</f>
      </c>
      <c r="AB2595" s="5">
        <v>13</v>
      </c>
      <c r="AC2595" s="2" t="s">
        <v>326</v>
      </c>
      <c r="AD2595" s="4">
        <v>100</v>
      </c>
      <c r="AE2595" s="4">
        <v>100</v>
      </c>
      <c r="AF2595" s="6">
        <v>76</v>
      </c>
      <c r="AG2595" s="6"/>
      <c r="AH2595" s="7">
        <v>0.5027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/>
      <c r="BD2595" s="8"/>
      <c r="BE2595" s="4"/>
      <c r="BF2595" s="8"/>
      <c r="BG2595" s="7"/>
      <c r="BH2595" s="7"/>
      <c r="BI2595" s="7"/>
      <c r="BJ2595" s="4">
        <v>107</v>
      </c>
      <c r="BK2595" s="8">
        <v>20010.83</v>
      </c>
      <c r="BL2595" s="2" t="s">
        <v>8103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2528</v>
      </c>
      <c r="BV2595" s="2" t="s">
        <v>97</v>
      </c>
      <c r="BW2595" s="2" t="s">
        <v>100</v>
      </c>
      <c r="BX2595" s="2" t="s">
        <v>100</v>
      </c>
      <c r="BY2595" s="2" t="s">
        <v>113</v>
      </c>
      <c r="BZ2595" s="2" t="s">
        <v>100</v>
      </c>
    </row>
    <row r="2596">
      <c r="A2596" s="2" t="s">
        <v>8104</v>
      </c>
      <c r="B2596" s="2" t="s">
        <v>7711</v>
      </c>
      <c r="C2596" s="2" t="s">
        <v>2850</v>
      </c>
      <c r="D2596" s="2" t="s">
        <v>8073</v>
      </c>
      <c r="E2596" s="2" t="s">
        <v>8074</v>
      </c>
      <c r="F2596" s="2" t="s">
        <v>3604</v>
      </c>
      <c r="G2596" s="2" t="s">
        <v>3604</v>
      </c>
      <c r="H2596" s="2" t="s">
        <v>3604</v>
      </c>
      <c r="I2596" s="2" t="s">
        <v>8074</v>
      </c>
      <c r="J2596" s="2" t="s">
        <v>3877</v>
      </c>
      <c r="K2596" s="2" t="s">
        <v>913</v>
      </c>
      <c r="L2596" s="3">
        <v>125.54</v>
      </c>
      <c r="M2596" s="3">
        <v>131.82</v>
      </c>
      <c r="N2596" s="3">
        <v>269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8105</v>
      </c>
      <c r="T2596" s="2" t="s">
        <v>100</v>
      </c>
      <c r="U2596" s="2" t="s">
        <v>100</v>
      </c>
      <c r="V2596" s="2" t="s">
        <v>146</v>
      </c>
      <c r="W2596" s="2" t="s">
        <v>3886</v>
      </c>
      <c r="X2596" s="2" t="s">
        <v>100</v>
      </c>
      <c r="Y2596" s="2" t="s">
        <v>8106</v>
      </c>
      <c r="Z2596" s="4">
        <v>285</v>
      </c>
      <c r="AA2596" s="4">
        <f>=ROUNDDOWN(16.7647058823529,0)</f>
      </c>
      <c r="AB2596" s="5">
        <v>17</v>
      </c>
      <c r="AC2596" s="2" t="s">
        <v>5100</v>
      </c>
      <c r="AD2596" s="4">
        <v>50</v>
      </c>
      <c r="AE2596" s="4">
        <v>150</v>
      </c>
      <c r="AF2596" s="6">
        <v>74</v>
      </c>
      <c r="AG2596" s="6">
        <v>60</v>
      </c>
      <c r="AH2596" s="7">
        <v>1</v>
      </c>
      <c r="AI2596" s="4"/>
      <c r="AJ2596" s="4">
        <f>=ROUNDDOWN({0},0)</f>
      </c>
      <c r="AK2596" s="5"/>
      <c r="AL2596" s="2" t="s">
        <v>123</v>
      </c>
      <c r="AM2596" s="4">
        <v>100</v>
      </c>
      <c r="AN2596" s="4">
        <v>210</v>
      </c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/>
      <c r="BD2596" s="8"/>
      <c r="BE2596" s="4"/>
      <c r="BF2596" s="8"/>
      <c r="BG2596" s="7"/>
      <c r="BH2596" s="7"/>
      <c r="BI2596" s="7"/>
      <c r="BJ2596" s="4">
        <v>472</v>
      </c>
      <c r="BK2596" s="8">
        <v>56812.58</v>
      </c>
      <c r="BL2596" s="2" t="s">
        <v>8107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2528</v>
      </c>
      <c r="BV2596" s="2" t="s">
        <v>97</v>
      </c>
      <c r="BW2596" s="2" t="s">
        <v>100</v>
      </c>
      <c r="BX2596" s="2" t="s">
        <v>100</v>
      </c>
      <c r="BY2596" s="2" t="s">
        <v>113</v>
      </c>
      <c r="BZ2596" s="2" t="s">
        <v>100</v>
      </c>
    </row>
    <row r="2597">
      <c r="A2597" s="2" t="s">
        <v>8108</v>
      </c>
      <c r="B2597" s="2" t="s">
        <v>7711</v>
      </c>
      <c r="C2597" s="2" t="s">
        <v>2850</v>
      </c>
      <c r="D2597" s="2" t="s">
        <v>8073</v>
      </c>
      <c r="E2597" s="2" t="s">
        <v>8109</v>
      </c>
      <c r="F2597" s="2" t="s">
        <v>8092</v>
      </c>
      <c r="G2597" s="2" t="s">
        <v>8092</v>
      </c>
      <c r="H2597" s="2" t="s">
        <v>8092</v>
      </c>
      <c r="I2597" s="2" t="s">
        <v>8110</v>
      </c>
      <c r="J2597" s="2" t="s">
        <v>3877</v>
      </c>
      <c r="K2597" s="2" t="s">
        <v>8094</v>
      </c>
      <c r="L2597" s="3">
        <v>225</v>
      </c>
      <c r="M2597" s="3">
        <v>236.25</v>
      </c>
      <c r="N2597" s="3">
        <v>459</v>
      </c>
      <c r="O2597" s="2" t="s">
        <v>97</v>
      </c>
      <c r="P2597" s="2" t="s">
        <v>225</v>
      </c>
      <c r="Q2597" s="2" t="s">
        <v>99</v>
      </c>
      <c r="R2597" s="2" t="s">
        <v>100</v>
      </c>
      <c r="S2597" s="2" t="s">
        <v>100</v>
      </c>
      <c r="T2597" s="2" t="s">
        <v>100</v>
      </c>
      <c r="U2597" s="2" t="s">
        <v>1847</v>
      </c>
      <c r="V2597" s="2" t="s">
        <v>3188</v>
      </c>
      <c r="W2597" s="2" t="s">
        <v>561</v>
      </c>
      <c r="X2597" s="2" t="s">
        <v>100</v>
      </c>
      <c r="Y2597" s="2" t="s">
        <v>8090</v>
      </c>
      <c r="Z2597" s="4">
        <v>99</v>
      </c>
      <c r="AA2597" s="4">
        <f>=ROUNDDOWN({0},0)</f>
      </c>
      <c r="AB2597" s="5"/>
      <c r="AC2597" s="2" t="s">
        <v>100</v>
      </c>
      <c r="AD2597" s="4"/>
      <c r="AE2597" s="4"/>
      <c r="AF2597" s="6">
        <v>76</v>
      </c>
      <c r="AG2597" s="6"/>
      <c r="AH2597" s="7">
        <v>0.4385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/>
      <c r="BK2597" s="8"/>
      <c r="BL2597" s="2" t="s">
        <v>100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2528</v>
      </c>
      <c r="BV2597" s="2" t="s">
        <v>97</v>
      </c>
      <c r="BW2597" s="2" t="s">
        <v>100</v>
      </c>
      <c r="BX2597" s="2" t="s">
        <v>100</v>
      </c>
      <c r="BY2597" s="2" t="s">
        <v>113</v>
      </c>
      <c r="BZ2597" s="2" t="s">
        <v>100</v>
      </c>
    </row>
    <row r="2598">
      <c r="A2598" s="2" t="s">
        <v>8111</v>
      </c>
      <c r="B2598" s="2" t="s">
        <v>7711</v>
      </c>
      <c r="C2598" s="2" t="s">
        <v>2850</v>
      </c>
      <c r="D2598" s="2" t="s">
        <v>8073</v>
      </c>
      <c r="E2598" s="2" t="s">
        <v>8109</v>
      </c>
      <c r="F2598" s="2" t="s">
        <v>8112</v>
      </c>
      <c r="G2598" s="2" t="s">
        <v>8112</v>
      </c>
      <c r="H2598" s="2" t="s">
        <v>8112</v>
      </c>
      <c r="I2598" s="2" t="s">
        <v>8113</v>
      </c>
      <c r="J2598" s="2" t="s">
        <v>8114</v>
      </c>
      <c r="K2598" s="2" t="s">
        <v>913</v>
      </c>
      <c r="L2598" s="3">
        <v>237.5</v>
      </c>
      <c r="M2598" s="3">
        <v>249.38</v>
      </c>
      <c r="N2598" s="3">
        <v>499</v>
      </c>
      <c r="O2598" s="2" t="s">
        <v>97</v>
      </c>
      <c r="P2598" s="2" t="s">
        <v>98</v>
      </c>
      <c r="Q2598" s="2" t="s">
        <v>99</v>
      </c>
      <c r="R2598" s="2" t="s">
        <v>100</v>
      </c>
      <c r="S2598" s="2" t="s">
        <v>8115</v>
      </c>
      <c r="T2598" s="2" t="s">
        <v>100</v>
      </c>
      <c r="U2598" s="2" t="s">
        <v>1847</v>
      </c>
      <c r="V2598" s="2" t="s">
        <v>146</v>
      </c>
      <c r="W2598" s="2" t="s">
        <v>561</v>
      </c>
      <c r="X2598" s="2" t="s">
        <v>183</v>
      </c>
      <c r="Y2598" s="2" t="s">
        <v>5918</v>
      </c>
      <c r="Z2598" s="4">
        <v>298</v>
      </c>
      <c r="AA2598" s="4">
        <f>=ROUNDDOWN(21.2857142857143,0)</f>
      </c>
      <c r="AB2598" s="5">
        <v>14</v>
      </c>
      <c r="AC2598" s="2" t="s">
        <v>135</v>
      </c>
      <c r="AD2598" s="4">
        <v>100</v>
      </c>
      <c r="AE2598" s="4">
        <v>165</v>
      </c>
      <c r="AF2598" s="6">
        <v>74</v>
      </c>
      <c r="AG2598" s="6">
        <v>60</v>
      </c>
      <c r="AH2598" s="7">
        <v>1</v>
      </c>
      <c r="AI2598" s="4"/>
      <c r="AJ2598" s="4">
        <f>=ROUNDDOWN({0},0)</f>
      </c>
      <c r="AK2598" s="5"/>
      <c r="AL2598" s="2" t="s">
        <v>148</v>
      </c>
      <c r="AM2598" s="4">
        <v>60</v>
      </c>
      <c r="AN2598" s="4">
        <v>60</v>
      </c>
      <c r="AO2598" s="7"/>
      <c r="AP2598" s="4"/>
      <c r="AQ2598" s="8"/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/>
      <c r="BJ2598" s="4">
        <v>359</v>
      </c>
      <c r="BK2598" s="8">
        <v>83267.85</v>
      </c>
      <c r="BL2598" s="2" t="s">
        <v>8116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2528</v>
      </c>
      <c r="BV2598" s="2" t="s">
        <v>97</v>
      </c>
      <c r="BW2598" s="2" t="s">
        <v>100</v>
      </c>
      <c r="BX2598" s="2" t="s">
        <v>100</v>
      </c>
      <c r="BY2598" s="2" t="s">
        <v>113</v>
      </c>
      <c r="BZ2598" s="2" t="s">
        <v>100</v>
      </c>
    </row>
    <row r="2599">
      <c r="A2599" s="2" t="s">
        <v>8117</v>
      </c>
      <c r="B2599" s="2" t="s">
        <v>7711</v>
      </c>
      <c r="C2599" s="2" t="s">
        <v>2850</v>
      </c>
      <c r="D2599" s="2" t="s">
        <v>8073</v>
      </c>
      <c r="E2599" s="2" t="s">
        <v>8109</v>
      </c>
      <c r="F2599" s="2" t="s">
        <v>8112</v>
      </c>
      <c r="G2599" s="2" t="s">
        <v>8112</v>
      </c>
      <c r="H2599" s="2" t="s">
        <v>8112</v>
      </c>
      <c r="I2599" s="2" t="s">
        <v>8118</v>
      </c>
      <c r="J2599" s="2" t="s">
        <v>8119</v>
      </c>
      <c r="K2599" s="2" t="s">
        <v>913</v>
      </c>
      <c r="L2599" s="3">
        <v>218.5</v>
      </c>
      <c r="M2599" s="3">
        <v>229.42</v>
      </c>
      <c r="N2599" s="3">
        <v>459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100</v>
      </c>
      <c r="T2599" s="2" t="s">
        <v>100</v>
      </c>
      <c r="U2599" s="2" t="s">
        <v>1847</v>
      </c>
      <c r="V2599" s="2" t="s">
        <v>3188</v>
      </c>
      <c r="W2599" s="2" t="s">
        <v>561</v>
      </c>
      <c r="X2599" s="2" t="s">
        <v>183</v>
      </c>
      <c r="Y2599" s="2" t="s">
        <v>8120</v>
      </c>
      <c r="Z2599" s="4">
        <v>259</v>
      </c>
      <c r="AA2599" s="4">
        <f>=ROUNDDOWN(23.5454545454545,0)</f>
      </c>
      <c r="AB2599" s="5">
        <v>11</v>
      </c>
      <c r="AC2599" s="2" t="s">
        <v>4334</v>
      </c>
      <c r="AD2599" s="4">
        <v>164</v>
      </c>
      <c r="AE2599" s="4">
        <v>164</v>
      </c>
      <c r="AF2599" s="6">
        <v>74</v>
      </c>
      <c r="AG2599" s="6">
        <v>60</v>
      </c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/>
      <c r="BJ2599" s="4">
        <v>296</v>
      </c>
      <c r="BK2599" s="8">
        <v>63659.53</v>
      </c>
      <c r="BL2599" s="2" t="s">
        <v>8121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2528</v>
      </c>
      <c r="BV2599" s="2" t="s">
        <v>97</v>
      </c>
      <c r="BW2599" s="2" t="s">
        <v>100</v>
      </c>
      <c r="BX2599" s="2" t="s">
        <v>100</v>
      </c>
      <c r="BY2599" s="2" t="s">
        <v>113</v>
      </c>
      <c r="BZ2599" s="2" t="s">
        <v>100</v>
      </c>
    </row>
    <row r="2600">
      <c r="A2600" s="2" t="s">
        <v>8122</v>
      </c>
      <c r="B2600" s="2" t="s">
        <v>7711</v>
      </c>
      <c r="C2600" s="2" t="s">
        <v>2850</v>
      </c>
      <c r="D2600" s="2" t="s">
        <v>8073</v>
      </c>
      <c r="E2600" s="2" t="s">
        <v>8109</v>
      </c>
      <c r="F2600" s="2" t="s">
        <v>8112</v>
      </c>
      <c r="G2600" s="2" t="s">
        <v>8112</v>
      </c>
      <c r="H2600" s="2" t="s">
        <v>8112</v>
      </c>
      <c r="I2600" s="2" t="s">
        <v>8113</v>
      </c>
      <c r="J2600" s="2" t="s">
        <v>8114</v>
      </c>
      <c r="K2600" s="2" t="s">
        <v>858</v>
      </c>
      <c r="L2600" s="3">
        <v>237.5</v>
      </c>
      <c r="M2600" s="3">
        <v>249.38</v>
      </c>
      <c r="N2600" s="3">
        <v>499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100</v>
      </c>
      <c r="T2600" s="2" t="s">
        <v>100</v>
      </c>
      <c r="U2600" s="2" t="s">
        <v>1847</v>
      </c>
      <c r="V2600" s="2" t="s">
        <v>3188</v>
      </c>
      <c r="W2600" s="2" t="s">
        <v>561</v>
      </c>
      <c r="X2600" s="2" t="s">
        <v>183</v>
      </c>
      <c r="Y2600" s="2" t="s">
        <v>7200</v>
      </c>
      <c r="Z2600" s="4">
        <v>575</v>
      </c>
      <c r="AA2600" s="4">
        <f>=ROUNDDOWN(30.2631578947368,0)</f>
      </c>
      <c r="AB2600" s="5">
        <v>19</v>
      </c>
      <c r="AC2600" s="2" t="s">
        <v>934</v>
      </c>
      <c r="AD2600" s="4">
        <v>80</v>
      </c>
      <c r="AE2600" s="4">
        <v>80</v>
      </c>
      <c r="AF2600" s="6">
        <v>74</v>
      </c>
      <c r="AG2600" s="6">
        <v>60</v>
      </c>
      <c r="AH2600" s="7">
        <v>1</v>
      </c>
      <c r="AI2600" s="4"/>
      <c r="AJ2600" s="4">
        <f>=ROUNDDOWN({0},0)</f>
      </c>
      <c r="AK2600" s="5"/>
      <c r="AL2600" s="2" t="s">
        <v>148</v>
      </c>
      <c r="AM2600" s="4">
        <v>80</v>
      </c>
      <c r="AN2600" s="4">
        <v>80</v>
      </c>
      <c r="AO2600" s="7"/>
      <c r="AP2600" s="4"/>
      <c r="AQ2600" s="8"/>
      <c r="AR2600" s="4"/>
      <c r="AS2600" s="8"/>
      <c r="AT2600" s="7"/>
      <c r="AU2600" s="7"/>
      <c r="AV2600" s="4" t="s">
        <v>100</v>
      </c>
      <c r="AW2600" s="8" t="s">
        <v>100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/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/>
      <c r="BJ2600" s="4">
        <v>552</v>
      </c>
      <c r="BK2600" s="8">
        <v>137353.66</v>
      </c>
      <c r="BL2600" s="2" t="s">
        <v>8123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2528</v>
      </c>
      <c r="BV2600" s="2" t="s">
        <v>97</v>
      </c>
      <c r="BW2600" s="2" t="s">
        <v>100</v>
      </c>
      <c r="BX2600" s="2" t="s">
        <v>100</v>
      </c>
      <c r="BY2600" s="2" t="s">
        <v>113</v>
      </c>
      <c r="BZ2600" s="2" t="s">
        <v>100</v>
      </c>
    </row>
    <row r="2601">
      <c r="A2601" s="2" t="s">
        <v>8124</v>
      </c>
      <c r="B2601" s="2" t="s">
        <v>7711</v>
      </c>
      <c r="C2601" s="2" t="s">
        <v>2850</v>
      </c>
      <c r="D2601" s="2" t="s">
        <v>8073</v>
      </c>
      <c r="E2601" s="2" t="s">
        <v>8109</v>
      </c>
      <c r="F2601" s="2" t="s">
        <v>8112</v>
      </c>
      <c r="G2601" s="2" t="s">
        <v>8112</v>
      </c>
      <c r="H2601" s="2" t="s">
        <v>8112</v>
      </c>
      <c r="I2601" s="2" t="s">
        <v>8118</v>
      </c>
      <c r="J2601" s="2" t="s">
        <v>8119</v>
      </c>
      <c r="K2601" s="2" t="s">
        <v>858</v>
      </c>
      <c r="L2601" s="3">
        <v>218.5</v>
      </c>
      <c r="M2601" s="3">
        <v>229.42</v>
      </c>
      <c r="N2601" s="3">
        <v>459</v>
      </c>
      <c r="O2601" s="2" t="s">
        <v>97</v>
      </c>
      <c r="P2601" s="2" t="s">
        <v>119</v>
      </c>
      <c r="Q2601" s="2" t="s">
        <v>99</v>
      </c>
      <c r="R2601" s="2" t="s">
        <v>100</v>
      </c>
      <c r="S2601" s="2" t="s">
        <v>100</v>
      </c>
      <c r="T2601" s="2" t="s">
        <v>100</v>
      </c>
      <c r="U2601" s="2" t="s">
        <v>1847</v>
      </c>
      <c r="V2601" s="2" t="s">
        <v>3188</v>
      </c>
      <c r="W2601" s="2" t="s">
        <v>561</v>
      </c>
      <c r="X2601" s="2" t="s">
        <v>183</v>
      </c>
      <c r="Y2601" s="2" t="s">
        <v>3253</v>
      </c>
      <c r="Z2601" s="4">
        <v>219</v>
      </c>
      <c r="AA2601" s="4">
        <f>=ROUNDDOWN(37.7586206896552,0)</f>
      </c>
      <c r="AB2601" s="5">
        <v>5.8</v>
      </c>
      <c r="AC2601" s="2" t="s">
        <v>4334</v>
      </c>
      <c r="AD2601" s="4">
        <v>200</v>
      </c>
      <c r="AE2601" s="4">
        <v>200</v>
      </c>
      <c r="AF2601" s="6">
        <v>74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/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/>
      <c r="BJ2601" s="4">
        <v>136</v>
      </c>
      <c r="BK2601" s="8">
        <v>30437.33</v>
      </c>
      <c r="BL2601" s="2" t="s">
        <v>3254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2528</v>
      </c>
      <c r="BV2601" s="2" t="s">
        <v>97</v>
      </c>
      <c r="BW2601" s="2" t="s">
        <v>100</v>
      </c>
      <c r="BX2601" s="2" t="s">
        <v>100</v>
      </c>
      <c r="BY2601" s="2" t="s">
        <v>113</v>
      </c>
      <c r="BZ2601" s="2" t="s">
        <v>100</v>
      </c>
    </row>
    <row r="2602">
      <c r="A2602" s="2" t="s">
        <v>8125</v>
      </c>
      <c r="B2602" s="2" t="s">
        <v>7711</v>
      </c>
      <c r="C2602" s="2" t="s">
        <v>2850</v>
      </c>
      <c r="D2602" s="2" t="s">
        <v>8073</v>
      </c>
      <c r="E2602" s="2" t="s">
        <v>7907</v>
      </c>
      <c r="F2602" s="2" t="s">
        <v>8075</v>
      </c>
      <c r="G2602" s="2" t="s">
        <v>8075</v>
      </c>
      <c r="H2602" s="2" t="s">
        <v>8075</v>
      </c>
      <c r="I2602" s="2" t="s">
        <v>8126</v>
      </c>
      <c r="J2602" s="2" t="s">
        <v>3877</v>
      </c>
      <c r="K2602" s="2" t="s">
        <v>913</v>
      </c>
      <c r="L2602" s="3">
        <v>71.25</v>
      </c>
      <c r="M2602" s="3">
        <v>74.81</v>
      </c>
      <c r="N2602" s="3">
        <v>149</v>
      </c>
      <c r="O2602" s="2" t="s">
        <v>97</v>
      </c>
      <c r="P2602" s="2" t="s">
        <v>98</v>
      </c>
      <c r="Q2602" s="2" t="s">
        <v>99</v>
      </c>
      <c r="R2602" s="2" t="s">
        <v>100</v>
      </c>
      <c r="S2602" s="2" t="s">
        <v>8127</v>
      </c>
      <c r="T2602" s="2" t="s">
        <v>100</v>
      </c>
      <c r="U2602" s="2" t="s">
        <v>100</v>
      </c>
      <c r="V2602" s="2" t="s">
        <v>146</v>
      </c>
      <c r="W2602" s="2" t="s">
        <v>1580</v>
      </c>
      <c r="X2602" s="2" t="s">
        <v>100</v>
      </c>
      <c r="Y2602" s="2" t="s">
        <v>240</v>
      </c>
      <c r="Z2602" s="4">
        <v>660</v>
      </c>
      <c r="AA2602" s="4">
        <f>=ROUNDDOWN(14.6341463414634,0)</f>
      </c>
      <c r="AB2602" s="5">
        <v>45.1</v>
      </c>
      <c r="AC2602" s="2" t="s">
        <v>2948</v>
      </c>
      <c r="AD2602" s="4">
        <v>300</v>
      </c>
      <c r="AE2602" s="4">
        <v>950</v>
      </c>
      <c r="AF2602" s="6">
        <v>74</v>
      </c>
      <c r="AG2602" s="6">
        <v>60</v>
      </c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/>
      <c r="BJ2602" s="4">
        <v>1022</v>
      </c>
      <c r="BK2602" s="8">
        <v>78958.73</v>
      </c>
      <c r="BL2602" s="2" t="s">
        <v>8128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2528</v>
      </c>
      <c r="BV2602" s="2" t="s">
        <v>97</v>
      </c>
      <c r="BW2602" s="2" t="s">
        <v>100</v>
      </c>
      <c r="BX2602" s="2" t="s">
        <v>100</v>
      </c>
      <c r="BY2602" s="2" t="s">
        <v>113</v>
      </c>
      <c r="BZ2602" s="2" t="s">
        <v>100</v>
      </c>
    </row>
    <row r="2603">
      <c r="A2603" s="2" t="s">
        <v>8129</v>
      </c>
      <c r="B2603" s="2" t="s">
        <v>7711</v>
      </c>
      <c r="C2603" s="2" t="s">
        <v>2850</v>
      </c>
      <c r="D2603" s="2" t="s">
        <v>8073</v>
      </c>
      <c r="E2603" s="2" t="s">
        <v>7907</v>
      </c>
      <c r="F2603" s="2" t="s">
        <v>8075</v>
      </c>
      <c r="G2603" s="2" t="s">
        <v>8075</v>
      </c>
      <c r="H2603" s="2" t="s">
        <v>8075</v>
      </c>
      <c r="I2603" s="2" t="s">
        <v>8126</v>
      </c>
      <c r="J2603" s="2" t="s">
        <v>3877</v>
      </c>
      <c r="K2603" s="2" t="s">
        <v>7835</v>
      </c>
      <c r="L2603" s="3">
        <v>71.25</v>
      </c>
      <c r="M2603" s="3">
        <v>74.81</v>
      </c>
      <c r="N2603" s="3">
        <v>149</v>
      </c>
      <c r="O2603" s="2" t="s">
        <v>97</v>
      </c>
      <c r="P2603" s="2" t="s">
        <v>119</v>
      </c>
      <c r="Q2603" s="2" t="s">
        <v>99</v>
      </c>
      <c r="R2603" s="2" t="s">
        <v>100</v>
      </c>
      <c r="S2603" s="2" t="s">
        <v>100</v>
      </c>
      <c r="T2603" s="2" t="s">
        <v>100</v>
      </c>
      <c r="U2603" s="2" t="s">
        <v>1847</v>
      </c>
      <c r="V2603" s="2" t="s">
        <v>146</v>
      </c>
      <c r="W2603" s="2" t="s">
        <v>1580</v>
      </c>
      <c r="X2603" s="2" t="s">
        <v>561</v>
      </c>
      <c r="Y2603" s="2" t="s">
        <v>8080</v>
      </c>
      <c r="Z2603" s="4">
        <v>264</v>
      </c>
      <c r="AA2603" s="4">
        <f>=ROUNDDOWN(14.6666666666667,0)</f>
      </c>
      <c r="AB2603" s="5">
        <v>18</v>
      </c>
      <c r="AC2603" s="2" t="s">
        <v>880</v>
      </c>
      <c r="AD2603" s="4">
        <v>200</v>
      </c>
      <c r="AE2603" s="4">
        <v>350</v>
      </c>
      <c r="AF2603" s="6">
        <v>74</v>
      </c>
      <c r="AG2603" s="6">
        <v>60</v>
      </c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/>
      <c r="BJ2603" s="4">
        <v>476</v>
      </c>
      <c r="BK2603" s="8">
        <v>36297.59</v>
      </c>
      <c r="BL2603" s="2" t="s">
        <v>8130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2528</v>
      </c>
      <c r="BV2603" s="2" t="s">
        <v>97</v>
      </c>
      <c r="BW2603" s="2" t="s">
        <v>100</v>
      </c>
      <c r="BX2603" s="2" t="s">
        <v>100</v>
      </c>
      <c r="BY2603" s="2" t="s">
        <v>113</v>
      </c>
      <c r="BZ2603" s="2" t="s">
        <v>100</v>
      </c>
    </row>
    <row r="2604">
      <c r="A2604" s="2" t="s">
        <v>8131</v>
      </c>
      <c r="B2604" s="2" t="s">
        <v>7711</v>
      </c>
      <c r="C2604" s="2" t="s">
        <v>88</v>
      </c>
      <c r="D2604" s="2" t="s">
        <v>7712</v>
      </c>
      <c r="E2604" s="2" t="s">
        <v>7776</v>
      </c>
      <c r="F2604" s="2" t="s">
        <v>8132</v>
      </c>
      <c r="G2604" s="2" t="s">
        <v>8133</v>
      </c>
      <c r="H2604" s="2" t="s">
        <v>2543</v>
      </c>
      <c r="I2604" s="2" t="s">
        <v>8134</v>
      </c>
      <c r="J2604" s="2" t="s">
        <v>3877</v>
      </c>
      <c r="K2604" s="2" t="s">
        <v>1148</v>
      </c>
      <c r="L2604" s="3">
        <v>156.75</v>
      </c>
      <c r="M2604" s="3">
        <v>164.59</v>
      </c>
      <c r="N2604" s="3">
        <v>329</v>
      </c>
      <c r="O2604" s="2" t="s">
        <v>97</v>
      </c>
      <c r="P2604" s="2" t="s">
        <v>119</v>
      </c>
      <c r="Q2604" s="2" t="s">
        <v>99</v>
      </c>
      <c r="R2604" s="2" t="s">
        <v>100</v>
      </c>
      <c r="S2604" s="2" t="s">
        <v>100</v>
      </c>
      <c r="T2604" s="2" t="s">
        <v>100</v>
      </c>
      <c r="U2604" s="2" t="s">
        <v>1847</v>
      </c>
      <c r="V2604" s="2" t="s">
        <v>3188</v>
      </c>
      <c r="W2604" s="2" t="s">
        <v>104</v>
      </c>
      <c r="X2604" s="2" t="s">
        <v>1580</v>
      </c>
      <c r="Y2604" s="2" t="s">
        <v>8135</v>
      </c>
      <c r="Z2604" s="4">
        <v>81</v>
      </c>
      <c r="AA2604" s="4">
        <f>=ROUNDDOWN(13.5,0)</f>
      </c>
      <c r="AB2604" s="5">
        <v>6</v>
      </c>
      <c r="AC2604" s="2" t="s">
        <v>205</v>
      </c>
      <c r="AD2604" s="4">
        <v>110</v>
      </c>
      <c r="AE2604" s="4">
        <v>210</v>
      </c>
      <c r="AF2604" s="6">
        <v>66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/>
      <c r="BD2604" s="8"/>
      <c r="BE2604" s="4"/>
      <c r="BF2604" s="8"/>
      <c r="BG2604" s="7"/>
      <c r="BH2604" s="7"/>
      <c r="BI2604" s="7"/>
      <c r="BJ2604" s="4">
        <v>133</v>
      </c>
      <c r="BK2604" s="8">
        <v>23056.23</v>
      </c>
      <c r="BL2604" s="2" t="s">
        <v>8136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2480</v>
      </c>
      <c r="BV2604" s="2" t="s">
        <v>97</v>
      </c>
      <c r="BW2604" s="2" t="s">
        <v>100</v>
      </c>
      <c r="BX2604" s="2" t="s">
        <v>100</v>
      </c>
      <c r="BY2604" s="2" t="s">
        <v>113</v>
      </c>
      <c r="BZ2604" s="2" t="s">
        <v>100</v>
      </c>
    </row>
    <row r="2605">
      <c r="A2605" s="2" t="s">
        <v>8137</v>
      </c>
      <c r="B2605" s="2" t="s">
        <v>7711</v>
      </c>
      <c r="C2605" s="2" t="s">
        <v>88</v>
      </c>
      <c r="D2605" s="2" t="s">
        <v>7712</v>
      </c>
      <c r="E2605" s="2" t="s">
        <v>7776</v>
      </c>
      <c r="F2605" s="2" t="s">
        <v>8138</v>
      </c>
      <c r="G2605" s="2" t="s">
        <v>8139</v>
      </c>
      <c r="H2605" s="2" t="s">
        <v>8140</v>
      </c>
      <c r="I2605" s="2" t="s">
        <v>7777</v>
      </c>
      <c r="J2605" s="2" t="s">
        <v>3877</v>
      </c>
      <c r="K2605" s="2" t="s">
        <v>604</v>
      </c>
      <c r="L2605" s="3">
        <v>171</v>
      </c>
      <c r="M2605" s="3">
        <v>179.55</v>
      </c>
      <c r="N2605" s="3">
        <v>359</v>
      </c>
      <c r="O2605" s="2" t="s">
        <v>97</v>
      </c>
      <c r="P2605" s="2" t="s">
        <v>119</v>
      </c>
      <c r="Q2605" s="2" t="s">
        <v>99</v>
      </c>
      <c r="R2605" s="2" t="s">
        <v>100</v>
      </c>
      <c r="S2605" s="2" t="s">
        <v>100</v>
      </c>
      <c r="T2605" s="2" t="s">
        <v>100</v>
      </c>
      <c r="U2605" s="2" t="s">
        <v>1847</v>
      </c>
      <c r="V2605" s="2" t="s">
        <v>146</v>
      </c>
      <c r="W2605" s="2" t="s">
        <v>104</v>
      </c>
      <c r="X2605" s="2" t="s">
        <v>309</v>
      </c>
      <c r="Y2605" s="2" t="s">
        <v>8141</v>
      </c>
      <c r="Z2605" s="4">
        <v>102</v>
      </c>
      <c r="AA2605" s="4">
        <f>=ROUNDDOWN(14.1666666666667,0)</f>
      </c>
      <c r="AB2605" s="5">
        <v>7.2</v>
      </c>
      <c r="AC2605" s="2" t="s">
        <v>241</v>
      </c>
      <c r="AD2605" s="4">
        <v>1</v>
      </c>
      <c r="AE2605" s="4">
        <v>201</v>
      </c>
      <c r="AF2605" s="6">
        <v>66</v>
      </c>
      <c r="AG2605" s="6">
        <v>49</v>
      </c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/>
      <c r="BD2605" s="8"/>
      <c r="BE2605" s="4"/>
      <c r="BF2605" s="8"/>
      <c r="BG2605" s="7"/>
      <c r="BH2605" s="7"/>
      <c r="BI2605" s="7"/>
      <c r="BJ2605" s="4">
        <v>196</v>
      </c>
      <c r="BK2605" s="8">
        <v>34797.52</v>
      </c>
      <c r="BL2605" s="2" t="s">
        <v>8142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2480</v>
      </c>
      <c r="BV2605" s="2" t="s">
        <v>97</v>
      </c>
      <c r="BW2605" s="2" t="s">
        <v>100</v>
      </c>
      <c r="BX2605" s="2" t="s">
        <v>100</v>
      </c>
      <c r="BY2605" s="2" t="s">
        <v>113</v>
      </c>
      <c r="BZ2605" s="2" t="s">
        <v>100</v>
      </c>
    </row>
    <row r="2606">
      <c r="A2606" s="2" t="s">
        <v>8143</v>
      </c>
      <c r="B2606" s="2" t="s">
        <v>7711</v>
      </c>
      <c r="C2606" s="2" t="s">
        <v>88</v>
      </c>
      <c r="D2606" s="2" t="s">
        <v>7712</v>
      </c>
      <c r="E2606" s="2" t="s">
        <v>7776</v>
      </c>
      <c r="F2606" s="2" t="s">
        <v>8144</v>
      </c>
      <c r="G2606" s="2" t="s">
        <v>8145</v>
      </c>
      <c r="H2606" s="2" t="s">
        <v>8146</v>
      </c>
      <c r="I2606" s="2" t="s">
        <v>8147</v>
      </c>
      <c r="J2606" s="2" t="s">
        <v>3877</v>
      </c>
      <c r="K2606" s="2" t="s">
        <v>118</v>
      </c>
      <c r="L2606" s="3">
        <v>114</v>
      </c>
      <c r="M2606" s="3">
        <v>119.7</v>
      </c>
      <c r="N2606" s="3">
        <v>239</v>
      </c>
      <c r="O2606" s="2" t="s">
        <v>97</v>
      </c>
      <c r="P2606" s="2" t="s">
        <v>119</v>
      </c>
      <c r="Q2606" s="2" t="s">
        <v>99</v>
      </c>
      <c r="R2606" s="2" t="s">
        <v>100</v>
      </c>
      <c r="S2606" s="2" t="s">
        <v>100</v>
      </c>
      <c r="T2606" s="2" t="s">
        <v>100</v>
      </c>
      <c r="U2606" s="2" t="s">
        <v>1847</v>
      </c>
      <c r="V2606" s="2" t="s">
        <v>146</v>
      </c>
      <c r="W2606" s="2" t="s">
        <v>104</v>
      </c>
      <c r="X2606" s="2" t="s">
        <v>309</v>
      </c>
      <c r="Y2606" s="2" t="s">
        <v>8148</v>
      </c>
      <c r="Z2606" s="4">
        <v>57</v>
      </c>
      <c r="AA2606" s="4">
        <f>=ROUNDDOWN(5.13513513513514,0)</f>
      </c>
      <c r="AB2606" s="5">
        <v>11.1</v>
      </c>
      <c r="AC2606" s="2" t="s">
        <v>271</v>
      </c>
      <c r="AD2606" s="4">
        <v>100</v>
      </c>
      <c r="AE2606" s="4">
        <v>492</v>
      </c>
      <c r="AF2606" s="6">
        <v>74</v>
      </c>
      <c r="AG2606" s="6">
        <v>60</v>
      </c>
      <c r="AH2606" s="7">
        <v>0.9412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>
        <v>290</v>
      </c>
      <c r="BK2606" s="8">
        <v>35711.1</v>
      </c>
      <c r="BL2606" s="2" t="s">
        <v>8149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2480</v>
      </c>
      <c r="BV2606" s="2" t="s">
        <v>97</v>
      </c>
      <c r="BW2606" s="2" t="s">
        <v>100</v>
      </c>
      <c r="BX2606" s="2" t="s">
        <v>100</v>
      </c>
      <c r="BY2606" s="2" t="s">
        <v>113</v>
      </c>
      <c r="BZ2606" s="2" t="s">
        <v>100</v>
      </c>
    </row>
    <row r="2607">
      <c r="A2607" s="2" t="s">
        <v>8150</v>
      </c>
      <c r="B2607" s="2" t="s">
        <v>7711</v>
      </c>
      <c r="C2607" s="2" t="s">
        <v>88</v>
      </c>
      <c r="D2607" s="2" t="s">
        <v>7712</v>
      </c>
      <c r="E2607" s="2" t="s">
        <v>7776</v>
      </c>
      <c r="F2607" s="2" t="s">
        <v>8144</v>
      </c>
      <c r="G2607" s="2" t="s">
        <v>8145</v>
      </c>
      <c r="H2607" s="2" t="s">
        <v>8146</v>
      </c>
      <c r="I2607" s="2" t="s">
        <v>8147</v>
      </c>
      <c r="J2607" s="2" t="s">
        <v>3877</v>
      </c>
      <c r="K2607" s="2" t="s">
        <v>278</v>
      </c>
      <c r="L2607" s="3">
        <v>114</v>
      </c>
      <c r="M2607" s="3">
        <v>119.7</v>
      </c>
      <c r="N2607" s="3">
        <v>239</v>
      </c>
      <c r="O2607" s="2" t="s">
        <v>97</v>
      </c>
      <c r="P2607" s="2" t="s">
        <v>225</v>
      </c>
      <c r="Q2607" s="2" t="s">
        <v>99</v>
      </c>
      <c r="R2607" s="2" t="s">
        <v>100</v>
      </c>
      <c r="S2607" s="2" t="s">
        <v>8151</v>
      </c>
      <c r="T2607" s="2" t="s">
        <v>100</v>
      </c>
      <c r="U2607" s="2" t="s">
        <v>100</v>
      </c>
      <c r="V2607" s="2" t="s">
        <v>146</v>
      </c>
      <c r="W2607" s="2" t="s">
        <v>104</v>
      </c>
      <c r="X2607" s="2" t="s">
        <v>100</v>
      </c>
      <c r="Y2607" s="2" t="s">
        <v>8152</v>
      </c>
      <c r="Z2607" s="4">
        <v>80</v>
      </c>
      <c r="AA2607" s="4">
        <f>=ROUNDDOWN(20,0)</f>
      </c>
      <c r="AB2607" s="5">
        <v>4</v>
      </c>
      <c r="AC2607" s="2" t="s">
        <v>5100</v>
      </c>
      <c r="AD2607" s="4">
        <v>73</v>
      </c>
      <c r="AE2607" s="4">
        <v>79</v>
      </c>
      <c r="AF2607" s="6">
        <v>74</v>
      </c>
      <c r="AG2607" s="6">
        <v>60</v>
      </c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>
        <v>13</v>
      </c>
      <c r="BK2607" s="8">
        <v>1593.74</v>
      </c>
      <c r="BL2607" s="2" t="s">
        <v>3304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230</v>
      </c>
      <c r="BV2607" s="2" t="s">
        <v>97</v>
      </c>
      <c r="BW2607" s="2" t="s">
        <v>100</v>
      </c>
      <c r="BX2607" s="2" t="s">
        <v>100</v>
      </c>
      <c r="BY2607" s="2" t="s">
        <v>113</v>
      </c>
      <c r="BZ2607" s="2" t="s">
        <v>100</v>
      </c>
    </row>
    <row r="2608">
      <c r="A2608" s="2" t="s">
        <v>8153</v>
      </c>
      <c r="B2608" s="2" t="s">
        <v>7711</v>
      </c>
      <c r="C2608" s="2" t="s">
        <v>88</v>
      </c>
      <c r="D2608" s="2" t="s">
        <v>7712</v>
      </c>
      <c r="E2608" s="2" t="s">
        <v>7776</v>
      </c>
      <c r="F2608" s="2" t="s">
        <v>8144</v>
      </c>
      <c r="G2608" s="2" t="s">
        <v>8145</v>
      </c>
      <c r="H2608" s="2" t="s">
        <v>8146</v>
      </c>
      <c r="I2608" s="2" t="s">
        <v>7777</v>
      </c>
      <c r="J2608" s="2" t="s">
        <v>3877</v>
      </c>
      <c r="K2608" s="2" t="s">
        <v>198</v>
      </c>
      <c r="L2608" s="3">
        <v>114</v>
      </c>
      <c r="M2608" s="3">
        <v>119.7</v>
      </c>
      <c r="N2608" s="3">
        <v>239</v>
      </c>
      <c r="O2608" s="2" t="s">
        <v>97</v>
      </c>
      <c r="P2608" s="2" t="s">
        <v>372</v>
      </c>
      <c r="Q2608" s="2" t="s">
        <v>99</v>
      </c>
      <c r="R2608" s="2" t="s">
        <v>100</v>
      </c>
      <c r="S2608" s="2" t="s">
        <v>8154</v>
      </c>
      <c r="T2608" s="2" t="s">
        <v>100</v>
      </c>
      <c r="U2608" s="2" t="s">
        <v>100</v>
      </c>
      <c r="V2608" s="2" t="s">
        <v>146</v>
      </c>
      <c r="W2608" s="2" t="s">
        <v>104</v>
      </c>
      <c r="X2608" s="2" t="s">
        <v>100</v>
      </c>
      <c r="Y2608" s="2" t="s">
        <v>2054</v>
      </c>
      <c r="Z2608" s="4">
        <v>565</v>
      </c>
      <c r="AA2608" s="4">
        <f>=ROUNDDOWN(19.8943661971831,0)</f>
      </c>
      <c r="AB2608" s="5">
        <v>28.4</v>
      </c>
      <c r="AC2608" s="2" t="s">
        <v>1292</v>
      </c>
      <c r="AD2608" s="4">
        <v>187</v>
      </c>
      <c r="AE2608" s="4">
        <v>721</v>
      </c>
      <c r="AF2608" s="6">
        <v>74</v>
      </c>
      <c r="AG2608" s="6">
        <v>60</v>
      </c>
      <c r="AH2608" s="7">
        <v>1</v>
      </c>
      <c r="AI2608" s="4"/>
      <c r="AJ2608" s="4">
        <f>=ROUNDDOWN({0},0)</f>
      </c>
      <c r="AK2608" s="5">
        <v>20.6</v>
      </c>
      <c r="AL2608" s="2" t="s">
        <v>5523</v>
      </c>
      <c r="AM2608" s="4">
        <v>141</v>
      </c>
      <c r="AN2608" s="4">
        <v>191</v>
      </c>
      <c r="AO2608" s="7">
        <v>0.4332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/>
      <c r="BJ2608" s="4">
        <v>1170</v>
      </c>
      <c r="BK2608" s="8">
        <v>138922.78</v>
      </c>
      <c r="BL2608" s="2" t="s">
        <v>8155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2480</v>
      </c>
      <c r="BV2608" s="2" t="s">
        <v>97</v>
      </c>
      <c r="BW2608" s="2" t="s">
        <v>100</v>
      </c>
      <c r="BX2608" s="2" t="s">
        <v>100</v>
      </c>
      <c r="BY2608" s="2" t="s">
        <v>113</v>
      </c>
      <c r="BZ2608" s="2" t="s">
        <v>100</v>
      </c>
    </row>
    <row r="2609">
      <c r="A2609" s="2" t="s">
        <v>8156</v>
      </c>
      <c r="B2609" s="2" t="s">
        <v>7711</v>
      </c>
      <c r="C2609" s="2" t="s">
        <v>88</v>
      </c>
      <c r="D2609" s="2" t="s">
        <v>7712</v>
      </c>
      <c r="E2609" s="2" t="s">
        <v>7776</v>
      </c>
      <c r="F2609" s="2" t="s">
        <v>8144</v>
      </c>
      <c r="G2609" s="2" t="s">
        <v>8145</v>
      </c>
      <c r="H2609" s="2" t="s">
        <v>8146</v>
      </c>
      <c r="I2609" s="2" t="s">
        <v>8147</v>
      </c>
      <c r="J2609" s="2" t="s">
        <v>3877</v>
      </c>
      <c r="K2609" s="2" t="s">
        <v>4580</v>
      </c>
      <c r="L2609" s="3">
        <v>114</v>
      </c>
      <c r="M2609" s="3">
        <v>119.7</v>
      </c>
      <c r="N2609" s="3">
        <v>239</v>
      </c>
      <c r="O2609" s="2" t="s">
        <v>97</v>
      </c>
      <c r="P2609" s="2" t="s">
        <v>98</v>
      </c>
      <c r="Q2609" s="2" t="s">
        <v>99</v>
      </c>
      <c r="R2609" s="2" t="s">
        <v>100</v>
      </c>
      <c r="S2609" s="2" t="s">
        <v>100</v>
      </c>
      <c r="T2609" s="2" t="s">
        <v>100</v>
      </c>
      <c r="U2609" s="2" t="s">
        <v>1847</v>
      </c>
      <c r="V2609" s="2" t="s">
        <v>146</v>
      </c>
      <c r="W2609" s="2" t="s">
        <v>104</v>
      </c>
      <c r="X2609" s="2" t="s">
        <v>100</v>
      </c>
      <c r="Y2609" s="2" t="s">
        <v>8157</v>
      </c>
      <c r="Z2609" s="4">
        <v>432</v>
      </c>
      <c r="AA2609" s="4">
        <f>=ROUNDDOWN(31.304347826087,0)</f>
      </c>
      <c r="AB2609" s="5">
        <v>13.8</v>
      </c>
      <c r="AC2609" s="2" t="s">
        <v>872</v>
      </c>
      <c r="AD2609" s="4">
        <v>165</v>
      </c>
      <c r="AE2609" s="4">
        <v>718</v>
      </c>
      <c r="AF2609" s="6">
        <v>74</v>
      </c>
      <c r="AG2609" s="6">
        <v>60</v>
      </c>
      <c r="AH2609" s="7">
        <v>1</v>
      </c>
      <c r="AI2609" s="4"/>
      <c r="AJ2609" s="4">
        <f>=ROUNDDOWN({0},0)</f>
      </c>
      <c r="AK2609" s="5">
        <v>13.2</v>
      </c>
      <c r="AL2609" s="2" t="s">
        <v>4334</v>
      </c>
      <c r="AM2609" s="4">
        <v>70</v>
      </c>
      <c r="AN2609" s="4">
        <v>70</v>
      </c>
      <c r="AO2609" s="7">
        <v>0.4332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543</v>
      </c>
      <c r="BK2609" s="8">
        <v>65265.07</v>
      </c>
      <c r="BL2609" s="2" t="s">
        <v>8158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2480</v>
      </c>
      <c r="BV2609" s="2" t="s">
        <v>97</v>
      </c>
      <c r="BW2609" s="2" t="s">
        <v>100</v>
      </c>
      <c r="BX2609" s="2" t="s">
        <v>100</v>
      </c>
      <c r="BY2609" s="2" t="s">
        <v>113</v>
      </c>
      <c r="BZ2609" s="2" t="s">
        <v>100</v>
      </c>
    </row>
    <row r="2610">
      <c r="A2610" s="2" t="s">
        <v>8159</v>
      </c>
      <c r="B2610" s="2" t="s">
        <v>7711</v>
      </c>
      <c r="C2610" s="2" t="s">
        <v>88</v>
      </c>
      <c r="D2610" s="2" t="s">
        <v>7712</v>
      </c>
      <c r="E2610" s="2" t="s">
        <v>7776</v>
      </c>
      <c r="F2610" s="2" t="s">
        <v>8144</v>
      </c>
      <c r="G2610" s="2" t="s">
        <v>8145</v>
      </c>
      <c r="H2610" s="2" t="s">
        <v>8146</v>
      </c>
      <c r="I2610" s="2" t="s">
        <v>8147</v>
      </c>
      <c r="J2610" s="2" t="s">
        <v>3877</v>
      </c>
      <c r="K2610" s="2" t="s">
        <v>1172</v>
      </c>
      <c r="L2610" s="3">
        <v>114</v>
      </c>
      <c r="M2610" s="3">
        <v>119.7</v>
      </c>
      <c r="N2610" s="3">
        <v>239</v>
      </c>
      <c r="O2610" s="2" t="s">
        <v>97</v>
      </c>
      <c r="P2610" s="2" t="s">
        <v>98</v>
      </c>
      <c r="Q2610" s="2" t="s">
        <v>99</v>
      </c>
      <c r="R2610" s="2" t="s">
        <v>100</v>
      </c>
      <c r="S2610" s="2" t="s">
        <v>8151</v>
      </c>
      <c r="T2610" s="2" t="s">
        <v>100</v>
      </c>
      <c r="U2610" s="2" t="s">
        <v>100</v>
      </c>
      <c r="V2610" s="2" t="s">
        <v>146</v>
      </c>
      <c r="W2610" s="2" t="s">
        <v>104</v>
      </c>
      <c r="X2610" s="2" t="s">
        <v>100</v>
      </c>
      <c r="Y2610" s="2" t="s">
        <v>7783</v>
      </c>
      <c r="Z2610" s="4">
        <v>824</v>
      </c>
      <c r="AA2610" s="4">
        <f>=ROUNDDOWN(47.6300578034682,0)</f>
      </c>
      <c r="AB2610" s="5">
        <v>17.3</v>
      </c>
      <c r="AC2610" s="2" t="s">
        <v>1292</v>
      </c>
      <c r="AD2610" s="4">
        <v>305</v>
      </c>
      <c r="AE2610" s="4">
        <v>353</v>
      </c>
      <c r="AF2610" s="6">
        <v>74</v>
      </c>
      <c r="AG2610" s="6">
        <v>60</v>
      </c>
      <c r="AH2610" s="7">
        <v>1</v>
      </c>
      <c r="AI2610" s="4"/>
      <c r="AJ2610" s="4">
        <f>=ROUNDDOWN({0},0)</f>
      </c>
      <c r="AK2610" s="5">
        <v>11.5</v>
      </c>
      <c r="AL2610" s="2" t="s">
        <v>4334</v>
      </c>
      <c r="AM2610" s="4">
        <v>60</v>
      </c>
      <c r="AN2610" s="4">
        <v>100</v>
      </c>
      <c r="AO2610" s="7">
        <v>0.4332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537</v>
      </c>
      <c r="BK2610" s="8">
        <v>61759.51</v>
      </c>
      <c r="BL2610" s="2" t="s">
        <v>8160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2480</v>
      </c>
      <c r="BV2610" s="2" t="s">
        <v>97</v>
      </c>
      <c r="BW2610" s="2" t="s">
        <v>100</v>
      </c>
      <c r="BX2610" s="2" t="s">
        <v>100</v>
      </c>
      <c r="BY2610" s="2" t="s">
        <v>113</v>
      </c>
      <c r="BZ2610" s="2" t="s">
        <v>100</v>
      </c>
    </row>
    <row r="2611">
      <c r="A2611" s="2" t="s">
        <v>8161</v>
      </c>
      <c r="B2611" s="2" t="s">
        <v>7711</v>
      </c>
      <c r="C2611" s="2" t="s">
        <v>88</v>
      </c>
      <c r="D2611" s="2" t="s">
        <v>7712</v>
      </c>
      <c r="E2611" s="2" t="s">
        <v>7776</v>
      </c>
      <c r="F2611" s="2" t="s">
        <v>8144</v>
      </c>
      <c r="G2611" s="2" t="s">
        <v>8145</v>
      </c>
      <c r="H2611" s="2" t="s">
        <v>8146</v>
      </c>
      <c r="I2611" s="2" t="s">
        <v>8147</v>
      </c>
      <c r="J2611" s="2" t="s">
        <v>3877</v>
      </c>
      <c r="K2611" s="2" t="s">
        <v>8162</v>
      </c>
      <c r="L2611" s="3">
        <v>114</v>
      </c>
      <c r="M2611" s="3">
        <v>119.7</v>
      </c>
      <c r="N2611" s="3">
        <v>239</v>
      </c>
      <c r="O2611" s="2" t="s">
        <v>97</v>
      </c>
      <c r="P2611" s="2" t="s">
        <v>119</v>
      </c>
      <c r="Q2611" s="2" t="s">
        <v>99</v>
      </c>
      <c r="R2611" s="2" t="s">
        <v>100</v>
      </c>
      <c r="S2611" s="2" t="s">
        <v>100</v>
      </c>
      <c r="T2611" s="2" t="s">
        <v>100</v>
      </c>
      <c r="U2611" s="2" t="s">
        <v>1847</v>
      </c>
      <c r="V2611" s="2" t="s">
        <v>403</v>
      </c>
      <c r="W2611" s="2" t="s">
        <v>104</v>
      </c>
      <c r="X2611" s="2" t="s">
        <v>100</v>
      </c>
      <c r="Y2611" s="2" t="s">
        <v>8163</v>
      </c>
      <c r="Z2611" s="4">
        <v>98</v>
      </c>
      <c r="AA2611" s="4">
        <f>=ROUNDDOWN(5.44444444444444,0)</f>
      </c>
      <c r="AB2611" s="5">
        <v>18</v>
      </c>
      <c r="AC2611" s="2" t="s">
        <v>271</v>
      </c>
      <c r="AD2611" s="4">
        <v>100</v>
      </c>
      <c r="AE2611" s="4">
        <v>578</v>
      </c>
      <c r="AF2611" s="6">
        <v>74</v>
      </c>
      <c r="AG2611" s="6">
        <v>60</v>
      </c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429</v>
      </c>
      <c r="BK2611" s="8">
        <v>52813.4</v>
      </c>
      <c r="BL2611" s="2" t="s">
        <v>8164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2480</v>
      </c>
      <c r="BV2611" s="2" t="s">
        <v>97</v>
      </c>
      <c r="BW2611" s="2" t="s">
        <v>100</v>
      </c>
      <c r="BX2611" s="2" t="s">
        <v>100</v>
      </c>
      <c r="BY2611" s="2" t="s">
        <v>113</v>
      </c>
      <c r="BZ2611" s="2" t="s">
        <v>100</v>
      </c>
    </row>
    <row r="2612">
      <c r="A2612" s="2" t="s">
        <v>8165</v>
      </c>
      <c r="B2612" s="2" t="s">
        <v>7711</v>
      </c>
      <c r="C2612" s="2" t="s">
        <v>88</v>
      </c>
      <c r="D2612" s="2" t="s">
        <v>7712</v>
      </c>
      <c r="E2612" s="2" t="s">
        <v>7713</v>
      </c>
      <c r="F2612" s="2" t="s">
        <v>8166</v>
      </c>
      <c r="G2612" s="2" t="s">
        <v>2100</v>
      </c>
      <c r="H2612" s="2" t="s">
        <v>8167</v>
      </c>
      <c r="I2612" s="2" t="s">
        <v>8168</v>
      </c>
      <c r="J2612" s="2" t="s">
        <v>3877</v>
      </c>
      <c r="K2612" s="2" t="s">
        <v>8169</v>
      </c>
      <c r="L2612" s="3">
        <v>135.85</v>
      </c>
      <c r="M2612" s="3">
        <v>142.64</v>
      </c>
      <c r="N2612" s="3">
        <v>289</v>
      </c>
      <c r="O2612" s="2" t="s">
        <v>97</v>
      </c>
      <c r="P2612" s="2" t="s">
        <v>119</v>
      </c>
      <c r="Q2612" s="2" t="s">
        <v>99</v>
      </c>
      <c r="R2612" s="2" t="s">
        <v>100</v>
      </c>
      <c r="S2612" s="2" t="s">
        <v>8170</v>
      </c>
      <c r="T2612" s="2" t="s">
        <v>100</v>
      </c>
      <c r="U2612" s="2" t="s">
        <v>100</v>
      </c>
      <c r="V2612" s="2" t="s">
        <v>146</v>
      </c>
      <c r="W2612" s="2" t="s">
        <v>309</v>
      </c>
      <c r="X2612" s="2" t="s">
        <v>100</v>
      </c>
      <c r="Y2612" s="2" t="s">
        <v>240</v>
      </c>
      <c r="Z2612" s="4">
        <v>121</v>
      </c>
      <c r="AA2612" s="4">
        <f>=ROUNDDOWN(15.125,0)</f>
      </c>
      <c r="AB2612" s="5">
        <v>8</v>
      </c>
      <c r="AC2612" s="2" t="s">
        <v>2618</v>
      </c>
      <c r="AD2612" s="4">
        <v>100</v>
      </c>
      <c r="AE2612" s="4">
        <v>205</v>
      </c>
      <c r="AF2612" s="6">
        <v>66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0.4332</v>
      </c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172</v>
      </c>
      <c r="BK2612" s="8">
        <v>22798.66</v>
      </c>
      <c r="BL2612" s="2" t="s">
        <v>8164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2480</v>
      </c>
      <c r="BV2612" s="2" t="s">
        <v>97</v>
      </c>
      <c r="BW2612" s="2" t="s">
        <v>100</v>
      </c>
      <c r="BX2612" s="2" t="s">
        <v>100</v>
      </c>
      <c r="BY2612" s="2" t="s">
        <v>113</v>
      </c>
      <c r="BZ2612" s="2" t="s">
        <v>100</v>
      </c>
    </row>
    <row r="2613">
      <c r="A2613" s="2" t="s">
        <v>8171</v>
      </c>
      <c r="B2613" s="2" t="s">
        <v>7711</v>
      </c>
      <c r="C2613" s="2" t="s">
        <v>88</v>
      </c>
      <c r="D2613" s="2" t="s">
        <v>7712</v>
      </c>
      <c r="E2613" s="2" t="s">
        <v>7713</v>
      </c>
      <c r="F2613" s="2" t="s">
        <v>8166</v>
      </c>
      <c r="G2613" s="2" t="s">
        <v>2100</v>
      </c>
      <c r="H2613" s="2" t="s">
        <v>8167</v>
      </c>
      <c r="I2613" s="2" t="s">
        <v>8168</v>
      </c>
      <c r="J2613" s="2" t="s">
        <v>3877</v>
      </c>
      <c r="K2613" s="2" t="s">
        <v>858</v>
      </c>
      <c r="L2613" s="3">
        <v>135.85</v>
      </c>
      <c r="M2613" s="3">
        <v>142.64</v>
      </c>
      <c r="N2613" s="3">
        <v>289</v>
      </c>
      <c r="O2613" s="2" t="s">
        <v>97</v>
      </c>
      <c r="P2613" s="2" t="s">
        <v>119</v>
      </c>
      <c r="Q2613" s="2" t="s">
        <v>99</v>
      </c>
      <c r="R2613" s="2" t="s">
        <v>100</v>
      </c>
      <c r="S2613" s="2" t="s">
        <v>100</v>
      </c>
      <c r="T2613" s="2" t="s">
        <v>100</v>
      </c>
      <c r="U2613" s="2" t="s">
        <v>1847</v>
      </c>
      <c r="V2613" s="2" t="s">
        <v>146</v>
      </c>
      <c r="W2613" s="2" t="s">
        <v>104</v>
      </c>
      <c r="X2613" s="2" t="s">
        <v>100</v>
      </c>
      <c r="Y2613" s="2" t="s">
        <v>8172</v>
      </c>
      <c r="Z2613" s="4">
        <v>305</v>
      </c>
      <c r="AA2613" s="4">
        <f>=ROUNDDOWN(30.5,0)</f>
      </c>
      <c r="AB2613" s="5">
        <v>10</v>
      </c>
      <c r="AC2613" s="2" t="s">
        <v>997</v>
      </c>
      <c r="AD2613" s="4">
        <v>172</v>
      </c>
      <c r="AE2613" s="4">
        <v>277</v>
      </c>
      <c r="AF2613" s="6">
        <v>66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0.2995</v>
      </c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>
        <v>218</v>
      </c>
      <c r="BK2613" s="8">
        <v>29972.55</v>
      </c>
      <c r="BL2613" s="2" t="s">
        <v>8173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2480</v>
      </c>
      <c r="BV2613" s="2" t="s">
        <v>97</v>
      </c>
      <c r="BW2613" s="2" t="s">
        <v>100</v>
      </c>
      <c r="BX2613" s="2" t="s">
        <v>100</v>
      </c>
      <c r="BY2613" s="2" t="s">
        <v>113</v>
      </c>
      <c r="BZ2613" s="2" t="s">
        <v>100</v>
      </c>
    </row>
    <row r="2614">
      <c r="A2614" s="2" t="s">
        <v>8174</v>
      </c>
      <c r="B2614" s="2" t="s">
        <v>7711</v>
      </c>
      <c r="C2614" s="2" t="s">
        <v>88</v>
      </c>
      <c r="D2614" s="2" t="s">
        <v>7712</v>
      </c>
      <c r="E2614" s="2" t="s">
        <v>7713</v>
      </c>
      <c r="F2614" s="2" t="s">
        <v>8175</v>
      </c>
      <c r="G2614" s="2" t="s">
        <v>8176</v>
      </c>
      <c r="H2614" s="2" t="s">
        <v>8177</v>
      </c>
      <c r="I2614" s="2" t="s">
        <v>8168</v>
      </c>
      <c r="J2614" s="2" t="s">
        <v>3877</v>
      </c>
      <c r="K2614" s="2" t="s">
        <v>604</v>
      </c>
      <c r="L2614" s="3">
        <v>128.7</v>
      </c>
      <c r="M2614" s="3">
        <v>135.14</v>
      </c>
      <c r="N2614" s="3">
        <v>269</v>
      </c>
      <c r="O2614" s="2" t="s">
        <v>97</v>
      </c>
      <c r="P2614" s="2" t="s">
        <v>119</v>
      </c>
      <c r="Q2614" s="2" t="s">
        <v>99</v>
      </c>
      <c r="R2614" s="2" t="s">
        <v>100</v>
      </c>
      <c r="S2614" s="2" t="s">
        <v>8178</v>
      </c>
      <c r="T2614" s="2" t="s">
        <v>100</v>
      </c>
      <c r="U2614" s="2" t="s">
        <v>100</v>
      </c>
      <c r="V2614" s="2" t="s">
        <v>146</v>
      </c>
      <c r="W2614" s="2" t="s">
        <v>561</v>
      </c>
      <c r="X2614" s="2" t="s">
        <v>100</v>
      </c>
      <c r="Y2614" s="2" t="s">
        <v>240</v>
      </c>
      <c r="Z2614" s="4">
        <v>6</v>
      </c>
      <c r="AA2614" s="4">
        <f>=ROUNDDOWN(0.428571428571429,0)</f>
      </c>
      <c r="AB2614" s="5">
        <v>14</v>
      </c>
      <c r="AC2614" s="2" t="s">
        <v>222</v>
      </c>
      <c r="AD2614" s="4">
        <v>289</v>
      </c>
      <c r="AE2614" s="4">
        <v>500</v>
      </c>
      <c r="AF2614" s="6">
        <v>66</v>
      </c>
      <c r="AG2614" s="6">
        <v>49</v>
      </c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/>
      <c r="BD2614" s="8"/>
      <c r="BE2614" s="4"/>
      <c r="BF2614" s="8"/>
      <c r="BG2614" s="7"/>
      <c r="BH2614" s="7"/>
      <c r="BI2614" s="7"/>
      <c r="BJ2614" s="4">
        <v>309</v>
      </c>
      <c r="BK2614" s="8">
        <v>37019.25</v>
      </c>
      <c r="BL2614" s="2" t="s">
        <v>8179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2480</v>
      </c>
      <c r="BV2614" s="2" t="s">
        <v>97</v>
      </c>
      <c r="BW2614" s="2" t="s">
        <v>100</v>
      </c>
      <c r="BX2614" s="2" t="s">
        <v>100</v>
      </c>
      <c r="BY2614" s="2" t="s">
        <v>113</v>
      </c>
      <c r="BZ2614" s="2" t="s">
        <v>100</v>
      </c>
    </row>
    <row r="2615">
      <c r="A2615" s="2" t="s">
        <v>8180</v>
      </c>
      <c r="B2615" s="2" t="s">
        <v>7711</v>
      </c>
      <c r="C2615" s="2" t="s">
        <v>88</v>
      </c>
      <c r="D2615" s="2" t="s">
        <v>7712</v>
      </c>
      <c r="E2615" s="2" t="s">
        <v>7713</v>
      </c>
      <c r="F2615" s="2" t="s">
        <v>8181</v>
      </c>
      <c r="G2615" s="2" t="s">
        <v>8182</v>
      </c>
      <c r="H2615" s="2" t="s">
        <v>8183</v>
      </c>
      <c r="I2615" s="2" t="s">
        <v>8184</v>
      </c>
      <c r="J2615" s="2" t="s">
        <v>3877</v>
      </c>
      <c r="K2615" s="2" t="s">
        <v>913</v>
      </c>
      <c r="L2615" s="3">
        <v>144.5</v>
      </c>
      <c r="M2615" s="3">
        <v>151.72</v>
      </c>
      <c r="N2615" s="3">
        <v>299</v>
      </c>
      <c r="O2615" s="2" t="s">
        <v>97</v>
      </c>
      <c r="P2615" s="2" t="s">
        <v>119</v>
      </c>
      <c r="Q2615" s="2" t="s">
        <v>99</v>
      </c>
      <c r="R2615" s="2" t="s">
        <v>100</v>
      </c>
      <c r="S2615" s="2" t="s">
        <v>100</v>
      </c>
      <c r="T2615" s="2" t="s">
        <v>100</v>
      </c>
      <c r="U2615" s="2" t="s">
        <v>1847</v>
      </c>
      <c r="V2615" s="2" t="s">
        <v>3188</v>
      </c>
      <c r="W2615" s="2" t="s">
        <v>561</v>
      </c>
      <c r="X2615" s="2" t="s">
        <v>183</v>
      </c>
      <c r="Y2615" s="2" t="s">
        <v>8054</v>
      </c>
      <c r="Z2615" s="4">
        <v>102</v>
      </c>
      <c r="AA2615" s="4">
        <f>=ROUNDDOWN(22.1739130434783,0)</f>
      </c>
      <c r="AB2615" s="5">
        <v>4.6</v>
      </c>
      <c r="AC2615" s="2" t="s">
        <v>271</v>
      </c>
      <c r="AD2615" s="4">
        <v>126</v>
      </c>
      <c r="AE2615" s="4">
        <v>126</v>
      </c>
      <c r="AF2615" s="6">
        <v>74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/>
      <c r="BD2615" s="8"/>
      <c r="BE2615" s="4"/>
      <c r="BF2615" s="8"/>
      <c r="BG2615" s="7"/>
      <c r="BH2615" s="7"/>
      <c r="BI2615" s="7"/>
      <c r="BJ2615" s="4">
        <v>130</v>
      </c>
      <c r="BK2615" s="8">
        <v>20030.07</v>
      </c>
      <c r="BL2615" s="2" t="s">
        <v>8185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2480</v>
      </c>
      <c r="BV2615" s="2" t="s">
        <v>97</v>
      </c>
      <c r="BW2615" s="2" t="s">
        <v>100</v>
      </c>
      <c r="BX2615" s="2" t="s">
        <v>100</v>
      </c>
      <c r="BY2615" s="2" t="s">
        <v>113</v>
      </c>
      <c r="BZ2615" s="2" t="s">
        <v>100</v>
      </c>
    </row>
    <row r="2616">
      <c r="A2616" s="2" t="s">
        <v>8186</v>
      </c>
      <c r="B2616" s="2" t="s">
        <v>7711</v>
      </c>
      <c r="C2616" s="2" t="s">
        <v>88</v>
      </c>
      <c r="D2616" s="2" t="s">
        <v>7712</v>
      </c>
      <c r="E2616" s="2" t="s">
        <v>7713</v>
      </c>
      <c r="F2616" s="2" t="s">
        <v>8187</v>
      </c>
      <c r="G2616" s="2" t="s">
        <v>8188</v>
      </c>
      <c r="H2616" s="2" t="s">
        <v>8189</v>
      </c>
      <c r="I2616" s="2" t="s">
        <v>8190</v>
      </c>
      <c r="J2616" s="2" t="s">
        <v>3877</v>
      </c>
      <c r="K2616" s="2" t="s">
        <v>118</v>
      </c>
      <c r="L2616" s="3">
        <v>114</v>
      </c>
      <c r="M2616" s="3">
        <v>119.7</v>
      </c>
      <c r="N2616" s="3">
        <v>239</v>
      </c>
      <c r="O2616" s="2" t="s">
        <v>97</v>
      </c>
      <c r="P2616" s="2" t="s">
        <v>119</v>
      </c>
      <c r="Q2616" s="2" t="s">
        <v>99</v>
      </c>
      <c r="R2616" s="2" t="s">
        <v>100</v>
      </c>
      <c r="S2616" s="2" t="s">
        <v>8191</v>
      </c>
      <c r="T2616" s="2" t="s">
        <v>100</v>
      </c>
      <c r="U2616" s="2" t="s">
        <v>100</v>
      </c>
      <c r="V2616" s="2" t="s">
        <v>146</v>
      </c>
      <c r="W2616" s="2" t="s">
        <v>104</v>
      </c>
      <c r="X2616" s="2" t="s">
        <v>100</v>
      </c>
      <c r="Y2616" s="2" t="s">
        <v>240</v>
      </c>
      <c r="Z2616" s="4">
        <v>79</v>
      </c>
      <c r="AA2616" s="4">
        <f>=ROUNDDOWN(7.18181818181818,0)</f>
      </c>
      <c r="AB2616" s="5">
        <v>11</v>
      </c>
      <c r="AC2616" s="2" t="s">
        <v>8192</v>
      </c>
      <c r="AD2616" s="4">
        <v>28</v>
      </c>
      <c r="AE2616" s="4">
        <v>270</v>
      </c>
      <c r="AF2616" s="6">
        <v>76</v>
      </c>
      <c r="AG2616" s="6">
        <v>67</v>
      </c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261</v>
      </c>
      <c r="BK2616" s="8">
        <v>28352.77</v>
      </c>
      <c r="BL2616" s="2" t="s">
        <v>8193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2480</v>
      </c>
      <c r="BV2616" s="2" t="s">
        <v>97</v>
      </c>
      <c r="BW2616" s="2" t="s">
        <v>100</v>
      </c>
      <c r="BX2616" s="2" t="s">
        <v>100</v>
      </c>
      <c r="BY2616" s="2" t="s">
        <v>113</v>
      </c>
      <c r="BZ2616" s="2" t="s">
        <v>100</v>
      </c>
    </row>
    <row r="2617">
      <c r="A2617" s="2" t="s">
        <v>8194</v>
      </c>
      <c r="B2617" s="2" t="s">
        <v>7711</v>
      </c>
      <c r="C2617" s="2" t="s">
        <v>88</v>
      </c>
      <c r="D2617" s="2" t="s">
        <v>7712</v>
      </c>
      <c r="E2617" s="2" t="s">
        <v>7713</v>
      </c>
      <c r="F2617" s="2" t="s">
        <v>8187</v>
      </c>
      <c r="G2617" s="2" t="s">
        <v>8188</v>
      </c>
      <c r="H2617" s="2" t="s">
        <v>8189</v>
      </c>
      <c r="I2617" s="2" t="s">
        <v>8190</v>
      </c>
      <c r="J2617" s="2" t="s">
        <v>3877</v>
      </c>
      <c r="K2617" s="2" t="s">
        <v>2477</v>
      </c>
      <c r="L2617" s="3">
        <v>114</v>
      </c>
      <c r="M2617" s="3">
        <v>119.7</v>
      </c>
      <c r="N2617" s="3">
        <v>239</v>
      </c>
      <c r="O2617" s="2" t="s">
        <v>97</v>
      </c>
      <c r="P2617" s="2" t="s">
        <v>119</v>
      </c>
      <c r="Q2617" s="2" t="s">
        <v>99</v>
      </c>
      <c r="R2617" s="2" t="s">
        <v>100</v>
      </c>
      <c r="S2617" s="2" t="s">
        <v>8195</v>
      </c>
      <c r="T2617" s="2" t="s">
        <v>100</v>
      </c>
      <c r="U2617" s="2" t="s">
        <v>100</v>
      </c>
      <c r="V2617" s="2" t="s">
        <v>146</v>
      </c>
      <c r="W2617" s="2" t="s">
        <v>104</v>
      </c>
      <c r="X2617" s="2" t="s">
        <v>100</v>
      </c>
      <c r="Y2617" s="2" t="s">
        <v>1801</v>
      </c>
      <c r="Z2617" s="4">
        <v>265</v>
      </c>
      <c r="AA2617" s="4">
        <f>=ROUNDDOWN(20.3846153846154,0)</f>
      </c>
      <c r="AB2617" s="5">
        <v>13</v>
      </c>
      <c r="AC2617" s="2" t="s">
        <v>1035</v>
      </c>
      <c r="AD2617" s="4">
        <v>140</v>
      </c>
      <c r="AE2617" s="4">
        <v>224</v>
      </c>
      <c r="AF2617" s="6">
        <v>76</v>
      </c>
      <c r="AG2617" s="6">
        <v>67</v>
      </c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296</v>
      </c>
      <c r="BK2617" s="8">
        <v>32609.36</v>
      </c>
      <c r="BL2617" s="2" t="s">
        <v>8196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2480</v>
      </c>
      <c r="BV2617" s="2" t="s">
        <v>97</v>
      </c>
      <c r="BW2617" s="2" t="s">
        <v>100</v>
      </c>
      <c r="BX2617" s="2" t="s">
        <v>100</v>
      </c>
      <c r="BY2617" s="2" t="s">
        <v>113</v>
      </c>
      <c r="BZ2617" s="2" t="s">
        <v>100</v>
      </c>
    </row>
    <row r="2618">
      <c r="A2618" s="2" t="s">
        <v>8197</v>
      </c>
      <c r="B2618" s="2" t="s">
        <v>7711</v>
      </c>
      <c r="C2618" s="2" t="s">
        <v>88</v>
      </c>
      <c r="D2618" s="2" t="s">
        <v>7712</v>
      </c>
      <c r="E2618" s="2" t="s">
        <v>7713</v>
      </c>
      <c r="F2618" s="2" t="s">
        <v>8187</v>
      </c>
      <c r="G2618" s="2" t="s">
        <v>8188</v>
      </c>
      <c r="H2618" s="2" t="s">
        <v>8189</v>
      </c>
      <c r="I2618" s="2" t="s">
        <v>8190</v>
      </c>
      <c r="J2618" s="2" t="s">
        <v>3877</v>
      </c>
      <c r="K2618" s="2" t="s">
        <v>198</v>
      </c>
      <c r="L2618" s="3">
        <v>114</v>
      </c>
      <c r="M2618" s="3">
        <v>119.7</v>
      </c>
      <c r="N2618" s="3">
        <v>239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8198</v>
      </c>
      <c r="T2618" s="2" t="s">
        <v>100</v>
      </c>
      <c r="U2618" s="2" t="s">
        <v>100</v>
      </c>
      <c r="V2618" s="2" t="s">
        <v>146</v>
      </c>
      <c r="W2618" s="2" t="s">
        <v>561</v>
      </c>
      <c r="X2618" s="2" t="s">
        <v>100</v>
      </c>
      <c r="Y2618" s="2" t="s">
        <v>240</v>
      </c>
      <c r="Z2618" s="4">
        <v>88</v>
      </c>
      <c r="AA2618" s="4">
        <f>=ROUNDDOWN(3.25925925925926,0)</f>
      </c>
      <c r="AB2618" s="5">
        <v>27</v>
      </c>
      <c r="AC2618" s="2" t="s">
        <v>8192</v>
      </c>
      <c r="AD2618" s="4">
        <v>104</v>
      </c>
      <c r="AE2618" s="4">
        <v>681</v>
      </c>
      <c r="AF2618" s="6">
        <v>76</v>
      </c>
      <c r="AG2618" s="6">
        <v>67</v>
      </c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>
        <v>658</v>
      </c>
      <c r="BK2618" s="8">
        <v>72663.33</v>
      </c>
      <c r="BL2618" s="2" t="s">
        <v>8199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2480</v>
      </c>
      <c r="BV2618" s="2" t="s">
        <v>97</v>
      </c>
      <c r="BW2618" s="2" t="s">
        <v>100</v>
      </c>
      <c r="BX2618" s="2" t="s">
        <v>100</v>
      </c>
      <c r="BY2618" s="2" t="s">
        <v>113</v>
      </c>
      <c r="BZ2618" s="2" t="s">
        <v>100</v>
      </c>
    </row>
    <row r="2619">
      <c r="A2619" s="2" t="s">
        <v>8200</v>
      </c>
      <c r="B2619" s="2" t="s">
        <v>7711</v>
      </c>
      <c r="C2619" s="2" t="s">
        <v>88</v>
      </c>
      <c r="D2619" s="2" t="s">
        <v>7712</v>
      </c>
      <c r="E2619" s="2" t="s">
        <v>7713</v>
      </c>
      <c r="F2619" s="2" t="s">
        <v>8187</v>
      </c>
      <c r="G2619" s="2" t="s">
        <v>8188</v>
      </c>
      <c r="H2619" s="2" t="s">
        <v>8189</v>
      </c>
      <c r="I2619" s="2" t="s">
        <v>8190</v>
      </c>
      <c r="J2619" s="2" t="s">
        <v>3877</v>
      </c>
      <c r="K2619" s="2" t="s">
        <v>858</v>
      </c>
      <c r="L2619" s="3">
        <v>114</v>
      </c>
      <c r="M2619" s="3">
        <v>119.7</v>
      </c>
      <c r="N2619" s="3">
        <v>239</v>
      </c>
      <c r="O2619" s="2" t="s">
        <v>97</v>
      </c>
      <c r="P2619" s="2" t="s">
        <v>119</v>
      </c>
      <c r="Q2619" s="2" t="s">
        <v>99</v>
      </c>
      <c r="R2619" s="2" t="s">
        <v>100</v>
      </c>
      <c r="S2619" s="2" t="s">
        <v>100</v>
      </c>
      <c r="T2619" s="2" t="s">
        <v>100</v>
      </c>
      <c r="U2619" s="2" t="s">
        <v>100</v>
      </c>
      <c r="V2619" s="2" t="s">
        <v>146</v>
      </c>
      <c r="W2619" s="2" t="s">
        <v>104</v>
      </c>
      <c r="X2619" s="2" t="s">
        <v>100</v>
      </c>
      <c r="Y2619" s="2" t="s">
        <v>7209</v>
      </c>
      <c r="Z2619" s="4">
        <v>84</v>
      </c>
      <c r="AA2619" s="4">
        <f>=ROUNDDOWN(4.2,0)</f>
      </c>
      <c r="AB2619" s="5">
        <v>20</v>
      </c>
      <c r="AC2619" s="2" t="s">
        <v>1035</v>
      </c>
      <c r="AD2619" s="4">
        <v>139</v>
      </c>
      <c r="AE2619" s="4">
        <v>468</v>
      </c>
      <c r="AF2619" s="6">
        <v>76</v>
      </c>
      <c r="AG2619" s="6">
        <v>67</v>
      </c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459</v>
      </c>
      <c r="BK2619" s="8">
        <v>49834.77</v>
      </c>
      <c r="BL2619" s="2" t="s">
        <v>8201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2480</v>
      </c>
      <c r="BV2619" s="2" t="s">
        <v>97</v>
      </c>
      <c r="BW2619" s="2" t="s">
        <v>100</v>
      </c>
      <c r="BX2619" s="2" t="s">
        <v>100</v>
      </c>
      <c r="BY2619" s="2" t="s">
        <v>113</v>
      </c>
      <c r="BZ2619" s="2" t="s">
        <v>100</v>
      </c>
    </row>
    <row r="2620">
      <c r="A2620" s="2" t="s">
        <v>8202</v>
      </c>
      <c r="B2620" s="2" t="s">
        <v>7711</v>
      </c>
      <c r="C2620" s="2" t="s">
        <v>88</v>
      </c>
      <c r="D2620" s="2" t="s">
        <v>7712</v>
      </c>
      <c r="E2620" s="2" t="s">
        <v>7713</v>
      </c>
      <c r="F2620" s="2" t="s">
        <v>8187</v>
      </c>
      <c r="G2620" s="2" t="s">
        <v>8188</v>
      </c>
      <c r="H2620" s="2" t="s">
        <v>8189</v>
      </c>
      <c r="I2620" s="2" t="s">
        <v>8190</v>
      </c>
      <c r="J2620" s="2" t="s">
        <v>3877</v>
      </c>
      <c r="K2620" s="2" t="s">
        <v>360</v>
      </c>
      <c r="L2620" s="3">
        <v>114</v>
      </c>
      <c r="M2620" s="3">
        <v>119.7</v>
      </c>
      <c r="N2620" s="3">
        <v>239</v>
      </c>
      <c r="O2620" s="2" t="s">
        <v>97</v>
      </c>
      <c r="P2620" s="2" t="s">
        <v>119</v>
      </c>
      <c r="Q2620" s="2" t="s">
        <v>99</v>
      </c>
      <c r="R2620" s="2" t="s">
        <v>100</v>
      </c>
      <c r="S2620" s="2" t="s">
        <v>8203</v>
      </c>
      <c r="T2620" s="2" t="s">
        <v>100</v>
      </c>
      <c r="U2620" s="2" t="s">
        <v>100</v>
      </c>
      <c r="V2620" s="2" t="s">
        <v>146</v>
      </c>
      <c r="W2620" s="2" t="s">
        <v>561</v>
      </c>
      <c r="X2620" s="2" t="s">
        <v>100</v>
      </c>
      <c r="Y2620" s="2" t="s">
        <v>240</v>
      </c>
      <c r="Z2620" s="4">
        <v>52</v>
      </c>
      <c r="AA2620" s="4">
        <f>=ROUNDDOWN(4,0)</f>
      </c>
      <c r="AB2620" s="5">
        <v>13</v>
      </c>
      <c r="AC2620" s="2" t="s">
        <v>1035</v>
      </c>
      <c r="AD2620" s="4">
        <v>125</v>
      </c>
      <c r="AE2620" s="4">
        <v>390</v>
      </c>
      <c r="AF2620" s="6">
        <v>76</v>
      </c>
      <c r="AG2620" s="6">
        <v>67</v>
      </c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299</v>
      </c>
      <c r="BK2620" s="8">
        <v>35799.25</v>
      </c>
      <c r="BL2620" s="2" t="s">
        <v>8204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2480</v>
      </c>
      <c r="BV2620" s="2" t="s">
        <v>97</v>
      </c>
      <c r="BW2620" s="2" t="s">
        <v>100</v>
      </c>
      <c r="BX2620" s="2" t="s">
        <v>100</v>
      </c>
      <c r="BY2620" s="2" t="s">
        <v>113</v>
      </c>
      <c r="BZ2620" s="2" t="s">
        <v>100</v>
      </c>
    </row>
    <row r="2621">
      <c r="A2621" s="2" t="s">
        <v>8205</v>
      </c>
      <c r="B2621" s="2" t="s">
        <v>7711</v>
      </c>
      <c r="C2621" s="2" t="s">
        <v>88</v>
      </c>
      <c r="D2621" s="2" t="s">
        <v>7712</v>
      </c>
      <c r="E2621" s="2" t="s">
        <v>7713</v>
      </c>
      <c r="F2621" s="2" t="s">
        <v>8187</v>
      </c>
      <c r="G2621" s="2" t="s">
        <v>8188</v>
      </c>
      <c r="H2621" s="2" t="s">
        <v>8189</v>
      </c>
      <c r="I2621" s="2" t="s">
        <v>8190</v>
      </c>
      <c r="J2621" s="2" t="s">
        <v>3877</v>
      </c>
      <c r="K2621" s="2" t="s">
        <v>5293</v>
      </c>
      <c r="L2621" s="3">
        <v>114</v>
      </c>
      <c r="M2621" s="3">
        <v>119.7</v>
      </c>
      <c r="N2621" s="3">
        <v>239</v>
      </c>
      <c r="O2621" s="2" t="s">
        <v>97</v>
      </c>
      <c r="P2621" s="2" t="s">
        <v>119</v>
      </c>
      <c r="Q2621" s="2" t="s">
        <v>99</v>
      </c>
      <c r="R2621" s="2" t="s">
        <v>100</v>
      </c>
      <c r="S2621" s="2" t="s">
        <v>8206</v>
      </c>
      <c r="T2621" s="2" t="s">
        <v>100</v>
      </c>
      <c r="U2621" s="2" t="s">
        <v>100</v>
      </c>
      <c r="V2621" s="2" t="s">
        <v>146</v>
      </c>
      <c r="W2621" s="2" t="s">
        <v>561</v>
      </c>
      <c r="X2621" s="2" t="s">
        <v>100</v>
      </c>
      <c r="Y2621" s="2" t="s">
        <v>240</v>
      </c>
      <c r="Z2621" s="4">
        <v>74</v>
      </c>
      <c r="AA2621" s="4">
        <f>=ROUNDDOWN(4.11111111111111,0)</f>
      </c>
      <c r="AB2621" s="5">
        <v>18</v>
      </c>
      <c r="AC2621" s="2" t="s">
        <v>8192</v>
      </c>
      <c r="AD2621" s="4">
        <v>107</v>
      </c>
      <c r="AE2621" s="4">
        <v>442</v>
      </c>
      <c r="AF2621" s="6">
        <v>76</v>
      </c>
      <c r="AG2621" s="6">
        <v>67</v>
      </c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414</v>
      </c>
      <c r="BK2621" s="8">
        <v>45789.3</v>
      </c>
      <c r="BL2621" s="2" t="s">
        <v>8207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2480</v>
      </c>
      <c r="BV2621" s="2" t="s">
        <v>97</v>
      </c>
      <c r="BW2621" s="2" t="s">
        <v>100</v>
      </c>
      <c r="BX2621" s="2" t="s">
        <v>100</v>
      </c>
      <c r="BY2621" s="2" t="s">
        <v>113</v>
      </c>
      <c r="BZ2621" s="2" t="s">
        <v>100</v>
      </c>
    </row>
    <row r="2622">
      <c r="A2622" s="2" t="s">
        <v>8208</v>
      </c>
      <c r="B2622" s="2" t="s">
        <v>7711</v>
      </c>
      <c r="C2622" s="2" t="s">
        <v>88</v>
      </c>
      <c r="D2622" s="2" t="s">
        <v>7712</v>
      </c>
      <c r="E2622" s="2" t="s">
        <v>7713</v>
      </c>
      <c r="F2622" s="2" t="s">
        <v>8209</v>
      </c>
      <c r="G2622" s="2" t="s">
        <v>1361</v>
      </c>
      <c r="H2622" s="2" t="s">
        <v>8210</v>
      </c>
      <c r="I2622" s="2" t="s">
        <v>8190</v>
      </c>
      <c r="J2622" s="2" t="s">
        <v>3877</v>
      </c>
      <c r="K2622" s="2" t="s">
        <v>3515</v>
      </c>
      <c r="L2622" s="3">
        <v>85.5</v>
      </c>
      <c r="M2622" s="3">
        <v>89.78</v>
      </c>
      <c r="N2622" s="3">
        <v>179</v>
      </c>
      <c r="O2622" s="2" t="s">
        <v>97</v>
      </c>
      <c r="P2622" s="2" t="s">
        <v>119</v>
      </c>
      <c r="Q2622" s="2" t="s">
        <v>99</v>
      </c>
      <c r="R2622" s="2" t="s">
        <v>100</v>
      </c>
      <c r="S2622" s="2" t="s">
        <v>8211</v>
      </c>
      <c r="T2622" s="2" t="s">
        <v>100</v>
      </c>
      <c r="U2622" s="2" t="s">
        <v>100</v>
      </c>
      <c r="V2622" s="2" t="s">
        <v>146</v>
      </c>
      <c r="W2622" s="2" t="s">
        <v>104</v>
      </c>
      <c r="X2622" s="2" t="s">
        <v>100</v>
      </c>
      <c r="Y2622" s="2" t="s">
        <v>1796</v>
      </c>
      <c r="Z2622" s="4">
        <v>284</v>
      </c>
      <c r="AA2622" s="4">
        <f>=ROUNDDOWN(31.5555555555556,0)</f>
      </c>
      <c r="AB2622" s="5">
        <v>9</v>
      </c>
      <c r="AC2622" s="2" t="s">
        <v>8212</v>
      </c>
      <c r="AD2622" s="4">
        <v>87</v>
      </c>
      <c r="AE2622" s="4">
        <v>87</v>
      </c>
      <c r="AF2622" s="6">
        <v>76</v>
      </c>
      <c r="AG2622" s="6">
        <v>67</v>
      </c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/>
      <c r="BD2622" s="8"/>
      <c r="BE2622" s="4"/>
      <c r="BF2622" s="8"/>
      <c r="BG2622" s="7"/>
      <c r="BH2622" s="7"/>
      <c r="BI2622" s="7"/>
      <c r="BJ2622" s="4">
        <v>209</v>
      </c>
      <c r="BK2622" s="8">
        <v>17845.7</v>
      </c>
      <c r="BL2622" s="2" t="s">
        <v>8193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2480</v>
      </c>
      <c r="BV2622" s="2" t="s">
        <v>97</v>
      </c>
      <c r="BW2622" s="2" t="s">
        <v>100</v>
      </c>
      <c r="BX2622" s="2" t="s">
        <v>100</v>
      </c>
      <c r="BY2622" s="2" t="s">
        <v>113</v>
      </c>
      <c r="BZ2622" s="2" t="s">
        <v>100</v>
      </c>
    </row>
    <row r="2623">
      <c r="A2623" s="2" t="s">
        <v>8213</v>
      </c>
      <c r="B2623" s="2" t="s">
        <v>7711</v>
      </c>
      <c r="C2623" s="2" t="s">
        <v>88</v>
      </c>
      <c r="D2623" s="2" t="s">
        <v>7730</v>
      </c>
      <c r="E2623" s="2" t="s">
        <v>7731</v>
      </c>
      <c r="F2623" s="2" t="s">
        <v>8214</v>
      </c>
      <c r="G2623" s="2" t="s">
        <v>8215</v>
      </c>
      <c r="H2623" s="2" t="s">
        <v>8216</v>
      </c>
      <c r="I2623" s="2" t="s">
        <v>8217</v>
      </c>
      <c r="J2623" s="2" t="s">
        <v>3877</v>
      </c>
      <c r="K2623" s="2" t="s">
        <v>198</v>
      </c>
      <c r="L2623" s="3">
        <v>182.75</v>
      </c>
      <c r="M2623" s="3">
        <v>191.89</v>
      </c>
      <c r="N2623" s="3">
        <v>379</v>
      </c>
      <c r="O2623" s="2" t="s">
        <v>97</v>
      </c>
      <c r="P2623" s="2" t="s">
        <v>119</v>
      </c>
      <c r="Q2623" s="2" t="s">
        <v>99</v>
      </c>
      <c r="R2623" s="2" t="s">
        <v>100</v>
      </c>
      <c r="S2623" s="2" t="s">
        <v>8218</v>
      </c>
      <c r="T2623" s="2" t="s">
        <v>100</v>
      </c>
      <c r="U2623" s="2" t="s">
        <v>100</v>
      </c>
      <c r="V2623" s="2" t="s">
        <v>146</v>
      </c>
      <c r="W2623" s="2" t="s">
        <v>104</v>
      </c>
      <c r="X2623" s="2" t="s">
        <v>100</v>
      </c>
      <c r="Y2623" s="2" t="s">
        <v>240</v>
      </c>
      <c r="Z2623" s="4">
        <v>254</v>
      </c>
      <c r="AA2623" s="4">
        <f>=ROUNDDOWN(36.2857142857143,0)</f>
      </c>
      <c r="AB2623" s="5">
        <v>7</v>
      </c>
      <c r="AC2623" s="2" t="s">
        <v>100</v>
      </c>
      <c r="AD2623" s="4"/>
      <c r="AE2623" s="4"/>
      <c r="AF2623" s="6">
        <v>74</v>
      </c>
      <c r="AG2623" s="6"/>
      <c r="AH2623" s="7">
        <v>1</v>
      </c>
      <c r="AI2623" s="4"/>
      <c r="AJ2623" s="4">
        <f>=ROUNDDOWN({0},0)</f>
      </c>
      <c r="AK2623" s="5">
        <v>3.4</v>
      </c>
      <c r="AL2623" s="2" t="s">
        <v>100</v>
      </c>
      <c r="AM2623" s="4"/>
      <c r="AN2623" s="4"/>
      <c r="AO2623" s="7">
        <v>0.1444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/>
      <c r="BJ2623" s="4">
        <v>185</v>
      </c>
      <c r="BK2623" s="8">
        <v>35083.05</v>
      </c>
      <c r="BL2623" s="2" t="s">
        <v>8219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2480</v>
      </c>
      <c r="BV2623" s="2" t="s">
        <v>97</v>
      </c>
      <c r="BW2623" s="2" t="s">
        <v>100</v>
      </c>
      <c r="BX2623" s="2" t="s">
        <v>100</v>
      </c>
      <c r="BY2623" s="2" t="s">
        <v>113</v>
      </c>
      <c r="BZ2623" s="2" t="s">
        <v>100</v>
      </c>
    </row>
    <row r="2624">
      <c r="A2624" s="2" t="s">
        <v>8220</v>
      </c>
      <c r="B2624" s="2" t="s">
        <v>7711</v>
      </c>
      <c r="C2624" s="2" t="s">
        <v>88</v>
      </c>
      <c r="D2624" s="2" t="s">
        <v>7730</v>
      </c>
      <c r="E2624" s="2" t="s">
        <v>7731</v>
      </c>
      <c r="F2624" s="2" t="s">
        <v>8214</v>
      </c>
      <c r="G2624" s="2" t="s">
        <v>8215</v>
      </c>
      <c r="H2624" s="2" t="s">
        <v>8216</v>
      </c>
      <c r="I2624" s="2" t="s">
        <v>8217</v>
      </c>
      <c r="J2624" s="2" t="s">
        <v>3877</v>
      </c>
      <c r="K2624" s="2" t="s">
        <v>8221</v>
      </c>
      <c r="L2624" s="3">
        <v>182.75</v>
      </c>
      <c r="M2624" s="3">
        <v>191.89</v>
      </c>
      <c r="N2624" s="3">
        <v>379</v>
      </c>
      <c r="O2624" s="2" t="s">
        <v>97</v>
      </c>
      <c r="P2624" s="2" t="s">
        <v>119</v>
      </c>
      <c r="Q2624" s="2" t="s">
        <v>99</v>
      </c>
      <c r="R2624" s="2" t="s">
        <v>100</v>
      </c>
      <c r="S2624" s="2" t="s">
        <v>8222</v>
      </c>
      <c r="T2624" s="2" t="s">
        <v>100</v>
      </c>
      <c r="U2624" s="2" t="s">
        <v>100</v>
      </c>
      <c r="V2624" s="2" t="s">
        <v>2661</v>
      </c>
      <c r="W2624" s="2" t="s">
        <v>104</v>
      </c>
      <c r="X2624" s="2" t="s">
        <v>100</v>
      </c>
      <c r="Y2624" s="2" t="s">
        <v>918</v>
      </c>
      <c r="Z2624" s="4">
        <v>147</v>
      </c>
      <c r="AA2624" s="4">
        <f>=ROUNDDOWN(43.2352941176471,0)</f>
      </c>
      <c r="AB2624" s="5">
        <v>3.4</v>
      </c>
      <c r="AC2624" s="2" t="s">
        <v>100</v>
      </c>
      <c r="AD2624" s="4"/>
      <c r="AE2624" s="4"/>
      <c r="AF2624" s="6">
        <v>74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/>
      <c r="BJ2624" s="4">
        <v>94</v>
      </c>
      <c r="BK2624" s="8">
        <v>15916.56</v>
      </c>
      <c r="BL2624" s="2" t="s">
        <v>8223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2480</v>
      </c>
      <c r="BV2624" s="2" t="s">
        <v>97</v>
      </c>
      <c r="BW2624" s="2" t="s">
        <v>100</v>
      </c>
      <c r="BX2624" s="2" t="s">
        <v>100</v>
      </c>
      <c r="BY2624" s="2" t="s">
        <v>113</v>
      </c>
      <c r="BZ2624" s="2" t="s">
        <v>100</v>
      </c>
    </row>
    <row r="2625">
      <c r="A2625" s="2" t="s">
        <v>8224</v>
      </c>
      <c r="B2625" s="2" t="s">
        <v>7711</v>
      </c>
      <c r="C2625" s="2" t="s">
        <v>88</v>
      </c>
      <c r="D2625" s="2" t="s">
        <v>7730</v>
      </c>
      <c r="E2625" s="2" t="s">
        <v>7731</v>
      </c>
      <c r="F2625" s="2" t="s">
        <v>8214</v>
      </c>
      <c r="G2625" s="2" t="s">
        <v>8215</v>
      </c>
      <c r="H2625" s="2" t="s">
        <v>8216</v>
      </c>
      <c r="I2625" s="2" t="s">
        <v>8217</v>
      </c>
      <c r="J2625" s="2" t="s">
        <v>3877</v>
      </c>
      <c r="K2625" s="2" t="s">
        <v>2580</v>
      </c>
      <c r="L2625" s="3">
        <v>182.75</v>
      </c>
      <c r="M2625" s="3">
        <v>191.89</v>
      </c>
      <c r="N2625" s="3">
        <v>379</v>
      </c>
      <c r="O2625" s="2" t="s">
        <v>97</v>
      </c>
      <c r="P2625" s="2" t="s">
        <v>119</v>
      </c>
      <c r="Q2625" s="2" t="s">
        <v>99</v>
      </c>
      <c r="R2625" s="2" t="s">
        <v>100</v>
      </c>
      <c r="S2625" s="2" t="s">
        <v>100</v>
      </c>
      <c r="T2625" s="2" t="s">
        <v>100</v>
      </c>
      <c r="U2625" s="2" t="s">
        <v>100</v>
      </c>
      <c r="V2625" s="2" t="s">
        <v>201</v>
      </c>
      <c r="W2625" s="2" t="s">
        <v>104</v>
      </c>
      <c r="X2625" s="2" t="s">
        <v>100</v>
      </c>
      <c r="Y2625" s="2" t="s">
        <v>1634</v>
      </c>
      <c r="Z2625" s="4">
        <v>131</v>
      </c>
      <c r="AA2625" s="4">
        <f>=ROUNDDOWN(16.375,0)</f>
      </c>
      <c r="AB2625" s="5">
        <v>8</v>
      </c>
      <c r="AC2625" s="2" t="s">
        <v>6495</v>
      </c>
      <c r="AD2625" s="4">
        <v>126</v>
      </c>
      <c r="AE2625" s="4">
        <v>126</v>
      </c>
      <c r="AF2625" s="6">
        <v>74</v>
      </c>
      <c r="AG2625" s="6">
        <v>60</v>
      </c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>
        <v>193</v>
      </c>
      <c r="BK2625" s="8">
        <v>33761.92</v>
      </c>
      <c r="BL2625" s="2" t="s">
        <v>8225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2480</v>
      </c>
      <c r="BV2625" s="2" t="s">
        <v>97</v>
      </c>
      <c r="BW2625" s="2" t="s">
        <v>100</v>
      </c>
      <c r="BX2625" s="2" t="s">
        <v>100</v>
      </c>
      <c r="BY2625" s="2" t="s">
        <v>113</v>
      </c>
      <c r="BZ2625" s="2" t="s">
        <v>100</v>
      </c>
    </row>
    <row r="2626">
      <c r="A2626" s="2" t="s">
        <v>8226</v>
      </c>
      <c r="B2626" s="2" t="s">
        <v>7711</v>
      </c>
      <c r="C2626" s="2" t="s">
        <v>88</v>
      </c>
      <c r="D2626" s="2" t="s">
        <v>7730</v>
      </c>
      <c r="E2626" s="2" t="s">
        <v>7731</v>
      </c>
      <c r="F2626" s="2" t="s">
        <v>8214</v>
      </c>
      <c r="G2626" s="2" t="s">
        <v>8215</v>
      </c>
      <c r="H2626" s="2" t="s">
        <v>8216</v>
      </c>
      <c r="I2626" s="2" t="s">
        <v>8217</v>
      </c>
      <c r="J2626" s="2" t="s">
        <v>3877</v>
      </c>
      <c r="K2626" s="2" t="s">
        <v>130</v>
      </c>
      <c r="L2626" s="3">
        <v>182.75</v>
      </c>
      <c r="M2626" s="3">
        <v>191.89</v>
      </c>
      <c r="N2626" s="3">
        <v>379</v>
      </c>
      <c r="O2626" s="2" t="s">
        <v>97</v>
      </c>
      <c r="P2626" s="2" t="s">
        <v>119</v>
      </c>
      <c r="Q2626" s="2" t="s">
        <v>99</v>
      </c>
      <c r="R2626" s="2" t="s">
        <v>100</v>
      </c>
      <c r="S2626" s="2" t="s">
        <v>8227</v>
      </c>
      <c r="T2626" s="2" t="s">
        <v>100</v>
      </c>
      <c r="U2626" s="2" t="s">
        <v>100</v>
      </c>
      <c r="V2626" s="2" t="s">
        <v>2661</v>
      </c>
      <c r="W2626" s="2" t="s">
        <v>104</v>
      </c>
      <c r="X2626" s="2" t="s">
        <v>100</v>
      </c>
      <c r="Y2626" s="2" t="s">
        <v>240</v>
      </c>
      <c r="Z2626" s="4">
        <v>145</v>
      </c>
      <c r="AA2626" s="4">
        <f>=ROUNDDOWN(14.5,0)</f>
      </c>
      <c r="AB2626" s="5">
        <v>10</v>
      </c>
      <c r="AC2626" s="2" t="s">
        <v>1457</v>
      </c>
      <c r="AD2626" s="4">
        <v>100</v>
      </c>
      <c r="AE2626" s="4">
        <v>250</v>
      </c>
      <c r="AF2626" s="6">
        <v>74</v>
      </c>
      <c r="AG2626" s="6">
        <v>60</v>
      </c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0.4332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271</v>
      </c>
      <c r="BK2626" s="8">
        <v>49452.96</v>
      </c>
      <c r="BL2626" s="2" t="s">
        <v>8228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2480</v>
      </c>
      <c r="BV2626" s="2" t="s">
        <v>97</v>
      </c>
      <c r="BW2626" s="2" t="s">
        <v>100</v>
      </c>
      <c r="BX2626" s="2" t="s">
        <v>100</v>
      </c>
      <c r="BY2626" s="2" t="s">
        <v>113</v>
      </c>
      <c r="BZ2626" s="2" t="s">
        <v>100</v>
      </c>
    </row>
    <row r="2627">
      <c r="A2627" s="2" t="s">
        <v>8229</v>
      </c>
      <c r="B2627" s="2" t="s">
        <v>7711</v>
      </c>
      <c r="C2627" s="2" t="s">
        <v>88</v>
      </c>
      <c r="D2627" s="2" t="s">
        <v>7730</v>
      </c>
      <c r="E2627" s="2" t="s">
        <v>7731</v>
      </c>
      <c r="F2627" s="2" t="s">
        <v>8230</v>
      </c>
      <c r="G2627" s="2" t="s">
        <v>8231</v>
      </c>
      <c r="H2627" s="2" t="s">
        <v>8232</v>
      </c>
      <c r="I2627" s="2" t="s">
        <v>8233</v>
      </c>
      <c r="J2627" s="2" t="s">
        <v>3877</v>
      </c>
      <c r="K2627" s="2" t="s">
        <v>8234</v>
      </c>
      <c r="L2627" s="3">
        <v>180.5</v>
      </c>
      <c r="M2627" s="3">
        <v>189.52</v>
      </c>
      <c r="N2627" s="3">
        <v>379</v>
      </c>
      <c r="O2627" s="2" t="s">
        <v>97</v>
      </c>
      <c r="P2627" s="2" t="s">
        <v>119</v>
      </c>
      <c r="Q2627" s="2" t="s">
        <v>99</v>
      </c>
      <c r="R2627" s="2" t="s">
        <v>100</v>
      </c>
      <c r="S2627" s="2" t="s">
        <v>8235</v>
      </c>
      <c r="T2627" s="2" t="s">
        <v>100</v>
      </c>
      <c r="U2627" s="2" t="s">
        <v>100</v>
      </c>
      <c r="V2627" s="2" t="s">
        <v>2661</v>
      </c>
      <c r="W2627" s="2" t="s">
        <v>309</v>
      </c>
      <c r="X2627" s="2" t="s">
        <v>100</v>
      </c>
      <c r="Y2627" s="2" t="s">
        <v>240</v>
      </c>
      <c r="Z2627" s="4">
        <v>307</v>
      </c>
      <c r="AA2627" s="4">
        <f>=ROUNDDOWN(61.4,0)</f>
      </c>
      <c r="AB2627" s="5">
        <v>5</v>
      </c>
      <c r="AC2627" s="2" t="s">
        <v>100</v>
      </c>
      <c r="AD2627" s="4"/>
      <c r="AE2627" s="4"/>
      <c r="AF2627" s="6">
        <v>69</v>
      </c>
      <c r="AG2627" s="6">
        <v>52</v>
      </c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/>
      <c r="BD2627" s="8"/>
      <c r="BE2627" s="4"/>
      <c r="BF2627" s="8"/>
      <c r="BG2627" s="7"/>
      <c r="BH2627" s="7"/>
      <c r="BI2627" s="7"/>
      <c r="BJ2627" s="4">
        <v>134</v>
      </c>
      <c r="BK2627" s="8">
        <v>23387.93</v>
      </c>
      <c r="BL2627" s="2" t="s">
        <v>8236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207</v>
      </c>
      <c r="BV2627" s="2" t="s">
        <v>97</v>
      </c>
      <c r="BW2627" s="2" t="s">
        <v>100</v>
      </c>
      <c r="BX2627" s="2" t="s">
        <v>100</v>
      </c>
      <c r="BY2627" s="2" t="s">
        <v>113</v>
      </c>
      <c r="BZ2627" s="2" t="s">
        <v>100</v>
      </c>
    </row>
    <row r="2628">
      <c r="A2628" s="2" t="s">
        <v>8237</v>
      </c>
      <c r="B2628" s="2" t="s">
        <v>7711</v>
      </c>
      <c r="C2628" s="2" t="s">
        <v>88</v>
      </c>
      <c r="D2628" s="2" t="s">
        <v>7730</v>
      </c>
      <c r="E2628" s="2" t="s">
        <v>7731</v>
      </c>
      <c r="F2628" s="2" t="s">
        <v>8238</v>
      </c>
      <c r="G2628" s="2" t="s">
        <v>8239</v>
      </c>
      <c r="H2628" s="2" t="s">
        <v>8240</v>
      </c>
      <c r="I2628" s="2" t="s">
        <v>8241</v>
      </c>
      <c r="J2628" s="2" t="s">
        <v>3877</v>
      </c>
      <c r="K2628" s="2" t="s">
        <v>156</v>
      </c>
      <c r="L2628" s="3">
        <v>204.25</v>
      </c>
      <c r="M2628" s="3">
        <v>214.46</v>
      </c>
      <c r="N2628" s="3">
        <v>429</v>
      </c>
      <c r="O2628" s="2" t="s">
        <v>97</v>
      </c>
      <c r="P2628" s="2" t="s">
        <v>119</v>
      </c>
      <c r="Q2628" s="2" t="s">
        <v>99</v>
      </c>
      <c r="R2628" s="2" t="s">
        <v>100</v>
      </c>
      <c r="S2628" s="2" t="s">
        <v>8242</v>
      </c>
      <c r="T2628" s="2" t="s">
        <v>100</v>
      </c>
      <c r="U2628" s="2" t="s">
        <v>100</v>
      </c>
      <c r="V2628" s="2" t="s">
        <v>146</v>
      </c>
      <c r="W2628" s="2" t="s">
        <v>561</v>
      </c>
      <c r="X2628" s="2" t="s">
        <v>100</v>
      </c>
      <c r="Y2628" s="2" t="s">
        <v>240</v>
      </c>
      <c r="Z2628" s="4">
        <v>138</v>
      </c>
      <c r="AA2628" s="4">
        <f>=ROUNDDOWN(138,0)</f>
      </c>
      <c r="AB2628" s="5">
        <v>1</v>
      </c>
      <c r="AC2628" s="2" t="s">
        <v>100</v>
      </c>
      <c r="AD2628" s="4"/>
      <c r="AE2628" s="4"/>
      <c r="AF2628" s="6">
        <v>66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42</v>
      </c>
      <c r="BK2628" s="8">
        <v>7851.76</v>
      </c>
      <c r="BL2628" s="2" t="s">
        <v>8243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2480</v>
      </c>
      <c r="BV2628" s="2" t="s">
        <v>97</v>
      </c>
      <c r="BW2628" s="2" t="s">
        <v>100</v>
      </c>
      <c r="BX2628" s="2" t="s">
        <v>100</v>
      </c>
      <c r="BY2628" s="2" t="s">
        <v>113</v>
      </c>
      <c r="BZ2628" s="2" t="s">
        <v>100</v>
      </c>
    </row>
    <row r="2629">
      <c r="A2629" s="2" t="s">
        <v>8244</v>
      </c>
      <c r="B2629" s="2" t="s">
        <v>7711</v>
      </c>
      <c r="C2629" s="2" t="s">
        <v>88</v>
      </c>
      <c r="D2629" s="2" t="s">
        <v>7730</v>
      </c>
      <c r="E2629" s="2" t="s">
        <v>7731</v>
      </c>
      <c r="F2629" s="2" t="s">
        <v>8238</v>
      </c>
      <c r="G2629" s="2" t="s">
        <v>8239</v>
      </c>
      <c r="H2629" s="2" t="s">
        <v>8240</v>
      </c>
      <c r="I2629" s="2" t="s">
        <v>8241</v>
      </c>
      <c r="J2629" s="2" t="s">
        <v>3877</v>
      </c>
      <c r="K2629" s="2" t="s">
        <v>2580</v>
      </c>
      <c r="L2629" s="3">
        <v>204.25</v>
      </c>
      <c r="M2629" s="3">
        <v>214.46</v>
      </c>
      <c r="N2629" s="3">
        <v>429</v>
      </c>
      <c r="O2629" s="2" t="s">
        <v>97</v>
      </c>
      <c r="P2629" s="2" t="s">
        <v>119</v>
      </c>
      <c r="Q2629" s="2" t="s">
        <v>99</v>
      </c>
      <c r="R2629" s="2" t="s">
        <v>100</v>
      </c>
      <c r="S2629" s="2" t="s">
        <v>8245</v>
      </c>
      <c r="T2629" s="2" t="s">
        <v>100</v>
      </c>
      <c r="U2629" s="2" t="s">
        <v>100</v>
      </c>
      <c r="V2629" s="2" t="s">
        <v>146</v>
      </c>
      <c r="W2629" s="2" t="s">
        <v>561</v>
      </c>
      <c r="X2629" s="2" t="s">
        <v>100</v>
      </c>
      <c r="Y2629" s="2" t="s">
        <v>240</v>
      </c>
      <c r="Z2629" s="4">
        <v>86</v>
      </c>
      <c r="AA2629" s="4">
        <f>=ROUNDDOWN(17.2,0)</f>
      </c>
      <c r="AB2629" s="5">
        <v>5</v>
      </c>
      <c r="AC2629" s="2" t="s">
        <v>2618</v>
      </c>
      <c r="AD2629" s="4">
        <v>106</v>
      </c>
      <c r="AE2629" s="4">
        <v>106</v>
      </c>
      <c r="AF2629" s="6">
        <v>66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0.1444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117</v>
      </c>
      <c r="BK2629" s="8">
        <v>21918.93</v>
      </c>
      <c r="BL2629" s="2" t="s">
        <v>8246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2480</v>
      </c>
      <c r="BV2629" s="2" t="s">
        <v>97</v>
      </c>
      <c r="BW2629" s="2" t="s">
        <v>100</v>
      </c>
      <c r="BX2629" s="2" t="s">
        <v>100</v>
      </c>
      <c r="BY2629" s="2" t="s">
        <v>113</v>
      </c>
      <c r="BZ2629" s="2" t="s">
        <v>100</v>
      </c>
    </row>
    <row r="2630">
      <c r="A2630" s="2" t="s">
        <v>8247</v>
      </c>
      <c r="B2630" s="2" t="s">
        <v>7711</v>
      </c>
      <c r="C2630" s="2" t="s">
        <v>88</v>
      </c>
      <c r="D2630" s="2" t="s">
        <v>7730</v>
      </c>
      <c r="E2630" s="2" t="s">
        <v>7731</v>
      </c>
      <c r="F2630" s="2" t="s">
        <v>8248</v>
      </c>
      <c r="G2630" s="2" t="s">
        <v>8249</v>
      </c>
      <c r="H2630" s="2" t="s">
        <v>1791</v>
      </c>
      <c r="I2630" s="2" t="s">
        <v>8250</v>
      </c>
      <c r="J2630" s="2" t="s">
        <v>3877</v>
      </c>
      <c r="K2630" s="2" t="s">
        <v>3269</v>
      </c>
      <c r="L2630" s="3">
        <v>171</v>
      </c>
      <c r="M2630" s="3">
        <v>179.55</v>
      </c>
      <c r="N2630" s="3">
        <v>359</v>
      </c>
      <c r="O2630" s="2" t="s">
        <v>97</v>
      </c>
      <c r="P2630" s="2" t="s">
        <v>119</v>
      </c>
      <c r="Q2630" s="2" t="s">
        <v>99</v>
      </c>
      <c r="R2630" s="2" t="s">
        <v>100</v>
      </c>
      <c r="S2630" s="2" t="s">
        <v>8251</v>
      </c>
      <c r="T2630" s="2" t="s">
        <v>100</v>
      </c>
      <c r="U2630" s="2" t="s">
        <v>100</v>
      </c>
      <c r="V2630" s="2" t="s">
        <v>146</v>
      </c>
      <c r="W2630" s="2" t="s">
        <v>104</v>
      </c>
      <c r="X2630" s="2" t="s">
        <v>100</v>
      </c>
      <c r="Y2630" s="2" t="s">
        <v>8252</v>
      </c>
      <c r="Z2630" s="4">
        <v>72</v>
      </c>
      <c r="AA2630" s="4">
        <f>=ROUNDDOWN(8,0)</f>
      </c>
      <c r="AB2630" s="5">
        <v>9</v>
      </c>
      <c r="AC2630" s="2" t="s">
        <v>1191</v>
      </c>
      <c r="AD2630" s="4">
        <v>100</v>
      </c>
      <c r="AE2630" s="4">
        <v>300</v>
      </c>
      <c r="AF2630" s="6">
        <v>66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/>
      <c r="BD2630" s="8"/>
      <c r="BE2630" s="4"/>
      <c r="BF2630" s="8"/>
      <c r="BG2630" s="7"/>
      <c r="BH2630" s="7"/>
      <c r="BI2630" s="7"/>
      <c r="BJ2630" s="4">
        <v>208</v>
      </c>
      <c r="BK2630" s="8">
        <v>35147.5</v>
      </c>
      <c r="BL2630" s="2" t="s">
        <v>8253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2480</v>
      </c>
      <c r="BV2630" s="2" t="s">
        <v>97</v>
      </c>
      <c r="BW2630" s="2" t="s">
        <v>100</v>
      </c>
      <c r="BX2630" s="2" t="s">
        <v>100</v>
      </c>
      <c r="BY2630" s="2" t="s">
        <v>113</v>
      </c>
      <c r="BZ2630" s="2" t="s">
        <v>100</v>
      </c>
    </row>
    <row r="2631">
      <c r="A2631" s="2" t="s">
        <v>8254</v>
      </c>
      <c r="B2631" s="2" t="s">
        <v>7711</v>
      </c>
      <c r="C2631" s="2" t="s">
        <v>88</v>
      </c>
      <c r="D2631" s="2" t="s">
        <v>7730</v>
      </c>
      <c r="E2631" s="2" t="s">
        <v>7731</v>
      </c>
      <c r="F2631" s="2" t="s">
        <v>8255</v>
      </c>
      <c r="G2631" s="2" t="s">
        <v>8256</v>
      </c>
      <c r="H2631" s="2" t="s">
        <v>8257</v>
      </c>
      <c r="I2631" s="2" t="s">
        <v>8258</v>
      </c>
      <c r="J2631" s="2" t="s">
        <v>3877</v>
      </c>
      <c r="K2631" s="2" t="s">
        <v>858</v>
      </c>
      <c r="L2631" s="3">
        <v>162.45</v>
      </c>
      <c r="M2631" s="3">
        <v>170.57</v>
      </c>
      <c r="N2631" s="3">
        <v>339</v>
      </c>
      <c r="O2631" s="2" t="s">
        <v>97</v>
      </c>
      <c r="P2631" s="2" t="s">
        <v>119</v>
      </c>
      <c r="Q2631" s="2" t="s">
        <v>99</v>
      </c>
      <c r="R2631" s="2" t="s">
        <v>100</v>
      </c>
      <c r="S2631" s="2" t="s">
        <v>100</v>
      </c>
      <c r="T2631" s="2" t="s">
        <v>100</v>
      </c>
      <c r="U2631" s="2" t="s">
        <v>100</v>
      </c>
      <c r="V2631" s="2" t="s">
        <v>403</v>
      </c>
      <c r="W2631" s="2" t="s">
        <v>104</v>
      </c>
      <c r="X2631" s="2" t="s">
        <v>100</v>
      </c>
      <c r="Y2631" s="2" t="s">
        <v>4399</v>
      </c>
      <c r="Z2631" s="4">
        <v>149</v>
      </c>
      <c r="AA2631" s="4">
        <f>=ROUNDDOWN(49.6666666666667,0)</f>
      </c>
      <c r="AB2631" s="5">
        <v>3</v>
      </c>
      <c r="AC2631" s="2" t="s">
        <v>934</v>
      </c>
      <c r="AD2631" s="4">
        <v>100</v>
      </c>
      <c r="AE2631" s="4">
        <v>100</v>
      </c>
      <c r="AF2631" s="6">
        <v>74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144</v>
      </c>
      <c r="BK2631" s="8">
        <v>24946.15</v>
      </c>
      <c r="BL2631" s="2" t="s">
        <v>8259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2480</v>
      </c>
      <c r="BV2631" s="2" t="s">
        <v>97</v>
      </c>
      <c r="BW2631" s="2" t="s">
        <v>100</v>
      </c>
      <c r="BX2631" s="2" t="s">
        <v>100</v>
      </c>
      <c r="BY2631" s="2" t="s">
        <v>113</v>
      </c>
      <c r="BZ2631" s="2" t="s">
        <v>100</v>
      </c>
    </row>
    <row r="2632">
      <c r="A2632" s="2" t="s">
        <v>8260</v>
      </c>
      <c r="B2632" s="2" t="s">
        <v>7711</v>
      </c>
      <c r="C2632" s="2" t="s">
        <v>88</v>
      </c>
      <c r="D2632" s="2" t="s">
        <v>7730</v>
      </c>
      <c r="E2632" s="2" t="s">
        <v>7731</v>
      </c>
      <c r="F2632" s="2" t="s">
        <v>8255</v>
      </c>
      <c r="G2632" s="2" t="s">
        <v>8256</v>
      </c>
      <c r="H2632" s="2" t="s">
        <v>8257</v>
      </c>
      <c r="I2632" s="2" t="s">
        <v>8258</v>
      </c>
      <c r="J2632" s="2" t="s">
        <v>3877</v>
      </c>
      <c r="K2632" s="2" t="s">
        <v>360</v>
      </c>
      <c r="L2632" s="3">
        <v>162.45</v>
      </c>
      <c r="M2632" s="3">
        <v>170.57</v>
      </c>
      <c r="N2632" s="3">
        <v>339</v>
      </c>
      <c r="O2632" s="2" t="s">
        <v>97</v>
      </c>
      <c r="P2632" s="2" t="s">
        <v>119</v>
      </c>
      <c r="Q2632" s="2" t="s">
        <v>99</v>
      </c>
      <c r="R2632" s="2" t="s">
        <v>100</v>
      </c>
      <c r="S2632" s="2" t="s">
        <v>8261</v>
      </c>
      <c r="T2632" s="2" t="s">
        <v>100</v>
      </c>
      <c r="U2632" s="2" t="s">
        <v>100</v>
      </c>
      <c r="V2632" s="2" t="s">
        <v>2661</v>
      </c>
      <c r="W2632" s="2" t="s">
        <v>561</v>
      </c>
      <c r="X2632" s="2" t="s">
        <v>100</v>
      </c>
      <c r="Y2632" s="2" t="s">
        <v>240</v>
      </c>
      <c r="Z2632" s="4">
        <v>212</v>
      </c>
      <c r="AA2632" s="4">
        <f>=ROUNDDOWN(53,0)</f>
      </c>
      <c r="AB2632" s="5">
        <v>4</v>
      </c>
      <c r="AC2632" s="2" t="s">
        <v>100</v>
      </c>
      <c r="AD2632" s="4"/>
      <c r="AE2632" s="4"/>
      <c r="AF2632" s="6">
        <v>74</v>
      </c>
      <c r="AG2632" s="6"/>
      <c r="AH2632" s="7">
        <v>1</v>
      </c>
      <c r="AI2632" s="4"/>
      <c r="AJ2632" s="4">
        <f>=ROUNDDOWN({0},0)</f>
      </c>
      <c r="AK2632" s="5">
        <v>3.9</v>
      </c>
      <c r="AL2632" s="2" t="s">
        <v>100</v>
      </c>
      <c r="AM2632" s="4"/>
      <c r="AN2632" s="4"/>
      <c r="AO2632" s="7">
        <v>0.1444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113</v>
      </c>
      <c r="BK2632" s="8">
        <v>19138.68</v>
      </c>
      <c r="BL2632" s="2" t="s">
        <v>8262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2480</v>
      </c>
      <c r="BV2632" s="2" t="s">
        <v>97</v>
      </c>
      <c r="BW2632" s="2" t="s">
        <v>100</v>
      </c>
      <c r="BX2632" s="2" t="s">
        <v>100</v>
      </c>
      <c r="BY2632" s="2" t="s">
        <v>113</v>
      </c>
      <c r="BZ2632" s="2" t="s">
        <v>100</v>
      </c>
    </row>
    <row r="2633">
      <c r="A2633" s="2" t="s">
        <v>8263</v>
      </c>
      <c r="B2633" s="2" t="s">
        <v>7711</v>
      </c>
      <c r="C2633" s="2" t="s">
        <v>88</v>
      </c>
      <c r="D2633" s="2" t="s">
        <v>7730</v>
      </c>
      <c r="E2633" s="2" t="s">
        <v>7731</v>
      </c>
      <c r="F2633" s="2" t="s">
        <v>8264</v>
      </c>
      <c r="G2633" s="2" t="s">
        <v>8265</v>
      </c>
      <c r="H2633" s="2" t="s">
        <v>8266</v>
      </c>
      <c r="I2633" s="2" t="s">
        <v>7820</v>
      </c>
      <c r="J2633" s="2" t="s">
        <v>3877</v>
      </c>
      <c r="K2633" s="2" t="s">
        <v>858</v>
      </c>
      <c r="L2633" s="3">
        <v>214.2</v>
      </c>
      <c r="M2633" s="3">
        <v>224.91</v>
      </c>
      <c r="N2633" s="3">
        <v>449</v>
      </c>
      <c r="O2633" s="2" t="s">
        <v>97</v>
      </c>
      <c r="P2633" s="2" t="s">
        <v>119</v>
      </c>
      <c r="Q2633" s="2" t="s">
        <v>99</v>
      </c>
      <c r="R2633" s="2" t="s">
        <v>100</v>
      </c>
      <c r="S2633" s="2" t="s">
        <v>100</v>
      </c>
      <c r="T2633" s="2" t="s">
        <v>100</v>
      </c>
      <c r="U2633" s="2" t="s">
        <v>1847</v>
      </c>
      <c r="V2633" s="2" t="s">
        <v>146</v>
      </c>
      <c r="W2633" s="2" t="s">
        <v>239</v>
      </c>
      <c r="X2633" s="2" t="s">
        <v>104</v>
      </c>
      <c r="Y2633" s="2" t="s">
        <v>4373</v>
      </c>
      <c r="Z2633" s="4">
        <v>135</v>
      </c>
      <c r="AA2633" s="4">
        <f>=ROUNDDOWN(22.5,0)</f>
      </c>
      <c r="AB2633" s="5">
        <v>6</v>
      </c>
      <c r="AC2633" s="2" t="s">
        <v>3887</v>
      </c>
      <c r="AD2633" s="4">
        <v>60</v>
      </c>
      <c r="AE2633" s="4">
        <v>120</v>
      </c>
      <c r="AF2633" s="6">
        <v>76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/>
      <c r="BD2633" s="8"/>
      <c r="BE2633" s="4"/>
      <c r="BF2633" s="8"/>
      <c r="BG2633" s="7"/>
      <c r="BH2633" s="7"/>
      <c r="BI2633" s="7"/>
      <c r="BJ2633" s="4">
        <v>162</v>
      </c>
      <c r="BK2633" s="8">
        <v>34305.5</v>
      </c>
      <c r="BL2633" s="2" t="s">
        <v>8267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2480</v>
      </c>
      <c r="BV2633" s="2" t="s">
        <v>97</v>
      </c>
      <c r="BW2633" s="2" t="s">
        <v>100</v>
      </c>
      <c r="BX2633" s="2" t="s">
        <v>100</v>
      </c>
      <c r="BY2633" s="2" t="s">
        <v>113</v>
      </c>
      <c r="BZ2633" s="2" t="s">
        <v>100</v>
      </c>
    </row>
    <row r="2634">
      <c r="A2634" s="2" t="s">
        <v>8268</v>
      </c>
      <c r="B2634" s="2" t="s">
        <v>7711</v>
      </c>
      <c r="C2634" s="2" t="s">
        <v>88</v>
      </c>
      <c r="D2634" s="2" t="s">
        <v>7730</v>
      </c>
      <c r="E2634" s="2" t="s">
        <v>7731</v>
      </c>
      <c r="F2634" s="2" t="s">
        <v>8240</v>
      </c>
      <c r="G2634" s="2" t="s">
        <v>8269</v>
      </c>
      <c r="H2634" s="2" t="s">
        <v>8270</v>
      </c>
      <c r="I2634" s="2" t="s">
        <v>7820</v>
      </c>
      <c r="J2634" s="2" t="s">
        <v>3877</v>
      </c>
      <c r="K2634" s="2" t="s">
        <v>604</v>
      </c>
      <c r="L2634" s="3">
        <v>189</v>
      </c>
      <c r="M2634" s="3">
        <v>198.45</v>
      </c>
      <c r="N2634" s="3">
        <v>399</v>
      </c>
      <c r="O2634" s="2" t="s">
        <v>97</v>
      </c>
      <c r="P2634" s="2" t="s">
        <v>119</v>
      </c>
      <c r="Q2634" s="2" t="s">
        <v>99</v>
      </c>
      <c r="R2634" s="2" t="s">
        <v>100</v>
      </c>
      <c r="S2634" s="2" t="s">
        <v>8271</v>
      </c>
      <c r="T2634" s="2" t="s">
        <v>100</v>
      </c>
      <c r="U2634" s="2" t="s">
        <v>100</v>
      </c>
      <c r="V2634" s="2" t="s">
        <v>2661</v>
      </c>
      <c r="W2634" s="2" t="s">
        <v>104</v>
      </c>
      <c r="X2634" s="2" t="s">
        <v>100</v>
      </c>
      <c r="Y2634" s="2" t="s">
        <v>2054</v>
      </c>
      <c r="Z2634" s="4">
        <v>218</v>
      </c>
      <c r="AA2634" s="4">
        <f>=ROUNDDOWN(43.6,0)</f>
      </c>
      <c r="AB2634" s="5">
        <v>5</v>
      </c>
      <c r="AC2634" s="2" t="s">
        <v>356</v>
      </c>
      <c r="AD2634" s="4">
        <v>168</v>
      </c>
      <c r="AE2634" s="4">
        <v>168</v>
      </c>
      <c r="AF2634" s="6">
        <v>74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/>
      <c r="BD2634" s="8"/>
      <c r="BE2634" s="4"/>
      <c r="BF2634" s="8"/>
      <c r="BG2634" s="7"/>
      <c r="BH2634" s="7"/>
      <c r="BI2634" s="7"/>
      <c r="BJ2634" s="4">
        <v>169</v>
      </c>
      <c r="BK2634" s="8">
        <v>29205.98</v>
      </c>
      <c r="BL2634" s="2" t="s">
        <v>8272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2480</v>
      </c>
      <c r="BV2634" s="2" t="s">
        <v>97</v>
      </c>
      <c r="BW2634" s="2" t="s">
        <v>100</v>
      </c>
      <c r="BX2634" s="2" t="s">
        <v>100</v>
      </c>
      <c r="BY2634" s="2" t="s">
        <v>113</v>
      </c>
      <c r="BZ2634" s="2" t="s">
        <v>100</v>
      </c>
    </row>
    <row r="2635">
      <c r="A2635" s="2" t="s">
        <v>8273</v>
      </c>
      <c r="B2635" s="2" t="s">
        <v>7711</v>
      </c>
      <c r="C2635" s="2" t="s">
        <v>88</v>
      </c>
      <c r="D2635" s="2" t="s">
        <v>7730</v>
      </c>
      <c r="E2635" s="2" t="s">
        <v>7731</v>
      </c>
      <c r="F2635" s="2" t="s">
        <v>8274</v>
      </c>
      <c r="G2635" s="2" t="s">
        <v>8275</v>
      </c>
      <c r="H2635" s="2" t="s">
        <v>2087</v>
      </c>
      <c r="I2635" s="2" t="s">
        <v>8276</v>
      </c>
      <c r="J2635" s="2" t="s">
        <v>3877</v>
      </c>
      <c r="K2635" s="2" t="s">
        <v>198</v>
      </c>
      <c r="L2635" s="3">
        <v>180.5</v>
      </c>
      <c r="M2635" s="3">
        <v>189.52</v>
      </c>
      <c r="N2635" s="3">
        <v>379</v>
      </c>
      <c r="O2635" s="2" t="s">
        <v>97</v>
      </c>
      <c r="P2635" s="2" t="s">
        <v>119</v>
      </c>
      <c r="Q2635" s="2" t="s">
        <v>99</v>
      </c>
      <c r="R2635" s="2" t="s">
        <v>100</v>
      </c>
      <c r="S2635" s="2" t="s">
        <v>8277</v>
      </c>
      <c r="T2635" s="2" t="s">
        <v>100</v>
      </c>
      <c r="U2635" s="2" t="s">
        <v>100</v>
      </c>
      <c r="V2635" s="2" t="s">
        <v>146</v>
      </c>
      <c r="W2635" s="2" t="s">
        <v>104</v>
      </c>
      <c r="X2635" s="2" t="s">
        <v>100</v>
      </c>
      <c r="Y2635" s="2" t="s">
        <v>240</v>
      </c>
      <c r="Z2635" s="4">
        <v>147</v>
      </c>
      <c r="AA2635" s="4">
        <f>=ROUNDDOWN(29.4,0)</f>
      </c>
      <c r="AB2635" s="5">
        <v>5</v>
      </c>
      <c r="AC2635" s="2" t="s">
        <v>1516</v>
      </c>
      <c r="AD2635" s="4">
        <v>100</v>
      </c>
      <c r="AE2635" s="4">
        <v>100</v>
      </c>
      <c r="AF2635" s="6">
        <v>66</v>
      </c>
      <c r="AG2635" s="6">
        <v>49</v>
      </c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143</v>
      </c>
      <c r="BK2635" s="8">
        <v>24594.33</v>
      </c>
      <c r="BL2635" s="2" t="s">
        <v>8278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2480</v>
      </c>
      <c r="BV2635" s="2" t="s">
        <v>97</v>
      </c>
      <c r="BW2635" s="2" t="s">
        <v>100</v>
      </c>
      <c r="BX2635" s="2" t="s">
        <v>100</v>
      </c>
      <c r="BY2635" s="2" t="s">
        <v>113</v>
      </c>
      <c r="BZ2635" s="2" t="s">
        <v>100</v>
      </c>
    </row>
    <row r="2636">
      <c r="A2636" s="2" t="s">
        <v>8279</v>
      </c>
      <c r="B2636" s="2" t="s">
        <v>7711</v>
      </c>
      <c r="C2636" s="2" t="s">
        <v>88</v>
      </c>
      <c r="D2636" s="2" t="s">
        <v>7730</v>
      </c>
      <c r="E2636" s="2" t="s">
        <v>7731</v>
      </c>
      <c r="F2636" s="2" t="s">
        <v>8274</v>
      </c>
      <c r="G2636" s="2" t="s">
        <v>8275</v>
      </c>
      <c r="H2636" s="2" t="s">
        <v>2087</v>
      </c>
      <c r="I2636" s="2" t="s">
        <v>8276</v>
      </c>
      <c r="J2636" s="2" t="s">
        <v>3877</v>
      </c>
      <c r="K2636" s="2" t="s">
        <v>8169</v>
      </c>
      <c r="L2636" s="3">
        <v>180.5</v>
      </c>
      <c r="M2636" s="3">
        <v>189.52</v>
      </c>
      <c r="N2636" s="3">
        <v>379</v>
      </c>
      <c r="O2636" s="2" t="s">
        <v>97</v>
      </c>
      <c r="P2636" s="2" t="s">
        <v>119</v>
      </c>
      <c r="Q2636" s="2" t="s">
        <v>99</v>
      </c>
      <c r="R2636" s="2" t="s">
        <v>100</v>
      </c>
      <c r="S2636" s="2" t="s">
        <v>8280</v>
      </c>
      <c r="T2636" s="2" t="s">
        <v>100</v>
      </c>
      <c r="U2636" s="2" t="s">
        <v>100</v>
      </c>
      <c r="V2636" s="2" t="s">
        <v>3188</v>
      </c>
      <c r="W2636" s="2" t="s">
        <v>309</v>
      </c>
      <c r="X2636" s="2" t="s">
        <v>100</v>
      </c>
      <c r="Y2636" s="2" t="s">
        <v>240</v>
      </c>
      <c r="Z2636" s="4">
        <v>169</v>
      </c>
      <c r="AA2636" s="4">
        <f>=ROUNDDOWN(28.1666666666667,0)</f>
      </c>
      <c r="AB2636" s="5">
        <v>6</v>
      </c>
      <c r="AC2636" s="2" t="s">
        <v>1164</v>
      </c>
      <c r="AD2636" s="4">
        <v>100</v>
      </c>
      <c r="AE2636" s="4">
        <v>100</v>
      </c>
      <c r="AF2636" s="6">
        <v>66</v>
      </c>
      <c r="AG2636" s="6">
        <v>49</v>
      </c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109</v>
      </c>
      <c r="BK2636" s="8">
        <v>18428.47</v>
      </c>
      <c r="BL2636" s="2" t="s">
        <v>8281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2480</v>
      </c>
      <c r="BV2636" s="2" t="s">
        <v>97</v>
      </c>
      <c r="BW2636" s="2" t="s">
        <v>100</v>
      </c>
      <c r="BX2636" s="2" t="s">
        <v>100</v>
      </c>
      <c r="BY2636" s="2" t="s">
        <v>113</v>
      </c>
      <c r="BZ2636" s="2" t="s">
        <v>100</v>
      </c>
    </row>
    <row r="2637">
      <c r="A2637" s="2" t="s">
        <v>8282</v>
      </c>
      <c r="B2637" s="2" t="s">
        <v>7711</v>
      </c>
      <c r="C2637" s="2" t="s">
        <v>88</v>
      </c>
      <c r="D2637" s="2" t="s">
        <v>7730</v>
      </c>
      <c r="E2637" s="2" t="s">
        <v>7731</v>
      </c>
      <c r="F2637" s="2" t="s">
        <v>8283</v>
      </c>
      <c r="G2637" s="2" t="s">
        <v>806</v>
      </c>
      <c r="H2637" s="2" t="s">
        <v>8284</v>
      </c>
      <c r="I2637" s="2" t="s">
        <v>7820</v>
      </c>
      <c r="J2637" s="2" t="s">
        <v>3877</v>
      </c>
      <c r="K2637" s="2" t="s">
        <v>335</v>
      </c>
      <c r="L2637" s="3">
        <v>285.94</v>
      </c>
      <c r="M2637" s="3">
        <v>300.24</v>
      </c>
      <c r="N2637" s="3">
        <v>599</v>
      </c>
      <c r="O2637" s="2" t="s">
        <v>97</v>
      </c>
      <c r="P2637" s="2" t="s">
        <v>119</v>
      </c>
      <c r="Q2637" s="2" t="s">
        <v>99</v>
      </c>
      <c r="R2637" s="2" t="s">
        <v>100</v>
      </c>
      <c r="S2637" s="2" t="s">
        <v>100</v>
      </c>
      <c r="T2637" s="2" t="s">
        <v>100</v>
      </c>
      <c r="U2637" s="2" t="s">
        <v>1847</v>
      </c>
      <c r="V2637" s="2" t="s">
        <v>146</v>
      </c>
      <c r="W2637" s="2" t="s">
        <v>104</v>
      </c>
      <c r="X2637" s="2" t="s">
        <v>561</v>
      </c>
      <c r="Y2637" s="2" t="s">
        <v>8285</v>
      </c>
      <c r="Z2637" s="4">
        <v>38</v>
      </c>
      <c r="AA2637" s="4">
        <f>=ROUNDDOWN(9.5,0)</f>
      </c>
      <c r="AB2637" s="5">
        <v>4</v>
      </c>
      <c r="AC2637" s="2" t="s">
        <v>241</v>
      </c>
      <c r="AD2637" s="4">
        <v>100</v>
      </c>
      <c r="AE2637" s="4">
        <v>100</v>
      </c>
      <c r="AF2637" s="6">
        <v>66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99</v>
      </c>
      <c r="BK2637" s="8">
        <v>27876.45</v>
      </c>
      <c r="BL2637" s="2" t="s">
        <v>8286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2480</v>
      </c>
      <c r="BV2637" s="2" t="s">
        <v>97</v>
      </c>
      <c r="BW2637" s="2" t="s">
        <v>100</v>
      </c>
      <c r="BX2637" s="2" t="s">
        <v>100</v>
      </c>
      <c r="BY2637" s="2" t="s">
        <v>113</v>
      </c>
      <c r="BZ2637" s="2" t="s">
        <v>100</v>
      </c>
    </row>
    <row r="2638">
      <c r="A2638" s="2" t="s">
        <v>8287</v>
      </c>
      <c r="B2638" s="2" t="s">
        <v>7711</v>
      </c>
      <c r="C2638" s="2" t="s">
        <v>88</v>
      </c>
      <c r="D2638" s="2" t="s">
        <v>7730</v>
      </c>
      <c r="E2638" s="2" t="s">
        <v>7731</v>
      </c>
      <c r="F2638" s="2" t="s">
        <v>8283</v>
      </c>
      <c r="G2638" s="2" t="s">
        <v>806</v>
      </c>
      <c r="H2638" s="2" t="s">
        <v>8284</v>
      </c>
      <c r="I2638" s="2" t="s">
        <v>8288</v>
      </c>
      <c r="J2638" s="2" t="s">
        <v>3877</v>
      </c>
      <c r="K2638" s="2" t="s">
        <v>8289</v>
      </c>
      <c r="L2638" s="3">
        <v>285.94</v>
      </c>
      <c r="M2638" s="3">
        <v>300.24</v>
      </c>
      <c r="N2638" s="3">
        <v>599</v>
      </c>
      <c r="O2638" s="2" t="s">
        <v>97</v>
      </c>
      <c r="P2638" s="2" t="s">
        <v>119</v>
      </c>
      <c r="Q2638" s="2" t="s">
        <v>99</v>
      </c>
      <c r="R2638" s="2" t="s">
        <v>100</v>
      </c>
      <c r="S2638" s="2" t="s">
        <v>8290</v>
      </c>
      <c r="T2638" s="2" t="s">
        <v>100</v>
      </c>
      <c r="U2638" s="2" t="s">
        <v>100</v>
      </c>
      <c r="V2638" s="2" t="s">
        <v>146</v>
      </c>
      <c r="W2638" s="2" t="s">
        <v>104</v>
      </c>
      <c r="X2638" s="2" t="s">
        <v>561</v>
      </c>
      <c r="Y2638" s="2" t="s">
        <v>2054</v>
      </c>
      <c r="Z2638" s="4">
        <v>594</v>
      </c>
      <c r="AA2638" s="4">
        <f>=ROUNDDOWN(86.0869565217391,0)</f>
      </c>
      <c r="AB2638" s="5">
        <v>6.9</v>
      </c>
      <c r="AC2638" s="2" t="s">
        <v>100</v>
      </c>
      <c r="AD2638" s="4"/>
      <c r="AE2638" s="4"/>
      <c r="AF2638" s="6">
        <v>66</v>
      </c>
      <c r="AG2638" s="6">
        <v>49</v>
      </c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>
        <v>169</v>
      </c>
      <c r="BK2638" s="8">
        <v>51596.9</v>
      </c>
      <c r="BL2638" s="2" t="s">
        <v>8291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2480</v>
      </c>
      <c r="BV2638" s="2" t="s">
        <v>97</v>
      </c>
      <c r="BW2638" s="2" t="s">
        <v>100</v>
      </c>
      <c r="BX2638" s="2" t="s">
        <v>100</v>
      </c>
      <c r="BY2638" s="2" t="s">
        <v>113</v>
      </c>
      <c r="BZ2638" s="2" t="s">
        <v>100</v>
      </c>
    </row>
    <row r="2639">
      <c r="A2639" s="2" t="s">
        <v>8292</v>
      </c>
      <c r="B2639" s="2" t="s">
        <v>7711</v>
      </c>
      <c r="C2639" s="2" t="s">
        <v>88</v>
      </c>
      <c r="D2639" s="2" t="s">
        <v>7730</v>
      </c>
      <c r="E2639" s="2" t="s">
        <v>7731</v>
      </c>
      <c r="F2639" s="2" t="s">
        <v>8293</v>
      </c>
      <c r="G2639" s="2" t="s">
        <v>8294</v>
      </c>
      <c r="H2639" s="2" t="s">
        <v>8295</v>
      </c>
      <c r="I2639" s="2" t="s">
        <v>8296</v>
      </c>
      <c r="J2639" s="2" t="s">
        <v>3877</v>
      </c>
      <c r="K2639" s="2" t="s">
        <v>8297</v>
      </c>
      <c r="L2639" s="3">
        <v>251.08</v>
      </c>
      <c r="M2639" s="3">
        <v>263.63</v>
      </c>
      <c r="N2639" s="3">
        <v>529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100</v>
      </c>
      <c r="T2639" s="2" t="s">
        <v>100</v>
      </c>
      <c r="U2639" s="2" t="s">
        <v>1847</v>
      </c>
      <c r="V2639" s="2" t="s">
        <v>146</v>
      </c>
      <c r="W2639" s="2" t="s">
        <v>309</v>
      </c>
      <c r="X2639" s="2" t="s">
        <v>239</v>
      </c>
      <c r="Y2639" s="2" t="s">
        <v>1279</v>
      </c>
      <c r="Z2639" s="4">
        <v>95</v>
      </c>
      <c r="AA2639" s="4">
        <f>=ROUNDDOWN(6.78571428571429,0)</f>
      </c>
      <c r="AB2639" s="5">
        <v>14</v>
      </c>
      <c r="AC2639" s="2" t="s">
        <v>107</v>
      </c>
      <c r="AD2639" s="4">
        <v>231</v>
      </c>
      <c r="AE2639" s="4">
        <v>250</v>
      </c>
      <c r="AF2639" s="6">
        <v>76</v>
      </c>
      <c r="AG2639" s="6"/>
      <c r="AH2639" s="7">
        <v>0.7754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/>
      <c r="BJ2639" s="4">
        <v>314</v>
      </c>
      <c r="BK2639" s="8">
        <v>83056.02</v>
      </c>
      <c r="BL2639" s="2" t="s">
        <v>7799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2480</v>
      </c>
      <c r="BV2639" s="2" t="s">
        <v>97</v>
      </c>
      <c r="BW2639" s="2" t="s">
        <v>100</v>
      </c>
      <c r="BX2639" s="2" t="s">
        <v>100</v>
      </c>
      <c r="BY2639" s="2" t="s">
        <v>113</v>
      </c>
      <c r="BZ2639" s="2" t="s">
        <v>100</v>
      </c>
    </row>
    <row r="2640">
      <c r="A2640" s="2" t="s">
        <v>8298</v>
      </c>
      <c r="B2640" s="2" t="s">
        <v>7711</v>
      </c>
      <c r="C2640" s="2" t="s">
        <v>88</v>
      </c>
      <c r="D2640" s="2" t="s">
        <v>7730</v>
      </c>
      <c r="E2640" s="2" t="s">
        <v>7731</v>
      </c>
      <c r="F2640" s="2" t="s">
        <v>8293</v>
      </c>
      <c r="G2640" s="2" t="s">
        <v>8294</v>
      </c>
      <c r="H2640" s="2" t="s">
        <v>8295</v>
      </c>
      <c r="I2640" s="2" t="s">
        <v>8296</v>
      </c>
      <c r="J2640" s="2" t="s">
        <v>3877</v>
      </c>
      <c r="K2640" s="2" t="s">
        <v>8299</v>
      </c>
      <c r="L2640" s="3">
        <v>251.08</v>
      </c>
      <c r="M2640" s="3">
        <v>263.63</v>
      </c>
      <c r="N2640" s="3">
        <v>529</v>
      </c>
      <c r="O2640" s="2" t="s">
        <v>97</v>
      </c>
      <c r="P2640" s="2" t="s">
        <v>372</v>
      </c>
      <c r="Q2640" s="2" t="s">
        <v>99</v>
      </c>
      <c r="R2640" s="2" t="s">
        <v>100</v>
      </c>
      <c r="S2640" s="2" t="s">
        <v>100</v>
      </c>
      <c r="T2640" s="2" t="s">
        <v>100</v>
      </c>
      <c r="U2640" s="2" t="s">
        <v>1847</v>
      </c>
      <c r="V2640" s="2" t="s">
        <v>146</v>
      </c>
      <c r="W2640" s="2" t="s">
        <v>309</v>
      </c>
      <c r="X2640" s="2" t="s">
        <v>100</v>
      </c>
      <c r="Y2640" s="2" t="s">
        <v>8300</v>
      </c>
      <c r="Z2640" s="4">
        <v>627</v>
      </c>
      <c r="AA2640" s="4">
        <f>=ROUNDDOWN(21.6206896551724,0)</f>
      </c>
      <c r="AB2640" s="5">
        <v>29</v>
      </c>
      <c r="AC2640" s="2" t="s">
        <v>320</v>
      </c>
      <c r="AD2640" s="4">
        <v>129</v>
      </c>
      <c r="AE2640" s="4">
        <v>434</v>
      </c>
      <c r="AF2640" s="6">
        <v>76</v>
      </c>
      <c r="AG2640" s="6">
        <v>62</v>
      </c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719</v>
      </c>
      <c r="BK2640" s="8">
        <v>201047.16</v>
      </c>
      <c r="BL2640" s="2" t="s">
        <v>8301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2480</v>
      </c>
      <c r="BV2640" s="2" t="s">
        <v>97</v>
      </c>
      <c r="BW2640" s="2" t="s">
        <v>100</v>
      </c>
      <c r="BX2640" s="2" t="s">
        <v>100</v>
      </c>
      <c r="BY2640" s="2" t="s">
        <v>113</v>
      </c>
      <c r="BZ2640" s="2" t="s">
        <v>100</v>
      </c>
    </row>
    <row r="2641">
      <c r="A2641" s="2" t="s">
        <v>8302</v>
      </c>
      <c r="B2641" s="2" t="s">
        <v>7711</v>
      </c>
      <c r="C2641" s="2" t="s">
        <v>88</v>
      </c>
      <c r="D2641" s="2" t="s">
        <v>7730</v>
      </c>
      <c r="E2641" s="2" t="s">
        <v>7731</v>
      </c>
      <c r="F2641" s="2" t="s">
        <v>8293</v>
      </c>
      <c r="G2641" s="2" t="s">
        <v>8294</v>
      </c>
      <c r="H2641" s="2" t="s">
        <v>8295</v>
      </c>
      <c r="I2641" s="2" t="s">
        <v>8296</v>
      </c>
      <c r="J2641" s="2" t="s">
        <v>3877</v>
      </c>
      <c r="K2641" s="2" t="s">
        <v>8303</v>
      </c>
      <c r="L2641" s="3">
        <v>251.08</v>
      </c>
      <c r="M2641" s="3">
        <v>263.63</v>
      </c>
      <c r="N2641" s="3">
        <v>529</v>
      </c>
      <c r="O2641" s="2" t="s">
        <v>97</v>
      </c>
      <c r="P2641" s="2" t="s">
        <v>119</v>
      </c>
      <c r="Q2641" s="2" t="s">
        <v>99</v>
      </c>
      <c r="R2641" s="2" t="s">
        <v>100</v>
      </c>
      <c r="S2641" s="2" t="s">
        <v>100</v>
      </c>
      <c r="T2641" s="2" t="s">
        <v>100</v>
      </c>
      <c r="U2641" s="2" t="s">
        <v>1847</v>
      </c>
      <c r="V2641" s="2" t="s">
        <v>146</v>
      </c>
      <c r="W2641" s="2" t="s">
        <v>309</v>
      </c>
      <c r="X2641" s="2" t="s">
        <v>100</v>
      </c>
      <c r="Y2641" s="2" t="s">
        <v>8304</v>
      </c>
      <c r="Z2641" s="4">
        <v>285</v>
      </c>
      <c r="AA2641" s="4">
        <f>=ROUNDDOWN(28.5,0)</f>
      </c>
      <c r="AB2641" s="5">
        <v>10</v>
      </c>
      <c r="AC2641" s="2" t="s">
        <v>608</v>
      </c>
      <c r="AD2641" s="4">
        <v>100</v>
      </c>
      <c r="AE2641" s="4">
        <v>100</v>
      </c>
      <c r="AF2641" s="6">
        <v>76</v>
      </c>
      <c r="AG2641" s="6">
        <v>62</v>
      </c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254</v>
      </c>
      <c r="BK2641" s="8">
        <v>70215.93</v>
      </c>
      <c r="BL2641" s="2" t="s">
        <v>8305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2480</v>
      </c>
      <c r="BV2641" s="2" t="s">
        <v>97</v>
      </c>
      <c r="BW2641" s="2" t="s">
        <v>100</v>
      </c>
      <c r="BX2641" s="2" t="s">
        <v>100</v>
      </c>
      <c r="BY2641" s="2" t="s">
        <v>113</v>
      </c>
      <c r="BZ2641" s="2" t="s">
        <v>100</v>
      </c>
    </row>
    <row r="2642">
      <c r="A2642" s="2" t="s">
        <v>8306</v>
      </c>
      <c r="B2642" s="2" t="s">
        <v>7711</v>
      </c>
      <c r="C2642" s="2" t="s">
        <v>88</v>
      </c>
      <c r="D2642" s="2" t="s">
        <v>7730</v>
      </c>
      <c r="E2642" s="2" t="s">
        <v>7731</v>
      </c>
      <c r="F2642" s="2" t="s">
        <v>8307</v>
      </c>
      <c r="G2642" s="2" t="s">
        <v>8308</v>
      </c>
      <c r="H2642" s="2" t="s">
        <v>8309</v>
      </c>
      <c r="I2642" s="2" t="s">
        <v>8310</v>
      </c>
      <c r="J2642" s="2" t="s">
        <v>3877</v>
      </c>
      <c r="K2642" s="2" t="s">
        <v>118</v>
      </c>
      <c r="L2642" s="3">
        <v>212.85</v>
      </c>
      <c r="M2642" s="3">
        <v>223.49</v>
      </c>
      <c r="N2642" s="3">
        <v>449</v>
      </c>
      <c r="O2642" s="2" t="s">
        <v>97</v>
      </c>
      <c r="P2642" s="2" t="s">
        <v>119</v>
      </c>
      <c r="Q2642" s="2" t="s">
        <v>99</v>
      </c>
      <c r="R2642" s="2" t="s">
        <v>100</v>
      </c>
      <c r="S2642" s="2" t="s">
        <v>8311</v>
      </c>
      <c r="T2642" s="2" t="s">
        <v>100</v>
      </c>
      <c r="U2642" s="2" t="s">
        <v>100</v>
      </c>
      <c r="V2642" s="2" t="s">
        <v>146</v>
      </c>
      <c r="W2642" s="2" t="s">
        <v>104</v>
      </c>
      <c r="X2642" s="2" t="s">
        <v>100</v>
      </c>
      <c r="Y2642" s="2" t="s">
        <v>240</v>
      </c>
      <c r="Z2642" s="4">
        <v>132</v>
      </c>
      <c r="AA2642" s="4">
        <f>=ROUNDDOWN(22,0)</f>
      </c>
      <c r="AB2642" s="5">
        <v>6</v>
      </c>
      <c r="AC2642" s="2" t="s">
        <v>2618</v>
      </c>
      <c r="AD2642" s="4">
        <v>110</v>
      </c>
      <c r="AE2642" s="4">
        <v>110</v>
      </c>
      <c r="AF2642" s="6">
        <v>66</v>
      </c>
      <c r="AG2642" s="6">
        <v>49</v>
      </c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/>
      <c r="BD2642" s="8"/>
      <c r="BE2642" s="4"/>
      <c r="BF2642" s="8"/>
      <c r="BG2642" s="7"/>
      <c r="BH2642" s="7"/>
      <c r="BI2642" s="7"/>
      <c r="BJ2642" s="4">
        <v>143</v>
      </c>
      <c r="BK2642" s="8">
        <v>30016.77</v>
      </c>
      <c r="BL2642" s="2" t="s">
        <v>8312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2480</v>
      </c>
      <c r="BV2642" s="2" t="s">
        <v>97</v>
      </c>
      <c r="BW2642" s="2" t="s">
        <v>100</v>
      </c>
      <c r="BX2642" s="2" t="s">
        <v>100</v>
      </c>
      <c r="BY2642" s="2" t="s">
        <v>113</v>
      </c>
      <c r="BZ2642" s="2" t="s">
        <v>100</v>
      </c>
    </row>
    <row r="2643">
      <c r="A2643" s="2" t="s">
        <v>8313</v>
      </c>
      <c r="B2643" s="2" t="s">
        <v>7711</v>
      </c>
      <c r="C2643" s="2" t="s">
        <v>88</v>
      </c>
      <c r="D2643" s="2" t="s">
        <v>7730</v>
      </c>
      <c r="E2643" s="2" t="s">
        <v>7731</v>
      </c>
      <c r="F2643" s="2" t="s">
        <v>3568</v>
      </c>
      <c r="G2643" s="2" t="s">
        <v>8314</v>
      </c>
      <c r="H2643" s="2" t="s">
        <v>8315</v>
      </c>
      <c r="I2643" s="2" t="s">
        <v>8316</v>
      </c>
      <c r="J2643" s="2" t="s">
        <v>3877</v>
      </c>
      <c r="K2643" s="2" t="s">
        <v>1614</v>
      </c>
      <c r="L2643" s="3">
        <v>204.25</v>
      </c>
      <c r="M2643" s="3">
        <v>214.46</v>
      </c>
      <c r="N2643" s="3">
        <v>429</v>
      </c>
      <c r="O2643" s="2" t="s">
        <v>97</v>
      </c>
      <c r="P2643" s="2" t="s">
        <v>119</v>
      </c>
      <c r="Q2643" s="2" t="s">
        <v>99</v>
      </c>
      <c r="R2643" s="2" t="s">
        <v>100</v>
      </c>
      <c r="S2643" s="2" t="s">
        <v>8317</v>
      </c>
      <c r="T2643" s="2" t="s">
        <v>100</v>
      </c>
      <c r="U2643" s="2" t="s">
        <v>100</v>
      </c>
      <c r="V2643" s="2" t="s">
        <v>146</v>
      </c>
      <c r="W2643" s="2" t="s">
        <v>104</v>
      </c>
      <c r="X2643" s="2" t="s">
        <v>100</v>
      </c>
      <c r="Y2643" s="2" t="s">
        <v>240</v>
      </c>
      <c r="Z2643" s="4">
        <v>199</v>
      </c>
      <c r="AA2643" s="4">
        <f>=ROUNDDOWN(34.3103448275862,0)</f>
      </c>
      <c r="AB2643" s="5">
        <v>5.8</v>
      </c>
      <c r="AC2643" s="2" t="s">
        <v>100</v>
      </c>
      <c r="AD2643" s="4"/>
      <c r="AE2643" s="4"/>
      <c r="AF2643" s="6">
        <v>74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0.4332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154</v>
      </c>
      <c r="BK2643" s="8">
        <v>30572.06</v>
      </c>
      <c r="BL2643" s="2" t="s">
        <v>8318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2480</v>
      </c>
      <c r="BV2643" s="2" t="s">
        <v>97</v>
      </c>
      <c r="BW2643" s="2" t="s">
        <v>100</v>
      </c>
      <c r="BX2643" s="2" t="s">
        <v>100</v>
      </c>
      <c r="BY2643" s="2" t="s">
        <v>113</v>
      </c>
      <c r="BZ2643" s="2" t="s">
        <v>100</v>
      </c>
    </row>
    <row r="2644">
      <c r="A2644" s="2" t="s">
        <v>8319</v>
      </c>
      <c r="B2644" s="2" t="s">
        <v>7711</v>
      </c>
      <c r="C2644" s="2" t="s">
        <v>88</v>
      </c>
      <c r="D2644" s="2" t="s">
        <v>7730</v>
      </c>
      <c r="E2644" s="2" t="s">
        <v>7731</v>
      </c>
      <c r="F2644" s="2" t="s">
        <v>3568</v>
      </c>
      <c r="G2644" s="2" t="s">
        <v>8314</v>
      </c>
      <c r="H2644" s="2" t="s">
        <v>8315</v>
      </c>
      <c r="I2644" s="2" t="s">
        <v>8316</v>
      </c>
      <c r="J2644" s="2" t="s">
        <v>3877</v>
      </c>
      <c r="K2644" s="2" t="s">
        <v>578</v>
      </c>
      <c r="L2644" s="3">
        <v>204.25</v>
      </c>
      <c r="M2644" s="3">
        <v>214.46</v>
      </c>
      <c r="N2644" s="3">
        <v>429</v>
      </c>
      <c r="O2644" s="2" t="s">
        <v>97</v>
      </c>
      <c r="P2644" s="2" t="s">
        <v>119</v>
      </c>
      <c r="Q2644" s="2" t="s">
        <v>99</v>
      </c>
      <c r="R2644" s="2" t="s">
        <v>100</v>
      </c>
      <c r="S2644" s="2" t="s">
        <v>8320</v>
      </c>
      <c r="T2644" s="2" t="s">
        <v>100</v>
      </c>
      <c r="U2644" s="2" t="s">
        <v>100</v>
      </c>
      <c r="V2644" s="2" t="s">
        <v>146</v>
      </c>
      <c r="W2644" s="2" t="s">
        <v>104</v>
      </c>
      <c r="X2644" s="2" t="s">
        <v>100</v>
      </c>
      <c r="Y2644" s="2" t="s">
        <v>240</v>
      </c>
      <c r="Z2644" s="4">
        <v>106</v>
      </c>
      <c r="AA2644" s="4">
        <f>=ROUNDDOWN(35.3333333333333,0)</f>
      </c>
      <c r="AB2644" s="5">
        <v>3</v>
      </c>
      <c r="AC2644" s="2" t="s">
        <v>100</v>
      </c>
      <c r="AD2644" s="4"/>
      <c r="AE2644" s="4"/>
      <c r="AF2644" s="6">
        <v>74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72</v>
      </c>
      <c r="BK2644" s="8">
        <v>14784.22</v>
      </c>
      <c r="BL2644" s="2" t="s">
        <v>8321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2480</v>
      </c>
      <c r="BV2644" s="2" t="s">
        <v>97</v>
      </c>
      <c r="BW2644" s="2" t="s">
        <v>100</v>
      </c>
      <c r="BX2644" s="2" t="s">
        <v>100</v>
      </c>
      <c r="BY2644" s="2" t="s">
        <v>113</v>
      </c>
      <c r="BZ2644" s="2" t="s">
        <v>100</v>
      </c>
    </row>
    <row r="2645">
      <c r="A2645" s="2" t="s">
        <v>8322</v>
      </c>
      <c r="B2645" s="2" t="s">
        <v>7711</v>
      </c>
      <c r="C2645" s="2" t="s">
        <v>88</v>
      </c>
      <c r="D2645" s="2" t="s">
        <v>7730</v>
      </c>
      <c r="E2645" s="2" t="s">
        <v>7731</v>
      </c>
      <c r="F2645" s="2" t="s">
        <v>8323</v>
      </c>
      <c r="G2645" s="2" t="s">
        <v>8324</v>
      </c>
      <c r="H2645" s="2" t="s">
        <v>8325</v>
      </c>
      <c r="I2645" s="2" t="s">
        <v>7820</v>
      </c>
      <c r="J2645" s="2" t="s">
        <v>3877</v>
      </c>
      <c r="K2645" s="2" t="s">
        <v>5109</v>
      </c>
      <c r="L2645" s="3">
        <v>207.9</v>
      </c>
      <c r="M2645" s="3">
        <v>218.3</v>
      </c>
      <c r="N2645" s="3">
        <v>439</v>
      </c>
      <c r="O2645" s="2" t="s">
        <v>97</v>
      </c>
      <c r="P2645" s="2" t="s">
        <v>119</v>
      </c>
      <c r="Q2645" s="2" t="s">
        <v>99</v>
      </c>
      <c r="R2645" s="2" t="s">
        <v>100</v>
      </c>
      <c r="S2645" s="2" t="s">
        <v>100</v>
      </c>
      <c r="T2645" s="2" t="s">
        <v>100</v>
      </c>
      <c r="U2645" s="2" t="s">
        <v>100</v>
      </c>
      <c r="V2645" s="2" t="s">
        <v>146</v>
      </c>
      <c r="W2645" s="2" t="s">
        <v>183</v>
      </c>
      <c r="X2645" s="2" t="s">
        <v>100</v>
      </c>
      <c r="Y2645" s="2" t="s">
        <v>8326</v>
      </c>
      <c r="Z2645" s="4">
        <v>5</v>
      </c>
      <c r="AA2645" s="4">
        <f>=ROUNDDOWN(0.714285714285714,0)</f>
      </c>
      <c r="AB2645" s="5">
        <v>7</v>
      </c>
      <c r="AC2645" s="2" t="s">
        <v>282</v>
      </c>
      <c r="AD2645" s="4">
        <v>92</v>
      </c>
      <c r="AE2645" s="4">
        <v>212</v>
      </c>
      <c r="AF2645" s="6">
        <v>66</v>
      </c>
      <c r="AG2645" s="6">
        <v>49</v>
      </c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>
        <v>163</v>
      </c>
      <c r="BK2645" s="8">
        <v>33121.51</v>
      </c>
      <c r="BL2645" s="2" t="s">
        <v>8327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2480</v>
      </c>
      <c r="BV2645" s="2" t="s">
        <v>97</v>
      </c>
      <c r="BW2645" s="2" t="s">
        <v>100</v>
      </c>
      <c r="BX2645" s="2" t="s">
        <v>100</v>
      </c>
      <c r="BY2645" s="2" t="s">
        <v>113</v>
      </c>
      <c r="BZ2645" s="2" t="s">
        <v>100</v>
      </c>
    </row>
    <row r="2646">
      <c r="A2646" s="2" t="s">
        <v>8328</v>
      </c>
      <c r="B2646" s="2" t="s">
        <v>7711</v>
      </c>
      <c r="C2646" s="2" t="s">
        <v>88</v>
      </c>
      <c r="D2646" s="2" t="s">
        <v>7730</v>
      </c>
      <c r="E2646" s="2" t="s">
        <v>7731</v>
      </c>
      <c r="F2646" s="2" t="s">
        <v>1095</v>
      </c>
      <c r="G2646" s="2" t="s">
        <v>391</v>
      </c>
      <c r="H2646" s="2" t="s">
        <v>5241</v>
      </c>
      <c r="I2646" s="2" t="s">
        <v>8329</v>
      </c>
      <c r="J2646" s="2" t="s">
        <v>3877</v>
      </c>
      <c r="K2646" s="2" t="s">
        <v>130</v>
      </c>
      <c r="L2646" s="3">
        <v>180.5</v>
      </c>
      <c r="M2646" s="3">
        <v>189.52</v>
      </c>
      <c r="N2646" s="3">
        <v>379</v>
      </c>
      <c r="O2646" s="2" t="s">
        <v>97</v>
      </c>
      <c r="P2646" s="2" t="s">
        <v>119</v>
      </c>
      <c r="Q2646" s="2" t="s">
        <v>99</v>
      </c>
      <c r="R2646" s="2" t="s">
        <v>100</v>
      </c>
      <c r="S2646" s="2" t="s">
        <v>8330</v>
      </c>
      <c r="T2646" s="2" t="s">
        <v>100</v>
      </c>
      <c r="U2646" s="2" t="s">
        <v>100</v>
      </c>
      <c r="V2646" s="2" t="s">
        <v>256</v>
      </c>
      <c r="W2646" s="2" t="s">
        <v>309</v>
      </c>
      <c r="X2646" s="2" t="s">
        <v>100</v>
      </c>
      <c r="Y2646" s="2" t="s">
        <v>240</v>
      </c>
      <c r="Z2646" s="4">
        <v>163</v>
      </c>
      <c r="AA2646" s="4">
        <f>=ROUNDDOWN(27.1666666666667,0)</f>
      </c>
      <c r="AB2646" s="5">
        <v>6</v>
      </c>
      <c r="AC2646" s="2" t="s">
        <v>1318</v>
      </c>
      <c r="AD2646" s="4">
        <v>110</v>
      </c>
      <c r="AE2646" s="4">
        <v>125</v>
      </c>
      <c r="AF2646" s="6">
        <v>74</v>
      </c>
      <c r="AG2646" s="6">
        <v>60</v>
      </c>
      <c r="AH2646" s="7">
        <v>0.9251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169</v>
      </c>
      <c r="BK2646" s="8">
        <v>29284.89</v>
      </c>
      <c r="BL2646" s="2" t="s">
        <v>8331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2480</v>
      </c>
      <c r="BV2646" s="2" t="s">
        <v>97</v>
      </c>
      <c r="BW2646" s="2" t="s">
        <v>100</v>
      </c>
      <c r="BX2646" s="2" t="s">
        <v>100</v>
      </c>
      <c r="BY2646" s="2" t="s">
        <v>113</v>
      </c>
      <c r="BZ2646" s="2" t="s">
        <v>100</v>
      </c>
    </row>
    <row r="2647">
      <c r="A2647" s="2" t="s">
        <v>8332</v>
      </c>
      <c r="B2647" s="2" t="s">
        <v>7711</v>
      </c>
      <c r="C2647" s="2" t="s">
        <v>88</v>
      </c>
      <c r="D2647" s="2" t="s">
        <v>7730</v>
      </c>
      <c r="E2647" s="2" t="s">
        <v>7731</v>
      </c>
      <c r="F2647" s="2" t="s">
        <v>1095</v>
      </c>
      <c r="G2647" s="2" t="s">
        <v>391</v>
      </c>
      <c r="H2647" s="2" t="s">
        <v>5241</v>
      </c>
      <c r="I2647" s="2" t="s">
        <v>8329</v>
      </c>
      <c r="J2647" s="2" t="s">
        <v>3877</v>
      </c>
      <c r="K2647" s="2" t="s">
        <v>858</v>
      </c>
      <c r="L2647" s="3">
        <v>180.5</v>
      </c>
      <c r="M2647" s="3">
        <v>189.52</v>
      </c>
      <c r="N2647" s="3">
        <v>379</v>
      </c>
      <c r="O2647" s="2" t="s">
        <v>97</v>
      </c>
      <c r="P2647" s="2" t="s">
        <v>119</v>
      </c>
      <c r="Q2647" s="2" t="s">
        <v>99</v>
      </c>
      <c r="R2647" s="2" t="s">
        <v>100</v>
      </c>
      <c r="S2647" s="2" t="s">
        <v>8333</v>
      </c>
      <c r="T2647" s="2" t="s">
        <v>100</v>
      </c>
      <c r="U2647" s="2" t="s">
        <v>100</v>
      </c>
      <c r="V2647" s="2" t="s">
        <v>2661</v>
      </c>
      <c r="W2647" s="2" t="s">
        <v>415</v>
      </c>
      <c r="X2647" s="2" t="s">
        <v>104</v>
      </c>
      <c r="Y2647" s="2" t="s">
        <v>8334</v>
      </c>
      <c r="Z2647" s="4">
        <v>142</v>
      </c>
      <c r="AA2647" s="4">
        <f>=ROUNDDOWN(23.6666666666667,0)</f>
      </c>
      <c r="AB2647" s="5">
        <v>6</v>
      </c>
      <c r="AC2647" s="2" t="s">
        <v>107</v>
      </c>
      <c r="AD2647" s="4">
        <v>100</v>
      </c>
      <c r="AE2647" s="4">
        <v>100</v>
      </c>
      <c r="AF2647" s="6">
        <v>74</v>
      </c>
      <c r="AG2647" s="6">
        <v>60</v>
      </c>
      <c r="AH2647" s="7">
        <v>0.6845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119</v>
      </c>
      <c r="BK2647" s="8">
        <v>21306.81</v>
      </c>
      <c r="BL2647" s="2" t="s">
        <v>8335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2528</v>
      </c>
      <c r="BV2647" s="2" t="s">
        <v>97</v>
      </c>
      <c r="BW2647" s="2" t="s">
        <v>100</v>
      </c>
      <c r="BX2647" s="2" t="s">
        <v>100</v>
      </c>
      <c r="BY2647" s="2" t="s">
        <v>113</v>
      </c>
      <c r="BZ2647" s="2" t="s">
        <v>100</v>
      </c>
    </row>
    <row r="2648">
      <c r="A2648" s="2" t="s">
        <v>8336</v>
      </c>
      <c r="B2648" s="2" t="s">
        <v>7711</v>
      </c>
      <c r="C2648" s="2" t="s">
        <v>88</v>
      </c>
      <c r="D2648" s="2" t="s">
        <v>7730</v>
      </c>
      <c r="E2648" s="2" t="s">
        <v>7731</v>
      </c>
      <c r="F2648" s="2" t="s">
        <v>8337</v>
      </c>
      <c r="G2648" s="2" t="s">
        <v>8338</v>
      </c>
      <c r="H2648" s="2" t="s">
        <v>8339</v>
      </c>
      <c r="I2648" s="2" t="s">
        <v>8296</v>
      </c>
      <c r="J2648" s="2" t="s">
        <v>3877</v>
      </c>
      <c r="K2648" s="2" t="s">
        <v>858</v>
      </c>
      <c r="L2648" s="3">
        <v>260</v>
      </c>
      <c r="M2648" s="3">
        <v>273</v>
      </c>
      <c r="N2648" s="3">
        <v>549</v>
      </c>
      <c r="O2648" s="2" t="s">
        <v>97</v>
      </c>
      <c r="P2648" s="2" t="s">
        <v>119</v>
      </c>
      <c r="Q2648" s="2" t="s">
        <v>99</v>
      </c>
      <c r="R2648" s="2" t="s">
        <v>100</v>
      </c>
      <c r="S2648" s="2" t="s">
        <v>100</v>
      </c>
      <c r="T2648" s="2" t="s">
        <v>100</v>
      </c>
      <c r="U2648" s="2" t="s">
        <v>1847</v>
      </c>
      <c r="V2648" s="2" t="s">
        <v>3188</v>
      </c>
      <c r="W2648" s="2" t="s">
        <v>104</v>
      </c>
      <c r="X2648" s="2" t="s">
        <v>239</v>
      </c>
      <c r="Y2648" s="2" t="s">
        <v>4562</v>
      </c>
      <c r="Z2648" s="4">
        <v>150</v>
      </c>
      <c r="AA2648" s="4">
        <f>=ROUNDDOWN(25,0)</f>
      </c>
      <c r="AB2648" s="5">
        <v>6</v>
      </c>
      <c r="AC2648" s="2" t="s">
        <v>7888</v>
      </c>
      <c r="AD2648" s="4">
        <v>200</v>
      </c>
      <c r="AE2648" s="4">
        <v>200</v>
      </c>
      <c r="AF2648" s="6">
        <v>66</v>
      </c>
      <c r="AG2648" s="6">
        <v>49</v>
      </c>
      <c r="AH2648" s="7">
        <v>0.9358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/>
      <c r="BD2648" s="8"/>
      <c r="BE2648" s="4"/>
      <c r="BF2648" s="8"/>
      <c r="BG2648" s="7"/>
      <c r="BH2648" s="7"/>
      <c r="BI2648" s="7"/>
      <c r="BJ2648" s="4">
        <v>190</v>
      </c>
      <c r="BK2648" s="8">
        <v>51876.68</v>
      </c>
      <c r="BL2648" s="2" t="s">
        <v>8340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2480</v>
      </c>
      <c r="BV2648" s="2" t="s">
        <v>97</v>
      </c>
      <c r="BW2648" s="2" t="s">
        <v>100</v>
      </c>
      <c r="BX2648" s="2" t="s">
        <v>100</v>
      </c>
      <c r="BY2648" s="2" t="s">
        <v>113</v>
      </c>
      <c r="BZ2648" s="2" t="s">
        <v>100</v>
      </c>
    </row>
    <row r="2649">
      <c r="A2649" s="2" t="s">
        <v>8341</v>
      </c>
      <c r="B2649" s="2" t="s">
        <v>7711</v>
      </c>
      <c r="C2649" s="2" t="s">
        <v>88</v>
      </c>
      <c r="D2649" s="2" t="s">
        <v>7730</v>
      </c>
      <c r="E2649" s="2" t="s">
        <v>7731</v>
      </c>
      <c r="F2649" s="2" t="s">
        <v>8342</v>
      </c>
      <c r="G2649" s="2" t="s">
        <v>8343</v>
      </c>
      <c r="H2649" s="2" t="s">
        <v>8344</v>
      </c>
      <c r="I2649" s="2" t="s">
        <v>8345</v>
      </c>
      <c r="J2649" s="2" t="s">
        <v>3877</v>
      </c>
      <c r="K2649" s="2" t="s">
        <v>8346</v>
      </c>
      <c r="L2649" s="3">
        <v>199.5</v>
      </c>
      <c r="M2649" s="3">
        <v>209.48</v>
      </c>
      <c r="N2649" s="3">
        <v>419</v>
      </c>
      <c r="O2649" s="2" t="s">
        <v>97</v>
      </c>
      <c r="P2649" s="2" t="s">
        <v>119</v>
      </c>
      <c r="Q2649" s="2" t="s">
        <v>99</v>
      </c>
      <c r="R2649" s="2" t="s">
        <v>100</v>
      </c>
      <c r="S2649" s="2" t="s">
        <v>8347</v>
      </c>
      <c r="T2649" s="2" t="s">
        <v>100</v>
      </c>
      <c r="U2649" s="2" t="s">
        <v>100</v>
      </c>
      <c r="V2649" s="2" t="s">
        <v>146</v>
      </c>
      <c r="W2649" s="2" t="s">
        <v>1580</v>
      </c>
      <c r="X2649" s="2" t="s">
        <v>100</v>
      </c>
      <c r="Y2649" s="2" t="s">
        <v>240</v>
      </c>
      <c r="Z2649" s="4">
        <v>133</v>
      </c>
      <c r="AA2649" s="4">
        <f>=ROUNDDOWN(22.1666666666667,0)</f>
      </c>
      <c r="AB2649" s="5">
        <v>6</v>
      </c>
      <c r="AC2649" s="2" t="s">
        <v>1292</v>
      </c>
      <c r="AD2649" s="4">
        <v>126</v>
      </c>
      <c r="AE2649" s="4">
        <v>126</v>
      </c>
      <c r="AF2649" s="6">
        <v>66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173</v>
      </c>
      <c r="BK2649" s="8">
        <v>29474.61</v>
      </c>
      <c r="BL2649" s="2" t="s">
        <v>8348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2480</v>
      </c>
      <c r="BV2649" s="2" t="s">
        <v>97</v>
      </c>
      <c r="BW2649" s="2" t="s">
        <v>100</v>
      </c>
      <c r="BX2649" s="2" t="s">
        <v>100</v>
      </c>
      <c r="BY2649" s="2" t="s">
        <v>113</v>
      </c>
      <c r="BZ2649" s="2" t="s">
        <v>100</v>
      </c>
    </row>
    <row r="2650">
      <c r="A2650" s="2" t="s">
        <v>8349</v>
      </c>
      <c r="B2650" s="2" t="s">
        <v>7711</v>
      </c>
      <c r="C2650" s="2" t="s">
        <v>88</v>
      </c>
      <c r="D2650" s="2" t="s">
        <v>7730</v>
      </c>
      <c r="E2650" s="2" t="s">
        <v>7731</v>
      </c>
      <c r="F2650" s="2" t="s">
        <v>8342</v>
      </c>
      <c r="G2650" s="2" t="s">
        <v>8343</v>
      </c>
      <c r="H2650" s="2" t="s">
        <v>8344</v>
      </c>
      <c r="I2650" s="2" t="s">
        <v>8345</v>
      </c>
      <c r="J2650" s="2" t="s">
        <v>3877</v>
      </c>
      <c r="K2650" s="2" t="s">
        <v>512</v>
      </c>
      <c r="L2650" s="3">
        <v>199.5</v>
      </c>
      <c r="M2650" s="3">
        <v>209.48</v>
      </c>
      <c r="N2650" s="3">
        <v>419</v>
      </c>
      <c r="O2650" s="2" t="s">
        <v>97</v>
      </c>
      <c r="P2650" s="2" t="s">
        <v>119</v>
      </c>
      <c r="Q2650" s="2" t="s">
        <v>99</v>
      </c>
      <c r="R2650" s="2" t="s">
        <v>100</v>
      </c>
      <c r="S2650" s="2" t="s">
        <v>8350</v>
      </c>
      <c r="T2650" s="2" t="s">
        <v>100</v>
      </c>
      <c r="U2650" s="2" t="s">
        <v>100</v>
      </c>
      <c r="V2650" s="2" t="s">
        <v>146</v>
      </c>
      <c r="W2650" s="2" t="s">
        <v>1580</v>
      </c>
      <c r="X2650" s="2" t="s">
        <v>100</v>
      </c>
      <c r="Y2650" s="2" t="s">
        <v>240</v>
      </c>
      <c r="Z2650" s="4">
        <v>129</v>
      </c>
      <c r="AA2650" s="4">
        <f>=ROUNDDOWN(64.5,0)</f>
      </c>
      <c r="AB2650" s="5">
        <v>2</v>
      </c>
      <c r="AC2650" s="2" t="s">
        <v>100</v>
      </c>
      <c r="AD2650" s="4"/>
      <c r="AE2650" s="4"/>
      <c r="AF2650" s="6">
        <v>66</v>
      </c>
      <c r="AG2650" s="6">
        <v>49</v>
      </c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0.1444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108</v>
      </c>
      <c r="BK2650" s="8">
        <v>18141.75</v>
      </c>
      <c r="BL2650" s="2" t="s">
        <v>8351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2480</v>
      </c>
      <c r="BV2650" s="2" t="s">
        <v>97</v>
      </c>
      <c r="BW2650" s="2" t="s">
        <v>100</v>
      </c>
      <c r="BX2650" s="2" t="s">
        <v>100</v>
      </c>
      <c r="BY2650" s="2" t="s">
        <v>113</v>
      </c>
      <c r="BZ2650" s="2" t="s">
        <v>100</v>
      </c>
    </row>
    <row r="2651">
      <c r="A2651" s="2" t="s">
        <v>8352</v>
      </c>
      <c r="B2651" s="2" t="s">
        <v>7711</v>
      </c>
      <c r="C2651" s="2" t="s">
        <v>88</v>
      </c>
      <c r="D2651" s="2" t="s">
        <v>7730</v>
      </c>
      <c r="E2651" s="2" t="s">
        <v>7731</v>
      </c>
      <c r="F2651" s="2" t="s">
        <v>854</v>
      </c>
      <c r="G2651" s="2" t="s">
        <v>8353</v>
      </c>
      <c r="H2651" s="2" t="s">
        <v>7272</v>
      </c>
      <c r="I2651" s="2" t="s">
        <v>7820</v>
      </c>
      <c r="J2651" s="2" t="s">
        <v>3877</v>
      </c>
      <c r="K2651" s="2" t="s">
        <v>604</v>
      </c>
      <c r="L2651" s="3">
        <v>171</v>
      </c>
      <c r="M2651" s="3">
        <v>179.55</v>
      </c>
      <c r="N2651" s="3">
        <v>359</v>
      </c>
      <c r="O2651" s="2" t="s">
        <v>97</v>
      </c>
      <c r="P2651" s="2" t="s">
        <v>119</v>
      </c>
      <c r="Q2651" s="2" t="s">
        <v>99</v>
      </c>
      <c r="R2651" s="2" t="s">
        <v>100</v>
      </c>
      <c r="S2651" s="2" t="s">
        <v>8354</v>
      </c>
      <c r="T2651" s="2" t="s">
        <v>100</v>
      </c>
      <c r="U2651" s="2" t="s">
        <v>100</v>
      </c>
      <c r="V2651" s="2" t="s">
        <v>146</v>
      </c>
      <c r="W2651" s="2" t="s">
        <v>104</v>
      </c>
      <c r="X2651" s="2" t="s">
        <v>100</v>
      </c>
      <c r="Y2651" s="2" t="s">
        <v>8355</v>
      </c>
      <c r="Z2651" s="4">
        <v>130</v>
      </c>
      <c r="AA2651" s="4">
        <f>=ROUNDDOWN(38.2352941176471,0)</f>
      </c>
      <c r="AB2651" s="5">
        <v>3.4</v>
      </c>
      <c r="AC2651" s="2" t="s">
        <v>1196</v>
      </c>
      <c r="AD2651" s="4">
        <v>100</v>
      </c>
      <c r="AE2651" s="4">
        <v>100</v>
      </c>
      <c r="AF2651" s="6">
        <v>74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/>
      <c r="BD2651" s="8"/>
      <c r="BE2651" s="4"/>
      <c r="BF2651" s="8"/>
      <c r="BG2651" s="7"/>
      <c r="BH2651" s="7"/>
      <c r="BI2651" s="7"/>
      <c r="BJ2651" s="4">
        <v>127</v>
      </c>
      <c r="BK2651" s="8">
        <v>21448.04</v>
      </c>
      <c r="BL2651" s="2" t="s">
        <v>8356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2480</v>
      </c>
      <c r="BV2651" s="2" t="s">
        <v>97</v>
      </c>
      <c r="BW2651" s="2" t="s">
        <v>100</v>
      </c>
      <c r="BX2651" s="2" t="s">
        <v>100</v>
      </c>
      <c r="BY2651" s="2" t="s">
        <v>113</v>
      </c>
      <c r="BZ2651" s="2" t="s">
        <v>100</v>
      </c>
    </row>
    <row r="2652">
      <c r="A2652" s="2" t="s">
        <v>8357</v>
      </c>
      <c r="B2652" s="2" t="s">
        <v>7711</v>
      </c>
      <c r="C2652" s="2" t="s">
        <v>88</v>
      </c>
      <c r="D2652" s="2" t="s">
        <v>7730</v>
      </c>
      <c r="E2652" s="2" t="s">
        <v>7731</v>
      </c>
      <c r="F2652" s="2" t="s">
        <v>8358</v>
      </c>
      <c r="G2652" s="2" t="s">
        <v>8359</v>
      </c>
      <c r="H2652" s="2" t="s">
        <v>8360</v>
      </c>
      <c r="I2652" s="2" t="s">
        <v>8361</v>
      </c>
      <c r="J2652" s="2" t="s">
        <v>3877</v>
      </c>
      <c r="K2652" s="2" t="s">
        <v>3269</v>
      </c>
      <c r="L2652" s="3">
        <v>171</v>
      </c>
      <c r="M2652" s="3">
        <v>179.55</v>
      </c>
      <c r="N2652" s="3">
        <v>369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8362</v>
      </c>
      <c r="T2652" s="2" t="s">
        <v>100</v>
      </c>
      <c r="U2652" s="2" t="s">
        <v>100</v>
      </c>
      <c r="V2652" s="2" t="s">
        <v>146</v>
      </c>
      <c r="W2652" s="2" t="s">
        <v>104</v>
      </c>
      <c r="X2652" s="2" t="s">
        <v>100</v>
      </c>
      <c r="Y2652" s="2" t="s">
        <v>8363</v>
      </c>
      <c r="Z2652" s="4">
        <v>322</v>
      </c>
      <c r="AA2652" s="4">
        <f>=ROUNDDOWN(17.9888268156425,0)</f>
      </c>
      <c r="AB2652" s="5">
        <v>17.9</v>
      </c>
      <c r="AC2652" s="2" t="s">
        <v>1457</v>
      </c>
      <c r="AD2652" s="4">
        <v>106</v>
      </c>
      <c r="AE2652" s="4">
        <v>106</v>
      </c>
      <c r="AF2652" s="6">
        <v>74</v>
      </c>
      <c r="AG2652" s="6">
        <v>60</v>
      </c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430</v>
      </c>
      <c r="BK2652" s="8">
        <v>69626.91</v>
      </c>
      <c r="BL2652" s="2" t="s">
        <v>8364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2480</v>
      </c>
      <c r="BV2652" s="2" t="s">
        <v>97</v>
      </c>
      <c r="BW2652" s="2" t="s">
        <v>100</v>
      </c>
      <c r="BX2652" s="2" t="s">
        <v>100</v>
      </c>
      <c r="BY2652" s="2" t="s">
        <v>113</v>
      </c>
      <c r="BZ2652" s="2" t="s">
        <v>100</v>
      </c>
    </row>
    <row r="2653">
      <c r="A2653" s="2" t="s">
        <v>8365</v>
      </c>
      <c r="B2653" s="2" t="s">
        <v>7711</v>
      </c>
      <c r="C2653" s="2" t="s">
        <v>88</v>
      </c>
      <c r="D2653" s="2" t="s">
        <v>7730</v>
      </c>
      <c r="E2653" s="2" t="s">
        <v>7731</v>
      </c>
      <c r="F2653" s="2" t="s">
        <v>8358</v>
      </c>
      <c r="G2653" s="2" t="s">
        <v>8359</v>
      </c>
      <c r="H2653" s="2" t="s">
        <v>8360</v>
      </c>
      <c r="I2653" s="2" t="s">
        <v>8361</v>
      </c>
      <c r="J2653" s="2" t="s">
        <v>3877</v>
      </c>
      <c r="K2653" s="2" t="s">
        <v>8366</v>
      </c>
      <c r="L2653" s="3">
        <v>171</v>
      </c>
      <c r="M2653" s="3">
        <v>179.55</v>
      </c>
      <c r="N2653" s="3">
        <v>369</v>
      </c>
      <c r="O2653" s="2" t="s">
        <v>97</v>
      </c>
      <c r="P2653" s="2" t="s">
        <v>119</v>
      </c>
      <c r="Q2653" s="2" t="s">
        <v>99</v>
      </c>
      <c r="R2653" s="2" t="s">
        <v>100</v>
      </c>
      <c r="S2653" s="2" t="s">
        <v>8367</v>
      </c>
      <c r="T2653" s="2" t="s">
        <v>100</v>
      </c>
      <c r="U2653" s="2" t="s">
        <v>1847</v>
      </c>
      <c r="V2653" s="2" t="s">
        <v>146</v>
      </c>
      <c r="W2653" s="2" t="s">
        <v>104</v>
      </c>
      <c r="X2653" s="2" t="s">
        <v>100</v>
      </c>
      <c r="Y2653" s="2" t="s">
        <v>8368</v>
      </c>
      <c r="Z2653" s="4">
        <v>78</v>
      </c>
      <c r="AA2653" s="4">
        <f>=ROUNDDOWN(11.6417910447761,0)</f>
      </c>
      <c r="AB2653" s="5">
        <v>6.7</v>
      </c>
      <c r="AC2653" s="2" t="s">
        <v>135</v>
      </c>
      <c r="AD2653" s="4">
        <v>168</v>
      </c>
      <c r="AE2653" s="4">
        <v>241</v>
      </c>
      <c r="AF2653" s="6">
        <v>74</v>
      </c>
      <c r="AG2653" s="6">
        <v>60</v>
      </c>
      <c r="AH2653" s="7">
        <v>1</v>
      </c>
      <c r="AI2653" s="4"/>
      <c r="AJ2653" s="4">
        <f>=ROUNDDOWN({0},0)</f>
      </c>
      <c r="AK2653" s="5">
        <v>7.6</v>
      </c>
      <c r="AL2653" s="2" t="s">
        <v>100</v>
      </c>
      <c r="AM2653" s="4"/>
      <c r="AN2653" s="4"/>
      <c r="AO2653" s="7">
        <v>0.4332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312</v>
      </c>
      <c r="BK2653" s="8">
        <v>50936.61</v>
      </c>
      <c r="BL2653" s="2" t="s">
        <v>8369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2480</v>
      </c>
      <c r="BV2653" s="2" t="s">
        <v>97</v>
      </c>
      <c r="BW2653" s="2" t="s">
        <v>100</v>
      </c>
      <c r="BX2653" s="2" t="s">
        <v>100</v>
      </c>
      <c r="BY2653" s="2" t="s">
        <v>113</v>
      </c>
      <c r="BZ2653" s="2" t="s">
        <v>100</v>
      </c>
    </row>
    <row r="2654">
      <c r="A2654" s="2" t="s">
        <v>8370</v>
      </c>
      <c r="B2654" s="2" t="s">
        <v>7711</v>
      </c>
      <c r="C2654" s="2" t="s">
        <v>88</v>
      </c>
      <c r="D2654" s="2" t="s">
        <v>7730</v>
      </c>
      <c r="E2654" s="2" t="s">
        <v>7731</v>
      </c>
      <c r="F2654" s="2" t="s">
        <v>8358</v>
      </c>
      <c r="G2654" s="2" t="s">
        <v>8359</v>
      </c>
      <c r="H2654" s="2" t="s">
        <v>8360</v>
      </c>
      <c r="I2654" s="2" t="s">
        <v>8361</v>
      </c>
      <c r="J2654" s="2" t="s">
        <v>3877</v>
      </c>
      <c r="K2654" s="2" t="s">
        <v>198</v>
      </c>
      <c r="L2654" s="3">
        <v>171</v>
      </c>
      <c r="M2654" s="3">
        <v>179.55</v>
      </c>
      <c r="N2654" s="3">
        <v>369</v>
      </c>
      <c r="O2654" s="2" t="s">
        <v>97</v>
      </c>
      <c r="P2654" s="2" t="s">
        <v>119</v>
      </c>
      <c r="Q2654" s="2" t="s">
        <v>99</v>
      </c>
      <c r="R2654" s="2" t="s">
        <v>100</v>
      </c>
      <c r="S2654" s="2" t="s">
        <v>8371</v>
      </c>
      <c r="T2654" s="2" t="s">
        <v>100</v>
      </c>
      <c r="U2654" s="2" t="s">
        <v>100</v>
      </c>
      <c r="V2654" s="2" t="s">
        <v>146</v>
      </c>
      <c r="W2654" s="2" t="s">
        <v>104</v>
      </c>
      <c r="X2654" s="2" t="s">
        <v>100</v>
      </c>
      <c r="Y2654" s="2" t="s">
        <v>240</v>
      </c>
      <c r="Z2654" s="4">
        <v>122</v>
      </c>
      <c r="AA2654" s="4">
        <f>=ROUNDDOWN(20.3333333333333,0)</f>
      </c>
      <c r="AB2654" s="5">
        <v>6</v>
      </c>
      <c r="AC2654" s="2" t="s">
        <v>1457</v>
      </c>
      <c r="AD2654" s="4">
        <v>80</v>
      </c>
      <c r="AE2654" s="4">
        <v>80</v>
      </c>
      <c r="AF2654" s="6">
        <v>74</v>
      </c>
      <c r="AG2654" s="6">
        <v>60</v>
      </c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137</v>
      </c>
      <c r="BK2654" s="8">
        <v>21959.26</v>
      </c>
      <c r="BL2654" s="2" t="s">
        <v>7899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2480</v>
      </c>
      <c r="BV2654" s="2" t="s">
        <v>97</v>
      </c>
      <c r="BW2654" s="2" t="s">
        <v>100</v>
      </c>
      <c r="BX2654" s="2" t="s">
        <v>100</v>
      </c>
      <c r="BY2654" s="2" t="s">
        <v>113</v>
      </c>
      <c r="BZ2654" s="2" t="s">
        <v>100</v>
      </c>
    </row>
    <row r="2655">
      <c r="A2655" s="2" t="s">
        <v>8372</v>
      </c>
      <c r="B2655" s="2" t="s">
        <v>7711</v>
      </c>
      <c r="C2655" s="2" t="s">
        <v>88</v>
      </c>
      <c r="D2655" s="2" t="s">
        <v>7730</v>
      </c>
      <c r="E2655" s="2" t="s">
        <v>7731</v>
      </c>
      <c r="F2655" s="2" t="s">
        <v>8358</v>
      </c>
      <c r="G2655" s="2" t="s">
        <v>8359</v>
      </c>
      <c r="H2655" s="2" t="s">
        <v>8360</v>
      </c>
      <c r="I2655" s="2" t="s">
        <v>8361</v>
      </c>
      <c r="J2655" s="2" t="s">
        <v>3877</v>
      </c>
      <c r="K2655" s="2" t="s">
        <v>360</v>
      </c>
      <c r="L2655" s="3">
        <v>171</v>
      </c>
      <c r="M2655" s="3">
        <v>179.55</v>
      </c>
      <c r="N2655" s="3">
        <v>369</v>
      </c>
      <c r="O2655" s="2" t="s">
        <v>97</v>
      </c>
      <c r="P2655" s="2" t="s">
        <v>119</v>
      </c>
      <c r="Q2655" s="2" t="s">
        <v>99</v>
      </c>
      <c r="R2655" s="2" t="s">
        <v>100</v>
      </c>
      <c r="S2655" s="2" t="s">
        <v>100</v>
      </c>
      <c r="T2655" s="2" t="s">
        <v>100</v>
      </c>
      <c r="U2655" s="2" t="s">
        <v>1847</v>
      </c>
      <c r="V2655" s="2" t="s">
        <v>146</v>
      </c>
      <c r="W2655" s="2" t="s">
        <v>104</v>
      </c>
      <c r="X2655" s="2" t="s">
        <v>100</v>
      </c>
      <c r="Y2655" s="2" t="s">
        <v>7237</v>
      </c>
      <c r="Z2655" s="4">
        <v>134</v>
      </c>
      <c r="AA2655" s="4">
        <f>=ROUNDDOWN(7.88235294117647,0)</f>
      </c>
      <c r="AB2655" s="5">
        <v>17</v>
      </c>
      <c r="AC2655" s="2" t="s">
        <v>2948</v>
      </c>
      <c r="AD2655" s="4">
        <v>55</v>
      </c>
      <c r="AE2655" s="4">
        <v>244</v>
      </c>
      <c r="AF2655" s="6">
        <v>74</v>
      </c>
      <c r="AG2655" s="6">
        <v>60</v>
      </c>
      <c r="AH2655" s="7">
        <v>1</v>
      </c>
      <c r="AI2655" s="4"/>
      <c r="AJ2655" s="4">
        <f>=ROUNDDOWN({0},0)</f>
      </c>
      <c r="AK2655" s="5">
        <v>13.8</v>
      </c>
      <c r="AL2655" s="2" t="s">
        <v>100</v>
      </c>
      <c r="AM2655" s="4"/>
      <c r="AN2655" s="4"/>
      <c r="AO2655" s="7">
        <v>0.4332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354</v>
      </c>
      <c r="BK2655" s="8">
        <v>56606.36</v>
      </c>
      <c r="BL2655" s="2" t="s">
        <v>8373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2480</v>
      </c>
      <c r="BV2655" s="2" t="s">
        <v>97</v>
      </c>
      <c r="BW2655" s="2" t="s">
        <v>100</v>
      </c>
      <c r="BX2655" s="2" t="s">
        <v>100</v>
      </c>
      <c r="BY2655" s="2" t="s">
        <v>113</v>
      </c>
      <c r="BZ2655" s="2" t="s">
        <v>100</v>
      </c>
    </row>
    <row r="2656">
      <c r="A2656" s="2" t="s">
        <v>8374</v>
      </c>
      <c r="B2656" s="2" t="s">
        <v>7711</v>
      </c>
      <c r="C2656" s="2" t="s">
        <v>88</v>
      </c>
      <c r="D2656" s="2" t="s">
        <v>7730</v>
      </c>
      <c r="E2656" s="2" t="s">
        <v>7731</v>
      </c>
      <c r="F2656" s="2" t="s">
        <v>8358</v>
      </c>
      <c r="G2656" s="2" t="s">
        <v>8359</v>
      </c>
      <c r="H2656" s="2" t="s">
        <v>8360</v>
      </c>
      <c r="I2656" s="2" t="s">
        <v>8361</v>
      </c>
      <c r="J2656" s="2" t="s">
        <v>3877</v>
      </c>
      <c r="K2656" s="2" t="s">
        <v>578</v>
      </c>
      <c r="L2656" s="3">
        <v>171</v>
      </c>
      <c r="M2656" s="3">
        <v>179.55</v>
      </c>
      <c r="N2656" s="3">
        <v>369</v>
      </c>
      <c r="O2656" s="2" t="s">
        <v>97</v>
      </c>
      <c r="P2656" s="2" t="s">
        <v>119</v>
      </c>
      <c r="Q2656" s="2" t="s">
        <v>99</v>
      </c>
      <c r="R2656" s="2" t="s">
        <v>100</v>
      </c>
      <c r="S2656" s="2" t="s">
        <v>8375</v>
      </c>
      <c r="T2656" s="2" t="s">
        <v>100</v>
      </c>
      <c r="U2656" s="2" t="s">
        <v>100</v>
      </c>
      <c r="V2656" s="2" t="s">
        <v>146</v>
      </c>
      <c r="W2656" s="2" t="s">
        <v>104</v>
      </c>
      <c r="X2656" s="2" t="s">
        <v>100</v>
      </c>
      <c r="Y2656" s="2" t="s">
        <v>240</v>
      </c>
      <c r="Z2656" s="4">
        <v>124</v>
      </c>
      <c r="AA2656" s="4">
        <f>=ROUNDDOWN(20.6666666666667,0)</f>
      </c>
      <c r="AB2656" s="5">
        <v>6</v>
      </c>
      <c r="AC2656" s="2" t="s">
        <v>1457</v>
      </c>
      <c r="AD2656" s="4">
        <v>80</v>
      </c>
      <c r="AE2656" s="4">
        <v>80</v>
      </c>
      <c r="AF2656" s="6">
        <v>74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149</v>
      </c>
      <c r="BK2656" s="8">
        <v>25588.33</v>
      </c>
      <c r="BL2656" s="2" t="s">
        <v>8376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2480</v>
      </c>
      <c r="BV2656" s="2" t="s">
        <v>97</v>
      </c>
      <c r="BW2656" s="2" t="s">
        <v>100</v>
      </c>
      <c r="BX2656" s="2" t="s">
        <v>100</v>
      </c>
      <c r="BY2656" s="2" t="s">
        <v>113</v>
      </c>
      <c r="BZ2656" s="2" t="s">
        <v>100</v>
      </c>
    </row>
    <row r="2657">
      <c r="A2657" s="2" t="s">
        <v>8377</v>
      </c>
      <c r="B2657" s="2" t="s">
        <v>7711</v>
      </c>
      <c r="C2657" s="2" t="s">
        <v>88</v>
      </c>
      <c r="D2657" s="2" t="s">
        <v>7730</v>
      </c>
      <c r="E2657" s="2" t="s">
        <v>7901</v>
      </c>
      <c r="F2657" s="2" t="s">
        <v>8378</v>
      </c>
      <c r="G2657" s="2" t="s">
        <v>8379</v>
      </c>
      <c r="H2657" s="2" t="s">
        <v>8380</v>
      </c>
      <c r="I2657" s="2" t="s">
        <v>7820</v>
      </c>
      <c r="J2657" s="2" t="s">
        <v>3877</v>
      </c>
      <c r="K2657" s="2" t="s">
        <v>130</v>
      </c>
      <c r="L2657" s="3">
        <v>156.75</v>
      </c>
      <c r="M2657" s="3">
        <v>164.59</v>
      </c>
      <c r="N2657" s="3">
        <v>329</v>
      </c>
      <c r="O2657" s="2" t="s">
        <v>97</v>
      </c>
      <c r="P2657" s="2" t="s">
        <v>119</v>
      </c>
      <c r="Q2657" s="2" t="s">
        <v>99</v>
      </c>
      <c r="R2657" s="2" t="s">
        <v>100</v>
      </c>
      <c r="S2657" s="2" t="s">
        <v>8381</v>
      </c>
      <c r="T2657" s="2" t="s">
        <v>100</v>
      </c>
      <c r="U2657" s="2" t="s">
        <v>100</v>
      </c>
      <c r="V2657" s="2" t="s">
        <v>2661</v>
      </c>
      <c r="W2657" s="2" t="s">
        <v>561</v>
      </c>
      <c r="X2657" s="2" t="s">
        <v>100</v>
      </c>
      <c r="Y2657" s="2" t="s">
        <v>240</v>
      </c>
      <c r="Z2657" s="4">
        <v>76</v>
      </c>
      <c r="AA2657" s="4">
        <f>=ROUNDDOWN(7.03703703703704,0)</f>
      </c>
      <c r="AB2657" s="5">
        <v>10.8</v>
      </c>
      <c r="AC2657" s="2" t="s">
        <v>107</v>
      </c>
      <c r="AD2657" s="4">
        <v>190</v>
      </c>
      <c r="AE2657" s="4">
        <v>340</v>
      </c>
      <c r="AF2657" s="6">
        <v>74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/>
      <c r="BD2657" s="8"/>
      <c r="BE2657" s="4"/>
      <c r="BF2657" s="8"/>
      <c r="BG2657" s="7"/>
      <c r="BH2657" s="7"/>
      <c r="BI2657" s="7"/>
      <c r="BJ2657" s="4">
        <v>295</v>
      </c>
      <c r="BK2657" s="8">
        <v>46058.41</v>
      </c>
      <c r="BL2657" s="2" t="s">
        <v>8382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2480</v>
      </c>
      <c r="BV2657" s="2" t="s">
        <v>97</v>
      </c>
      <c r="BW2657" s="2" t="s">
        <v>100</v>
      </c>
      <c r="BX2657" s="2" t="s">
        <v>100</v>
      </c>
      <c r="BY2657" s="2" t="s">
        <v>113</v>
      </c>
      <c r="BZ2657" s="2" t="s">
        <v>100</v>
      </c>
    </row>
    <row r="2658">
      <c r="A2658" s="2" t="s">
        <v>8383</v>
      </c>
      <c r="B2658" s="2" t="s">
        <v>7711</v>
      </c>
      <c r="C2658" s="2" t="s">
        <v>88</v>
      </c>
      <c r="D2658" s="2" t="s">
        <v>7730</v>
      </c>
      <c r="E2658" s="2" t="s">
        <v>7901</v>
      </c>
      <c r="F2658" s="2" t="s">
        <v>8384</v>
      </c>
      <c r="G2658" s="2" t="s">
        <v>8385</v>
      </c>
      <c r="H2658" s="2" t="s">
        <v>8386</v>
      </c>
      <c r="I2658" s="2" t="s">
        <v>8387</v>
      </c>
      <c r="J2658" s="2" t="s">
        <v>3877</v>
      </c>
      <c r="K2658" s="2" t="s">
        <v>130</v>
      </c>
      <c r="L2658" s="3">
        <v>135</v>
      </c>
      <c r="M2658" s="3">
        <v>141.75</v>
      </c>
      <c r="N2658" s="3">
        <v>289</v>
      </c>
      <c r="O2658" s="2" t="s">
        <v>97</v>
      </c>
      <c r="P2658" s="2" t="s">
        <v>119</v>
      </c>
      <c r="Q2658" s="2" t="s">
        <v>99</v>
      </c>
      <c r="R2658" s="2" t="s">
        <v>100</v>
      </c>
      <c r="S2658" s="2" t="s">
        <v>8388</v>
      </c>
      <c r="T2658" s="2" t="s">
        <v>100</v>
      </c>
      <c r="U2658" s="2" t="s">
        <v>100</v>
      </c>
      <c r="V2658" s="2" t="s">
        <v>2661</v>
      </c>
      <c r="W2658" s="2" t="s">
        <v>561</v>
      </c>
      <c r="X2658" s="2" t="s">
        <v>100</v>
      </c>
      <c r="Y2658" s="2" t="s">
        <v>240</v>
      </c>
      <c r="Z2658" s="4">
        <v>72</v>
      </c>
      <c r="AA2658" s="4">
        <f>=ROUNDDOWN(12,0)</f>
      </c>
      <c r="AB2658" s="5">
        <v>6</v>
      </c>
      <c r="AC2658" s="2" t="s">
        <v>4745</v>
      </c>
      <c r="AD2658" s="4">
        <v>160</v>
      </c>
      <c r="AE2658" s="4">
        <v>160</v>
      </c>
      <c r="AF2658" s="6">
        <v>74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/>
      <c r="BD2658" s="8"/>
      <c r="BE2658" s="4"/>
      <c r="BF2658" s="8"/>
      <c r="BG2658" s="7"/>
      <c r="BH2658" s="7"/>
      <c r="BI2658" s="7"/>
      <c r="BJ2658" s="4">
        <v>146</v>
      </c>
      <c r="BK2658" s="8">
        <v>21000.44</v>
      </c>
      <c r="BL2658" s="2" t="s">
        <v>8389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2480</v>
      </c>
      <c r="BV2658" s="2" t="s">
        <v>97</v>
      </c>
      <c r="BW2658" s="2" t="s">
        <v>100</v>
      </c>
      <c r="BX2658" s="2" t="s">
        <v>100</v>
      </c>
      <c r="BY2658" s="2" t="s">
        <v>113</v>
      </c>
      <c r="BZ2658" s="2" t="s">
        <v>100</v>
      </c>
    </row>
    <row r="2659">
      <c r="A2659" s="2" t="s">
        <v>8390</v>
      </c>
      <c r="B2659" s="2" t="s">
        <v>7711</v>
      </c>
      <c r="C2659" s="2" t="s">
        <v>88</v>
      </c>
      <c r="D2659" s="2" t="s">
        <v>7730</v>
      </c>
      <c r="E2659" s="2" t="s">
        <v>7901</v>
      </c>
      <c r="F2659" s="2" t="s">
        <v>8391</v>
      </c>
      <c r="G2659" s="2" t="s">
        <v>8392</v>
      </c>
      <c r="H2659" s="2" t="s">
        <v>8393</v>
      </c>
      <c r="I2659" s="2" t="s">
        <v>8394</v>
      </c>
      <c r="J2659" s="2" t="s">
        <v>3877</v>
      </c>
      <c r="K2659" s="2" t="s">
        <v>118</v>
      </c>
      <c r="L2659" s="3">
        <v>158.36</v>
      </c>
      <c r="M2659" s="3">
        <v>166.28</v>
      </c>
      <c r="N2659" s="3">
        <v>329</v>
      </c>
      <c r="O2659" s="2" t="s">
        <v>97</v>
      </c>
      <c r="P2659" s="2" t="s">
        <v>119</v>
      </c>
      <c r="Q2659" s="2" t="s">
        <v>99</v>
      </c>
      <c r="R2659" s="2" t="s">
        <v>100</v>
      </c>
      <c r="S2659" s="2" t="s">
        <v>8395</v>
      </c>
      <c r="T2659" s="2" t="s">
        <v>100</v>
      </c>
      <c r="U2659" s="2" t="s">
        <v>100</v>
      </c>
      <c r="V2659" s="2" t="s">
        <v>146</v>
      </c>
      <c r="W2659" s="2" t="s">
        <v>561</v>
      </c>
      <c r="X2659" s="2" t="s">
        <v>100</v>
      </c>
      <c r="Y2659" s="2" t="s">
        <v>240</v>
      </c>
      <c r="Z2659" s="4">
        <v>103</v>
      </c>
      <c r="AA2659" s="4">
        <f>=ROUNDDOWN(14.7142857142857,0)</f>
      </c>
      <c r="AB2659" s="5">
        <v>7</v>
      </c>
      <c r="AC2659" s="2" t="s">
        <v>5126</v>
      </c>
      <c r="AD2659" s="4">
        <v>140</v>
      </c>
      <c r="AE2659" s="4">
        <v>140</v>
      </c>
      <c r="AF2659" s="6">
        <v>66</v>
      </c>
      <c r="AG2659" s="6">
        <v>49</v>
      </c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0.1444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183</v>
      </c>
      <c r="BK2659" s="8">
        <v>24727.21</v>
      </c>
      <c r="BL2659" s="2" t="s">
        <v>8396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2480</v>
      </c>
      <c r="BV2659" s="2" t="s">
        <v>97</v>
      </c>
      <c r="BW2659" s="2" t="s">
        <v>100</v>
      </c>
      <c r="BX2659" s="2" t="s">
        <v>100</v>
      </c>
      <c r="BY2659" s="2" t="s">
        <v>113</v>
      </c>
      <c r="BZ2659" s="2" t="s">
        <v>100</v>
      </c>
    </row>
    <row r="2660">
      <c r="A2660" s="2" t="s">
        <v>8397</v>
      </c>
      <c r="B2660" s="2" t="s">
        <v>7711</v>
      </c>
      <c r="C2660" s="2" t="s">
        <v>88</v>
      </c>
      <c r="D2660" s="2" t="s">
        <v>7730</v>
      </c>
      <c r="E2660" s="2" t="s">
        <v>7901</v>
      </c>
      <c r="F2660" s="2" t="s">
        <v>8391</v>
      </c>
      <c r="G2660" s="2" t="s">
        <v>8392</v>
      </c>
      <c r="H2660" s="2" t="s">
        <v>8393</v>
      </c>
      <c r="I2660" s="2" t="s">
        <v>8394</v>
      </c>
      <c r="J2660" s="2" t="s">
        <v>3877</v>
      </c>
      <c r="K2660" s="2" t="s">
        <v>324</v>
      </c>
      <c r="L2660" s="3">
        <v>158.36</v>
      </c>
      <c r="M2660" s="3">
        <v>166.28</v>
      </c>
      <c r="N2660" s="3">
        <v>329</v>
      </c>
      <c r="O2660" s="2" t="s">
        <v>97</v>
      </c>
      <c r="P2660" s="2" t="s">
        <v>119</v>
      </c>
      <c r="Q2660" s="2" t="s">
        <v>99</v>
      </c>
      <c r="R2660" s="2" t="s">
        <v>100</v>
      </c>
      <c r="S2660" s="2" t="s">
        <v>8398</v>
      </c>
      <c r="T2660" s="2" t="s">
        <v>100</v>
      </c>
      <c r="U2660" s="2" t="s">
        <v>100</v>
      </c>
      <c r="V2660" s="2" t="s">
        <v>146</v>
      </c>
      <c r="W2660" s="2" t="s">
        <v>561</v>
      </c>
      <c r="X2660" s="2" t="s">
        <v>100</v>
      </c>
      <c r="Y2660" s="2" t="s">
        <v>240</v>
      </c>
      <c r="Z2660" s="4">
        <v>28</v>
      </c>
      <c r="AA2660" s="4">
        <f>=ROUNDDOWN(4.66666666666667,0)</f>
      </c>
      <c r="AB2660" s="5">
        <v>6</v>
      </c>
      <c r="AC2660" s="2" t="s">
        <v>222</v>
      </c>
      <c r="AD2660" s="4">
        <v>100</v>
      </c>
      <c r="AE2660" s="4">
        <v>212</v>
      </c>
      <c r="AF2660" s="6">
        <v>66</v>
      </c>
      <c r="AG2660" s="6">
        <v>49</v>
      </c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169</v>
      </c>
      <c r="BK2660" s="8">
        <v>24747.68</v>
      </c>
      <c r="BL2660" s="2" t="s">
        <v>8399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2480</v>
      </c>
      <c r="BV2660" s="2" t="s">
        <v>97</v>
      </c>
      <c r="BW2660" s="2" t="s">
        <v>100</v>
      </c>
      <c r="BX2660" s="2" t="s">
        <v>100</v>
      </c>
      <c r="BY2660" s="2" t="s">
        <v>113</v>
      </c>
      <c r="BZ2660" s="2" t="s">
        <v>100</v>
      </c>
    </row>
    <row r="2661">
      <c r="A2661" s="2" t="s">
        <v>8400</v>
      </c>
      <c r="B2661" s="2" t="s">
        <v>7711</v>
      </c>
      <c r="C2661" s="2" t="s">
        <v>88</v>
      </c>
      <c r="D2661" s="2" t="s">
        <v>7730</v>
      </c>
      <c r="E2661" s="2" t="s">
        <v>7901</v>
      </c>
      <c r="F2661" s="2" t="s">
        <v>8391</v>
      </c>
      <c r="G2661" s="2" t="s">
        <v>8392</v>
      </c>
      <c r="H2661" s="2" t="s">
        <v>8393</v>
      </c>
      <c r="I2661" s="2" t="s">
        <v>8394</v>
      </c>
      <c r="J2661" s="2" t="s">
        <v>3877</v>
      </c>
      <c r="K2661" s="2" t="s">
        <v>878</v>
      </c>
      <c r="L2661" s="3">
        <v>158.36</v>
      </c>
      <c r="M2661" s="3">
        <v>166.28</v>
      </c>
      <c r="N2661" s="3">
        <v>329</v>
      </c>
      <c r="O2661" s="2" t="s">
        <v>97</v>
      </c>
      <c r="P2661" s="2" t="s">
        <v>119</v>
      </c>
      <c r="Q2661" s="2" t="s">
        <v>99</v>
      </c>
      <c r="R2661" s="2" t="s">
        <v>100</v>
      </c>
      <c r="S2661" s="2" t="s">
        <v>8401</v>
      </c>
      <c r="T2661" s="2" t="s">
        <v>100</v>
      </c>
      <c r="U2661" s="2" t="s">
        <v>100</v>
      </c>
      <c r="V2661" s="2" t="s">
        <v>146</v>
      </c>
      <c r="W2661" s="2" t="s">
        <v>561</v>
      </c>
      <c r="X2661" s="2" t="s">
        <v>100</v>
      </c>
      <c r="Y2661" s="2" t="s">
        <v>240</v>
      </c>
      <c r="Z2661" s="4">
        <v>71</v>
      </c>
      <c r="AA2661" s="4">
        <f>=ROUNDDOWN(11.8333333333333,0)</f>
      </c>
      <c r="AB2661" s="5">
        <v>6</v>
      </c>
      <c r="AC2661" s="2" t="s">
        <v>5126</v>
      </c>
      <c r="AD2661" s="4">
        <v>116</v>
      </c>
      <c r="AE2661" s="4">
        <v>224</v>
      </c>
      <c r="AF2661" s="6">
        <v>66</v>
      </c>
      <c r="AG2661" s="6"/>
      <c r="AH2661" s="7">
        <v>0.9198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/>
      <c r="BJ2661" s="4">
        <v>140</v>
      </c>
      <c r="BK2661" s="8">
        <v>20370.44</v>
      </c>
      <c r="BL2661" s="2" t="s">
        <v>8402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2480</v>
      </c>
      <c r="BV2661" s="2" t="s">
        <v>97</v>
      </c>
      <c r="BW2661" s="2" t="s">
        <v>100</v>
      </c>
      <c r="BX2661" s="2" t="s">
        <v>100</v>
      </c>
      <c r="BY2661" s="2" t="s">
        <v>113</v>
      </c>
      <c r="BZ2661" s="2" t="s">
        <v>100</v>
      </c>
    </row>
    <row r="2662">
      <c r="A2662" s="2" t="s">
        <v>8403</v>
      </c>
      <c r="B2662" s="2" t="s">
        <v>7711</v>
      </c>
      <c r="C2662" s="2" t="s">
        <v>88</v>
      </c>
      <c r="D2662" s="2" t="s">
        <v>7730</v>
      </c>
      <c r="E2662" s="2" t="s">
        <v>7901</v>
      </c>
      <c r="F2662" s="2" t="s">
        <v>8404</v>
      </c>
      <c r="G2662" s="2" t="s">
        <v>5237</v>
      </c>
      <c r="H2662" s="2" t="s">
        <v>8405</v>
      </c>
      <c r="I2662" s="2" t="s">
        <v>8406</v>
      </c>
      <c r="J2662" s="2" t="s">
        <v>3877</v>
      </c>
      <c r="K2662" s="2" t="s">
        <v>130</v>
      </c>
      <c r="L2662" s="3">
        <v>147.25</v>
      </c>
      <c r="M2662" s="3">
        <v>154.61</v>
      </c>
      <c r="N2662" s="3">
        <v>309</v>
      </c>
      <c r="O2662" s="2" t="s">
        <v>97</v>
      </c>
      <c r="P2662" s="2" t="s">
        <v>119</v>
      </c>
      <c r="Q2662" s="2" t="s">
        <v>99</v>
      </c>
      <c r="R2662" s="2" t="s">
        <v>100</v>
      </c>
      <c r="S2662" s="2" t="s">
        <v>8407</v>
      </c>
      <c r="T2662" s="2" t="s">
        <v>100</v>
      </c>
      <c r="U2662" s="2" t="s">
        <v>100</v>
      </c>
      <c r="V2662" s="2" t="s">
        <v>256</v>
      </c>
      <c r="W2662" s="2" t="s">
        <v>104</v>
      </c>
      <c r="X2662" s="2" t="s">
        <v>100</v>
      </c>
      <c r="Y2662" s="2" t="s">
        <v>240</v>
      </c>
      <c r="Z2662" s="4">
        <v>55</v>
      </c>
      <c r="AA2662" s="4">
        <f>=ROUNDDOWN(6.875,0)</f>
      </c>
      <c r="AB2662" s="5">
        <v>8</v>
      </c>
      <c r="AC2662" s="2" t="s">
        <v>4745</v>
      </c>
      <c r="AD2662" s="4">
        <v>134</v>
      </c>
      <c r="AE2662" s="4">
        <v>134</v>
      </c>
      <c r="AF2662" s="6">
        <v>74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/>
      <c r="BD2662" s="8"/>
      <c r="BE2662" s="4"/>
      <c r="BF2662" s="8"/>
      <c r="BG2662" s="7"/>
      <c r="BH2662" s="7"/>
      <c r="BI2662" s="7"/>
      <c r="BJ2662" s="4">
        <v>218</v>
      </c>
      <c r="BK2662" s="8">
        <v>32945.76</v>
      </c>
      <c r="BL2662" s="2" t="s">
        <v>8408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207</v>
      </c>
      <c r="BV2662" s="2" t="s">
        <v>97</v>
      </c>
      <c r="BW2662" s="2" t="s">
        <v>100</v>
      </c>
      <c r="BX2662" s="2" t="s">
        <v>100</v>
      </c>
      <c r="BY2662" s="2" t="s">
        <v>113</v>
      </c>
      <c r="BZ2662" s="2" t="s">
        <v>100</v>
      </c>
    </row>
    <row r="2663">
      <c r="A2663" s="2" t="s">
        <v>8409</v>
      </c>
      <c r="B2663" s="2" t="s">
        <v>7711</v>
      </c>
      <c r="C2663" s="2" t="s">
        <v>88</v>
      </c>
      <c r="D2663" s="2" t="s">
        <v>8410</v>
      </c>
      <c r="E2663" s="2" t="s">
        <v>8411</v>
      </c>
      <c r="F2663" s="2" t="s">
        <v>8412</v>
      </c>
      <c r="G2663" s="2" t="s">
        <v>8413</v>
      </c>
      <c r="H2663" s="2" t="s">
        <v>8414</v>
      </c>
      <c r="I2663" s="2" t="s">
        <v>8415</v>
      </c>
      <c r="J2663" s="2" t="s">
        <v>3877</v>
      </c>
      <c r="K2663" s="2" t="s">
        <v>8416</v>
      </c>
      <c r="L2663" s="3">
        <v>234</v>
      </c>
      <c r="M2663" s="3">
        <v>245.7</v>
      </c>
      <c r="N2663" s="3">
        <v>499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8417</v>
      </c>
      <c r="T2663" s="2" t="s">
        <v>100</v>
      </c>
      <c r="U2663" s="2" t="s">
        <v>1847</v>
      </c>
      <c r="V2663" s="2" t="s">
        <v>146</v>
      </c>
      <c r="W2663" s="2" t="s">
        <v>1580</v>
      </c>
      <c r="X2663" s="2" t="s">
        <v>100</v>
      </c>
      <c r="Y2663" s="2" t="s">
        <v>240</v>
      </c>
      <c r="Z2663" s="4">
        <v>76</v>
      </c>
      <c r="AA2663" s="4">
        <f>=ROUNDDOWN(26.2068965517241,0)</f>
      </c>
      <c r="AB2663" s="5">
        <v>2.9</v>
      </c>
      <c r="AC2663" s="2" t="s">
        <v>821</v>
      </c>
      <c r="AD2663" s="4">
        <v>94</v>
      </c>
      <c r="AE2663" s="4">
        <v>196</v>
      </c>
      <c r="AF2663" s="6">
        <v>66</v>
      </c>
      <c r="AG2663" s="6">
        <v>49</v>
      </c>
      <c r="AH2663" s="7">
        <v>1</v>
      </c>
      <c r="AI2663" s="4"/>
      <c r="AJ2663" s="4">
        <f>=ROUNDDOWN({0},0)</f>
      </c>
      <c r="AK2663" s="5">
        <v>13.4</v>
      </c>
      <c r="AL2663" s="2" t="s">
        <v>8418</v>
      </c>
      <c r="AM2663" s="4">
        <v>55</v>
      </c>
      <c r="AN2663" s="4">
        <v>55</v>
      </c>
      <c r="AO2663" s="7">
        <v>0.4332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/>
      <c r="BD2663" s="8"/>
      <c r="BE2663" s="4"/>
      <c r="BF2663" s="8"/>
      <c r="BG2663" s="7"/>
      <c r="BH2663" s="7"/>
      <c r="BI2663" s="7"/>
      <c r="BJ2663" s="4">
        <v>355</v>
      </c>
      <c r="BK2663" s="8">
        <v>80097.33</v>
      </c>
      <c r="BL2663" s="2" t="s">
        <v>8419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2480</v>
      </c>
      <c r="BV2663" s="2" t="s">
        <v>97</v>
      </c>
      <c r="BW2663" s="2" t="s">
        <v>100</v>
      </c>
      <c r="BX2663" s="2" t="s">
        <v>100</v>
      </c>
      <c r="BY2663" s="2" t="s">
        <v>113</v>
      </c>
      <c r="BZ2663" s="2" t="s">
        <v>100</v>
      </c>
    </row>
    <row r="2664">
      <c r="A2664" s="2" t="s">
        <v>8420</v>
      </c>
      <c r="B2664" s="2" t="s">
        <v>7711</v>
      </c>
      <c r="C2664" s="2" t="s">
        <v>88</v>
      </c>
      <c r="D2664" s="2" t="s">
        <v>8410</v>
      </c>
      <c r="E2664" s="2" t="s">
        <v>8411</v>
      </c>
      <c r="F2664" s="2" t="s">
        <v>8421</v>
      </c>
      <c r="G2664" s="2" t="s">
        <v>8422</v>
      </c>
      <c r="H2664" s="2" t="s">
        <v>8423</v>
      </c>
      <c r="I2664" s="2" t="s">
        <v>8424</v>
      </c>
      <c r="J2664" s="2" t="s">
        <v>3877</v>
      </c>
      <c r="K2664" s="2" t="s">
        <v>335</v>
      </c>
      <c r="L2664" s="3">
        <v>256.5</v>
      </c>
      <c r="M2664" s="3">
        <v>269.32</v>
      </c>
      <c r="N2664" s="3">
        <v>549</v>
      </c>
      <c r="O2664" s="2" t="s">
        <v>97</v>
      </c>
      <c r="P2664" s="2" t="s">
        <v>372</v>
      </c>
      <c r="Q2664" s="2" t="s">
        <v>99</v>
      </c>
      <c r="R2664" s="2" t="s">
        <v>100</v>
      </c>
      <c r="S2664" s="2" t="s">
        <v>100</v>
      </c>
      <c r="T2664" s="2" t="s">
        <v>100</v>
      </c>
      <c r="U2664" s="2" t="s">
        <v>1847</v>
      </c>
      <c r="V2664" s="2" t="s">
        <v>146</v>
      </c>
      <c r="W2664" s="2" t="s">
        <v>309</v>
      </c>
      <c r="X2664" s="2" t="s">
        <v>100</v>
      </c>
      <c r="Y2664" s="2" t="s">
        <v>8425</v>
      </c>
      <c r="Z2664" s="4">
        <v>200</v>
      </c>
      <c r="AA2664" s="4">
        <f>=ROUNDDOWN(6.66666666666667,0)</f>
      </c>
      <c r="AB2664" s="5">
        <v>30</v>
      </c>
      <c r="AC2664" s="2" t="s">
        <v>821</v>
      </c>
      <c r="AD2664" s="4">
        <v>79</v>
      </c>
      <c r="AE2664" s="4">
        <v>447</v>
      </c>
      <c r="AF2664" s="6">
        <v>66</v>
      </c>
      <c r="AG2664" s="6">
        <v>49</v>
      </c>
      <c r="AH2664" s="7">
        <v>1</v>
      </c>
      <c r="AI2664" s="4"/>
      <c r="AJ2664" s="4">
        <f>=ROUNDDOWN({0},0)</f>
      </c>
      <c r="AK2664" s="5">
        <v>23.1</v>
      </c>
      <c r="AL2664" s="2" t="s">
        <v>8418</v>
      </c>
      <c r="AM2664" s="4">
        <v>124</v>
      </c>
      <c r="AN2664" s="4">
        <v>124</v>
      </c>
      <c r="AO2664" s="7">
        <v>0.4332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/>
      <c r="BD2664" s="8"/>
      <c r="BE2664" s="4"/>
      <c r="BF2664" s="8"/>
      <c r="BG2664" s="7"/>
      <c r="BH2664" s="7"/>
      <c r="BI2664" s="7"/>
      <c r="BJ2664" s="4">
        <v>600</v>
      </c>
      <c r="BK2664" s="8">
        <v>144158.61</v>
      </c>
      <c r="BL2664" s="2" t="s">
        <v>8426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2480</v>
      </c>
      <c r="BV2664" s="2" t="s">
        <v>97</v>
      </c>
      <c r="BW2664" s="2" t="s">
        <v>100</v>
      </c>
      <c r="BX2664" s="2" t="s">
        <v>100</v>
      </c>
      <c r="BY2664" s="2" t="s">
        <v>113</v>
      </c>
      <c r="BZ2664" s="2" t="s">
        <v>100</v>
      </c>
    </row>
    <row r="2665">
      <c r="A2665" s="2" t="s">
        <v>8427</v>
      </c>
      <c r="B2665" s="2" t="s">
        <v>7711</v>
      </c>
      <c r="C2665" s="2" t="s">
        <v>88</v>
      </c>
      <c r="D2665" s="2" t="s">
        <v>8410</v>
      </c>
      <c r="E2665" s="2" t="s">
        <v>8411</v>
      </c>
      <c r="F2665" s="2" t="s">
        <v>8428</v>
      </c>
      <c r="G2665" s="2" t="s">
        <v>8429</v>
      </c>
      <c r="H2665" s="2" t="s">
        <v>8430</v>
      </c>
      <c r="I2665" s="2" t="s">
        <v>8431</v>
      </c>
      <c r="J2665" s="2" t="s">
        <v>3877</v>
      </c>
      <c r="K2665" s="2" t="s">
        <v>858</v>
      </c>
      <c r="L2665" s="3">
        <v>285</v>
      </c>
      <c r="M2665" s="3">
        <v>299.25</v>
      </c>
      <c r="N2665" s="3">
        <v>599</v>
      </c>
      <c r="O2665" s="2" t="s">
        <v>97</v>
      </c>
      <c r="P2665" s="2" t="s">
        <v>372</v>
      </c>
      <c r="Q2665" s="2" t="s">
        <v>99</v>
      </c>
      <c r="R2665" s="2" t="s">
        <v>100</v>
      </c>
      <c r="S2665" s="2" t="s">
        <v>100</v>
      </c>
      <c r="T2665" s="2" t="s">
        <v>100</v>
      </c>
      <c r="U2665" s="2" t="s">
        <v>1847</v>
      </c>
      <c r="V2665" s="2" t="s">
        <v>3188</v>
      </c>
      <c r="W2665" s="2" t="s">
        <v>561</v>
      </c>
      <c r="X2665" s="2" t="s">
        <v>104</v>
      </c>
      <c r="Y2665" s="2" t="s">
        <v>8028</v>
      </c>
      <c r="Z2665" s="4">
        <v>404</v>
      </c>
      <c r="AA2665" s="4">
        <f>=ROUNDDOWN(22.4444444444444,0)</f>
      </c>
      <c r="AB2665" s="5">
        <v>18</v>
      </c>
      <c r="AC2665" s="2" t="s">
        <v>320</v>
      </c>
      <c r="AD2665" s="4">
        <v>58</v>
      </c>
      <c r="AE2665" s="4">
        <v>208</v>
      </c>
      <c r="AF2665" s="6">
        <v>66</v>
      </c>
      <c r="AG2665" s="6"/>
      <c r="AH2665" s="7">
        <v>0.9037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/>
      <c r="BD2665" s="8"/>
      <c r="BE2665" s="4"/>
      <c r="BF2665" s="8"/>
      <c r="BG2665" s="7"/>
      <c r="BH2665" s="7"/>
      <c r="BI2665" s="7"/>
      <c r="BJ2665" s="4">
        <v>418</v>
      </c>
      <c r="BK2665" s="8">
        <v>124590.33</v>
      </c>
      <c r="BL2665" s="2" t="s">
        <v>8432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2480</v>
      </c>
      <c r="BV2665" s="2" t="s">
        <v>97</v>
      </c>
      <c r="BW2665" s="2" t="s">
        <v>100</v>
      </c>
      <c r="BX2665" s="2" t="s">
        <v>100</v>
      </c>
      <c r="BY2665" s="2" t="s">
        <v>113</v>
      </c>
      <c r="BZ2665" s="2" t="s">
        <v>100</v>
      </c>
    </row>
    <row r="2666">
      <c r="A2666" s="2" t="s">
        <v>8433</v>
      </c>
      <c r="B2666" s="2" t="s">
        <v>7711</v>
      </c>
      <c r="C2666" s="2" t="s">
        <v>88</v>
      </c>
      <c r="D2666" s="2" t="s">
        <v>8410</v>
      </c>
      <c r="E2666" s="2" t="s">
        <v>8411</v>
      </c>
      <c r="F2666" s="2" t="s">
        <v>909</v>
      </c>
      <c r="G2666" s="2" t="s">
        <v>8434</v>
      </c>
      <c r="H2666" s="2" t="s">
        <v>8435</v>
      </c>
      <c r="I2666" s="2" t="s">
        <v>8436</v>
      </c>
      <c r="J2666" s="2" t="s">
        <v>3877</v>
      </c>
      <c r="K2666" s="2" t="s">
        <v>858</v>
      </c>
      <c r="L2666" s="3">
        <v>227.7</v>
      </c>
      <c r="M2666" s="3">
        <v>239.08</v>
      </c>
      <c r="N2666" s="3">
        <v>479</v>
      </c>
      <c r="O2666" s="2" t="s">
        <v>97</v>
      </c>
      <c r="P2666" s="2" t="s">
        <v>119</v>
      </c>
      <c r="Q2666" s="2" t="s">
        <v>99</v>
      </c>
      <c r="R2666" s="2" t="s">
        <v>100</v>
      </c>
      <c r="S2666" s="2" t="s">
        <v>100</v>
      </c>
      <c r="T2666" s="2" t="s">
        <v>100</v>
      </c>
      <c r="U2666" s="2" t="s">
        <v>1847</v>
      </c>
      <c r="V2666" s="2" t="s">
        <v>239</v>
      </c>
      <c r="W2666" s="2" t="s">
        <v>239</v>
      </c>
      <c r="X2666" s="2" t="s">
        <v>183</v>
      </c>
      <c r="Y2666" s="2" t="s">
        <v>2339</v>
      </c>
      <c r="Z2666" s="4">
        <v>159</v>
      </c>
      <c r="AA2666" s="4">
        <f>=ROUNDDOWN(26.5,0)</f>
      </c>
      <c r="AB2666" s="5">
        <v>6</v>
      </c>
      <c r="AC2666" s="2" t="s">
        <v>1457</v>
      </c>
      <c r="AD2666" s="4">
        <v>100</v>
      </c>
      <c r="AE2666" s="4">
        <v>100</v>
      </c>
      <c r="AF2666" s="6">
        <v>76</v>
      </c>
      <c r="AG2666" s="6"/>
      <c r="AH2666" s="7">
        <v>0.9091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/>
      <c r="BD2666" s="8"/>
      <c r="BE2666" s="4"/>
      <c r="BF2666" s="8"/>
      <c r="BG2666" s="7"/>
      <c r="BH2666" s="7"/>
      <c r="BI2666" s="7"/>
      <c r="BJ2666" s="4">
        <v>142</v>
      </c>
      <c r="BK2666" s="8">
        <v>33980.92</v>
      </c>
      <c r="BL2666" s="2" t="s">
        <v>8437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2480</v>
      </c>
      <c r="BV2666" s="2" t="s">
        <v>97</v>
      </c>
      <c r="BW2666" s="2" t="s">
        <v>100</v>
      </c>
      <c r="BX2666" s="2" t="s">
        <v>100</v>
      </c>
      <c r="BY2666" s="2" t="s">
        <v>113</v>
      </c>
      <c r="BZ2666" s="2" t="s">
        <v>100</v>
      </c>
    </row>
    <row r="2667">
      <c r="A2667" s="2" t="s">
        <v>8438</v>
      </c>
      <c r="B2667" s="2" t="s">
        <v>7711</v>
      </c>
      <c r="C2667" s="2" t="s">
        <v>88</v>
      </c>
      <c r="D2667" s="2" t="s">
        <v>8410</v>
      </c>
      <c r="E2667" s="2" t="s">
        <v>8411</v>
      </c>
      <c r="F2667" s="2" t="s">
        <v>8439</v>
      </c>
      <c r="G2667" s="2" t="s">
        <v>8440</v>
      </c>
      <c r="H2667" s="2" t="s">
        <v>8441</v>
      </c>
      <c r="I2667" s="2" t="s">
        <v>8436</v>
      </c>
      <c r="J2667" s="2" t="s">
        <v>3877</v>
      </c>
      <c r="K2667" s="2" t="s">
        <v>604</v>
      </c>
      <c r="L2667" s="3">
        <v>256.5</v>
      </c>
      <c r="M2667" s="3">
        <v>269.32</v>
      </c>
      <c r="N2667" s="3">
        <v>549</v>
      </c>
      <c r="O2667" s="2" t="s">
        <v>97</v>
      </c>
      <c r="P2667" s="2" t="s">
        <v>119</v>
      </c>
      <c r="Q2667" s="2" t="s">
        <v>99</v>
      </c>
      <c r="R2667" s="2" t="s">
        <v>100</v>
      </c>
      <c r="S2667" s="2" t="s">
        <v>8442</v>
      </c>
      <c r="T2667" s="2" t="s">
        <v>100</v>
      </c>
      <c r="U2667" s="2" t="s">
        <v>100</v>
      </c>
      <c r="V2667" s="2" t="s">
        <v>146</v>
      </c>
      <c r="W2667" s="2" t="s">
        <v>3886</v>
      </c>
      <c r="X2667" s="2" t="s">
        <v>100</v>
      </c>
      <c r="Y2667" s="2" t="s">
        <v>8443</v>
      </c>
      <c r="Z2667" s="4">
        <v>133</v>
      </c>
      <c r="AA2667" s="4">
        <f>=ROUNDDOWN(44.3333333333333,0)</f>
      </c>
      <c r="AB2667" s="5">
        <v>3</v>
      </c>
      <c r="AC2667" s="2" t="s">
        <v>100</v>
      </c>
      <c r="AD2667" s="4"/>
      <c r="AE2667" s="4"/>
      <c r="AF2667" s="6">
        <v>66</v>
      </c>
      <c r="AG2667" s="6">
        <v>49</v>
      </c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/>
      <c r="BJ2667" s="4">
        <v>87</v>
      </c>
      <c r="BK2667" s="8">
        <v>22354.73</v>
      </c>
      <c r="BL2667" s="2" t="s">
        <v>8444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2480</v>
      </c>
      <c r="BV2667" s="2" t="s">
        <v>97</v>
      </c>
      <c r="BW2667" s="2" t="s">
        <v>100</v>
      </c>
      <c r="BX2667" s="2" t="s">
        <v>100</v>
      </c>
      <c r="BY2667" s="2" t="s">
        <v>113</v>
      </c>
      <c r="BZ2667" s="2" t="s">
        <v>100</v>
      </c>
    </row>
    <row r="2668">
      <c r="A2668" s="2" t="s">
        <v>8445</v>
      </c>
      <c r="B2668" s="2" t="s">
        <v>7711</v>
      </c>
      <c r="C2668" s="2" t="s">
        <v>88</v>
      </c>
      <c r="D2668" s="2" t="s">
        <v>8410</v>
      </c>
      <c r="E2668" s="2" t="s">
        <v>8411</v>
      </c>
      <c r="F2668" s="2" t="s">
        <v>8439</v>
      </c>
      <c r="G2668" s="2" t="s">
        <v>8440</v>
      </c>
      <c r="H2668" s="2" t="s">
        <v>8441</v>
      </c>
      <c r="I2668" s="2" t="s">
        <v>8436</v>
      </c>
      <c r="J2668" s="2" t="s">
        <v>3877</v>
      </c>
      <c r="K2668" s="2" t="s">
        <v>198</v>
      </c>
      <c r="L2668" s="3">
        <v>256.5</v>
      </c>
      <c r="M2668" s="3">
        <v>269.32</v>
      </c>
      <c r="N2668" s="3">
        <v>549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8446</v>
      </c>
      <c r="T2668" s="2" t="s">
        <v>100</v>
      </c>
      <c r="U2668" s="2" t="s">
        <v>100</v>
      </c>
      <c r="V2668" s="2" t="s">
        <v>146</v>
      </c>
      <c r="W2668" s="2" t="s">
        <v>561</v>
      </c>
      <c r="X2668" s="2" t="s">
        <v>100</v>
      </c>
      <c r="Y2668" s="2" t="s">
        <v>240</v>
      </c>
      <c r="Z2668" s="4">
        <v>414</v>
      </c>
      <c r="AA2668" s="4">
        <f>=ROUNDDOWN(82.8,0)</f>
      </c>
      <c r="AB2668" s="5">
        <v>5</v>
      </c>
      <c r="AC2668" s="2" t="s">
        <v>320</v>
      </c>
      <c r="AD2668" s="4">
        <v>136</v>
      </c>
      <c r="AE2668" s="4">
        <v>136</v>
      </c>
      <c r="AF2668" s="6">
        <v>66</v>
      </c>
      <c r="AG2668" s="6">
        <v>49</v>
      </c>
      <c r="AH2668" s="7">
        <v>0.8021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/>
      <c r="BJ2668" s="4">
        <v>154</v>
      </c>
      <c r="BK2668" s="8">
        <v>39683.39</v>
      </c>
      <c r="BL2668" s="2" t="s">
        <v>8447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2480</v>
      </c>
      <c r="BV2668" s="2" t="s">
        <v>97</v>
      </c>
      <c r="BW2668" s="2" t="s">
        <v>100</v>
      </c>
      <c r="BX2668" s="2" t="s">
        <v>100</v>
      </c>
      <c r="BY2668" s="2" t="s">
        <v>113</v>
      </c>
      <c r="BZ2668" s="2" t="s">
        <v>100</v>
      </c>
    </row>
    <row r="2669">
      <c r="A2669" s="2" t="s">
        <v>8448</v>
      </c>
      <c r="B2669" s="2" t="s">
        <v>7711</v>
      </c>
      <c r="C2669" s="2" t="s">
        <v>88</v>
      </c>
      <c r="D2669" s="2" t="s">
        <v>7906</v>
      </c>
      <c r="E2669" s="2" t="s">
        <v>7907</v>
      </c>
      <c r="F2669" s="2" t="s">
        <v>8449</v>
      </c>
      <c r="G2669" s="2" t="s">
        <v>8450</v>
      </c>
      <c r="H2669" s="2" t="s">
        <v>8451</v>
      </c>
      <c r="I2669" s="2" t="s">
        <v>8452</v>
      </c>
      <c r="J2669" s="2" t="s">
        <v>3877</v>
      </c>
      <c r="K2669" s="2" t="s">
        <v>335</v>
      </c>
      <c r="L2669" s="3">
        <v>56.16</v>
      </c>
      <c r="M2669" s="3">
        <v>58.97</v>
      </c>
      <c r="N2669" s="3">
        <v>119</v>
      </c>
      <c r="O2669" s="2" t="s">
        <v>97</v>
      </c>
      <c r="P2669" s="2" t="s">
        <v>119</v>
      </c>
      <c r="Q2669" s="2" t="s">
        <v>99</v>
      </c>
      <c r="R2669" s="2" t="s">
        <v>100</v>
      </c>
      <c r="S2669" s="2" t="s">
        <v>8453</v>
      </c>
      <c r="T2669" s="2" t="s">
        <v>100</v>
      </c>
      <c r="U2669" s="2" t="s">
        <v>100</v>
      </c>
      <c r="V2669" s="2" t="s">
        <v>3188</v>
      </c>
      <c r="W2669" s="2" t="s">
        <v>104</v>
      </c>
      <c r="X2669" s="2" t="s">
        <v>202</v>
      </c>
      <c r="Y2669" s="2" t="s">
        <v>8454</v>
      </c>
      <c r="Z2669" s="4">
        <v>113</v>
      </c>
      <c r="AA2669" s="4">
        <f>=ROUNDDOWN(7.53333333333333,0)</f>
      </c>
      <c r="AB2669" s="5">
        <v>15</v>
      </c>
      <c r="AC2669" s="2" t="s">
        <v>320</v>
      </c>
      <c r="AD2669" s="4">
        <v>390</v>
      </c>
      <c r="AE2669" s="4">
        <v>533</v>
      </c>
      <c r="AF2669" s="6">
        <v>66</v>
      </c>
      <c r="AG2669" s="6">
        <v>49</v>
      </c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/>
      <c r="BD2669" s="8"/>
      <c r="BE2669" s="4"/>
      <c r="BF2669" s="8"/>
      <c r="BG2669" s="7"/>
      <c r="BH2669" s="7"/>
      <c r="BI2669" s="7"/>
      <c r="BJ2669" s="4">
        <v>388</v>
      </c>
      <c r="BK2669" s="8">
        <v>20220.36</v>
      </c>
      <c r="BL2669" s="2" t="s">
        <v>8455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2480</v>
      </c>
      <c r="BV2669" s="2" t="s">
        <v>97</v>
      </c>
      <c r="BW2669" s="2" t="s">
        <v>100</v>
      </c>
      <c r="BX2669" s="2" t="s">
        <v>100</v>
      </c>
      <c r="BY2669" s="2" t="s">
        <v>113</v>
      </c>
      <c r="BZ2669" s="2" t="s">
        <v>100</v>
      </c>
    </row>
    <row r="2670">
      <c r="A2670" s="2" t="s">
        <v>8456</v>
      </c>
      <c r="B2670" s="2" t="s">
        <v>7711</v>
      </c>
      <c r="C2670" s="2" t="s">
        <v>88</v>
      </c>
      <c r="D2670" s="2" t="s">
        <v>7906</v>
      </c>
      <c r="E2670" s="2" t="s">
        <v>7907</v>
      </c>
      <c r="F2670" s="2" t="s">
        <v>8457</v>
      </c>
      <c r="G2670" s="2" t="s">
        <v>8458</v>
      </c>
      <c r="H2670" s="2" t="s">
        <v>8459</v>
      </c>
      <c r="I2670" s="2" t="s">
        <v>8452</v>
      </c>
      <c r="J2670" s="2" t="s">
        <v>3877</v>
      </c>
      <c r="K2670" s="2" t="s">
        <v>858</v>
      </c>
      <c r="L2670" s="3">
        <v>131.81</v>
      </c>
      <c r="M2670" s="3">
        <v>138.4</v>
      </c>
      <c r="N2670" s="3">
        <v>279</v>
      </c>
      <c r="O2670" s="2" t="s">
        <v>97</v>
      </c>
      <c r="P2670" s="2" t="s">
        <v>372</v>
      </c>
      <c r="Q2670" s="2" t="s">
        <v>99</v>
      </c>
      <c r="R2670" s="2" t="s">
        <v>100</v>
      </c>
      <c r="S2670" s="2" t="s">
        <v>8460</v>
      </c>
      <c r="T2670" s="2" t="s">
        <v>100</v>
      </c>
      <c r="U2670" s="2" t="s">
        <v>100</v>
      </c>
      <c r="V2670" s="2" t="s">
        <v>146</v>
      </c>
      <c r="W2670" s="2" t="s">
        <v>104</v>
      </c>
      <c r="X2670" s="2" t="s">
        <v>100</v>
      </c>
      <c r="Y2670" s="2" t="s">
        <v>990</v>
      </c>
      <c r="Z2670" s="4">
        <v>496</v>
      </c>
      <c r="AA2670" s="4">
        <f>=ROUNDDOWN(18.3703703703704,0)</f>
      </c>
      <c r="AB2670" s="5">
        <v>27</v>
      </c>
      <c r="AC2670" s="2" t="s">
        <v>2681</v>
      </c>
      <c r="AD2670" s="4">
        <v>150</v>
      </c>
      <c r="AE2670" s="4">
        <v>200</v>
      </c>
      <c r="AF2670" s="6">
        <v>74</v>
      </c>
      <c r="AG2670" s="6">
        <v>60</v>
      </c>
      <c r="AH2670" s="7">
        <v>1</v>
      </c>
      <c r="AI2670" s="4"/>
      <c r="AJ2670" s="4">
        <f>=ROUNDDOWN({0},0)</f>
      </c>
      <c r="AK2670" s="5"/>
      <c r="AL2670" s="2" t="s">
        <v>977</v>
      </c>
      <c r="AM2670" s="4">
        <v>150</v>
      </c>
      <c r="AN2670" s="4">
        <v>300</v>
      </c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/>
      <c r="BD2670" s="8"/>
      <c r="BE2670" s="4"/>
      <c r="BF2670" s="8"/>
      <c r="BG2670" s="7"/>
      <c r="BH2670" s="7"/>
      <c r="BI2670" s="7"/>
      <c r="BJ2670" s="4">
        <v>744</v>
      </c>
      <c r="BK2670" s="8">
        <v>93930.64</v>
      </c>
      <c r="BL2670" s="2" t="s">
        <v>8461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2480</v>
      </c>
      <c r="BV2670" s="2" t="s">
        <v>97</v>
      </c>
      <c r="BW2670" s="2" t="s">
        <v>100</v>
      </c>
      <c r="BX2670" s="2" t="s">
        <v>100</v>
      </c>
      <c r="BY2670" s="2" t="s">
        <v>113</v>
      </c>
      <c r="BZ2670" s="2" t="s">
        <v>100</v>
      </c>
    </row>
    <row r="2671">
      <c r="A2671" s="2" t="s">
        <v>8462</v>
      </c>
      <c r="B2671" s="2" t="s">
        <v>7711</v>
      </c>
      <c r="C2671" s="2" t="s">
        <v>88</v>
      </c>
      <c r="D2671" s="2" t="s">
        <v>7906</v>
      </c>
      <c r="E2671" s="2" t="s">
        <v>7907</v>
      </c>
      <c r="F2671" s="2" t="s">
        <v>8463</v>
      </c>
      <c r="G2671" s="2" t="s">
        <v>8464</v>
      </c>
      <c r="H2671" s="2" t="s">
        <v>8465</v>
      </c>
      <c r="I2671" s="2" t="s">
        <v>8452</v>
      </c>
      <c r="J2671" s="2" t="s">
        <v>3877</v>
      </c>
      <c r="K2671" s="2" t="s">
        <v>4035</v>
      </c>
      <c r="L2671" s="3">
        <v>61.75</v>
      </c>
      <c r="M2671" s="3">
        <v>64.84</v>
      </c>
      <c r="N2671" s="3">
        <v>129</v>
      </c>
      <c r="O2671" s="2" t="s">
        <v>97</v>
      </c>
      <c r="P2671" s="2" t="s">
        <v>119</v>
      </c>
      <c r="Q2671" s="2" t="s">
        <v>99</v>
      </c>
      <c r="R2671" s="2" t="s">
        <v>100</v>
      </c>
      <c r="S2671" s="2" t="s">
        <v>8466</v>
      </c>
      <c r="T2671" s="2" t="s">
        <v>100</v>
      </c>
      <c r="U2671" s="2" t="s">
        <v>100</v>
      </c>
      <c r="V2671" s="2" t="s">
        <v>146</v>
      </c>
      <c r="W2671" s="2" t="s">
        <v>104</v>
      </c>
      <c r="X2671" s="2" t="s">
        <v>100</v>
      </c>
      <c r="Y2671" s="2" t="s">
        <v>2245</v>
      </c>
      <c r="Z2671" s="4">
        <v>132</v>
      </c>
      <c r="AA2671" s="4">
        <f>=ROUNDDOWN(16.5,0)</f>
      </c>
      <c r="AB2671" s="5">
        <v>8</v>
      </c>
      <c r="AC2671" s="2" t="s">
        <v>6196</v>
      </c>
      <c r="AD2671" s="4">
        <v>300</v>
      </c>
      <c r="AE2671" s="4">
        <v>300</v>
      </c>
      <c r="AF2671" s="6">
        <v>66</v>
      </c>
      <c r="AG2671" s="6">
        <v>49</v>
      </c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/>
      <c r="BD2671" s="8"/>
      <c r="BE2671" s="4"/>
      <c r="BF2671" s="8"/>
      <c r="BG2671" s="7"/>
      <c r="BH2671" s="7"/>
      <c r="BI2671" s="7"/>
      <c r="BJ2671" s="4">
        <v>219</v>
      </c>
      <c r="BK2671" s="8">
        <v>12880.89</v>
      </c>
      <c r="BL2671" s="2" t="s">
        <v>8098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2480</v>
      </c>
      <c r="BV2671" s="2" t="s">
        <v>97</v>
      </c>
      <c r="BW2671" s="2" t="s">
        <v>100</v>
      </c>
      <c r="BX2671" s="2" t="s">
        <v>100</v>
      </c>
      <c r="BY2671" s="2" t="s">
        <v>113</v>
      </c>
      <c r="BZ2671" s="2" t="s">
        <v>100</v>
      </c>
    </row>
    <row r="2672">
      <c r="A2672" s="2" t="s">
        <v>8467</v>
      </c>
      <c r="B2672" s="2" t="s">
        <v>7711</v>
      </c>
      <c r="C2672" s="2" t="s">
        <v>88</v>
      </c>
      <c r="D2672" s="2" t="s">
        <v>7906</v>
      </c>
      <c r="E2672" s="2" t="s">
        <v>7907</v>
      </c>
      <c r="F2672" s="2" t="s">
        <v>8468</v>
      </c>
      <c r="G2672" s="2" t="s">
        <v>8469</v>
      </c>
      <c r="H2672" s="2" t="s">
        <v>8470</v>
      </c>
      <c r="I2672" s="2" t="s">
        <v>8452</v>
      </c>
      <c r="J2672" s="2" t="s">
        <v>3877</v>
      </c>
      <c r="K2672" s="2" t="s">
        <v>4008</v>
      </c>
      <c r="L2672" s="3">
        <v>133</v>
      </c>
      <c r="M2672" s="3">
        <v>139.65</v>
      </c>
      <c r="N2672" s="3">
        <v>279</v>
      </c>
      <c r="O2672" s="2" t="s">
        <v>97</v>
      </c>
      <c r="P2672" s="2" t="s">
        <v>119</v>
      </c>
      <c r="Q2672" s="2" t="s">
        <v>99</v>
      </c>
      <c r="R2672" s="2" t="s">
        <v>100</v>
      </c>
      <c r="S2672" s="2" t="s">
        <v>8471</v>
      </c>
      <c r="T2672" s="2" t="s">
        <v>100</v>
      </c>
      <c r="U2672" s="2" t="s">
        <v>100</v>
      </c>
      <c r="V2672" s="2" t="s">
        <v>146</v>
      </c>
      <c r="W2672" s="2" t="s">
        <v>104</v>
      </c>
      <c r="X2672" s="2" t="s">
        <v>100</v>
      </c>
      <c r="Y2672" s="2" t="s">
        <v>112</v>
      </c>
      <c r="Z2672" s="4">
        <v>93</v>
      </c>
      <c r="AA2672" s="4">
        <f>=ROUNDDOWN(18.6,0)</f>
      </c>
      <c r="AB2672" s="5">
        <v>5</v>
      </c>
      <c r="AC2672" s="2" t="s">
        <v>7995</v>
      </c>
      <c r="AD2672" s="4">
        <v>116</v>
      </c>
      <c r="AE2672" s="4">
        <v>116</v>
      </c>
      <c r="AF2672" s="6">
        <v>66</v>
      </c>
      <c r="AG2672" s="6">
        <v>49</v>
      </c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/>
      <c r="BD2672" s="8"/>
      <c r="BE2672" s="4"/>
      <c r="BF2672" s="8"/>
      <c r="BG2672" s="7"/>
      <c r="BH2672" s="7"/>
      <c r="BI2672" s="7"/>
      <c r="BJ2672" s="4">
        <v>134</v>
      </c>
      <c r="BK2672" s="8">
        <v>17010.99</v>
      </c>
      <c r="BL2672" s="2" t="s">
        <v>8472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2480</v>
      </c>
      <c r="BV2672" s="2" t="s">
        <v>97</v>
      </c>
      <c r="BW2672" s="2" t="s">
        <v>100</v>
      </c>
      <c r="BX2672" s="2" t="s">
        <v>100</v>
      </c>
      <c r="BY2672" s="2" t="s">
        <v>113</v>
      </c>
      <c r="BZ2672" s="2" t="s">
        <v>100</v>
      </c>
    </row>
    <row r="2673">
      <c r="A2673" s="2" t="s">
        <v>8473</v>
      </c>
      <c r="B2673" s="2" t="s">
        <v>7711</v>
      </c>
      <c r="C2673" s="2" t="s">
        <v>88</v>
      </c>
      <c r="D2673" s="2" t="s">
        <v>7755</v>
      </c>
      <c r="E2673" s="2" t="s">
        <v>8474</v>
      </c>
      <c r="F2673" s="2" t="s">
        <v>8475</v>
      </c>
      <c r="G2673" s="2" t="s">
        <v>8476</v>
      </c>
      <c r="H2673" s="2" t="s">
        <v>8477</v>
      </c>
      <c r="I2673" s="2" t="s">
        <v>8478</v>
      </c>
      <c r="J2673" s="2" t="s">
        <v>3877</v>
      </c>
      <c r="K2673" s="2" t="s">
        <v>604</v>
      </c>
      <c r="L2673" s="3">
        <v>99.75</v>
      </c>
      <c r="M2673" s="3">
        <v>104.74</v>
      </c>
      <c r="N2673" s="3">
        <v>209</v>
      </c>
      <c r="O2673" s="2" t="s">
        <v>97</v>
      </c>
      <c r="P2673" s="2" t="s">
        <v>119</v>
      </c>
      <c r="Q2673" s="2" t="s">
        <v>99</v>
      </c>
      <c r="R2673" s="2" t="s">
        <v>100</v>
      </c>
      <c r="S2673" s="2" t="s">
        <v>8479</v>
      </c>
      <c r="T2673" s="2" t="s">
        <v>100</v>
      </c>
      <c r="U2673" s="2" t="s">
        <v>100</v>
      </c>
      <c r="V2673" s="2" t="s">
        <v>146</v>
      </c>
      <c r="W2673" s="2" t="s">
        <v>104</v>
      </c>
      <c r="X2673" s="2" t="s">
        <v>100</v>
      </c>
      <c r="Y2673" s="2" t="s">
        <v>5417</v>
      </c>
      <c r="Z2673" s="4">
        <v>333</v>
      </c>
      <c r="AA2673" s="4">
        <f>=ROUNDDOWN(111,0)</f>
      </c>
      <c r="AB2673" s="5">
        <v>3</v>
      </c>
      <c r="AC2673" s="2" t="s">
        <v>100</v>
      </c>
      <c r="AD2673" s="4"/>
      <c r="AE2673" s="4"/>
      <c r="AF2673" s="6">
        <v>76</v>
      </c>
      <c r="AG2673" s="6">
        <v>67</v>
      </c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/>
      <c r="BD2673" s="8"/>
      <c r="BE2673" s="4"/>
      <c r="BF2673" s="8"/>
      <c r="BG2673" s="7"/>
      <c r="BH2673" s="7"/>
      <c r="BI2673" s="7"/>
      <c r="BJ2673" s="4">
        <v>84</v>
      </c>
      <c r="BK2673" s="8">
        <v>8744.08</v>
      </c>
      <c r="BL2673" s="2" t="s">
        <v>8480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2480</v>
      </c>
      <c r="BV2673" s="2" t="s">
        <v>97</v>
      </c>
      <c r="BW2673" s="2" t="s">
        <v>100</v>
      </c>
      <c r="BX2673" s="2" t="s">
        <v>100</v>
      </c>
      <c r="BY2673" s="2" t="s">
        <v>113</v>
      </c>
      <c r="BZ2673" s="2" t="s">
        <v>100</v>
      </c>
    </row>
    <row r="2674">
      <c r="A2674" s="2" t="s">
        <v>8481</v>
      </c>
      <c r="B2674" s="2" t="s">
        <v>7711</v>
      </c>
      <c r="C2674" s="2" t="s">
        <v>88</v>
      </c>
      <c r="D2674" s="2" t="s">
        <v>7755</v>
      </c>
      <c r="E2674" s="2" t="s">
        <v>7756</v>
      </c>
      <c r="F2674" s="2" t="s">
        <v>8482</v>
      </c>
      <c r="G2674" s="2" t="s">
        <v>8483</v>
      </c>
      <c r="H2674" s="2" t="s">
        <v>8484</v>
      </c>
      <c r="I2674" s="2" t="s">
        <v>8485</v>
      </c>
      <c r="J2674" s="2" t="s">
        <v>3877</v>
      </c>
      <c r="K2674" s="2" t="s">
        <v>198</v>
      </c>
      <c r="L2674" s="3">
        <v>57.86</v>
      </c>
      <c r="M2674" s="3">
        <v>60.75</v>
      </c>
      <c r="N2674" s="3">
        <v>129</v>
      </c>
      <c r="O2674" s="2" t="s">
        <v>97</v>
      </c>
      <c r="P2674" s="2" t="s">
        <v>119</v>
      </c>
      <c r="Q2674" s="2" t="s">
        <v>99</v>
      </c>
      <c r="R2674" s="2" t="s">
        <v>100</v>
      </c>
      <c r="S2674" s="2" t="s">
        <v>8486</v>
      </c>
      <c r="T2674" s="2" t="s">
        <v>100</v>
      </c>
      <c r="U2674" s="2" t="s">
        <v>100</v>
      </c>
      <c r="V2674" s="2" t="s">
        <v>146</v>
      </c>
      <c r="W2674" s="2" t="s">
        <v>561</v>
      </c>
      <c r="X2674" s="2" t="s">
        <v>100</v>
      </c>
      <c r="Y2674" s="2" t="s">
        <v>240</v>
      </c>
      <c r="Z2674" s="4">
        <v>347</v>
      </c>
      <c r="AA2674" s="4">
        <f>=ROUNDDOWN(24.7857142857143,0)</f>
      </c>
      <c r="AB2674" s="5">
        <v>14</v>
      </c>
      <c r="AC2674" s="2" t="s">
        <v>100</v>
      </c>
      <c r="AD2674" s="4"/>
      <c r="AE2674" s="4"/>
      <c r="AF2674" s="6">
        <v>76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/>
      <c r="BJ2674" s="4">
        <v>382</v>
      </c>
      <c r="BK2674" s="8">
        <v>23116.64</v>
      </c>
      <c r="BL2674" s="2" t="s">
        <v>8487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2480</v>
      </c>
      <c r="BV2674" s="2" t="s">
        <v>97</v>
      </c>
      <c r="BW2674" s="2" t="s">
        <v>100</v>
      </c>
      <c r="BX2674" s="2" t="s">
        <v>100</v>
      </c>
      <c r="BY2674" s="2" t="s">
        <v>113</v>
      </c>
      <c r="BZ2674" s="2" t="s">
        <v>100</v>
      </c>
    </row>
    <row r="2675">
      <c r="A2675" s="2" t="s">
        <v>8488</v>
      </c>
      <c r="B2675" s="2" t="s">
        <v>7711</v>
      </c>
      <c r="C2675" s="2" t="s">
        <v>88</v>
      </c>
      <c r="D2675" s="2" t="s">
        <v>7755</v>
      </c>
      <c r="E2675" s="2" t="s">
        <v>7756</v>
      </c>
      <c r="F2675" s="2" t="s">
        <v>8482</v>
      </c>
      <c r="G2675" s="2" t="s">
        <v>8483</v>
      </c>
      <c r="H2675" s="2" t="s">
        <v>8484</v>
      </c>
      <c r="I2675" s="2" t="s">
        <v>8485</v>
      </c>
      <c r="J2675" s="2" t="s">
        <v>3877</v>
      </c>
      <c r="K2675" s="2" t="s">
        <v>2580</v>
      </c>
      <c r="L2675" s="3">
        <v>57.86</v>
      </c>
      <c r="M2675" s="3">
        <v>60.75</v>
      </c>
      <c r="N2675" s="3">
        <v>129</v>
      </c>
      <c r="O2675" s="2" t="s">
        <v>97</v>
      </c>
      <c r="P2675" s="2" t="s">
        <v>119</v>
      </c>
      <c r="Q2675" s="2" t="s">
        <v>99</v>
      </c>
      <c r="R2675" s="2" t="s">
        <v>100</v>
      </c>
      <c r="S2675" s="2" t="s">
        <v>8489</v>
      </c>
      <c r="T2675" s="2" t="s">
        <v>100</v>
      </c>
      <c r="U2675" s="2" t="s">
        <v>100</v>
      </c>
      <c r="V2675" s="2" t="s">
        <v>146</v>
      </c>
      <c r="W2675" s="2" t="s">
        <v>561</v>
      </c>
      <c r="X2675" s="2" t="s">
        <v>100</v>
      </c>
      <c r="Y2675" s="2" t="s">
        <v>240</v>
      </c>
      <c r="Z2675" s="4">
        <v>215</v>
      </c>
      <c r="AA2675" s="4">
        <f>=ROUNDDOWN(16.5384615384615,0)</f>
      </c>
      <c r="AB2675" s="5">
        <v>13</v>
      </c>
      <c r="AC2675" s="2" t="s">
        <v>8192</v>
      </c>
      <c r="AD2675" s="4">
        <v>140</v>
      </c>
      <c r="AE2675" s="4">
        <v>140</v>
      </c>
      <c r="AF2675" s="6">
        <v>76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/>
      <c r="BJ2675" s="4">
        <v>378</v>
      </c>
      <c r="BK2675" s="8">
        <v>24251.06</v>
      </c>
      <c r="BL2675" s="2" t="s">
        <v>8490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2480</v>
      </c>
      <c r="BV2675" s="2" t="s">
        <v>97</v>
      </c>
      <c r="BW2675" s="2" t="s">
        <v>100</v>
      </c>
      <c r="BX2675" s="2" t="s">
        <v>100</v>
      </c>
      <c r="BY2675" s="2" t="s">
        <v>113</v>
      </c>
      <c r="BZ2675" s="2" t="s">
        <v>100</v>
      </c>
    </row>
    <row r="2676">
      <c r="A2676" s="2" t="s">
        <v>8491</v>
      </c>
      <c r="B2676" s="2" t="s">
        <v>7711</v>
      </c>
      <c r="C2676" s="2" t="s">
        <v>88</v>
      </c>
      <c r="D2676" s="2" t="s">
        <v>7755</v>
      </c>
      <c r="E2676" s="2" t="s">
        <v>7756</v>
      </c>
      <c r="F2676" s="2" t="s">
        <v>8482</v>
      </c>
      <c r="G2676" s="2" t="s">
        <v>8483</v>
      </c>
      <c r="H2676" s="2" t="s">
        <v>8484</v>
      </c>
      <c r="I2676" s="2" t="s">
        <v>8485</v>
      </c>
      <c r="J2676" s="2" t="s">
        <v>3877</v>
      </c>
      <c r="K2676" s="2" t="s">
        <v>360</v>
      </c>
      <c r="L2676" s="3">
        <v>57.86</v>
      </c>
      <c r="M2676" s="3">
        <v>60.75</v>
      </c>
      <c r="N2676" s="3">
        <v>129</v>
      </c>
      <c r="O2676" s="2" t="s">
        <v>97</v>
      </c>
      <c r="P2676" s="2" t="s">
        <v>119</v>
      </c>
      <c r="Q2676" s="2" t="s">
        <v>99</v>
      </c>
      <c r="R2676" s="2" t="s">
        <v>100</v>
      </c>
      <c r="S2676" s="2" t="s">
        <v>8492</v>
      </c>
      <c r="T2676" s="2" t="s">
        <v>100</v>
      </c>
      <c r="U2676" s="2" t="s">
        <v>100</v>
      </c>
      <c r="V2676" s="2" t="s">
        <v>146</v>
      </c>
      <c r="W2676" s="2" t="s">
        <v>561</v>
      </c>
      <c r="X2676" s="2" t="s">
        <v>100</v>
      </c>
      <c r="Y2676" s="2" t="s">
        <v>240</v>
      </c>
      <c r="Z2676" s="4">
        <v>112</v>
      </c>
      <c r="AA2676" s="4">
        <f>=ROUNDDOWN(14,0)</f>
      </c>
      <c r="AB2676" s="5">
        <v>8</v>
      </c>
      <c r="AC2676" s="2" t="s">
        <v>8192</v>
      </c>
      <c r="AD2676" s="4">
        <v>100</v>
      </c>
      <c r="AE2676" s="4">
        <v>100</v>
      </c>
      <c r="AF2676" s="6">
        <v>76</v>
      </c>
      <c r="AG2676" s="6">
        <v>67</v>
      </c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/>
      <c r="BJ2676" s="4">
        <v>213</v>
      </c>
      <c r="BK2676" s="8">
        <v>13085.77</v>
      </c>
      <c r="BL2676" s="2" t="s">
        <v>8493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2480</v>
      </c>
      <c r="BV2676" s="2" t="s">
        <v>97</v>
      </c>
      <c r="BW2676" s="2" t="s">
        <v>100</v>
      </c>
      <c r="BX2676" s="2" t="s">
        <v>100</v>
      </c>
      <c r="BY2676" s="2" t="s">
        <v>113</v>
      </c>
      <c r="BZ2676" s="2" t="s">
        <v>100</v>
      </c>
    </row>
    <row r="2677">
      <c r="A2677" s="2" t="s">
        <v>8494</v>
      </c>
      <c r="B2677" s="2" t="s">
        <v>7711</v>
      </c>
      <c r="C2677" s="2" t="s">
        <v>88</v>
      </c>
      <c r="D2677" s="2" t="s">
        <v>7755</v>
      </c>
      <c r="E2677" s="2" t="s">
        <v>7756</v>
      </c>
      <c r="F2677" s="2" t="s">
        <v>8495</v>
      </c>
      <c r="G2677" s="2" t="s">
        <v>8496</v>
      </c>
      <c r="H2677" s="2" t="s">
        <v>8497</v>
      </c>
      <c r="I2677" s="2" t="s">
        <v>8498</v>
      </c>
      <c r="J2677" s="2" t="s">
        <v>3877</v>
      </c>
      <c r="K2677" s="2" t="s">
        <v>604</v>
      </c>
      <c r="L2677" s="3">
        <v>140</v>
      </c>
      <c r="M2677" s="3">
        <v>147</v>
      </c>
      <c r="N2677" s="3">
        <v>289</v>
      </c>
      <c r="O2677" s="2" t="s">
        <v>97</v>
      </c>
      <c r="P2677" s="2" t="s">
        <v>119</v>
      </c>
      <c r="Q2677" s="2" t="s">
        <v>99</v>
      </c>
      <c r="R2677" s="2" t="s">
        <v>100</v>
      </c>
      <c r="S2677" s="2" t="s">
        <v>100</v>
      </c>
      <c r="T2677" s="2" t="s">
        <v>100</v>
      </c>
      <c r="U2677" s="2" t="s">
        <v>1847</v>
      </c>
      <c r="V2677" s="2" t="s">
        <v>3188</v>
      </c>
      <c r="W2677" s="2" t="s">
        <v>561</v>
      </c>
      <c r="X2677" s="2" t="s">
        <v>673</v>
      </c>
      <c r="Y2677" s="2" t="s">
        <v>8499</v>
      </c>
      <c r="Z2677" s="4">
        <v>12</v>
      </c>
      <c r="AA2677" s="4">
        <f>=ROUNDDOWN(0.75,0)</f>
      </c>
      <c r="AB2677" s="5">
        <v>16</v>
      </c>
      <c r="AC2677" s="2" t="s">
        <v>222</v>
      </c>
      <c r="AD2677" s="4">
        <v>140</v>
      </c>
      <c r="AE2677" s="4">
        <v>555</v>
      </c>
      <c r="AF2677" s="6">
        <v>68</v>
      </c>
      <c r="AG2677" s="6"/>
      <c r="AH2677" s="7">
        <v>0.5561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/>
      <c r="BD2677" s="8"/>
      <c r="BE2677" s="4"/>
      <c r="BF2677" s="8"/>
      <c r="BG2677" s="7"/>
      <c r="BH2677" s="7"/>
      <c r="BI2677" s="7"/>
      <c r="BJ2677" s="4">
        <v>236</v>
      </c>
      <c r="BK2677" s="8">
        <v>36892.52</v>
      </c>
      <c r="BL2677" s="2" t="s">
        <v>8500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2480</v>
      </c>
      <c r="BV2677" s="2" t="s">
        <v>97</v>
      </c>
      <c r="BW2677" s="2" t="s">
        <v>100</v>
      </c>
      <c r="BX2677" s="2" t="s">
        <v>100</v>
      </c>
      <c r="BY2677" s="2" t="s">
        <v>113</v>
      </c>
      <c r="BZ2677" s="2" t="s">
        <v>100</v>
      </c>
    </row>
    <row r="2678">
      <c r="A2678" s="2" t="s">
        <v>8501</v>
      </c>
      <c r="B2678" s="2" t="s">
        <v>7711</v>
      </c>
      <c r="C2678" s="2" t="s">
        <v>88</v>
      </c>
      <c r="D2678" s="2" t="s">
        <v>7755</v>
      </c>
      <c r="E2678" s="2" t="s">
        <v>7756</v>
      </c>
      <c r="F2678" s="2" t="s">
        <v>7896</v>
      </c>
      <c r="G2678" s="2" t="s">
        <v>115</v>
      </c>
      <c r="H2678" s="2" t="s">
        <v>8502</v>
      </c>
      <c r="I2678" s="2" t="s">
        <v>7756</v>
      </c>
      <c r="J2678" s="2" t="s">
        <v>3877</v>
      </c>
      <c r="K2678" s="2" t="s">
        <v>604</v>
      </c>
      <c r="L2678" s="3">
        <v>80.75</v>
      </c>
      <c r="M2678" s="3">
        <v>84.79</v>
      </c>
      <c r="N2678" s="3">
        <v>169</v>
      </c>
      <c r="O2678" s="2" t="s">
        <v>97</v>
      </c>
      <c r="P2678" s="2" t="s">
        <v>119</v>
      </c>
      <c r="Q2678" s="2" t="s">
        <v>99</v>
      </c>
      <c r="R2678" s="2" t="s">
        <v>100</v>
      </c>
      <c r="S2678" s="2" t="s">
        <v>8503</v>
      </c>
      <c r="T2678" s="2" t="s">
        <v>100</v>
      </c>
      <c r="U2678" s="2" t="s">
        <v>100</v>
      </c>
      <c r="V2678" s="2" t="s">
        <v>2661</v>
      </c>
      <c r="W2678" s="2" t="s">
        <v>561</v>
      </c>
      <c r="X2678" s="2" t="s">
        <v>100</v>
      </c>
      <c r="Y2678" s="2" t="s">
        <v>240</v>
      </c>
      <c r="Z2678" s="4">
        <v>162</v>
      </c>
      <c r="AA2678" s="4">
        <f>=ROUNDDOWN(16.2,0)</f>
      </c>
      <c r="AB2678" s="5">
        <v>10</v>
      </c>
      <c r="AC2678" s="2" t="s">
        <v>7836</v>
      </c>
      <c r="AD2678" s="4">
        <v>100</v>
      </c>
      <c r="AE2678" s="4">
        <v>200</v>
      </c>
      <c r="AF2678" s="6">
        <v>66</v>
      </c>
      <c r="AG2678" s="6">
        <v>49</v>
      </c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/>
      <c r="BD2678" s="8"/>
      <c r="BE2678" s="4"/>
      <c r="BF2678" s="8"/>
      <c r="BG2678" s="7"/>
      <c r="BH2678" s="7"/>
      <c r="BI2678" s="7"/>
      <c r="BJ2678" s="4">
        <v>251</v>
      </c>
      <c r="BK2678" s="8">
        <v>21179.6</v>
      </c>
      <c r="BL2678" s="2" t="s">
        <v>7986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2480</v>
      </c>
      <c r="BV2678" s="2" t="s">
        <v>97</v>
      </c>
      <c r="BW2678" s="2" t="s">
        <v>100</v>
      </c>
      <c r="BX2678" s="2" t="s">
        <v>100</v>
      </c>
      <c r="BY2678" s="2" t="s">
        <v>113</v>
      </c>
      <c r="BZ2678" s="2" t="s">
        <v>100</v>
      </c>
    </row>
    <row r="2679">
      <c r="A2679" s="2" t="s">
        <v>8504</v>
      </c>
      <c r="B2679" s="2" t="s">
        <v>7711</v>
      </c>
      <c r="C2679" s="2" t="s">
        <v>88</v>
      </c>
      <c r="D2679" s="2" t="s">
        <v>7755</v>
      </c>
      <c r="E2679" s="2" t="s">
        <v>7756</v>
      </c>
      <c r="F2679" s="2" t="s">
        <v>8505</v>
      </c>
      <c r="G2679" s="2" t="s">
        <v>8506</v>
      </c>
      <c r="H2679" s="2" t="s">
        <v>8507</v>
      </c>
      <c r="I2679" s="2" t="s">
        <v>8508</v>
      </c>
      <c r="J2679" s="2" t="s">
        <v>3877</v>
      </c>
      <c r="K2679" s="2" t="s">
        <v>3515</v>
      </c>
      <c r="L2679" s="3">
        <v>160</v>
      </c>
      <c r="M2679" s="3">
        <v>168</v>
      </c>
      <c r="N2679" s="3">
        <v>339</v>
      </c>
      <c r="O2679" s="2" t="s">
        <v>97</v>
      </c>
      <c r="P2679" s="2" t="s">
        <v>119</v>
      </c>
      <c r="Q2679" s="2" t="s">
        <v>99</v>
      </c>
      <c r="R2679" s="2" t="s">
        <v>100</v>
      </c>
      <c r="S2679" s="2" t="s">
        <v>100</v>
      </c>
      <c r="T2679" s="2" t="s">
        <v>100</v>
      </c>
      <c r="U2679" s="2" t="s">
        <v>1847</v>
      </c>
      <c r="V2679" s="2" t="s">
        <v>3188</v>
      </c>
      <c r="W2679" s="2" t="s">
        <v>415</v>
      </c>
      <c r="X2679" s="2" t="s">
        <v>104</v>
      </c>
      <c r="Y2679" s="2" t="s">
        <v>8509</v>
      </c>
      <c r="Z2679" s="4">
        <v>229</v>
      </c>
      <c r="AA2679" s="4">
        <f>=ROUNDDOWN(25.4444444444444,0)</f>
      </c>
      <c r="AB2679" s="5">
        <v>9</v>
      </c>
      <c r="AC2679" s="2" t="s">
        <v>100</v>
      </c>
      <c r="AD2679" s="4"/>
      <c r="AE2679" s="4"/>
      <c r="AF2679" s="6">
        <v>69</v>
      </c>
      <c r="AG2679" s="6">
        <v>52</v>
      </c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/>
      <c r="BD2679" s="8"/>
      <c r="BE2679" s="4"/>
      <c r="BF2679" s="8"/>
      <c r="BG2679" s="7"/>
      <c r="BH2679" s="7"/>
      <c r="BI2679" s="7"/>
      <c r="BJ2679" s="4">
        <v>222</v>
      </c>
      <c r="BK2679" s="8">
        <v>35731.51</v>
      </c>
      <c r="BL2679" s="2" t="s">
        <v>8510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2528</v>
      </c>
      <c r="BV2679" s="2" t="s">
        <v>97</v>
      </c>
      <c r="BW2679" s="2" t="s">
        <v>100</v>
      </c>
      <c r="BX2679" s="2" t="s">
        <v>100</v>
      </c>
      <c r="BY2679" s="2" t="s">
        <v>113</v>
      </c>
      <c r="BZ2679" s="2" t="s">
        <v>100</v>
      </c>
    </row>
    <row r="2680">
      <c r="A2680" s="2" t="s">
        <v>8511</v>
      </c>
      <c r="B2680" s="2" t="s">
        <v>7711</v>
      </c>
      <c r="C2680" s="2" t="s">
        <v>88</v>
      </c>
      <c r="D2680" s="2" t="s">
        <v>7755</v>
      </c>
      <c r="E2680" s="2" t="s">
        <v>7756</v>
      </c>
      <c r="F2680" s="2" t="s">
        <v>8283</v>
      </c>
      <c r="G2680" s="2" t="s">
        <v>806</v>
      </c>
      <c r="H2680" s="2" t="s">
        <v>8284</v>
      </c>
      <c r="I2680" s="2" t="s">
        <v>8512</v>
      </c>
      <c r="J2680" s="2" t="s">
        <v>3877</v>
      </c>
      <c r="K2680" s="2" t="s">
        <v>8289</v>
      </c>
      <c r="L2680" s="3">
        <v>144</v>
      </c>
      <c r="M2680" s="3">
        <v>151.2</v>
      </c>
      <c r="N2680" s="3">
        <v>299</v>
      </c>
      <c r="O2680" s="2" t="s">
        <v>97</v>
      </c>
      <c r="P2680" s="2" t="s">
        <v>372</v>
      </c>
      <c r="Q2680" s="2" t="s">
        <v>99</v>
      </c>
      <c r="R2680" s="2" t="s">
        <v>100</v>
      </c>
      <c r="S2680" s="2" t="s">
        <v>100</v>
      </c>
      <c r="T2680" s="2" t="s">
        <v>100</v>
      </c>
      <c r="U2680" s="2" t="s">
        <v>1847</v>
      </c>
      <c r="V2680" s="2" t="s">
        <v>3188</v>
      </c>
      <c r="W2680" s="2" t="s">
        <v>104</v>
      </c>
      <c r="X2680" s="2" t="s">
        <v>561</v>
      </c>
      <c r="Y2680" s="2" t="s">
        <v>8513</v>
      </c>
      <c r="Z2680" s="4">
        <v>1084</v>
      </c>
      <c r="AA2680" s="4">
        <f>=ROUNDDOWN(38.7142857142857,0)</f>
      </c>
      <c r="AB2680" s="5">
        <v>28</v>
      </c>
      <c r="AC2680" s="2" t="s">
        <v>356</v>
      </c>
      <c r="AD2680" s="4">
        <v>30</v>
      </c>
      <c r="AE2680" s="4">
        <v>550</v>
      </c>
      <c r="AF2680" s="6">
        <v>66</v>
      </c>
      <c r="AG2680" s="6">
        <v>49</v>
      </c>
      <c r="AH2680" s="7">
        <v>0.5187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/>
      <c r="BD2680" s="8"/>
      <c r="BE2680" s="4"/>
      <c r="BF2680" s="8"/>
      <c r="BG2680" s="7"/>
      <c r="BH2680" s="7"/>
      <c r="BI2680" s="7"/>
      <c r="BJ2680" s="4">
        <v>677</v>
      </c>
      <c r="BK2680" s="8">
        <v>109097.69</v>
      </c>
      <c r="BL2680" s="2" t="s">
        <v>8514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2480</v>
      </c>
      <c r="BV2680" s="2" t="s">
        <v>97</v>
      </c>
      <c r="BW2680" s="2" t="s">
        <v>100</v>
      </c>
      <c r="BX2680" s="2" t="s">
        <v>100</v>
      </c>
      <c r="BY2680" s="2" t="s">
        <v>113</v>
      </c>
      <c r="BZ2680" s="2" t="s">
        <v>100</v>
      </c>
    </row>
    <row r="2681">
      <c r="A2681" s="2" t="s">
        <v>8515</v>
      </c>
      <c r="B2681" s="2" t="s">
        <v>7711</v>
      </c>
      <c r="C2681" s="2" t="s">
        <v>88</v>
      </c>
      <c r="D2681" s="2" t="s">
        <v>7755</v>
      </c>
      <c r="E2681" s="2" t="s">
        <v>7756</v>
      </c>
      <c r="F2681" s="2" t="s">
        <v>8516</v>
      </c>
      <c r="G2681" s="2" t="s">
        <v>8517</v>
      </c>
      <c r="H2681" s="2" t="s">
        <v>8518</v>
      </c>
      <c r="I2681" s="2" t="s">
        <v>8519</v>
      </c>
      <c r="J2681" s="2" t="s">
        <v>3877</v>
      </c>
      <c r="K2681" s="2" t="s">
        <v>858</v>
      </c>
      <c r="L2681" s="3">
        <v>150</v>
      </c>
      <c r="M2681" s="3">
        <v>157.5</v>
      </c>
      <c r="N2681" s="3">
        <v>319</v>
      </c>
      <c r="O2681" s="2" t="s">
        <v>97</v>
      </c>
      <c r="P2681" s="2" t="s">
        <v>119</v>
      </c>
      <c r="Q2681" s="2" t="s">
        <v>99</v>
      </c>
      <c r="R2681" s="2" t="s">
        <v>100</v>
      </c>
      <c r="S2681" s="2" t="s">
        <v>100</v>
      </c>
      <c r="T2681" s="2" t="s">
        <v>100</v>
      </c>
      <c r="U2681" s="2" t="s">
        <v>100</v>
      </c>
      <c r="V2681" s="2" t="s">
        <v>3188</v>
      </c>
      <c r="W2681" s="2" t="s">
        <v>239</v>
      </c>
      <c r="X2681" s="2" t="s">
        <v>100</v>
      </c>
      <c r="Y2681" s="2" t="s">
        <v>8520</v>
      </c>
      <c r="Z2681" s="4">
        <v>527</v>
      </c>
      <c r="AA2681" s="4">
        <f>=ROUNDDOWN(58.5555555555556,0)</f>
      </c>
      <c r="AB2681" s="5">
        <v>9</v>
      </c>
      <c r="AC2681" s="2" t="s">
        <v>100</v>
      </c>
      <c r="AD2681" s="4"/>
      <c r="AE2681" s="4"/>
      <c r="AF2681" s="6">
        <v>69</v>
      </c>
      <c r="AG2681" s="6">
        <v>52</v>
      </c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/>
      <c r="BD2681" s="8"/>
      <c r="BE2681" s="4"/>
      <c r="BF2681" s="8"/>
      <c r="BG2681" s="7"/>
      <c r="BH2681" s="7"/>
      <c r="BI2681" s="7"/>
      <c r="BJ2681" s="4">
        <v>293</v>
      </c>
      <c r="BK2681" s="8">
        <v>47368.89</v>
      </c>
      <c r="BL2681" s="2" t="s">
        <v>8521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2480</v>
      </c>
      <c r="BV2681" s="2" t="s">
        <v>97</v>
      </c>
      <c r="BW2681" s="2" t="s">
        <v>100</v>
      </c>
      <c r="BX2681" s="2" t="s">
        <v>100</v>
      </c>
      <c r="BY2681" s="2" t="s">
        <v>113</v>
      </c>
      <c r="BZ2681" s="2" t="s">
        <v>100</v>
      </c>
    </row>
    <row r="2682">
      <c r="A2682" s="2" t="s">
        <v>8522</v>
      </c>
      <c r="B2682" s="2" t="s">
        <v>7711</v>
      </c>
      <c r="C2682" s="2" t="s">
        <v>88</v>
      </c>
      <c r="D2682" s="2" t="s">
        <v>7755</v>
      </c>
      <c r="E2682" s="2" t="s">
        <v>7756</v>
      </c>
      <c r="F2682" s="2" t="s">
        <v>8523</v>
      </c>
      <c r="G2682" s="2" t="s">
        <v>8524</v>
      </c>
      <c r="H2682" s="2" t="s">
        <v>8525</v>
      </c>
      <c r="I2682" s="2" t="s">
        <v>7756</v>
      </c>
      <c r="J2682" s="2" t="s">
        <v>3877</v>
      </c>
      <c r="K2682" s="2" t="s">
        <v>8526</v>
      </c>
      <c r="L2682" s="3">
        <v>80</v>
      </c>
      <c r="M2682" s="3">
        <v>84</v>
      </c>
      <c r="N2682" s="3">
        <v>169</v>
      </c>
      <c r="O2682" s="2" t="s">
        <v>97</v>
      </c>
      <c r="P2682" s="2" t="s">
        <v>225</v>
      </c>
      <c r="Q2682" s="2" t="s">
        <v>99</v>
      </c>
      <c r="R2682" s="2" t="s">
        <v>100</v>
      </c>
      <c r="S2682" s="2" t="s">
        <v>100</v>
      </c>
      <c r="T2682" s="2" t="s">
        <v>100</v>
      </c>
      <c r="U2682" s="2" t="s">
        <v>1847</v>
      </c>
      <c r="V2682" s="2" t="s">
        <v>146</v>
      </c>
      <c r="W2682" s="2" t="s">
        <v>561</v>
      </c>
      <c r="X2682" s="2" t="s">
        <v>1580</v>
      </c>
      <c r="Y2682" s="2" t="s">
        <v>100</v>
      </c>
      <c r="Z2682" s="4"/>
      <c r="AA2682" s="4">
        <f>=ROUNDDOWN({0},0)</f>
      </c>
      <c r="AB2682" s="5">
        <v>10</v>
      </c>
      <c r="AC2682" s="2" t="s">
        <v>100</v>
      </c>
      <c r="AD2682" s="4"/>
      <c r="AE2682" s="4"/>
      <c r="AF2682" s="6">
        <v>66</v>
      </c>
      <c r="AG2682" s="6"/>
      <c r="AH2682" s="7"/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/>
      <c r="BD2682" s="8"/>
      <c r="BE2682" s="4"/>
      <c r="BF2682" s="8"/>
      <c r="BG2682" s="7"/>
      <c r="BH2682" s="7"/>
      <c r="BI2682" s="7"/>
      <c r="BJ2682" s="4"/>
      <c r="BK2682" s="8"/>
      <c r="BL2682" s="2" t="s">
        <v>100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230</v>
      </c>
      <c r="BV2682" s="2" t="s">
        <v>97</v>
      </c>
      <c r="BW2682" s="2" t="s">
        <v>100</v>
      </c>
      <c r="BX2682" s="2" t="s">
        <v>100</v>
      </c>
      <c r="BY2682" s="2" t="s">
        <v>113</v>
      </c>
      <c r="BZ2682" s="2" t="s">
        <v>100</v>
      </c>
    </row>
    <row r="2683">
      <c r="A2683" s="2" t="s">
        <v>8527</v>
      </c>
      <c r="B2683" s="2" t="s">
        <v>7711</v>
      </c>
      <c r="C2683" s="2" t="s">
        <v>88</v>
      </c>
      <c r="D2683" s="2" t="s">
        <v>7755</v>
      </c>
      <c r="E2683" s="2" t="s">
        <v>7756</v>
      </c>
      <c r="F2683" s="2" t="s">
        <v>8528</v>
      </c>
      <c r="G2683" s="2" t="s">
        <v>8529</v>
      </c>
      <c r="H2683" s="2" t="s">
        <v>5668</v>
      </c>
      <c r="I2683" s="2" t="s">
        <v>8530</v>
      </c>
      <c r="J2683" s="2" t="s">
        <v>3877</v>
      </c>
      <c r="K2683" s="2" t="s">
        <v>1172</v>
      </c>
      <c r="L2683" s="3">
        <v>84.15</v>
      </c>
      <c r="M2683" s="3">
        <v>88.36</v>
      </c>
      <c r="N2683" s="3">
        <v>179</v>
      </c>
      <c r="O2683" s="2" t="s">
        <v>97</v>
      </c>
      <c r="P2683" s="2" t="s">
        <v>119</v>
      </c>
      <c r="Q2683" s="2" t="s">
        <v>99</v>
      </c>
      <c r="R2683" s="2" t="s">
        <v>100</v>
      </c>
      <c r="S2683" s="2" t="s">
        <v>8531</v>
      </c>
      <c r="T2683" s="2" t="s">
        <v>100</v>
      </c>
      <c r="U2683" s="2" t="s">
        <v>100</v>
      </c>
      <c r="V2683" s="2" t="s">
        <v>146</v>
      </c>
      <c r="W2683" s="2" t="s">
        <v>104</v>
      </c>
      <c r="X2683" s="2" t="s">
        <v>100</v>
      </c>
      <c r="Y2683" s="2" t="s">
        <v>240</v>
      </c>
      <c r="Z2683" s="4">
        <v>350</v>
      </c>
      <c r="AA2683" s="4">
        <f>=ROUNDDOWN(21.875,0)</f>
      </c>
      <c r="AB2683" s="5">
        <v>16</v>
      </c>
      <c r="AC2683" s="2" t="s">
        <v>1196</v>
      </c>
      <c r="AD2683" s="4">
        <v>185</v>
      </c>
      <c r="AE2683" s="4">
        <v>185</v>
      </c>
      <c r="AF2683" s="6">
        <v>76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/>
      <c r="BD2683" s="8"/>
      <c r="BE2683" s="4"/>
      <c r="BF2683" s="8"/>
      <c r="BG2683" s="7"/>
      <c r="BH2683" s="7"/>
      <c r="BI2683" s="7"/>
      <c r="BJ2683" s="4">
        <v>300</v>
      </c>
      <c r="BK2683" s="8">
        <v>24022.81</v>
      </c>
      <c r="BL2683" s="2" t="s">
        <v>8532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207</v>
      </c>
      <c r="BV2683" s="2" t="s">
        <v>97</v>
      </c>
      <c r="BW2683" s="2" t="s">
        <v>100</v>
      </c>
      <c r="BX2683" s="2" t="s">
        <v>100</v>
      </c>
      <c r="BY2683" s="2" t="s">
        <v>113</v>
      </c>
      <c r="BZ2683" s="2" t="s">
        <v>100</v>
      </c>
    </row>
    <row r="2684">
      <c r="A2684" s="2" t="s">
        <v>8533</v>
      </c>
      <c r="B2684" s="2" t="s">
        <v>7711</v>
      </c>
      <c r="C2684" s="2" t="s">
        <v>88</v>
      </c>
      <c r="D2684" s="2" t="s">
        <v>7755</v>
      </c>
      <c r="E2684" s="2" t="s">
        <v>7756</v>
      </c>
      <c r="F2684" s="2" t="s">
        <v>8534</v>
      </c>
      <c r="G2684" s="2" t="s">
        <v>8535</v>
      </c>
      <c r="H2684" s="2" t="s">
        <v>8536</v>
      </c>
      <c r="I2684" s="2" t="s">
        <v>7756</v>
      </c>
      <c r="J2684" s="2" t="s">
        <v>3877</v>
      </c>
      <c r="K2684" s="2" t="s">
        <v>858</v>
      </c>
      <c r="L2684" s="3">
        <v>220</v>
      </c>
      <c r="M2684" s="3">
        <v>231</v>
      </c>
      <c r="N2684" s="3">
        <v>459</v>
      </c>
      <c r="O2684" s="2" t="s">
        <v>97</v>
      </c>
      <c r="P2684" s="2" t="s">
        <v>119</v>
      </c>
      <c r="Q2684" s="2" t="s">
        <v>99</v>
      </c>
      <c r="R2684" s="2" t="s">
        <v>100</v>
      </c>
      <c r="S2684" s="2" t="s">
        <v>8537</v>
      </c>
      <c r="T2684" s="2" t="s">
        <v>100</v>
      </c>
      <c r="U2684" s="2" t="s">
        <v>100</v>
      </c>
      <c r="V2684" s="2" t="s">
        <v>146</v>
      </c>
      <c r="W2684" s="2" t="s">
        <v>415</v>
      </c>
      <c r="X2684" s="2" t="s">
        <v>104</v>
      </c>
      <c r="Y2684" s="2" t="s">
        <v>8334</v>
      </c>
      <c r="Z2684" s="4">
        <v>97</v>
      </c>
      <c r="AA2684" s="4">
        <f>=ROUNDDOWN(16.1666666666667,0)</f>
      </c>
      <c r="AB2684" s="5">
        <v>6</v>
      </c>
      <c r="AC2684" s="2" t="s">
        <v>241</v>
      </c>
      <c r="AD2684" s="4">
        <v>100</v>
      </c>
      <c r="AE2684" s="4">
        <v>100</v>
      </c>
      <c r="AF2684" s="6">
        <v>66</v>
      </c>
      <c r="AG2684" s="6">
        <v>49</v>
      </c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/>
      <c r="BD2684" s="8"/>
      <c r="BE2684" s="4"/>
      <c r="BF2684" s="8"/>
      <c r="BG2684" s="7"/>
      <c r="BH2684" s="7"/>
      <c r="BI2684" s="7"/>
      <c r="BJ2684" s="4">
        <v>152</v>
      </c>
      <c r="BK2684" s="8">
        <v>32508.85</v>
      </c>
      <c r="BL2684" s="2" t="s">
        <v>8538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2480</v>
      </c>
      <c r="BV2684" s="2" t="s">
        <v>97</v>
      </c>
      <c r="BW2684" s="2" t="s">
        <v>100</v>
      </c>
      <c r="BX2684" s="2" t="s">
        <v>100</v>
      </c>
      <c r="BY2684" s="2" t="s">
        <v>113</v>
      </c>
      <c r="BZ2684" s="2" t="s">
        <v>100</v>
      </c>
    </row>
    <row r="2685">
      <c r="A2685" s="2" t="s">
        <v>8539</v>
      </c>
      <c r="B2685" s="2" t="s">
        <v>7711</v>
      </c>
      <c r="C2685" s="2" t="s">
        <v>88</v>
      </c>
      <c r="D2685" s="2" t="s">
        <v>7755</v>
      </c>
      <c r="E2685" s="2" t="s">
        <v>7954</v>
      </c>
      <c r="F2685" s="2" t="s">
        <v>8540</v>
      </c>
      <c r="G2685" s="2" t="s">
        <v>8541</v>
      </c>
      <c r="H2685" s="2" t="s">
        <v>8542</v>
      </c>
      <c r="I2685" s="2" t="s">
        <v>8543</v>
      </c>
      <c r="J2685" s="2" t="s">
        <v>3877</v>
      </c>
      <c r="K2685" s="2" t="s">
        <v>604</v>
      </c>
      <c r="L2685" s="3">
        <v>193.5</v>
      </c>
      <c r="M2685" s="3">
        <v>203.18</v>
      </c>
      <c r="N2685" s="3">
        <v>399</v>
      </c>
      <c r="O2685" s="2" t="s">
        <v>97</v>
      </c>
      <c r="P2685" s="2" t="s">
        <v>119</v>
      </c>
      <c r="Q2685" s="2" t="s">
        <v>99</v>
      </c>
      <c r="R2685" s="2" t="s">
        <v>100</v>
      </c>
      <c r="S2685" s="2" t="s">
        <v>8544</v>
      </c>
      <c r="T2685" s="2" t="s">
        <v>100</v>
      </c>
      <c r="U2685" s="2" t="s">
        <v>1847</v>
      </c>
      <c r="V2685" s="2" t="s">
        <v>146</v>
      </c>
      <c r="W2685" s="2" t="s">
        <v>104</v>
      </c>
      <c r="X2685" s="2" t="s">
        <v>100</v>
      </c>
      <c r="Y2685" s="2" t="s">
        <v>8326</v>
      </c>
      <c r="Z2685" s="4">
        <v>249</v>
      </c>
      <c r="AA2685" s="4">
        <f>=ROUNDDOWN(42.2033898305085,0)</f>
      </c>
      <c r="AB2685" s="5">
        <v>5.9</v>
      </c>
      <c r="AC2685" s="2" t="s">
        <v>100</v>
      </c>
      <c r="AD2685" s="4"/>
      <c r="AE2685" s="4"/>
      <c r="AF2685" s="6">
        <v>69</v>
      </c>
      <c r="AG2685" s="6">
        <v>52</v>
      </c>
      <c r="AH2685" s="7">
        <v>1</v>
      </c>
      <c r="AI2685" s="4"/>
      <c r="AJ2685" s="4">
        <f>=ROUNDDOWN({0},0)</f>
      </c>
      <c r="AK2685" s="5">
        <v>14.3</v>
      </c>
      <c r="AL2685" s="2" t="s">
        <v>100</v>
      </c>
      <c r="AM2685" s="4"/>
      <c r="AN2685" s="4"/>
      <c r="AO2685" s="7">
        <v>0.4332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/>
      <c r="BJ2685" s="4">
        <v>326</v>
      </c>
      <c r="BK2685" s="8">
        <v>61486.26</v>
      </c>
      <c r="BL2685" s="2" t="s">
        <v>8545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2480</v>
      </c>
      <c r="BV2685" s="2" t="s">
        <v>97</v>
      </c>
      <c r="BW2685" s="2" t="s">
        <v>100</v>
      </c>
      <c r="BX2685" s="2" t="s">
        <v>100</v>
      </c>
      <c r="BY2685" s="2" t="s">
        <v>113</v>
      </c>
      <c r="BZ2685" s="2" t="s">
        <v>100</v>
      </c>
    </row>
    <row r="2686">
      <c r="A2686" s="2" t="s">
        <v>8546</v>
      </c>
      <c r="B2686" s="2" t="s">
        <v>7711</v>
      </c>
      <c r="C2686" s="2" t="s">
        <v>88</v>
      </c>
      <c r="D2686" s="2" t="s">
        <v>7755</v>
      </c>
      <c r="E2686" s="2" t="s">
        <v>7954</v>
      </c>
      <c r="F2686" s="2" t="s">
        <v>8540</v>
      </c>
      <c r="G2686" s="2" t="s">
        <v>8541</v>
      </c>
      <c r="H2686" s="2" t="s">
        <v>8542</v>
      </c>
      <c r="I2686" s="2" t="s">
        <v>8547</v>
      </c>
      <c r="J2686" s="2" t="s">
        <v>3877</v>
      </c>
      <c r="K2686" s="2" t="s">
        <v>3515</v>
      </c>
      <c r="L2686" s="3">
        <v>193.5</v>
      </c>
      <c r="M2686" s="3">
        <v>203.18</v>
      </c>
      <c r="N2686" s="3">
        <v>399</v>
      </c>
      <c r="O2686" s="2" t="s">
        <v>97</v>
      </c>
      <c r="P2686" s="2" t="s">
        <v>119</v>
      </c>
      <c r="Q2686" s="2" t="s">
        <v>99</v>
      </c>
      <c r="R2686" s="2" t="s">
        <v>100</v>
      </c>
      <c r="S2686" s="2" t="s">
        <v>100</v>
      </c>
      <c r="T2686" s="2" t="s">
        <v>100</v>
      </c>
      <c r="U2686" s="2" t="s">
        <v>1847</v>
      </c>
      <c r="V2686" s="2" t="s">
        <v>146</v>
      </c>
      <c r="W2686" s="2" t="s">
        <v>104</v>
      </c>
      <c r="X2686" s="2" t="s">
        <v>100</v>
      </c>
      <c r="Y2686" s="2" t="s">
        <v>8548</v>
      </c>
      <c r="Z2686" s="4">
        <v>110</v>
      </c>
      <c r="AA2686" s="4">
        <f>=ROUNDDOWN(39.2857142857143,0)</f>
      </c>
      <c r="AB2686" s="5">
        <v>2.8</v>
      </c>
      <c r="AC2686" s="2" t="s">
        <v>100</v>
      </c>
      <c r="AD2686" s="4"/>
      <c r="AE2686" s="4"/>
      <c r="AF2686" s="6">
        <v>69</v>
      </c>
      <c r="AG2686" s="6">
        <v>52</v>
      </c>
      <c r="AH2686" s="7">
        <v>1</v>
      </c>
      <c r="AI2686" s="4"/>
      <c r="AJ2686" s="4">
        <f>=ROUNDDOWN({0},0)</f>
      </c>
      <c r="AK2686" s="5">
        <v>7.3</v>
      </c>
      <c r="AL2686" s="2" t="s">
        <v>100</v>
      </c>
      <c r="AM2686" s="4"/>
      <c r="AN2686" s="4"/>
      <c r="AO2686" s="7">
        <v>0.4332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/>
      <c r="BJ2686" s="4">
        <v>162</v>
      </c>
      <c r="BK2686" s="8">
        <v>27688.57</v>
      </c>
      <c r="BL2686" s="2" t="s">
        <v>8549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2480</v>
      </c>
      <c r="BV2686" s="2" t="s">
        <v>97</v>
      </c>
      <c r="BW2686" s="2" t="s">
        <v>100</v>
      </c>
      <c r="BX2686" s="2" t="s">
        <v>100</v>
      </c>
      <c r="BY2686" s="2" t="s">
        <v>113</v>
      </c>
      <c r="BZ2686" s="2" t="s">
        <v>100</v>
      </c>
    </row>
    <row r="2687">
      <c r="A2687" s="2" t="s">
        <v>8550</v>
      </c>
      <c r="B2687" s="2" t="s">
        <v>7711</v>
      </c>
      <c r="C2687" s="2" t="s">
        <v>88</v>
      </c>
      <c r="D2687" s="2" t="s">
        <v>7755</v>
      </c>
      <c r="E2687" s="2" t="s">
        <v>7954</v>
      </c>
      <c r="F2687" s="2" t="s">
        <v>8540</v>
      </c>
      <c r="G2687" s="2" t="s">
        <v>8541</v>
      </c>
      <c r="H2687" s="2" t="s">
        <v>8542</v>
      </c>
      <c r="I2687" s="2" t="s">
        <v>8547</v>
      </c>
      <c r="J2687" s="2" t="s">
        <v>3877</v>
      </c>
      <c r="K2687" s="2" t="s">
        <v>360</v>
      </c>
      <c r="L2687" s="3">
        <v>193.5</v>
      </c>
      <c r="M2687" s="3">
        <v>203.18</v>
      </c>
      <c r="N2687" s="3">
        <v>399</v>
      </c>
      <c r="O2687" s="2" t="s">
        <v>97</v>
      </c>
      <c r="P2687" s="2" t="s">
        <v>119</v>
      </c>
      <c r="Q2687" s="2" t="s">
        <v>99</v>
      </c>
      <c r="R2687" s="2" t="s">
        <v>100</v>
      </c>
      <c r="S2687" s="2" t="s">
        <v>100</v>
      </c>
      <c r="T2687" s="2" t="s">
        <v>100</v>
      </c>
      <c r="U2687" s="2" t="s">
        <v>1847</v>
      </c>
      <c r="V2687" s="2" t="s">
        <v>3188</v>
      </c>
      <c r="W2687" s="2" t="s">
        <v>104</v>
      </c>
      <c r="X2687" s="2" t="s">
        <v>100</v>
      </c>
      <c r="Y2687" s="2" t="s">
        <v>8551</v>
      </c>
      <c r="Z2687" s="4">
        <v>320</v>
      </c>
      <c r="AA2687" s="4">
        <f>=ROUNDDOWN(40,0)</f>
      </c>
      <c r="AB2687" s="5">
        <v>8</v>
      </c>
      <c r="AC2687" s="2" t="s">
        <v>100</v>
      </c>
      <c r="AD2687" s="4"/>
      <c r="AE2687" s="4"/>
      <c r="AF2687" s="6">
        <v>69</v>
      </c>
      <c r="AG2687" s="6">
        <v>52</v>
      </c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/>
      <c r="BJ2687" s="4">
        <v>202</v>
      </c>
      <c r="BK2687" s="8">
        <v>37696.95</v>
      </c>
      <c r="BL2687" s="2" t="s">
        <v>8552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2480</v>
      </c>
      <c r="BV2687" s="2" t="s">
        <v>97</v>
      </c>
      <c r="BW2687" s="2" t="s">
        <v>100</v>
      </c>
      <c r="BX2687" s="2" t="s">
        <v>100</v>
      </c>
      <c r="BY2687" s="2" t="s">
        <v>113</v>
      </c>
      <c r="BZ2687" s="2" t="s">
        <v>100</v>
      </c>
    </row>
    <row r="2688">
      <c r="A2688" s="2" t="s">
        <v>8553</v>
      </c>
      <c r="B2688" s="2" t="s">
        <v>7711</v>
      </c>
      <c r="C2688" s="2" t="s">
        <v>88</v>
      </c>
      <c r="D2688" s="2" t="s">
        <v>7755</v>
      </c>
      <c r="E2688" s="2" t="s">
        <v>7954</v>
      </c>
      <c r="F2688" s="2" t="s">
        <v>8554</v>
      </c>
      <c r="G2688" s="2" t="s">
        <v>8555</v>
      </c>
      <c r="H2688" s="2" t="s">
        <v>8556</v>
      </c>
      <c r="I2688" s="2" t="s">
        <v>8557</v>
      </c>
      <c r="J2688" s="2" t="s">
        <v>3877</v>
      </c>
      <c r="K2688" s="2" t="s">
        <v>3269</v>
      </c>
      <c r="L2688" s="3">
        <v>131.87</v>
      </c>
      <c r="M2688" s="3">
        <v>138.46</v>
      </c>
      <c r="N2688" s="3">
        <v>279</v>
      </c>
      <c r="O2688" s="2" t="s">
        <v>97</v>
      </c>
      <c r="P2688" s="2" t="s">
        <v>98</v>
      </c>
      <c r="Q2688" s="2" t="s">
        <v>99</v>
      </c>
      <c r="R2688" s="2" t="s">
        <v>100</v>
      </c>
      <c r="S2688" s="2" t="s">
        <v>100</v>
      </c>
      <c r="T2688" s="2" t="s">
        <v>100</v>
      </c>
      <c r="U2688" s="2" t="s">
        <v>1847</v>
      </c>
      <c r="V2688" s="2" t="s">
        <v>146</v>
      </c>
      <c r="W2688" s="2" t="s">
        <v>104</v>
      </c>
      <c r="X2688" s="2" t="s">
        <v>183</v>
      </c>
      <c r="Y2688" s="2" t="s">
        <v>8558</v>
      </c>
      <c r="Z2688" s="4">
        <v>181</v>
      </c>
      <c r="AA2688" s="4">
        <f>=ROUNDDOWN(8.22727272727273,0)</f>
      </c>
      <c r="AB2688" s="5">
        <v>22</v>
      </c>
      <c r="AC2688" s="2" t="s">
        <v>282</v>
      </c>
      <c r="AD2688" s="4">
        <v>230</v>
      </c>
      <c r="AE2688" s="4">
        <v>360</v>
      </c>
      <c r="AF2688" s="6">
        <v>68</v>
      </c>
      <c r="AG2688" s="6">
        <v>51</v>
      </c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/>
      <c r="BJ2688" s="4">
        <v>600</v>
      </c>
      <c r="BK2688" s="8">
        <v>85429.7</v>
      </c>
      <c r="BL2688" s="2" t="s">
        <v>8559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2480</v>
      </c>
      <c r="BV2688" s="2" t="s">
        <v>97</v>
      </c>
      <c r="BW2688" s="2" t="s">
        <v>100</v>
      </c>
      <c r="BX2688" s="2" t="s">
        <v>100</v>
      </c>
      <c r="BY2688" s="2" t="s">
        <v>113</v>
      </c>
      <c r="BZ2688" s="2" t="s">
        <v>100</v>
      </c>
    </row>
    <row r="2689">
      <c r="A2689" s="2" t="s">
        <v>8560</v>
      </c>
      <c r="B2689" s="2" t="s">
        <v>7711</v>
      </c>
      <c r="C2689" s="2" t="s">
        <v>88</v>
      </c>
      <c r="D2689" s="2" t="s">
        <v>7755</v>
      </c>
      <c r="E2689" s="2" t="s">
        <v>7954</v>
      </c>
      <c r="F2689" s="2" t="s">
        <v>8554</v>
      </c>
      <c r="G2689" s="2" t="s">
        <v>8555</v>
      </c>
      <c r="H2689" s="2" t="s">
        <v>8556</v>
      </c>
      <c r="I2689" s="2" t="s">
        <v>8557</v>
      </c>
      <c r="J2689" s="2" t="s">
        <v>3877</v>
      </c>
      <c r="K2689" s="2" t="s">
        <v>2477</v>
      </c>
      <c r="L2689" s="3">
        <v>131.87</v>
      </c>
      <c r="M2689" s="3">
        <v>138.46</v>
      </c>
      <c r="N2689" s="3">
        <v>279</v>
      </c>
      <c r="O2689" s="2" t="s">
        <v>97</v>
      </c>
      <c r="P2689" s="2" t="s">
        <v>119</v>
      </c>
      <c r="Q2689" s="2" t="s">
        <v>99</v>
      </c>
      <c r="R2689" s="2" t="s">
        <v>100</v>
      </c>
      <c r="S2689" s="2" t="s">
        <v>100</v>
      </c>
      <c r="T2689" s="2" t="s">
        <v>100</v>
      </c>
      <c r="U2689" s="2" t="s">
        <v>1847</v>
      </c>
      <c r="V2689" s="2" t="s">
        <v>3188</v>
      </c>
      <c r="W2689" s="2" t="s">
        <v>104</v>
      </c>
      <c r="X2689" s="2" t="s">
        <v>100</v>
      </c>
      <c r="Y2689" s="2" t="s">
        <v>8561</v>
      </c>
      <c r="Z2689" s="4">
        <v>137</v>
      </c>
      <c r="AA2689" s="4">
        <f>=ROUNDDOWN(15.2222222222222,0)</f>
      </c>
      <c r="AB2689" s="5">
        <v>9</v>
      </c>
      <c r="AC2689" s="2" t="s">
        <v>205</v>
      </c>
      <c r="AD2689" s="4">
        <v>100</v>
      </c>
      <c r="AE2689" s="4">
        <v>100</v>
      </c>
      <c r="AF2689" s="6">
        <v>68</v>
      </c>
      <c r="AG2689" s="6">
        <v>51</v>
      </c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/>
      <c r="BJ2689" s="4">
        <v>243</v>
      </c>
      <c r="BK2689" s="8">
        <v>33229.41</v>
      </c>
      <c r="BL2689" s="2" t="s">
        <v>8562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2480</v>
      </c>
      <c r="BV2689" s="2" t="s">
        <v>97</v>
      </c>
      <c r="BW2689" s="2" t="s">
        <v>100</v>
      </c>
      <c r="BX2689" s="2" t="s">
        <v>100</v>
      </c>
      <c r="BY2689" s="2" t="s">
        <v>113</v>
      </c>
      <c r="BZ2689" s="2" t="s">
        <v>100</v>
      </c>
    </row>
    <row r="2690">
      <c r="A2690" s="2" t="s">
        <v>8563</v>
      </c>
      <c r="B2690" s="2" t="s">
        <v>7711</v>
      </c>
      <c r="C2690" s="2" t="s">
        <v>88</v>
      </c>
      <c r="D2690" s="2" t="s">
        <v>7755</v>
      </c>
      <c r="E2690" s="2" t="s">
        <v>7954</v>
      </c>
      <c r="F2690" s="2" t="s">
        <v>8554</v>
      </c>
      <c r="G2690" s="2" t="s">
        <v>8555</v>
      </c>
      <c r="H2690" s="2" t="s">
        <v>8556</v>
      </c>
      <c r="I2690" s="2" t="s">
        <v>8557</v>
      </c>
      <c r="J2690" s="2" t="s">
        <v>3877</v>
      </c>
      <c r="K2690" s="2" t="s">
        <v>3515</v>
      </c>
      <c r="L2690" s="3">
        <v>131.87</v>
      </c>
      <c r="M2690" s="3">
        <v>138.46</v>
      </c>
      <c r="N2690" s="3">
        <v>279</v>
      </c>
      <c r="O2690" s="2" t="s">
        <v>97</v>
      </c>
      <c r="P2690" s="2" t="s">
        <v>119</v>
      </c>
      <c r="Q2690" s="2" t="s">
        <v>99</v>
      </c>
      <c r="R2690" s="2" t="s">
        <v>100</v>
      </c>
      <c r="S2690" s="2" t="s">
        <v>100</v>
      </c>
      <c r="T2690" s="2" t="s">
        <v>100</v>
      </c>
      <c r="U2690" s="2" t="s">
        <v>1847</v>
      </c>
      <c r="V2690" s="2" t="s">
        <v>146</v>
      </c>
      <c r="W2690" s="2" t="s">
        <v>104</v>
      </c>
      <c r="X2690" s="2" t="s">
        <v>100</v>
      </c>
      <c r="Y2690" s="2" t="s">
        <v>2192</v>
      </c>
      <c r="Z2690" s="4">
        <v>799</v>
      </c>
      <c r="AA2690" s="4">
        <f>=ROUNDDOWN(49.9375,0)</f>
      </c>
      <c r="AB2690" s="5">
        <v>16</v>
      </c>
      <c r="AC2690" s="2" t="s">
        <v>100</v>
      </c>
      <c r="AD2690" s="4"/>
      <c r="AE2690" s="4"/>
      <c r="AF2690" s="6">
        <v>68</v>
      </c>
      <c r="AG2690" s="6">
        <v>51</v>
      </c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/>
      <c r="BJ2690" s="4">
        <v>419</v>
      </c>
      <c r="BK2690" s="8">
        <v>59634.59</v>
      </c>
      <c r="BL2690" s="2" t="s">
        <v>8564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2528</v>
      </c>
      <c r="BV2690" s="2" t="s">
        <v>97</v>
      </c>
      <c r="BW2690" s="2" t="s">
        <v>100</v>
      </c>
      <c r="BX2690" s="2" t="s">
        <v>100</v>
      </c>
      <c r="BY2690" s="2" t="s">
        <v>113</v>
      </c>
      <c r="BZ2690" s="2" t="s">
        <v>100</v>
      </c>
    </row>
    <row r="2691">
      <c r="A2691" s="2" t="s">
        <v>8565</v>
      </c>
      <c r="B2691" s="2" t="s">
        <v>7711</v>
      </c>
      <c r="C2691" s="2" t="s">
        <v>88</v>
      </c>
      <c r="D2691" s="2" t="s">
        <v>7755</v>
      </c>
      <c r="E2691" s="2" t="s">
        <v>7954</v>
      </c>
      <c r="F2691" s="2" t="s">
        <v>8566</v>
      </c>
      <c r="G2691" s="2" t="s">
        <v>8567</v>
      </c>
      <c r="H2691" s="2" t="s">
        <v>8568</v>
      </c>
      <c r="I2691" s="2" t="s">
        <v>7954</v>
      </c>
      <c r="J2691" s="2" t="s">
        <v>3877</v>
      </c>
      <c r="K2691" s="2" t="s">
        <v>604</v>
      </c>
      <c r="L2691" s="3">
        <v>190</v>
      </c>
      <c r="M2691" s="3">
        <v>199.5</v>
      </c>
      <c r="N2691" s="3">
        <v>399</v>
      </c>
      <c r="O2691" s="2" t="s">
        <v>97</v>
      </c>
      <c r="P2691" s="2" t="s">
        <v>119</v>
      </c>
      <c r="Q2691" s="2" t="s">
        <v>99</v>
      </c>
      <c r="R2691" s="2" t="s">
        <v>100</v>
      </c>
      <c r="S2691" s="2" t="s">
        <v>100</v>
      </c>
      <c r="T2691" s="2" t="s">
        <v>100</v>
      </c>
      <c r="U2691" s="2" t="s">
        <v>1847</v>
      </c>
      <c r="V2691" s="2" t="s">
        <v>146</v>
      </c>
      <c r="W2691" s="2" t="s">
        <v>561</v>
      </c>
      <c r="X2691" s="2" t="s">
        <v>104</v>
      </c>
      <c r="Y2691" s="2" t="s">
        <v>8334</v>
      </c>
      <c r="Z2691" s="4">
        <v>236</v>
      </c>
      <c r="AA2691" s="4">
        <f>=ROUNDDOWN(18.4375,0)</f>
      </c>
      <c r="AB2691" s="5">
        <v>12.8</v>
      </c>
      <c r="AC2691" s="2" t="s">
        <v>320</v>
      </c>
      <c r="AD2691" s="4">
        <v>200</v>
      </c>
      <c r="AE2691" s="4">
        <v>420</v>
      </c>
      <c r="AF2691" s="6">
        <v>66</v>
      </c>
      <c r="AG2691" s="6">
        <v>49</v>
      </c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/>
      <c r="BD2691" s="8"/>
      <c r="BE2691" s="4"/>
      <c r="BF2691" s="8"/>
      <c r="BG2691" s="7"/>
      <c r="BH2691" s="7"/>
      <c r="BI2691" s="7"/>
      <c r="BJ2691" s="4">
        <v>337</v>
      </c>
      <c r="BK2691" s="8">
        <v>68557.86</v>
      </c>
      <c r="BL2691" s="2" t="s">
        <v>8569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2480</v>
      </c>
      <c r="BV2691" s="2" t="s">
        <v>97</v>
      </c>
      <c r="BW2691" s="2" t="s">
        <v>100</v>
      </c>
      <c r="BX2691" s="2" t="s">
        <v>100</v>
      </c>
      <c r="BY2691" s="2" t="s">
        <v>113</v>
      </c>
      <c r="BZ2691" s="2" t="s">
        <v>100</v>
      </c>
    </row>
    <row r="2692">
      <c r="A2692" s="2" t="s">
        <v>8570</v>
      </c>
      <c r="B2692" s="2" t="s">
        <v>7711</v>
      </c>
      <c r="C2692" s="2" t="s">
        <v>88</v>
      </c>
      <c r="D2692" s="2" t="s">
        <v>7755</v>
      </c>
      <c r="E2692" s="2" t="s">
        <v>7954</v>
      </c>
      <c r="F2692" s="2" t="s">
        <v>8571</v>
      </c>
      <c r="G2692" s="2" t="s">
        <v>8572</v>
      </c>
      <c r="H2692" s="2" t="s">
        <v>8573</v>
      </c>
      <c r="I2692" s="2" t="s">
        <v>8547</v>
      </c>
      <c r="J2692" s="2" t="s">
        <v>3877</v>
      </c>
      <c r="K2692" s="2" t="s">
        <v>604</v>
      </c>
      <c r="L2692" s="3">
        <v>165</v>
      </c>
      <c r="M2692" s="3">
        <v>173.25</v>
      </c>
      <c r="N2692" s="3">
        <v>349</v>
      </c>
      <c r="O2692" s="2" t="s">
        <v>97</v>
      </c>
      <c r="P2692" s="2" t="s">
        <v>119</v>
      </c>
      <c r="Q2692" s="2" t="s">
        <v>99</v>
      </c>
      <c r="R2692" s="2" t="s">
        <v>100</v>
      </c>
      <c r="S2692" s="2" t="s">
        <v>100</v>
      </c>
      <c r="T2692" s="2" t="s">
        <v>100</v>
      </c>
      <c r="U2692" s="2" t="s">
        <v>1847</v>
      </c>
      <c r="V2692" s="2" t="s">
        <v>146</v>
      </c>
      <c r="W2692" s="2" t="s">
        <v>104</v>
      </c>
      <c r="X2692" s="2" t="s">
        <v>561</v>
      </c>
      <c r="Y2692" s="2" t="s">
        <v>8574</v>
      </c>
      <c r="Z2692" s="4">
        <v>160</v>
      </c>
      <c r="AA2692" s="4">
        <f>=ROUNDDOWN(13.3333333333333,0)</f>
      </c>
      <c r="AB2692" s="5">
        <v>12</v>
      </c>
      <c r="AC2692" s="2" t="s">
        <v>1035</v>
      </c>
      <c r="AD2692" s="4">
        <v>157</v>
      </c>
      <c r="AE2692" s="4">
        <v>165</v>
      </c>
      <c r="AF2692" s="6">
        <v>69</v>
      </c>
      <c r="AG2692" s="6">
        <v>52</v>
      </c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/>
      <c r="BD2692" s="8"/>
      <c r="BE2692" s="4"/>
      <c r="BF2692" s="8"/>
      <c r="BG2692" s="7"/>
      <c r="BH2692" s="7"/>
      <c r="BI2692" s="7"/>
      <c r="BJ2692" s="4">
        <v>309</v>
      </c>
      <c r="BK2692" s="8">
        <v>50765.13</v>
      </c>
      <c r="BL2692" s="2" t="s">
        <v>8575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2480</v>
      </c>
      <c r="BV2692" s="2" t="s">
        <v>97</v>
      </c>
      <c r="BW2692" s="2" t="s">
        <v>100</v>
      </c>
      <c r="BX2692" s="2" t="s">
        <v>100</v>
      </c>
      <c r="BY2692" s="2" t="s">
        <v>113</v>
      </c>
      <c r="BZ2692" s="2" t="s">
        <v>100</v>
      </c>
    </row>
    <row r="2693">
      <c r="A2693" s="2" t="s">
        <v>8576</v>
      </c>
      <c r="B2693" s="2" t="s">
        <v>7711</v>
      </c>
      <c r="C2693" s="2" t="s">
        <v>88</v>
      </c>
      <c r="D2693" s="2" t="s">
        <v>7755</v>
      </c>
      <c r="E2693" s="2" t="s">
        <v>7954</v>
      </c>
      <c r="F2693" s="2" t="s">
        <v>8577</v>
      </c>
      <c r="G2693" s="2" t="s">
        <v>8578</v>
      </c>
      <c r="H2693" s="2" t="s">
        <v>8579</v>
      </c>
      <c r="I2693" s="2" t="s">
        <v>8580</v>
      </c>
      <c r="J2693" s="2" t="s">
        <v>3877</v>
      </c>
      <c r="K2693" s="2" t="s">
        <v>604</v>
      </c>
      <c r="L2693" s="3">
        <v>190</v>
      </c>
      <c r="M2693" s="3">
        <v>199.5</v>
      </c>
      <c r="N2693" s="3">
        <v>399</v>
      </c>
      <c r="O2693" s="2" t="s">
        <v>97</v>
      </c>
      <c r="P2693" s="2" t="s">
        <v>119</v>
      </c>
      <c r="Q2693" s="2" t="s">
        <v>99</v>
      </c>
      <c r="R2693" s="2" t="s">
        <v>100</v>
      </c>
      <c r="S2693" s="2" t="s">
        <v>100</v>
      </c>
      <c r="T2693" s="2" t="s">
        <v>100</v>
      </c>
      <c r="U2693" s="2" t="s">
        <v>1847</v>
      </c>
      <c r="V2693" s="2" t="s">
        <v>146</v>
      </c>
      <c r="W2693" s="2" t="s">
        <v>104</v>
      </c>
      <c r="X2693" s="2" t="s">
        <v>100</v>
      </c>
      <c r="Y2693" s="2" t="s">
        <v>5674</v>
      </c>
      <c r="Z2693" s="4">
        <v>182</v>
      </c>
      <c r="AA2693" s="4">
        <f>=ROUNDDOWN(56.875,0)</f>
      </c>
      <c r="AB2693" s="5">
        <v>3.2</v>
      </c>
      <c r="AC2693" s="2" t="s">
        <v>100</v>
      </c>
      <c r="AD2693" s="4"/>
      <c r="AE2693" s="4"/>
      <c r="AF2693" s="6">
        <v>66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0.2995</v>
      </c>
      <c r="AP2693" s="4"/>
      <c r="AQ2693" s="8"/>
      <c r="AR2693" s="4"/>
      <c r="AS2693" s="8"/>
      <c r="AT2693" s="7"/>
      <c r="AU2693" s="7"/>
      <c r="AV2693" s="4"/>
      <c r="AW2693" s="8"/>
      <c r="AX2693" s="4"/>
      <c r="AY2693" s="8"/>
      <c r="AZ2693" s="7"/>
      <c r="BA2693" s="7"/>
      <c r="BB2693" s="7"/>
      <c r="BC2693" s="4"/>
      <c r="BD2693" s="8"/>
      <c r="BE2693" s="4"/>
      <c r="BF2693" s="8"/>
      <c r="BG2693" s="7"/>
      <c r="BH2693" s="7"/>
      <c r="BI2693" s="7"/>
      <c r="BJ2693" s="4">
        <v>127</v>
      </c>
      <c r="BK2693" s="8">
        <v>19567.91</v>
      </c>
      <c r="BL2693" s="2" t="s">
        <v>8581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2480</v>
      </c>
      <c r="BV2693" s="2" t="s">
        <v>97</v>
      </c>
      <c r="BW2693" s="2" t="s">
        <v>100</v>
      </c>
      <c r="BX2693" s="2" t="s">
        <v>100</v>
      </c>
      <c r="BY2693" s="2" t="s">
        <v>113</v>
      </c>
      <c r="BZ2693" s="2" t="s">
        <v>100</v>
      </c>
    </row>
    <row r="2694">
      <c r="A2694" s="2" t="s">
        <v>8582</v>
      </c>
      <c r="B2694" s="2" t="s">
        <v>7711</v>
      </c>
      <c r="C2694" s="2" t="s">
        <v>88</v>
      </c>
      <c r="D2694" s="2" t="s">
        <v>7755</v>
      </c>
      <c r="E2694" s="2" t="s">
        <v>7954</v>
      </c>
      <c r="F2694" s="2" t="s">
        <v>8583</v>
      </c>
      <c r="G2694" s="2" t="s">
        <v>8584</v>
      </c>
      <c r="H2694" s="2" t="s">
        <v>8585</v>
      </c>
      <c r="I2694" s="2" t="s">
        <v>8586</v>
      </c>
      <c r="J2694" s="2" t="s">
        <v>3877</v>
      </c>
      <c r="K2694" s="2" t="s">
        <v>118</v>
      </c>
      <c r="L2694" s="3">
        <v>162</v>
      </c>
      <c r="M2694" s="3">
        <v>170.1</v>
      </c>
      <c r="N2694" s="3">
        <v>349</v>
      </c>
      <c r="O2694" s="2" t="s">
        <v>97</v>
      </c>
      <c r="P2694" s="2" t="s">
        <v>119</v>
      </c>
      <c r="Q2694" s="2" t="s">
        <v>99</v>
      </c>
      <c r="R2694" s="2" t="s">
        <v>100</v>
      </c>
      <c r="S2694" s="2" t="s">
        <v>100</v>
      </c>
      <c r="T2694" s="2" t="s">
        <v>100</v>
      </c>
      <c r="U2694" s="2" t="s">
        <v>1847</v>
      </c>
      <c r="V2694" s="2" t="s">
        <v>3188</v>
      </c>
      <c r="W2694" s="2" t="s">
        <v>104</v>
      </c>
      <c r="X2694" s="2" t="s">
        <v>100</v>
      </c>
      <c r="Y2694" s="2" t="s">
        <v>7130</v>
      </c>
      <c r="Z2694" s="4">
        <v>378</v>
      </c>
      <c r="AA2694" s="4">
        <f>=ROUNDDOWN(48.4615384615385,0)</f>
      </c>
      <c r="AB2694" s="5">
        <v>7.8</v>
      </c>
      <c r="AC2694" s="2" t="s">
        <v>100</v>
      </c>
      <c r="AD2694" s="4"/>
      <c r="AE2694" s="4"/>
      <c r="AF2694" s="6">
        <v>66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/>
      <c r="BJ2694" s="4">
        <v>268</v>
      </c>
      <c r="BK2694" s="8">
        <v>39347.59</v>
      </c>
      <c r="BL2694" s="2" t="s">
        <v>8587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2480</v>
      </c>
      <c r="BV2694" s="2" t="s">
        <v>97</v>
      </c>
      <c r="BW2694" s="2" t="s">
        <v>100</v>
      </c>
      <c r="BX2694" s="2" t="s">
        <v>100</v>
      </c>
      <c r="BY2694" s="2" t="s">
        <v>113</v>
      </c>
      <c r="BZ2694" s="2" t="s">
        <v>100</v>
      </c>
    </row>
    <row r="2695">
      <c r="A2695" s="2" t="s">
        <v>8588</v>
      </c>
      <c r="B2695" s="2" t="s">
        <v>7711</v>
      </c>
      <c r="C2695" s="2" t="s">
        <v>88</v>
      </c>
      <c r="D2695" s="2" t="s">
        <v>7755</v>
      </c>
      <c r="E2695" s="2" t="s">
        <v>7954</v>
      </c>
      <c r="F2695" s="2" t="s">
        <v>8583</v>
      </c>
      <c r="G2695" s="2" t="s">
        <v>8584</v>
      </c>
      <c r="H2695" s="2" t="s">
        <v>8585</v>
      </c>
      <c r="I2695" s="2" t="s">
        <v>8586</v>
      </c>
      <c r="J2695" s="2" t="s">
        <v>3877</v>
      </c>
      <c r="K2695" s="2" t="s">
        <v>198</v>
      </c>
      <c r="L2695" s="3">
        <v>162</v>
      </c>
      <c r="M2695" s="3">
        <v>170.1</v>
      </c>
      <c r="N2695" s="3">
        <v>349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8589</v>
      </c>
      <c r="T2695" s="2" t="s">
        <v>100</v>
      </c>
      <c r="U2695" s="2" t="s">
        <v>1847</v>
      </c>
      <c r="V2695" s="2" t="s">
        <v>146</v>
      </c>
      <c r="W2695" s="2" t="s">
        <v>104</v>
      </c>
      <c r="X2695" s="2" t="s">
        <v>100</v>
      </c>
      <c r="Y2695" s="2" t="s">
        <v>8590</v>
      </c>
      <c r="Z2695" s="4">
        <v>146</v>
      </c>
      <c r="AA2695" s="4">
        <f>=ROUNDDOWN(36.5,0)</f>
      </c>
      <c r="AB2695" s="5">
        <v>4</v>
      </c>
      <c r="AC2695" s="2" t="s">
        <v>1191</v>
      </c>
      <c r="AD2695" s="4">
        <v>100</v>
      </c>
      <c r="AE2695" s="4">
        <v>200</v>
      </c>
      <c r="AF2695" s="6">
        <v>66</v>
      </c>
      <c r="AG2695" s="6">
        <v>49</v>
      </c>
      <c r="AH2695" s="7">
        <v>1</v>
      </c>
      <c r="AI2695" s="4"/>
      <c r="AJ2695" s="4">
        <f>=ROUNDDOWN({0},0)</f>
      </c>
      <c r="AK2695" s="5">
        <v>38.3</v>
      </c>
      <c r="AL2695" s="2" t="s">
        <v>100</v>
      </c>
      <c r="AM2695" s="4"/>
      <c r="AN2695" s="4"/>
      <c r="AO2695" s="7">
        <v>0.4332</v>
      </c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/>
      <c r="BJ2695" s="4">
        <v>583</v>
      </c>
      <c r="BK2695" s="8">
        <v>86505.64</v>
      </c>
      <c r="BL2695" s="2" t="s">
        <v>8591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2480</v>
      </c>
      <c r="BV2695" s="2" t="s">
        <v>97</v>
      </c>
      <c r="BW2695" s="2" t="s">
        <v>100</v>
      </c>
      <c r="BX2695" s="2" t="s">
        <v>100</v>
      </c>
      <c r="BY2695" s="2" t="s">
        <v>113</v>
      </c>
      <c r="BZ2695" s="2" t="s">
        <v>100</v>
      </c>
    </row>
    <row r="2696">
      <c r="A2696" s="2" t="s">
        <v>8592</v>
      </c>
      <c r="B2696" s="2" t="s">
        <v>7711</v>
      </c>
      <c r="C2696" s="2" t="s">
        <v>88</v>
      </c>
      <c r="D2696" s="2" t="s">
        <v>7755</v>
      </c>
      <c r="E2696" s="2" t="s">
        <v>7954</v>
      </c>
      <c r="F2696" s="2" t="s">
        <v>8583</v>
      </c>
      <c r="G2696" s="2" t="s">
        <v>8584</v>
      </c>
      <c r="H2696" s="2" t="s">
        <v>8585</v>
      </c>
      <c r="I2696" s="2" t="s">
        <v>8586</v>
      </c>
      <c r="J2696" s="2" t="s">
        <v>3877</v>
      </c>
      <c r="K2696" s="2" t="s">
        <v>5293</v>
      </c>
      <c r="L2696" s="3">
        <v>162</v>
      </c>
      <c r="M2696" s="3">
        <v>170.1</v>
      </c>
      <c r="N2696" s="3">
        <v>349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100</v>
      </c>
      <c r="T2696" s="2" t="s">
        <v>100</v>
      </c>
      <c r="U2696" s="2" t="s">
        <v>1847</v>
      </c>
      <c r="V2696" s="2" t="s">
        <v>146</v>
      </c>
      <c r="W2696" s="2" t="s">
        <v>104</v>
      </c>
      <c r="X2696" s="2" t="s">
        <v>100</v>
      </c>
      <c r="Y2696" s="2" t="s">
        <v>8548</v>
      </c>
      <c r="Z2696" s="4">
        <v>253</v>
      </c>
      <c r="AA2696" s="4">
        <f>=ROUNDDOWN(30.8536585365854,0)</f>
      </c>
      <c r="AB2696" s="5">
        <v>8.2</v>
      </c>
      <c r="AC2696" s="2" t="s">
        <v>2681</v>
      </c>
      <c r="AD2696" s="4">
        <v>100</v>
      </c>
      <c r="AE2696" s="4">
        <v>100</v>
      </c>
      <c r="AF2696" s="6">
        <v>66</v>
      </c>
      <c r="AG2696" s="6">
        <v>49</v>
      </c>
      <c r="AH2696" s="7">
        <v>1</v>
      </c>
      <c r="AI2696" s="4"/>
      <c r="AJ2696" s="4">
        <f>=ROUNDDOWN({0},0)</f>
      </c>
      <c r="AK2696" s="5">
        <v>30.2</v>
      </c>
      <c r="AL2696" s="2" t="s">
        <v>100</v>
      </c>
      <c r="AM2696" s="4"/>
      <c r="AN2696" s="4"/>
      <c r="AO2696" s="7">
        <v>0.4332</v>
      </c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/>
      <c r="BJ2696" s="4">
        <v>580</v>
      </c>
      <c r="BK2696" s="8">
        <v>88864.64</v>
      </c>
      <c r="BL2696" s="2" t="s">
        <v>8593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2480</v>
      </c>
      <c r="BV2696" s="2" t="s">
        <v>97</v>
      </c>
      <c r="BW2696" s="2" t="s">
        <v>100</v>
      </c>
      <c r="BX2696" s="2" t="s">
        <v>100</v>
      </c>
      <c r="BY2696" s="2" t="s">
        <v>113</v>
      </c>
      <c r="BZ2696" s="2" t="s">
        <v>100</v>
      </c>
    </row>
    <row r="2697">
      <c r="A2697" s="2" t="s">
        <v>8594</v>
      </c>
      <c r="B2697" s="2" t="s">
        <v>7711</v>
      </c>
      <c r="C2697" s="2" t="s">
        <v>88</v>
      </c>
      <c r="D2697" s="2" t="s">
        <v>7963</v>
      </c>
      <c r="E2697" s="2" t="s">
        <v>7964</v>
      </c>
      <c r="F2697" s="2" t="s">
        <v>8595</v>
      </c>
      <c r="G2697" s="2" t="s">
        <v>8596</v>
      </c>
      <c r="H2697" s="2" t="s">
        <v>8597</v>
      </c>
      <c r="I2697" s="2" t="s">
        <v>8598</v>
      </c>
      <c r="J2697" s="2" t="s">
        <v>3877</v>
      </c>
      <c r="K2697" s="2" t="s">
        <v>913</v>
      </c>
      <c r="L2697" s="3">
        <v>430</v>
      </c>
      <c r="M2697" s="3">
        <v>451.5</v>
      </c>
      <c r="N2697" s="3">
        <v>899</v>
      </c>
      <c r="O2697" s="2" t="s">
        <v>97</v>
      </c>
      <c r="P2697" s="2" t="s">
        <v>119</v>
      </c>
      <c r="Q2697" s="2" t="s">
        <v>99</v>
      </c>
      <c r="R2697" s="2" t="s">
        <v>100</v>
      </c>
      <c r="S2697" s="2" t="s">
        <v>100</v>
      </c>
      <c r="T2697" s="2" t="s">
        <v>100</v>
      </c>
      <c r="U2697" s="2" t="s">
        <v>1847</v>
      </c>
      <c r="V2697" s="2" t="s">
        <v>3188</v>
      </c>
      <c r="W2697" s="2" t="s">
        <v>104</v>
      </c>
      <c r="X2697" s="2" t="s">
        <v>673</v>
      </c>
      <c r="Y2697" s="2" t="s">
        <v>8599</v>
      </c>
      <c r="Z2697" s="4">
        <v>120</v>
      </c>
      <c r="AA2697" s="4">
        <f>=ROUNDDOWN(21.0526315789474,0)</f>
      </c>
      <c r="AB2697" s="5">
        <v>5.7</v>
      </c>
      <c r="AC2697" s="2" t="s">
        <v>356</v>
      </c>
      <c r="AD2697" s="4">
        <v>190</v>
      </c>
      <c r="AE2697" s="4">
        <v>265</v>
      </c>
      <c r="AF2697" s="6">
        <v>74</v>
      </c>
      <c r="AG2697" s="6"/>
      <c r="AH2697" s="7">
        <v>0.8556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/>
      <c r="BD2697" s="8"/>
      <c r="BE2697" s="4"/>
      <c r="BF2697" s="8"/>
      <c r="BG2697" s="7"/>
      <c r="BH2697" s="7"/>
      <c r="BI2697" s="7"/>
      <c r="BJ2697" s="4">
        <v>147</v>
      </c>
      <c r="BK2697" s="8">
        <v>67074.86</v>
      </c>
      <c r="BL2697" s="2" t="s">
        <v>8600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2480</v>
      </c>
      <c r="BV2697" s="2" t="s">
        <v>97</v>
      </c>
      <c r="BW2697" s="2" t="s">
        <v>100</v>
      </c>
      <c r="BX2697" s="2" t="s">
        <v>100</v>
      </c>
      <c r="BY2697" s="2" t="s">
        <v>113</v>
      </c>
      <c r="BZ2697" s="2" t="s">
        <v>100</v>
      </c>
    </row>
    <row r="2698">
      <c r="A2698" s="2" t="s">
        <v>8601</v>
      </c>
      <c r="B2698" s="2" t="s">
        <v>7711</v>
      </c>
      <c r="C2698" s="2" t="s">
        <v>88</v>
      </c>
      <c r="D2698" s="2" t="s">
        <v>8602</v>
      </c>
      <c r="E2698" s="2" t="s">
        <v>8603</v>
      </c>
      <c r="F2698" s="2" t="s">
        <v>1870</v>
      </c>
      <c r="G2698" s="2" t="s">
        <v>8604</v>
      </c>
      <c r="H2698" s="2" t="s">
        <v>8605</v>
      </c>
      <c r="I2698" s="2" t="s">
        <v>8606</v>
      </c>
      <c r="J2698" s="2" t="s">
        <v>3877</v>
      </c>
      <c r="K2698" s="2" t="s">
        <v>8607</v>
      </c>
      <c r="L2698" s="3">
        <v>180</v>
      </c>
      <c r="M2698" s="3">
        <v>189</v>
      </c>
      <c r="N2698" s="3">
        <v>379</v>
      </c>
      <c r="O2698" s="2" t="s">
        <v>97</v>
      </c>
      <c r="P2698" s="2" t="s">
        <v>119</v>
      </c>
      <c r="Q2698" s="2" t="s">
        <v>99</v>
      </c>
      <c r="R2698" s="2" t="s">
        <v>100</v>
      </c>
      <c r="S2698" s="2" t="s">
        <v>100</v>
      </c>
      <c r="T2698" s="2" t="s">
        <v>100</v>
      </c>
      <c r="U2698" s="2" t="s">
        <v>1847</v>
      </c>
      <c r="V2698" s="2" t="s">
        <v>146</v>
      </c>
      <c r="W2698" s="2" t="s">
        <v>1580</v>
      </c>
      <c r="X2698" s="2" t="s">
        <v>561</v>
      </c>
      <c r="Y2698" s="2" t="s">
        <v>8608</v>
      </c>
      <c r="Z2698" s="4">
        <v>66</v>
      </c>
      <c r="AA2698" s="4">
        <f>=ROUNDDOWN(8.25,0)</f>
      </c>
      <c r="AB2698" s="5">
        <v>8</v>
      </c>
      <c r="AC2698" s="2" t="s">
        <v>271</v>
      </c>
      <c r="AD2698" s="4">
        <v>126</v>
      </c>
      <c r="AE2698" s="4">
        <v>226</v>
      </c>
      <c r="AF2698" s="6">
        <v>74</v>
      </c>
      <c r="AG2698" s="6">
        <v>60</v>
      </c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/>
      <c r="BJ2698" s="4">
        <v>232</v>
      </c>
      <c r="BK2698" s="8">
        <v>41810.27</v>
      </c>
      <c r="BL2698" s="2" t="s">
        <v>8609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2480</v>
      </c>
      <c r="BV2698" s="2" t="s">
        <v>97</v>
      </c>
      <c r="BW2698" s="2" t="s">
        <v>100</v>
      </c>
      <c r="BX2698" s="2" t="s">
        <v>100</v>
      </c>
      <c r="BY2698" s="2" t="s">
        <v>113</v>
      </c>
      <c r="BZ2698" s="2" t="s">
        <v>100</v>
      </c>
    </row>
    <row r="2699">
      <c r="A2699" s="2" t="s">
        <v>8610</v>
      </c>
      <c r="B2699" s="2" t="s">
        <v>7711</v>
      </c>
      <c r="C2699" s="2" t="s">
        <v>88</v>
      </c>
      <c r="D2699" s="2" t="s">
        <v>8602</v>
      </c>
      <c r="E2699" s="2" t="s">
        <v>8603</v>
      </c>
      <c r="F2699" s="2" t="s">
        <v>1870</v>
      </c>
      <c r="G2699" s="2" t="s">
        <v>8604</v>
      </c>
      <c r="H2699" s="2" t="s">
        <v>8605</v>
      </c>
      <c r="I2699" s="2" t="s">
        <v>8606</v>
      </c>
      <c r="J2699" s="2" t="s">
        <v>3877</v>
      </c>
      <c r="K2699" s="2" t="s">
        <v>8611</v>
      </c>
      <c r="L2699" s="3">
        <v>180</v>
      </c>
      <c r="M2699" s="3">
        <v>189</v>
      </c>
      <c r="N2699" s="3">
        <v>379</v>
      </c>
      <c r="O2699" s="2" t="s">
        <v>97</v>
      </c>
      <c r="P2699" s="2" t="s">
        <v>372</v>
      </c>
      <c r="Q2699" s="2" t="s">
        <v>99</v>
      </c>
      <c r="R2699" s="2" t="s">
        <v>100</v>
      </c>
      <c r="S2699" s="2" t="s">
        <v>8612</v>
      </c>
      <c r="T2699" s="2" t="s">
        <v>100</v>
      </c>
      <c r="U2699" s="2" t="s">
        <v>100</v>
      </c>
      <c r="V2699" s="2" t="s">
        <v>146</v>
      </c>
      <c r="W2699" s="2" t="s">
        <v>1580</v>
      </c>
      <c r="X2699" s="2" t="s">
        <v>100</v>
      </c>
      <c r="Y2699" s="2" t="s">
        <v>240</v>
      </c>
      <c r="Z2699" s="4">
        <v>100</v>
      </c>
      <c r="AA2699" s="4">
        <f>=ROUNDDOWN(6.89655172413793,0)</f>
      </c>
      <c r="AB2699" s="5">
        <v>14.5</v>
      </c>
      <c r="AC2699" s="2" t="s">
        <v>266</v>
      </c>
      <c r="AD2699" s="4">
        <v>258</v>
      </c>
      <c r="AE2699" s="4">
        <v>412</v>
      </c>
      <c r="AF2699" s="6">
        <v>74</v>
      </c>
      <c r="AG2699" s="6">
        <v>60</v>
      </c>
      <c r="AH2699" s="7">
        <v>0.9572</v>
      </c>
      <c r="AI2699" s="4"/>
      <c r="AJ2699" s="4">
        <f>=ROUNDDOWN({0},0)</f>
      </c>
      <c r="AK2699" s="5">
        <v>30.2</v>
      </c>
      <c r="AL2699" s="2" t="s">
        <v>977</v>
      </c>
      <c r="AM2699" s="4">
        <v>166</v>
      </c>
      <c r="AN2699" s="4">
        <v>206</v>
      </c>
      <c r="AO2699" s="7">
        <v>0.2995</v>
      </c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/>
      <c r="BJ2699" s="4">
        <v>495</v>
      </c>
      <c r="BK2699" s="8">
        <v>82103.82</v>
      </c>
      <c r="BL2699" s="2" t="s">
        <v>8613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2480</v>
      </c>
      <c r="BV2699" s="2" t="s">
        <v>97</v>
      </c>
      <c r="BW2699" s="2" t="s">
        <v>100</v>
      </c>
      <c r="BX2699" s="2" t="s">
        <v>100</v>
      </c>
      <c r="BY2699" s="2" t="s">
        <v>113</v>
      </c>
      <c r="BZ2699" s="2" t="s">
        <v>100</v>
      </c>
    </row>
    <row r="2700">
      <c r="A2700" s="2" t="s">
        <v>8614</v>
      </c>
      <c r="B2700" s="2" t="s">
        <v>7711</v>
      </c>
      <c r="C2700" s="2" t="s">
        <v>88</v>
      </c>
      <c r="D2700" s="2" t="s">
        <v>8615</v>
      </c>
      <c r="E2700" s="2" t="s">
        <v>8616</v>
      </c>
      <c r="F2700" s="2" t="s">
        <v>1870</v>
      </c>
      <c r="G2700" s="2" t="s">
        <v>8604</v>
      </c>
      <c r="H2700" s="2" t="s">
        <v>8605</v>
      </c>
      <c r="I2700" s="2" t="s">
        <v>8616</v>
      </c>
      <c r="J2700" s="2" t="s">
        <v>3877</v>
      </c>
      <c r="K2700" s="2" t="s">
        <v>8611</v>
      </c>
      <c r="L2700" s="3">
        <v>166.32</v>
      </c>
      <c r="M2700" s="3">
        <v>174.64</v>
      </c>
      <c r="N2700" s="3">
        <v>349</v>
      </c>
      <c r="O2700" s="2" t="s">
        <v>97</v>
      </c>
      <c r="P2700" s="2" t="s">
        <v>119</v>
      </c>
      <c r="Q2700" s="2" t="s">
        <v>99</v>
      </c>
      <c r="R2700" s="2" t="s">
        <v>100</v>
      </c>
      <c r="S2700" s="2" t="s">
        <v>8617</v>
      </c>
      <c r="T2700" s="2" t="s">
        <v>100</v>
      </c>
      <c r="U2700" s="2" t="s">
        <v>100</v>
      </c>
      <c r="V2700" s="2" t="s">
        <v>146</v>
      </c>
      <c r="W2700" s="2" t="s">
        <v>1580</v>
      </c>
      <c r="X2700" s="2" t="s">
        <v>100</v>
      </c>
      <c r="Y2700" s="2" t="s">
        <v>240</v>
      </c>
      <c r="Z2700" s="4">
        <v>120</v>
      </c>
      <c r="AA2700" s="4">
        <f>=ROUNDDOWN(15,0)</f>
      </c>
      <c r="AB2700" s="5">
        <v>8</v>
      </c>
      <c r="AC2700" s="2" t="s">
        <v>608</v>
      </c>
      <c r="AD2700" s="4">
        <v>150</v>
      </c>
      <c r="AE2700" s="4">
        <v>150</v>
      </c>
      <c r="AF2700" s="6">
        <v>74</v>
      </c>
      <c r="AG2700" s="6">
        <v>60</v>
      </c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/>
      <c r="BD2700" s="8"/>
      <c r="BE2700" s="4"/>
      <c r="BF2700" s="8"/>
      <c r="BG2700" s="7"/>
      <c r="BH2700" s="7"/>
      <c r="BI2700" s="7"/>
      <c r="BJ2700" s="4">
        <v>204</v>
      </c>
      <c r="BK2700" s="8">
        <v>31744.12</v>
      </c>
      <c r="BL2700" s="2" t="s">
        <v>7899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2480</v>
      </c>
      <c r="BV2700" s="2" t="s">
        <v>97</v>
      </c>
      <c r="BW2700" s="2" t="s">
        <v>100</v>
      </c>
      <c r="BX2700" s="2" t="s">
        <v>100</v>
      </c>
      <c r="BY2700" s="2" t="s">
        <v>113</v>
      </c>
      <c r="BZ2700" s="2" t="s">
        <v>100</v>
      </c>
    </row>
    <row r="2701">
      <c r="A2701" s="2" t="s">
        <v>8618</v>
      </c>
      <c r="B2701" s="2" t="s">
        <v>7711</v>
      </c>
      <c r="C2701" s="2" t="s">
        <v>88</v>
      </c>
      <c r="D2701" s="2" t="s">
        <v>7762</v>
      </c>
      <c r="E2701" s="2" t="s">
        <v>7763</v>
      </c>
      <c r="F2701" s="2" t="s">
        <v>8619</v>
      </c>
      <c r="G2701" s="2" t="s">
        <v>8620</v>
      </c>
      <c r="H2701" s="2" t="s">
        <v>8621</v>
      </c>
      <c r="I2701" s="2" t="s">
        <v>8622</v>
      </c>
      <c r="J2701" s="2" t="s">
        <v>3877</v>
      </c>
      <c r="K2701" s="2" t="s">
        <v>1172</v>
      </c>
      <c r="L2701" s="3">
        <v>285.2</v>
      </c>
      <c r="M2701" s="3">
        <v>299.46</v>
      </c>
      <c r="N2701" s="3">
        <v>599</v>
      </c>
      <c r="O2701" s="2" t="s">
        <v>97</v>
      </c>
      <c r="P2701" s="2" t="s">
        <v>119</v>
      </c>
      <c r="Q2701" s="2" t="s">
        <v>99</v>
      </c>
      <c r="R2701" s="2" t="s">
        <v>100</v>
      </c>
      <c r="S2701" s="2" t="s">
        <v>100</v>
      </c>
      <c r="T2701" s="2" t="s">
        <v>100</v>
      </c>
      <c r="U2701" s="2" t="s">
        <v>514</v>
      </c>
      <c r="V2701" s="2" t="s">
        <v>3188</v>
      </c>
      <c r="W2701" s="2" t="s">
        <v>104</v>
      </c>
      <c r="X2701" s="2" t="s">
        <v>100</v>
      </c>
      <c r="Y2701" s="2" t="s">
        <v>8623</v>
      </c>
      <c r="Z2701" s="4">
        <v>154</v>
      </c>
      <c r="AA2701" s="4">
        <f>=ROUNDDOWN(25.6666666666667,0)</f>
      </c>
      <c r="AB2701" s="5">
        <v>6</v>
      </c>
      <c r="AC2701" s="2" t="s">
        <v>320</v>
      </c>
      <c r="AD2701" s="4">
        <v>100</v>
      </c>
      <c r="AE2701" s="4">
        <v>100</v>
      </c>
      <c r="AF2701" s="6">
        <v>69</v>
      </c>
      <c r="AG2701" s="6">
        <v>52</v>
      </c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/>
      <c r="BD2701" s="8"/>
      <c r="BE2701" s="4"/>
      <c r="BF2701" s="8"/>
      <c r="BG2701" s="7"/>
      <c r="BH2701" s="7"/>
      <c r="BI2701" s="7"/>
      <c r="BJ2701" s="4">
        <v>162</v>
      </c>
      <c r="BK2701" s="8">
        <v>41629.82</v>
      </c>
      <c r="BL2701" s="2" t="s">
        <v>8624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2480</v>
      </c>
      <c r="BV2701" s="2" t="s">
        <v>97</v>
      </c>
      <c r="BW2701" s="2" t="s">
        <v>100</v>
      </c>
      <c r="BX2701" s="2" t="s">
        <v>100</v>
      </c>
      <c r="BY2701" s="2" t="s">
        <v>113</v>
      </c>
      <c r="BZ2701" s="2" t="s">
        <v>100</v>
      </c>
    </row>
    <row r="2702">
      <c r="A2702" s="2" t="s">
        <v>8625</v>
      </c>
      <c r="B2702" s="2" t="s">
        <v>7711</v>
      </c>
      <c r="C2702" s="2" t="s">
        <v>88</v>
      </c>
      <c r="D2702" s="2" t="s">
        <v>7762</v>
      </c>
      <c r="E2702" s="2" t="s">
        <v>7763</v>
      </c>
      <c r="F2702" s="2" t="s">
        <v>8626</v>
      </c>
      <c r="G2702" s="2" t="s">
        <v>8627</v>
      </c>
      <c r="H2702" s="2" t="s">
        <v>8628</v>
      </c>
      <c r="I2702" s="2" t="s">
        <v>8629</v>
      </c>
      <c r="J2702" s="2" t="s">
        <v>3877</v>
      </c>
      <c r="K2702" s="2" t="s">
        <v>858</v>
      </c>
      <c r="L2702" s="3">
        <v>125.4</v>
      </c>
      <c r="M2702" s="3">
        <v>131.67</v>
      </c>
      <c r="N2702" s="3">
        <v>259</v>
      </c>
      <c r="O2702" s="2" t="s">
        <v>97</v>
      </c>
      <c r="P2702" s="2" t="s">
        <v>119</v>
      </c>
      <c r="Q2702" s="2" t="s">
        <v>99</v>
      </c>
      <c r="R2702" s="2" t="s">
        <v>100</v>
      </c>
      <c r="S2702" s="2" t="s">
        <v>8630</v>
      </c>
      <c r="T2702" s="2" t="s">
        <v>100</v>
      </c>
      <c r="U2702" s="2" t="s">
        <v>100</v>
      </c>
      <c r="V2702" s="2" t="s">
        <v>146</v>
      </c>
      <c r="W2702" s="2" t="s">
        <v>561</v>
      </c>
      <c r="X2702" s="2" t="s">
        <v>100</v>
      </c>
      <c r="Y2702" s="2" t="s">
        <v>240</v>
      </c>
      <c r="Z2702" s="4">
        <v>233</v>
      </c>
      <c r="AA2702" s="4">
        <f>=ROUNDDOWN(23.3,0)</f>
      </c>
      <c r="AB2702" s="5">
        <v>10</v>
      </c>
      <c r="AC2702" s="2" t="s">
        <v>1516</v>
      </c>
      <c r="AD2702" s="4">
        <v>120</v>
      </c>
      <c r="AE2702" s="4">
        <v>120</v>
      </c>
      <c r="AF2702" s="6">
        <v>68</v>
      </c>
      <c r="AG2702" s="6">
        <v>51</v>
      </c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>
        <v>260</v>
      </c>
      <c r="BK2702" s="8">
        <v>29064.33</v>
      </c>
      <c r="BL2702" s="2" t="s">
        <v>8631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2480</v>
      </c>
      <c r="BV2702" s="2" t="s">
        <v>97</v>
      </c>
      <c r="BW2702" s="2" t="s">
        <v>100</v>
      </c>
      <c r="BX2702" s="2" t="s">
        <v>100</v>
      </c>
      <c r="BY2702" s="2" t="s">
        <v>113</v>
      </c>
      <c r="BZ2702" s="2" t="s">
        <v>100</v>
      </c>
    </row>
    <row r="2703">
      <c r="A2703" s="2" t="s">
        <v>8632</v>
      </c>
      <c r="B2703" s="2" t="s">
        <v>7711</v>
      </c>
      <c r="C2703" s="2" t="s">
        <v>88</v>
      </c>
      <c r="D2703" s="2" t="s">
        <v>7762</v>
      </c>
      <c r="E2703" s="2" t="s">
        <v>7763</v>
      </c>
      <c r="F2703" s="2" t="s">
        <v>8633</v>
      </c>
      <c r="G2703" s="2" t="s">
        <v>8634</v>
      </c>
      <c r="H2703" s="2" t="s">
        <v>7162</v>
      </c>
      <c r="I2703" s="2" t="s">
        <v>8635</v>
      </c>
      <c r="J2703" s="2" t="s">
        <v>3877</v>
      </c>
      <c r="K2703" s="2" t="s">
        <v>858</v>
      </c>
      <c r="L2703" s="3">
        <v>242.25</v>
      </c>
      <c r="M2703" s="3">
        <v>254.36</v>
      </c>
      <c r="N2703" s="3">
        <v>509</v>
      </c>
      <c r="O2703" s="2" t="s">
        <v>97</v>
      </c>
      <c r="P2703" s="2" t="s">
        <v>119</v>
      </c>
      <c r="Q2703" s="2" t="s">
        <v>99</v>
      </c>
      <c r="R2703" s="2" t="s">
        <v>100</v>
      </c>
      <c r="S2703" s="2" t="s">
        <v>8636</v>
      </c>
      <c r="T2703" s="2" t="s">
        <v>100</v>
      </c>
      <c r="U2703" s="2" t="s">
        <v>100</v>
      </c>
      <c r="V2703" s="2" t="s">
        <v>146</v>
      </c>
      <c r="W2703" s="2" t="s">
        <v>104</v>
      </c>
      <c r="X2703" s="2" t="s">
        <v>100</v>
      </c>
      <c r="Y2703" s="2" t="s">
        <v>964</v>
      </c>
      <c r="Z2703" s="4">
        <v>82</v>
      </c>
      <c r="AA2703" s="4">
        <f>=ROUNDDOWN(12.8125,0)</f>
      </c>
      <c r="AB2703" s="5">
        <v>6.4</v>
      </c>
      <c r="AC2703" s="2" t="s">
        <v>1191</v>
      </c>
      <c r="AD2703" s="4">
        <v>100</v>
      </c>
      <c r="AE2703" s="4">
        <v>100</v>
      </c>
      <c r="AF2703" s="6">
        <v>66</v>
      </c>
      <c r="AG2703" s="6"/>
      <c r="AH2703" s="7">
        <v>0.9786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161</v>
      </c>
      <c r="BK2703" s="8">
        <v>38581.87</v>
      </c>
      <c r="BL2703" s="2" t="s">
        <v>8637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2480</v>
      </c>
      <c r="BV2703" s="2" t="s">
        <v>97</v>
      </c>
      <c r="BW2703" s="2" t="s">
        <v>100</v>
      </c>
      <c r="BX2703" s="2" t="s">
        <v>100</v>
      </c>
      <c r="BY2703" s="2" t="s">
        <v>113</v>
      </c>
      <c r="BZ2703" s="2" t="s">
        <v>100</v>
      </c>
    </row>
    <row r="2704">
      <c r="A2704" s="2" t="s">
        <v>8638</v>
      </c>
      <c r="B2704" s="2" t="s">
        <v>7711</v>
      </c>
      <c r="C2704" s="2" t="s">
        <v>88</v>
      </c>
      <c r="D2704" s="2" t="s">
        <v>7762</v>
      </c>
      <c r="E2704" s="2" t="s">
        <v>7763</v>
      </c>
      <c r="F2704" s="2" t="s">
        <v>8639</v>
      </c>
      <c r="G2704" s="2" t="s">
        <v>8640</v>
      </c>
      <c r="H2704" s="2" t="s">
        <v>8641</v>
      </c>
      <c r="I2704" s="2" t="s">
        <v>8642</v>
      </c>
      <c r="J2704" s="2" t="s">
        <v>3877</v>
      </c>
      <c r="K2704" s="2" t="s">
        <v>604</v>
      </c>
      <c r="L2704" s="3">
        <v>171</v>
      </c>
      <c r="M2704" s="3">
        <v>179.55</v>
      </c>
      <c r="N2704" s="3">
        <v>359</v>
      </c>
      <c r="O2704" s="2" t="s">
        <v>97</v>
      </c>
      <c r="P2704" s="2" t="s">
        <v>119</v>
      </c>
      <c r="Q2704" s="2" t="s">
        <v>99</v>
      </c>
      <c r="R2704" s="2" t="s">
        <v>100</v>
      </c>
      <c r="S2704" s="2" t="s">
        <v>8643</v>
      </c>
      <c r="T2704" s="2" t="s">
        <v>100</v>
      </c>
      <c r="U2704" s="2" t="s">
        <v>100</v>
      </c>
      <c r="V2704" s="2" t="s">
        <v>146</v>
      </c>
      <c r="W2704" s="2" t="s">
        <v>561</v>
      </c>
      <c r="X2704" s="2" t="s">
        <v>100</v>
      </c>
      <c r="Y2704" s="2" t="s">
        <v>240</v>
      </c>
      <c r="Z2704" s="4">
        <v>204</v>
      </c>
      <c r="AA2704" s="4">
        <f>=ROUNDDOWN(33.4426229508197,0)</f>
      </c>
      <c r="AB2704" s="5">
        <v>6.1</v>
      </c>
      <c r="AC2704" s="2" t="s">
        <v>100</v>
      </c>
      <c r="AD2704" s="4"/>
      <c r="AE2704" s="4"/>
      <c r="AF2704" s="6">
        <v>74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/>
      <c r="BD2704" s="8"/>
      <c r="BE2704" s="4"/>
      <c r="BF2704" s="8"/>
      <c r="BG2704" s="7"/>
      <c r="BH2704" s="7"/>
      <c r="BI2704" s="7"/>
      <c r="BJ2704" s="4">
        <v>126</v>
      </c>
      <c r="BK2704" s="8">
        <v>21635.04</v>
      </c>
      <c r="BL2704" s="2" t="s">
        <v>8644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2480</v>
      </c>
      <c r="BV2704" s="2" t="s">
        <v>97</v>
      </c>
      <c r="BW2704" s="2" t="s">
        <v>100</v>
      </c>
      <c r="BX2704" s="2" t="s">
        <v>100</v>
      </c>
      <c r="BY2704" s="2" t="s">
        <v>113</v>
      </c>
      <c r="BZ2704" s="2" t="s">
        <v>100</v>
      </c>
    </row>
    <row r="2705">
      <c r="A2705" s="2" t="s">
        <v>8645</v>
      </c>
      <c r="B2705" s="2" t="s">
        <v>7711</v>
      </c>
      <c r="C2705" s="2" t="s">
        <v>88</v>
      </c>
      <c r="D2705" s="2" t="s">
        <v>7762</v>
      </c>
      <c r="E2705" s="2" t="s">
        <v>7763</v>
      </c>
      <c r="F2705" s="2" t="s">
        <v>8495</v>
      </c>
      <c r="G2705" s="2" t="s">
        <v>8496</v>
      </c>
      <c r="H2705" s="2" t="s">
        <v>8497</v>
      </c>
      <c r="I2705" s="2" t="s">
        <v>8635</v>
      </c>
      <c r="J2705" s="2" t="s">
        <v>3877</v>
      </c>
      <c r="K2705" s="2" t="s">
        <v>604</v>
      </c>
      <c r="L2705" s="3">
        <v>284.75</v>
      </c>
      <c r="M2705" s="3">
        <v>298.99</v>
      </c>
      <c r="N2705" s="3">
        <v>599</v>
      </c>
      <c r="O2705" s="2" t="s">
        <v>97</v>
      </c>
      <c r="P2705" s="2" t="s">
        <v>372</v>
      </c>
      <c r="Q2705" s="2" t="s">
        <v>99</v>
      </c>
      <c r="R2705" s="2" t="s">
        <v>100</v>
      </c>
      <c r="S2705" s="2" t="s">
        <v>100</v>
      </c>
      <c r="T2705" s="2" t="s">
        <v>100</v>
      </c>
      <c r="U2705" s="2" t="s">
        <v>514</v>
      </c>
      <c r="V2705" s="2" t="s">
        <v>146</v>
      </c>
      <c r="W2705" s="2" t="s">
        <v>561</v>
      </c>
      <c r="X2705" s="2" t="s">
        <v>100</v>
      </c>
      <c r="Y2705" s="2" t="s">
        <v>8646</v>
      </c>
      <c r="Z2705" s="4">
        <v>540</v>
      </c>
      <c r="AA2705" s="4">
        <f>=ROUNDDOWN(27,0)</f>
      </c>
      <c r="AB2705" s="5">
        <v>20</v>
      </c>
      <c r="AC2705" s="2" t="s">
        <v>282</v>
      </c>
      <c r="AD2705" s="4">
        <v>100</v>
      </c>
      <c r="AE2705" s="4">
        <v>300</v>
      </c>
      <c r="AF2705" s="6">
        <v>68</v>
      </c>
      <c r="AG2705" s="6">
        <v>51</v>
      </c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/>
      <c r="BJ2705" s="4">
        <v>543</v>
      </c>
      <c r="BK2705" s="8">
        <v>168142.23</v>
      </c>
      <c r="BL2705" s="2" t="s">
        <v>8647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2480</v>
      </c>
      <c r="BV2705" s="2" t="s">
        <v>97</v>
      </c>
      <c r="BW2705" s="2" t="s">
        <v>100</v>
      </c>
      <c r="BX2705" s="2" t="s">
        <v>100</v>
      </c>
      <c r="BY2705" s="2" t="s">
        <v>113</v>
      </c>
      <c r="BZ2705" s="2" t="s">
        <v>100</v>
      </c>
    </row>
    <row r="2706">
      <c r="A2706" s="2" t="s">
        <v>8648</v>
      </c>
      <c r="B2706" s="2" t="s">
        <v>7711</v>
      </c>
      <c r="C2706" s="2" t="s">
        <v>88</v>
      </c>
      <c r="D2706" s="2" t="s">
        <v>7762</v>
      </c>
      <c r="E2706" s="2" t="s">
        <v>7763</v>
      </c>
      <c r="F2706" s="2" t="s">
        <v>8495</v>
      </c>
      <c r="G2706" s="2" t="s">
        <v>8496</v>
      </c>
      <c r="H2706" s="2" t="s">
        <v>8497</v>
      </c>
      <c r="I2706" s="2" t="s">
        <v>8635</v>
      </c>
      <c r="J2706" s="2" t="s">
        <v>3877</v>
      </c>
      <c r="K2706" s="2" t="s">
        <v>198</v>
      </c>
      <c r="L2706" s="3">
        <v>284.75</v>
      </c>
      <c r="M2706" s="3">
        <v>298.99</v>
      </c>
      <c r="N2706" s="3">
        <v>599</v>
      </c>
      <c r="O2706" s="2" t="s">
        <v>97</v>
      </c>
      <c r="P2706" s="2" t="s">
        <v>119</v>
      </c>
      <c r="Q2706" s="2" t="s">
        <v>99</v>
      </c>
      <c r="R2706" s="2" t="s">
        <v>100</v>
      </c>
      <c r="S2706" s="2" t="s">
        <v>100</v>
      </c>
      <c r="T2706" s="2" t="s">
        <v>100</v>
      </c>
      <c r="U2706" s="2" t="s">
        <v>514</v>
      </c>
      <c r="V2706" s="2" t="s">
        <v>3188</v>
      </c>
      <c r="W2706" s="2" t="s">
        <v>561</v>
      </c>
      <c r="X2706" s="2" t="s">
        <v>100</v>
      </c>
      <c r="Y2706" s="2" t="s">
        <v>5525</v>
      </c>
      <c r="Z2706" s="4">
        <v>174</v>
      </c>
      <c r="AA2706" s="4">
        <f>=ROUNDDOWN(34.8,0)</f>
      </c>
      <c r="AB2706" s="5">
        <v>5</v>
      </c>
      <c r="AC2706" s="2" t="s">
        <v>100</v>
      </c>
      <c r="AD2706" s="4"/>
      <c r="AE2706" s="4"/>
      <c r="AF2706" s="6">
        <v>68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/>
      <c r="BJ2706" s="4">
        <v>136</v>
      </c>
      <c r="BK2706" s="8">
        <v>42980.47</v>
      </c>
      <c r="BL2706" s="2" t="s">
        <v>8649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2480</v>
      </c>
      <c r="BV2706" s="2" t="s">
        <v>97</v>
      </c>
      <c r="BW2706" s="2" t="s">
        <v>100</v>
      </c>
      <c r="BX2706" s="2" t="s">
        <v>100</v>
      </c>
      <c r="BY2706" s="2" t="s">
        <v>113</v>
      </c>
      <c r="BZ2706" s="2" t="s">
        <v>100</v>
      </c>
    </row>
    <row r="2707">
      <c r="A2707" s="2" t="s">
        <v>8650</v>
      </c>
      <c r="B2707" s="2" t="s">
        <v>7711</v>
      </c>
      <c r="C2707" s="2" t="s">
        <v>88</v>
      </c>
      <c r="D2707" s="2" t="s">
        <v>7762</v>
      </c>
      <c r="E2707" s="2" t="s">
        <v>7763</v>
      </c>
      <c r="F2707" s="2" t="s">
        <v>8651</v>
      </c>
      <c r="G2707" s="2" t="s">
        <v>8652</v>
      </c>
      <c r="H2707" s="2" t="s">
        <v>8653</v>
      </c>
      <c r="I2707" s="2" t="s">
        <v>8635</v>
      </c>
      <c r="J2707" s="2" t="s">
        <v>3877</v>
      </c>
      <c r="K2707" s="2" t="s">
        <v>858</v>
      </c>
      <c r="L2707" s="3">
        <v>252.45</v>
      </c>
      <c r="M2707" s="3">
        <v>265.07</v>
      </c>
      <c r="N2707" s="3">
        <v>529</v>
      </c>
      <c r="O2707" s="2" t="s">
        <v>97</v>
      </c>
      <c r="P2707" s="2" t="s">
        <v>119</v>
      </c>
      <c r="Q2707" s="2" t="s">
        <v>99</v>
      </c>
      <c r="R2707" s="2" t="s">
        <v>100</v>
      </c>
      <c r="S2707" s="2" t="s">
        <v>100</v>
      </c>
      <c r="T2707" s="2" t="s">
        <v>100</v>
      </c>
      <c r="U2707" s="2" t="s">
        <v>514</v>
      </c>
      <c r="V2707" s="2" t="s">
        <v>146</v>
      </c>
      <c r="W2707" s="2" t="s">
        <v>415</v>
      </c>
      <c r="X2707" s="2" t="s">
        <v>104</v>
      </c>
      <c r="Y2707" s="2" t="s">
        <v>3142</v>
      </c>
      <c r="Z2707" s="4">
        <v>73</v>
      </c>
      <c r="AA2707" s="4">
        <f>=ROUNDDOWN(7.93478260869565,0)</f>
      </c>
      <c r="AB2707" s="5">
        <v>9.2</v>
      </c>
      <c r="AC2707" s="2" t="s">
        <v>241</v>
      </c>
      <c r="AD2707" s="4">
        <v>100</v>
      </c>
      <c r="AE2707" s="4">
        <v>200</v>
      </c>
      <c r="AF2707" s="6">
        <v>66</v>
      </c>
      <c r="AG2707" s="6">
        <v>49</v>
      </c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/>
      <c r="AW2707" s="8"/>
      <c r="AX2707" s="4"/>
      <c r="AY2707" s="8"/>
      <c r="AZ2707" s="7"/>
      <c r="BA2707" s="7"/>
      <c r="BB2707" s="7"/>
      <c r="BC2707" s="4"/>
      <c r="BD2707" s="8"/>
      <c r="BE2707" s="4"/>
      <c r="BF2707" s="8"/>
      <c r="BG2707" s="7"/>
      <c r="BH2707" s="7"/>
      <c r="BI2707" s="7"/>
      <c r="BJ2707" s="4">
        <v>229</v>
      </c>
      <c r="BK2707" s="8">
        <v>53322.67</v>
      </c>
      <c r="BL2707" s="2" t="s">
        <v>8654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2480</v>
      </c>
      <c r="BV2707" s="2" t="s">
        <v>97</v>
      </c>
      <c r="BW2707" s="2" t="s">
        <v>100</v>
      </c>
      <c r="BX2707" s="2" t="s">
        <v>100</v>
      </c>
      <c r="BY2707" s="2" t="s">
        <v>113</v>
      </c>
      <c r="BZ2707" s="2" t="s">
        <v>100</v>
      </c>
    </row>
    <row r="2708">
      <c r="A2708" s="2" t="s">
        <v>8655</v>
      </c>
      <c r="B2708" s="2" t="s">
        <v>7711</v>
      </c>
      <c r="C2708" s="2" t="s">
        <v>88</v>
      </c>
      <c r="D2708" s="2" t="s">
        <v>7762</v>
      </c>
      <c r="E2708" s="2" t="s">
        <v>7763</v>
      </c>
      <c r="F2708" s="2" t="s">
        <v>8656</v>
      </c>
      <c r="G2708" s="2" t="s">
        <v>1332</v>
      </c>
      <c r="H2708" s="2" t="s">
        <v>8657</v>
      </c>
      <c r="I2708" s="2" t="s">
        <v>8004</v>
      </c>
      <c r="J2708" s="2" t="s">
        <v>3877</v>
      </c>
      <c r="K2708" s="2" t="s">
        <v>604</v>
      </c>
      <c r="L2708" s="3">
        <v>226.1</v>
      </c>
      <c r="M2708" s="3">
        <v>237.4</v>
      </c>
      <c r="N2708" s="3">
        <v>479</v>
      </c>
      <c r="O2708" s="2" t="s">
        <v>97</v>
      </c>
      <c r="P2708" s="2" t="s">
        <v>119</v>
      </c>
      <c r="Q2708" s="2" t="s">
        <v>99</v>
      </c>
      <c r="R2708" s="2" t="s">
        <v>100</v>
      </c>
      <c r="S2708" s="2" t="s">
        <v>100</v>
      </c>
      <c r="T2708" s="2" t="s">
        <v>100</v>
      </c>
      <c r="U2708" s="2" t="s">
        <v>514</v>
      </c>
      <c r="V2708" s="2" t="s">
        <v>146</v>
      </c>
      <c r="W2708" s="2" t="s">
        <v>104</v>
      </c>
      <c r="X2708" s="2" t="s">
        <v>100</v>
      </c>
      <c r="Y2708" s="2" t="s">
        <v>8658</v>
      </c>
      <c r="Z2708" s="4">
        <v>221</v>
      </c>
      <c r="AA2708" s="4">
        <f>=ROUNDDOWN(73.6666666666667,0)</f>
      </c>
      <c r="AB2708" s="5">
        <v>3</v>
      </c>
      <c r="AC2708" s="2" t="s">
        <v>100</v>
      </c>
      <c r="AD2708" s="4"/>
      <c r="AE2708" s="4"/>
      <c r="AF2708" s="6">
        <v>69</v>
      </c>
      <c r="AG2708" s="6">
        <v>52</v>
      </c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/>
      <c r="AW2708" s="8"/>
      <c r="AX2708" s="4"/>
      <c r="AY2708" s="8"/>
      <c r="AZ2708" s="7"/>
      <c r="BA2708" s="7"/>
      <c r="BB2708" s="7"/>
      <c r="BC2708" s="4"/>
      <c r="BD2708" s="8"/>
      <c r="BE2708" s="4"/>
      <c r="BF2708" s="8"/>
      <c r="BG2708" s="7"/>
      <c r="BH2708" s="7"/>
      <c r="BI2708" s="7"/>
      <c r="BJ2708" s="4">
        <v>127</v>
      </c>
      <c r="BK2708" s="8">
        <v>28257.95</v>
      </c>
      <c r="BL2708" s="2" t="s">
        <v>8659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2480</v>
      </c>
      <c r="BV2708" s="2" t="s">
        <v>97</v>
      </c>
      <c r="BW2708" s="2" t="s">
        <v>100</v>
      </c>
      <c r="BX2708" s="2" t="s">
        <v>100</v>
      </c>
      <c r="BY2708" s="2" t="s">
        <v>113</v>
      </c>
      <c r="BZ2708" s="2" t="s">
        <v>100</v>
      </c>
    </row>
    <row r="2709">
      <c r="A2709" s="2" t="s">
        <v>8660</v>
      </c>
      <c r="B2709" s="2" t="s">
        <v>7711</v>
      </c>
      <c r="C2709" s="2" t="s">
        <v>88</v>
      </c>
      <c r="D2709" s="2" t="s">
        <v>7762</v>
      </c>
      <c r="E2709" s="2" t="s">
        <v>7763</v>
      </c>
      <c r="F2709" s="2" t="s">
        <v>8540</v>
      </c>
      <c r="G2709" s="2" t="s">
        <v>8541</v>
      </c>
      <c r="H2709" s="2" t="s">
        <v>8542</v>
      </c>
      <c r="I2709" s="2" t="s">
        <v>8661</v>
      </c>
      <c r="J2709" s="2" t="s">
        <v>3877</v>
      </c>
      <c r="K2709" s="2" t="s">
        <v>604</v>
      </c>
      <c r="L2709" s="3">
        <v>171</v>
      </c>
      <c r="M2709" s="3">
        <v>179.55</v>
      </c>
      <c r="N2709" s="3">
        <v>359</v>
      </c>
      <c r="O2709" s="2" t="s">
        <v>97</v>
      </c>
      <c r="P2709" s="2" t="s">
        <v>119</v>
      </c>
      <c r="Q2709" s="2" t="s">
        <v>99</v>
      </c>
      <c r="R2709" s="2" t="s">
        <v>100</v>
      </c>
      <c r="S2709" s="2" t="s">
        <v>8544</v>
      </c>
      <c r="T2709" s="2" t="s">
        <v>100</v>
      </c>
      <c r="U2709" s="2" t="s">
        <v>1847</v>
      </c>
      <c r="V2709" s="2" t="s">
        <v>146</v>
      </c>
      <c r="W2709" s="2" t="s">
        <v>104</v>
      </c>
      <c r="X2709" s="2" t="s">
        <v>100</v>
      </c>
      <c r="Y2709" s="2" t="s">
        <v>8326</v>
      </c>
      <c r="Z2709" s="4">
        <v>211</v>
      </c>
      <c r="AA2709" s="4">
        <f>=ROUNDDOWN(49.0697674418605,0)</f>
      </c>
      <c r="AB2709" s="5">
        <v>4.3</v>
      </c>
      <c r="AC2709" s="2" t="s">
        <v>7888</v>
      </c>
      <c r="AD2709" s="4">
        <v>70</v>
      </c>
      <c r="AE2709" s="4">
        <v>70</v>
      </c>
      <c r="AF2709" s="6">
        <v>69</v>
      </c>
      <c r="AG2709" s="6">
        <v>52</v>
      </c>
      <c r="AH2709" s="7">
        <v>1</v>
      </c>
      <c r="AI2709" s="4"/>
      <c r="AJ2709" s="4">
        <f>=ROUNDDOWN({0},0)</f>
      </c>
      <c r="AK2709" s="5">
        <v>27.4</v>
      </c>
      <c r="AL2709" s="2" t="s">
        <v>3887</v>
      </c>
      <c r="AM2709" s="4">
        <v>360</v>
      </c>
      <c r="AN2709" s="4">
        <v>360</v>
      </c>
      <c r="AO2709" s="7">
        <v>0.4332</v>
      </c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/>
      <c r="BD2709" s="8"/>
      <c r="BE2709" s="4"/>
      <c r="BF2709" s="8"/>
      <c r="BG2709" s="7"/>
      <c r="BH2709" s="7"/>
      <c r="BI2709" s="7"/>
      <c r="BJ2709" s="4">
        <v>435</v>
      </c>
      <c r="BK2709" s="8">
        <v>62897.78</v>
      </c>
      <c r="BL2709" s="2" t="s">
        <v>8662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2480</v>
      </c>
      <c r="BV2709" s="2" t="s">
        <v>97</v>
      </c>
      <c r="BW2709" s="2" t="s">
        <v>100</v>
      </c>
      <c r="BX2709" s="2" t="s">
        <v>100</v>
      </c>
      <c r="BY2709" s="2" t="s">
        <v>113</v>
      </c>
      <c r="BZ2709" s="2" t="s">
        <v>100</v>
      </c>
    </row>
    <row r="2710">
      <c r="A2710" s="2" t="s">
        <v>8663</v>
      </c>
      <c r="B2710" s="2" t="s">
        <v>7711</v>
      </c>
      <c r="C2710" s="2" t="s">
        <v>88</v>
      </c>
      <c r="D2710" s="2" t="s">
        <v>7762</v>
      </c>
      <c r="E2710" s="2" t="s">
        <v>7763</v>
      </c>
      <c r="F2710" s="2" t="s">
        <v>6531</v>
      </c>
      <c r="G2710" s="2" t="s">
        <v>8664</v>
      </c>
      <c r="H2710" s="2" t="s">
        <v>8665</v>
      </c>
      <c r="I2710" s="2" t="s">
        <v>8666</v>
      </c>
      <c r="J2710" s="2" t="s">
        <v>3877</v>
      </c>
      <c r="K2710" s="2" t="s">
        <v>118</v>
      </c>
      <c r="L2710" s="3">
        <v>136.8</v>
      </c>
      <c r="M2710" s="3">
        <v>143.64</v>
      </c>
      <c r="N2710" s="3">
        <v>289</v>
      </c>
      <c r="O2710" s="2" t="s">
        <v>97</v>
      </c>
      <c r="P2710" s="2" t="s">
        <v>119</v>
      </c>
      <c r="Q2710" s="2" t="s">
        <v>99</v>
      </c>
      <c r="R2710" s="2" t="s">
        <v>100</v>
      </c>
      <c r="S2710" s="2" t="s">
        <v>8667</v>
      </c>
      <c r="T2710" s="2" t="s">
        <v>100</v>
      </c>
      <c r="U2710" s="2" t="s">
        <v>100</v>
      </c>
      <c r="V2710" s="2" t="s">
        <v>146</v>
      </c>
      <c r="W2710" s="2" t="s">
        <v>104</v>
      </c>
      <c r="X2710" s="2" t="s">
        <v>100</v>
      </c>
      <c r="Y2710" s="2" t="s">
        <v>240</v>
      </c>
      <c r="Z2710" s="4">
        <v>279</v>
      </c>
      <c r="AA2710" s="4">
        <f>=ROUNDDOWN(19.9285714285714,0)</f>
      </c>
      <c r="AB2710" s="5">
        <v>14</v>
      </c>
      <c r="AC2710" s="2" t="s">
        <v>100</v>
      </c>
      <c r="AD2710" s="4"/>
      <c r="AE2710" s="4"/>
      <c r="AF2710" s="6">
        <v>69</v>
      </c>
      <c r="AG2710" s="6">
        <v>52</v>
      </c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/>
      <c r="BJ2710" s="4">
        <v>347</v>
      </c>
      <c r="BK2710" s="8">
        <v>39720.48</v>
      </c>
      <c r="BL2710" s="2" t="s">
        <v>8668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2480</v>
      </c>
      <c r="BV2710" s="2" t="s">
        <v>97</v>
      </c>
      <c r="BW2710" s="2" t="s">
        <v>100</v>
      </c>
      <c r="BX2710" s="2" t="s">
        <v>100</v>
      </c>
      <c r="BY2710" s="2" t="s">
        <v>113</v>
      </c>
      <c r="BZ2710" s="2" t="s">
        <v>100</v>
      </c>
    </row>
    <row r="2711">
      <c r="A2711" s="2" t="s">
        <v>8669</v>
      </c>
      <c r="B2711" s="2" t="s">
        <v>7711</v>
      </c>
      <c r="C2711" s="2" t="s">
        <v>88</v>
      </c>
      <c r="D2711" s="2" t="s">
        <v>7762</v>
      </c>
      <c r="E2711" s="2" t="s">
        <v>7763</v>
      </c>
      <c r="F2711" s="2" t="s">
        <v>6531</v>
      </c>
      <c r="G2711" s="2" t="s">
        <v>8664</v>
      </c>
      <c r="H2711" s="2" t="s">
        <v>8665</v>
      </c>
      <c r="I2711" s="2" t="s">
        <v>8666</v>
      </c>
      <c r="J2711" s="2" t="s">
        <v>3877</v>
      </c>
      <c r="K2711" s="2" t="s">
        <v>913</v>
      </c>
      <c r="L2711" s="3">
        <v>136.8</v>
      </c>
      <c r="M2711" s="3">
        <v>143.64</v>
      </c>
      <c r="N2711" s="3">
        <v>289</v>
      </c>
      <c r="O2711" s="2" t="s">
        <v>97</v>
      </c>
      <c r="P2711" s="2" t="s">
        <v>119</v>
      </c>
      <c r="Q2711" s="2" t="s">
        <v>99</v>
      </c>
      <c r="R2711" s="2" t="s">
        <v>100</v>
      </c>
      <c r="S2711" s="2" t="s">
        <v>8670</v>
      </c>
      <c r="T2711" s="2" t="s">
        <v>100</v>
      </c>
      <c r="U2711" s="2" t="s">
        <v>100</v>
      </c>
      <c r="V2711" s="2" t="s">
        <v>146</v>
      </c>
      <c r="W2711" s="2" t="s">
        <v>309</v>
      </c>
      <c r="X2711" s="2" t="s">
        <v>100</v>
      </c>
      <c r="Y2711" s="2" t="s">
        <v>240</v>
      </c>
      <c r="Z2711" s="4">
        <v>227</v>
      </c>
      <c r="AA2711" s="4">
        <f>=ROUNDDOWN(14.1875,0)</f>
      </c>
      <c r="AB2711" s="5">
        <v>16</v>
      </c>
      <c r="AC2711" s="2" t="s">
        <v>100</v>
      </c>
      <c r="AD2711" s="4"/>
      <c r="AE2711" s="4"/>
      <c r="AF2711" s="6">
        <v>69</v>
      </c>
      <c r="AG2711" s="6">
        <v>52</v>
      </c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/>
      <c r="BJ2711" s="4">
        <v>476</v>
      </c>
      <c r="BK2711" s="8">
        <v>55061.47</v>
      </c>
      <c r="BL2711" s="2" t="s">
        <v>8671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2480</v>
      </c>
      <c r="BV2711" s="2" t="s">
        <v>97</v>
      </c>
      <c r="BW2711" s="2" t="s">
        <v>100</v>
      </c>
      <c r="BX2711" s="2" t="s">
        <v>100</v>
      </c>
      <c r="BY2711" s="2" t="s">
        <v>113</v>
      </c>
      <c r="BZ2711" s="2" t="s">
        <v>100</v>
      </c>
    </row>
    <row r="2712">
      <c r="A2712" s="2" t="s">
        <v>8672</v>
      </c>
      <c r="B2712" s="2" t="s">
        <v>7711</v>
      </c>
      <c r="C2712" s="2" t="s">
        <v>88</v>
      </c>
      <c r="D2712" s="2" t="s">
        <v>7762</v>
      </c>
      <c r="E2712" s="2" t="s">
        <v>7763</v>
      </c>
      <c r="F2712" s="2" t="s">
        <v>6531</v>
      </c>
      <c r="G2712" s="2" t="s">
        <v>8664</v>
      </c>
      <c r="H2712" s="2" t="s">
        <v>8665</v>
      </c>
      <c r="I2712" s="2" t="s">
        <v>8666</v>
      </c>
      <c r="J2712" s="2" t="s">
        <v>3877</v>
      </c>
      <c r="K2712" s="2" t="s">
        <v>198</v>
      </c>
      <c r="L2712" s="3">
        <v>136.8</v>
      </c>
      <c r="M2712" s="3">
        <v>143.64</v>
      </c>
      <c r="N2712" s="3">
        <v>289</v>
      </c>
      <c r="O2712" s="2" t="s">
        <v>97</v>
      </c>
      <c r="P2712" s="2" t="s">
        <v>119</v>
      </c>
      <c r="Q2712" s="2" t="s">
        <v>99</v>
      </c>
      <c r="R2712" s="2" t="s">
        <v>100</v>
      </c>
      <c r="S2712" s="2" t="s">
        <v>8673</v>
      </c>
      <c r="T2712" s="2" t="s">
        <v>100</v>
      </c>
      <c r="U2712" s="2" t="s">
        <v>100</v>
      </c>
      <c r="V2712" s="2" t="s">
        <v>146</v>
      </c>
      <c r="W2712" s="2" t="s">
        <v>104</v>
      </c>
      <c r="X2712" s="2" t="s">
        <v>100</v>
      </c>
      <c r="Y2712" s="2" t="s">
        <v>240</v>
      </c>
      <c r="Z2712" s="4">
        <v>170</v>
      </c>
      <c r="AA2712" s="4">
        <f>=ROUNDDOWN(15.4545454545455,0)</f>
      </c>
      <c r="AB2712" s="5">
        <v>11</v>
      </c>
      <c r="AC2712" s="2" t="s">
        <v>872</v>
      </c>
      <c r="AD2712" s="4">
        <v>120</v>
      </c>
      <c r="AE2712" s="4">
        <v>120</v>
      </c>
      <c r="AF2712" s="6">
        <v>69</v>
      </c>
      <c r="AG2712" s="6">
        <v>52</v>
      </c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/>
      <c r="BJ2712" s="4">
        <v>277</v>
      </c>
      <c r="BK2712" s="8">
        <v>30478.09</v>
      </c>
      <c r="BL2712" s="2" t="s">
        <v>8674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2480</v>
      </c>
      <c r="BV2712" s="2" t="s">
        <v>97</v>
      </c>
      <c r="BW2712" s="2" t="s">
        <v>100</v>
      </c>
      <c r="BX2712" s="2" t="s">
        <v>100</v>
      </c>
      <c r="BY2712" s="2" t="s">
        <v>113</v>
      </c>
      <c r="BZ2712" s="2" t="s">
        <v>100</v>
      </c>
    </row>
    <row r="2713">
      <c r="A2713" s="2" t="s">
        <v>8675</v>
      </c>
      <c r="B2713" s="2" t="s">
        <v>7711</v>
      </c>
      <c r="C2713" s="2" t="s">
        <v>88</v>
      </c>
      <c r="D2713" s="2" t="s">
        <v>7762</v>
      </c>
      <c r="E2713" s="2" t="s">
        <v>7763</v>
      </c>
      <c r="F2713" s="2" t="s">
        <v>8676</v>
      </c>
      <c r="G2713" s="2" t="s">
        <v>8677</v>
      </c>
      <c r="H2713" s="2" t="s">
        <v>8678</v>
      </c>
      <c r="I2713" s="2" t="s">
        <v>8679</v>
      </c>
      <c r="J2713" s="2" t="s">
        <v>3877</v>
      </c>
      <c r="K2713" s="2" t="s">
        <v>3269</v>
      </c>
      <c r="L2713" s="3">
        <v>263.5</v>
      </c>
      <c r="M2713" s="3">
        <v>276.68</v>
      </c>
      <c r="N2713" s="3">
        <v>549</v>
      </c>
      <c r="O2713" s="2" t="s">
        <v>97</v>
      </c>
      <c r="P2713" s="2" t="s">
        <v>119</v>
      </c>
      <c r="Q2713" s="2" t="s">
        <v>99</v>
      </c>
      <c r="R2713" s="2" t="s">
        <v>100</v>
      </c>
      <c r="S2713" s="2" t="s">
        <v>8680</v>
      </c>
      <c r="T2713" s="2" t="s">
        <v>100</v>
      </c>
      <c r="U2713" s="2" t="s">
        <v>514</v>
      </c>
      <c r="V2713" s="2" t="s">
        <v>3188</v>
      </c>
      <c r="W2713" s="2" t="s">
        <v>415</v>
      </c>
      <c r="X2713" s="2" t="s">
        <v>104</v>
      </c>
      <c r="Y2713" s="2" t="s">
        <v>8157</v>
      </c>
      <c r="Z2713" s="4">
        <v>212</v>
      </c>
      <c r="AA2713" s="4">
        <f>=ROUNDDOWN(23.5555555555556,0)</f>
      </c>
      <c r="AB2713" s="5">
        <v>9</v>
      </c>
      <c r="AC2713" s="2" t="s">
        <v>1457</v>
      </c>
      <c r="AD2713" s="4">
        <v>100</v>
      </c>
      <c r="AE2713" s="4">
        <v>100</v>
      </c>
      <c r="AF2713" s="6">
        <v>66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/>
      <c r="BD2713" s="8"/>
      <c r="BE2713" s="4"/>
      <c r="BF2713" s="8"/>
      <c r="BG2713" s="7"/>
      <c r="BH2713" s="7"/>
      <c r="BI2713" s="7"/>
      <c r="BJ2713" s="4">
        <v>238</v>
      </c>
      <c r="BK2713" s="8">
        <v>65802.41</v>
      </c>
      <c r="BL2713" s="2" t="s">
        <v>7996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2480</v>
      </c>
      <c r="BV2713" s="2" t="s">
        <v>97</v>
      </c>
      <c r="BW2713" s="2" t="s">
        <v>100</v>
      </c>
      <c r="BX2713" s="2" t="s">
        <v>100</v>
      </c>
      <c r="BY2713" s="2" t="s">
        <v>113</v>
      </c>
      <c r="BZ2713" s="2" t="s">
        <v>100</v>
      </c>
    </row>
    <row r="2714">
      <c r="A2714" s="2" t="s">
        <v>8681</v>
      </c>
      <c r="B2714" s="2" t="s">
        <v>7711</v>
      </c>
      <c r="C2714" s="2" t="s">
        <v>88</v>
      </c>
      <c r="D2714" s="2" t="s">
        <v>7762</v>
      </c>
      <c r="E2714" s="2" t="s">
        <v>7763</v>
      </c>
      <c r="F2714" s="2" t="s">
        <v>8682</v>
      </c>
      <c r="G2714" s="2" t="s">
        <v>8683</v>
      </c>
      <c r="H2714" s="2" t="s">
        <v>8684</v>
      </c>
      <c r="I2714" s="2" t="s">
        <v>8685</v>
      </c>
      <c r="J2714" s="2" t="s">
        <v>3877</v>
      </c>
      <c r="K2714" s="2" t="s">
        <v>858</v>
      </c>
      <c r="L2714" s="3">
        <v>263.5</v>
      </c>
      <c r="M2714" s="3">
        <v>276.68</v>
      </c>
      <c r="N2714" s="3">
        <v>549</v>
      </c>
      <c r="O2714" s="2" t="s">
        <v>97</v>
      </c>
      <c r="P2714" s="2" t="s">
        <v>119</v>
      </c>
      <c r="Q2714" s="2" t="s">
        <v>99</v>
      </c>
      <c r="R2714" s="2" t="s">
        <v>100</v>
      </c>
      <c r="S2714" s="2" t="s">
        <v>100</v>
      </c>
      <c r="T2714" s="2" t="s">
        <v>100</v>
      </c>
      <c r="U2714" s="2" t="s">
        <v>514</v>
      </c>
      <c r="V2714" s="2" t="s">
        <v>3188</v>
      </c>
      <c r="W2714" s="2" t="s">
        <v>415</v>
      </c>
      <c r="X2714" s="2" t="s">
        <v>100</v>
      </c>
      <c r="Y2714" s="2" t="s">
        <v>8623</v>
      </c>
      <c r="Z2714" s="4">
        <v>101</v>
      </c>
      <c r="AA2714" s="4">
        <f>=ROUNDDOWN(16.8333333333333,0)</f>
      </c>
      <c r="AB2714" s="5">
        <v>6</v>
      </c>
      <c r="AC2714" s="2" t="s">
        <v>1035</v>
      </c>
      <c r="AD2714" s="4">
        <v>120</v>
      </c>
      <c r="AE2714" s="4">
        <v>120</v>
      </c>
      <c r="AF2714" s="6">
        <v>69</v>
      </c>
      <c r="AG2714" s="6">
        <v>52</v>
      </c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/>
      <c r="BD2714" s="8"/>
      <c r="BE2714" s="4"/>
      <c r="BF2714" s="8"/>
      <c r="BG2714" s="7"/>
      <c r="BH2714" s="7"/>
      <c r="BI2714" s="7"/>
      <c r="BJ2714" s="4">
        <v>154</v>
      </c>
      <c r="BK2714" s="8">
        <v>42648.51</v>
      </c>
      <c r="BL2714" s="2" t="s">
        <v>8286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2528</v>
      </c>
      <c r="BV2714" s="2" t="s">
        <v>97</v>
      </c>
      <c r="BW2714" s="2" t="s">
        <v>100</v>
      </c>
      <c r="BX2714" s="2" t="s">
        <v>100</v>
      </c>
      <c r="BY2714" s="2" t="s">
        <v>113</v>
      </c>
      <c r="BZ2714" s="2" t="s">
        <v>100</v>
      </c>
    </row>
    <row r="2715">
      <c r="A2715" s="2" t="s">
        <v>8686</v>
      </c>
      <c r="B2715" s="2" t="s">
        <v>7711</v>
      </c>
      <c r="C2715" s="2" t="s">
        <v>88</v>
      </c>
      <c r="D2715" s="2" t="s">
        <v>7762</v>
      </c>
      <c r="E2715" s="2" t="s">
        <v>8687</v>
      </c>
      <c r="F2715" s="2" t="s">
        <v>391</v>
      </c>
      <c r="G2715" s="2" t="s">
        <v>8688</v>
      </c>
      <c r="H2715" s="2" t="s">
        <v>8689</v>
      </c>
      <c r="I2715" s="2" t="s">
        <v>8690</v>
      </c>
      <c r="J2715" s="2" t="s">
        <v>3877</v>
      </c>
      <c r="K2715" s="2" t="s">
        <v>118</v>
      </c>
      <c r="L2715" s="3">
        <v>190</v>
      </c>
      <c r="M2715" s="3">
        <v>199.5</v>
      </c>
      <c r="N2715" s="3">
        <v>399</v>
      </c>
      <c r="O2715" s="2" t="s">
        <v>97</v>
      </c>
      <c r="P2715" s="2" t="s">
        <v>119</v>
      </c>
      <c r="Q2715" s="2" t="s">
        <v>99</v>
      </c>
      <c r="R2715" s="2" t="s">
        <v>100</v>
      </c>
      <c r="S2715" s="2" t="s">
        <v>100</v>
      </c>
      <c r="T2715" s="2" t="s">
        <v>100</v>
      </c>
      <c r="U2715" s="2" t="s">
        <v>1847</v>
      </c>
      <c r="V2715" s="2" t="s">
        <v>146</v>
      </c>
      <c r="W2715" s="2" t="s">
        <v>104</v>
      </c>
      <c r="X2715" s="2" t="s">
        <v>415</v>
      </c>
      <c r="Y2715" s="2" t="s">
        <v>7789</v>
      </c>
      <c r="Z2715" s="4">
        <v>78</v>
      </c>
      <c r="AA2715" s="4">
        <f>=ROUNDDOWN(13,0)</f>
      </c>
      <c r="AB2715" s="5">
        <v>6</v>
      </c>
      <c r="AC2715" s="2" t="s">
        <v>2618</v>
      </c>
      <c r="AD2715" s="4">
        <v>120</v>
      </c>
      <c r="AE2715" s="4">
        <v>120</v>
      </c>
      <c r="AF2715" s="6">
        <v>66</v>
      </c>
      <c r="AG2715" s="6"/>
      <c r="AH2715" s="7">
        <v>0.8503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/>
      <c r="AW2715" s="8"/>
      <c r="AX2715" s="4"/>
      <c r="AY2715" s="8"/>
      <c r="AZ2715" s="7"/>
      <c r="BA2715" s="7"/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/>
      <c r="BJ2715" s="4">
        <v>166</v>
      </c>
      <c r="BK2715" s="8">
        <v>34358.7</v>
      </c>
      <c r="BL2715" s="2" t="s">
        <v>8691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2480</v>
      </c>
      <c r="BV2715" s="2" t="s">
        <v>97</v>
      </c>
      <c r="BW2715" s="2" t="s">
        <v>100</v>
      </c>
      <c r="BX2715" s="2" t="s">
        <v>100</v>
      </c>
      <c r="BY2715" s="2" t="s">
        <v>113</v>
      </c>
      <c r="BZ2715" s="2" t="s">
        <v>100</v>
      </c>
    </row>
    <row r="2716">
      <c r="A2716" s="2" t="s">
        <v>8692</v>
      </c>
      <c r="B2716" s="2" t="s">
        <v>7711</v>
      </c>
      <c r="C2716" s="2" t="s">
        <v>88</v>
      </c>
      <c r="D2716" s="2" t="s">
        <v>7762</v>
      </c>
      <c r="E2716" s="2" t="s">
        <v>8687</v>
      </c>
      <c r="F2716" s="2" t="s">
        <v>391</v>
      </c>
      <c r="G2716" s="2" t="s">
        <v>8688</v>
      </c>
      <c r="H2716" s="2" t="s">
        <v>8689</v>
      </c>
      <c r="I2716" s="2" t="s">
        <v>8690</v>
      </c>
      <c r="J2716" s="2" t="s">
        <v>3877</v>
      </c>
      <c r="K2716" s="2" t="s">
        <v>604</v>
      </c>
      <c r="L2716" s="3">
        <v>190</v>
      </c>
      <c r="M2716" s="3">
        <v>199.5</v>
      </c>
      <c r="N2716" s="3">
        <v>399</v>
      </c>
      <c r="O2716" s="2" t="s">
        <v>97</v>
      </c>
      <c r="P2716" s="2" t="s">
        <v>119</v>
      </c>
      <c r="Q2716" s="2" t="s">
        <v>99</v>
      </c>
      <c r="R2716" s="2" t="s">
        <v>100</v>
      </c>
      <c r="S2716" s="2" t="s">
        <v>100</v>
      </c>
      <c r="T2716" s="2" t="s">
        <v>100</v>
      </c>
      <c r="U2716" s="2" t="s">
        <v>1847</v>
      </c>
      <c r="V2716" s="2" t="s">
        <v>146</v>
      </c>
      <c r="W2716" s="2" t="s">
        <v>104</v>
      </c>
      <c r="X2716" s="2" t="s">
        <v>415</v>
      </c>
      <c r="Y2716" s="2" t="s">
        <v>7789</v>
      </c>
      <c r="Z2716" s="4">
        <v>206</v>
      </c>
      <c r="AA2716" s="4">
        <f>=ROUNDDOWN(14.7142857142857,0)</f>
      </c>
      <c r="AB2716" s="5">
        <v>14</v>
      </c>
      <c r="AC2716" s="2" t="s">
        <v>222</v>
      </c>
      <c r="AD2716" s="4">
        <v>264</v>
      </c>
      <c r="AE2716" s="4">
        <v>264</v>
      </c>
      <c r="AF2716" s="6">
        <v>66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/>
      <c r="BJ2716" s="4">
        <v>339</v>
      </c>
      <c r="BK2716" s="8">
        <v>69797.87</v>
      </c>
      <c r="BL2716" s="2" t="s">
        <v>8691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2480</v>
      </c>
      <c r="BV2716" s="2" t="s">
        <v>97</v>
      </c>
      <c r="BW2716" s="2" t="s">
        <v>100</v>
      </c>
      <c r="BX2716" s="2" t="s">
        <v>100</v>
      </c>
      <c r="BY2716" s="2" t="s">
        <v>113</v>
      </c>
      <c r="BZ2716" s="2" t="s">
        <v>100</v>
      </c>
    </row>
    <row r="2717">
      <c r="A2717" s="2" t="s">
        <v>8693</v>
      </c>
      <c r="B2717" s="2" t="s">
        <v>7711</v>
      </c>
      <c r="C2717" s="2" t="s">
        <v>88</v>
      </c>
      <c r="D2717" s="2" t="s">
        <v>7762</v>
      </c>
      <c r="E2717" s="2" t="s">
        <v>8687</v>
      </c>
      <c r="F2717" s="2" t="s">
        <v>391</v>
      </c>
      <c r="G2717" s="2" t="s">
        <v>8688</v>
      </c>
      <c r="H2717" s="2" t="s">
        <v>8689</v>
      </c>
      <c r="I2717" s="2" t="s">
        <v>8690</v>
      </c>
      <c r="J2717" s="2" t="s">
        <v>3877</v>
      </c>
      <c r="K2717" s="2" t="s">
        <v>198</v>
      </c>
      <c r="L2717" s="3">
        <v>190</v>
      </c>
      <c r="M2717" s="3">
        <v>199.5</v>
      </c>
      <c r="N2717" s="3">
        <v>399</v>
      </c>
      <c r="O2717" s="2" t="s">
        <v>97</v>
      </c>
      <c r="P2717" s="2" t="s">
        <v>119</v>
      </c>
      <c r="Q2717" s="2" t="s">
        <v>99</v>
      </c>
      <c r="R2717" s="2" t="s">
        <v>100</v>
      </c>
      <c r="S2717" s="2" t="s">
        <v>100</v>
      </c>
      <c r="T2717" s="2" t="s">
        <v>100</v>
      </c>
      <c r="U2717" s="2" t="s">
        <v>1847</v>
      </c>
      <c r="V2717" s="2" t="s">
        <v>146</v>
      </c>
      <c r="W2717" s="2" t="s">
        <v>104</v>
      </c>
      <c r="X2717" s="2" t="s">
        <v>415</v>
      </c>
      <c r="Y2717" s="2" t="s">
        <v>4562</v>
      </c>
      <c r="Z2717" s="4">
        <v>609</v>
      </c>
      <c r="AA2717" s="4">
        <f>=ROUNDDOWN(101.5,0)</f>
      </c>
      <c r="AB2717" s="5">
        <v>6</v>
      </c>
      <c r="AC2717" s="2" t="s">
        <v>4520</v>
      </c>
      <c r="AD2717" s="4">
        <v>208</v>
      </c>
      <c r="AE2717" s="4">
        <v>208</v>
      </c>
      <c r="AF2717" s="6">
        <v>66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/>
      <c r="BJ2717" s="4">
        <v>168</v>
      </c>
      <c r="BK2717" s="8">
        <v>37335.66</v>
      </c>
      <c r="BL2717" s="2" t="s">
        <v>8694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2480</v>
      </c>
      <c r="BV2717" s="2" t="s">
        <v>97</v>
      </c>
      <c r="BW2717" s="2" t="s">
        <v>100</v>
      </c>
      <c r="BX2717" s="2" t="s">
        <v>100</v>
      </c>
      <c r="BY2717" s="2" t="s">
        <v>113</v>
      </c>
      <c r="BZ2717" s="2" t="s">
        <v>100</v>
      </c>
    </row>
    <row r="2718">
      <c r="A2718" s="2" t="s">
        <v>8695</v>
      </c>
      <c r="B2718" s="2" t="s">
        <v>7711</v>
      </c>
      <c r="C2718" s="2" t="s">
        <v>88</v>
      </c>
      <c r="D2718" s="2" t="s">
        <v>7762</v>
      </c>
      <c r="E2718" s="2" t="s">
        <v>8687</v>
      </c>
      <c r="F2718" s="2" t="s">
        <v>8696</v>
      </c>
      <c r="G2718" s="2" t="s">
        <v>8696</v>
      </c>
      <c r="H2718" s="2" t="s">
        <v>8696</v>
      </c>
      <c r="I2718" s="2" t="s">
        <v>8690</v>
      </c>
      <c r="J2718" s="2" t="s">
        <v>3877</v>
      </c>
      <c r="K2718" s="2" t="s">
        <v>858</v>
      </c>
      <c r="L2718" s="3">
        <v>135</v>
      </c>
      <c r="M2718" s="3">
        <v>141.75</v>
      </c>
      <c r="N2718" s="3">
        <v>279</v>
      </c>
      <c r="O2718" s="2" t="s">
        <v>97</v>
      </c>
      <c r="P2718" s="2" t="s">
        <v>225</v>
      </c>
      <c r="Q2718" s="2" t="s">
        <v>99</v>
      </c>
      <c r="R2718" s="2" t="s">
        <v>100</v>
      </c>
      <c r="S2718" s="2" t="s">
        <v>100</v>
      </c>
      <c r="T2718" s="2" t="s">
        <v>100</v>
      </c>
      <c r="U2718" s="2" t="s">
        <v>1847</v>
      </c>
      <c r="V2718" s="2" t="s">
        <v>3188</v>
      </c>
      <c r="W2718" s="2" t="s">
        <v>309</v>
      </c>
      <c r="X2718" s="2" t="s">
        <v>104</v>
      </c>
      <c r="Y2718" s="2" t="s">
        <v>7658</v>
      </c>
      <c r="Z2718" s="4">
        <v>57</v>
      </c>
      <c r="AA2718" s="4">
        <f>=ROUNDDOWN(19,0)</f>
      </c>
      <c r="AB2718" s="5">
        <v>3</v>
      </c>
      <c r="AC2718" s="2" t="s">
        <v>2681</v>
      </c>
      <c r="AD2718" s="4">
        <v>100</v>
      </c>
      <c r="AE2718" s="4">
        <v>100</v>
      </c>
      <c r="AF2718" s="6">
        <v>68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/>
      <c r="BD2718" s="8"/>
      <c r="BE2718" s="4"/>
      <c r="BF2718" s="8"/>
      <c r="BG2718" s="7"/>
      <c r="BH2718" s="7"/>
      <c r="BI2718" s="7"/>
      <c r="BJ2718" s="4">
        <v>34</v>
      </c>
      <c r="BK2718" s="8">
        <v>5108.44</v>
      </c>
      <c r="BL2718" s="2" t="s">
        <v>8103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2480</v>
      </c>
      <c r="BV2718" s="2" t="s">
        <v>97</v>
      </c>
      <c r="BW2718" s="2" t="s">
        <v>100</v>
      </c>
      <c r="BX2718" s="2" t="s">
        <v>100</v>
      </c>
      <c r="BY2718" s="2" t="s">
        <v>113</v>
      </c>
      <c r="BZ2718" s="2" t="s">
        <v>100</v>
      </c>
    </row>
    <row r="2719">
      <c r="A2719" s="2" t="s">
        <v>8697</v>
      </c>
      <c r="B2719" s="2" t="s">
        <v>7711</v>
      </c>
      <c r="C2719" s="2" t="s">
        <v>88</v>
      </c>
      <c r="D2719" s="2" t="s">
        <v>8024</v>
      </c>
      <c r="E2719" s="2" t="s">
        <v>8025</v>
      </c>
      <c r="F2719" s="2" t="s">
        <v>8457</v>
      </c>
      <c r="G2719" s="2" t="s">
        <v>8458</v>
      </c>
      <c r="H2719" s="2" t="s">
        <v>8459</v>
      </c>
      <c r="I2719" s="2" t="s">
        <v>8698</v>
      </c>
      <c r="J2719" s="2" t="s">
        <v>8699</v>
      </c>
      <c r="K2719" s="2" t="s">
        <v>8700</v>
      </c>
      <c r="L2719" s="3">
        <v>303.03</v>
      </c>
      <c r="M2719" s="3">
        <v>318.18</v>
      </c>
      <c r="N2719" s="3">
        <v>649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100</v>
      </c>
      <c r="T2719" s="2" t="s">
        <v>100</v>
      </c>
      <c r="U2719" s="2" t="s">
        <v>1847</v>
      </c>
      <c r="V2719" s="2" t="s">
        <v>3188</v>
      </c>
      <c r="W2719" s="2" t="s">
        <v>415</v>
      </c>
      <c r="X2719" s="2" t="s">
        <v>183</v>
      </c>
      <c r="Y2719" s="2" t="s">
        <v>8701</v>
      </c>
      <c r="Z2719" s="4">
        <v>186</v>
      </c>
      <c r="AA2719" s="4">
        <f>=ROUNDDOWN(16.9090909090909,0)</f>
      </c>
      <c r="AB2719" s="5">
        <v>11</v>
      </c>
      <c r="AC2719" s="2" t="s">
        <v>107</v>
      </c>
      <c r="AD2719" s="4">
        <v>12</v>
      </c>
      <c r="AE2719" s="4">
        <v>182</v>
      </c>
      <c r="AF2719" s="6">
        <v>76</v>
      </c>
      <c r="AG2719" s="6">
        <v>62</v>
      </c>
      <c r="AH2719" s="7">
        <v>0.6898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/>
      <c r="BJ2719" s="4">
        <v>221</v>
      </c>
      <c r="BK2719" s="8">
        <v>65021.32</v>
      </c>
      <c r="BL2719" s="2" t="s">
        <v>8600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2480</v>
      </c>
      <c r="BV2719" s="2" t="s">
        <v>97</v>
      </c>
      <c r="BW2719" s="2" t="s">
        <v>100</v>
      </c>
      <c r="BX2719" s="2" t="s">
        <v>100</v>
      </c>
      <c r="BY2719" s="2" t="s">
        <v>113</v>
      </c>
      <c r="BZ2719" s="2" t="s">
        <v>100</v>
      </c>
    </row>
    <row r="2720">
      <c r="A2720" s="2" t="s">
        <v>8702</v>
      </c>
      <c r="B2720" s="2" t="s">
        <v>7711</v>
      </c>
      <c r="C2720" s="2" t="s">
        <v>88</v>
      </c>
      <c r="D2720" s="2" t="s">
        <v>8024</v>
      </c>
      <c r="E2720" s="2" t="s">
        <v>8025</v>
      </c>
      <c r="F2720" s="2" t="s">
        <v>8457</v>
      </c>
      <c r="G2720" s="2" t="s">
        <v>8458</v>
      </c>
      <c r="H2720" s="2" t="s">
        <v>8459</v>
      </c>
      <c r="I2720" s="2" t="s">
        <v>8698</v>
      </c>
      <c r="J2720" s="2" t="s">
        <v>8699</v>
      </c>
      <c r="K2720" s="2" t="s">
        <v>8703</v>
      </c>
      <c r="L2720" s="3">
        <v>303.03</v>
      </c>
      <c r="M2720" s="3">
        <v>318.18</v>
      </c>
      <c r="N2720" s="3">
        <v>649</v>
      </c>
      <c r="O2720" s="2" t="s">
        <v>97</v>
      </c>
      <c r="P2720" s="2" t="s">
        <v>372</v>
      </c>
      <c r="Q2720" s="2" t="s">
        <v>99</v>
      </c>
      <c r="R2720" s="2" t="s">
        <v>100</v>
      </c>
      <c r="S2720" s="2" t="s">
        <v>100</v>
      </c>
      <c r="T2720" s="2" t="s">
        <v>100</v>
      </c>
      <c r="U2720" s="2" t="s">
        <v>1847</v>
      </c>
      <c r="V2720" s="2" t="s">
        <v>3188</v>
      </c>
      <c r="W2720" s="2" t="s">
        <v>415</v>
      </c>
      <c r="X2720" s="2" t="s">
        <v>183</v>
      </c>
      <c r="Y2720" s="2" t="s">
        <v>589</v>
      </c>
      <c r="Z2720" s="4"/>
      <c r="AA2720" s="4">
        <f>=ROUNDDOWN({0},0)</f>
      </c>
      <c r="AB2720" s="5">
        <v>27</v>
      </c>
      <c r="AC2720" s="2" t="s">
        <v>8704</v>
      </c>
      <c r="AD2720" s="4">
        <v>177</v>
      </c>
      <c r="AE2720" s="4">
        <v>900</v>
      </c>
      <c r="AF2720" s="6">
        <v>76</v>
      </c>
      <c r="AG2720" s="6">
        <v>62</v>
      </c>
      <c r="AH2720" s="7">
        <v>0.861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/>
      <c r="BJ2720" s="4">
        <v>684</v>
      </c>
      <c r="BK2720" s="8">
        <v>208145.99</v>
      </c>
      <c r="BL2720" s="2" t="s">
        <v>8705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2480</v>
      </c>
      <c r="BV2720" s="2" t="s">
        <v>97</v>
      </c>
      <c r="BW2720" s="2" t="s">
        <v>100</v>
      </c>
      <c r="BX2720" s="2" t="s">
        <v>100</v>
      </c>
      <c r="BY2720" s="2" t="s">
        <v>113</v>
      </c>
      <c r="BZ2720" s="2" t="s">
        <v>100</v>
      </c>
    </row>
    <row r="2721">
      <c r="A2721" s="2" t="s">
        <v>8706</v>
      </c>
      <c r="B2721" s="2" t="s">
        <v>7711</v>
      </c>
      <c r="C2721" s="2" t="s">
        <v>88</v>
      </c>
      <c r="D2721" s="2" t="s">
        <v>8707</v>
      </c>
      <c r="E2721" s="2" t="s">
        <v>8708</v>
      </c>
      <c r="F2721" s="2" t="s">
        <v>1136</v>
      </c>
      <c r="G2721" s="2" t="s">
        <v>8709</v>
      </c>
      <c r="H2721" s="2" t="s">
        <v>8710</v>
      </c>
      <c r="I2721" s="2" t="s">
        <v>8711</v>
      </c>
      <c r="J2721" s="2" t="s">
        <v>706</v>
      </c>
      <c r="K2721" s="2" t="s">
        <v>604</v>
      </c>
      <c r="L2721" s="3">
        <v>180.5</v>
      </c>
      <c r="M2721" s="3">
        <v>189.52</v>
      </c>
      <c r="N2721" s="3">
        <v>379</v>
      </c>
      <c r="O2721" s="2" t="s">
        <v>97</v>
      </c>
      <c r="P2721" s="2" t="s">
        <v>372</v>
      </c>
      <c r="Q2721" s="2" t="s">
        <v>99</v>
      </c>
      <c r="R2721" s="2" t="s">
        <v>100</v>
      </c>
      <c r="S2721" s="2" t="s">
        <v>8712</v>
      </c>
      <c r="T2721" s="2" t="s">
        <v>100</v>
      </c>
      <c r="U2721" s="2" t="s">
        <v>1847</v>
      </c>
      <c r="V2721" s="2" t="s">
        <v>146</v>
      </c>
      <c r="W2721" s="2" t="s">
        <v>104</v>
      </c>
      <c r="X2721" s="2" t="s">
        <v>100</v>
      </c>
      <c r="Y2721" s="2" t="s">
        <v>122</v>
      </c>
      <c r="Z2721" s="4">
        <v>177</v>
      </c>
      <c r="AA2721" s="4">
        <f>=ROUNDDOWN(13.2089552238806,0)</f>
      </c>
      <c r="AB2721" s="5">
        <v>13.4</v>
      </c>
      <c r="AC2721" s="2" t="s">
        <v>123</v>
      </c>
      <c r="AD2721" s="4">
        <v>75</v>
      </c>
      <c r="AE2721" s="4">
        <v>415</v>
      </c>
      <c r="AF2721" s="6">
        <v>74</v>
      </c>
      <c r="AG2721" s="6">
        <v>60</v>
      </c>
      <c r="AH2721" s="7">
        <v>1</v>
      </c>
      <c r="AI2721" s="4"/>
      <c r="AJ2721" s="4">
        <f>=ROUNDDOWN({0},0)</f>
      </c>
      <c r="AK2721" s="5">
        <v>25.6</v>
      </c>
      <c r="AL2721" s="2" t="s">
        <v>1292</v>
      </c>
      <c r="AM2721" s="4">
        <v>100</v>
      </c>
      <c r="AN2721" s="4">
        <v>100</v>
      </c>
      <c r="AO2721" s="7">
        <v>0.4332</v>
      </c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/>
      <c r="BJ2721" s="4">
        <v>680</v>
      </c>
      <c r="BK2721" s="8">
        <v>119498.51</v>
      </c>
      <c r="BL2721" s="2" t="s">
        <v>8713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2480</v>
      </c>
      <c r="BV2721" s="2" t="s">
        <v>97</v>
      </c>
      <c r="BW2721" s="2" t="s">
        <v>100</v>
      </c>
      <c r="BX2721" s="2" t="s">
        <v>100</v>
      </c>
      <c r="BY2721" s="2" t="s">
        <v>113</v>
      </c>
      <c r="BZ2721" s="2" t="s">
        <v>100</v>
      </c>
    </row>
    <row r="2722">
      <c r="A2722" s="2" t="s">
        <v>8714</v>
      </c>
      <c r="B2722" s="2" t="s">
        <v>7711</v>
      </c>
      <c r="C2722" s="2" t="s">
        <v>88</v>
      </c>
      <c r="D2722" s="2" t="s">
        <v>8707</v>
      </c>
      <c r="E2722" s="2" t="s">
        <v>8708</v>
      </c>
      <c r="F2722" s="2" t="s">
        <v>1136</v>
      </c>
      <c r="G2722" s="2" t="s">
        <v>8709</v>
      </c>
      <c r="H2722" s="2" t="s">
        <v>8710</v>
      </c>
      <c r="I2722" s="2" t="s">
        <v>8711</v>
      </c>
      <c r="J2722" s="2" t="s">
        <v>706</v>
      </c>
      <c r="K2722" s="2" t="s">
        <v>198</v>
      </c>
      <c r="L2722" s="3">
        <v>180.5</v>
      </c>
      <c r="M2722" s="3">
        <v>189.52</v>
      </c>
      <c r="N2722" s="3">
        <v>379</v>
      </c>
      <c r="O2722" s="2" t="s">
        <v>97</v>
      </c>
      <c r="P2722" s="2" t="s">
        <v>119</v>
      </c>
      <c r="Q2722" s="2" t="s">
        <v>99</v>
      </c>
      <c r="R2722" s="2" t="s">
        <v>100</v>
      </c>
      <c r="S2722" s="2" t="s">
        <v>8715</v>
      </c>
      <c r="T2722" s="2" t="s">
        <v>100</v>
      </c>
      <c r="U2722" s="2" t="s">
        <v>1847</v>
      </c>
      <c r="V2722" s="2" t="s">
        <v>146</v>
      </c>
      <c r="W2722" s="2" t="s">
        <v>104</v>
      </c>
      <c r="X2722" s="2" t="s">
        <v>100</v>
      </c>
      <c r="Y2722" s="2" t="s">
        <v>8716</v>
      </c>
      <c r="Z2722" s="4">
        <v>571</v>
      </c>
      <c r="AA2722" s="4">
        <f>=ROUNDDOWN(89.21875,0)</f>
      </c>
      <c r="AB2722" s="5">
        <v>6.4</v>
      </c>
      <c r="AC2722" s="2" t="s">
        <v>100</v>
      </c>
      <c r="AD2722" s="4"/>
      <c r="AE2722" s="4"/>
      <c r="AF2722" s="6">
        <v>74</v>
      </c>
      <c r="AG2722" s="6">
        <v>60</v>
      </c>
      <c r="AH2722" s="7">
        <v>1</v>
      </c>
      <c r="AI2722" s="4"/>
      <c r="AJ2722" s="4">
        <f>=ROUNDDOWN({0},0)</f>
      </c>
      <c r="AK2722" s="5">
        <v>9.7</v>
      </c>
      <c r="AL2722" s="2" t="s">
        <v>100</v>
      </c>
      <c r="AM2722" s="4"/>
      <c r="AN2722" s="4"/>
      <c r="AO2722" s="7">
        <v>0.4332</v>
      </c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/>
      <c r="BJ2722" s="4">
        <v>322</v>
      </c>
      <c r="BK2722" s="8">
        <v>56284.26</v>
      </c>
      <c r="BL2722" s="2" t="s">
        <v>8717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2480</v>
      </c>
      <c r="BV2722" s="2" t="s">
        <v>97</v>
      </c>
      <c r="BW2722" s="2" t="s">
        <v>100</v>
      </c>
      <c r="BX2722" s="2" t="s">
        <v>100</v>
      </c>
      <c r="BY2722" s="2" t="s">
        <v>113</v>
      </c>
      <c r="BZ2722" s="2" t="s">
        <v>100</v>
      </c>
    </row>
    <row r="2723">
      <c r="A2723" s="2" t="s">
        <v>8718</v>
      </c>
      <c r="B2723" s="2" t="s">
        <v>7711</v>
      </c>
      <c r="C2723" s="2" t="s">
        <v>88</v>
      </c>
      <c r="D2723" s="2" t="s">
        <v>8707</v>
      </c>
      <c r="E2723" s="2" t="s">
        <v>8708</v>
      </c>
      <c r="F2723" s="2" t="s">
        <v>1136</v>
      </c>
      <c r="G2723" s="2" t="s">
        <v>8709</v>
      </c>
      <c r="H2723" s="2" t="s">
        <v>8710</v>
      </c>
      <c r="I2723" s="2" t="s">
        <v>8711</v>
      </c>
      <c r="J2723" s="2" t="s">
        <v>706</v>
      </c>
      <c r="K2723" s="2" t="s">
        <v>360</v>
      </c>
      <c r="L2723" s="3">
        <v>180.5</v>
      </c>
      <c r="M2723" s="3">
        <v>189.52</v>
      </c>
      <c r="N2723" s="3">
        <v>379</v>
      </c>
      <c r="O2723" s="2" t="s">
        <v>97</v>
      </c>
      <c r="P2723" s="2" t="s">
        <v>119</v>
      </c>
      <c r="Q2723" s="2" t="s">
        <v>99</v>
      </c>
      <c r="R2723" s="2" t="s">
        <v>100</v>
      </c>
      <c r="S2723" s="2" t="s">
        <v>100</v>
      </c>
      <c r="T2723" s="2" t="s">
        <v>100</v>
      </c>
      <c r="U2723" s="2" t="s">
        <v>1847</v>
      </c>
      <c r="V2723" s="2" t="s">
        <v>146</v>
      </c>
      <c r="W2723" s="2" t="s">
        <v>104</v>
      </c>
      <c r="X2723" s="2" t="s">
        <v>100</v>
      </c>
      <c r="Y2723" s="2" t="s">
        <v>8719</v>
      </c>
      <c r="Z2723" s="4">
        <v>102</v>
      </c>
      <c r="AA2723" s="4">
        <f>=ROUNDDOWN(14.5714285714286,0)</f>
      </c>
      <c r="AB2723" s="5">
        <v>7</v>
      </c>
      <c r="AC2723" s="2" t="s">
        <v>1318</v>
      </c>
      <c r="AD2723" s="4">
        <v>60</v>
      </c>
      <c r="AE2723" s="4">
        <v>110</v>
      </c>
      <c r="AF2723" s="6">
        <v>74</v>
      </c>
      <c r="AG2723" s="6"/>
      <c r="AH2723" s="7">
        <v>0.861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/>
      <c r="BJ2723" s="4">
        <v>128</v>
      </c>
      <c r="BK2723" s="8">
        <v>22491.26</v>
      </c>
      <c r="BL2723" s="2" t="s">
        <v>8720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2480</v>
      </c>
      <c r="BV2723" s="2" t="s">
        <v>97</v>
      </c>
      <c r="BW2723" s="2" t="s">
        <v>100</v>
      </c>
      <c r="BX2723" s="2" t="s">
        <v>100</v>
      </c>
      <c r="BY2723" s="2" t="s">
        <v>113</v>
      </c>
      <c r="BZ2723" s="2" t="s">
        <v>100</v>
      </c>
    </row>
    <row r="2724">
      <c r="A2724" s="2" t="s">
        <v>8721</v>
      </c>
      <c r="B2724" s="2" t="s">
        <v>7711</v>
      </c>
      <c r="C2724" s="2" t="s">
        <v>88</v>
      </c>
      <c r="D2724" s="2" t="s">
        <v>8707</v>
      </c>
      <c r="E2724" s="2" t="s">
        <v>8708</v>
      </c>
      <c r="F2724" s="2" t="s">
        <v>8722</v>
      </c>
      <c r="G2724" s="2" t="s">
        <v>8723</v>
      </c>
      <c r="H2724" s="2" t="s">
        <v>8724</v>
      </c>
      <c r="I2724" s="2" t="s">
        <v>8711</v>
      </c>
      <c r="J2724" s="2" t="s">
        <v>706</v>
      </c>
      <c r="K2724" s="2" t="s">
        <v>858</v>
      </c>
      <c r="L2724" s="3">
        <v>130</v>
      </c>
      <c r="M2724" s="3">
        <v>136.5</v>
      </c>
      <c r="N2724" s="3">
        <v>269</v>
      </c>
      <c r="O2724" s="2" t="s">
        <v>97</v>
      </c>
      <c r="P2724" s="2" t="s">
        <v>119</v>
      </c>
      <c r="Q2724" s="2" t="s">
        <v>99</v>
      </c>
      <c r="R2724" s="2" t="s">
        <v>100</v>
      </c>
      <c r="S2724" s="2" t="s">
        <v>8725</v>
      </c>
      <c r="T2724" s="2" t="s">
        <v>100</v>
      </c>
      <c r="U2724" s="2" t="s">
        <v>100</v>
      </c>
      <c r="V2724" s="2" t="s">
        <v>146</v>
      </c>
      <c r="W2724" s="2" t="s">
        <v>104</v>
      </c>
      <c r="X2724" s="2" t="s">
        <v>100</v>
      </c>
      <c r="Y2724" s="2" t="s">
        <v>5972</v>
      </c>
      <c r="Z2724" s="4">
        <v>149</v>
      </c>
      <c r="AA2724" s="4">
        <f>=ROUNDDOWN(9.93333333333333,0)</f>
      </c>
      <c r="AB2724" s="5">
        <v>15</v>
      </c>
      <c r="AC2724" s="2" t="s">
        <v>2618</v>
      </c>
      <c r="AD2724" s="4">
        <v>186</v>
      </c>
      <c r="AE2724" s="4">
        <v>348</v>
      </c>
      <c r="AF2724" s="6">
        <v>66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/>
      <c r="BJ2724" s="4">
        <v>417</v>
      </c>
      <c r="BK2724" s="8">
        <v>49575.1</v>
      </c>
      <c r="BL2724" s="2" t="s">
        <v>8726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2480</v>
      </c>
      <c r="BV2724" s="2" t="s">
        <v>97</v>
      </c>
      <c r="BW2724" s="2" t="s">
        <v>100</v>
      </c>
      <c r="BX2724" s="2" t="s">
        <v>100</v>
      </c>
      <c r="BY2724" s="2" t="s">
        <v>113</v>
      </c>
      <c r="BZ2724" s="2" t="s">
        <v>100</v>
      </c>
    </row>
    <row r="2725">
      <c r="A2725" s="2" t="s">
        <v>8727</v>
      </c>
      <c r="B2725" s="2" t="s">
        <v>7711</v>
      </c>
      <c r="C2725" s="2" t="s">
        <v>88</v>
      </c>
      <c r="D2725" s="2" t="s">
        <v>8707</v>
      </c>
      <c r="E2725" s="2" t="s">
        <v>8708</v>
      </c>
      <c r="F2725" s="2" t="s">
        <v>8722</v>
      </c>
      <c r="G2725" s="2" t="s">
        <v>8723</v>
      </c>
      <c r="H2725" s="2" t="s">
        <v>8724</v>
      </c>
      <c r="I2725" s="2" t="s">
        <v>8711</v>
      </c>
      <c r="J2725" s="2" t="s">
        <v>714</v>
      </c>
      <c r="K2725" s="2" t="s">
        <v>858</v>
      </c>
      <c r="L2725" s="3">
        <v>148</v>
      </c>
      <c r="M2725" s="3">
        <v>155.4</v>
      </c>
      <c r="N2725" s="3">
        <v>309</v>
      </c>
      <c r="O2725" s="2" t="s">
        <v>97</v>
      </c>
      <c r="P2725" s="2" t="s">
        <v>119</v>
      </c>
      <c r="Q2725" s="2" t="s">
        <v>99</v>
      </c>
      <c r="R2725" s="2" t="s">
        <v>100</v>
      </c>
      <c r="S2725" s="2" t="s">
        <v>8728</v>
      </c>
      <c r="T2725" s="2" t="s">
        <v>100</v>
      </c>
      <c r="U2725" s="2" t="s">
        <v>100</v>
      </c>
      <c r="V2725" s="2" t="s">
        <v>146</v>
      </c>
      <c r="W2725" s="2" t="s">
        <v>104</v>
      </c>
      <c r="X2725" s="2" t="s">
        <v>100</v>
      </c>
      <c r="Y2725" s="2" t="s">
        <v>8716</v>
      </c>
      <c r="Z2725" s="4">
        <v>5</v>
      </c>
      <c r="AA2725" s="4">
        <f>=ROUNDDOWN(0.384615384615385,0)</f>
      </c>
      <c r="AB2725" s="5">
        <v>13</v>
      </c>
      <c r="AC2725" s="2" t="s">
        <v>222</v>
      </c>
      <c r="AD2725" s="4">
        <v>134</v>
      </c>
      <c r="AE2725" s="4">
        <v>468</v>
      </c>
      <c r="AF2725" s="6">
        <v>66</v>
      </c>
      <c r="AG2725" s="6"/>
      <c r="AH2725" s="7">
        <v>0.9679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/>
      <c r="BJ2725" s="4">
        <v>366</v>
      </c>
      <c r="BK2725" s="8">
        <v>52882.08</v>
      </c>
      <c r="BL2725" s="2" t="s">
        <v>8729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2480</v>
      </c>
      <c r="BV2725" s="2" t="s">
        <v>97</v>
      </c>
      <c r="BW2725" s="2" t="s">
        <v>100</v>
      </c>
      <c r="BX2725" s="2" t="s">
        <v>100</v>
      </c>
      <c r="BY2725" s="2" t="s">
        <v>113</v>
      </c>
      <c r="BZ2725" s="2" t="s">
        <v>100</v>
      </c>
    </row>
    <row r="2726">
      <c r="A2726" s="2" t="s">
        <v>8730</v>
      </c>
      <c r="B2726" s="2" t="s">
        <v>7711</v>
      </c>
      <c r="C2726" s="2" t="s">
        <v>88</v>
      </c>
      <c r="D2726" s="2" t="s">
        <v>8043</v>
      </c>
      <c r="E2726" s="2" t="s">
        <v>8044</v>
      </c>
      <c r="F2726" s="2" t="s">
        <v>8731</v>
      </c>
      <c r="G2726" s="2" t="s">
        <v>8732</v>
      </c>
      <c r="H2726" s="2" t="s">
        <v>8733</v>
      </c>
      <c r="I2726" s="2" t="s">
        <v>8044</v>
      </c>
      <c r="J2726" s="2" t="s">
        <v>3877</v>
      </c>
      <c r="K2726" s="2" t="s">
        <v>8734</v>
      </c>
      <c r="L2726" s="3">
        <v>360</v>
      </c>
      <c r="M2726" s="3">
        <v>378</v>
      </c>
      <c r="N2726" s="3">
        <v>749</v>
      </c>
      <c r="O2726" s="2" t="s">
        <v>97</v>
      </c>
      <c r="P2726" s="2" t="s">
        <v>372</v>
      </c>
      <c r="Q2726" s="2" t="s">
        <v>99</v>
      </c>
      <c r="R2726" s="2" t="s">
        <v>100</v>
      </c>
      <c r="S2726" s="2" t="s">
        <v>8735</v>
      </c>
      <c r="T2726" s="2" t="s">
        <v>100</v>
      </c>
      <c r="U2726" s="2" t="s">
        <v>1847</v>
      </c>
      <c r="V2726" s="2" t="s">
        <v>146</v>
      </c>
      <c r="W2726" s="2" t="s">
        <v>415</v>
      </c>
      <c r="X2726" s="2" t="s">
        <v>104</v>
      </c>
      <c r="Y2726" s="2" t="s">
        <v>8736</v>
      </c>
      <c r="Z2726" s="4">
        <v>223</v>
      </c>
      <c r="AA2726" s="4">
        <f>=ROUNDDOWN(18.5833333333333,0)</f>
      </c>
      <c r="AB2726" s="5">
        <v>12</v>
      </c>
      <c r="AC2726" s="2" t="s">
        <v>1035</v>
      </c>
      <c r="AD2726" s="4">
        <v>159</v>
      </c>
      <c r="AE2726" s="4">
        <v>294</v>
      </c>
      <c r="AF2726" s="6">
        <v>66</v>
      </c>
      <c r="AG2726" s="6">
        <v>49</v>
      </c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/>
      <c r="BD2726" s="8"/>
      <c r="BE2726" s="4"/>
      <c r="BF2726" s="8"/>
      <c r="BG2726" s="7"/>
      <c r="BH2726" s="7"/>
      <c r="BI2726" s="7"/>
      <c r="BJ2726" s="4">
        <v>321</v>
      </c>
      <c r="BK2726" s="8">
        <v>119492.39</v>
      </c>
      <c r="BL2726" s="2" t="s">
        <v>8737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2528</v>
      </c>
      <c r="BV2726" s="2" t="s">
        <v>97</v>
      </c>
      <c r="BW2726" s="2" t="s">
        <v>100</v>
      </c>
      <c r="BX2726" s="2" t="s">
        <v>100</v>
      </c>
      <c r="BY2726" s="2" t="s">
        <v>113</v>
      </c>
      <c r="BZ2726" s="2" t="s">
        <v>100</v>
      </c>
    </row>
    <row r="2727">
      <c r="A2727" s="2" t="s">
        <v>8738</v>
      </c>
      <c r="B2727" s="2" t="s">
        <v>7711</v>
      </c>
      <c r="C2727" s="2" t="s">
        <v>88</v>
      </c>
      <c r="D2727" s="2" t="s">
        <v>8050</v>
      </c>
      <c r="E2727" s="2" t="s">
        <v>8739</v>
      </c>
      <c r="F2727" s="2" t="s">
        <v>8740</v>
      </c>
      <c r="G2727" s="2" t="s">
        <v>8741</v>
      </c>
      <c r="H2727" s="2" t="s">
        <v>8742</v>
      </c>
      <c r="I2727" s="2" t="s">
        <v>8743</v>
      </c>
      <c r="J2727" s="2" t="s">
        <v>3877</v>
      </c>
      <c r="K2727" s="2" t="s">
        <v>118</v>
      </c>
      <c r="L2727" s="3">
        <v>282.15</v>
      </c>
      <c r="M2727" s="3">
        <v>296.26</v>
      </c>
      <c r="N2727" s="3">
        <v>599</v>
      </c>
      <c r="O2727" s="2" t="s">
        <v>97</v>
      </c>
      <c r="P2727" s="2" t="s">
        <v>119</v>
      </c>
      <c r="Q2727" s="2" t="s">
        <v>99</v>
      </c>
      <c r="R2727" s="2" t="s">
        <v>100</v>
      </c>
      <c r="S2727" s="2" t="s">
        <v>100</v>
      </c>
      <c r="T2727" s="2" t="s">
        <v>100</v>
      </c>
      <c r="U2727" s="2" t="s">
        <v>1847</v>
      </c>
      <c r="V2727" s="2" t="s">
        <v>146</v>
      </c>
      <c r="W2727" s="2" t="s">
        <v>104</v>
      </c>
      <c r="X2727" s="2" t="s">
        <v>309</v>
      </c>
      <c r="Y2727" s="2" t="s">
        <v>8744</v>
      </c>
      <c r="Z2727" s="4">
        <v>7</v>
      </c>
      <c r="AA2727" s="4">
        <f>=ROUNDDOWN(0.7,0)</f>
      </c>
      <c r="AB2727" s="5">
        <v>10</v>
      </c>
      <c r="AC2727" s="2" t="s">
        <v>608</v>
      </c>
      <c r="AD2727" s="4">
        <v>45</v>
      </c>
      <c r="AE2727" s="4">
        <v>263</v>
      </c>
      <c r="AF2727" s="6">
        <v>66</v>
      </c>
      <c r="AG2727" s="6">
        <v>49</v>
      </c>
      <c r="AH2727" s="7">
        <v>0.9358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/>
      <c r="BJ2727" s="4">
        <v>237</v>
      </c>
      <c r="BK2727" s="8">
        <v>58183.69</v>
      </c>
      <c r="BL2727" s="2" t="s">
        <v>8745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2480</v>
      </c>
      <c r="BV2727" s="2" t="s">
        <v>97</v>
      </c>
      <c r="BW2727" s="2" t="s">
        <v>100</v>
      </c>
      <c r="BX2727" s="2" t="s">
        <v>100</v>
      </c>
      <c r="BY2727" s="2" t="s">
        <v>113</v>
      </c>
      <c r="BZ2727" s="2" t="s">
        <v>100</v>
      </c>
    </row>
    <row r="2728">
      <c r="A2728" s="2" t="s">
        <v>8746</v>
      </c>
      <c r="B2728" s="2" t="s">
        <v>7711</v>
      </c>
      <c r="C2728" s="2" t="s">
        <v>88</v>
      </c>
      <c r="D2728" s="2" t="s">
        <v>8050</v>
      </c>
      <c r="E2728" s="2" t="s">
        <v>8739</v>
      </c>
      <c r="F2728" s="2" t="s">
        <v>8740</v>
      </c>
      <c r="G2728" s="2" t="s">
        <v>8741</v>
      </c>
      <c r="H2728" s="2" t="s">
        <v>8742</v>
      </c>
      <c r="I2728" s="2" t="s">
        <v>8747</v>
      </c>
      <c r="J2728" s="2" t="s">
        <v>3877</v>
      </c>
      <c r="K2728" s="2" t="s">
        <v>604</v>
      </c>
      <c r="L2728" s="3">
        <v>282.15</v>
      </c>
      <c r="M2728" s="3">
        <v>296.26</v>
      </c>
      <c r="N2728" s="3">
        <v>599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8748</v>
      </c>
      <c r="T2728" s="2" t="s">
        <v>100</v>
      </c>
      <c r="U2728" s="2" t="s">
        <v>100</v>
      </c>
      <c r="V2728" s="2" t="s">
        <v>146</v>
      </c>
      <c r="W2728" s="2" t="s">
        <v>104</v>
      </c>
      <c r="X2728" s="2" t="s">
        <v>100</v>
      </c>
      <c r="Y2728" s="2" t="s">
        <v>5505</v>
      </c>
      <c r="Z2728" s="4">
        <v>210</v>
      </c>
      <c r="AA2728" s="4">
        <f>=ROUNDDOWN(21,0)</f>
      </c>
      <c r="AB2728" s="5">
        <v>10</v>
      </c>
      <c r="AC2728" s="2" t="s">
        <v>768</v>
      </c>
      <c r="AD2728" s="4">
        <v>120</v>
      </c>
      <c r="AE2728" s="4">
        <v>253</v>
      </c>
      <c r="AF2728" s="6">
        <v>69</v>
      </c>
      <c r="AG2728" s="6">
        <v>52</v>
      </c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/>
      <c r="BJ2728" s="4">
        <v>371</v>
      </c>
      <c r="BK2728" s="8">
        <v>100603.33</v>
      </c>
      <c r="BL2728" s="2" t="s">
        <v>8749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2480</v>
      </c>
      <c r="BV2728" s="2" t="s">
        <v>97</v>
      </c>
      <c r="BW2728" s="2" t="s">
        <v>100</v>
      </c>
      <c r="BX2728" s="2" t="s">
        <v>100</v>
      </c>
      <c r="BY2728" s="2" t="s">
        <v>113</v>
      </c>
      <c r="BZ2728" s="2" t="s">
        <v>100</v>
      </c>
    </row>
    <row r="2729">
      <c r="A2729" s="2" t="s">
        <v>8750</v>
      </c>
      <c r="B2729" s="2" t="s">
        <v>7711</v>
      </c>
      <c r="C2729" s="2" t="s">
        <v>88</v>
      </c>
      <c r="D2729" s="2" t="s">
        <v>8050</v>
      </c>
      <c r="E2729" s="2" t="s">
        <v>8739</v>
      </c>
      <c r="F2729" s="2" t="s">
        <v>8751</v>
      </c>
      <c r="G2729" s="2" t="s">
        <v>8752</v>
      </c>
      <c r="H2729" s="2" t="s">
        <v>8753</v>
      </c>
      <c r="I2729" s="2" t="s">
        <v>8747</v>
      </c>
      <c r="J2729" s="2" t="s">
        <v>3877</v>
      </c>
      <c r="K2729" s="2" t="s">
        <v>198</v>
      </c>
      <c r="L2729" s="3">
        <v>270.75</v>
      </c>
      <c r="M2729" s="3">
        <v>284.29</v>
      </c>
      <c r="N2729" s="3">
        <v>569</v>
      </c>
      <c r="O2729" s="2" t="s">
        <v>97</v>
      </c>
      <c r="P2729" s="2" t="s">
        <v>119</v>
      </c>
      <c r="Q2729" s="2" t="s">
        <v>99</v>
      </c>
      <c r="R2729" s="2" t="s">
        <v>100</v>
      </c>
      <c r="S2729" s="2" t="s">
        <v>8754</v>
      </c>
      <c r="T2729" s="2" t="s">
        <v>100</v>
      </c>
      <c r="U2729" s="2" t="s">
        <v>100</v>
      </c>
      <c r="V2729" s="2" t="s">
        <v>2661</v>
      </c>
      <c r="W2729" s="2" t="s">
        <v>104</v>
      </c>
      <c r="X2729" s="2" t="s">
        <v>100</v>
      </c>
      <c r="Y2729" s="2" t="s">
        <v>5505</v>
      </c>
      <c r="Z2729" s="4">
        <v>122</v>
      </c>
      <c r="AA2729" s="4">
        <f>=ROUNDDOWN(17.4285714285714,0)</f>
      </c>
      <c r="AB2729" s="5">
        <v>7</v>
      </c>
      <c r="AC2729" s="2" t="s">
        <v>768</v>
      </c>
      <c r="AD2729" s="4">
        <v>101</v>
      </c>
      <c r="AE2729" s="4">
        <v>201</v>
      </c>
      <c r="AF2729" s="6">
        <v>66</v>
      </c>
      <c r="AG2729" s="6">
        <v>49</v>
      </c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/>
      <c r="BJ2729" s="4">
        <v>179</v>
      </c>
      <c r="BK2729" s="8">
        <v>43796.39</v>
      </c>
      <c r="BL2729" s="2" t="s">
        <v>8755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2480</v>
      </c>
      <c r="BV2729" s="2" t="s">
        <v>97</v>
      </c>
      <c r="BW2729" s="2" t="s">
        <v>100</v>
      </c>
      <c r="BX2729" s="2" t="s">
        <v>100</v>
      </c>
      <c r="BY2729" s="2" t="s">
        <v>113</v>
      </c>
      <c r="BZ2729" s="2" t="s">
        <v>100</v>
      </c>
    </row>
    <row r="2730">
      <c r="A2730" s="2" t="s">
        <v>8756</v>
      </c>
      <c r="B2730" s="2" t="s">
        <v>7711</v>
      </c>
      <c r="C2730" s="2" t="s">
        <v>88</v>
      </c>
      <c r="D2730" s="2" t="s">
        <v>8050</v>
      </c>
      <c r="E2730" s="2" t="s">
        <v>8739</v>
      </c>
      <c r="F2730" s="2" t="s">
        <v>8751</v>
      </c>
      <c r="G2730" s="2" t="s">
        <v>8752</v>
      </c>
      <c r="H2730" s="2" t="s">
        <v>8753</v>
      </c>
      <c r="I2730" s="2" t="s">
        <v>8747</v>
      </c>
      <c r="J2730" s="2" t="s">
        <v>3877</v>
      </c>
      <c r="K2730" s="2" t="s">
        <v>8757</v>
      </c>
      <c r="L2730" s="3">
        <v>270.75</v>
      </c>
      <c r="M2730" s="3">
        <v>284.29</v>
      </c>
      <c r="N2730" s="3">
        <v>569</v>
      </c>
      <c r="O2730" s="2" t="s">
        <v>97</v>
      </c>
      <c r="P2730" s="2" t="s">
        <v>119</v>
      </c>
      <c r="Q2730" s="2" t="s">
        <v>99</v>
      </c>
      <c r="R2730" s="2" t="s">
        <v>100</v>
      </c>
      <c r="S2730" s="2" t="s">
        <v>100</v>
      </c>
      <c r="T2730" s="2" t="s">
        <v>100</v>
      </c>
      <c r="U2730" s="2" t="s">
        <v>1847</v>
      </c>
      <c r="V2730" s="2" t="s">
        <v>403</v>
      </c>
      <c r="W2730" s="2" t="s">
        <v>104</v>
      </c>
      <c r="X2730" s="2" t="s">
        <v>309</v>
      </c>
      <c r="Y2730" s="2" t="s">
        <v>8758</v>
      </c>
      <c r="Z2730" s="4">
        <v>101</v>
      </c>
      <c r="AA2730" s="4">
        <f>=ROUNDDOWN(25.25,0)</f>
      </c>
      <c r="AB2730" s="5">
        <v>4</v>
      </c>
      <c r="AC2730" s="2" t="s">
        <v>1259</v>
      </c>
      <c r="AD2730" s="4">
        <v>100</v>
      </c>
      <c r="AE2730" s="4">
        <v>100</v>
      </c>
      <c r="AF2730" s="6">
        <v>66</v>
      </c>
      <c r="AG2730" s="6">
        <v>49</v>
      </c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/>
      <c r="BJ2730" s="4">
        <v>230</v>
      </c>
      <c r="BK2730" s="8">
        <v>55722.1</v>
      </c>
      <c r="BL2730" s="2" t="s">
        <v>8759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2480</v>
      </c>
      <c r="BV2730" s="2" t="s">
        <v>97</v>
      </c>
      <c r="BW2730" s="2" t="s">
        <v>100</v>
      </c>
      <c r="BX2730" s="2" t="s">
        <v>100</v>
      </c>
      <c r="BY2730" s="2" t="s">
        <v>113</v>
      </c>
      <c r="BZ2730" s="2" t="s">
        <v>100</v>
      </c>
    </row>
    <row r="2731">
      <c r="A2731" s="2" t="s">
        <v>8760</v>
      </c>
      <c r="B2731" s="2" t="s">
        <v>7711</v>
      </c>
      <c r="C2731" s="2" t="s">
        <v>88</v>
      </c>
      <c r="D2731" s="2" t="s">
        <v>8050</v>
      </c>
      <c r="E2731" s="2" t="s">
        <v>8051</v>
      </c>
      <c r="F2731" s="2" t="s">
        <v>8761</v>
      </c>
      <c r="G2731" s="2" t="s">
        <v>8761</v>
      </c>
      <c r="H2731" s="2" t="s">
        <v>8761</v>
      </c>
      <c r="I2731" s="2" t="s">
        <v>8762</v>
      </c>
      <c r="J2731" s="2" t="s">
        <v>3877</v>
      </c>
      <c r="K2731" s="2" t="s">
        <v>604</v>
      </c>
      <c r="L2731" s="3">
        <v>210</v>
      </c>
      <c r="M2731" s="3">
        <v>220.5</v>
      </c>
      <c r="N2731" s="3">
        <v>449</v>
      </c>
      <c r="O2731" s="2" t="s">
        <v>97</v>
      </c>
      <c r="P2731" s="2" t="s">
        <v>225</v>
      </c>
      <c r="Q2731" s="2" t="s">
        <v>99</v>
      </c>
      <c r="R2731" s="2" t="s">
        <v>100</v>
      </c>
      <c r="S2731" s="2" t="s">
        <v>100</v>
      </c>
      <c r="T2731" s="2" t="s">
        <v>100</v>
      </c>
      <c r="U2731" s="2" t="s">
        <v>1847</v>
      </c>
      <c r="V2731" s="2" t="s">
        <v>3188</v>
      </c>
      <c r="W2731" s="2" t="s">
        <v>104</v>
      </c>
      <c r="X2731" s="2" t="s">
        <v>183</v>
      </c>
      <c r="Y2731" s="2" t="s">
        <v>3509</v>
      </c>
      <c r="Z2731" s="4">
        <v>77</v>
      </c>
      <c r="AA2731" s="4">
        <f>=ROUNDDOWN(38.5,0)</f>
      </c>
      <c r="AB2731" s="5">
        <v>2</v>
      </c>
      <c r="AC2731" s="2" t="s">
        <v>100</v>
      </c>
      <c r="AD2731" s="4"/>
      <c r="AE2731" s="4"/>
      <c r="AF2731" s="6">
        <v>74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/>
      <c r="BJ2731" s="4">
        <v>36</v>
      </c>
      <c r="BK2731" s="8">
        <v>7757.14</v>
      </c>
      <c r="BL2731" s="2" t="s">
        <v>8063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2480</v>
      </c>
      <c r="BV2731" s="2" t="s">
        <v>97</v>
      </c>
      <c r="BW2731" s="2" t="s">
        <v>100</v>
      </c>
      <c r="BX2731" s="2" t="s">
        <v>100</v>
      </c>
      <c r="BY2731" s="2" t="s">
        <v>113</v>
      </c>
      <c r="BZ2731" s="2" t="s">
        <v>100</v>
      </c>
    </row>
    <row r="2732">
      <c r="A2732" s="2" t="s">
        <v>8763</v>
      </c>
      <c r="B2732" s="2" t="s">
        <v>7711</v>
      </c>
      <c r="C2732" s="2" t="s">
        <v>88</v>
      </c>
      <c r="D2732" s="2" t="s">
        <v>8050</v>
      </c>
      <c r="E2732" s="2" t="s">
        <v>8051</v>
      </c>
      <c r="F2732" s="2" t="s">
        <v>8761</v>
      </c>
      <c r="G2732" s="2" t="s">
        <v>8761</v>
      </c>
      <c r="H2732" s="2" t="s">
        <v>8761</v>
      </c>
      <c r="I2732" s="2" t="s">
        <v>8762</v>
      </c>
      <c r="J2732" s="2" t="s">
        <v>3877</v>
      </c>
      <c r="K2732" s="2" t="s">
        <v>858</v>
      </c>
      <c r="L2732" s="3">
        <v>210</v>
      </c>
      <c r="M2732" s="3">
        <v>220.5</v>
      </c>
      <c r="N2732" s="3">
        <v>449</v>
      </c>
      <c r="O2732" s="2" t="s">
        <v>97</v>
      </c>
      <c r="P2732" s="2" t="s">
        <v>225</v>
      </c>
      <c r="Q2732" s="2" t="s">
        <v>99</v>
      </c>
      <c r="R2732" s="2" t="s">
        <v>100</v>
      </c>
      <c r="S2732" s="2" t="s">
        <v>100</v>
      </c>
      <c r="T2732" s="2" t="s">
        <v>100</v>
      </c>
      <c r="U2732" s="2" t="s">
        <v>1847</v>
      </c>
      <c r="V2732" s="2" t="s">
        <v>3188</v>
      </c>
      <c r="W2732" s="2" t="s">
        <v>104</v>
      </c>
      <c r="X2732" s="2" t="s">
        <v>183</v>
      </c>
      <c r="Y2732" s="2" t="s">
        <v>3509</v>
      </c>
      <c r="Z2732" s="4">
        <v>36</v>
      </c>
      <c r="AA2732" s="4">
        <f>=ROUNDDOWN(36,0)</f>
      </c>
      <c r="AB2732" s="5">
        <v>1</v>
      </c>
      <c r="AC2732" s="2" t="s">
        <v>100</v>
      </c>
      <c r="AD2732" s="4"/>
      <c r="AE2732" s="4"/>
      <c r="AF2732" s="6">
        <v>74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/>
      <c r="BJ2732" s="4">
        <v>24</v>
      </c>
      <c r="BK2732" s="8">
        <v>5210.84</v>
      </c>
      <c r="BL2732" s="2" t="s">
        <v>7957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2480</v>
      </c>
      <c r="BV2732" s="2" t="s">
        <v>97</v>
      </c>
      <c r="BW2732" s="2" t="s">
        <v>100</v>
      </c>
      <c r="BX2732" s="2" t="s">
        <v>100</v>
      </c>
      <c r="BY2732" s="2" t="s">
        <v>113</v>
      </c>
      <c r="BZ2732" s="2" t="s">
        <v>100</v>
      </c>
    </row>
    <row r="2733">
      <c r="A2733" s="2" t="s">
        <v>8764</v>
      </c>
      <c r="B2733" s="2" t="s">
        <v>7711</v>
      </c>
      <c r="C2733" s="2" t="s">
        <v>88</v>
      </c>
      <c r="D2733" s="2" t="s">
        <v>8050</v>
      </c>
      <c r="E2733" s="2" t="s">
        <v>8051</v>
      </c>
      <c r="F2733" s="2" t="s">
        <v>8765</v>
      </c>
      <c r="G2733" s="2" t="s">
        <v>8766</v>
      </c>
      <c r="H2733" s="2" t="s">
        <v>558</v>
      </c>
      <c r="I2733" s="2" t="s">
        <v>8767</v>
      </c>
      <c r="J2733" s="2" t="s">
        <v>3877</v>
      </c>
      <c r="K2733" s="2" t="s">
        <v>8169</v>
      </c>
      <c r="L2733" s="3">
        <v>237.5</v>
      </c>
      <c r="M2733" s="3">
        <v>249.38</v>
      </c>
      <c r="N2733" s="3">
        <v>499</v>
      </c>
      <c r="O2733" s="2" t="s">
        <v>97</v>
      </c>
      <c r="P2733" s="2" t="s">
        <v>372</v>
      </c>
      <c r="Q2733" s="2" t="s">
        <v>99</v>
      </c>
      <c r="R2733" s="2" t="s">
        <v>100</v>
      </c>
      <c r="S2733" s="2" t="s">
        <v>100</v>
      </c>
      <c r="T2733" s="2" t="s">
        <v>100</v>
      </c>
      <c r="U2733" s="2" t="s">
        <v>1847</v>
      </c>
      <c r="V2733" s="2" t="s">
        <v>146</v>
      </c>
      <c r="W2733" s="2" t="s">
        <v>104</v>
      </c>
      <c r="X2733" s="2" t="s">
        <v>100</v>
      </c>
      <c r="Y2733" s="2" t="s">
        <v>1634</v>
      </c>
      <c r="Z2733" s="4">
        <v>121</v>
      </c>
      <c r="AA2733" s="4">
        <f>=ROUNDDOWN(4.84,0)</f>
      </c>
      <c r="AB2733" s="5">
        <v>25</v>
      </c>
      <c r="AC2733" s="2" t="s">
        <v>768</v>
      </c>
      <c r="AD2733" s="4">
        <v>283</v>
      </c>
      <c r="AE2733" s="4">
        <v>1136</v>
      </c>
      <c r="AF2733" s="6">
        <v>69</v>
      </c>
      <c r="AG2733" s="6">
        <v>52</v>
      </c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/>
      <c r="BJ2733" s="4">
        <v>716</v>
      </c>
      <c r="BK2733" s="8">
        <v>160548.52</v>
      </c>
      <c r="BL2733" s="2" t="s">
        <v>8768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2480</v>
      </c>
      <c r="BV2733" s="2" t="s">
        <v>97</v>
      </c>
      <c r="BW2733" s="2" t="s">
        <v>100</v>
      </c>
      <c r="BX2733" s="2" t="s">
        <v>100</v>
      </c>
      <c r="BY2733" s="2" t="s">
        <v>113</v>
      </c>
      <c r="BZ2733" s="2" t="s">
        <v>100</v>
      </c>
    </row>
    <row r="2734">
      <c r="A2734" s="2" t="s">
        <v>8769</v>
      </c>
      <c r="B2734" s="2" t="s">
        <v>7711</v>
      </c>
      <c r="C2734" s="2" t="s">
        <v>88</v>
      </c>
      <c r="D2734" s="2" t="s">
        <v>8050</v>
      </c>
      <c r="E2734" s="2" t="s">
        <v>8051</v>
      </c>
      <c r="F2734" s="2" t="s">
        <v>8765</v>
      </c>
      <c r="G2734" s="2" t="s">
        <v>8766</v>
      </c>
      <c r="H2734" s="2" t="s">
        <v>558</v>
      </c>
      <c r="I2734" s="2" t="s">
        <v>8767</v>
      </c>
      <c r="J2734" s="2" t="s">
        <v>3877</v>
      </c>
      <c r="K2734" s="2" t="s">
        <v>130</v>
      </c>
      <c r="L2734" s="3">
        <v>237.5</v>
      </c>
      <c r="M2734" s="3">
        <v>249.38</v>
      </c>
      <c r="N2734" s="3">
        <v>499</v>
      </c>
      <c r="O2734" s="2" t="s">
        <v>97</v>
      </c>
      <c r="P2734" s="2" t="s">
        <v>119</v>
      </c>
      <c r="Q2734" s="2" t="s">
        <v>99</v>
      </c>
      <c r="R2734" s="2" t="s">
        <v>100</v>
      </c>
      <c r="S2734" s="2" t="s">
        <v>8770</v>
      </c>
      <c r="T2734" s="2" t="s">
        <v>100</v>
      </c>
      <c r="U2734" s="2" t="s">
        <v>1847</v>
      </c>
      <c r="V2734" s="2" t="s">
        <v>2661</v>
      </c>
      <c r="W2734" s="2" t="s">
        <v>104</v>
      </c>
      <c r="X2734" s="2" t="s">
        <v>100</v>
      </c>
      <c r="Y2734" s="2" t="s">
        <v>1855</v>
      </c>
      <c r="Z2734" s="4">
        <v>98</v>
      </c>
      <c r="AA2734" s="4">
        <f>=ROUNDDOWN(8.90909090909091,0)</f>
      </c>
      <c r="AB2734" s="5">
        <v>11</v>
      </c>
      <c r="AC2734" s="2" t="s">
        <v>768</v>
      </c>
      <c r="AD2734" s="4">
        <v>151</v>
      </c>
      <c r="AE2734" s="4">
        <v>353</v>
      </c>
      <c r="AF2734" s="6">
        <v>69</v>
      </c>
      <c r="AG2734" s="6">
        <v>52</v>
      </c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/>
      <c r="BJ2734" s="4">
        <v>278</v>
      </c>
      <c r="BK2734" s="8">
        <v>62521.13</v>
      </c>
      <c r="BL2734" s="2" t="s">
        <v>8771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2480</v>
      </c>
      <c r="BV2734" s="2" t="s">
        <v>97</v>
      </c>
      <c r="BW2734" s="2" t="s">
        <v>100</v>
      </c>
      <c r="BX2734" s="2" t="s">
        <v>100</v>
      </c>
      <c r="BY2734" s="2" t="s">
        <v>113</v>
      </c>
      <c r="BZ2734" s="2" t="s">
        <v>100</v>
      </c>
    </row>
    <row r="2735">
      <c r="A2735" s="2" t="s">
        <v>8772</v>
      </c>
      <c r="B2735" s="2" t="s">
        <v>7711</v>
      </c>
      <c r="C2735" s="2" t="s">
        <v>88</v>
      </c>
      <c r="D2735" s="2" t="s">
        <v>8050</v>
      </c>
      <c r="E2735" s="2" t="s">
        <v>8051</v>
      </c>
      <c r="F2735" s="2" t="s">
        <v>8765</v>
      </c>
      <c r="G2735" s="2" t="s">
        <v>8766</v>
      </c>
      <c r="H2735" s="2" t="s">
        <v>558</v>
      </c>
      <c r="I2735" s="2" t="s">
        <v>8767</v>
      </c>
      <c r="J2735" s="2" t="s">
        <v>3877</v>
      </c>
      <c r="K2735" s="2" t="s">
        <v>360</v>
      </c>
      <c r="L2735" s="3">
        <v>237.5</v>
      </c>
      <c r="M2735" s="3">
        <v>249.38</v>
      </c>
      <c r="N2735" s="3">
        <v>499</v>
      </c>
      <c r="O2735" s="2" t="s">
        <v>97</v>
      </c>
      <c r="P2735" s="2" t="s">
        <v>372</v>
      </c>
      <c r="Q2735" s="2" t="s">
        <v>99</v>
      </c>
      <c r="R2735" s="2" t="s">
        <v>100</v>
      </c>
      <c r="S2735" s="2" t="s">
        <v>100</v>
      </c>
      <c r="T2735" s="2" t="s">
        <v>100</v>
      </c>
      <c r="U2735" s="2" t="s">
        <v>1847</v>
      </c>
      <c r="V2735" s="2" t="s">
        <v>146</v>
      </c>
      <c r="W2735" s="2" t="s">
        <v>104</v>
      </c>
      <c r="X2735" s="2" t="s">
        <v>100</v>
      </c>
      <c r="Y2735" s="2" t="s">
        <v>5388</v>
      </c>
      <c r="Z2735" s="4">
        <v>82</v>
      </c>
      <c r="AA2735" s="4">
        <f>=ROUNDDOWN(3.56521739130435,0)</f>
      </c>
      <c r="AB2735" s="5">
        <v>23</v>
      </c>
      <c r="AC2735" s="2" t="s">
        <v>768</v>
      </c>
      <c r="AD2735" s="4">
        <v>30</v>
      </c>
      <c r="AE2735" s="4">
        <v>798</v>
      </c>
      <c r="AF2735" s="6">
        <v>69</v>
      </c>
      <c r="AG2735" s="6">
        <v>52</v>
      </c>
      <c r="AH2735" s="7">
        <v>1</v>
      </c>
      <c r="AI2735" s="4"/>
      <c r="AJ2735" s="4">
        <f>=ROUNDDOWN({0},0)</f>
      </c>
      <c r="AK2735" s="5">
        <v>32.2</v>
      </c>
      <c r="AL2735" s="2" t="s">
        <v>8773</v>
      </c>
      <c r="AM2735" s="4">
        <v>135</v>
      </c>
      <c r="AN2735" s="4">
        <v>270</v>
      </c>
      <c r="AO2735" s="7">
        <v>0.3369</v>
      </c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/>
      <c r="BJ2735" s="4">
        <v>767</v>
      </c>
      <c r="BK2735" s="8">
        <v>169977.46</v>
      </c>
      <c r="BL2735" s="2" t="s">
        <v>8774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2480</v>
      </c>
      <c r="BV2735" s="2" t="s">
        <v>97</v>
      </c>
      <c r="BW2735" s="2" t="s">
        <v>100</v>
      </c>
      <c r="BX2735" s="2" t="s">
        <v>100</v>
      </c>
      <c r="BY2735" s="2" t="s">
        <v>113</v>
      </c>
      <c r="BZ2735" s="2" t="s">
        <v>100</v>
      </c>
    </row>
    <row r="2736">
      <c r="A2736" s="2" t="s">
        <v>8775</v>
      </c>
      <c r="B2736" s="2" t="s">
        <v>7711</v>
      </c>
      <c r="C2736" s="2" t="s">
        <v>88</v>
      </c>
      <c r="D2736" s="2" t="s">
        <v>8050</v>
      </c>
      <c r="E2736" s="2" t="s">
        <v>8051</v>
      </c>
      <c r="F2736" s="2" t="s">
        <v>3415</v>
      </c>
      <c r="G2736" s="2" t="s">
        <v>8776</v>
      </c>
      <c r="H2736" s="2" t="s">
        <v>8777</v>
      </c>
      <c r="I2736" s="2" t="s">
        <v>8051</v>
      </c>
      <c r="J2736" s="2" t="s">
        <v>3877</v>
      </c>
      <c r="K2736" s="2" t="s">
        <v>858</v>
      </c>
      <c r="L2736" s="3">
        <v>237.5</v>
      </c>
      <c r="M2736" s="3">
        <v>249.38</v>
      </c>
      <c r="N2736" s="3">
        <v>499</v>
      </c>
      <c r="O2736" s="2" t="s">
        <v>97</v>
      </c>
      <c r="P2736" s="2" t="s">
        <v>119</v>
      </c>
      <c r="Q2736" s="2" t="s">
        <v>99</v>
      </c>
      <c r="R2736" s="2" t="s">
        <v>100</v>
      </c>
      <c r="S2736" s="2" t="s">
        <v>100</v>
      </c>
      <c r="T2736" s="2" t="s">
        <v>100</v>
      </c>
      <c r="U2736" s="2" t="s">
        <v>1847</v>
      </c>
      <c r="V2736" s="2" t="s">
        <v>146</v>
      </c>
      <c r="W2736" s="2" t="s">
        <v>104</v>
      </c>
      <c r="X2736" s="2" t="s">
        <v>309</v>
      </c>
      <c r="Y2736" s="2" t="s">
        <v>8778</v>
      </c>
      <c r="Z2736" s="4">
        <v>154</v>
      </c>
      <c r="AA2736" s="4">
        <f>=ROUNDDOWN(30.8,0)</f>
      </c>
      <c r="AB2736" s="5">
        <v>5</v>
      </c>
      <c r="AC2736" s="2" t="s">
        <v>2681</v>
      </c>
      <c r="AD2736" s="4">
        <v>100</v>
      </c>
      <c r="AE2736" s="4">
        <v>100</v>
      </c>
      <c r="AF2736" s="6">
        <v>69</v>
      </c>
      <c r="AG2736" s="6">
        <v>52</v>
      </c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/>
      <c r="BD2736" s="8"/>
      <c r="BE2736" s="4"/>
      <c r="BF2736" s="8"/>
      <c r="BG2736" s="7"/>
      <c r="BH2736" s="7"/>
      <c r="BI2736" s="7"/>
      <c r="BJ2736" s="4">
        <v>131</v>
      </c>
      <c r="BK2736" s="8">
        <v>31193.31</v>
      </c>
      <c r="BL2736" s="2" t="s">
        <v>8779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2480</v>
      </c>
      <c r="BV2736" s="2" t="s">
        <v>97</v>
      </c>
      <c r="BW2736" s="2" t="s">
        <v>100</v>
      </c>
      <c r="BX2736" s="2" t="s">
        <v>100</v>
      </c>
      <c r="BY2736" s="2" t="s">
        <v>113</v>
      </c>
      <c r="BZ2736" s="2" t="s">
        <v>100</v>
      </c>
    </row>
    <row r="2737">
      <c r="A2737" s="2" t="s">
        <v>8780</v>
      </c>
      <c r="B2737" s="2" t="s">
        <v>7711</v>
      </c>
      <c r="C2737" s="2" t="s">
        <v>88</v>
      </c>
      <c r="D2737" s="2" t="s">
        <v>8050</v>
      </c>
      <c r="E2737" s="2" t="s">
        <v>8051</v>
      </c>
      <c r="F2737" s="2" t="s">
        <v>8781</v>
      </c>
      <c r="G2737" s="2" t="s">
        <v>8782</v>
      </c>
      <c r="H2737" s="2" t="s">
        <v>8783</v>
      </c>
      <c r="I2737" s="2" t="s">
        <v>8784</v>
      </c>
      <c r="J2737" s="2" t="s">
        <v>3877</v>
      </c>
      <c r="K2737" s="2" t="s">
        <v>913</v>
      </c>
      <c r="L2737" s="3">
        <v>202.3</v>
      </c>
      <c r="M2737" s="3">
        <v>212.42</v>
      </c>
      <c r="N2737" s="3">
        <v>429</v>
      </c>
      <c r="O2737" s="2" t="s">
        <v>97</v>
      </c>
      <c r="P2737" s="2" t="s">
        <v>119</v>
      </c>
      <c r="Q2737" s="2" t="s">
        <v>99</v>
      </c>
      <c r="R2737" s="2" t="s">
        <v>100</v>
      </c>
      <c r="S2737" s="2" t="s">
        <v>100</v>
      </c>
      <c r="T2737" s="2" t="s">
        <v>100</v>
      </c>
      <c r="U2737" s="2" t="s">
        <v>100</v>
      </c>
      <c r="V2737" s="2" t="s">
        <v>146</v>
      </c>
      <c r="W2737" s="2" t="s">
        <v>104</v>
      </c>
      <c r="X2737" s="2" t="s">
        <v>309</v>
      </c>
      <c r="Y2737" s="2" t="s">
        <v>8785</v>
      </c>
      <c r="Z2737" s="4">
        <v>324</v>
      </c>
      <c r="AA2737" s="4">
        <f>=ROUNDDOWN(24.1791044776119,0)</f>
      </c>
      <c r="AB2737" s="5">
        <v>13.4</v>
      </c>
      <c r="AC2737" s="2" t="s">
        <v>100</v>
      </c>
      <c r="AD2737" s="4"/>
      <c r="AE2737" s="4"/>
      <c r="AF2737" s="6">
        <v>74</v>
      </c>
      <c r="AG2737" s="6"/>
      <c r="AH2737" s="7">
        <v>0.8182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/>
      <c r="BJ2737" s="4">
        <v>217</v>
      </c>
      <c r="BK2737" s="8">
        <v>39985.58</v>
      </c>
      <c r="BL2737" s="2" t="s">
        <v>7996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2480</v>
      </c>
      <c r="BV2737" s="2" t="s">
        <v>97</v>
      </c>
      <c r="BW2737" s="2" t="s">
        <v>100</v>
      </c>
      <c r="BX2737" s="2" t="s">
        <v>100</v>
      </c>
      <c r="BY2737" s="2" t="s">
        <v>113</v>
      </c>
      <c r="BZ2737" s="2" t="s">
        <v>100</v>
      </c>
    </row>
    <row r="2738">
      <c r="A2738" s="2" t="s">
        <v>8786</v>
      </c>
      <c r="B2738" s="2" t="s">
        <v>7711</v>
      </c>
      <c r="C2738" s="2" t="s">
        <v>88</v>
      </c>
      <c r="D2738" s="2" t="s">
        <v>8050</v>
      </c>
      <c r="E2738" s="2" t="s">
        <v>8051</v>
      </c>
      <c r="F2738" s="2" t="s">
        <v>8781</v>
      </c>
      <c r="G2738" s="2" t="s">
        <v>8782</v>
      </c>
      <c r="H2738" s="2" t="s">
        <v>8783</v>
      </c>
      <c r="I2738" s="2" t="s">
        <v>8784</v>
      </c>
      <c r="J2738" s="2" t="s">
        <v>3877</v>
      </c>
      <c r="K2738" s="2" t="s">
        <v>198</v>
      </c>
      <c r="L2738" s="3">
        <v>202.3</v>
      </c>
      <c r="M2738" s="3">
        <v>212.42</v>
      </c>
      <c r="N2738" s="3">
        <v>429</v>
      </c>
      <c r="O2738" s="2" t="s">
        <v>97</v>
      </c>
      <c r="P2738" s="2" t="s">
        <v>119</v>
      </c>
      <c r="Q2738" s="2" t="s">
        <v>99</v>
      </c>
      <c r="R2738" s="2" t="s">
        <v>100</v>
      </c>
      <c r="S2738" s="2" t="s">
        <v>100</v>
      </c>
      <c r="T2738" s="2" t="s">
        <v>100</v>
      </c>
      <c r="U2738" s="2" t="s">
        <v>1847</v>
      </c>
      <c r="V2738" s="2" t="s">
        <v>146</v>
      </c>
      <c r="W2738" s="2" t="s">
        <v>104</v>
      </c>
      <c r="X2738" s="2" t="s">
        <v>309</v>
      </c>
      <c r="Y2738" s="2" t="s">
        <v>8787</v>
      </c>
      <c r="Z2738" s="4">
        <v>122</v>
      </c>
      <c r="AA2738" s="4">
        <f>=ROUNDDOWN(61,0)</f>
      </c>
      <c r="AB2738" s="5">
        <v>2</v>
      </c>
      <c r="AC2738" s="2" t="s">
        <v>100</v>
      </c>
      <c r="AD2738" s="4"/>
      <c r="AE2738" s="4"/>
      <c r="AF2738" s="6">
        <v>74</v>
      </c>
      <c r="AG2738" s="6">
        <v>60</v>
      </c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/>
      <c r="BJ2738" s="4">
        <v>60</v>
      </c>
      <c r="BK2738" s="8">
        <v>10559.24</v>
      </c>
      <c r="BL2738" s="2" t="s">
        <v>8788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2480</v>
      </c>
      <c r="BV2738" s="2" t="s">
        <v>97</v>
      </c>
      <c r="BW2738" s="2" t="s">
        <v>100</v>
      </c>
      <c r="BX2738" s="2" t="s">
        <v>100</v>
      </c>
      <c r="BY2738" s="2" t="s">
        <v>113</v>
      </c>
      <c r="BZ2738" s="2" t="s">
        <v>100</v>
      </c>
    </row>
    <row r="2739">
      <c r="A2739" s="2" t="s">
        <v>8789</v>
      </c>
      <c r="B2739" s="2" t="s">
        <v>7711</v>
      </c>
      <c r="C2739" s="2" t="s">
        <v>88</v>
      </c>
      <c r="D2739" s="2" t="s">
        <v>8050</v>
      </c>
      <c r="E2739" s="2" t="s">
        <v>8051</v>
      </c>
      <c r="F2739" s="2" t="s">
        <v>8781</v>
      </c>
      <c r="G2739" s="2" t="s">
        <v>8782</v>
      </c>
      <c r="H2739" s="2" t="s">
        <v>8783</v>
      </c>
      <c r="I2739" s="2" t="s">
        <v>8784</v>
      </c>
      <c r="J2739" s="2" t="s">
        <v>3877</v>
      </c>
      <c r="K2739" s="2" t="s">
        <v>8162</v>
      </c>
      <c r="L2739" s="3">
        <v>202.3</v>
      </c>
      <c r="M2739" s="3">
        <v>212.42</v>
      </c>
      <c r="N2739" s="3">
        <v>429</v>
      </c>
      <c r="O2739" s="2" t="s">
        <v>97</v>
      </c>
      <c r="P2739" s="2" t="s">
        <v>119</v>
      </c>
      <c r="Q2739" s="2" t="s">
        <v>99</v>
      </c>
      <c r="R2739" s="2" t="s">
        <v>100</v>
      </c>
      <c r="S2739" s="2" t="s">
        <v>100</v>
      </c>
      <c r="T2739" s="2" t="s">
        <v>100</v>
      </c>
      <c r="U2739" s="2" t="s">
        <v>100</v>
      </c>
      <c r="V2739" s="2" t="s">
        <v>146</v>
      </c>
      <c r="W2739" s="2" t="s">
        <v>104</v>
      </c>
      <c r="X2739" s="2" t="s">
        <v>100</v>
      </c>
      <c r="Y2739" s="2" t="s">
        <v>2054</v>
      </c>
      <c r="Z2739" s="4">
        <v>236</v>
      </c>
      <c r="AA2739" s="4">
        <f>=ROUNDDOWN(46.2745098039216,0)</f>
      </c>
      <c r="AB2739" s="5">
        <v>5.1</v>
      </c>
      <c r="AC2739" s="2" t="s">
        <v>1196</v>
      </c>
      <c r="AD2739" s="4">
        <v>205</v>
      </c>
      <c r="AE2739" s="4">
        <v>205</v>
      </c>
      <c r="AF2739" s="6">
        <v>74</v>
      </c>
      <c r="AG2739" s="6">
        <v>60</v>
      </c>
      <c r="AH2739" s="7">
        <v>1</v>
      </c>
      <c r="AI2739" s="4"/>
      <c r="AJ2739" s="4">
        <f>=ROUNDDOWN({0},0)</f>
      </c>
      <c r="AK2739" s="5">
        <v>29.6</v>
      </c>
      <c r="AL2739" s="2" t="s">
        <v>100</v>
      </c>
      <c r="AM2739" s="4"/>
      <c r="AN2739" s="4"/>
      <c r="AO2739" s="7">
        <v>0.4332</v>
      </c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/>
      <c r="BJ2739" s="4">
        <v>493</v>
      </c>
      <c r="BK2739" s="8">
        <v>82630.26</v>
      </c>
      <c r="BL2739" s="2" t="s">
        <v>8790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2480</v>
      </c>
      <c r="BV2739" s="2" t="s">
        <v>97</v>
      </c>
      <c r="BW2739" s="2" t="s">
        <v>100</v>
      </c>
      <c r="BX2739" s="2" t="s">
        <v>100</v>
      </c>
      <c r="BY2739" s="2" t="s">
        <v>113</v>
      </c>
      <c r="BZ2739" s="2" t="s">
        <v>100</v>
      </c>
    </row>
    <row r="2740">
      <c r="A2740" s="2" t="s">
        <v>8791</v>
      </c>
      <c r="B2740" s="2" t="s">
        <v>7711</v>
      </c>
      <c r="C2740" s="2" t="s">
        <v>88</v>
      </c>
      <c r="D2740" s="2" t="s">
        <v>8050</v>
      </c>
      <c r="E2740" s="2" t="s">
        <v>8051</v>
      </c>
      <c r="F2740" s="2" t="s">
        <v>8792</v>
      </c>
      <c r="G2740" s="2" t="s">
        <v>8793</v>
      </c>
      <c r="H2740" s="2" t="s">
        <v>8794</v>
      </c>
      <c r="I2740" s="2" t="s">
        <v>8795</v>
      </c>
      <c r="J2740" s="2" t="s">
        <v>3877</v>
      </c>
      <c r="K2740" s="2" t="s">
        <v>118</v>
      </c>
      <c r="L2740" s="3">
        <v>190.4</v>
      </c>
      <c r="M2740" s="3">
        <v>199.92</v>
      </c>
      <c r="N2740" s="3">
        <v>399</v>
      </c>
      <c r="O2740" s="2" t="s">
        <v>97</v>
      </c>
      <c r="P2740" s="2" t="s">
        <v>119</v>
      </c>
      <c r="Q2740" s="2" t="s">
        <v>99</v>
      </c>
      <c r="R2740" s="2" t="s">
        <v>100</v>
      </c>
      <c r="S2740" s="2" t="s">
        <v>8796</v>
      </c>
      <c r="T2740" s="2" t="s">
        <v>100</v>
      </c>
      <c r="U2740" s="2" t="s">
        <v>100</v>
      </c>
      <c r="V2740" s="2" t="s">
        <v>146</v>
      </c>
      <c r="W2740" s="2" t="s">
        <v>104</v>
      </c>
      <c r="X2740" s="2" t="s">
        <v>100</v>
      </c>
      <c r="Y2740" s="2" t="s">
        <v>8716</v>
      </c>
      <c r="Z2740" s="4">
        <v>139</v>
      </c>
      <c r="AA2740" s="4">
        <f>=ROUNDDOWN(15.4444444444444,0)</f>
      </c>
      <c r="AB2740" s="5">
        <v>9</v>
      </c>
      <c r="AC2740" s="2" t="s">
        <v>8797</v>
      </c>
      <c r="AD2740" s="4">
        <v>126</v>
      </c>
      <c r="AE2740" s="4">
        <v>252</v>
      </c>
      <c r="AF2740" s="6">
        <v>74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/>
      <c r="BD2740" s="8"/>
      <c r="BE2740" s="4"/>
      <c r="BF2740" s="8"/>
      <c r="BG2740" s="7"/>
      <c r="BH2740" s="7"/>
      <c r="BI2740" s="7"/>
      <c r="BJ2740" s="4">
        <v>208</v>
      </c>
      <c r="BK2740" s="8">
        <v>39408.7</v>
      </c>
      <c r="BL2740" s="2" t="s">
        <v>7893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2480</v>
      </c>
      <c r="BV2740" s="2" t="s">
        <v>97</v>
      </c>
      <c r="BW2740" s="2" t="s">
        <v>100</v>
      </c>
      <c r="BX2740" s="2" t="s">
        <v>100</v>
      </c>
      <c r="BY2740" s="2" t="s">
        <v>113</v>
      </c>
      <c r="BZ2740" s="2" t="s">
        <v>100</v>
      </c>
    </row>
    <row r="2741">
      <c r="A2741" s="2" t="s">
        <v>8798</v>
      </c>
      <c r="B2741" s="2" t="s">
        <v>7711</v>
      </c>
      <c r="C2741" s="2" t="s">
        <v>88</v>
      </c>
      <c r="D2741" s="2" t="s">
        <v>8050</v>
      </c>
      <c r="E2741" s="2" t="s">
        <v>8051</v>
      </c>
      <c r="F2741" s="2" t="s">
        <v>8799</v>
      </c>
      <c r="G2741" s="2" t="s">
        <v>8800</v>
      </c>
      <c r="H2741" s="2" t="s">
        <v>8801</v>
      </c>
      <c r="I2741" s="2" t="s">
        <v>8802</v>
      </c>
      <c r="J2741" s="2" t="s">
        <v>3877</v>
      </c>
      <c r="K2741" s="2" t="s">
        <v>604</v>
      </c>
      <c r="L2741" s="3">
        <v>226.1</v>
      </c>
      <c r="M2741" s="3">
        <v>237.4</v>
      </c>
      <c r="N2741" s="3">
        <v>479</v>
      </c>
      <c r="O2741" s="2" t="s">
        <v>97</v>
      </c>
      <c r="P2741" s="2" t="s">
        <v>119</v>
      </c>
      <c r="Q2741" s="2" t="s">
        <v>99</v>
      </c>
      <c r="R2741" s="2" t="s">
        <v>100</v>
      </c>
      <c r="S2741" s="2" t="s">
        <v>8803</v>
      </c>
      <c r="T2741" s="2" t="s">
        <v>100</v>
      </c>
      <c r="U2741" s="2" t="s">
        <v>100</v>
      </c>
      <c r="V2741" s="2" t="s">
        <v>146</v>
      </c>
      <c r="W2741" s="2" t="s">
        <v>104</v>
      </c>
      <c r="X2741" s="2" t="s">
        <v>100</v>
      </c>
      <c r="Y2741" s="2" t="s">
        <v>8716</v>
      </c>
      <c r="Z2741" s="4">
        <v>96</v>
      </c>
      <c r="AA2741" s="4">
        <f>=ROUNDDOWN(18.1132075471698,0)</f>
      </c>
      <c r="AB2741" s="5">
        <v>5.3</v>
      </c>
      <c r="AC2741" s="2" t="s">
        <v>1259</v>
      </c>
      <c r="AD2741" s="4">
        <v>102</v>
      </c>
      <c r="AE2741" s="4">
        <v>102</v>
      </c>
      <c r="AF2741" s="6">
        <v>66</v>
      </c>
      <c r="AG2741" s="6">
        <v>49</v>
      </c>
      <c r="AH2741" s="7">
        <v>1</v>
      </c>
      <c r="AI2741" s="4"/>
      <c r="AJ2741" s="4">
        <f>=ROUNDDOWN({0},0)</f>
      </c>
      <c r="AK2741" s="5">
        <v>8.3</v>
      </c>
      <c r="AL2741" s="2" t="s">
        <v>100</v>
      </c>
      <c r="AM2741" s="4"/>
      <c r="AN2741" s="4"/>
      <c r="AO2741" s="7">
        <v>0.4332</v>
      </c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213</v>
      </c>
      <c r="BK2741" s="8">
        <v>44567.55</v>
      </c>
      <c r="BL2741" s="2" t="s">
        <v>8804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2480</v>
      </c>
      <c r="BV2741" s="2" t="s">
        <v>97</v>
      </c>
      <c r="BW2741" s="2" t="s">
        <v>100</v>
      </c>
      <c r="BX2741" s="2" t="s">
        <v>100</v>
      </c>
      <c r="BY2741" s="2" t="s">
        <v>113</v>
      </c>
      <c r="BZ2741" s="2" t="s">
        <v>100</v>
      </c>
    </row>
    <row r="2742">
      <c r="A2742" s="2" t="s">
        <v>8805</v>
      </c>
      <c r="B2742" s="2" t="s">
        <v>7711</v>
      </c>
      <c r="C2742" s="2" t="s">
        <v>88</v>
      </c>
      <c r="D2742" s="2" t="s">
        <v>8050</v>
      </c>
      <c r="E2742" s="2" t="s">
        <v>8051</v>
      </c>
      <c r="F2742" s="2" t="s">
        <v>8799</v>
      </c>
      <c r="G2742" s="2" t="s">
        <v>8800</v>
      </c>
      <c r="H2742" s="2" t="s">
        <v>8801</v>
      </c>
      <c r="I2742" s="2" t="s">
        <v>8806</v>
      </c>
      <c r="J2742" s="2" t="s">
        <v>3877</v>
      </c>
      <c r="K2742" s="2" t="s">
        <v>8807</v>
      </c>
      <c r="L2742" s="3">
        <v>226.1</v>
      </c>
      <c r="M2742" s="3">
        <v>237.4</v>
      </c>
      <c r="N2742" s="3">
        <v>479</v>
      </c>
      <c r="O2742" s="2" t="s">
        <v>97</v>
      </c>
      <c r="P2742" s="2" t="s">
        <v>119</v>
      </c>
      <c r="Q2742" s="2" t="s">
        <v>99</v>
      </c>
      <c r="R2742" s="2" t="s">
        <v>100</v>
      </c>
      <c r="S2742" s="2" t="s">
        <v>100</v>
      </c>
      <c r="T2742" s="2" t="s">
        <v>100</v>
      </c>
      <c r="U2742" s="2" t="s">
        <v>1847</v>
      </c>
      <c r="V2742" s="2" t="s">
        <v>146</v>
      </c>
      <c r="W2742" s="2" t="s">
        <v>104</v>
      </c>
      <c r="X2742" s="2" t="s">
        <v>183</v>
      </c>
      <c r="Y2742" s="2" t="s">
        <v>5388</v>
      </c>
      <c r="Z2742" s="4">
        <v>218</v>
      </c>
      <c r="AA2742" s="4">
        <f>=ROUNDDOWN(27.25,0)</f>
      </c>
      <c r="AB2742" s="5">
        <v>8</v>
      </c>
      <c r="AC2742" s="2" t="s">
        <v>2681</v>
      </c>
      <c r="AD2742" s="4">
        <v>130</v>
      </c>
      <c r="AE2742" s="4">
        <v>130</v>
      </c>
      <c r="AF2742" s="6">
        <v>66</v>
      </c>
      <c r="AG2742" s="6">
        <v>49</v>
      </c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199</v>
      </c>
      <c r="BK2742" s="8">
        <v>44181.3</v>
      </c>
      <c r="BL2742" s="2" t="s">
        <v>8808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2480</v>
      </c>
      <c r="BV2742" s="2" t="s">
        <v>97</v>
      </c>
      <c r="BW2742" s="2" t="s">
        <v>100</v>
      </c>
      <c r="BX2742" s="2" t="s">
        <v>100</v>
      </c>
      <c r="BY2742" s="2" t="s">
        <v>113</v>
      </c>
      <c r="BZ2742" s="2" t="s">
        <v>100</v>
      </c>
    </row>
    <row r="2743">
      <c r="A2743" s="2" t="s">
        <v>8809</v>
      </c>
      <c r="B2743" s="2" t="s">
        <v>7711</v>
      </c>
      <c r="C2743" s="2" t="s">
        <v>88</v>
      </c>
      <c r="D2743" s="2" t="s">
        <v>8050</v>
      </c>
      <c r="E2743" s="2" t="s">
        <v>8051</v>
      </c>
      <c r="F2743" s="2" t="s">
        <v>8799</v>
      </c>
      <c r="G2743" s="2" t="s">
        <v>8800</v>
      </c>
      <c r="H2743" s="2" t="s">
        <v>8801</v>
      </c>
      <c r="I2743" s="2" t="s">
        <v>8806</v>
      </c>
      <c r="J2743" s="2" t="s">
        <v>3877</v>
      </c>
      <c r="K2743" s="2" t="s">
        <v>198</v>
      </c>
      <c r="L2743" s="3">
        <v>226.1</v>
      </c>
      <c r="M2743" s="3">
        <v>237.4</v>
      </c>
      <c r="N2743" s="3">
        <v>479</v>
      </c>
      <c r="O2743" s="2" t="s">
        <v>97</v>
      </c>
      <c r="P2743" s="2" t="s">
        <v>119</v>
      </c>
      <c r="Q2743" s="2" t="s">
        <v>99</v>
      </c>
      <c r="R2743" s="2" t="s">
        <v>100</v>
      </c>
      <c r="S2743" s="2" t="s">
        <v>8810</v>
      </c>
      <c r="T2743" s="2" t="s">
        <v>100</v>
      </c>
      <c r="U2743" s="2" t="s">
        <v>100</v>
      </c>
      <c r="V2743" s="2" t="s">
        <v>146</v>
      </c>
      <c r="W2743" s="2" t="s">
        <v>104</v>
      </c>
      <c r="X2743" s="2" t="s">
        <v>100</v>
      </c>
      <c r="Y2743" s="2" t="s">
        <v>810</v>
      </c>
      <c r="Z2743" s="4">
        <v>220</v>
      </c>
      <c r="AA2743" s="4">
        <f>=ROUNDDOWN(220,0)</f>
      </c>
      <c r="AB2743" s="5">
        <v>1</v>
      </c>
      <c r="AC2743" s="2" t="s">
        <v>100</v>
      </c>
      <c r="AD2743" s="4"/>
      <c r="AE2743" s="4"/>
      <c r="AF2743" s="6">
        <v>69</v>
      </c>
      <c r="AG2743" s="6">
        <v>52</v>
      </c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57</v>
      </c>
      <c r="BK2743" s="8">
        <v>10591.2</v>
      </c>
      <c r="BL2743" s="2" t="s">
        <v>8811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2480</v>
      </c>
      <c r="BV2743" s="2" t="s">
        <v>97</v>
      </c>
      <c r="BW2743" s="2" t="s">
        <v>100</v>
      </c>
      <c r="BX2743" s="2" t="s">
        <v>100</v>
      </c>
      <c r="BY2743" s="2" t="s">
        <v>113</v>
      </c>
      <c r="BZ2743" s="2" t="s">
        <v>100</v>
      </c>
    </row>
    <row r="2744">
      <c r="A2744" s="2" t="s">
        <v>8812</v>
      </c>
      <c r="B2744" s="2" t="s">
        <v>7711</v>
      </c>
      <c r="C2744" s="2" t="s">
        <v>88</v>
      </c>
      <c r="D2744" s="2" t="s">
        <v>8050</v>
      </c>
      <c r="E2744" s="2" t="s">
        <v>8051</v>
      </c>
      <c r="F2744" s="2" t="s">
        <v>8813</v>
      </c>
      <c r="G2744" s="2" t="s">
        <v>8814</v>
      </c>
      <c r="H2744" s="2" t="s">
        <v>8392</v>
      </c>
      <c r="I2744" s="2" t="s">
        <v>8815</v>
      </c>
      <c r="J2744" s="2" t="s">
        <v>3877</v>
      </c>
      <c r="K2744" s="2" t="s">
        <v>118</v>
      </c>
      <c r="L2744" s="3">
        <v>207</v>
      </c>
      <c r="M2744" s="3">
        <v>217.35</v>
      </c>
      <c r="N2744" s="3">
        <v>439</v>
      </c>
      <c r="O2744" s="2" t="s">
        <v>97</v>
      </c>
      <c r="P2744" s="2" t="s">
        <v>119</v>
      </c>
      <c r="Q2744" s="2" t="s">
        <v>99</v>
      </c>
      <c r="R2744" s="2" t="s">
        <v>100</v>
      </c>
      <c r="S2744" s="2" t="s">
        <v>100</v>
      </c>
      <c r="T2744" s="2" t="s">
        <v>100</v>
      </c>
      <c r="U2744" s="2" t="s">
        <v>1847</v>
      </c>
      <c r="V2744" s="2" t="s">
        <v>146</v>
      </c>
      <c r="W2744" s="2" t="s">
        <v>104</v>
      </c>
      <c r="X2744" s="2" t="s">
        <v>561</v>
      </c>
      <c r="Y2744" s="2" t="s">
        <v>8816</v>
      </c>
      <c r="Z2744" s="4">
        <v>251</v>
      </c>
      <c r="AA2744" s="4">
        <f>=ROUNDDOWN(22.8181818181818,0)</f>
      </c>
      <c r="AB2744" s="5">
        <v>11</v>
      </c>
      <c r="AC2744" s="2" t="s">
        <v>271</v>
      </c>
      <c r="AD2744" s="4">
        <v>110</v>
      </c>
      <c r="AE2744" s="4">
        <v>373</v>
      </c>
      <c r="AF2744" s="6">
        <v>74</v>
      </c>
      <c r="AG2744" s="6">
        <v>60</v>
      </c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275</v>
      </c>
      <c r="BK2744" s="8">
        <v>54229.24</v>
      </c>
      <c r="BL2744" s="2" t="s">
        <v>8817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2480</v>
      </c>
      <c r="BV2744" s="2" t="s">
        <v>97</v>
      </c>
      <c r="BW2744" s="2" t="s">
        <v>100</v>
      </c>
      <c r="BX2744" s="2" t="s">
        <v>100</v>
      </c>
      <c r="BY2744" s="2" t="s">
        <v>113</v>
      </c>
      <c r="BZ2744" s="2" t="s">
        <v>100</v>
      </c>
    </row>
    <row r="2745">
      <c r="A2745" s="2" t="s">
        <v>8818</v>
      </c>
      <c r="B2745" s="2" t="s">
        <v>7711</v>
      </c>
      <c r="C2745" s="2" t="s">
        <v>88</v>
      </c>
      <c r="D2745" s="2" t="s">
        <v>8050</v>
      </c>
      <c r="E2745" s="2" t="s">
        <v>8051</v>
      </c>
      <c r="F2745" s="2" t="s">
        <v>8813</v>
      </c>
      <c r="G2745" s="2" t="s">
        <v>8814</v>
      </c>
      <c r="H2745" s="2" t="s">
        <v>8392</v>
      </c>
      <c r="I2745" s="2" t="s">
        <v>8815</v>
      </c>
      <c r="J2745" s="2" t="s">
        <v>3877</v>
      </c>
      <c r="K2745" s="2" t="s">
        <v>5943</v>
      </c>
      <c r="L2745" s="3">
        <v>207</v>
      </c>
      <c r="M2745" s="3">
        <v>217.35</v>
      </c>
      <c r="N2745" s="3">
        <v>439</v>
      </c>
      <c r="O2745" s="2" t="s">
        <v>97</v>
      </c>
      <c r="P2745" s="2" t="s">
        <v>119</v>
      </c>
      <c r="Q2745" s="2" t="s">
        <v>99</v>
      </c>
      <c r="R2745" s="2" t="s">
        <v>100</v>
      </c>
      <c r="S2745" s="2" t="s">
        <v>100</v>
      </c>
      <c r="T2745" s="2" t="s">
        <v>100</v>
      </c>
      <c r="U2745" s="2" t="s">
        <v>100</v>
      </c>
      <c r="V2745" s="2" t="s">
        <v>146</v>
      </c>
      <c r="W2745" s="2" t="s">
        <v>104</v>
      </c>
      <c r="X2745" s="2" t="s">
        <v>100</v>
      </c>
      <c r="Y2745" s="2" t="s">
        <v>2054</v>
      </c>
      <c r="Z2745" s="4">
        <v>222</v>
      </c>
      <c r="AA2745" s="4">
        <f>=ROUNDDOWN(27.75,0)</f>
      </c>
      <c r="AB2745" s="5">
        <v>8</v>
      </c>
      <c r="AC2745" s="2" t="s">
        <v>6495</v>
      </c>
      <c r="AD2745" s="4">
        <v>17</v>
      </c>
      <c r="AE2745" s="4">
        <v>161</v>
      </c>
      <c r="AF2745" s="6">
        <v>74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207</v>
      </c>
      <c r="BK2745" s="8">
        <v>41185.63</v>
      </c>
      <c r="BL2745" s="2" t="s">
        <v>7899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2480</v>
      </c>
      <c r="BV2745" s="2" t="s">
        <v>97</v>
      </c>
      <c r="BW2745" s="2" t="s">
        <v>100</v>
      </c>
      <c r="BX2745" s="2" t="s">
        <v>100</v>
      </c>
      <c r="BY2745" s="2" t="s">
        <v>113</v>
      </c>
      <c r="BZ2745" s="2" t="s">
        <v>100</v>
      </c>
    </row>
    <row r="2746">
      <c r="A2746" s="2" t="s">
        <v>8819</v>
      </c>
      <c r="B2746" s="2" t="s">
        <v>7711</v>
      </c>
      <c r="C2746" s="2" t="s">
        <v>88</v>
      </c>
      <c r="D2746" s="2" t="s">
        <v>8050</v>
      </c>
      <c r="E2746" s="2" t="s">
        <v>8051</v>
      </c>
      <c r="F2746" s="2" t="s">
        <v>8813</v>
      </c>
      <c r="G2746" s="2" t="s">
        <v>8814</v>
      </c>
      <c r="H2746" s="2" t="s">
        <v>8392</v>
      </c>
      <c r="I2746" s="2" t="s">
        <v>8815</v>
      </c>
      <c r="J2746" s="2" t="s">
        <v>3877</v>
      </c>
      <c r="K2746" s="2" t="s">
        <v>198</v>
      </c>
      <c r="L2746" s="3">
        <v>207</v>
      </c>
      <c r="M2746" s="3">
        <v>217.35</v>
      </c>
      <c r="N2746" s="3">
        <v>439</v>
      </c>
      <c r="O2746" s="2" t="s">
        <v>97</v>
      </c>
      <c r="P2746" s="2" t="s">
        <v>119</v>
      </c>
      <c r="Q2746" s="2" t="s">
        <v>99</v>
      </c>
      <c r="R2746" s="2" t="s">
        <v>100</v>
      </c>
      <c r="S2746" s="2" t="s">
        <v>100</v>
      </c>
      <c r="T2746" s="2" t="s">
        <v>100</v>
      </c>
      <c r="U2746" s="2" t="s">
        <v>1847</v>
      </c>
      <c r="V2746" s="2" t="s">
        <v>146</v>
      </c>
      <c r="W2746" s="2" t="s">
        <v>104</v>
      </c>
      <c r="X2746" s="2" t="s">
        <v>309</v>
      </c>
      <c r="Y2746" s="2" t="s">
        <v>8778</v>
      </c>
      <c r="Z2746" s="4">
        <v>208</v>
      </c>
      <c r="AA2746" s="4">
        <f>=ROUNDDOWN(23.1111111111111,0)</f>
      </c>
      <c r="AB2746" s="5">
        <v>9</v>
      </c>
      <c r="AC2746" s="2" t="s">
        <v>5100</v>
      </c>
      <c r="AD2746" s="4">
        <v>93</v>
      </c>
      <c r="AE2746" s="4">
        <v>208</v>
      </c>
      <c r="AF2746" s="6">
        <v>74</v>
      </c>
      <c r="AG2746" s="6">
        <v>60</v>
      </c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236</v>
      </c>
      <c r="BK2746" s="8">
        <v>48318.98</v>
      </c>
      <c r="BL2746" s="2" t="s">
        <v>8820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2480</v>
      </c>
      <c r="BV2746" s="2" t="s">
        <v>97</v>
      </c>
      <c r="BW2746" s="2" t="s">
        <v>100</v>
      </c>
      <c r="BX2746" s="2" t="s">
        <v>100</v>
      </c>
      <c r="BY2746" s="2" t="s">
        <v>113</v>
      </c>
      <c r="BZ2746" s="2" t="s">
        <v>100</v>
      </c>
    </row>
    <row r="2747">
      <c r="A2747" s="2" t="s">
        <v>8821</v>
      </c>
      <c r="B2747" s="2" t="s">
        <v>7711</v>
      </c>
      <c r="C2747" s="2" t="s">
        <v>88</v>
      </c>
      <c r="D2747" s="2" t="s">
        <v>8050</v>
      </c>
      <c r="E2747" s="2" t="s">
        <v>8051</v>
      </c>
      <c r="F2747" s="2" t="s">
        <v>8813</v>
      </c>
      <c r="G2747" s="2" t="s">
        <v>8814</v>
      </c>
      <c r="H2747" s="2" t="s">
        <v>8392</v>
      </c>
      <c r="I2747" s="2" t="s">
        <v>8815</v>
      </c>
      <c r="J2747" s="2" t="s">
        <v>3877</v>
      </c>
      <c r="K2747" s="2" t="s">
        <v>8822</v>
      </c>
      <c r="L2747" s="3">
        <v>207</v>
      </c>
      <c r="M2747" s="3">
        <v>217.35</v>
      </c>
      <c r="N2747" s="3">
        <v>439</v>
      </c>
      <c r="O2747" s="2" t="s">
        <v>97</v>
      </c>
      <c r="P2747" s="2" t="s">
        <v>372</v>
      </c>
      <c r="Q2747" s="2" t="s">
        <v>99</v>
      </c>
      <c r="R2747" s="2" t="s">
        <v>100</v>
      </c>
      <c r="S2747" s="2" t="s">
        <v>8823</v>
      </c>
      <c r="T2747" s="2" t="s">
        <v>100</v>
      </c>
      <c r="U2747" s="2" t="s">
        <v>100</v>
      </c>
      <c r="V2747" s="2" t="s">
        <v>146</v>
      </c>
      <c r="W2747" s="2" t="s">
        <v>104</v>
      </c>
      <c r="X2747" s="2" t="s">
        <v>100</v>
      </c>
      <c r="Y2747" s="2" t="s">
        <v>810</v>
      </c>
      <c r="Z2747" s="4">
        <v>259</v>
      </c>
      <c r="AA2747" s="4">
        <f>=ROUNDDOWN(13.6315789473684,0)</f>
      </c>
      <c r="AB2747" s="5">
        <v>19</v>
      </c>
      <c r="AC2747" s="2" t="s">
        <v>1728</v>
      </c>
      <c r="AD2747" s="4">
        <v>61</v>
      </c>
      <c r="AE2747" s="4">
        <v>953</v>
      </c>
      <c r="AF2747" s="6">
        <v>74</v>
      </c>
      <c r="AG2747" s="6">
        <v>60</v>
      </c>
      <c r="AH2747" s="7">
        <v>1</v>
      </c>
      <c r="AI2747" s="4"/>
      <c r="AJ2747" s="4">
        <f>=ROUNDDOWN({0},0)</f>
      </c>
      <c r="AK2747" s="5">
        <v>104.4</v>
      </c>
      <c r="AL2747" s="2" t="s">
        <v>5523</v>
      </c>
      <c r="AM2747" s="4">
        <v>120</v>
      </c>
      <c r="AN2747" s="4">
        <v>290</v>
      </c>
      <c r="AO2747" s="7">
        <v>0.1925</v>
      </c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1080</v>
      </c>
      <c r="BK2747" s="8">
        <v>207289.79</v>
      </c>
      <c r="BL2747" s="2" t="s">
        <v>8824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2480</v>
      </c>
      <c r="BV2747" s="2" t="s">
        <v>97</v>
      </c>
      <c r="BW2747" s="2" t="s">
        <v>100</v>
      </c>
      <c r="BX2747" s="2" t="s">
        <v>100</v>
      </c>
      <c r="BY2747" s="2" t="s">
        <v>113</v>
      </c>
      <c r="BZ2747" s="2" t="s">
        <v>100</v>
      </c>
    </row>
    <row r="2748">
      <c r="A2748" s="2" t="s">
        <v>8825</v>
      </c>
      <c r="B2748" s="2" t="s">
        <v>7711</v>
      </c>
      <c r="C2748" s="2" t="s">
        <v>88</v>
      </c>
      <c r="D2748" s="2" t="s">
        <v>8050</v>
      </c>
      <c r="E2748" s="2" t="s">
        <v>8051</v>
      </c>
      <c r="F2748" s="2" t="s">
        <v>8813</v>
      </c>
      <c r="G2748" s="2" t="s">
        <v>8814</v>
      </c>
      <c r="H2748" s="2" t="s">
        <v>8392</v>
      </c>
      <c r="I2748" s="2" t="s">
        <v>8815</v>
      </c>
      <c r="J2748" s="2" t="s">
        <v>3877</v>
      </c>
      <c r="K2748" s="2" t="s">
        <v>8826</v>
      </c>
      <c r="L2748" s="3">
        <v>207</v>
      </c>
      <c r="M2748" s="3">
        <v>217.35</v>
      </c>
      <c r="N2748" s="3">
        <v>439</v>
      </c>
      <c r="O2748" s="2" t="s">
        <v>97</v>
      </c>
      <c r="P2748" s="2" t="s">
        <v>119</v>
      </c>
      <c r="Q2748" s="2" t="s">
        <v>99</v>
      </c>
      <c r="R2748" s="2" t="s">
        <v>100</v>
      </c>
      <c r="S2748" s="2" t="s">
        <v>100</v>
      </c>
      <c r="T2748" s="2" t="s">
        <v>100</v>
      </c>
      <c r="U2748" s="2" t="s">
        <v>1847</v>
      </c>
      <c r="V2748" s="2" t="s">
        <v>146</v>
      </c>
      <c r="W2748" s="2" t="s">
        <v>104</v>
      </c>
      <c r="X2748" s="2" t="s">
        <v>100</v>
      </c>
      <c r="Y2748" s="2" t="s">
        <v>5388</v>
      </c>
      <c r="Z2748" s="4">
        <v>203</v>
      </c>
      <c r="AA2748" s="4">
        <f>=ROUNDDOWN(24.7560975609756,0)</f>
      </c>
      <c r="AB2748" s="5">
        <v>8.2</v>
      </c>
      <c r="AC2748" s="2" t="s">
        <v>271</v>
      </c>
      <c r="AD2748" s="4">
        <v>90</v>
      </c>
      <c r="AE2748" s="4">
        <v>230</v>
      </c>
      <c r="AF2748" s="6">
        <v>74</v>
      </c>
      <c r="AG2748" s="6">
        <v>60</v>
      </c>
      <c r="AH2748" s="7">
        <v>1</v>
      </c>
      <c r="AI2748" s="4"/>
      <c r="AJ2748" s="4">
        <f>=ROUNDDOWN({0},0)</f>
      </c>
      <c r="AK2748" s="5">
        <v>13</v>
      </c>
      <c r="AL2748" s="2" t="s">
        <v>5523</v>
      </c>
      <c r="AM2748" s="4">
        <v>100</v>
      </c>
      <c r="AN2748" s="4">
        <v>100</v>
      </c>
      <c r="AO2748" s="7">
        <v>0.4332</v>
      </c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298</v>
      </c>
      <c r="BK2748" s="8">
        <v>57596.7</v>
      </c>
      <c r="BL2748" s="2" t="s">
        <v>8827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2480</v>
      </c>
      <c r="BV2748" s="2" t="s">
        <v>97</v>
      </c>
      <c r="BW2748" s="2" t="s">
        <v>100</v>
      </c>
      <c r="BX2748" s="2" t="s">
        <v>100</v>
      </c>
      <c r="BY2748" s="2" t="s">
        <v>113</v>
      </c>
      <c r="BZ2748" s="2" t="s">
        <v>100</v>
      </c>
    </row>
    <row r="2749">
      <c r="A2749" s="2" t="s">
        <v>8828</v>
      </c>
      <c r="B2749" s="2" t="s">
        <v>7711</v>
      </c>
      <c r="C2749" s="2" t="s">
        <v>88</v>
      </c>
      <c r="D2749" s="2" t="s">
        <v>8050</v>
      </c>
      <c r="E2749" s="2" t="s">
        <v>8829</v>
      </c>
      <c r="F2749" s="2" t="s">
        <v>8830</v>
      </c>
      <c r="G2749" s="2" t="s">
        <v>8831</v>
      </c>
      <c r="H2749" s="2" t="s">
        <v>8832</v>
      </c>
      <c r="I2749" s="2" t="s">
        <v>8833</v>
      </c>
      <c r="J2749" s="2" t="s">
        <v>3877</v>
      </c>
      <c r="K2749" s="2" t="s">
        <v>4095</v>
      </c>
      <c r="L2749" s="3">
        <v>262.35</v>
      </c>
      <c r="M2749" s="3">
        <v>275.47</v>
      </c>
      <c r="N2749" s="3">
        <v>549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100</v>
      </c>
      <c r="T2749" s="2" t="s">
        <v>100</v>
      </c>
      <c r="U2749" s="2" t="s">
        <v>100</v>
      </c>
      <c r="V2749" s="2" t="s">
        <v>2661</v>
      </c>
      <c r="W2749" s="2" t="s">
        <v>104</v>
      </c>
      <c r="X2749" s="2" t="s">
        <v>100</v>
      </c>
      <c r="Y2749" s="2" t="s">
        <v>8834</v>
      </c>
      <c r="Z2749" s="4">
        <v>13</v>
      </c>
      <c r="AA2749" s="4">
        <f>=ROUNDDOWN(1.44444444444444,0)</f>
      </c>
      <c r="AB2749" s="5">
        <v>9</v>
      </c>
      <c r="AC2749" s="2" t="s">
        <v>282</v>
      </c>
      <c r="AD2749" s="4">
        <v>200</v>
      </c>
      <c r="AE2749" s="4">
        <v>396</v>
      </c>
      <c r="AF2749" s="6">
        <v>69</v>
      </c>
      <c r="AG2749" s="6">
        <v>52</v>
      </c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/>
      <c r="BD2749" s="8"/>
      <c r="BE2749" s="4"/>
      <c r="BF2749" s="8"/>
      <c r="BG2749" s="7"/>
      <c r="BH2749" s="7"/>
      <c r="BI2749" s="7"/>
      <c r="BJ2749" s="4">
        <v>297</v>
      </c>
      <c r="BK2749" s="8">
        <v>71592.75</v>
      </c>
      <c r="BL2749" s="2" t="s">
        <v>8835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2480</v>
      </c>
      <c r="BV2749" s="2" t="s">
        <v>97</v>
      </c>
      <c r="BW2749" s="2" t="s">
        <v>100</v>
      </c>
      <c r="BX2749" s="2" t="s">
        <v>100</v>
      </c>
      <c r="BY2749" s="2" t="s">
        <v>113</v>
      </c>
      <c r="BZ2749" s="2" t="s">
        <v>100</v>
      </c>
    </row>
    <row r="2750">
      <c r="A2750" s="2" t="s">
        <v>8836</v>
      </c>
      <c r="B2750" s="2" t="s">
        <v>7711</v>
      </c>
      <c r="C2750" s="2" t="s">
        <v>88</v>
      </c>
      <c r="D2750" s="2" t="s">
        <v>8050</v>
      </c>
      <c r="E2750" s="2" t="s">
        <v>8829</v>
      </c>
      <c r="F2750" s="2" t="s">
        <v>8837</v>
      </c>
      <c r="G2750" s="2" t="s">
        <v>8838</v>
      </c>
      <c r="H2750" s="2" t="s">
        <v>8839</v>
      </c>
      <c r="I2750" s="2" t="s">
        <v>8840</v>
      </c>
      <c r="J2750" s="2" t="s">
        <v>3877</v>
      </c>
      <c r="K2750" s="2" t="s">
        <v>604</v>
      </c>
      <c r="L2750" s="3">
        <v>237.5</v>
      </c>
      <c r="M2750" s="3">
        <v>249.38</v>
      </c>
      <c r="N2750" s="3">
        <v>499</v>
      </c>
      <c r="O2750" s="2" t="s">
        <v>97</v>
      </c>
      <c r="P2750" s="2" t="s">
        <v>119</v>
      </c>
      <c r="Q2750" s="2" t="s">
        <v>99</v>
      </c>
      <c r="R2750" s="2" t="s">
        <v>100</v>
      </c>
      <c r="S2750" s="2" t="s">
        <v>8841</v>
      </c>
      <c r="T2750" s="2" t="s">
        <v>100</v>
      </c>
      <c r="U2750" s="2" t="s">
        <v>1847</v>
      </c>
      <c r="V2750" s="2" t="s">
        <v>146</v>
      </c>
      <c r="W2750" s="2" t="s">
        <v>104</v>
      </c>
      <c r="X2750" s="2" t="s">
        <v>100</v>
      </c>
      <c r="Y2750" s="2" t="s">
        <v>5505</v>
      </c>
      <c r="Z2750" s="4">
        <v>275</v>
      </c>
      <c r="AA2750" s="4">
        <f>=ROUNDDOWN(68.75,0)</f>
      </c>
      <c r="AB2750" s="5">
        <v>4</v>
      </c>
      <c r="AC2750" s="2" t="s">
        <v>100</v>
      </c>
      <c r="AD2750" s="4"/>
      <c r="AE2750" s="4"/>
      <c r="AF2750" s="6">
        <v>68</v>
      </c>
      <c r="AG2750" s="6">
        <v>51</v>
      </c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/>
      <c r="BD2750" s="8"/>
      <c r="BE2750" s="4"/>
      <c r="BF2750" s="8"/>
      <c r="BG2750" s="7"/>
      <c r="BH2750" s="7"/>
      <c r="BI2750" s="7"/>
      <c r="BJ2750" s="4">
        <v>92</v>
      </c>
      <c r="BK2750" s="8">
        <v>21454.76</v>
      </c>
      <c r="BL2750" s="2" t="s">
        <v>8842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2480</v>
      </c>
      <c r="BV2750" s="2" t="s">
        <v>97</v>
      </c>
      <c r="BW2750" s="2" t="s">
        <v>100</v>
      </c>
      <c r="BX2750" s="2" t="s">
        <v>100</v>
      </c>
      <c r="BY2750" s="2" t="s">
        <v>113</v>
      </c>
      <c r="BZ2750" s="2" t="s">
        <v>100</v>
      </c>
    </row>
    <row r="2751">
      <c r="A2751" s="2" t="s">
        <v>8843</v>
      </c>
      <c r="B2751" s="2" t="s">
        <v>7711</v>
      </c>
      <c r="C2751" s="2" t="s">
        <v>88</v>
      </c>
      <c r="D2751" s="2" t="s">
        <v>8050</v>
      </c>
      <c r="E2751" s="2" t="s">
        <v>8829</v>
      </c>
      <c r="F2751" s="2" t="s">
        <v>8844</v>
      </c>
      <c r="G2751" s="2" t="s">
        <v>4801</v>
      </c>
      <c r="H2751" s="2" t="s">
        <v>8845</v>
      </c>
      <c r="I2751" s="2" t="s">
        <v>8840</v>
      </c>
      <c r="J2751" s="2" t="s">
        <v>3877</v>
      </c>
      <c r="K2751" s="2" t="s">
        <v>1172</v>
      </c>
      <c r="L2751" s="3">
        <v>270.75</v>
      </c>
      <c r="M2751" s="3">
        <v>284.29</v>
      </c>
      <c r="N2751" s="3">
        <v>569</v>
      </c>
      <c r="O2751" s="2" t="s">
        <v>97</v>
      </c>
      <c r="P2751" s="2" t="s">
        <v>119</v>
      </c>
      <c r="Q2751" s="2" t="s">
        <v>99</v>
      </c>
      <c r="R2751" s="2" t="s">
        <v>100</v>
      </c>
      <c r="S2751" s="2" t="s">
        <v>100</v>
      </c>
      <c r="T2751" s="2" t="s">
        <v>100</v>
      </c>
      <c r="U2751" s="2" t="s">
        <v>1847</v>
      </c>
      <c r="V2751" s="2" t="s">
        <v>146</v>
      </c>
      <c r="W2751" s="2" t="s">
        <v>104</v>
      </c>
      <c r="X2751" s="2" t="s">
        <v>100</v>
      </c>
      <c r="Y2751" s="2" t="s">
        <v>1971</v>
      </c>
      <c r="Z2751" s="4">
        <v>108</v>
      </c>
      <c r="AA2751" s="4">
        <f>=ROUNDDOWN(27,0)</f>
      </c>
      <c r="AB2751" s="5">
        <v>4</v>
      </c>
      <c r="AC2751" s="2" t="s">
        <v>1516</v>
      </c>
      <c r="AD2751" s="4">
        <v>100</v>
      </c>
      <c r="AE2751" s="4">
        <v>100</v>
      </c>
      <c r="AF2751" s="6">
        <v>69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/>
      <c r="BD2751" s="8"/>
      <c r="BE2751" s="4"/>
      <c r="BF2751" s="8"/>
      <c r="BG2751" s="7"/>
      <c r="BH2751" s="7"/>
      <c r="BI2751" s="7"/>
      <c r="BJ2751" s="4">
        <v>113</v>
      </c>
      <c r="BK2751" s="8">
        <v>30962.95</v>
      </c>
      <c r="BL2751" s="2" t="s">
        <v>8846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2480</v>
      </c>
      <c r="BV2751" s="2" t="s">
        <v>97</v>
      </c>
      <c r="BW2751" s="2" t="s">
        <v>100</v>
      </c>
      <c r="BX2751" s="2" t="s">
        <v>100</v>
      </c>
      <c r="BY2751" s="2" t="s">
        <v>113</v>
      </c>
      <c r="BZ2751" s="2" t="s">
        <v>100</v>
      </c>
    </row>
    <row r="2752">
      <c r="A2752" s="2" t="s">
        <v>8847</v>
      </c>
      <c r="B2752" s="2" t="s">
        <v>7711</v>
      </c>
      <c r="C2752" s="2" t="s">
        <v>88</v>
      </c>
      <c r="D2752" s="2" t="s">
        <v>8073</v>
      </c>
      <c r="E2752" s="2" t="s">
        <v>8074</v>
      </c>
      <c r="F2752" s="2" t="s">
        <v>8848</v>
      </c>
      <c r="G2752" s="2" t="s">
        <v>8849</v>
      </c>
      <c r="H2752" s="2" t="s">
        <v>8850</v>
      </c>
      <c r="I2752" s="2" t="s">
        <v>8074</v>
      </c>
      <c r="J2752" s="2" t="s">
        <v>3877</v>
      </c>
      <c r="K2752" s="2" t="s">
        <v>8851</v>
      </c>
      <c r="L2752" s="3">
        <v>161.5</v>
      </c>
      <c r="M2752" s="3">
        <v>169.58</v>
      </c>
      <c r="N2752" s="3">
        <v>339</v>
      </c>
      <c r="O2752" s="2" t="s">
        <v>97</v>
      </c>
      <c r="P2752" s="2" t="s">
        <v>372</v>
      </c>
      <c r="Q2752" s="2" t="s">
        <v>99</v>
      </c>
      <c r="R2752" s="2" t="s">
        <v>100</v>
      </c>
      <c r="S2752" s="2" t="s">
        <v>100</v>
      </c>
      <c r="T2752" s="2" t="s">
        <v>100</v>
      </c>
      <c r="U2752" s="2" t="s">
        <v>1847</v>
      </c>
      <c r="V2752" s="2" t="s">
        <v>146</v>
      </c>
      <c r="W2752" s="2" t="s">
        <v>561</v>
      </c>
      <c r="X2752" s="2" t="s">
        <v>104</v>
      </c>
      <c r="Y2752" s="2" t="s">
        <v>8852</v>
      </c>
      <c r="Z2752" s="4">
        <v>863</v>
      </c>
      <c r="AA2752" s="4">
        <f>=ROUNDDOWN(20.547619047619,0)</f>
      </c>
      <c r="AB2752" s="5">
        <v>42</v>
      </c>
      <c r="AC2752" s="2" t="s">
        <v>2681</v>
      </c>
      <c r="AD2752" s="4">
        <v>200</v>
      </c>
      <c r="AE2752" s="4">
        <v>300</v>
      </c>
      <c r="AF2752" s="6">
        <v>74</v>
      </c>
      <c r="AG2752" s="6">
        <v>60</v>
      </c>
      <c r="AH2752" s="7">
        <v>1</v>
      </c>
      <c r="AI2752" s="4"/>
      <c r="AJ2752" s="4">
        <f>=ROUNDDOWN({0},0)</f>
      </c>
      <c r="AK2752" s="5"/>
      <c r="AL2752" s="2" t="s">
        <v>977</v>
      </c>
      <c r="AM2752" s="4">
        <v>320</v>
      </c>
      <c r="AN2752" s="4">
        <v>470</v>
      </c>
      <c r="AO2752" s="7"/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/>
      <c r="BD2752" s="8"/>
      <c r="BE2752" s="4"/>
      <c r="BF2752" s="8"/>
      <c r="BG2752" s="7"/>
      <c r="BH2752" s="7"/>
      <c r="BI2752" s="7"/>
      <c r="BJ2752" s="4">
        <v>1119</v>
      </c>
      <c r="BK2752" s="8">
        <v>178471.9</v>
      </c>
      <c r="BL2752" s="2" t="s">
        <v>8853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2480</v>
      </c>
      <c r="BV2752" s="2" t="s">
        <v>97</v>
      </c>
      <c r="BW2752" s="2" t="s">
        <v>100</v>
      </c>
      <c r="BX2752" s="2" t="s">
        <v>100</v>
      </c>
      <c r="BY2752" s="2" t="s">
        <v>113</v>
      </c>
      <c r="BZ2752" s="2" t="s">
        <v>100</v>
      </c>
    </row>
    <row r="2753">
      <c r="A2753" s="2" t="s">
        <v>8854</v>
      </c>
      <c r="B2753" s="2" t="s">
        <v>7711</v>
      </c>
      <c r="C2753" s="2" t="s">
        <v>88</v>
      </c>
      <c r="D2753" s="2" t="s">
        <v>8073</v>
      </c>
      <c r="E2753" s="2" t="s">
        <v>8074</v>
      </c>
      <c r="F2753" s="2" t="s">
        <v>1870</v>
      </c>
      <c r="G2753" s="2" t="s">
        <v>8604</v>
      </c>
      <c r="H2753" s="2" t="s">
        <v>8605</v>
      </c>
      <c r="I2753" s="2" t="s">
        <v>8074</v>
      </c>
      <c r="J2753" s="2" t="s">
        <v>3877</v>
      </c>
      <c r="K2753" s="2" t="s">
        <v>8855</v>
      </c>
      <c r="L2753" s="3">
        <v>133</v>
      </c>
      <c r="M2753" s="3">
        <v>139.65</v>
      </c>
      <c r="N2753" s="3">
        <v>279</v>
      </c>
      <c r="O2753" s="2" t="s">
        <v>97</v>
      </c>
      <c r="P2753" s="2" t="s">
        <v>119</v>
      </c>
      <c r="Q2753" s="2" t="s">
        <v>99</v>
      </c>
      <c r="R2753" s="2" t="s">
        <v>100</v>
      </c>
      <c r="S2753" s="2" t="s">
        <v>100</v>
      </c>
      <c r="T2753" s="2" t="s">
        <v>100</v>
      </c>
      <c r="U2753" s="2" t="s">
        <v>1847</v>
      </c>
      <c r="V2753" s="2" t="s">
        <v>146</v>
      </c>
      <c r="W2753" s="2" t="s">
        <v>561</v>
      </c>
      <c r="X2753" s="2" t="s">
        <v>1580</v>
      </c>
      <c r="Y2753" s="2" t="s">
        <v>8856</v>
      </c>
      <c r="Z2753" s="4">
        <v>250</v>
      </c>
      <c r="AA2753" s="4">
        <f>=ROUNDDOWN(35.7142857142857,0)</f>
      </c>
      <c r="AB2753" s="5">
        <v>7</v>
      </c>
      <c r="AC2753" s="2" t="s">
        <v>148</v>
      </c>
      <c r="AD2753" s="4">
        <v>158</v>
      </c>
      <c r="AE2753" s="4">
        <v>158</v>
      </c>
      <c r="AF2753" s="6">
        <v>74</v>
      </c>
      <c r="AG2753" s="6">
        <v>60</v>
      </c>
      <c r="AH2753" s="7">
        <v>0.8182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>
        <v>181</v>
      </c>
      <c r="BK2753" s="8">
        <v>22519.29</v>
      </c>
      <c r="BL2753" s="2" t="s">
        <v>8857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2480</v>
      </c>
      <c r="BV2753" s="2" t="s">
        <v>97</v>
      </c>
      <c r="BW2753" s="2" t="s">
        <v>100</v>
      </c>
      <c r="BX2753" s="2" t="s">
        <v>100</v>
      </c>
      <c r="BY2753" s="2" t="s">
        <v>113</v>
      </c>
      <c r="BZ2753" s="2" t="s">
        <v>100</v>
      </c>
    </row>
    <row r="2754">
      <c r="A2754" s="2" t="s">
        <v>8858</v>
      </c>
      <c r="B2754" s="2" t="s">
        <v>7711</v>
      </c>
      <c r="C2754" s="2" t="s">
        <v>88</v>
      </c>
      <c r="D2754" s="2" t="s">
        <v>8073</v>
      </c>
      <c r="E2754" s="2" t="s">
        <v>8074</v>
      </c>
      <c r="F2754" s="2" t="s">
        <v>1870</v>
      </c>
      <c r="G2754" s="2" t="s">
        <v>8604</v>
      </c>
      <c r="H2754" s="2" t="s">
        <v>8605</v>
      </c>
      <c r="I2754" s="2" t="s">
        <v>8074</v>
      </c>
      <c r="J2754" s="2" t="s">
        <v>3877</v>
      </c>
      <c r="K2754" s="2" t="s">
        <v>8607</v>
      </c>
      <c r="L2754" s="3">
        <v>133</v>
      </c>
      <c r="M2754" s="3">
        <v>139.65</v>
      </c>
      <c r="N2754" s="3">
        <v>279</v>
      </c>
      <c r="O2754" s="2" t="s">
        <v>97</v>
      </c>
      <c r="P2754" s="2" t="s">
        <v>372</v>
      </c>
      <c r="Q2754" s="2" t="s">
        <v>99</v>
      </c>
      <c r="R2754" s="2" t="s">
        <v>100</v>
      </c>
      <c r="S2754" s="2" t="s">
        <v>100</v>
      </c>
      <c r="T2754" s="2" t="s">
        <v>100</v>
      </c>
      <c r="U2754" s="2" t="s">
        <v>1847</v>
      </c>
      <c r="V2754" s="2" t="s">
        <v>146</v>
      </c>
      <c r="W2754" s="2" t="s">
        <v>1580</v>
      </c>
      <c r="X2754" s="2" t="s">
        <v>561</v>
      </c>
      <c r="Y2754" s="2" t="s">
        <v>8608</v>
      </c>
      <c r="Z2754" s="4">
        <v>441</v>
      </c>
      <c r="AA2754" s="4">
        <f>=ROUNDDOWN(14.7,0)</f>
      </c>
      <c r="AB2754" s="5">
        <v>30</v>
      </c>
      <c r="AC2754" s="2" t="s">
        <v>135</v>
      </c>
      <c r="AD2754" s="4">
        <v>125</v>
      </c>
      <c r="AE2754" s="4">
        <v>565</v>
      </c>
      <c r="AF2754" s="6">
        <v>74</v>
      </c>
      <c r="AG2754" s="6">
        <v>60</v>
      </c>
      <c r="AH2754" s="7">
        <v>0.9519</v>
      </c>
      <c r="AI2754" s="4"/>
      <c r="AJ2754" s="4">
        <f>=ROUNDDOWN({0},0)</f>
      </c>
      <c r="AK2754" s="5">
        <v>29.1</v>
      </c>
      <c r="AL2754" s="2" t="s">
        <v>123</v>
      </c>
      <c r="AM2754" s="4">
        <v>230</v>
      </c>
      <c r="AN2754" s="4">
        <v>410</v>
      </c>
      <c r="AO2754" s="7">
        <v>0.4332</v>
      </c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>
        <v>848</v>
      </c>
      <c r="BK2754" s="8">
        <v>104745.48</v>
      </c>
      <c r="BL2754" s="2" t="s">
        <v>8859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2480</v>
      </c>
      <c r="BV2754" s="2" t="s">
        <v>97</v>
      </c>
      <c r="BW2754" s="2" t="s">
        <v>100</v>
      </c>
      <c r="BX2754" s="2" t="s">
        <v>100</v>
      </c>
      <c r="BY2754" s="2" t="s">
        <v>113</v>
      </c>
      <c r="BZ2754" s="2" t="s">
        <v>100</v>
      </c>
    </row>
    <row r="2755">
      <c r="A2755" s="2" t="s">
        <v>8860</v>
      </c>
      <c r="B2755" s="2" t="s">
        <v>7711</v>
      </c>
      <c r="C2755" s="2" t="s">
        <v>88</v>
      </c>
      <c r="D2755" s="2" t="s">
        <v>8073</v>
      </c>
      <c r="E2755" s="2" t="s">
        <v>8074</v>
      </c>
      <c r="F2755" s="2" t="s">
        <v>1870</v>
      </c>
      <c r="G2755" s="2" t="s">
        <v>8604</v>
      </c>
      <c r="H2755" s="2" t="s">
        <v>8605</v>
      </c>
      <c r="I2755" s="2" t="s">
        <v>8074</v>
      </c>
      <c r="J2755" s="2" t="s">
        <v>3877</v>
      </c>
      <c r="K2755" s="2" t="s">
        <v>8611</v>
      </c>
      <c r="L2755" s="3">
        <v>133</v>
      </c>
      <c r="M2755" s="3">
        <v>139.65</v>
      </c>
      <c r="N2755" s="3">
        <v>279</v>
      </c>
      <c r="O2755" s="2" t="s">
        <v>97</v>
      </c>
      <c r="P2755" s="2" t="s">
        <v>372</v>
      </c>
      <c r="Q2755" s="2" t="s">
        <v>99</v>
      </c>
      <c r="R2755" s="2" t="s">
        <v>100</v>
      </c>
      <c r="S2755" s="2" t="s">
        <v>8861</v>
      </c>
      <c r="T2755" s="2" t="s">
        <v>100</v>
      </c>
      <c r="U2755" s="2" t="s">
        <v>100</v>
      </c>
      <c r="V2755" s="2" t="s">
        <v>146</v>
      </c>
      <c r="W2755" s="2" t="s">
        <v>1580</v>
      </c>
      <c r="X2755" s="2" t="s">
        <v>100</v>
      </c>
      <c r="Y2755" s="2" t="s">
        <v>240</v>
      </c>
      <c r="Z2755" s="4">
        <v>957</v>
      </c>
      <c r="AA2755" s="4">
        <f>=ROUNDDOWN(15.4106280193237,0)</f>
      </c>
      <c r="AB2755" s="5">
        <v>62.1</v>
      </c>
      <c r="AC2755" s="2" t="s">
        <v>135</v>
      </c>
      <c r="AD2755" s="4">
        <v>75</v>
      </c>
      <c r="AE2755" s="4">
        <v>855</v>
      </c>
      <c r="AF2755" s="6">
        <v>74</v>
      </c>
      <c r="AG2755" s="6">
        <v>60</v>
      </c>
      <c r="AH2755" s="7">
        <v>0.8877</v>
      </c>
      <c r="AI2755" s="4"/>
      <c r="AJ2755" s="4">
        <f>=ROUNDDOWN({0},0)</f>
      </c>
      <c r="AK2755" s="5">
        <v>46.5</v>
      </c>
      <c r="AL2755" s="2" t="s">
        <v>123</v>
      </c>
      <c r="AM2755" s="4">
        <v>406</v>
      </c>
      <c r="AN2755" s="4">
        <v>818</v>
      </c>
      <c r="AO2755" s="7">
        <v>0.4332</v>
      </c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1685</v>
      </c>
      <c r="BK2755" s="8">
        <v>215595.41</v>
      </c>
      <c r="BL2755" s="2" t="s">
        <v>8862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2480</v>
      </c>
      <c r="BV2755" s="2" t="s">
        <v>97</v>
      </c>
      <c r="BW2755" s="2" t="s">
        <v>100</v>
      </c>
      <c r="BX2755" s="2" t="s">
        <v>100</v>
      </c>
      <c r="BY2755" s="2" t="s">
        <v>113</v>
      </c>
      <c r="BZ2755" s="2" t="s">
        <v>100</v>
      </c>
    </row>
    <row r="2756">
      <c r="A2756" s="2" t="s">
        <v>8863</v>
      </c>
      <c r="B2756" s="2" t="s">
        <v>7711</v>
      </c>
      <c r="C2756" s="2" t="s">
        <v>88</v>
      </c>
      <c r="D2756" s="2" t="s">
        <v>8073</v>
      </c>
      <c r="E2756" s="2" t="s">
        <v>8109</v>
      </c>
      <c r="F2756" s="2" t="s">
        <v>1870</v>
      </c>
      <c r="G2756" s="2" t="s">
        <v>8604</v>
      </c>
      <c r="H2756" s="2" t="s">
        <v>8605</v>
      </c>
      <c r="I2756" s="2" t="s">
        <v>8864</v>
      </c>
      <c r="J2756" s="2" t="s">
        <v>3877</v>
      </c>
      <c r="K2756" s="2" t="s">
        <v>8607</v>
      </c>
      <c r="L2756" s="3">
        <v>126.35</v>
      </c>
      <c r="M2756" s="3">
        <v>132.67</v>
      </c>
      <c r="N2756" s="3">
        <v>269</v>
      </c>
      <c r="O2756" s="2" t="s">
        <v>97</v>
      </c>
      <c r="P2756" s="2" t="s">
        <v>119</v>
      </c>
      <c r="Q2756" s="2" t="s">
        <v>99</v>
      </c>
      <c r="R2756" s="2" t="s">
        <v>100</v>
      </c>
      <c r="S2756" s="2" t="s">
        <v>100</v>
      </c>
      <c r="T2756" s="2" t="s">
        <v>100</v>
      </c>
      <c r="U2756" s="2" t="s">
        <v>1847</v>
      </c>
      <c r="V2756" s="2" t="s">
        <v>146</v>
      </c>
      <c r="W2756" s="2" t="s">
        <v>1580</v>
      </c>
      <c r="X2756" s="2" t="s">
        <v>561</v>
      </c>
      <c r="Y2756" s="2" t="s">
        <v>8608</v>
      </c>
      <c r="Z2756" s="4">
        <v>213</v>
      </c>
      <c r="AA2756" s="4">
        <f>=ROUNDDOWN(48.4090909090909,0)</f>
      </c>
      <c r="AB2756" s="5">
        <v>4.4</v>
      </c>
      <c r="AC2756" s="2" t="s">
        <v>100</v>
      </c>
      <c r="AD2756" s="4"/>
      <c r="AE2756" s="4"/>
      <c r="AF2756" s="6">
        <v>74</v>
      </c>
      <c r="AG2756" s="6">
        <v>60</v>
      </c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/>
      <c r="AW2756" s="8"/>
      <c r="AX2756" s="4"/>
      <c r="AY2756" s="8"/>
      <c r="AZ2756" s="7"/>
      <c r="BA2756" s="7"/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201</v>
      </c>
      <c r="BK2756" s="8">
        <v>23632.46</v>
      </c>
      <c r="BL2756" s="2" t="s">
        <v>8865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2480</v>
      </c>
      <c r="BV2756" s="2" t="s">
        <v>97</v>
      </c>
      <c r="BW2756" s="2" t="s">
        <v>100</v>
      </c>
      <c r="BX2756" s="2" t="s">
        <v>100</v>
      </c>
      <c r="BY2756" s="2" t="s">
        <v>113</v>
      </c>
      <c r="BZ2756" s="2" t="s">
        <v>100</v>
      </c>
    </row>
    <row r="2757">
      <c r="A2757" s="2" t="s">
        <v>8866</v>
      </c>
      <c r="B2757" s="2" t="s">
        <v>7711</v>
      </c>
      <c r="C2757" s="2" t="s">
        <v>88</v>
      </c>
      <c r="D2757" s="2" t="s">
        <v>8073</v>
      </c>
      <c r="E2757" s="2" t="s">
        <v>8109</v>
      </c>
      <c r="F2757" s="2" t="s">
        <v>1870</v>
      </c>
      <c r="G2757" s="2" t="s">
        <v>8604</v>
      </c>
      <c r="H2757" s="2" t="s">
        <v>8605</v>
      </c>
      <c r="I2757" s="2" t="s">
        <v>8864</v>
      </c>
      <c r="J2757" s="2" t="s">
        <v>3877</v>
      </c>
      <c r="K2757" s="2" t="s">
        <v>8611</v>
      </c>
      <c r="L2757" s="3">
        <v>126.35</v>
      </c>
      <c r="M2757" s="3">
        <v>132.67</v>
      </c>
      <c r="N2757" s="3">
        <v>269</v>
      </c>
      <c r="O2757" s="2" t="s">
        <v>97</v>
      </c>
      <c r="P2757" s="2" t="s">
        <v>98</v>
      </c>
      <c r="Q2757" s="2" t="s">
        <v>99</v>
      </c>
      <c r="R2757" s="2" t="s">
        <v>100</v>
      </c>
      <c r="S2757" s="2" t="s">
        <v>8867</v>
      </c>
      <c r="T2757" s="2" t="s">
        <v>100</v>
      </c>
      <c r="U2757" s="2" t="s">
        <v>100</v>
      </c>
      <c r="V2757" s="2" t="s">
        <v>146</v>
      </c>
      <c r="W2757" s="2" t="s">
        <v>1580</v>
      </c>
      <c r="X2757" s="2" t="s">
        <v>100</v>
      </c>
      <c r="Y2757" s="2" t="s">
        <v>240</v>
      </c>
      <c r="Z2757" s="4">
        <v>411</v>
      </c>
      <c r="AA2757" s="4">
        <f>=ROUNDDOWN(31.6153846153846,0)</f>
      </c>
      <c r="AB2757" s="5">
        <v>13</v>
      </c>
      <c r="AC2757" s="2" t="s">
        <v>608</v>
      </c>
      <c r="AD2757" s="4">
        <v>174</v>
      </c>
      <c r="AE2757" s="4">
        <v>174</v>
      </c>
      <c r="AF2757" s="6">
        <v>74</v>
      </c>
      <c r="AG2757" s="6">
        <v>60</v>
      </c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500</v>
      </c>
      <c r="BK2757" s="8">
        <v>58295.65</v>
      </c>
      <c r="BL2757" s="2" t="s">
        <v>8868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2480</v>
      </c>
      <c r="BV2757" s="2" t="s">
        <v>97</v>
      </c>
      <c r="BW2757" s="2" t="s">
        <v>100</v>
      </c>
      <c r="BX2757" s="2" t="s">
        <v>100</v>
      </c>
      <c r="BY2757" s="2" t="s">
        <v>113</v>
      </c>
      <c r="BZ2757" s="2" t="s">
        <v>100</v>
      </c>
    </row>
    <row r="2758">
      <c r="A2758" s="2" t="s">
        <v>8869</v>
      </c>
      <c r="B2758" s="2" t="s">
        <v>7711</v>
      </c>
      <c r="C2758" s="2" t="s">
        <v>88</v>
      </c>
      <c r="D2758" s="2" t="s">
        <v>8073</v>
      </c>
      <c r="E2758" s="2" t="s">
        <v>7907</v>
      </c>
      <c r="F2758" s="2" t="s">
        <v>8848</v>
      </c>
      <c r="G2758" s="2" t="s">
        <v>8849</v>
      </c>
      <c r="H2758" s="2" t="s">
        <v>8850</v>
      </c>
      <c r="I2758" s="2" t="s">
        <v>8870</v>
      </c>
      <c r="J2758" s="2" t="s">
        <v>3877</v>
      </c>
      <c r="K2758" s="2" t="s">
        <v>8851</v>
      </c>
      <c r="L2758" s="3">
        <v>95</v>
      </c>
      <c r="M2758" s="3">
        <v>99.75</v>
      </c>
      <c r="N2758" s="3">
        <v>199</v>
      </c>
      <c r="O2758" s="2" t="s">
        <v>97</v>
      </c>
      <c r="P2758" s="2" t="s">
        <v>98</v>
      </c>
      <c r="Q2758" s="2" t="s">
        <v>99</v>
      </c>
      <c r="R2758" s="2" t="s">
        <v>100</v>
      </c>
      <c r="S2758" s="2" t="s">
        <v>100</v>
      </c>
      <c r="T2758" s="2" t="s">
        <v>100</v>
      </c>
      <c r="U2758" s="2" t="s">
        <v>1847</v>
      </c>
      <c r="V2758" s="2" t="s">
        <v>146</v>
      </c>
      <c r="W2758" s="2" t="s">
        <v>561</v>
      </c>
      <c r="X2758" s="2" t="s">
        <v>104</v>
      </c>
      <c r="Y2758" s="2" t="s">
        <v>8852</v>
      </c>
      <c r="Z2758" s="4">
        <v>489</v>
      </c>
      <c r="AA2758" s="4">
        <f>=ROUNDDOWN(40.75,0)</f>
      </c>
      <c r="AB2758" s="5">
        <v>12</v>
      </c>
      <c r="AC2758" s="2" t="s">
        <v>100</v>
      </c>
      <c r="AD2758" s="4"/>
      <c r="AE2758" s="4"/>
      <c r="AF2758" s="6">
        <v>74</v>
      </c>
      <c r="AG2758" s="6">
        <v>60</v>
      </c>
      <c r="AH2758" s="7">
        <v>0.7968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/>
      <c r="BD2758" s="8"/>
      <c r="BE2758" s="4"/>
      <c r="BF2758" s="8"/>
      <c r="BG2758" s="7"/>
      <c r="BH2758" s="7"/>
      <c r="BI2758" s="7"/>
      <c r="BJ2758" s="4">
        <v>282</v>
      </c>
      <c r="BK2758" s="8">
        <v>28644.86</v>
      </c>
      <c r="BL2758" s="2" t="s">
        <v>8871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2480</v>
      </c>
      <c r="BV2758" s="2" t="s">
        <v>97</v>
      </c>
      <c r="BW2758" s="2" t="s">
        <v>100</v>
      </c>
      <c r="BX2758" s="2" t="s">
        <v>100</v>
      </c>
      <c r="BY2758" s="2" t="s">
        <v>113</v>
      </c>
      <c r="BZ2758" s="2" t="s">
        <v>100</v>
      </c>
    </row>
    <row r="2759">
      <c r="A2759" s="2" t="s">
        <v>8872</v>
      </c>
      <c r="B2759" s="2" t="s">
        <v>7711</v>
      </c>
      <c r="C2759" s="2" t="s">
        <v>88</v>
      </c>
      <c r="D2759" s="2" t="s">
        <v>8073</v>
      </c>
      <c r="E2759" s="2" t="s">
        <v>7907</v>
      </c>
      <c r="F2759" s="2" t="s">
        <v>1870</v>
      </c>
      <c r="G2759" s="2" t="s">
        <v>8604</v>
      </c>
      <c r="H2759" s="2" t="s">
        <v>8605</v>
      </c>
      <c r="I2759" s="2" t="s">
        <v>8870</v>
      </c>
      <c r="J2759" s="2" t="s">
        <v>3877</v>
      </c>
      <c r="K2759" s="2" t="s">
        <v>8607</v>
      </c>
      <c r="L2759" s="3">
        <v>90</v>
      </c>
      <c r="M2759" s="3">
        <v>94.5</v>
      </c>
      <c r="N2759" s="3">
        <v>189</v>
      </c>
      <c r="O2759" s="2" t="s">
        <v>97</v>
      </c>
      <c r="P2759" s="2" t="s">
        <v>119</v>
      </c>
      <c r="Q2759" s="2" t="s">
        <v>99</v>
      </c>
      <c r="R2759" s="2" t="s">
        <v>100</v>
      </c>
      <c r="S2759" s="2" t="s">
        <v>100</v>
      </c>
      <c r="T2759" s="2" t="s">
        <v>100</v>
      </c>
      <c r="U2759" s="2" t="s">
        <v>1847</v>
      </c>
      <c r="V2759" s="2" t="s">
        <v>146</v>
      </c>
      <c r="W2759" s="2" t="s">
        <v>1580</v>
      </c>
      <c r="X2759" s="2" t="s">
        <v>561</v>
      </c>
      <c r="Y2759" s="2" t="s">
        <v>8608</v>
      </c>
      <c r="Z2759" s="4">
        <v>182</v>
      </c>
      <c r="AA2759" s="4">
        <f>=ROUNDDOWN(9.57894736842105,0)</f>
      </c>
      <c r="AB2759" s="5">
        <v>19</v>
      </c>
      <c r="AC2759" s="2" t="s">
        <v>135</v>
      </c>
      <c r="AD2759" s="4">
        <v>75</v>
      </c>
      <c r="AE2759" s="4">
        <v>521</v>
      </c>
      <c r="AF2759" s="6">
        <v>74</v>
      </c>
      <c r="AG2759" s="6">
        <v>60</v>
      </c>
      <c r="AH2759" s="7">
        <v>0.8877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461</v>
      </c>
      <c r="BK2759" s="8">
        <v>37519</v>
      </c>
      <c r="BL2759" s="2" t="s">
        <v>8873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2480</v>
      </c>
      <c r="BV2759" s="2" t="s">
        <v>97</v>
      </c>
      <c r="BW2759" s="2" t="s">
        <v>100</v>
      </c>
      <c r="BX2759" s="2" t="s">
        <v>100</v>
      </c>
      <c r="BY2759" s="2" t="s">
        <v>113</v>
      </c>
      <c r="BZ2759" s="2" t="s">
        <v>100</v>
      </c>
    </row>
    <row r="2760">
      <c r="A2760" s="2" t="s">
        <v>8874</v>
      </c>
      <c r="B2760" s="2" t="s">
        <v>7711</v>
      </c>
      <c r="C2760" s="2" t="s">
        <v>88</v>
      </c>
      <c r="D2760" s="2" t="s">
        <v>8073</v>
      </c>
      <c r="E2760" s="2" t="s">
        <v>7907</v>
      </c>
      <c r="F2760" s="2" t="s">
        <v>1870</v>
      </c>
      <c r="G2760" s="2" t="s">
        <v>8604</v>
      </c>
      <c r="H2760" s="2" t="s">
        <v>8605</v>
      </c>
      <c r="I2760" s="2" t="s">
        <v>8870</v>
      </c>
      <c r="J2760" s="2" t="s">
        <v>3877</v>
      </c>
      <c r="K2760" s="2" t="s">
        <v>8611</v>
      </c>
      <c r="L2760" s="3">
        <v>90</v>
      </c>
      <c r="M2760" s="3">
        <v>94.5</v>
      </c>
      <c r="N2760" s="3">
        <v>189</v>
      </c>
      <c r="O2760" s="2" t="s">
        <v>97</v>
      </c>
      <c r="P2760" s="2" t="s">
        <v>372</v>
      </c>
      <c r="Q2760" s="2" t="s">
        <v>99</v>
      </c>
      <c r="R2760" s="2" t="s">
        <v>100</v>
      </c>
      <c r="S2760" s="2" t="s">
        <v>8875</v>
      </c>
      <c r="T2760" s="2" t="s">
        <v>100</v>
      </c>
      <c r="U2760" s="2" t="s">
        <v>100</v>
      </c>
      <c r="V2760" s="2" t="s">
        <v>146</v>
      </c>
      <c r="W2760" s="2" t="s">
        <v>1580</v>
      </c>
      <c r="X2760" s="2" t="s">
        <v>100</v>
      </c>
      <c r="Y2760" s="2" t="s">
        <v>240</v>
      </c>
      <c r="Z2760" s="4">
        <v>1105</v>
      </c>
      <c r="AA2760" s="4">
        <f>=ROUNDDOWN(27.9746835443038,0)</f>
      </c>
      <c r="AB2760" s="5">
        <v>39.5</v>
      </c>
      <c r="AC2760" s="2" t="s">
        <v>174</v>
      </c>
      <c r="AD2760" s="4">
        <v>300</v>
      </c>
      <c r="AE2760" s="4">
        <v>400</v>
      </c>
      <c r="AF2760" s="6">
        <v>74</v>
      </c>
      <c r="AG2760" s="6">
        <v>60</v>
      </c>
      <c r="AH2760" s="7">
        <v>1</v>
      </c>
      <c r="AI2760" s="4"/>
      <c r="AJ2760" s="4">
        <f>=ROUNDDOWN({0},0)</f>
      </c>
      <c r="AK2760" s="5">
        <v>108.1</v>
      </c>
      <c r="AL2760" s="2" t="s">
        <v>123</v>
      </c>
      <c r="AM2760" s="4">
        <v>220</v>
      </c>
      <c r="AN2760" s="4">
        <v>290</v>
      </c>
      <c r="AO2760" s="7">
        <v>0.1444</v>
      </c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1402</v>
      </c>
      <c r="BK2760" s="8">
        <v>114926.35</v>
      </c>
      <c r="BL2760" s="2" t="s">
        <v>8876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2480</v>
      </c>
      <c r="BV2760" s="2" t="s">
        <v>97</v>
      </c>
      <c r="BW2760" s="2" t="s">
        <v>100</v>
      </c>
      <c r="BX2760" s="2" t="s">
        <v>100</v>
      </c>
      <c r="BY2760" s="2" t="s">
        <v>113</v>
      </c>
      <c r="BZ2760" s="2" t="s">
        <v>100</v>
      </c>
    </row>
    <row r="2761">
      <c r="A2761" s="2" t="s">
        <v>8877</v>
      </c>
      <c r="B2761" s="2" t="s">
        <v>7711</v>
      </c>
      <c r="C2761" s="2" t="s">
        <v>88</v>
      </c>
      <c r="D2761" s="2" t="s">
        <v>8878</v>
      </c>
      <c r="E2761" s="2" t="s">
        <v>8879</v>
      </c>
      <c r="F2761" s="2" t="s">
        <v>8880</v>
      </c>
      <c r="G2761" s="2" t="s">
        <v>8881</v>
      </c>
      <c r="H2761" s="2" t="s">
        <v>8882</v>
      </c>
      <c r="I2761" s="2" t="s">
        <v>8883</v>
      </c>
      <c r="J2761" s="2" t="s">
        <v>3877</v>
      </c>
      <c r="K2761" s="2" t="s">
        <v>198</v>
      </c>
      <c r="L2761" s="3">
        <v>140.25</v>
      </c>
      <c r="M2761" s="3">
        <v>147.26</v>
      </c>
      <c r="N2761" s="3">
        <v>299</v>
      </c>
      <c r="O2761" s="2" t="s">
        <v>97</v>
      </c>
      <c r="P2761" s="2" t="s">
        <v>119</v>
      </c>
      <c r="Q2761" s="2" t="s">
        <v>99</v>
      </c>
      <c r="R2761" s="2" t="s">
        <v>100</v>
      </c>
      <c r="S2761" s="2" t="s">
        <v>100</v>
      </c>
      <c r="T2761" s="2" t="s">
        <v>100</v>
      </c>
      <c r="U2761" s="2" t="s">
        <v>1847</v>
      </c>
      <c r="V2761" s="2" t="s">
        <v>146</v>
      </c>
      <c r="W2761" s="2" t="s">
        <v>104</v>
      </c>
      <c r="X2761" s="2" t="s">
        <v>561</v>
      </c>
      <c r="Y2761" s="2" t="s">
        <v>8884</v>
      </c>
      <c r="Z2761" s="4">
        <v>84</v>
      </c>
      <c r="AA2761" s="4">
        <f>=ROUNDDOWN(28,0)</f>
      </c>
      <c r="AB2761" s="5">
        <v>3</v>
      </c>
      <c r="AC2761" s="2" t="s">
        <v>100</v>
      </c>
      <c r="AD2761" s="4"/>
      <c r="AE2761" s="4"/>
      <c r="AF2761" s="6">
        <v>66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/>
      <c r="BD2761" s="8"/>
      <c r="BE2761" s="4"/>
      <c r="BF2761" s="8"/>
      <c r="BG2761" s="7"/>
      <c r="BH2761" s="7"/>
      <c r="BI2761" s="7"/>
      <c r="BJ2761" s="4">
        <v>71</v>
      </c>
      <c r="BK2761" s="8">
        <v>10678.9</v>
      </c>
      <c r="BL2761" s="2" t="s">
        <v>8885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2480</v>
      </c>
      <c r="BV2761" s="2" t="s">
        <v>97</v>
      </c>
      <c r="BW2761" s="2" t="s">
        <v>100</v>
      </c>
      <c r="BX2761" s="2" t="s">
        <v>100</v>
      </c>
      <c r="BY2761" s="2" t="s">
        <v>113</v>
      </c>
      <c r="BZ2761" s="2" t="s">
        <v>100</v>
      </c>
    </row>
    <row r="2762">
      <c r="A2762" s="2" t="s">
        <v>8886</v>
      </c>
      <c r="B2762" s="2" t="s">
        <v>7711</v>
      </c>
      <c r="C2762" s="2" t="s">
        <v>88</v>
      </c>
      <c r="D2762" s="2" t="s">
        <v>8878</v>
      </c>
      <c r="E2762" s="2" t="s">
        <v>8879</v>
      </c>
      <c r="F2762" s="2" t="s">
        <v>8887</v>
      </c>
      <c r="G2762" s="2" t="s">
        <v>2086</v>
      </c>
      <c r="H2762" s="2" t="s">
        <v>8888</v>
      </c>
      <c r="I2762" s="2" t="s">
        <v>8889</v>
      </c>
      <c r="J2762" s="2" t="s">
        <v>3877</v>
      </c>
      <c r="K2762" s="2" t="s">
        <v>913</v>
      </c>
      <c r="L2762" s="3">
        <v>173.25</v>
      </c>
      <c r="M2762" s="3">
        <v>181.91</v>
      </c>
      <c r="N2762" s="3">
        <v>369</v>
      </c>
      <c r="O2762" s="2" t="s">
        <v>97</v>
      </c>
      <c r="P2762" s="2" t="s">
        <v>119</v>
      </c>
      <c r="Q2762" s="2" t="s">
        <v>99</v>
      </c>
      <c r="R2762" s="2" t="s">
        <v>100</v>
      </c>
      <c r="S2762" s="2" t="s">
        <v>8890</v>
      </c>
      <c r="T2762" s="2" t="s">
        <v>100</v>
      </c>
      <c r="U2762" s="2" t="s">
        <v>100</v>
      </c>
      <c r="V2762" s="2" t="s">
        <v>146</v>
      </c>
      <c r="W2762" s="2" t="s">
        <v>309</v>
      </c>
      <c r="X2762" s="2" t="s">
        <v>100</v>
      </c>
      <c r="Y2762" s="2" t="s">
        <v>240</v>
      </c>
      <c r="Z2762" s="4">
        <v>148</v>
      </c>
      <c r="AA2762" s="4">
        <f>=ROUNDDOWN(29.6,0)</f>
      </c>
      <c r="AB2762" s="5">
        <v>5</v>
      </c>
      <c r="AC2762" s="2" t="s">
        <v>100</v>
      </c>
      <c r="AD2762" s="4"/>
      <c r="AE2762" s="4"/>
      <c r="AF2762" s="6">
        <v>66</v>
      </c>
      <c r="AG2762" s="6">
        <v>49</v>
      </c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/>
      <c r="BD2762" s="8"/>
      <c r="BE2762" s="4"/>
      <c r="BF2762" s="8"/>
      <c r="BG2762" s="7"/>
      <c r="BH2762" s="7"/>
      <c r="BI2762" s="7"/>
      <c r="BJ2762" s="4">
        <v>96</v>
      </c>
      <c r="BK2762" s="8">
        <v>16077.91</v>
      </c>
      <c r="BL2762" s="2" t="s">
        <v>8891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2480</v>
      </c>
      <c r="BV2762" s="2" t="s">
        <v>97</v>
      </c>
      <c r="BW2762" s="2" t="s">
        <v>100</v>
      </c>
      <c r="BX2762" s="2" t="s">
        <v>100</v>
      </c>
      <c r="BY2762" s="2" t="s">
        <v>113</v>
      </c>
      <c r="BZ2762" s="2" t="s">
        <v>100</v>
      </c>
    </row>
    <row r="2763">
      <c r="A2763" s="2" t="s">
        <v>8892</v>
      </c>
      <c r="B2763" s="2" t="s">
        <v>7711</v>
      </c>
      <c r="C2763" s="2" t="s">
        <v>88</v>
      </c>
      <c r="D2763" s="2" t="s">
        <v>8878</v>
      </c>
      <c r="E2763" s="2" t="s">
        <v>8893</v>
      </c>
      <c r="F2763" s="2" t="s">
        <v>8894</v>
      </c>
      <c r="G2763" s="2" t="s">
        <v>8895</v>
      </c>
      <c r="H2763" s="2" t="s">
        <v>8896</v>
      </c>
      <c r="I2763" s="2" t="s">
        <v>8897</v>
      </c>
      <c r="J2763" s="2" t="s">
        <v>3877</v>
      </c>
      <c r="K2763" s="2" t="s">
        <v>118</v>
      </c>
      <c r="L2763" s="3">
        <v>125.4</v>
      </c>
      <c r="M2763" s="3">
        <v>131.67</v>
      </c>
      <c r="N2763" s="3">
        <v>269</v>
      </c>
      <c r="O2763" s="2" t="s">
        <v>97</v>
      </c>
      <c r="P2763" s="2" t="s">
        <v>119</v>
      </c>
      <c r="Q2763" s="2" t="s">
        <v>99</v>
      </c>
      <c r="R2763" s="2" t="s">
        <v>100</v>
      </c>
      <c r="S2763" s="2" t="s">
        <v>100</v>
      </c>
      <c r="T2763" s="2" t="s">
        <v>100</v>
      </c>
      <c r="U2763" s="2" t="s">
        <v>1847</v>
      </c>
      <c r="V2763" s="2" t="s">
        <v>146</v>
      </c>
      <c r="W2763" s="2" t="s">
        <v>104</v>
      </c>
      <c r="X2763" s="2" t="s">
        <v>100</v>
      </c>
      <c r="Y2763" s="2" t="s">
        <v>8898</v>
      </c>
      <c r="Z2763" s="4">
        <v>201</v>
      </c>
      <c r="AA2763" s="4">
        <f>=ROUNDDOWN(28.7142857142857,0)</f>
      </c>
      <c r="AB2763" s="5">
        <v>7</v>
      </c>
      <c r="AC2763" s="2" t="s">
        <v>8899</v>
      </c>
      <c r="AD2763" s="4">
        <v>60</v>
      </c>
      <c r="AE2763" s="4">
        <v>60</v>
      </c>
      <c r="AF2763" s="6">
        <v>76</v>
      </c>
      <c r="AG2763" s="6">
        <v>67</v>
      </c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164</v>
      </c>
      <c r="BK2763" s="8">
        <v>19155.5</v>
      </c>
      <c r="BL2763" s="2" t="s">
        <v>8900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2480</v>
      </c>
      <c r="BV2763" s="2" t="s">
        <v>97</v>
      </c>
      <c r="BW2763" s="2" t="s">
        <v>100</v>
      </c>
      <c r="BX2763" s="2" t="s">
        <v>100</v>
      </c>
      <c r="BY2763" s="2" t="s">
        <v>113</v>
      </c>
      <c r="BZ2763" s="2" t="s">
        <v>100</v>
      </c>
    </row>
    <row r="2764">
      <c r="A2764" s="2" t="s">
        <v>8901</v>
      </c>
      <c r="B2764" s="2" t="s">
        <v>7711</v>
      </c>
      <c r="C2764" s="2" t="s">
        <v>88</v>
      </c>
      <c r="D2764" s="2" t="s">
        <v>8878</v>
      </c>
      <c r="E2764" s="2" t="s">
        <v>8893</v>
      </c>
      <c r="F2764" s="2" t="s">
        <v>8894</v>
      </c>
      <c r="G2764" s="2" t="s">
        <v>8895</v>
      </c>
      <c r="H2764" s="2" t="s">
        <v>8896</v>
      </c>
      <c r="I2764" s="2" t="s">
        <v>8897</v>
      </c>
      <c r="J2764" s="2" t="s">
        <v>3877</v>
      </c>
      <c r="K2764" s="2" t="s">
        <v>5293</v>
      </c>
      <c r="L2764" s="3">
        <v>125.4</v>
      </c>
      <c r="M2764" s="3">
        <v>131.67</v>
      </c>
      <c r="N2764" s="3">
        <v>269</v>
      </c>
      <c r="O2764" s="2" t="s">
        <v>97</v>
      </c>
      <c r="P2764" s="2" t="s">
        <v>119</v>
      </c>
      <c r="Q2764" s="2" t="s">
        <v>99</v>
      </c>
      <c r="R2764" s="2" t="s">
        <v>100</v>
      </c>
      <c r="S2764" s="2" t="s">
        <v>8902</v>
      </c>
      <c r="T2764" s="2" t="s">
        <v>100</v>
      </c>
      <c r="U2764" s="2" t="s">
        <v>100</v>
      </c>
      <c r="V2764" s="2" t="s">
        <v>146</v>
      </c>
      <c r="W2764" s="2" t="s">
        <v>104</v>
      </c>
      <c r="X2764" s="2" t="s">
        <v>100</v>
      </c>
      <c r="Y2764" s="2" t="s">
        <v>240</v>
      </c>
      <c r="Z2764" s="4">
        <v>216</v>
      </c>
      <c r="AA2764" s="4">
        <f>=ROUNDDOWN(36,0)</f>
      </c>
      <c r="AB2764" s="5">
        <v>6</v>
      </c>
      <c r="AC2764" s="2" t="s">
        <v>100</v>
      </c>
      <c r="AD2764" s="4"/>
      <c r="AE2764" s="4"/>
      <c r="AF2764" s="6">
        <v>76</v>
      </c>
      <c r="AG2764" s="6">
        <v>67</v>
      </c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152</v>
      </c>
      <c r="BK2764" s="8">
        <v>18001.42</v>
      </c>
      <c r="BL2764" s="2" t="s">
        <v>8903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2480</v>
      </c>
      <c r="BV2764" s="2" t="s">
        <v>97</v>
      </c>
      <c r="BW2764" s="2" t="s">
        <v>100</v>
      </c>
      <c r="BX2764" s="2" t="s">
        <v>100</v>
      </c>
      <c r="BY2764" s="2" t="s">
        <v>113</v>
      </c>
      <c r="BZ2764" s="2" t="s">
        <v>100</v>
      </c>
    </row>
    <row r="2765">
      <c r="A2765" s="2" t="s">
        <v>8904</v>
      </c>
      <c r="B2765" s="2" t="s">
        <v>7711</v>
      </c>
      <c r="C2765" s="2" t="s">
        <v>88</v>
      </c>
      <c r="D2765" s="2" t="s">
        <v>8878</v>
      </c>
      <c r="E2765" s="2" t="s">
        <v>8893</v>
      </c>
      <c r="F2765" s="2" t="s">
        <v>8905</v>
      </c>
      <c r="G2765" s="2" t="s">
        <v>8906</v>
      </c>
      <c r="H2765" s="2" t="s">
        <v>558</v>
      </c>
      <c r="I2765" s="2" t="s">
        <v>8907</v>
      </c>
      <c r="J2765" s="2" t="s">
        <v>3877</v>
      </c>
      <c r="K2765" s="2" t="s">
        <v>118</v>
      </c>
      <c r="L2765" s="3">
        <v>153</v>
      </c>
      <c r="M2765" s="3">
        <v>160.65</v>
      </c>
      <c r="N2765" s="3">
        <v>319</v>
      </c>
      <c r="O2765" s="2" t="s">
        <v>97</v>
      </c>
      <c r="P2765" s="2" t="s">
        <v>119</v>
      </c>
      <c r="Q2765" s="2" t="s">
        <v>99</v>
      </c>
      <c r="R2765" s="2" t="s">
        <v>100</v>
      </c>
      <c r="S2765" s="2" t="s">
        <v>8908</v>
      </c>
      <c r="T2765" s="2" t="s">
        <v>100</v>
      </c>
      <c r="U2765" s="2" t="s">
        <v>100</v>
      </c>
      <c r="V2765" s="2" t="s">
        <v>146</v>
      </c>
      <c r="W2765" s="2" t="s">
        <v>309</v>
      </c>
      <c r="X2765" s="2" t="s">
        <v>100</v>
      </c>
      <c r="Y2765" s="2" t="s">
        <v>240</v>
      </c>
      <c r="Z2765" s="4">
        <v>214</v>
      </c>
      <c r="AA2765" s="4">
        <f>=ROUNDDOWN(101.904761904762,0)</f>
      </c>
      <c r="AB2765" s="5">
        <v>2.1</v>
      </c>
      <c r="AC2765" s="2" t="s">
        <v>997</v>
      </c>
      <c r="AD2765" s="4">
        <v>157</v>
      </c>
      <c r="AE2765" s="4">
        <v>157</v>
      </c>
      <c r="AF2765" s="6">
        <v>66</v>
      </c>
      <c r="AG2765" s="6">
        <v>49</v>
      </c>
      <c r="AH2765" s="7">
        <v>1</v>
      </c>
      <c r="AI2765" s="4"/>
      <c r="AJ2765" s="4">
        <f>=ROUNDDOWN({0},0)</f>
      </c>
      <c r="AK2765" s="5">
        <v>28.2</v>
      </c>
      <c r="AL2765" s="2" t="s">
        <v>2681</v>
      </c>
      <c r="AM2765" s="4">
        <v>137</v>
      </c>
      <c r="AN2765" s="4">
        <v>137</v>
      </c>
      <c r="AO2765" s="7">
        <v>0.4332</v>
      </c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384</v>
      </c>
      <c r="BK2765" s="8">
        <v>53541.35</v>
      </c>
      <c r="BL2765" s="2" t="s">
        <v>8909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207</v>
      </c>
      <c r="BV2765" s="2" t="s">
        <v>97</v>
      </c>
      <c r="BW2765" s="2" t="s">
        <v>100</v>
      </c>
      <c r="BX2765" s="2" t="s">
        <v>100</v>
      </c>
      <c r="BY2765" s="2" t="s">
        <v>113</v>
      </c>
      <c r="BZ2765" s="2" t="s">
        <v>100</v>
      </c>
    </row>
    <row r="2766">
      <c r="A2766" s="2" t="s">
        <v>8910</v>
      </c>
      <c r="B2766" s="2" t="s">
        <v>7711</v>
      </c>
      <c r="C2766" s="2" t="s">
        <v>88</v>
      </c>
      <c r="D2766" s="2" t="s">
        <v>8878</v>
      </c>
      <c r="E2766" s="2" t="s">
        <v>8893</v>
      </c>
      <c r="F2766" s="2" t="s">
        <v>8905</v>
      </c>
      <c r="G2766" s="2" t="s">
        <v>8906</v>
      </c>
      <c r="H2766" s="2" t="s">
        <v>558</v>
      </c>
      <c r="I2766" s="2" t="s">
        <v>8907</v>
      </c>
      <c r="J2766" s="2" t="s">
        <v>3877</v>
      </c>
      <c r="K2766" s="2" t="s">
        <v>604</v>
      </c>
      <c r="L2766" s="3">
        <v>153</v>
      </c>
      <c r="M2766" s="3">
        <v>160.65</v>
      </c>
      <c r="N2766" s="3">
        <v>319</v>
      </c>
      <c r="O2766" s="2" t="s">
        <v>97</v>
      </c>
      <c r="P2766" s="2" t="s">
        <v>119</v>
      </c>
      <c r="Q2766" s="2" t="s">
        <v>99</v>
      </c>
      <c r="R2766" s="2" t="s">
        <v>100</v>
      </c>
      <c r="S2766" s="2" t="s">
        <v>100</v>
      </c>
      <c r="T2766" s="2" t="s">
        <v>100</v>
      </c>
      <c r="U2766" s="2" t="s">
        <v>1847</v>
      </c>
      <c r="V2766" s="2" t="s">
        <v>146</v>
      </c>
      <c r="W2766" s="2" t="s">
        <v>309</v>
      </c>
      <c r="X2766" s="2" t="s">
        <v>100</v>
      </c>
      <c r="Y2766" s="2" t="s">
        <v>5334</v>
      </c>
      <c r="Z2766" s="4">
        <v>158</v>
      </c>
      <c r="AA2766" s="4">
        <f>=ROUNDDOWN(49.375,0)</f>
      </c>
      <c r="AB2766" s="5">
        <v>3.2</v>
      </c>
      <c r="AC2766" s="2" t="s">
        <v>100</v>
      </c>
      <c r="AD2766" s="4"/>
      <c r="AE2766" s="4"/>
      <c r="AF2766" s="6">
        <v>66</v>
      </c>
      <c r="AG2766" s="6">
        <v>49</v>
      </c>
      <c r="AH2766" s="7">
        <v>1</v>
      </c>
      <c r="AI2766" s="4"/>
      <c r="AJ2766" s="4">
        <f>=ROUNDDOWN({0},0)</f>
      </c>
      <c r="AK2766" s="5">
        <v>17.2</v>
      </c>
      <c r="AL2766" s="2" t="s">
        <v>100</v>
      </c>
      <c r="AM2766" s="4"/>
      <c r="AN2766" s="4"/>
      <c r="AO2766" s="7">
        <v>0.4332</v>
      </c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266</v>
      </c>
      <c r="BK2766" s="8">
        <v>37496.59</v>
      </c>
      <c r="BL2766" s="2" t="s">
        <v>8911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2480</v>
      </c>
      <c r="BV2766" s="2" t="s">
        <v>97</v>
      </c>
      <c r="BW2766" s="2" t="s">
        <v>100</v>
      </c>
      <c r="BX2766" s="2" t="s">
        <v>100</v>
      </c>
      <c r="BY2766" s="2" t="s">
        <v>113</v>
      </c>
      <c r="BZ2766" s="2" t="s">
        <v>100</v>
      </c>
    </row>
    <row r="2767">
      <c r="A2767" s="2" t="s">
        <v>8912</v>
      </c>
      <c r="B2767" s="2" t="s">
        <v>7711</v>
      </c>
      <c r="C2767" s="2" t="s">
        <v>3178</v>
      </c>
      <c r="D2767" s="2" t="s">
        <v>7712</v>
      </c>
      <c r="E2767" s="2" t="s">
        <v>7713</v>
      </c>
      <c r="F2767" s="2" t="s">
        <v>8913</v>
      </c>
      <c r="G2767" s="2" t="s">
        <v>8913</v>
      </c>
      <c r="H2767" s="2" t="s">
        <v>8913</v>
      </c>
      <c r="I2767" s="2" t="s">
        <v>8914</v>
      </c>
      <c r="J2767" s="2" t="s">
        <v>3877</v>
      </c>
      <c r="K2767" s="2" t="s">
        <v>8915</v>
      </c>
      <c r="L2767" s="3">
        <v>134.18</v>
      </c>
      <c r="M2767" s="3">
        <v>140.89</v>
      </c>
      <c r="N2767" s="3">
        <v>279</v>
      </c>
      <c r="O2767" s="2" t="s">
        <v>97</v>
      </c>
      <c r="P2767" s="2" t="s">
        <v>225</v>
      </c>
      <c r="Q2767" s="2" t="s">
        <v>99</v>
      </c>
      <c r="R2767" s="2" t="s">
        <v>100</v>
      </c>
      <c r="S2767" s="2" t="s">
        <v>100</v>
      </c>
      <c r="T2767" s="2" t="s">
        <v>100</v>
      </c>
      <c r="U2767" s="2" t="s">
        <v>1847</v>
      </c>
      <c r="V2767" s="2" t="s">
        <v>3188</v>
      </c>
      <c r="W2767" s="2" t="s">
        <v>309</v>
      </c>
      <c r="X2767" s="2" t="s">
        <v>415</v>
      </c>
      <c r="Y2767" s="2" t="s">
        <v>3509</v>
      </c>
      <c r="Z2767" s="4">
        <v>95</v>
      </c>
      <c r="AA2767" s="4">
        <f>=ROUNDDOWN(237.5,0)</f>
      </c>
      <c r="AB2767" s="5">
        <v>0.4</v>
      </c>
      <c r="AC2767" s="2" t="s">
        <v>100</v>
      </c>
      <c r="AD2767" s="4"/>
      <c r="AE2767" s="4"/>
      <c r="AF2767" s="6">
        <v>74</v>
      </c>
      <c r="AG2767" s="6"/>
      <c r="AH2767" s="7">
        <v>0.5134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/>
      <c r="BD2767" s="8"/>
      <c r="BE2767" s="4"/>
      <c r="BF2767" s="8"/>
      <c r="BG2767" s="7"/>
      <c r="BH2767" s="7"/>
      <c r="BI2767" s="7"/>
      <c r="BJ2767" s="4">
        <v>2</v>
      </c>
      <c r="BK2767" s="8">
        <v>261.22</v>
      </c>
      <c r="BL2767" s="2" t="s">
        <v>7767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2480</v>
      </c>
      <c r="BV2767" s="2" t="s">
        <v>97</v>
      </c>
      <c r="BW2767" s="2" t="s">
        <v>100</v>
      </c>
      <c r="BX2767" s="2" t="s">
        <v>100</v>
      </c>
      <c r="BY2767" s="2" t="s">
        <v>113</v>
      </c>
      <c r="BZ2767" s="2" t="s">
        <v>100</v>
      </c>
    </row>
    <row r="2768">
      <c r="A2768" s="2" t="s">
        <v>8916</v>
      </c>
      <c r="B2768" s="2" t="s">
        <v>7711</v>
      </c>
      <c r="C2768" s="2" t="s">
        <v>3178</v>
      </c>
      <c r="D2768" s="2" t="s">
        <v>7730</v>
      </c>
      <c r="E2768" s="2" t="s">
        <v>7731</v>
      </c>
      <c r="F2768" s="2" t="s">
        <v>8917</v>
      </c>
      <c r="G2768" s="2" t="s">
        <v>8917</v>
      </c>
      <c r="H2768" s="2" t="s">
        <v>8917</v>
      </c>
      <c r="I2768" s="2" t="s">
        <v>8918</v>
      </c>
      <c r="J2768" s="2" t="s">
        <v>3877</v>
      </c>
      <c r="K2768" s="2" t="s">
        <v>8919</v>
      </c>
      <c r="L2768" s="3">
        <v>212.85</v>
      </c>
      <c r="M2768" s="3">
        <v>223.49</v>
      </c>
      <c r="N2768" s="3">
        <v>449</v>
      </c>
      <c r="O2768" s="2" t="s">
        <v>97</v>
      </c>
      <c r="P2768" s="2" t="s">
        <v>119</v>
      </c>
      <c r="Q2768" s="2" t="s">
        <v>99</v>
      </c>
      <c r="R2768" s="2" t="s">
        <v>100</v>
      </c>
      <c r="S2768" s="2" t="s">
        <v>100</v>
      </c>
      <c r="T2768" s="2" t="s">
        <v>100</v>
      </c>
      <c r="U2768" s="2" t="s">
        <v>1847</v>
      </c>
      <c r="V2768" s="2" t="s">
        <v>146</v>
      </c>
      <c r="W2768" s="2" t="s">
        <v>309</v>
      </c>
      <c r="X2768" s="2" t="s">
        <v>100</v>
      </c>
      <c r="Y2768" s="2" t="s">
        <v>5248</v>
      </c>
      <c r="Z2768" s="4">
        <v>76</v>
      </c>
      <c r="AA2768" s="4">
        <f>=ROUNDDOWN(12.6666666666667,0)</f>
      </c>
      <c r="AB2768" s="5">
        <v>6</v>
      </c>
      <c r="AC2768" s="2" t="s">
        <v>282</v>
      </c>
      <c r="AD2768" s="4">
        <v>96</v>
      </c>
      <c r="AE2768" s="4">
        <v>192</v>
      </c>
      <c r="AF2768" s="6">
        <v>66</v>
      </c>
      <c r="AG2768" s="6">
        <v>49</v>
      </c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/>
      <c r="BD2768" s="8"/>
      <c r="BE2768" s="4"/>
      <c r="BF2768" s="8"/>
      <c r="BG2768" s="7"/>
      <c r="BH2768" s="7"/>
      <c r="BI2768" s="7"/>
      <c r="BJ2768" s="4">
        <v>149</v>
      </c>
      <c r="BK2768" s="8">
        <v>31103.71</v>
      </c>
      <c r="BL2768" s="2" t="s">
        <v>8920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2480</v>
      </c>
      <c r="BV2768" s="2" t="s">
        <v>97</v>
      </c>
      <c r="BW2768" s="2" t="s">
        <v>100</v>
      </c>
      <c r="BX2768" s="2" t="s">
        <v>100</v>
      </c>
      <c r="BY2768" s="2" t="s">
        <v>113</v>
      </c>
      <c r="BZ2768" s="2" t="s">
        <v>100</v>
      </c>
    </row>
    <row r="2769">
      <c r="A2769" s="2" t="s">
        <v>8921</v>
      </c>
      <c r="B2769" s="2" t="s">
        <v>7711</v>
      </c>
      <c r="C2769" s="2" t="s">
        <v>3178</v>
      </c>
      <c r="D2769" s="2" t="s">
        <v>8410</v>
      </c>
      <c r="E2769" s="2" t="s">
        <v>8411</v>
      </c>
      <c r="F2769" s="2" t="s">
        <v>8913</v>
      </c>
      <c r="G2769" s="2" t="s">
        <v>8913</v>
      </c>
      <c r="H2769" s="2" t="s">
        <v>8913</v>
      </c>
      <c r="I2769" s="2" t="s">
        <v>8922</v>
      </c>
      <c r="J2769" s="2" t="s">
        <v>3877</v>
      </c>
      <c r="K2769" s="2" t="s">
        <v>8923</v>
      </c>
      <c r="L2769" s="3">
        <v>217.8</v>
      </c>
      <c r="M2769" s="3">
        <v>228.69</v>
      </c>
      <c r="N2769" s="3">
        <v>459</v>
      </c>
      <c r="O2769" s="2" t="s">
        <v>97</v>
      </c>
      <c r="P2769" s="2" t="s">
        <v>119</v>
      </c>
      <c r="Q2769" s="2" t="s">
        <v>99</v>
      </c>
      <c r="R2769" s="2" t="s">
        <v>100</v>
      </c>
      <c r="S2769" s="2" t="s">
        <v>100</v>
      </c>
      <c r="T2769" s="2" t="s">
        <v>100</v>
      </c>
      <c r="U2769" s="2" t="s">
        <v>1847</v>
      </c>
      <c r="V2769" s="2" t="s">
        <v>3188</v>
      </c>
      <c r="W2769" s="2" t="s">
        <v>309</v>
      </c>
      <c r="X2769" s="2" t="s">
        <v>415</v>
      </c>
      <c r="Y2769" s="2" t="s">
        <v>8924</v>
      </c>
      <c r="Z2769" s="4">
        <v>116</v>
      </c>
      <c r="AA2769" s="4">
        <f>=ROUNDDOWN(13.0337078651685,0)</f>
      </c>
      <c r="AB2769" s="5">
        <v>8.9</v>
      </c>
      <c r="AC2769" s="2" t="s">
        <v>880</v>
      </c>
      <c r="AD2769" s="4">
        <v>100</v>
      </c>
      <c r="AE2769" s="4">
        <v>100</v>
      </c>
      <c r="AF2769" s="6">
        <v>74</v>
      </c>
      <c r="AG2769" s="6">
        <v>60</v>
      </c>
      <c r="AH2769" s="7">
        <v>0.8021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211</v>
      </c>
      <c r="BK2769" s="8">
        <v>43883.76</v>
      </c>
      <c r="BL2769" s="2" t="s">
        <v>8925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2480</v>
      </c>
      <c r="BV2769" s="2" t="s">
        <v>97</v>
      </c>
      <c r="BW2769" s="2" t="s">
        <v>100</v>
      </c>
      <c r="BX2769" s="2" t="s">
        <v>100</v>
      </c>
      <c r="BY2769" s="2" t="s">
        <v>113</v>
      </c>
      <c r="BZ2769" s="2" t="s">
        <v>100</v>
      </c>
    </row>
    <row r="2770">
      <c r="A2770" s="2" t="s">
        <v>8926</v>
      </c>
      <c r="B2770" s="2" t="s">
        <v>7711</v>
      </c>
      <c r="C2770" s="2" t="s">
        <v>3178</v>
      </c>
      <c r="D2770" s="2" t="s">
        <v>8410</v>
      </c>
      <c r="E2770" s="2" t="s">
        <v>8411</v>
      </c>
      <c r="F2770" s="2" t="s">
        <v>8913</v>
      </c>
      <c r="G2770" s="2" t="s">
        <v>8913</v>
      </c>
      <c r="H2770" s="2" t="s">
        <v>8913</v>
      </c>
      <c r="I2770" s="2" t="s">
        <v>8922</v>
      </c>
      <c r="J2770" s="2" t="s">
        <v>3877</v>
      </c>
      <c r="K2770" s="2" t="s">
        <v>8927</v>
      </c>
      <c r="L2770" s="3">
        <v>217.8</v>
      </c>
      <c r="M2770" s="3">
        <v>228.69</v>
      </c>
      <c r="N2770" s="3">
        <v>459</v>
      </c>
      <c r="O2770" s="2" t="s">
        <v>97</v>
      </c>
      <c r="P2770" s="2" t="s">
        <v>372</v>
      </c>
      <c r="Q2770" s="2" t="s">
        <v>99</v>
      </c>
      <c r="R2770" s="2" t="s">
        <v>100</v>
      </c>
      <c r="S2770" s="2" t="s">
        <v>100</v>
      </c>
      <c r="T2770" s="2" t="s">
        <v>100</v>
      </c>
      <c r="U2770" s="2" t="s">
        <v>1847</v>
      </c>
      <c r="V2770" s="2" t="s">
        <v>146</v>
      </c>
      <c r="W2770" s="2" t="s">
        <v>309</v>
      </c>
      <c r="X2770" s="2" t="s">
        <v>415</v>
      </c>
      <c r="Y2770" s="2" t="s">
        <v>8928</v>
      </c>
      <c r="Z2770" s="4">
        <v>93</v>
      </c>
      <c r="AA2770" s="4">
        <f>=ROUNDDOWN(3.57692307692308,0)</f>
      </c>
      <c r="AB2770" s="5">
        <v>26</v>
      </c>
      <c r="AC2770" s="2" t="s">
        <v>356</v>
      </c>
      <c r="AD2770" s="4">
        <v>400</v>
      </c>
      <c r="AE2770" s="4">
        <v>990</v>
      </c>
      <c r="AF2770" s="6">
        <v>74</v>
      </c>
      <c r="AG2770" s="6"/>
      <c r="AH2770" s="7">
        <v>0.6524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361</v>
      </c>
      <c r="BK2770" s="8">
        <v>81143.51</v>
      </c>
      <c r="BL2770" s="2" t="s">
        <v>8929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2480</v>
      </c>
      <c r="BV2770" s="2" t="s">
        <v>97</v>
      </c>
      <c r="BW2770" s="2" t="s">
        <v>100</v>
      </c>
      <c r="BX2770" s="2" t="s">
        <v>100</v>
      </c>
      <c r="BY2770" s="2" t="s">
        <v>113</v>
      </c>
      <c r="BZ2770" s="2" t="s">
        <v>100</v>
      </c>
    </row>
    <row r="2771">
      <c r="A2771" s="2" t="s">
        <v>8930</v>
      </c>
      <c r="B2771" s="2" t="s">
        <v>7711</v>
      </c>
      <c r="C2771" s="2" t="s">
        <v>3178</v>
      </c>
      <c r="D2771" s="2" t="s">
        <v>8410</v>
      </c>
      <c r="E2771" s="2" t="s">
        <v>8411</v>
      </c>
      <c r="F2771" s="2" t="s">
        <v>8913</v>
      </c>
      <c r="G2771" s="2" t="s">
        <v>8913</v>
      </c>
      <c r="H2771" s="2" t="s">
        <v>8913</v>
      </c>
      <c r="I2771" s="2" t="s">
        <v>8922</v>
      </c>
      <c r="J2771" s="2" t="s">
        <v>3877</v>
      </c>
      <c r="K2771" s="2" t="s">
        <v>858</v>
      </c>
      <c r="L2771" s="3">
        <v>217.8</v>
      </c>
      <c r="M2771" s="3">
        <v>228.69</v>
      </c>
      <c r="N2771" s="3">
        <v>459</v>
      </c>
      <c r="O2771" s="2" t="s">
        <v>97</v>
      </c>
      <c r="P2771" s="2" t="s">
        <v>225</v>
      </c>
      <c r="Q2771" s="2" t="s">
        <v>99</v>
      </c>
      <c r="R2771" s="2" t="s">
        <v>100</v>
      </c>
      <c r="S2771" s="2" t="s">
        <v>100</v>
      </c>
      <c r="T2771" s="2" t="s">
        <v>100</v>
      </c>
      <c r="U2771" s="2" t="s">
        <v>1847</v>
      </c>
      <c r="V2771" s="2" t="s">
        <v>3188</v>
      </c>
      <c r="W2771" s="2" t="s">
        <v>309</v>
      </c>
      <c r="X2771" s="2" t="s">
        <v>415</v>
      </c>
      <c r="Y2771" s="2" t="s">
        <v>3509</v>
      </c>
      <c r="Z2771" s="4">
        <v>138</v>
      </c>
      <c r="AA2771" s="4">
        <f>=ROUNDDOWN(23,0)</f>
      </c>
      <c r="AB2771" s="5">
        <v>6</v>
      </c>
      <c r="AC2771" s="2" t="s">
        <v>934</v>
      </c>
      <c r="AD2771" s="4">
        <v>100</v>
      </c>
      <c r="AE2771" s="4">
        <v>100</v>
      </c>
      <c r="AF2771" s="6">
        <v>74</v>
      </c>
      <c r="AG2771" s="6"/>
      <c r="AH2771" s="7">
        <v>0.5134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27</v>
      </c>
      <c r="BK2771" s="8">
        <v>6479.5</v>
      </c>
      <c r="BL2771" s="2" t="s">
        <v>3257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2480</v>
      </c>
      <c r="BV2771" s="2" t="s">
        <v>97</v>
      </c>
      <c r="BW2771" s="2" t="s">
        <v>100</v>
      </c>
      <c r="BX2771" s="2" t="s">
        <v>100</v>
      </c>
      <c r="BY2771" s="2" t="s">
        <v>113</v>
      </c>
      <c r="BZ2771" s="2" t="s">
        <v>100</v>
      </c>
    </row>
    <row r="2772">
      <c r="A2772" s="2" t="s">
        <v>8931</v>
      </c>
      <c r="B2772" s="2" t="s">
        <v>7711</v>
      </c>
      <c r="C2772" s="2" t="s">
        <v>3178</v>
      </c>
      <c r="D2772" s="2" t="s">
        <v>8932</v>
      </c>
      <c r="E2772" s="2" t="s">
        <v>8933</v>
      </c>
      <c r="F2772" s="2" t="s">
        <v>5242</v>
      </c>
      <c r="G2772" s="2" t="s">
        <v>100</v>
      </c>
      <c r="H2772" s="2" t="s">
        <v>100</v>
      </c>
      <c r="I2772" s="2" t="s">
        <v>8933</v>
      </c>
      <c r="J2772" s="2" t="s">
        <v>3877</v>
      </c>
      <c r="K2772" s="2" t="s">
        <v>8934</v>
      </c>
      <c r="L2772" s="3">
        <v>166.98</v>
      </c>
      <c r="M2772" s="3">
        <v>175.33</v>
      </c>
      <c r="N2772" s="3">
        <v>349</v>
      </c>
      <c r="O2772" s="2" t="s">
        <v>97</v>
      </c>
      <c r="P2772" s="2" t="s">
        <v>119</v>
      </c>
      <c r="Q2772" s="2" t="s">
        <v>99</v>
      </c>
      <c r="R2772" s="2" t="s">
        <v>100</v>
      </c>
      <c r="S2772" s="2" t="s">
        <v>8935</v>
      </c>
      <c r="T2772" s="2" t="s">
        <v>100</v>
      </c>
      <c r="U2772" s="2" t="s">
        <v>100</v>
      </c>
      <c r="V2772" s="2" t="s">
        <v>146</v>
      </c>
      <c r="W2772" s="2" t="s">
        <v>561</v>
      </c>
      <c r="X2772" s="2" t="s">
        <v>100</v>
      </c>
      <c r="Y2772" s="2" t="s">
        <v>122</v>
      </c>
      <c r="Z2772" s="4">
        <v>285</v>
      </c>
      <c r="AA2772" s="4">
        <f>=ROUNDDOWN(71.25,0)</f>
      </c>
      <c r="AB2772" s="5">
        <v>4</v>
      </c>
      <c r="AC2772" s="2" t="s">
        <v>100</v>
      </c>
      <c r="AD2772" s="4"/>
      <c r="AE2772" s="4"/>
      <c r="AF2772" s="6">
        <v>66</v>
      </c>
      <c r="AG2772" s="6">
        <v>49</v>
      </c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/>
      <c r="BD2772" s="8"/>
      <c r="BE2772" s="4"/>
      <c r="BF2772" s="8"/>
      <c r="BG2772" s="7"/>
      <c r="BH2772" s="7"/>
      <c r="BI2772" s="7"/>
      <c r="BJ2772" s="4">
        <v>100</v>
      </c>
      <c r="BK2772" s="8">
        <v>15833.82</v>
      </c>
      <c r="BL2772" s="2" t="s">
        <v>8936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2480</v>
      </c>
      <c r="BV2772" s="2" t="s">
        <v>97</v>
      </c>
      <c r="BW2772" s="2" t="s">
        <v>100</v>
      </c>
      <c r="BX2772" s="2" t="s">
        <v>100</v>
      </c>
      <c r="BY2772" s="2" t="s">
        <v>113</v>
      </c>
      <c r="BZ2772" s="2" t="s">
        <v>100</v>
      </c>
    </row>
    <row r="2773">
      <c r="A2773" s="2" t="s">
        <v>8937</v>
      </c>
      <c r="B2773" s="2" t="s">
        <v>7711</v>
      </c>
      <c r="C2773" s="2" t="s">
        <v>3178</v>
      </c>
      <c r="D2773" s="2" t="s">
        <v>7963</v>
      </c>
      <c r="E2773" s="2" t="s">
        <v>7964</v>
      </c>
      <c r="F2773" s="2" t="s">
        <v>8913</v>
      </c>
      <c r="G2773" s="2" t="s">
        <v>8913</v>
      </c>
      <c r="H2773" s="2" t="s">
        <v>8913</v>
      </c>
      <c r="I2773" s="2" t="s">
        <v>7964</v>
      </c>
      <c r="J2773" s="2" t="s">
        <v>706</v>
      </c>
      <c r="K2773" s="2" t="s">
        <v>8923</v>
      </c>
      <c r="L2773" s="3">
        <v>370</v>
      </c>
      <c r="M2773" s="3">
        <v>388.5</v>
      </c>
      <c r="N2773" s="3">
        <v>769</v>
      </c>
      <c r="O2773" s="2" t="s">
        <v>97</v>
      </c>
      <c r="P2773" s="2" t="s">
        <v>372</v>
      </c>
      <c r="Q2773" s="2" t="s">
        <v>99</v>
      </c>
      <c r="R2773" s="2" t="s">
        <v>100</v>
      </c>
      <c r="S2773" s="2" t="s">
        <v>100</v>
      </c>
      <c r="T2773" s="2" t="s">
        <v>100</v>
      </c>
      <c r="U2773" s="2" t="s">
        <v>1847</v>
      </c>
      <c r="V2773" s="2" t="s">
        <v>146</v>
      </c>
      <c r="W2773" s="2" t="s">
        <v>309</v>
      </c>
      <c r="X2773" s="2" t="s">
        <v>415</v>
      </c>
      <c r="Y2773" s="2" t="s">
        <v>8938</v>
      </c>
      <c r="Z2773" s="4">
        <v>221</v>
      </c>
      <c r="AA2773" s="4">
        <f>=ROUNDDOWN(12.9239766081871,0)</f>
      </c>
      <c r="AB2773" s="5">
        <v>17.1</v>
      </c>
      <c r="AC2773" s="2" t="s">
        <v>8939</v>
      </c>
      <c r="AD2773" s="4">
        <v>50</v>
      </c>
      <c r="AE2773" s="4">
        <v>423</v>
      </c>
      <c r="AF2773" s="6">
        <v>74</v>
      </c>
      <c r="AG2773" s="6">
        <v>60</v>
      </c>
      <c r="AH2773" s="7">
        <v>0.984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/>
      <c r="BJ2773" s="4">
        <v>461</v>
      </c>
      <c r="BK2773" s="8">
        <v>166446.88</v>
      </c>
      <c r="BL2773" s="2" t="s">
        <v>8600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2480</v>
      </c>
      <c r="BV2773" s="2" t="s">
        <v>97</v>
      </c>
      <c r="BW2773" s="2" t="s">
        <v>100</v>
      </c>
      <c r="BX2773" s="2" t="s">
        <v>100</v>
      </c>
      <c r="BY2773" s="2" t="s">
        <v>113</v>
      </c>
      <c r="BZ2773" s="2" t="s">
        <v>100</v>
      </c>
    </row>
    <row r="2774">
      <c r="A2774" s="2" t="s">
        <v>8940</v>
      </c>
      <c r="B2774" s="2" t="s">
        <v>7711</v>
      </c>
      <c r="C2774" s="2" t="s">
        <v>3178</v>
      </c>
      <c r="D2774" s="2" t="s">
        <v>7963</v>
      </c>
      <c r="E2774" s="2" t="s">
        <v>7964</v>
      </c>
      <c r="F2774" s="2" t="s">
        <v>8913</v>
      </c>
      <c r="G2774" s="2" t="s">
        <v>8913</v>
      </c>
      <c r="H2774" s="2" t="s">
        <v>8913</v>
      </c>
      <c r="I2774" s="2" t="s">
        <v>7964</v>
      </c>
      <c r="J2774" s="2" t="s">
        <v>706</v>
      </c>
      <c r="K2774" s="2" t="s">
        <v>8927</v>
      </c>
      <c r="L2774" s="3">
        <v>370</v>
      </c>
      <c r="M2774" s="3">
        <v>388.5</v>
      </c>
      <c r="N2774" s="3">
        <v>769</v>
      </c>
      <c r="O2774" s="2" t="s">
        <v>97</v>
      </c>
      <c r="P2774" s="2" t="s">
        <v>372</v>
      </c>
      <c r="Q2774" s="2" t="s">
        <v>99</v>
      </c>
      <c r="R2774" s="2" t="s">
        <v>100</v>
      </c>
      <c r="S2774" s="2" t="s">
        <v>8941</v>
      </c>
      <c r="T2774" s="2" t="s">
        <v>100</v>
      </c>
      <c r="U2774" s="2" t="s">
        <v>100</v>
      </c>
      <c r="V2774" s="2" t="s">
        <v>146</v>
      </c>
      <c r="W2774" s="2" t="s">
        <v>309</v>
      </c>
      <c r="X2774" s="2" t="s">
        <v>415</v>
      </c>
      <c r="Y2774" s="2" t="s">
        <v>240</v>
      </c>
      <c r="Z2774" s="4">
        <v>83</v>
      </c>
      <c r="AA2774" s="4">
        <f>=ROUNDDOWN(3.19230769230769,0)</f>
      </c>
      <c r="AB2774" s="5">
        <v>26</v>
      </c>
      <c r="AC2774" s="2" t="s">
        <v>417</v>
      </c>
      <c r="AD2774" s="4">
        <v>580</v>
      </c>
      <c r="AE2774" s="4">
        <v>1500</v>
      </c>
      <c r="AF2774" s="6">
        <v>74</v>
      </c>
      <c r="AG2774" s="6">
        <v>60</v>
      </c>
      <c r="AH2774" s="7">
        <v>0.9198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637</v>
      </c>
      <c r="BK2774" s="8">
        <v>231933.16</v>
      </c>
      <c r="BL2774" s="2" t="s">
        <v>8600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2480</v>
      </c>
      <c r="BV2774" s="2" t="s">
        <v>97</v>
      </c>
      <c r="BW2774" s="2" t="s">
        <v>100</v>
      </c>
      <c r="BX2774" s="2" t="s">
        <v>100</v>
      </c>
      <c r="BY2774" s="2" t="s">
        <v>113</v>
      </c>
      <c r="BZ2774" s="2" t="s">
        <v>100</v>
      </c>
    </row>
    <row r="2775">
      <c r="A2775" s="2" t="s">
        <v>8942</v>
      </c>
      <c r="B2775" s="2" t="s">
        <v>7711</v>
      </c>
      <c r="C2775" s="2" t="s">
        <v>3178</v>
      </c>
      <c r="D2775" s="2" t="s">
        <v>7963</v>
      </c>
      <c r="E2775" s="2" t="s">
        <v>7964</v>
      </c>
      <c r="F2775" s="2" t="s">
        <v>8913</v>
      </c>
      <c r="G2775" s="2" t="s">
        <v>8913</v>
      </c>
      <c r="H2775" s="2" t="s">
        <v>8913</v>
      </c>
      <c r="I2775" s="2" t="s">
        <v>7964</v>
      </c>
      <c r="J2775" s="2" t="s">
        <v>706</v>
      </c>
      <c r="K2775" s="2" t="s">
        <v>858</v>
      </c>
      <c r="L2775" s="3">
        <v>370</v>
      </c>
      <c r="M2775" s="3">
        <v>388.5</v>
      </c>
      <c r="N2775" s="3">
        <v>769</v>
      </c>
      <c r="O2775" s="2" t="s">
        <v>97</v>
      </c>
      <c r="P2775" s="2" t="s">
        <v>225</v>
      </c>
      <c r="Q2775" s="2" t="s">
        <v>99</v>
      </c>
      <c r="R2775" s="2" t="s">
        <v>100</v>
      </c>
      <c r="S2775" s="2" t="s">
        <v>100</v>
      </c>
      <c r="T2775" s="2" t="s">
        <v>100</v>
      </c>
      <c r="U2775" s="2" t="s">
        <v>1847</v>
      </c>
      <c r="V2775" s="2" t="s">
        <v>146</v>
      </c>
      <c r="W2775" s="2" t="s">
        <v>309</v>
      </c>
      <c r="X2775" s="2" t="s">
        <v>415</v>
      </c>
      <c r="Y2775" s="2" t="s">
        <v>3509</v>
      </c>
      <c r="Z2775" s="4">
        <v>289</v>
      </c>
      <c r="AA2775" s="4">
        <f>=ROUNDDOWN(72.25,0)</f>
      </c>
      <c r="AB2775" s="5">
        <v>4</v>
      </c>
      <c r="AC2775" s="2" t="s">
        <v>100</v>
      </c>
      <c r="AD2775" s="4"/>
      <c r="AE2775" s="4"/>
      <c r="AF2775" s="6">
        <v>74</v>
      </c>
      <c r="AG2775" s="6"/>
      <c r="AH2775" s="7">
        <v>0.5187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>
        <v>40</v>
      </c>
      <c r="BK2775" s="8">
        <v>15950.72</v>
      </c>
      <c r="BL2775" s="2" t="s">
        <v>3254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2480</v>
      </c>
      <c r="BV2775" s="2" t="s">
        <v>97</v>
      </c>
      <c r="BW2775" s="2" t="s">
        <v>100</v>
      </c>
      <c r="BX2775" s="2" t="s">
        <v>100</v>
      </c>
      <c r="BY2775" s="2" t="s">
        <v>113</v>
      </c>
      <c r="BZ2775" s="2" t="s">
        <v>100</v>
      </c>
    </row>
    <row r="2776">
      <c r="A2776" s="2" t="s">
        <v>8943</v>
      </c>
      <c r="B2776" s="2" t="s">
        <v>7711</v>
      </c>
      <c r="C2776" s="2" t="s">
        <v>3178</v>
      </c>
      <c r="D2776" s="2" t="s">
        <v>7963</v>
      </c>
      <c r="E2776" s="2" t="s">
        <v>7964</v>
      </c>
      <c r="F2776" s="2" t="s">
        <v>8913</v>
      </c>
      <c r="G2776" s="2" t="s">
        <v>8913</v>
      </c>
      <c r="H2776" s="2" t="s">
        <v>8913</v>
      </c>
      <c r="I2776" s="2" t="s">
        <v>7964</v>
      </c>
      <c r="J2776" s="2" t="s">
        <v>714</v>
      </c>
      <c r="K2776" s="2" t="s">
        <v>858</v>
      </c>
      <c r="L2776" s="3">
        <v>430</v>
      </c>
      <c r="M2776" s="3">
        <v>451.5</v>
      </c>
      <c r="N2776" s="3">
        <v>899</v>
      </c>
      <c r="O2776" s="2" t="s">
        <v>97</v>
      </c>
      <c r="P2776" s="2" t="s">
        <v>225</v>
      </c>
      <c r="Q2776" s="2" t="s">
        <v>245</v>
      </c>
      <c r="R2776" s="2" t="s">
        <v>100</v>
      </c>
      <c r="S2776" s="2" t="s">
        <v>100</v>
      </c>
      <c r="T2776" s="2" t="s">
        <v>100</v>
      </c>
      <c r="U2776" s="2" t="s">
        <v>1847</v>
      </c>
      <c r="V2776" s="2" t="s">
        <v>146</v>
      </c>
      <c r="W2776" s="2" t="s">
        <v>309</v>
      </c>
      <c r="X2776" s="2" t="s">
        <v>415</v>
      </c>
      <c r="Y2776" s="2" t="s">
        <v>2129</v>
      </c>
      <c r="Z2776" s="4">
        <v>233</v>
      </c>
      <c r="AA2776" s="4">
        <f>=ROUNDDOWN(97.0833333333333,0)</f>
      </c>
      <c r="AB2776" s="5">
        <v>2.4</v>
      </c>
      <c r="AC2776" s="2" t="s">
        <v>100</v>
      </c>
      <c r="AD2776" s="4"/>
      <c r="AE2776" s="4"/>
      <c r="AF2776" s="6">
        <v>74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/>
      <c r="BJ2776" s="4">
        <v>19</v>
      </c>
      <c r="BK2776" s="8">
        <v>8540.65</v>
      </c>
      <c r="BL2776" s="2" t="s">
        <v>8944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2480</v>
      </c>
      <c r="BV2776" s="2" t="s">
        <v>97</v>
      </c>
      <c r="BW2776" s="2" t="s">
        <v>100</v>
      </c>
      <c r="BX2776" s="2" t="s">
        <v>100</v>
      </c>
      <c r="BY2776" s="2" t="s">
        <v>113</v>
      </c>
      <c r="BZ2776" s="2" t="s">
        <v>100</v>
      </c>
    </row>
    <row r="2777">
      <c r="A2777" s="2" t="s">
        <v>8945</v>
      </c>
      <c r="B2777" s="2" t="s">
        <v>7711</v>
      </c>
      <c r="C2777" s="2" t="s">
        <v>3178</v>
      </c>
      <c r="D2777" s="2" t="s">
        <v>7762</v>
      </c>
      <c r="E2777" s="2" t="s">
        <v>7763</v>
      </c>
      <c r="F2777" s="2" t="s">
        <v>8946</v>
      </c>
      <c r="G2777" s="2" t="s">
        <v>100</v>
      </c>
      <c r="H2777" s="2" t="s">
        <v>100</v>
      </c>
      <c r="I2777" s="2" t="s">
        <v>8947</v>
      </c>
      <c r="J2777" s="2" t="s">
        <v>3877</v>
      </c>
      <c r="K2777" s="2" t="s">
        <v>198</v>
      </c>
      <c r="L2777" s="3">
        <v>256.03</v>
      </c>
      <c r="M2777" s="3">
        <v>268.83</v>
      </c>
      <c r="N2777" s="3">
        <v>529</v>
      </c>
      <c r="O2777" s="2" t="s">
        <v>97</v>
      </c>
      <c r="P2777" s="2" t="s">
        <v>119</v>
      </c>
      <c r="Q2777" s="2" t="s">
        <v>99</v>
      </c>
      <c r="R2777" s="2" t="s">
        <v>100</v>
      </c>
      <c r="S2777" s="2" t="s">
        <v>100</v>
      </c>
      <c r="T2777" s="2" t="s">
        <v>100</v>
      </c>
      <c r="U2777" s="2" t="s">
        <v>100</v>
      </c>
      <c r="V2777" s="2" t="s">
        <v>146</v>
      </c>
      <c r="W2777" s="2" t="s">
        <v>309</v>
      </c>
      <c r="X2777" s="2" t="s">
        <v>100</v>
      </c>
      <c r="Y2777" s="2" t="s">
        <v>2054</v>
      </c>
      <c r="Z2777" s="4">
        <v>231</v>
      </c>
      <c r="AA2777" s="4">
        <f>=ROUNDDOWN(33,0)</f>
      </c>
      <c r="AB2777" s="5">
        <v>7</v>
      </c>
      <c r="AC2777" s="2" t="s">
        <v>100</v>
      </c>
      <c r="AD2777" s="4"/>
      <c r="AE2777" s="4"/>
      <c r="AF2777" s="6">
        <v>66</v>
      </c>
      <c r="AG2777" s="6">
        <v>49</v>
      </c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/>
      <c r="BD2777" s="8"/>
      <c r="BE2777" s="4"/>
      <c r="BF2777" s="8"/>
      <c r="BG2777" s="7"/>
      <c r="BH2777" s="7"/>
      <c r="BI2777" s="7"/>
      <c r="BJ2777" s="4">
        <v>192</v>
      </c>
      <c r="BK2777" s="8">
        <v>44373.35</v>
      </c>
      <c r="BL2777" s="2" t="s">
        <v>8948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2480</v>
      </c>
      <c r="BV2777" s="2" t="s">
        <v>97</v>
      </c>
      <c r="BW2777" s="2" t="s">
        <v>100</v>
      </c>
      <c r="BX2777" s="2" t="s">
        <v>100</v>
      </c>
      <c r="BY2777" s="2" t="s">
        <v>113</v>
      </c>
      <c r="BZ2777" s="2" t="s">
        <v>100</v>
      </c>
    </row>
    <row r="2778">
      <c r="A2778" s="2" t="s">
        <v>8949</v>
      </c>
      <c r="B2778" s="2" t="s">
        <v>7711</v>
      </c>
      <c r="C2778" s="2" t="s">
        <v>3178</v>
      </c>
      <c r="D2778" s="2" t="s">
        <v>7762</v>
      </c>
      <c r="E2778" s="2" t="s">
        <v>7763</v>
      </c>
      <c r="F2778" s="2" t="s">
        <v>8950</v>
      </c>
      <c r="G2778" s="2" t="s">
        <v>8950</v>
      </c>
      <c r="H2778" s="2" t="s">
        <v>8950</v>
      </c>
      <c r="I2778" s="2" t="s">
        <v>7978</v>
      </c>
      <c r="J2778" s="2" t="s">
        <v>3877</v>
      </c>
      <c r="K2778" s="2" t="s">
        <v>8951</v>
      </c>
      <c r="L2778" s="3">
        <v>200.36</v>
      </c>
      <c r="M2778" s="3">
        <v>210.38</v>
      </c>
      <c r="N2778" s="3">
        <v>419</v>
      </c>
      <c r="O2778" s="2" t="s">
        <v>97</v>
      </c>
      <c r="P2778" s="2" t="s">
        <v>98</v>
      </c>
      <c r="Q2778" s="2" t="s">
        <v>99</v>
      </c>
      <c r="R2778" s="2" t="s">
        <v>100</v>
      </c>
      <c r="S2778" s="2" t="s">
        <v>8952</v>
      </c>
      <c r="T2778" s="2" t="s">
        <v>100</v>
      </c>
      <c r="U2778" s="2" t="s">
        <v>100</v>
      </c>
      <c r="V2778" s="2" t="s">
        <v>146</v>
      </c>
      <c r="W2778" s="2" t="s">
        <v>561</v>
      </c>
      <c r="X2778" s="2" t="s">
        <v>100</v>
      </c>
      <c r="Y2778" s="2" t="s">
        <v>748</v>
      </c>
      <c r="Z2778" s="4">
        <v>326</v>
      </c>
      <c r="AA2778" s="4">
        <f>=ROUNDDOWN(21.7333333333333,0)</f>
      </c>
      <c r="AB2778" s="5">
        <v>15</v>
      </c>
      <c r="AC2778" s="2" t="s">
        <v>1164</v>
      </c>
      <c r="AD2778" s="4">
        <v>150</v>
      </c>
      <c r="AE2778" s="4">
        <v>150</v>
      </c>
      <c r="AF2778" s="6">
        <v>74</v>
      </c>
      <c r="AG2778" s="6">
        <v>60</v>
      </c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/>
      <c r="BD2778" s="8"/>
      <c r="BE2778" s="4"/>
      <c r="BF2778" s="8"/>
      <c r="BG2778" s="7"/>
      <c r="BH2778" s="7"/>
      <c r="BI2778" s="7"/>
      <c r="BJ2778" s="4">
        <v>399</v>
      </c>
      <c r="BK2778" s="8">
        <v>79242.23</v>
      </c>
      <c r="BL2778" s="2" t="s">
        <v>8953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2480</v>
      </c>
      <c r="BV2778" s="2" t="s">
        <v>97</v>
      </c>
      <c r="BW2778" s="2" t="s">
        <v>100</v>
      </c>
      <c r="BX2778" s="2" t="s">
        <v>100</v>
      </c>
      <c r="BY2778" s="2" t="s">
        <v>113</v>
      </c>
      <c r="BZ2778" s="2" t="s">
        <v>100</v>
      </c>
    </row>
    <row r="2779">
      <c r="A2779" s="2" t="s">
        <v>8954</v>
      </c>
      <c r="B2779" s="2" t="s">
        <v>7711</v>
      </c>
      <c r="C2779" s="2" t="s">
        <v>3178</v>
      </c>
      <c r="D2779" s="2" t="s">
        <v>7762</v>
      </c>
      <c r="E2779" s="2" t="s">
        <v>7763</v>
      </c>
      <c r="F2779" s="2" t="s">
        <v>8955</v>
      </c>
      <c r="G2779" s="2" t="s">
        <v>8955</v>
      </c>
      <c r="H2779" s="2" t="s">
        <v>8955</v>
      </c>
      <c r="I2779" s="2" t="s">
        <v>8947</v>
      </c>
      <c r="J2779" s="2" t="s">
        <v>8956</v>
      </c>
      <c r="K2779" s="2" t="s">
        <v>118</v>
      </c>
      <c r="L2779" s="3">
        <v>214.2</v>
      </c>
      <c r="M2779" s="3">
        <v>224.91</v>
      </c>
      <c r="N2779" s="3">
        <v>449</v>
      </c>
      <c r="O2779" s="2" t="s">
        <v>97</v>
      </c>
      <c r="P2779" s="2" t="s">
        <v>98</v>
      </c>
      <c r="Q2779" s="2" t="s">
        <v>99</v>
      </c>
      <c r="R2779" s="2" t="s">
        <v>100</v>
      </c>
      <c r="S2779" s="2" t="s">
        <v>100</v>
      </c>
      <c r="T2779" s="2" t="s">
        <v>100</v>
      </c>
      <c r="U2779" s="2" t="s">
        <v>514</v>
      </c>
      <c r="V2779" s="2" t="s">
        <v>146</v>
      </c>
      <c r="W2779" s="2" t="s">
        <v>309</v>
      </c>
      <c r="X2779" s="2" t="s">
        <v>100</v>
      </c>
      <c r="Y2779" s="2" t="s">
        <v>6804</v>
      </c>
      <c r="Z2779" s="4">
        <v>150</v>
      </c>
      <c r="AA2779" s="4">
        <f>=ROUNDDOWN(5.76923076923077,0)</f>
      </c>
      <c r="AB2779" s="5">
        <v>26</v>
      </c>
      <c r="AC2779" s="2" t="s">
        <v>8192</v>
      </c>
      <c r="AD2779" s="4">
        <v>49</v>
      </c>
      <c r="AE2779" s="4">
        <v>475</v>
      </c>
      <c r="AF2779" s="6">
        <v>74</v>
      </c>
      <c r="AG2779" s="6">
        <v>60</v>
      </c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493</v>
      </c>
      <c r="BK2779" s="8">
        <v>109727.67</v>
      </c>
      <c r="BL2779" s="2" t="s">
        <v>8957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2480</v>
      </c>
      <c r="BV2779" s="2" t="s">
        <v>97</v>
      </c>
      <c r="BW2779" s="2" t="s">
        <v>100</v>
      </c>
      <c r="BX2779" s="2" t="s">
        <v>100</v>
      </c>
      <c r="BY2779" s="2" t="s">
        <v>113</v>
      </c>
      <c r="BZ2779" s="2" t="s">
        <v>100</v>
      </c>
    </row>
    <row r="2780">
      <c r="A2780" s="2" t="s">
        <v>8958</v>
      </c>
      <c r="B2780" s="2" t="s">
        <v>7711</v>
      </c>
      <c r="C2780" s="2" t="s">
        <v>3178</v>
      </c>
      <c r="D2780" s="2" t="s">
        <v>7762</v>
      </c>
      <c r="E2780" s="2" t="s">
        <v>7763</v>
      </c>
      <c r="F2780" s="2" t="s">
        <v>8955</v>
      </c>
      <c r="G2780" s="2" t="s">
        <v>8955</v>
      </c>
      <c r="H2780" s="2" t="s">
        <v>8955</v>
      </c>
      <c r="I2780" s="2" t="s">
        <v>8947</v>
      </c>
      <c r="J2780" s="2" t="s">
        <v>8956</v>
      </c>
      <c r="K2780" s="2" t="s">
        <v>604</v>
      </c>
      <c r="L2780" s="3">
        <v>214.2</v>
      </c>
      <c r="M2780" s="3">
        <v>224.91</v>
      </c>
      <c r="N2780" s="3">
        <v>449</v>
      </c>
      <c r="O2780" s="2" t="s">
        <v>97</v>
      </c>
      <c r="P2780" s="2" t="s">
        <v>372</v>
      </c>
      <c r="Q2780" s="2" t="s">
        <v>99</v>
      </c>
      <c r="R2780" s="2" t="s">
        <v>100</v>
      </c>
      <c r="S2780" s="2" t="s">
        <v>100</v>
      </c>
      <c r="T2780" s="2" t="s">
        <v>100</v>
      </c>
      <c r="U2780" s="2" t="s">
        <v>514</v>
      </c>
      <c r="V2780" s="2" t="s">
        <v>146</v>
      </c>
      <c r="W2780" s="2" t="s">
        <v>309</v>
      </c>
      <c r="X2780" s="2" t="s">
        <v>100</v>
      </c>
      <c r="Y2780" s="2" t="s">
        <v>435</v>
      </c>
      <c r="Z2780" s="4">
        <v>390</v>
      </c>
      <c r="AA2780" s="4">
        <f>=ROUNDDOWN(20.855614973262,0)</f>
      </c>
      <c r="AB2780" s="5">
        <v>18.7</v>
      </c>
      <c r="AC2780" s="2" t="s">
        <v>8773</v>
      </c>
      <c r="AD2780" s="4">
        <v>216</v>
      </c>
      <c r="AE2780" s="4">
        <v>465</v>
      </c>
      <c r="AF2780" s="6">
        <v>74</v>
      </c>
      <c r="AG2780" s="6">
        <v>60</v>
      </c>
      <c r="AH2780" s="7">
        <v>1</v>
      </c>
      <c r="AI2780" s="4"/>
      <c r="AJ2780" s="4">
        <f>=ROUNDDOWN({0},0)</f>
      </c>
      <c r="AK2780" s="5">
        <v>77.2</v>
      </c>
      <c r="AL2780" s="2" t="s">
        <v>1292</v>
      </c>
      <c r="AM2780" s="4">
        <v>264</v>
      </c>
      <c r="AN2780" s="4">
        <v>364</v>
      </c>
      <c r="AO2780" s="7">
        <v>0.4278</v>
      </c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1325</v>
      </c>
      <c r="BK2780" s="8">
        <v>265358.71</v>
      </c>
      <c r="BL2780" s="2" t="s">
        <v>8774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2480</v>
      </c>
      <c r="BV2780" s="2" t="s">
        <v>97</v>
      </c>
      <c r="BW2780" s="2" t="s">
        <v>100</v>
      </c>
      <c r="BX2780" s="2" t="s">
        <v>100</v>
      </c>
      <c r="BY2780" s="2" t="s">
        <v>113</v>
      </c>
      <c r="BZ2780" s="2" t="s">
        <v>100</v>
      </c>
    </row>
    <row r="2781">
      <c r="A2781" s="2" t="s">
        <v>8959</v>
      </c>
      <c r="B2781" s="2" t="s">
        <v>7711</v>
      </c>
      <c r="C2781" s="2" t="s">
        <v>3178</v>
      </c>
      <c r="D2781" s="2" t="s">
        <v>7762</v>
      </c>
      <c r="E2781" s="2" t="s">
        <v>7763</v>
      </c>
      <c r="F2781" s="2" t="s">
        <v>8955</v>
      </c>
      <c r="G2781" s="2" t="s">
        <v>8955</v>
      </c>
      <c r="H2781" s="2" t="s">
        <v>8955</v>
      </c>
      <c r="I2781" s="2" t="s">
        <v>8947</v>
      </c>
      <c r="J2781" s="2" t="s">
        <v>8956</v>
      </c>
      <c r="K2781" s="2" t="s">
        <v>156</v>
      </c>
      <c r="L2781" s="3">
        <v>214.2</v>
      </c>
      <c r="M2781" s="3">
        <v>224.91</v>
      </c>
      <c r="N2781" s="3">
        <v>449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100</v>
      </c>
      <c r="T2781" s="2" t="s">
        <v>100</v>
      </c>
      <c r="U2781" s="2" t="s">
        <v>514</v>
      </c>
      <c r="V2781" s="2" t="s">
        <v>146</v>
      </c>
      <c r="W2781" s="2" t="s">
        <v>309</v>
      </c>
      <c r="X2781" s="2" t="s">
        <v>100</v>
      </c>
      <c r="Y2781" s="2" t="s">
        <v>8960</v>
      </c>
      <c r="Z2781" s="4">
        <v>244</v>
      </c>
      <c r="AA2781" s="4">
        <f>=ROUNDDOWN(50.8333333333333,0)</f>
      </c>
      <c r="AB2781" s="5">
        <v>4.8</v>
      </c>
      <c r="AC2781" s="2" t="s">
        <v>8961</v>
      </c>
      <c r="AD2781" s="4">
        <v>100</v>
      </c>
      <c r="AE2781" s="4">
        <v>100</v>
      </c>
      <c r="AF2781" s="6">
        <v>74</v>
      </c>
      <c r="AG2781" s="6">
        <v>60</v>
      </c>
      <c r="AH2781" s="7">
        <v>1</v>
      </c>
      <c r="AI2781" s="4"/>
      <c r="AJ2781" s="4">
        <f>=ROUNDDOWN({0},0)</f>
      </c>
      <c r="AK2781" s="5">
        <v>40.3</v>
      </c>
      <c r="AL2781" s="2" t="s">
        <v>1292</v>
      </c>
      <c r="AM2781" s="4">
        <v>168</v>
      </c>
      <c r="AN2781" s="4">
        <v>218</v>
      </c>
      <c r="AO2781" s="7">
        <v>0.4332</v>
      </c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/>
      <c r="BJ2781" s="4">
        <v>607</v>
      </c>
      <c r="BK2781" s="8">
        <v>110655.81</v>
      </c>
      <c r="BL2781" s="2" t="s">
        <v>8962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2480</v>
      </c>
      <c r="BV2781" s="2" t="s">
        <v>97</v>
      </c>
      <c r="BW2781" s="2" t="s">
        <v>100</v>
      </c>
      <c r="BX2781" s="2" t="s">
        <v>100</v>
      </c>
      <c r="BY2781" s="2" t="s">
        <v>113</v>
      </c>
      <c r="BZ2781" s="2" t="s">
        <v>100</v>
      </c>
    </row>
    <row r="2782">
      <c r="A2782" s="2" t="s">
        <v>8963</v>
      </c>
      <c r="B2782" s="2" t="s">
        <v>7711</v>
      </c>
      <c r="C2782" s="2" t="s">
        <v>3178</v>
      </c>
      <c r="D2782" s="2" t="s">
        <v>7762</v>
      </c>
      <c r="E2782" s="2" t="s">
        <v>7763</v>
      </c>
      <c r="F2782" s="2" t="s">
        <v>8955</v>
      </c>
      <c r="G2782" s="2" t="s">
        <v>8955</v>
      </c>
      <c r="H2782" s="2" t="s">
        <v>8955</v>
      </c>
      <c r="I2782" s="2" t="s">
        <v>8947</v>
      </c>
      <c r="J2782" s="2" t="s">
        <v>8956</v>
      </c>
      <c r="K2782" s="2" t="s">
        <v>8964</v>
      </c>
      <c r="L2782" s="3">
        <v>214.2</v>
      </c>
      <c r="M2782" s="3">
        <v>224.91</v>
      </c>
      <c r="N2782" s="3">
        <v>449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100</v>
      </c>
      <c r="T2782" s="2" t="s">
        <v>100</v>
      </c>
      <c r="U2782" s="2" t="s">
        <v>514</v>
      </c>
      <c r="V2782" s="2" t="s">
        <v>146</v>
      </c>
      <c r="W2782" s="2" t="s">
        <v>309</v>
      </c>
      <c r="X2782" s="2" t="s">
        <v>104</v>
      </c>
      <c r="Y2782" s="2" t="s">
        <v>8965</v>
      </c>
      <c r="Z2782" s="4">
        <v>75</v>
      </c>
      <c r="AA2782" s="4">
        <f>=ROUNDDOWN(3.26086956521739,0)</f>
      </c>
      <c r="AB2782" s="5">
        <v>23</v>
      </c>
      <c r="AC2782" s="2" t="s">
        <v>320</v>
      </c>
      <c r="AD2782" s="4">
        <v>39</v>
      </c>
      <c r="AE2782" s="4">
        <v>662</v>
      </c>
      <c r="AF2782" s="6">
        <v>74</v>
      </c>
      <c r="AG2782" s="6">
        <v>60</v>
      </c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/>
      <c r="BJ2782" s="4">
        <v>432</v>
      </c>
      <c r="BK2782" s="8">
        <v>85544.72</v>
      </c>
      <c r="BL2782" s="2" t="s">
        <v>8966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2480</v>
      </c>
      <c r="BV2782" s="2" t="s">
        <v>97</v>
      </c>
      <c r="BW2782" s="2" t="s">
        <v>100</v>
      </c>
      <c r="BX2782" s="2" t="s">
        <v>100</v>
      </c>
      <c r="BY2782" s="2" t="s">
        <v>113</v>
      </c>
      <c r="BZ2782" s="2" t="s">
        <v>100</v>
      </c>
    </row>
    <row r="2783">
      <c r="A2783" s="2" t="s">
        <v>8967</v>
      </c>
      <c r="B2783" s="2" t="s">
        <v>7711</v>
      </c>
      <c r="C2783" s="2" t="s">
        <v>3178</v>
      </c>
      <c r="D2783" s="2" t="s">
        <v>8024</v>
      </c>
      <c r="E2783" s="2" t="s">
        <v>8025</v>
      </c>
      <c r="F2783" s="2" t="s">
        <v>8968</v>
      </c>
      <c r="G2783" s="2" t="s">
        <v>8968</v>
      </c>
      <c r="H2783" s="2" t="s">
        <v>8968</v>
      </c>
      <c r="I2783" s="2" t="s">
        <v>8969</v>
      </c>
      <c r="J2783" s="2" t="s">
        <v>3877</v>
      </c>
      <c r="K2783" s="2" t="s">
        <v>8923</v>
      </c>
      <c r="L2783" s="3">
        <v>218.5</v>
      </c>
      <c r="M2783" s="3">
        <v>229.42</v>
      </c>
      <c r="N2783" s="3">
        <v>459</v>
      </c>
      <c r="O2783" s="2" t="s">
        <v>97</v>
      </c>
      <c r="P2783" s="2" t="s">
        <v>119</v>
      </c>
      <c r="Q2783" s="2" t="s">
        <v>99</v>
      </c>
      <c r="R2783" s="2" t="s">
        <v>100</v>
      </c>
      <c r="S2783" s="2" t="s">
        <v>100</v>
      </c>
      <c r="T2783" s="2" t="s">
        <v>100</v>
      </c>
      <c r="U2783" s="2" t="s">
        <v>1847</v>
      </c>
      <c r="V2783" s="2" t="s">
        <v>146</v>
      </c>
      <c r="W2783" s="2" t="s">
        <v>309</v>
      </c>
      <c r="X2783" s="2" t="s">
        <v>104</v>
      </c>
      <c r="Y2783" s="2" t="s">
        <v>2680</v>
      </c>
      <c r="Z2783" s="4">
        <v>93</v>
      </c>
      <c r="AA2783" s="4">
        <f>=ROUNDDOWN(9.8936170212766,0)</f>
      </c>
      <c r="AB2783" s="5">
        <v>9.4</v>
      </c>
      <c r="AC2783" s="2" t="s">
        <v>271</v>
      </c>
      <c r="AD2783" s="4">
        <v>108</v>
      </c>
      <c r="AE2783" s="4">
        <v>138</v>
      </c>
      <c r="AF2783" s="6">
        <v>74</v>
      </c>
      <c r="AG2783" s="6">
        <v>60</v>
      </c>
      <c r="AH2783" s="7">
        <v>1</v>
      </c>
      <c r="AI2783" s="4"/>
      <c r="AJ2783" s="4">
        <f>=ROUNDDOWN({0},0)</f>
      </c>
      <c r="AK2783" s="5">
        <v>26.7</v>
      </c>
      <c r="AL2783" s="2" t="s">
        <v>977</v>
      </c>
      <c r="AM2783" s="4">
        <v>120</v>
      </c>
      <c r="AN2783" s="4">
        <v>150</v>
      </c>
      <c r="AO2783" s="7">
        <v>0.2246</v>
      </c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/>
      <c r="BJ2783" s="4">
        <v>305</v>
      </c>
      <c r="BK2783" s="8">
        <v>62329.4</v>
      </c>
      <c r="BL2783" s="2" t="s">
        <v>8970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2480</v>
      </c>
      <c r="BV2783" s="2" t="s">
        <v>97</v>
      </c>
      <c r="BW2783" s="2" t="s">
        <v>100</v>
      </c>
      <c r="BX2783" s="2" t="s">
        <v>100</v>
      </c>
      <c r="BY2783" s="2" t="s">
        <v>113</v>
      </c>
      <c r="BZ2783" s="2" t="s">
        <v>100</v>
      </c>
    </row>
    <row r="2784">
      <c r="A2784" s="2" t="s">
        <v>8971</v>
      </c>
      <c r="B2784" s="2" t="s">
        <v>7711</v>
      </c>
      <c r="C2784" s="2" t="s">
        <v>3178</v>
      </c>
      <c r="D2784" s="2" t="s">
        <v>8024</v>
      </c>
      <c r="E2784" s="2" t="s">
        <v>8025</v>
      </c>
      <c r="F2784" s="2" t="s">
        <v>8968</v>
      </c>
      <c r="G2784" s="2" t="s">
        <v>8968</v>
      </c>
      <c r="H2784" s="2" t="s">
        <v>8968</v>
      </c>
      <c r="I2784" s="2" t="s">
        <v>8969</v>
      </c>
      <c r="J2784" s="2" t="s">
        <v>3877</v>
      </c>
      <c r="K2784" s="2" t="s">
        <v>198</v>
      </c>
      <c r="L2784" s="3">
        <v>218.5</v>
      </c>
      <c r="M2784" s="3">
        <v>229.42</v>
      </c>
      <c r="N2784" s="3">
        <v>459</v>
      </c>
      <c r="O2784" s="2" t="s">
        <v>97</v>
      </c>
      <c r="P2784" s="2" t="s">
        <v>119</v>
      </c>
      <c r="Q2784" s="2" t="s">
        <v>99</v>
      </c>
      <c r="R2784" s="2" t="s">
        <v>100</v>
      </c>
      <c r="S2784" s="2" t="s">
        <v>8972</v>
      </c>
      <c r="T2784" s="2" t="s">
        <v>100</v>
      </c>
      <c r="U2784" s="2" t="s">
        <v>100</v>
      </c>
      <c r="V2784" s="2" t="s">
        <v>146</v>
      </c>
      <c r="W2784" s="2" t="s">
        <v>309</v>
      </c>
      <c r="X2784" s="2" t="s">
        <v>100</v>
      </c>
      <c r="Y2784" s="2" t="s">
        <v>1801</v>
      </c>
      <c r="Z2784" s="4">
        <v>172</v>
      </c>
      <c r="AA2784" s="4">
        <f>=ROUNDDOWN(34.4,0)</f>
      </c>
      <c r="AB2784" s="5">
        <v>5</v>
      </c>
      <c r="AC2784" s="2" t="s">
        <v>100</v>
      </c>
      <c r="AD2784" s="4"/>
      <c r="AE2784" s="4"/>
      <c r="AF2784" s="6">
        <v>74</v>
      </c>
      <c r="AG2784" s="6">
        <v>60</v>
      </c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/>
      <c r="BJ2784" s="4">
        <v>119</v>
      </c>
      <c r="BK2784" s="8">
        <v>24561.53</v>
      </c>
      <c r="BL2784" s="2" t="s">
        <v>8973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2480</v>
      </c>
      <c r="BV2784" s="2" t="s">
        <v>97</v>
      </c>
      <c r="BW2784" s="2" t="s">
        <v>100</v>
      </c>
      <c r="BX2784" s="2" t="s">
        <v>100</v>
      </c>
      <c r="BY2784" s="2" t="s">
        <v>113</v>
      </c>
      <c r="BZ2784" s="2" t="s">
        <v>100</v>
      </c>
    </row>
    <row r="2785">
      <c r="A2785" s="2" t="s">
        <v>8974</v>
      </c>
      <c r="B2785" s="2" t="s">
        <v>7711</v>
      </c>
      <c r="C2785" s="2" t="s">
        <v>3178</v>
      </c>
      <c r="D2785" s="2" t="s">
        <v>8975</v>
      </c>
      <c r="E2785" s="2" t="s">
        <v>8976</v>
      </c>
      <c r="F2785" s="2" t="s">
        <v>252</v>
      </c>
      <c r="G2785" s="2" t="s">
        <v>252</v>
      </c>
      <c r="H2785" s="2" t="s">
        <v>252</v>
      </c>
      <c r="I2785" s="2" t="s">
        <v>8977</v>
      </c>
      <c r="J2785" s="2" t="s">
        <v>3877</v>
      </c>
      <c r="K2785" s="2" t="s">
        <v>8978</v>
      </c>
      <c r="L2785" s="3">
        <v>362.09</v>
      </c>
      <c r="M2785" s="3">
        <v>380.19</v>
      </c>
      <c r="N2785" s="3">
        <v>759</v>
      </c>
      <c r="O2785" s="2" t="s">
        <v>97</v>
      </c>
      <c r="P2785" s="2" t="s">
        <v>372</v>
      </c>
      <c r="Q2785" s="2" t="s">
        <v>99</v>
      </c>
      <c r="R2785" s="2" t="s">
        <v>100</v>
      </c>
      <c r="S2785" s="2" t="s">
        <v>8979</v>
      </c>
      <c r="T2785" s="2" t="s">
        <v>100</v>
      </c>
      <c r="U2785" s="2" t="s">
        <v>100</v>
      </c>
      <c r="V2785" s="2" t="s">
        <v>146</v>
      </c>
      <c r="W2785" s="2" t="s">
        <v>104</v>
      </c>
      <c r="X2785" s="2" t="s">
        <v>100</v>
      </c>
      <c r="Y2785" s="2" t="s">
        <v>748</v>
      </c>
      <c r="Z2785" s="4">
        <v>705</v>
      </c>
      <c r="AA2785" s="4">
        <f>=ROUNDDOWN(27.1153846153846,0)</f>
      </c>
      <c r="AB2785" s="5">
        <v>26</v>
      </c>
      <c r="AC2785" s="2" t="s">
        <v>1342</v>
      </c>
      <c r="AD2785" s="4">
        <v>24</v>
      </c>
      <c r="AE2785" s="4">
        <v>150</v>
      </c>
      <c r="AF2785" s="6">
        <v>74</v>
      </c>
      <c r="AG2785" s="6">
        <v>60</v>
      </c>
      <c r="AH2785" s="7">
        <v>1</v>
      </c>
      <c r="AI2785" s="4"/>
      <c r="AJ2785" s="4">
        <f>=ROUNDDOWN({0},0)</f>
      </c>
      <c r="AK2785" s="5"/>
      <c r="AL2785" s="2" t="s">
        <v>148</v>
      </c>
      <c r="AM2785" s="4">
        <v>126</v>
      </c>
      <c r="AN2785" s="4">
        <v>252</v>
      </c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/>
      <c r="BD2785" s="8"/>
      <c r="BE2785" s="4"/>
      <c r="BF2785" s="8"/>
      <c r="BG2785" s="7"/>
      <c r="BH2785" s="7"/>
      <c r="BI2785" s="7"/>
      <c r="BJ2785" s="4">
        <v>681</v>
      </c>
      <c r="BK2785" s="8">
        <v>230104.76</v>
      </c>
      <c r="BL2785" s="2" t="s">
        <v>8980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2480</v>
      </c>
      <c r="BV2785" s="2" t="s">
        <v>97</v>
      </c>
      <c r="BW2785" s="2" t="s">
        <v>100</v>
      </c>
      <c r="BX2785" s="2" t="s">
        <v>100</v>
      </c>
      <c r="BY2785" s="2" t="s">
        <v>113</v>
      </c>
      <c r="BZ2785" s="2" t="s">
        <v>100</v>
      </c>
    </row>
    <row r="2786">
      <c r="A2786" s="2" t="s">
        <v>8981</v>
      </c>
      <c r="B2786" s="2" t="s">
        <v>7711</v>
      </c>
      <c r="C2786" s="2" t="s">
        <v>3178</v>
      </c>
      <c r="D2786" s="2" t="s">
        <v>8066</v>
      </c>
      <c r="E2786" s="2" t="s">
        <v>8067</v>
      </c>
      <c r="F2786" s="2" t="s">
        <v>8913</v>
      </c>
      <c r="G2786" s="2" t="s">
        <v>8913</v>
      </c>
      <c r="H2786" s="2" t="s">
        <v>8913</v>
      </c>
      <c r="I2786" s="2" t="s">
        <v>8067</v>
      </c>
      <c r="J2786" s="2" t="s">
        <v>3877</v>
      </c>
      <c r="K2786" s="2" t="s">
        <v>8923</v>
      </c>
      <c r="L2786" s="3">
        <v>109.25</v>
      </c>
      <c r="M2786" s="3">
        <v>114.71</v>
      </c>
      <c r="N2786" s="3">
        <v>229</v>
      </c>
      <c r="O2786" s="2" t="s">
        <v>97</v>
      </c>
      <c r="P2786" s="2" t="s">
        <v>372</v>
      </c>
      <c r="Q2786" s="2" t="s">
        <v>99</v>
      </c>
      <c r="R2786" s="2" t="s">
        <v>100</v>
      </c>
      <c r="S2786" s="2" t="s">
        <v>100</v>
      </c>
      <c r="T2786" s="2" t="s">
        <v>100</v>
      </c>
      <c r="U2786" s="2" t="s">
        <v>1847</v>
      </c>
      <c r="V2786" s="2" t="s">
        <v>146</v>
      </c>
      <c r="W2786" s="2" t="s">
        <v>309</v>
      </c>
      <c r="X2786" s="2" t="s">
        <v>415</v>
      </c>
      <c r="Y2786" s="2" t="s">
        <v>8928</v>
      </c>
      <c r="Z2786" s="4">
        <v>1465</v>
      </c>
      <c r="AA2786" s="4">
        <f>=ROUNDDOWN(14.0865384615385,0)</f>
      </c>
      <c r="AB2786" s="5">
        <v>104</v>
      </c>
      <c r="AC2786" s="2" t="s">
        <v>135</v>
      </c>
      <c r="AD2786" s="4">
        <v>410</v>
      </c>
      <c r="AE2786" s="4">
        <v>624</v>
      </c>
      <c r="AF2786" s="6">
        <v>74</v>
      </c>
      <c r="AG2786" s="6">
        <v>60</v>
      </c>
      <c r="AH2786" s="7">
        <v>1</v>
      </c>
      <c r="AI2786" s="4"/>
      <c r="AJ2786" s="4">
        <f>=ROUNDDOWN({0},0)</f>
      </c>
      <c r="AK2786" s="5"/>
      <c r="AL2786" s="2" t="s">
        <v>1728</v>
      </c>
      <c r="AM2786" s="4">
        <v>588</v>
      </c>
      <c r="AN2786" s="4">
        <v>1036</v>
      </c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/>
      <c r="BJ2786" s="4">
        <v>2401</v>
      </c>
      <c r="BK2786" s="8">
        <v>242113.42</v>
      </c>
      <c r="BL2786" s="2" t="s">
        <v>8982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2480</v>
      </c>
      <c r="BV2786" s="2" t="s">
        <v>97</v>
      </c>
      <c r="BW2786" s="2" t="s">
        <v>100</v>
      </c>
      <c r="BX2786" s="2" t="s">
        <v>100</v>
      </c>
      <c r="BY2786" s="2" t="s">
        <v>113</v>
      </c>
      <c r="BZ2786" s="2" t="s">
        <v>100</v>
      </c>
    </row>
    <row r="2787">
      <c r="A2787" s="2" t="s">
        <v>8983</v>
      </c>
      <c r="B2787" s="2" t="s">
        <v>7711</v>
      </c>
      <c r="C2787" s="2" t="s">
        <v>3178</v>
      </c>
      <c r="D2787" s="2" t="s">
        <v>8066</v>
      </c>
      <c r="E2787" s="2" t="s">
        <v>8067</v>
      </c>
      <c r="F2787" s="2" t="s">
        <v>8913</v>
      </c>
      <c r="G2787" s="2" t="s">
        <v>8913</v>
      </c>
      <c r="H2787" s="2" t="s">
        <v>8913</v>
      </c>
      <c r="I2787" s="2" t="s">
        <v>8067</v>
      </c>
      <c r="J2787" s="2" t="s">
        <v>3877</v>
      </c>
      <c r="K2787" s="2" t="s">
        <v>8927</v>
      </c>
      <c r="L2787" s="3">
        <v>109.25</v>
      </c>
      <c r="M2787" s="3">
        <v>114.71</v>
      </c>
      <c r="N2787" s="3">
        <v>229</v>
      </c>
      <c r="O2787" s="2" t="s">
        <v>97</v>
      </c>
      <c r="P2787" s="2" t="s">
        <v>372</v>
      </c>
      <c r="Q2787" s="2" t="s">
        <v>99</v>
      </c>
      <c r="R2787" s="2" t="s">
        <v>100</v>
      </c>
      <c r="S2787" s="2" t="s">
        <v>8984</v>
      </c>
      <c r="T2787" s="2" t="s">
        <v>100</v>
      </c>
      <c r="U2787" s="2" t="s">
        <v>100</v>
      </c>
      <c r="V2787" s="2" t="s">
        <v>146</v>
      </c>
      <c r="W2787" s="2" t="s">
        <v>309</v>
      </c>
      <c r="X2787" s="2" t="s">
        <v>415</v>
      </c>
      <c r="Y2787" s="2" t="s">
        <v>240</v>
      </c>
      <c r="Z2787" s="4">
        <v>1324</v>
      </c>
      <c r="AA2787" s="4">
        <f>=ROUNDDOWN(8.5974025974026,0)</f>
      </c>
      <c r="AB2787" s="5">
        <v>154</v>
      </c>
      <c r="AC2787" s="2" t="s">
        <v>931</v>
      </c>
      <c r="AD2787" s="4">
        <v>280</v>
      </c>
      <c r="AE2787" s="4">
        <v>2122</v>
      </c>
      <c r="AF2787" s="6">
        <v>74</v>
      </c>
      <c r="AG2787" s="6">
        <v>60</v>
      </c>
      <c r="AH2787" s="7">
        <v>1</v>
      </c>
      <c r="AI2787" s="4"/>
      <c r="AJ2787" s="4">
        <f>=ROUNDDOWN({0},0)</f>
      </c>
      <c r="AK2787" s="5"/>
      <c r="AL2787" s="2" t="s">
        <v>931</v>
      </c>
      <c r="AM2787" s="4">
        <v>1176</v>
      </c>
      <c r="AN2787" s="4">
        <v>1904</v>
      </c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/>
      <c r="BJ2787" s="4">
        <v>4398</v>
      </c>
      <c r="BK2787" s="8">
        <v>444176.86</v>
      </c>
      <c r="BL2787" s="2" t="s">
        <v>8985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2480</v>
      </c>
      <c r="BV2787" s="2" t="s">
        <v>97</v>
      </c>
      <c r="BW2787" s="2" t="s">
        <v>100</v>
      </c>
      <c r="BX2787" s="2" t="s">
        <v>100</v>
      </c>
      <c r="BY2787" s="2" t="s">
        <v>113</v>
      </c>
      <c r="BZ2787" s="2" t="s">
        <v>100</v>
      </c>
    </row>
    <row r="2788">
      <c r="A2788" s="2" t="s">
        <v>8986</v>
      </c>
      <c r="B2788" s="2" t="s">
        <v>7711</v>
      </c>
      <c r="C2788" s="2" t="s">
        <v>3178</v>
      </c>
      <c r="D2788" s="2" t="s">
        <v>8066</v>
      </c>
      <c r="E2788" s="2" t="s">
        <v>8067</v>
      </c>
      <c r="F2788" s="2" t="s">
        <v>8913</v>
      </c>
      <c r="G2788" s="2" t="s">
        <v>8913</v>
      </c>
      <c r="H2788" s="2" t="s">
        <v>8913</v>
      </c>
      <c r="I2788" s="2" t="s">
        <v>8067</v>
      </c>
      <c r="J2788" s="2" t="s">
        <v>3877</v>
      </c>
      <c r="K2788" s="2" t="s">
        <v>858</v>
      </c>
      <c r="L2788" s="3">
        <v>109.25</v>
      </c>
      <c r="M2788" s="3">
        <v>114.71</v>
      </c>
      <c r="N2788" s="3">
        <v>229</v>
      </c>
      <c r="O2788" s="2" t="s">
        <v>97</v>
      </c>
      <c r="P2788" s="2" t="s">
        <v>225</v>
      </c>
      <c r="Q2788" s="2" t="s">
        <v>99</v>
      </c>
      <c r="R2788" s="2" t="s">
        <v>100</v>
      </c>
      <c r="S2788" s="2" t="s">
        <v>100</v>
      </c>
      <c r="T2788" s="2" t="s">
        <v>100</v>
      </c>
      <c r="U2788" s="2" t="s">
        <v>1847</v>
      </c>
      <c r="V2788" s="2" t="s">
        <v>146</v>
      </c>
      <c r="W2788" s="2" t="s">
        <v>309</v>
      </c>
      <c r="X2788" s="2" t="s">
        <v>415</v>
      </c>
      <c r="Y2788" s="2" t="s">
        <v>3509</v>
      </c>
      <c r="Z2788" s="4">
        <v>1156</v>
      </c>
      <c r="AA2788" s="4">
        <f>=ROUNDDOWN(115.6,0)</f>
      </c>
      <c r="AB2788" s="5">
        <v>10</v>
      </c>
      <c r="AC2788" s="2" t="s">
        <v>100</v>
      </c>
      <c r="AD2788" s="4"/>
      <c r="AE2788" s="4"/>
      <c r="AF2788" s="6">
        <v>74</v>
      </c>
      <c r="AG2788" s="6"/>
      <c r="AH2788" s="7">
        <v>0.5829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/>
      <c r="BJ2788" s="4">
        <v>77</v>
      </c>
      <c r="BK2788" s="8">
        <v>8521.33</v>
      </c>
      <c r="BL2788" s="2" t="s">
        <v>3304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2480</v>
      </c>
      <c r="BV2788" s="2" t="s">
        <v>97</v>
      </c>
      <c r="BW2788" s="2" t="s">
        <v>100</v>
      </c>
      <c r="BX2788" s="2" t="s">
        <v>100</v>
      </c>
      <c r="BY2788" s="2" t="s">
        <v>113</v>
      </c>
      <c r="BZ2788" s="2" t="s">
        <v>100</v>
      </c>
    </row>
    <row r="2789">
      <c r="A2789" s="2" t="s">
        <v>8987</v>
      </c>
      <c r="B2789" s="2" t="s">
        <v>7711</v>
      </c>
      <c r="C2789" s="2" t="s">
        <v>3178</v>
      </c>
      <c r="D2789" s="2" t="s">
        <v>8066</v>
      </c>
      <c r="E2789" s="2" t="s">
        <v>8067</v>
      </c>
      <c r="F2789" s="2" t="s">
        <v>252</v>
      </c>
      <c r="G2789" s="2" t="s">
        <v>252</v>
      </c>
      <c r="H2789" s="2" t="s">
        <v>252</v>
      </c>
      <c r="I2789" s="2" t="s">
        <v>8988</v>
      </c>
      <c r="J2789" s="2" t="s">
        <v>3877</v>
      </c>
      <c r="K2789" s="2" t="s">
        <v>8978</v>
      </c>
      <c r="L2789" s="3">
        <v>178.17</v>
      </c>
      <c r="M2789" s="3">
        <v>187.08</v>
      </c>
      <c r="N2789" s="3">
        <v>379</v>
      </c>
      <c r="O2789" s="2" t="s">
        <v>97</v>
      </c>
      <c r="P2789" s="2" t="s">
        <v>372</v>
      </c>
      <c r="Q2789" s="2" t="s">
        <v>99</v>
      </c>
      <c r="R2789" s="2" t="s">
        <v>100</v>
      </c>
      <c r="S2789" s="2" t="s">
        <v>100</v>
      </c>
      <c r="T2789" s="2" t="s">
        <v>100</v>
      </c>
      <c r="U2789" s="2" t="s">
        <v>100</v>
      </c>
      <c r="V2789" s="2" t="s">
        <v>146</v>
      </c>
      <c r="W2789" s="2" t="s">
        <v>104</v>
      </c>
      <c r="X2789" s="2" t="s">
        <v>100</v>
      </c>
      <c r="Y2789" s="2" t="s">
        <v>8989</v>
      </c>
      <c r="Z2789" s="4">
        <v>572</v>
      </c>
      <c r="AA2789" s="4">
        <f>=ROUNDDOWN(24.8695652173913,0)</f>
      </c>
      <c r="AB2789" s="5">
        <v>23</v>
      </c>
      <c r="AC2789" s="2" t="s">
        <v>356</v>
      </c>
      <c r="AD2789" s="4">
        <v>30</v>
      </c>
      <c r="AE2789" s="4">
        <v>118</v>
      </c>
      <c r="AF2789" s="6">
        <v>74</v>
      </c>
      <c r="AG2789" s="6">
        <v>60</v>
      </c>
      <c r="AH2789" s="7">
        <v>1</v>
      </c>
      <c r="AI2789" s="4"/>
      <c r="AJ2789" s="4">
        <f>=ROUNDDOWN({0},0)</f>
      </c>
      <c r="AK2789" s="5"/>
      <c r="AL2789" s="2" t="s">
        <v>123</v>
      </c>
      <c r="AM2789" s="4">
        <v>60</v>
      </c>
      <c r="AN2789" s="4">
        <v>90</v>
      </c>
      <c r="AO2789" s="7"/>
      <c r="AP2789" s="4"/>
      <c r="AQ2789" s="8"/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 t="s">
        <v>100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/>
      <c r="BJ2789" s="4">
        <v>548</v>
      </c>
      <c r="BK2789" s="8">
        <v>95670.54</v>
      </c>
      <c r="BL2789" s="2" t="s">
        <v>8990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2480</v>
      </c>
      <c r="BV2789" s="2" t="s">
        <v>97</v>
      </c>
      <c r="BW2789" s="2" t="s">
        <v>100</v>
      </c>
      <c r="BX2789" s="2" t="s">
        <v>100</v>
      </c>
      <c r="BY2789" s="2" t="s">
        <v>113</v>
      </c>
      <c r="BZ2789" s="2" t="s">
        <v>100</v>
      </c>
    </row>
    <row r="2790">
      <c r="A2790" s="2" t="s">
        <v>8991</v>
      </c>
      <c r="B2790" s="2" t="s">
        <v>7711</v>
      </c>
      <c r="C2790" s="2" t="s">
        <v>3178</v>
      </c>
      <c r="D2790" s="2" t="s">
        <v>8066</v>
      </c>
      <c r="E2790" s="2" t="s">
        <v>8067</v>
      </c>
      <c r="F2790" s="2" t="s">
        <v>252</v>
      </c>
      <c r="G2790" s="2" t="s">
        <v>252</v>
      </c>
      <c r="H2790" s="2" t="s">
        <v>252</v>
      </c>
      <c r="I2790" s="2" t="s">
        <v>8067</v>
      </c>
      <c r="J2790" s="2" t="s">
        <v>3877</v>
      </c>
      <c r="K2790" s="2" t="s">
        <v>8978</v>
      </c>
      <c r="L2790" s="3">
        <v>178.17</v>
      </c>
      <c r="M2790" s="3">
        <v>187.08</v>
      </c>
      <c r="N2790" s="3">
        <v>379</v>
      </c>
      <c r="O2790" s="2" t="s">
        <v>97</v>
      </c>
      <c r="P2790" s="2" t="s">
        <v>119</v>
      </c>
      <c r="Q2790" s="2" t="s">
        <v>99</v>
      </c>
      <c r="R2790" s="2" t="s">
        <v>100</v>
      </c>
      <c r="S2790" s="2" t="s">
        <v>8992</v>
      </c>
      <c r="T2790" s="2" t="s">
        <v>100</v>
      </c>
      <c r="U2790" s="2" t="s">
        <v>100</v>
      </c>
      <c r="V2790" s="2" t="s">
        <v>146</v>
      </c>
      <c r="W2790" s="2" t="s">
        <v>104</v>
      </c>
      <c r="X2790" s="2" t="s">
        <v>100</v>
      </c>
      <c r="Y2790" s="2" t="s">
        <v>240</v>
      </c>
      <c r="Z2790" s="4">
        <v>183</v>
      </c>
      <c r="AA2790" s="4">
        <f>=ROUNDDOWN(18.3,0)</f>
      </c>
      <c r="AB2790" s="5">
        <v>10</v>
      </c>
      <c r="AC2790" s="2" t="s">
        <v>1342</v>
      </c>
      <c r="AD2790" s="4">
        <v>145</v>
      </c>
      <c r="AE2790" s="4">
        <v>145</v>
      </c>
      <c r="AF2790" s="6">
        <v>74</v>
      </c>
      <c r="AG2790" s="6">
        <v>60</v>
      </c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 t="s">
        <v>100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/>
      <c r="BJ2790" s="4">
        <v>246</v>
      </c>
      <c r="BK2790" s="8">
        <v>41549.99</v>
      </c>
      <c r="BL2790" s="2" t="s">
        <v>8993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2480</v>
      </c>
      <c r="BV2790" s="2" t="s">
        <v>97</v>
      </c>
      <c r="BW2790" s="2" t="s">
        <v>100</v>
      </c>
      <c r="BX2790" s="2" t="s">
        <v>100</v>
      </c>
      <c r="BY2790" s="2" t="s">
        <v>113</v>
      </c>
      <c r="BZ2790" s="2" t="s">
        <v>100</v>
      </c>
    </row>
    <row r="2791">
      <c r="A2791" s="2" t="s">
        <v>8994</v>
      </c>
      <c r="B2791" s="2" t="s">
        <v>7711</v>
      </c>
      <c r="C2791" s="2" t="s">
        <v>3178</v>
      </c>
      <c r="D2791" s="2" t="s">
        <v>8073</v>
      </c>
      <c r="E2791" s="2" t="s">
        <v>8074</v>
      </c>
      <c r="F2791" s="2" t="s">
        <v>8995</v>
      </c>
      <c r="G2791" s="2" t="s">
        <v>8995</v>
      </c>
      <c r="H2791" s="2" t="s">
        <v>100</v>
      </c>
      <c r="I2791" s="2" t="s">
        <v>8074</v>
      </c>
      <c r="J2791" s="2" t="s">
        <v>3877</v>
      </c>
      <c r="K2791" s="2" t="s">
        <v>8996</v>
      </c>
      <c r="L2791" s="3">
        <v>310</v>
      </c>
      <c r="M2791" s="3">
        <v>325.5</v>
      </c>
      <c r="N2791" s="3">
        <v>649</v>
      </c>
      <c r="O2791" s="2" t="s">
        <v>97</v>
      </c>
      <c r="P2791" s="2" t="s">
        <v>119</v>
      </c>
      <c r="Q2791" s="2" t="s">
        <v>99</v>
      </c>
      <c r="R2791" s="2" t="s">
        <v>100</v>
      </c>
      <c r="S2791" s="2" t="s">
        <v>8997</v>
      </c>
      <c r="T2791" s="2" t="s">
        <v>100</v>
      </c>
      <c r="U2791" s="2" t="s">
        <v>100</v>
      </c>
      <c r="V2791" s="2" t="s">
        <v>146</v>
      </c>
      <c r="W2791" s="2" t="s">
        <v>309</v>
      </c>
      <c r="X2791" s="2" t="s">
        <v>100</v>
      </c>
      <c r="Y2791" s="2" t="s">
        <v>2048</v>
      </c>
      <c r="Z2791" s="4">
        <v>120</v>
      </c>
      <c r="AA2791" s="4">
        <f>=ROUNDDOWN(20,0)</f>
      </c>
      <c r="AB2791" s="5">
        <v>6</v>
      </c>
      <c r="AC2791" s="2" t="s">
        <v>3031</v>
      </c>
      <c r="AD2791" s="4">
        <v>180</v>
      </c>
      <c r="AE2791" s="4">
        <v>180</v>
      </c>
      <c r="AF2791" s="6">
        <v>66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/>
      <c r="BD2791" s="8"/>
      <c r="BE2791" s="4"/>
      <c r="BF2791" s="8"/>
      <c r="BG2791" s="7"/>
      <c r="BH2791" s="7"/>
      <c r="BI2791" s="7"/>
      <c r="BJ2791" s="4">
        <v>147</v>
      </c>
      <c r="BK2791" s="8">
        <v>43295.86</v>
      </c>
      <c r="BL2791" s="2" t="s">
        <v>8998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2480</v>
      </c>
      <c r="BV2791" s="2" t="s">
        <v>97</v>
      </c>
      <c r="BW2791" s="2" t="s">
        <v>100</v>
      </c>
      <c r="BX2791" s="2" t="s">
        <v>100</v>
      </c>
      <c r="BY2791" s="2" t="s">
        <v>113</v>
      </c>
      <c r="BZ2791" s="2" t="s">
        <v>100</v>
      </c>
    </row>
    <row r="2792">
      <c r="A2792" s="2" t="s">
        <v>8999</v>
      </c>
      <c r="B2792" s="2" t="s">
        <v>7711</v>
      </c>
      <c r="C2792" s="2" t="s">
        <v>3178</v>
      </c>
      <c r="D2792" s="2" t="s">
        <v>8073</v>
      </c>
      <c r="E2792" s="2" t="s">
        <v>8074</v>
      </c>
      <c r="F2792" s="2" t="s">
        <v>3602</v>
      </c>
      <c r="G2792" s="2" t="s">
        <v>3602</v>
      </c>
      <c r="H2792" s="2" t="s">
        <v>3602</v>
      </c>
      <c r="I2792" s="2" t="s">
        <v>9000</v>
      </c>
      <c r="J2792" s="2" t="s">
        <v>3877</v>
      </c>
      <c r="K2792" s="2" t="s">
        <v>4008</v>
      </c>
      <c r="L2792" s="3">
        <v>172.43</v>
      </c>
      <c r="M2792" s="3">
        <v>181.05</v>
      </c>
      <c r="N2792" s="3">
        <v>359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9001</v>
      </c>
      <c r="T2792" s="2" t="s">
        <v>100</v>
      </c>
      <c r="U2792" s="2" t="s">
        <v>100</v>
      </c>
      <c r="V2792" s="2" t="s">
        <v>146</v>
      </c>
      <c r="W2792" s="2" t="s">
        <v>561</v>
      </c>
      <c r="X2792" s="2" t="s">
        <v>100</v>
      </c>
      <c r="Y2792" s="2" t="s">
        <v>240</v>
      </c>
      <c r="Z2792" s="4">
        <v>319</v>
      </c>
      <c r="AA2792" s="4">
        <f>=ROUNDDOWN(22.7857142857143,0)</f>
      </c>
      <c r="AB2792" s="5">
        <v>14</v>
      </c>
      <c r="AC2792" s="2" t="s">
        <v>320</v>
      </c>
      <c r="AD2792" s="4">
        <v>115</v>
      </c>
      <c r="AE2792" s="4">
        <v>283</v>
      </c>
      <c r="AF2792" s="6">
        <v>66</v>
      </c>
      <c r="AG2792" s="6">
        <v>49</v>
      </c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>
        <v>362</v>
      </c>
      <c r="BK2792" s="8">
        <v>60359.75</v>
      </c>
      <c r="BL2792" s="2" t="s">
        <v>9002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2480</v>
      </c>
      <c r="BV2792" s="2" t="s">
        <v>97</v>
      </c>
      <c r="BW2792" s="2" t="s">
        <v>100</v>
      </c>
      <c r="BX2792" s="2" t="s">
        <v>100</v>
      </c>
      <c r="BY2792" s="2" t="s">
        <v>113</v>
      </c>
      <c r="BZ2792" s="2" t="s">
        <v>100</v>
      </c>
    </row>
    <row r="2793">
      <c r="A2793" s="2" t="s">
        <v>9003</v>
      </c>
      <c r="B2793" s="2" t="s">
        <v>7711</v>
      </c>
      <c r="C2793" s="2" t="s">
        <v>3178</v>
      </c>
      <c r="D2793" s="2" t="s">
        <v>8073</v>
      </c>
      <c r="E2793" s="2" t="s">
        <v>8109</v>
      </c>
      <c r="F2793" s="2" t="s">
        <v>8995</v>
      </c>
      <c r="G2793" s="2" t="s">
        <v>8995</v>
      </c>
      <c r="H2793" s="2" t="s">
        <v>100</v>
      </c>
      <c r="I2793" s="2" t="s">
        <v>8109</v>
      </c>
      <c r="J2793" s="2" t="s">
        <v>3877</v>
      </c>
      <c r="K2793" s="2" t="s">
        <v>8996</v>
      </c>
      <c r="L2793" s="3">
        <v>240</v>
      </c>
      <c r="M2793" s="3">
        <v>252</v>
      </c>
      <c r="N2793" s="3">
        <v>499</v>
      </c>
      <c r="O2793" s="2" t="s">
        <v>97</v>
      </c>
      <c r="P2793" s="2" t="s">
        <v>119</v>
      </c>
      <c r="Q2793" s="2" t="s">
        <v>99</v>
      </c>
      <c r="R2793" s="2" t="s">
        <v>100</v>
      </c>
      <c r="S2793" s="2" t="s">
        <v>9004</v>
      </c>
      <c r="T2793" s="2" t="s">
        <v>100</v>
      </c>
      <c r="U2793" s="2" t="s">
        <v>100</v>
      </c>
      <c r="V2793" s="2" t="s">
        <v>146</v>
      </c>
      <c r="W2793" s="2" t="s">
        <v>309</v>
      </c>
      <c r="X2793" s="2" t="s">
        <v>100</v>
      </c>
      <c r="Y2793" s="2" t="s">
        <v>2054</v>
      </c>
      <c r="Z2793" s="4">
        <v>123</v>
      </c>
      <c r="AA2793" s="4">
        <f>=ROUNDDOWN(24.6,0)</f>
      </c>
      <c r="AB2793" s="5">
        <v>5</v>
      </c>
      <c r="AC2793" s="2" t="s">
        <v>320</v>
      </c>
      <c r="AD2793" s="4">
        <v>135</v>
      </c>
      <c r="AE2793" s="4">
        <v>135</v>
      </c>
      <c r="AF2793" s="6">
        <v>66</v>
      </c>
      <c r="AG2793" s="6">
        <v>49</v>
      </c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/>
      <c r="BD2793" s="8"/>
      <c r="BE2793" s="4"/>
      <c r="BF2793" s="8"/>
      <c r="BG2793" s="7"/>
      <c r="BH2793" s="7"/>
      <c r="BI2793" s="7"/>
      <c r="BJ2793" s="4">
        <v>139</v>
      </c>
      <c r="BK2793" s="8">
        <v>32920.33</v>
      </c>
      <c r="BL2793" s="2" t="s">
        <v>9005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2480</v>
      </c>
      <c r="BV2793" s="2" t="s">
        <v>97</v>
      </c>
      <c r="BW2793" s="2" t="s">
        <v>100</v>
      </c>
      <c r="BX2793" s="2" t="s">
        <v>100</v>
      </c>
      <c r="BY2793" s="2" t="s">
        <v>113</v>
      </c>
      <c r="BZ2793" s="2" t="s">
        <v>100</v>
      </c>
    </row>
    <row r="2794">
      <c r="A2794" s="2" t="s">
        <v>9006</v>
      </c>
      <c r="B2794" s="2" t="s">
        <v>7711</v>
      </c>
      <c r="C2794" s="2" t="s">
        <v>3178</v>
      </c>
      <c r="D2794" s="2" t="s">
        <v>8073</v>
      </c>
      <c r="E2794" s="2" t="s">
        <v>7907</v>
      </c>
      <c r="F2794" s="2" t="s">
        <v>8995</v>
      </c>
      <c r="G2794" s="2" t="s">
        <v>8995</v>
      </c>
      <c r="H2794" s="2" t="s">
        <v>100</v>
      </c>
      <c r="I2794" s="2" t="s">
        <v>8870</v>
      </c>
      <c r="J2794" s="2" t="s">
        <v>3877</v>
      </c>
      <c r="K2794" s="2" t="s">
        <v>8996</v>
      </c>
      <c r="L2794" s="3">
        <v>190</v>
      </c>
      <c r="M2794" s="3">
        <v>199.5</v>
      </c>
      <c r="N2794" s="3">
        <v>399</v>
      </c>
      <c r="O2794" s="2" t="s">
        <v>97</v>
      </c>
      <c r="P2794" s="2" t="s">
        <v>119</v>
      </c>
      <c r="Q2794" s="2" t="s">
        <v>99</v>
      </c>
      <c r="R2794" s="2" t="s">
        <v>100</v>
      </c>
      <c r="S2794" s="2" t="s">
        <v>9007</v>
      </c>
      <c r="T2794" s="2" t="s">
        <v>100</v>
      </c>
      <c r="U2794" s="2" t="s">
        <v>100</v>
      </c>
      <c r="V2794" s="2" t="s">
        <v>146</v>
      </c>
      <c r="W2794" s="2" t="s">
        <v>309</v>
      </c>
      <c r="X2794" s="2" t="s">
        <v>100</v>
      </c>
      <c r="Y2794" s="2" t="s">
        <v>2054</v>
      </c>
      <c r="Z2794" s="4">
        <v>93</v>
      </c>
      <c r="AA2794" s="4">
        <f>=ROUNDDOWN(15.5,0)</f>
      </c>
      <c r="AB2794" s="5">
        <v>6</v>
      </c>
      <c r="AC2794" s="2" t="s">
        <v>320</v>
      </c>
      <c r="AD2794" s="4">
        <v>100</v>
      </c>
      <c r="AE2794" s="4">
        <v>200</v>
      </c>
      <c r="AF2794" s="6">
        <v>66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/>
      <c r="BD2794" s="8"/>
      <c r="BE2794" s="4"/>
      <c r="BF2794" s="8"/>
      <c r="BG2794" s="7"/>
      <c r="BH2794" s="7"/>
      <c r="BI2794" s="7"/>
      <c r="BJ2794" s="4">
        <v>160</v>
      </c>
      <c r="BK2794" s="8">
        <v>28121.27</v>
      </c>
      <c r="BL2794" s="2" t="s">
        <v>9008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2480</v>
      </c>
      <c r="BV2794" s="2" t="s">
        <v>97</v>
      </c>
      <c r="BW2794" s="2" t="s">
        <v>100</v>
      </c>
      <c r="BX2794" s="2" t="s">
        <v>100</v>
      </c>
      <c r="BY2794" s="2" t="s">
        <v>113</v>
      </c>
      <c r="BZ2794" s="2" t="s">
        <v>100</v>
      </c>
    </row>
    <row r="2795">
      <c r="A2795" s="2" t="s">
        <v>9009</v>
      </c>
      <c r="B2795" s="2" t="s">
        <v>7711</v>
      </c>
      <c r="C2795" s="2" t="s">
        <v>4347</v>
      </c>
      <c r="D2795" s="2" t="s">
        <v>7712</v>
      </c>
      <c r="E2795" s="2" t="s">
        <v>7776</v>
      </c>
      <c r="F2795" s="2" t="s">
        <v>2869</v>
      </c>
      <c r="G2795" s="2" t="s">
        <v>2869</v>
      </c>
      <c r="H2795" s="2" t="s">
        <v>2869</v>
      </c>
      <c r="I2795" s="2" t="s">
        <v>7777</v>
      </c>
      <c r="J2795" s="2" t="s">
        <v>3877</v>
      </c>
      <c r="K2795" s="2" t="s">
        <v>858</v>
      </c>
      <c r="L2795" s="3">
        <v>190</v>
      </c>
      <c r="M2795" s="3">
        <v>199.5</v>
      </c>
      <c r="N2795" s="3">
        <v>399</v>
      </c>
      <c r="O2795" s="2" t="s">
        <v>97</v>
      </c>
      <c r="P2795" s="2" t="s">
        <v>119</v>
      </c>
      <c r="Q2795" s="2" t="s">
        <v>99</v>
      </c>
      <c r="R2795" s="2" t="s">
        <v>100</v>
      </c>
      <c r="S2795" s="2" t="s">
        <v>100</v>
      </c>
      <c r="T2795" s="2" t="s">
        <v>100</v>
      </c>
      <c r="U2795" s="2" t="s">
        <v>1847</v>
      </c>
      <c r="V2795" s="2" t="s">
        <v>146</v>
      </c>
      <c r="W2795" s="2" t="s">
        <v>415</v>
      </c>
      <c r="X2795" s="2" t="s">
        <v>4378</v>
      </c>
      <c r="Y2795" s="2" t="s">
        <v>9010</v>
      </c>
      <c r="Z2795" s="4">
        <v>87</v>
      </c>
      <c r="AA2795" s="4">
        <f>=ROUNDDOWN(8.7,0)</f>
      </c>
      <c r="AB2795" s="5">
        <v>10</v>
      </c>
      <c r="AC2795" s="2" t="s">
        <v>931</v>
      </c>
      <c r="AD2795" s="4">
        <v>120</v>
      </c>
      <c r="AE2795" s="4">
        <v>220</v>
      </c>
      <c r="AF2795" s="6">
        <v>66</v>
      </c>
      <c r="AG2795" s="6">
        <v>49</v>
      </c>
      <c r="AH2795" s="7">
        <v>0.8877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/>
      <c r="BD2795" s="8"/>
      <c r="BE2795" s="4"/>
      <c r="BF2795" s="8"/>
      <c r="BG2795" s="7"/>
      <c r="BH2795" s="7"/>
      <c r="BI2795" s="7"/>
      <c r="BJ2795" s="4">
        <v>166</v>
      </c>
      <c r="BK2795" s="8">
        <v>32533.03</v>
      </c>
      <c r="BL2795" s="2" t="s">
        <v>9011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2528</v>
      </c>
      <c r="BV2795" s="2" t="s">
        <v>97</v>
      </c>
      <c r="BW2795" s="2" t="s">
        <v>100</v>
      </c>
      <c r="BX2795" s="2" t="s">
        <v>100</v>
      </c>
      <c r="BY2795" s="2" t="s">
        <v>113</v>
      </c>
      <c r="BZ2795" s="2" t="s">
        <v>100</v>
      </c>
    </row>
    <row r="2796">
      <c r="A2796" s="2" t="s">
        <v>9012</v>
      </c>
      <c r="B2796" s="2" t="s">
        <v>7711</v>
      </c>
      <c r="C2796" s="2" t="s">
        <v>4347</v>
      </c>
      <c r="D2796" s="2" t="s">
        <v>7712</v>
      </c>
      <c r="E2796" s="2" t="s">
        <v>7713</v>
      </c>
      <c r="F2796" s="2" t="s">
        <v>9013</v>
      </c>
      <c r="G2796" s="2" t="s">
        <v>9013</v>
      </c>
      <c r="H2796" s="2" t="s">
        <v>9014</v>
      </c>
      <c r="I2796" s="2" t="s">
        <v>9015</v>
      </c>
      <c r="J2796" s="2" t="s">
        <v>3877</v>
      </c>
      <c r="K2796" s="2" t="s">
        <v>3515</v>
      </c>
      <c r="L2796" s="3">
        <v>119.7</v>
      </c>
      <c r="M2796" s="3">
        <v>125.68</v>
      </c>
      <c r="N2796" s="3">
        <v>249</v>
      </c>
      <c r="O2796" s="2" t="s">
        <v>97</v>
      </c>
      <c r="P2796" s="2" t="s">
        <v>119</v>
      </c>
      <c r="Q2796" s="2" t="s">
        <v>99</v>
      </c>
      <c r="R2796" s="2" t="s">
        <v>100</v>
      </c>
      <c r="S2796" s="2" t="s">
        <v>100</v>
      </c>
      <c r="T2796" s="2" t="s">
        <v>100</v>
      </c>
      <c r="U2796" s="2" t="s">
        <v>1847</v>
      </c>
      <c r="V2796" s="2" t="s">
        <v>3188</v>
      </c>
      <c r="W2796" s="2" t="s">
        <v>104</v>
      </c>
      <c r="X2796" s="2" t="s">
        <v>4378</v>
      </c>
      <c r="Y2796" s="2" t="s">
        <v>2722</v>
      </c>
      <c r="Z2796" s="4">
        <v>218</v>
      </c>
      <c r="AA2796" s="4">
        <f>=ROUNDDOWN(27.25,0)</f>
      </c>
      <c r="AB2796" s="5">
        <v>8</v>
      </c>
      <c r="AC2796" s="2" t="s">
        <v>1755</v>
      </c>
      <c r="AD2796" s="4">
        <v>115</v>
      </c>
      <c r="AE2796" s="4">
        <v>115</v>
      </c>
      <c r="AF2796" s="6">
        <v>76</v>
      </c>
      <c r="AG2796" s="6">
        <v>67</v>
      </c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/>
      <c r="BD2796" s="8"/>
      <c r="BE2796" s="4"/>
      <c r="BF2796" s="8"/>
      <c r="BG2796" s="7"/>
      <c r="BH2796" s="7"/>
      <c r="BI2796" s="7"/>
      <c r="BJ2796" s="4">
        <v>191</v>
      </c>
      <c r="BK2796" s="8">
        <v>23843.96</v>
      </c>
      <c r="BL2796" s="2" t="s">
        <v>9016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2528</v>
      </c>
      <c r="BV2796" s="2" t="s">
        <v>97</v>
      </c>
      <c r="BW2796" s="2" t="s">
        <v>100</v>
      </c>
      <c r="BX2796" s="2" t="s">
        <v>100</v>
      </c>
      <c r="BY2796" s="2" t="s">
        <v>113</v>
      </c>
      <c r="BZ2796" s="2" t="s">
        <v>100</v>
      </c>
    </row>
    <row r="2797">
      <c r="A2797" s="2" t="s">
        <v>9017</v>
      </c>
      <c r="B2797" s="2" t="s">
        <v>7711</v>
      </c>
      <c r="C2797" s="2" t="s">
        <v>4347</v>
      </c>
      <c r="D2797" s="2" t="s">
        <v>7730</v>
      </c>
      <c r="E2797" s="2" t="s">
        <v>7731</v>
      </c>
      <c r="F2797" s="2" t="s">
        <v>5179</v>
      </c>
      <c r="G2797" s="2" t="s">
        <v>5179</v>
      </c>
      <c r="H2797" s="2" t="s">
        <v>5179</v>
      </c>
      <c r="I2797" s="2" t="s">
        <v>9018</v>
      </c>
      <c r="J2797" s="2" t="s">
        <v>3877</v>
      </c>
      <c r="K2797" s="2" t="s">
        <v>118</v>
      </c>
      <c r="L2797" s="3">
        <v>247.5</v>
      </c>
      <c r="M2797" s="3">
        <v>259.88</v>
      </c>
      <c r="N2797" s="3">
        <v>519</v>
      </c>
      <c r="O2797" s="2" t="s">
        <v>97</v>
      </c>
      <c r="P2797" s="2" t="s">
        <v>119</v>
      </c>
      <c r="Q2797" s="2" t="s">
        <v>99</v>
      </c>
      <c r="R2797" s="2" t="s">
        <v>100</v>
      </c>
      <c r="S2797" s="2" t="s">
        <v>100</v>
      </c>
      <c r="T2797" s="2" t="s">
        <v>100</v>
      </c>
      <c r="U2797" s="2" t="s">
        <v>1847</v>
      </c>
      <c r="V2797" s="2" t="s">
        <v>146</v>
      </c>
      <c r="W2797" s="2" t="s">
        <v>561</v>
      </c>
      <c r="X2797" s="2" t="s">
        <v>4351</v>
      </c>
      <c r="Y2797" s="2" t="s">
        <v>9019</v>
      </c>
      <c r="Z2797" s="4">
        <v>82</v>
      </c>
      <c r="AA2797" s="4">
        <f>=ROUNDDOWN(27.3333333333333,0)</f>
      </c>
      <c r="AB2797" s="5">
        <v>3</v>
      </c>
      <c r="AC2797" s="2" t="s">
        <v>768</v>
      </c>
      <c r="AD2797" s="4">
        <v>100</v>
      </c>
      <c r="AE2797" s="4">
        <v>100</v>
      </c>
      <c r="AF2797" s="6">
        <v>68</v>
      </c>
      <c r="AG2797" s="6"/>
      <c r="AH2797" s="7">
        <v>0.7861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/>
      <c r="BJ2797" s="4">
        <v>116</v>
      </c>
      <c r="BK2797" s="8">
        <v>25725.76</v>
      </c>
      <c r="BL2797" s="2" t="s">
        <v>9020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2528</v>
      </c>
      <c r="BV2797" s="2" t="s">
        <v>97</v>
      </c>
      <c r="BW2797" s="2" t="s">
        <v>100</v>
      </c>
      <c r="BX2797" s="2" t="s">
        <v>100</v>
      </c>
      <c r="BY2797" s="2" t="s">
        <v>113</v>
      </c>
      <c r="BZ2797" s="2" t="s">
        <v>100</v>
      </c>
    </row>
    <row r="2798">
      <c r="A2798" s="2" t="s">
        <v>9021</v>
      </c>
      <c r="B2798" s="2" t="s">
        <v>7711</v>
      </c>
      <c r="C2798" s="2" t="s">
        <v>4347</v>
      </c>
      <c r="D2798" s="2" t="s">
        <v>7730</v>
      </c>
      <c r="E2798" s="2" t="s">
        <v>7731</v>
      </c>
      <c r="F2798" s="2" t="s">
        <v>5179</v>
      </c>
      <c r="G2798" s="2" t="s">
        <v>5179</v>
      </c>
      <c r="H2798" s="2" t="s">
        <v>5179</v>
      </c>
      <c r="I2798" s="2" t="s">
        <v>9018</v>
      </c>
      <c r="J2798" s="2" t="s">
        <v>3877</v>
      </c>
      <c r="K2798" s="2" t="s">
        <v>3515</v>
      </c>
      <c r="L2798" s="3">
        <v>247.5</v>
      </c>
      <c r="M2798" s="3">
        <v>259.88</v>
      </c>
      <c r="N2798" s="3">
        <v>519</v>
      </c>
      <c r="O2798" s="2" t="s">
        <v>97</v>
      </c>
      <c r="P2798" s="2" t="s">
        <v>119</v>
      </c>
      <c r="Q2798" s="2" t="s">
        <v>99</v>
      </c>
      <c r="R2798" s="2" t="s">
        <v>100</v>
      </c>
      <c r="S2798" s="2" t="s">
        <v>9022</v>
      </c>
      <c r="T2798" s="2" t="s">
        <v>100</v>
      </c>
      <c r="U2798" s="2" t="s">
        <v>1847</v>
      </c>
      <c r="V2798" s="2" t="s">
        <v>146</v>
      </c>
      <c r="W2798" s="2" t="s">
        <v>673</v>
      </c>
      <c r="X2798" s="2" t="s">
        <v>4351</v>
      </c>
      <c r="Y2798" s="2" t="s">
        <v>4379</v>
      </c>
      <c r="Z2798" s="4">
        <v>121</v>
      </c>
      <c r="AA2798" s="4">
        <f>=ROUNDDOWN(13.4444444444444,0)</f>
      </c>
      <c r="AB2798" s="5">
        <v>9</v>
      </c>
      <c r="AC2798" s="2" t="s">
        <v>1164</v>
      </c>
      <c r="AD2798" s="4">
        <v>115</v>
      </c>
      <c r="AE2798" s="4">
        <v>195</v>
      </c>
      <c r="AF2798" s="6">
        <v>68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/>
      <c r="BJ2798" s="4">
        <v>252</v>
      </c>
      <c r="BK2798" s="8">
        <v>54487.71</v>
      </c>
      <c r="BL2798" s="2" t="s">
        <v>9023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2528</v>
      </c>
      <c r="BV2798" s="2" t="s">
        <v>97</v>
      </c>
      <c r="BW2798" s="2" t="s">
        <v>100</v>
      </c>
      <c r="BX2798" s="2" t="s">
        <v>100</v>
      </c>
      <c r="BY2798" s="2" t="s">
        <v>113</v>
      </c>
      <c r="BZ2798" s="2" t="s">
        <v>100</v>
      </c>
    </row>
    <row r="2799">
      <c r="A2799" s="2" t="s">
        <v>9024</v>
      </c>
      <c r="B2799" s="2" t="s">
        <v>7711</v>
      </c>
      <c r="C2799" s="2" t="s">
        <v>4347</v>
      </c>
      <c r="D2799" s="2" t="s">
        <v>7730</v>
      </c>
      <c r="E2799" s="2" t="s">
        <v>7731</v>
      </c>
      <c r="F2799" s="2" t="s">
        <v>9025</v>
      </c>
      <c r="G2799" s="2" t="s">
        <v>9025</v>
      </c>
      <c r="H2799" s="2" t="s">
        <v>9025</v>
      </c>
      <c r="I2799" s="2" t="s">
        <v>9026</v>
      </c>
      <c r="J2799" s="2" t="s">
        <v>3877</v>
      </c>
      <c r="K2799" s="2" t="s">
        <v>3269</v>
      </c>
      <c r="L2799" s="3">
        <v>286.69</v>
      </c>
      <c r="M2799" s="3">
        <v>301.02</v>
      </c>
      <c r="N2799" s="3">
        <v>599</v>
      </c>
      <c r="O2799" s="2" t="s">
        <v>97</v>
      </c>
      <c r="P2799" s="2" t="s">
        <v>372</v>
      </c>
      <c r="Q2799" s="2" t="s">
        <v>99</v>
      </c>
      <c r="R2799" s="2" t="s">
        <v>100</v>
      </c>
      <c r="S2799" s="2" t="s">
        <v>9027</v>
      </c>
      <c r="T2799" s="2" t="s">
        <v>100</v>
      </c>
      <c r="U2799" s="2" t="s">
        <v>100</v>
      </c>
      <c r="V2799" s="2" t="s">
        <v>146</v>
      </c>
      <c r="W2799" s="2" t="s">
        <v>415</v>
      </c>
      <c r="X2799" s="2" t="s">
        <v>4378</v>
      </c>
      <c r="Y2799" s="2" t="s">
        <v>4103</v>
      </c>
      <c r="Z2799" s="4">
        <v>208</v>
      </c>
      <c r="AA2799" s="4">
        <f>=ROUNDDOWN(12.2352941176471,0)</f>
      </c>
      <c r="AB2799" s="5">
        <v>17</v>
      </c>
      <c r="AC2799" s="2" t="s">
        <v>282</v>
      </c>
      <c r="AD2799" s="4">
        <v>117</v>
      </c>
      <c r="AE2799" s="4">
        <v>449</v>
      </c>
      <c r="AF2799" s="6">
        <v>66</v>
      </c>
      <c r="AG2799" s="6">
        <v>49</v>
      </c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/>
      <c r="BJ2799" s="4">
        <v>437</v>
      </c>
      <c r="BK2799" s="8">
        <v>115284.75</v>
      </c>
      <c r="BL2799" s="2" t="s">
        <v>9028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2528</v>
      </c>
      <c r="BV2799" s="2" t="s">
        <v>97</v>
      </c>
      <c r="BW2799" s="2" t="s">
        <v>100</v>
      </c>
      <c r="BX2799" s="2" t="s">
        <v>100</v>
      </c>
      <c r="BY2799" s="2" t="s">
        <v>113</v>
      </c>
      <c r="BZ2799" s="2" t="s">
        <v>100</v>
      </c>
    </row>
    <row r="2800">
      <c r="A2800" s="2" t="s">
        <v>9029</v>
      </c>
      <c r="B2800" s="2" t="s">
        <v>7711</v>
      </c>
      <c r="C2800" s="2" t="s">
        <v>4347</v>
      </c>
      <c r="D2800" s="2" t="s">
        <v>7730</v>
      </c>
      <c r="E2800" s="2" t="s">
        <v>7731</v>
      </c>
      <c r="F2800" s="2" t="s">
        <v>9025</v>
      </c>
      <c r="G2800" s="2" t="s">
        <v>9025</v>
      </c>
      <c r="H2800" s="2" t="s">
        <v>9025</v>
      </c>
      <c r="I2800" s="2" t="s">
        <v>7820</v>
      </c>
      <c r="J2800" s="2" t="s">
        <v>3877</v>
      </c>
      <c r="K2800" s="2" t="s">
        <v>2477</v>
      </c>
      <c r="L2800" s="3">
        <v>286.69</v>
      </c>
      <c r="M2800" s="3">
        <v>301.02</v>
      </c>
      <c r="N2800" s="3">
        <v>599</v>
      </c>
      <c r="O2800" s="2" t="s">
        <v>97</v>
      </c>
      <c r="P2800" s="2" t="s">
        <v>98</v>
      </c>
      <c r="Q2800" s="2" t="s">
        <v>99</v>
      </c>
      <c r="R2800" s="2" t="s">
        <v>100</v>
      </c>
      <c r="S2800" s="2" t="s">
        <v>100</v>
      </c>
      <c r="T2800" s="2" t="s">
        <v>100</v>
      </c>
      <c r="U2800" s="2" t="s">
        <v>1847</v>
      </c>
      <c r="V2800" s="2" t="s">
        <v>403</v>
      </c>
      <c r="W2800" s="2" t="s">
        <v>104</v>
      </c>
      <c r="X2800" s="2" t="s">
        <v>4378</v>
      </c>
      <c r="Y2800" s="2" t="s">
        <v>9030</v>
      </c>
      <c r="Z2800" s="4">
        <v>167</v>
      </c>
      <c r="AA2800" s="4">
        <f>=ROUNDDOWN(13.9166666666667,0)</f>
      </c>
      <c r="AB2800" s="5">
        <v>12</v>
      </c>
      <c r="AC2800" s="2" t="s">
        <v>872</v>
      </c>
      <c r="AD2800" s="4">
        <v>182</v>
      </c>
      <c r="AE2800" s="4">
        <v>276</v>
      </c>
      <c r="AF2800" s="6">
        <v>66</v>
      </c>
      <c r="AG2800" s="6">
        <v>49</v>
      </c>
      <c r="AH2800" s="7">
        <v>0.9251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/>
      <c r="BJ2800" s="4">
        <v>307</v>
      </c>
      <c r="BK2800" s="8">
        <v>81628.38</v>
      </c>
      <c r="BL2800" s="2" t="s">
        <v>9031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2528</v>
      </c>
      <c r="BV2800" s="2" t="s">
        <v>97</v>
      </c>
      <c r="BW2800" s="2" t="s">
        <v>100</v>
      </c>
      <c r="BX2800" s="2" t="s">
        <v>100</v>
      </c>
      <c r="BY2800" s="2" t="s">
        <v>113</v>
      </c>
      <c r="BZ2800" s="2" t="s">
        <v>100</v>
      </c>
    </row>
    <row r="2801">
      <c r="A2801" s="2" t="s">
        <v>9032</v>
      </c>
      <c r="B2801" s="2" t="s">
        <v>7711</v>
      </c>
      <c r="C2801" s="2" t="s">
        <v>4347</v>
      </c>
      <c r="D2801" s="2" t="s">
        <v>7730</v>
      </c>
      <c r="E2801" s="2" t="s">
        <v>7731</v>
      </c>
      <c r="F2801" s="2" t="s">
        <v>9033</v>
      </c>
      <c r="G2801" s="2" t="s">
        <v>9033</v>
      </c>
      <c r="H2801" s="2" t="s">
        <v>9033</v>
      </c>
      <c r="I2801" s="2" t="s">
        <v>9034</v>
      </c>
      <c r="J2801" s="2" t="s">
        <v>3877</v>
      </c>
      <c r="K2801" s="2" t="s">
        <v>604</v>
      </c>
      <c r="L2801" s="3">
        <v>215</v>
      </c>
      <c r="M2801" s="3">
        <v>225.75</v>
      </c>
      <c r="N2801" s="3">
        <v>449</v>
      </c>
      <c r="O2801" s="2" t="s">
        <v>97</v>
      </c>
      <c r="P2801" s="2" t="s">
        <v>119</v>
      </c>
      <c r="Q2801" s="2" t="s">
        <v>99</v>
      </c>
      <c r="R2801" s="2" t="s">
        <v>100</v>
      </c>
      <c r="S2801" s="2" t="s">
        <v>100</v>
      </c>
      <c r="T2801" s="2" t="s">
        <v>100</v>
      </c>
      <c r="U2801" s="2" t="s">
        <v>1847</v>
      </c>
      <c r="V2801" s="2" t="s">
        <v>3188</v>
      </c>
      <c r="W2801" s="2" t="s">
        <v>415</v>
      </c>
      <c r="X2801" s="2" t="s">
        <v>4378</v>
      </c>
      <c r="Y2801" s="2" t="s">
        <v>9035</v>
      </c>
      <c r="Z2801" s="4">
        <v>122</v>
      </c>
      <c r="AA2801" s="4">
        <f>=ROUNDDOWN(40.6666666666667,0)</f>
      </c>
      <c r="AB2801" s="5">
        <v>3</v>
      </c>
      <c r="AC2801" s="2" t="s">
        <v>241</v>
      </c>
      <c r="AD2801" s="4">
        <v>1</v>
      </c>
      <c r="AE2801" s="4">
        <v>100</v>
      </c>
      <c r="AF2801" s="6">
        <v>66</v>
      </c>
      <c r="AG2801" s="6">
        <v>49</v>
      </c>
      <c r="AH2801" s="7">
        <v>0.877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/>
      <c r="BD2801" s="8"/>
      <c r="BE2801" s="4"/>
      <c r="BF2801" s="8"/>
      <c r="BG2801" s="7"/>
      <c r="BH2801" s="7"/>
      <c r="BI2801" s="7"/>
      <c r="BJ2801" s="4">
        <v>96</v>
      </c>
      <c r="BK2801" s="8">
        <v>22900.45</v>
      </c>
      <c r="BL2801" s="2" t="s">
        <v>9036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2528</v>
      </c>
      <c r="BV2801" s="2" t="s">
        <v>97</v>
      </c>
      <c r="BW2801" s="2" t="s">
        <v>100</v>
      </c>
      <c r="BX2801" s="2" t="s">
        <v>100</v>
      </c>
      <c r="BY2801" s="2" t="s">
        <v>113</v>
      </c>
      <c r="BZ2801" s="2" t="s">
        <v>100</v>
      </c>
    </row>
    <row r="2802">
      <c r="A2802" s="2" t="s">
        <v>9037</v>
      </c>
      <c r="B2802" s="2" t="s">
        <v>7711</v>
      </c>
      <c r="C2802" s="2" t="s">
        <v>4347</v>
      </c>
      <c r="D2802" s="2" t="s">
        <v>7730</v>
      </c>
      <c r="E2802" s="2" t="s">
        <v>7731</v>
      </c>
      <c r="F2802" s="2" t="s">
        <v>2869</v>
      </c>
      <c r="G2802" s="2" t="s">
        <v>2869</v>
      </c>
      <c r="H2802" s="2" t="s">
        <v>2869</v>
      </c>
      <c r="I2802" s="2" t="s">
        <v>9026</v>
      </c>
      <c r="J2802" s="2" t="s">
        <v>3877</v>
      </c>
      <c r="K2802" s="2" t="s">
        <v>3269</v>
      </c>
      <c r="L2802" s="3">
        <v>256.5</v>
      </c>
      <c r="M2802" s="3">
        <v>269.32</v>
      </c>
      <c r="N2802" s="3">
        <v>549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9038</v>
      </c>
      <c r="T2802" s="2" t="s">
        <v>100</v>
      </c>
      <c r="U2802" s="2" t="s">
        <v>1847</v>
      </c>
      <c r="V2802" s="2" t="s">
        <v>3188</v>
      </c>
      <c r="W2802" s="2" t="s">
        <v>415</v>
      </c>
      <c r="X2802" s="2" t="s">
        <v>4378</v>
      </c>
      <c r="Y2802" s="2" t="s">
        <v>9039</v>
      </c>
      <c r="Z2802" s="4">
        <v>210</v>
      </c>
      <c r="AA2802" s="4">
        <f>=ROUNDDOWN(16.1538461538462,0)</f>
      </c>
      <c r="AB2802" s="5">
        <v>13</v>
      </c>
      <c r="AC2802" s="2" t="s">
        <v>241</v>
      </c>
      <c r="AD2802" s="4">
        <v>11</v>
      </c>
      <c r="AE2802" s="4">
        <v>135</v>
      </c>
      <c r="AF2802" s="6">
        <v>66</v>
      </c>
      <c r="AG2802" s="6">
        <v>49</v>
      </c>
      <c r="AH2802" s="7">
        <v>0.7326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/>
      <c r="BJ2802" s="4">
        <v>267</v>
      </c>
      <c r="BK2802" s="8">
        <v>69151.58</v>
      </c>
      <c r="BL2802" s="2" t="s">
        <v>9040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2528</v>
      </c>
      <c r="BV2802" s="2" t="s">
        <v>97</v>
      </c>
      <c r="BW2802" s="2" t="s">
        <v>100</v>
      </c>
      <c r="BX2802" s="2" t="s">
        <v>100</v>
      </c>
      <c r="BY2802" s="2" t="s">
        <v>113</v>
      </c>
      <c r="BZ2802" s="2" t="s">
        <v>100</v>
      </c>
    </row>
    <row r="2803">
      <c r="A2803" s="2" t="s">
        <v>9041</v>
      </c>
      <c r="B2803" s="2" t="s">
        <v>7711</v>
      </c>
      <c r="C2803" s="2" t="s">
        <v>4347</v>
      </c>
      <c r="D2803" s="2" t="s">
        <v>7730</v>
      </c>
      <c r="E2803" s="2" t="s">
        <v>7731</v>
      </c>
      <c r="F2803" s="2" t="s">
        <v>2869</v>
      </c>
      <c r="G2803" s="2" t="s">
        <v>2869</v>
      </c>
      <c r="H2803" s="2" t="s">
        <v>2869</v>
      </c>
      <c r="I2803" s="2" t="s">
        <v>9026</v>
      </c>
      <c r="J2803" s="2" t="s">
        <v>3877</v>
      </c>
      <c r="K2803" s="2" t="s">
        <v>858</v>
      </c>
      <c r="L2803" s="3">
        <v>256.5</v>
      </c>
      <c r="M2803" s="3">
        <v>269.32</v>
      </c>
      <c r="N2803" s="3">
        <v>549</v>
      </c>
      <c r="O2803" s="2" t="s">
        <v>97</v>
      </c>
      <c r="P2803" s="2" t="s">
        <v>119</v>
      </c>
      <c r="Q2803" s="2" t="s">
        <v>99</v>
      </c>
      <c r="R2803" s="2" t="s">
        <v>100</v>
      </c>
      <c r="S2803" s="2" t="s">
        <v>100</v>
      </c>
      <c r="T2803" s="2" t="s">
        <v>100</v>
      </c>
      <c r="U2803" s="2" t="s">
        <v>1847</v>
      </c>
      <c r="V2803" s="2" t="s">
        <v>3188</v>
      </c>
      <c r="W2803" s="2" t="s">
        <v>104</v>
      </c>
      <c r="X2803" s="2" t="s">
        <v>4378</v>
      </c>
      <c r="Y2803" s="2" t="s">
        <v>9042</v>
      </c>
      <c r="Z2803" s="4">
        <v>126</v>
      </c>
      <c r="AA2803" s="4">
        <f>=ROUNDDOWN(21,0)</f>
      </c>
      <c r="AB2803" s="5">
        <v>6</v>
      </c>
      <c r="AC2803" s="2" t="s">
        <v>7836</v>
      </c>
      <c r="AD2803" s="4">
        <v>100</v>
      </c>
      <c r="AE2803" s="4">
        <v>100</v>
      </c>
      <c r="AF2803" s="6">
        <v>66</v>
      </c>
      <c r="AG2803" s="6">
        <v>49</v>
      </c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/>
      <c r="BJ2803" s="4">
        <v>173</v>
      </c>
      <c r="BK2803" s="8">
        <v>39974.66</v>
      </c>
      <c r="BL2803" s="2" t="s">
        <v>9043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2528</v>
      </c>
      <c r="BV2803" s="2" t="s">
        <v>97</v>
      </c>
      <c r="BW2803" s="2" t="s">
        <v>100</v>
      </c>
      <c r="BX2803" s="2" t="s">
        <v>100</v>
      </c>
      <c r="BY2803" s="2" t="s">
        <v>113</v>
      </c>
      <c r="BZ2803" s="2" t="s">
        <v>100</v>
      </c>
    </row>
    <row r="2804">
      <c r="A2804" s="2" t="s">
        <v>9044</v>
      </c>
      <c r="B2804" s="2" t="s">
        <v>7711</v>
      </c>
      <c r="C2804" s="2" t="s">
        <v>4347</v>
      </c>
      <c r="D2804" s="2" t="s">
        <v>7730</v>
      </c>
      <c r="E2804" s="2" t="s">
        <v>7731</v>
      </c>
      <c r="F2804" s="2" t="s">
        <v>9045</v>
      </c>
      <c r="G2804" s="2" t="s">
        <v>9045</v>
      </c>
      <c r="H2804" s="2" t="s">
        <v>9045</v>
      </c>
      <c r="I2804" s="2" t="s">
        <v>7820</v>
      </c>
      <c r="J2804" s="2" t="s">
        <v>3877</v>
      </c>
      <c r="K2804" s="2" t="s">
        <v>604</v>
      </c>
      <c r="L2804" s="3">
        <v>175.75</v>
      </c>
      <c r="M2804" s="3">
        <v>184.54</v>
      </c>
      <c r="N2804" s="3">
        <v>369</v>
      </c>
      <c r="O2804" s="2" t="s">
        <v>97</v>
      </c>
      <c r="P2804" s="2" t="s">
        <v>119</v>
      </c>
      <c r="Q2804" s="2" t="s">
        <v>99</v>
      </c>
      <c r="R2804" s="2" t="s">
        <v>100</v>
      </c>
      <c r="S2804" s="2" t="s">
        <v>100</v>
      </c>
      <c r="T2804" s="2" t="s">
        <v>100</v>
      </c>
      <c r="U2804" s="2" t="s">
        <v>1847</v>
      </c>
      <c r="V2804" s="2" t="s">
        <v>146</v>
      </c>
      <c r="W2804" s="2" t="s">
        <v>673</v>
      </c>
      <c r="X2804" s="2" t="s">
        <v>4351</v>
      </c>
      <c r="Y2804" s="2" t="s">
        <v>8816</v>
      </c>
      <c r="Z2804" s="4">
        <v>176</v>
      </c>
      <c r="AA2804" s="4">
        <f>=ROUNDDOWN(17.6,0)</f>
      </c>
      <c r="AB2804" s="5">
        <v>10</v>
      </c>
      <c r="AC2804" s="2" t="s">
        <v>768</v>
      </c>
      <c r="AD2804" s="4">
        <v>10</v>
      </c>
      <c r="AE2804" s="4">
        <v>190</v>
      </c>
      <c r="AF2804" s="6">
        <v>68</v>
      </c>
      <c r="AG2804" s="6">
        <v>51</v>
      </c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/>
      <c r="BD2804" s="8"/>
      <c r="BE2804" s="4"/>
      <c r="BF2804" s="8"/>
      <c r="BG2804" s="7"/>
      <c r="BH2804" s="7"/>
      <c r="BI2804" s="7"/>
      <c r="BJ2804" s="4">
        <v>245</v>
      </c>
      <c r="BK2804" s="8">
        <v>42057.13</v>
      </c>
      <c r="BL2804" s="2" t="s">
        <v>9046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2528</v>
      </c>
      <c r="BV2804" s="2" t="s">
        <v>97</v>
      </c>
      <c r="BW2804" s="2" t="s">
        <v>100</v>
      </c>
      <c r="BX2804" s="2" t="s">
        <v>100</v>
      </c>
      <c r="BY2804" s="2" t="s">
        <v>113</v>
      </c>
      <c r="BZ2804" s="2" t="s">
        <v>100</v>
      </c>
    </row>
    <row r="2805">
      <c r="A2805" s="2" t="s">
        <v>9047</v>
      </c>
      <c r="B2805" s="2" t="s">
        <v>7711</v>
      </c>
      <c r="C2805" s="2" t="s">
        <v>4347</v>
      </c>
      <c r="D2805" s="2" t="s">
        <v>7730</v>
      </c>
      <c r="E2805" s="2" t="s">
        <v>7731</v>
      </c>
      <c r="F2805" s="2" t="s">
        <v>2708</v>
      </c>
      <c r="G2805" s="2" t="s">
        <v>2708</v>
      </c>
      <c r="H2805" s="2" t="s">
        <v>2708</v>
      </c>
      <c r="I2805" s="2" t="s">
        <v>9048</v>
      </c>
      <c r="J2805" s="2" t="s">
        <v>3877</v>
      </c>
      <c r="K2805" s="2" t="s">
        <v>8416</v>
      </c>
      <c r="L2805" s="3">
        <v>260</v>
      </c>
      <c r="M2805" s="3">
        <v>273</v>
      </c>
      <c r="N2805" s="3">
        <v>549</v>
      </c>
      <c r="O2805" s="2" t="s">
        <v>97</v>
      </c>
      <c r="P2805" s="2" t="s">
        <v>119</v>
      </c>
      <c r="Q2805" s="2" t="s">
        <v>99</v>
      </c>
      <c r="R2805" s="2" t="s">
        <v>100</v>
      </c>
      <c r="S2805" s="2" t="s">
        <v>100</v>
      </c>
      <c r="T2805" s="2" t="s">
        <v>100</v>
      </c>
      <c r="U2805" s="2" t="s">
        <v>1847</v>
      </c>
      <c r="V2805" s="2" t="s">
        <v>3188</v>
      </c>
      <c r="W2805" s="2" t="s">
        <v>309</v>
      </c>
      <c r="X2805" s="2" t="s">
        <v>4366</v>
      </c>
      <c r="Y2805" s="2" t="s">
        <v>204</v>
      </c>
      <c r="Z2805" s="4">
        <v>88</v>
      </c>
      <c r="AA2805" s="4">
        <f>=ROUNDDOWN(17.9591836734694,0)</f>
      </c>
      <c r="AB2805" s="5">
        <v>4.9</v>
      </c>
      <c r="AC2805" s="2" t="s">
        <v>931</v>
      </c>
      <c r="AD2805" s="4">
        <v>150</v>
      </c>
      <c r="AE2805" s="4">
        <v>150</v>
      </c>
      <c r="AF2805" s="6">
        <v>66</v>
      </c>
      <c r="AG2805" s="6"/>
      <c r="AH2805" s="7">
        <v>0.9305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/>
      <c r="BD2805" s="8"/>
      <c r="BE2805" s="4"/>
      <c r="BF2805" s="8"/>
      <c r="BG2805" s="7"/>
      <c r="BH2805" s="7"/>
      <c r="BI2805" s="7"/>
      <c r="BJ2805" s="4">
        <v>104</v>
      </c>
      <c r="BK2805" s="8">
        <v>27770.32</v>
      </c>
      <c r="BL2805" s="2" t="s">
        <v>9049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2528</v>
      </c>
      <c r="BV2805" s="2" t="s">
        <v>97</v>
      </c>
      <c r="BW2805" s="2" t="s">
        <v>100</v>
      </c>
      <c r="BX2805" s="2" t="s">
        <v>100</v>
      </c>
      <c r="BY2805" s="2" t="s">
        <v>113</v>
      </c>
      <c r="BZ2805" s="2" t="s">
        <v>100</v>
      </c>
    </row>
    <row r="2806">
      <c r="A2806" s="2" t="s">
        <v>9050</v>
      </c>
      <c r="B2806" s="2" t="s">
        <v>7711</v>
      </c>
      <c r="C2806" s="2" t="s">
        <v>4347</v>
      </c>
      <c r="D2806" s="2" t="s">
        <v>7730</v>
      </c>
      <c r="E2806" s="2" t="s">
        <v>7731</v>
      </c>
      <c r="F2806" s="2" t="s">
        <v>9051</v>
      </c>
      <c r="G2806" s="2" t="s">
        <v>9051</v>
      </c>
      <c r="H2806" s="2" t="s">
        <v>9051</v>
      </c>
      <c r="I2806" s="2" t="s">
        <v>8296</v>
      </c>
      <c r="J2806" s="2" t="s">
        <v>3877</v>
      </c>
      <c r="K2806" s="2" t="s">
        <v>9052</v>
      </c>
      <c r="L2806" s="3">
        <v>215</v>
      </c>
      <c r="M2806" s="3">
        <v>225.75</v>
      </c>
      <c r="N2806" s="3">
        <v>449</v>
      </c>
      <c r="O2806" s="2" t="s">
        <v>97</v>
      </c>
      <c r="P2806" s="2" t="s">
        <v>225</v>
      </c>
      <c r="Q2806" s="2" t="s">
        <v>99</v>
      </c>
      <c r="R2806" s="2" t="s">
        <v>100</v>
      </c>
      <c r="S2806" s="2" t="s">
        <v>100</v>
      </c>
      <c r="T2806" s="2" t="s">
        <v>100</v>
      </c>
      <c r="U2806" s="2" t="s">
        <v>1847</v>
      </c>
      <c r="V2806" s="2" t="s">
        <v>3188</v>
      </c>
      <c r="W2806" s="2" t="s">
        <v>309</v>
      </c>
      <c r="X2806" s="2" t="s">
        <v>4366</v>
      </c>
      <c r="Y2806" s="2" t="s">
        <v>3509</v>
      </c>
      <c r="Z2806" s="4">
        <v>87</v>
      </c>
      <c r="AA2806" s="4">
        <f>=ROUNDDOWN(43.5,0)</f>
      </c>
      <c r="AB2806" s="5">
        <v>2</v>
      </c>
      <c r="AC2806" s="2" t="s">
        <v>100</v>
      </c>
      <c r="AD2806" s="4"/>
      <c r="AE2806" s="4"/>
      <c r="AF2806" s="6">
        <v>74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/>
      <c r="BD2806" s="8"/>
      <c r="BE2806" s="4"/>
      <c r="BF2806" s="8"/>
      <c r="BG2806" s="7"/>
      <c r="BH2806" s="7"/>
      <c r="BI2806" s="7"/>
      <c r="BJ2806" s="4">
        <v>15</v>
      </c>
      <c r="BK2806" s="8">
        <v>3594.2</v>
      </c>
      <c r="BL2806" s="2" t="s">
        <v>9053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2528</v>
      </c>
      <c r="BV2806" s="2" t="s">
        <v>97</v>
      </c>
      <c r="BW2806" s="2" t="s">
        <v>100</v>
      </c>
      <c r="BX2806" s="2" t="s">
        <v>100</v>
      </c>
      <c r="BY2806" s="2" t="s">
        <v>113</v>
      </c>
      <c r="BZ2806" s="2" t="s">
        <v>100</v>
      </c>
    </row>
    <row r="2807">
      <c r="A2807" s="2" t="s">
        <v>9054</v>
      </c>
      <c r="B2807" s="2" t="s">
        <v>7711</v>
      </c>
      <c r="C2807" s="2" t="s">
        <v>4347</v>
      </c>
      <c r="D2807" s="2" t="s">
        <v>7730</v>
      </c>
      <c r="E2807" s="2" t="s">
        <v>7731</v>
      </c>
      <c r="F2807" s="2" t="s">
        <v>9055</v>
      </c>
      <c r="G2807" s="2" t="s">
        <v>9055</v>
      </c>
      <c r="H2807" s="2" t="s">
        <v>9055</v>
      </c>
      <c r="I2807" s="2" t="s">
        <v>7820</v>
      </c>
      <c r="J2807" s="2" t="s">
        <v>3877</v>
      </c>
      <c r="K2807" s="2" t="s">
        <v>858</v>
      </c>
      <c r="L2807" s="3">
        <v>238</v>
      </c>
      <c r="M2807" s="3">
        <v>249.9</v>
      </c>
      <c r="N2807" s="3">
        <v>499</v>
      </c>
      <c r="O2807" s="2" t="s">
        <v>97</v>
      </c>
      <c r="P2807" s="2" t="s">
        <v>119</v>
      </c>
      <c r="Q2807" s="2" t="s">
        <v>99</v>
      </c>
      <c r="R2807" s="2" t="s">
        <v>100</v>
      </c>
      <c r="S2807" s="2" t="s">
        <v>100</v>
      </c>
      <c r="T2807" s="2" t="s">
        <v>100</v>
      </c>
      <c r="U2807" s="2" t="s">
        <v>1847</v>
      </c>
      <c r="V2807" s="2" t="s">
        <v>3188</v>
      </c>
      <c r="W2807" s="2" t="s">
        <v>415</v>
      </c>
      <c r="X2807" s="2" t="s">
        <v>309</v>
      </c>
      <c r="Y2807" s="2" t="s">
        <v>8084</v>
      </c>
      <c r="Z2807" s="4">
        <v>195</v>
      </c>
      <c r="AA2807" s="4">
        <f>=ROUNDDOWN(24.375,0)</f>
      </c>
      <c r="AB2807" s="5">
        <v>8</v>
      </c>
      <c r="AC2807" s="2" t="s">
        <v>241</v>
      </c>
      <c r="AD2807" s="4">
        <v>100</v>
      </c>
      <c r="AE2807" s="4">
        <v>100</v>
      </c>
      <c r="AF2807" s="6">
        <v>66</v>
      </c>
      <c r="AG2807" s="6"/>
      <c r="AH2807" s="7">
        <v>0.5187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52</v>
      </c>
      <c r="BK2807" s="8">
        <v>13630.16</v>
      </c>
      <c r="BL2807" s="2" t="s">
        <v>9056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2528</v>
      </c>
      <c r="BV2807" s="2" t="s">
        <v>97</v>
      </c>
      <c r="BW2807" s="2" t="s">
        <v>100</v>
      </c>
      <c r="BX2807" s="2" t="s">
        <v>100</v>
      </c>
      <c r="BY2807" s="2" t="s">
        <v>113</v>
      </c>
      <c r="BZ2807" s="2" t="s">
        <v>100</v>
      </c>
    </row>
    <row r="2808">
      <c r="A2808" s="2" t="s">
        <v>9057</v>
      </c>
      <c r="B2808" s="2" t="s">
        <v>7711</v>
      </c>
      <c r="C2808" s="2" t="s">
        <v>4347</v>
      </c>
      <c r="D2808" s="2" t="s">
        <v>8410</v>
      </c>
      <c r="E2808" s="2" t="s">
        <v>8411</v>
      </c>
      <c r="F2808" s="2" t="s">
        <v>9058</v>
      </c>
      <c r="G2808" s="2" t="s">
        <v>9058</v>
      </c>
      <c r="H2808" s="2" t="s">
        <v>9058</v>
      </c>
      <c r="I2808" s="2" t="s">
        <v>9059</v>
      </c>
      <c r="J2808" s="2" t="s">
        <v>3877</v>
      </c>
      <c r="K2808" s="2" t="s">
        <v>9060</v>
      </c>
      <c r="L2808" s="3">
        <v>285</v>
      </c>
      <c r="M2808" s="3">
        <v>299.25</v>
      </c>
      <c r="N2808" s="3">
        <v>599</v>
      </c>
      <c r="O2808" s="2" t="s">
        <v>97</v>
      </c>
      <c r="P2808" s="2" t="s">
        <v>225</v>
      </c>
      <c r="Q2808" s="2" t="s">
        <v>99</v>
      </c>
      <c r="R2808" s="2" t="s">
        <v>100</v>
      </c>
      <c r="S2808" s="2" t="s">
        <v>100</v>
      </c>
      <c r="T2808" s="2" t="s">
        <v>100</v>
      </c>
      <c r="U2808" s="2" t="s">
        <v>1847</v>
      </c>
      <c r="V2808" s="2" t="s">
        <v>3188</v>
      </c>
      <c r="W2808" s="2" t="s">
        <v>415</v>
      </c>
      <c r="X2808" s="2" t="s">
        <v>4378</v>
      </c>
      <c r="Y2808" s="2" t="s">
        <v>3509</v>
      </c>
      <c r="Z2808" s="4">
        <v>66</v>
      </c>
      <c r="AA2808" s="4">
        <f>=ROUNDDOWN(33,0)</f>
      </c>
      <c r="AB2808" s="5">
        <v>2</v>
      </c>
      <c r="AC2808" s="2" t="s">
        <v>100</v>
      </c>
      <c r="AD2808" s="4"/>
      <c r="AE2808" s="4"/>
      <c r="AF2808" s="6">
        <v>74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/>
      <c r="BD2808" s="8"/>
      <c r="BE2808" s="4"/>
      <c r="BF2808" s="8"/>
      <c r="BG2808" s="7"/>
      <c r="BH2808" s="7"/>
      <c r="BI2808" s="7"/>
      <c r="BJ2808" s="4">
        <v>30</v>
      </c>
      <c r="BK2808" s="8">
        <v>9096.09</v>
      </c>
      <c r="BL2808" s="2" t="s">
        <v>9061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2528</v>
      </c>
      <c r="BV2808" s="2" t="s">
        <v>97</v>
      </c>
      <c r="BW2808" s="2" t="s">
        <v>100</v>
      </c>
      <c r="BX2808" s="2" t="s">
        <v>100</v>
      </c>
      <c r="BY2808" s="2" t="s">
        <v>113</v>
      </c>
      <c r="BZ2808" s="2" t="s">
        <v>100</v>
      </c>
    </row>
    <row r="2809">
      <c r="A2809" s="2" t="s">
        <v>9062</v>
      </c>
      <c r="B2809" s="2" t="s">
        <v>7711</v>
      </c>
      <c r="C2809" s="2" t="s">
        <v>4347</v>
      </c>
      <c r="D2809" s="2" t="s">
        <v>8410</v>
      </c>
      <c r="E2809" s="2" t="s">
        <v>8411</v>
      </c>
      <c r="F2809" s="2" t="s">
        <v>9063</v>
      </c>
      <c r="G2809" s="2" t="s">
        <v>9063</v>
      </c>
      <c r="H2809" s="2" t="s">
        <v>9063</v>
      </c>
      <c r="I2809" s="2" t="s">
        <v>9064</v>
      </c>
      <c r="J2809" s="2" t="s">
        <v>3877</v>
      </c>
      <c r="K2809" s="2" t="s">
        <v>9065</v>
      </c>
      <c r="L2809" s="3">
        <v>270</v>
      </c>
      <c r="M2809" s="3">
        <v>283.5</v>
      </c>
      <c r="N2809" s="3">
        <v>559</v>
      </c>
      <c r="O2809" s="2" t="s">
        <v>97</v>
      </c>
      <c r="P2809" s="2" t="s">
        <v>225</v>
      </c>
      <c r="Q2809" s="2" t="s">
        <v>99</v>
      </c>
      <c r="R2809" s="2" t="s">
        <v>100</v>
      </c>
      <c r="S2809" s="2" t="s">
        <v>100</v>
      </c>
      <c r="T2809" s="2" t="s">
        <v>100</v>
      </c>
      <c r="U2809" s="2" t="s">
        <v>1847</v>
      </c>
      <c r="V2809" s="2" t="s">
        <v>3188</v>
      </c>
      <c r="W2809" s="2" t="s">
        <v>183</v>
      </c>
      <c r="X2809" s="2" t="s">
        <v>4366</v>
      </c>
      <c r="Y2809" s="2" t="s">
        <v>9066</v>
      </c>
      <c r="Z2809" s="4">
        <v>85</v>
      </c>
      <c r="AA2809" s="4">
        <f>=ROUNDDOWN(212.5,0)</f>
      </c>
      <c r="AB2809" s="5">
        <v>0.4</v>
      </c>
      <c r="AC2809" s="2" t="s">
        <v>100</v>
      </c>
      <c r="AD2809" s="4"/>
      <c r="AE2809" s="4"/>
      <c r="AF2809" s="6">
        <v>74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/>
      <c r="BD2809" s="8"/>
      <c r="BE2809" s="4"/>
      <c r="BF2809" s="8"/>
      <c r="BG2809" s="7"/>
      <c r="BH2809" s="7"/>
      <c r="BI2809" s="7"/>
      <c r="BJ2809" s="4">
        <v>12</v>
      </c>
      <c r="BK2809" s="8">
        <v>3467.02</v>
      </c>
      <c r="BL2809" s="2" t="s">
        <v>3304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2528</v>
      </c>
      <c r="BV2809" s="2" t="s">
        <v>97</v>
      </c>
      <c r="BW2809" s="2" t="s">
        <v>100</v>
      </c>
      <c r="BX2809" s="2" t="s">
        <v>100</v>
      </c>
      <c r="BY2809" s="2" t="s">
        <v>113</v>
      </c>
      <c r="BZ2809" s="2" t="s">
        <v>100</v>
      </c>
    </row>
    <row r="2810">
      <c r="A2810" s="2" t="s">
        <v>9067</v>
      </c>
      <c r="B2810" s="2" t="s">
        <v>7711</v>
      </c>
      <c r="C2810" s="2" t="s">
        <v>4347</v>
      </c>
      <c r="D2810" s="2" t="s">
        <v>7755</v>
      </c>
      <c r="E2810" s="2" t="s">
        <v>7756</v>
      </c>
      <c r="F2810" s="2" t="s">
        <v>1869</v>
      </c>
      <c r="G2810" s="2" t="s">
        <v>1869</v>
      </c>
      <c r="H2810" s="2" t="s">
        <v>1869</v>
      </c>
      <c r="I2810" s="2" t="s">
        <v>9068</v>
      </c>
      <c r="J2810" s="2" t="s">
        <v>3877</v>
      </c>
      <c r="K2810" s="2" t="s">
        <v>118</v>
      </c>
      <c r="L2810" s="3">
        <v>132</v>
      </c>
      <c r="M2810" s="3">
        <v>138.6</v>
      </c>
      <c r="N2810" s="3">
        <v>279</v>
      </c>
      <c r="O2810" s="2" t="s">
        <v>97</v>
      </c>
      <c r="P2810" s="2" t="s">
        <v>119</v>
      </c>
      <c r="Q2810" s="2" t="s">
        <v>99</v>
      </c>
      <c r="R2810" s="2" t="s">
        <v>100</v>
      </c>
      <c r="S2810" s="2" t="s">
        <v>100</v>
      </c>
      <c r="T2810" s="2" t="s">
        <v>100</v>
      </c>
      <c r="U2810" s="2" t="s">
        <v>1847</v>
      </c>
      <c r="V2810" s="2" t="s">
        <v>3188</v>
      </c>
      <c r="W2810" s="2" t="s">
        <v>100</v>
      </c>
      <c r="X2810" s="2" t="s">
        <v>4378</v>
      </c>
      <c r="Y2810" s="2" t="s">
        <v>9069</v>
      </c>
      <c r="Z2810" s="4">
        <v>190</v>
      </c>
      <c r="AA2810" s="4">
        <f>=ROUNDDOWN(12.5827814569536,0)</f>
      </c>
      <c r="AB2810" s="5">
        <v>15.1</v>
      </c>
      <c r="AC2810" s="2" t="s">
        <v>6495</v>
      </c>
      <c r="AD2810" s="4">
        <v>110</v>
      </c>
      <c r="AE2810" s="4">
        <v>280</v>
      </c>
      <c r="AF2810" s="6">
        <v>74</v>
      </c>
      <c r="AG2810" s="6">
        <v>60</v>
      </c>
      <c r="AH2810" s="7">
        <v>0.6738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/>
      <c r="BD2810" s="8"/>
      <c r="BE2810" s="4"/>
      <c r="BF2810" s="8"/>
      <c r="BG2810" s="7"/>
      <c r="BH2810" s="7"/>
      <c r="BI2810" s="7"/>
      <c r="BJ2810" s="4">
        <v>259</v>
      </c>
      <c r="BK2810" s="8">
        <v>35044.18</v>
      </c>
      <c r="BL2810" s="2" t="s">
        <v>9070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2528</v>
      </c>
      <c r="BV2810" s="2" t="s">
        <v>97</v>
      </c>
      <c r="BW2810" s="2" t="s">
        <v>100</v>
      </c>
      <c r="BX2810" s="2" t="s">
        <v>100</v>
      </c>
      <c r="BY2810" s="2" t="s">
        <v>113</v>
      </c>
      <c r="BZ2810" s="2" t="s">
        <v>100</v>
      </c>
    </row>
    <row r="2811">
      <c r="A2811" s="2" t="s">
        <v>9071</v>
      </c>
      <c r="B2811" s="2" t="s">
        <v>7711</v>
      </c>
      <c r="C2811" s="2" t="s">
        <v>4347</v>
      </c>
      <c r="D2811" s="2" t="s">
        <v>7755</v>
      </c>
      <c r="E2811" s="2" t="s">
        <v>7756</v>
      </c>
      <c r="F2811" s="2" t="s">
        <v>9072</v>
      </c>
      <c r="G2811" s="2" t="s">
        <v>9072</v>
      </c>
      <c r="H2811" s="2" t="s">
        <v>9072</v>
      </c>
      <c r="I2811" s="2" t="s">
        <v>9073</v>
      </c>
      <c r="J2811" s="2" t="s">
        <v>3877</v>
      </c>
      <c r="K2811" s="2" t="s">
        <v>858</v>
      </c>
      <c r="L2811" s="3">
        <v>225</v>
      </c>
      <c r="M2811" s="3">
        <v>236.25</v>
      </c>
      <c r="N2811" s="3">
        <v>469</v>
      </c>
      <c r="O2811" s="2" t="s">
        <v>97</v>
      </c>
      <c r="P2811" s="2" t="s">
        <v>372</v>
      </c>
      <c r="Q2811" s="2" t="s">
        <v>99</v>
      </c>
      <c r="R2811" s="2" t="s">
        <v>100</v>
      </c>
      <c r="S2811" s="2" t="s">
        <v>100</v>
      </c>
      <c r="T2811" s="2" t="s">
        <v>100</v>
      </c>
      <c r="U2811" s="2" t="s">
        <v>1847</v>
      </c>
      <c r="V2811" s="2" t="s">
        <v>3188</v>
      </c>
      <c r="W2811" s="2" t="s">
        <v>104</v>
      </c>
      <c r="X2811" s="2" t="s">
        <v>4366</v>
      </c>
      <c r="Y2811" s="2" t="s">
        <v>9074</v>
      </c>
      <c r="Z2811" s="4">
        <v>265</v>
      </c>
      <c r="AA2811" s="4">
        <f>=ROUNDDOWN(15.5882352941176,0)</f>
      </c>
      <c r="AB2811" s="5">
        <v>17</v>
      </c>
      <c r="AC2811" s="2" t="s">
        <v>241</v>
      </c>
      <c r="AD2811" s="4">
        <v>100</v>
      </c>
      <c r="AE2811" s="4">
        <v>352</v>
      </c>
      <c r="AF2811" s="6">
        <v>76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432</v>
      </c>
      <c r="BK2811" s="8">
        <v>106579.2</v>
      </c>
      <c r="BL2811" s="2" t="s">
        <v>9075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2528</v>
      </c>
      <c r="BV2811" s="2" t="s">
        <v>97</v>
      </c>
      <c r="BW2811" s="2" t="s">
        <v>100</v>
      </c>
      <c r="BX2811" s="2" t="s">
        <v>100</v>
      </c>
      <c r="BY2811" s="2" t="s">
        <v>113</v>
      </c>
      <c r="BZ2811" s="2" t="s">
        <v>100</v>
      </c>
    </row>
    <row r="2812">
      <c r="A2812" s="2" t="s">
        <v>9076</v>
      </c>
      <c r="B2812" s="2" t="s">
        <v>7711</v>
      </c>
      <c r="C2812" s="2" t="s">
        <v>4347</v>
      </c>
      <c r="D2812" s="2" t="s">
        <v>7755</v>
      </c>
      <c r="E2812" s="2" t="s">
        <v>7756</v>
      </c>
      <c r="F2812" s="2" t="s">
        <v>9072</v>
      </c>
      <c r="G2812" s="2" t="s">
        <v>9072</v>
      </c>
      <c r="H2812" s="2" t="s">
        <v>9072</v>
      </c>
      <c r="I2812" s="2" t="s">
        <v>9073</v>
      </c>
      <c r="J2812" s="2" t="s">
        <v>3877</v>
      </c>
      <c r="K2812" s="2" t="s">
        <v>9077</v>
      </c>
      <c r="L2812" s="3">
        <v>225</v>
      </c>
      <c r="M2812" s="3">
        <v>236.25</v>
      </c>
      <c r="N2812" s="3">
        <v>469</v>
      </c>
      <c r="O2812" s="2" t="s">
        <v>97</v>
      </c>
      <c r="P2812" s="2" t="s">
        <v>98</v>
      </c>
      <c r="Q2812" s="2" t="s">
        <v>99</v>
      </c>
      <c r="R2812" s="2" t="s">
        <v>100</v>
      </c>
      <c r="S2812" s="2" t="s">
        <v>100</v>
      </c>
      <c r="T2812" s="2" t="s">
        <v>100</v>
      </c>
      <c r="U2812" s="2" t="s">
        <v>1847</v>
      </c>
      <c r="V2812" s="2" t="s">
        <v>3188</v>
      </c>
      <c r="W2812" s="2" t="s">
        <v>104</v>
      </c>
      <c r="X2812" s="2" t="s">
        <v>4366</v>
      </c>
      <c r="Y2812" s="2" t="s">
        <v>9078</v>
      </c>
      <c r="Z2812" s="4">
        <v>262</v>
      </c>
      <c r="AA2812" s="4">
        <f>=ROUNDDOWN(20.1538461538462,0)</f>
      </c>
      <c r="AB2812" s="5">
        <v>13</v>
      </c>
      <c r="AC2812" s="2" t="s">
        <v>241</v>
      </c>
      <c r="AD2812" s="4">
        <v>170</v>
      </c>
      <c r="AE2812" s="4">
        <v>345</v>
      </c>
      <c r="AF2812" s="6">
        <v>76</v>
      </c>
      <c r="AG2812" s="6"/>
      <c r="AH2812" s="7">
        <v>0.6417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228</v>
      </c>
      <c r="BK2812" s="8">
        <v>56345.88</v>
      </c>
      <c r="BL2812" s="2" t="s">
        <v>9070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2528</v>
      </c>
      <c r="BV2812" s="2" t="s">
        <v>97</v>
      </c>
      <c r="BW2812" s="2" t="s">
        <v>100</v>
      </c>
      <c r="BX2812" s="2" t="s">
        <v>100</v>
      </c>
      <c r="BY2812" s="2" t="s">
        <v>113</v>
      </c>
      <c r="BZ2812" s="2" t="s">
        <v>100</v>
      </c>
    </row>
    <row r="2813">
      <c r="A2813" s="2" t="s">
        <v>9079</v>
      </c>
      <c r="B2813" s="2" t="s">
        <v>7711</v>
      </c>
      <c r="C2813" s="2" t="s">
        <v>4347</v>
      </c>
      <c r="D2813" s="2" t="s">
        <v>7963</v>
      </c>
      <c r="E2813" s="2" t="s">
        <v>7964</v>
      </c>
      <c r="F2813" s="2" t="s">
        <v>9080</v>
      </c>
      <c r="G2813" s="2" t="s">
        <v>9080</v>
      </c>
      <c r="H2813" s="2" t="s">
        <v>9080</v>
      </c>
      <c r="I2813" s="2" t="s">
        <v>8598</v>
      </c>
      <c r="J2813" s="2" t="s">
        <v>706</v>
      </c>
      <c r="K2813" s="2" t="s">
        <v>9081</v>
      </c>
      <c r="L2813" s="3">
        <v>502</v>
      </c>
      <c r="M2813" s="3">
        <v>527.1</v>
      </c>
      <c r="N2813" s="3">
        <v>1049</v>
      </c>
      <c r="O2813" s="2" t="s">
        <v>97</v>
      </c>
      <c r="P2813" s="2" t="s">
        <v>225</v>
      </c>
      <c r="Q2813" s="2" t="s">
        <v>99</v>
      </c>
      <c r="R2813" s="2" t="s">
        <v>100</v>
      </c>
      <c r="S2813" s="2" t="s">
        <v>100</v>
      </c>
      <c r="T2813" s="2" t="s">
        <v>100</v>
      </c>
      <c r="U2813" s="2" t="s">
        <v>1847</v>
      </c>
      <c r="V2813" s="2" t="s">
        <v>3188</v>
      </c>
      <c r="W2813" s="2" t="s">
        <v>309</v>
      </c>
      <c r="X2813" s="2" t="s">
        <v>4366</v>
      </c>
      <c r="Y2813" s="2" t="s">
        <v>204</v>
      </c>
      <c r="Z2813" s="4">
        <v>86</v>
      </c>
      <c r="AA2813" s="4">
        <f>=ROUNDDOWN(86,0)</f>
      </c>
      <c r="AB2813" s="5">
        <v>1</v>
      </c>
      <c r="AC2813" s="2" t="s">
        <v>100</v>
      </c>
      <c r="AD2813" s="4"/>
      <c r="AE2813" s="4"/>
      <c r="AF2813" s="6">
        <v>76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/>
      <c r="BD2813" s="8"/>
      <c r="BE2813" s="4"/>
      <c r="BF2813" s="8"/>
      <c r="BG2813" s="7"/>
      <c r="BH2813" s="7"/>
      <c r="BI2813" s="7"/>
      <c r="BJ2813" s="4">
        <v>12</v>
      </c>
      <c r="BK2813" s="8">
        <v>6212.39</v>
      </c>
      <c r="BL2813" s="2" t="s">
        <v>3254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2528</v>
      </c>
      <c r="BV2813" s="2" t="s">
        <v>97</v>
      </c>
      <c r="BW2813" s="2" t="s">
        <v>100</v>
      </c>
      <c r="BX2813" s="2" t="s">
        <v>100</v>
      </c>
      <c r="BY2813" s="2" t="s">
        <v>113</v>
      </c>
      <c r="BZ2813" s="2" t="s">
        <v>100</v>
      </c>
    </row>
    <row r="2814">
      <c r="A2814" s="2" t="s">
        <v>9082</v>
      </c>
      <c r="B2814" s="2" t="s">
        <v>7711</v>
      </c>
      <c r="C2814" s="2" t="s">
        <v>4347</v>
      </c>
      <c r="D2814" s="2" t="s">
        <v>7963</v>
      </c>
      <c r="E2814" s="2" t="s">
        <v>7964</v>
      </c>
      <c r="F2814" s="2" t="s">
        <v>9063</v>
      </c>
      <c r="G2814" s="2" t="s">
        <v>9063</v>
      </c>
      <c r="H2814" s="2" t="s">
        <v>9063</v>
      </c>
      <c r="I2814" s="2" t="s">
        <v>9083</v>
      </c>
      <c r="J2814" s="2" t="s">
        <v>3877</v>
      </c>
      <c r="K2814" s="2" t="s">
        <v>9065</v>
      </c>
      <c r="L2814" s="3">
        <v>530</v>
      </c>
      <c r="M2814" s="3">
        <v>556.5</v>
      </c>
      <c r="N2814" s="3">
        <v>1099</v>
      </c>
      <c r="O2814" s="2" t="s">
        <v>97</v>
      </c>
      <c r="P2814" s="2" t="s">
        <v>225</v>
      </c>
      <c r="Q2814" s="2" t="s">
        <v>99</v>
      </c>
      <c r="R2814" s="2" t="s">
        <v>100</v>
      </c>
      <c r="S2814" s="2" t="s">
        <v>100</v>
      </c>
      <c r="T2814" s="2" t="s">
        <v>100</v>
      </c>
      <c r="U2814" s="2" t="s">
        <v>1847</v>
      </c>
      <c r="V2814" s="2" t="s">
        <v>3188</v>
      </c>
      <c r="W2814" s="2" t="s">
        <v>183</v>
      </c>
      <c r="X2814" s="2" t="s">
        <v>4366</v>
      </c>
      <c r="Y2814" s="2" t="s">
        <v>3509</v>
      </c>
      <c r="Z2814" s="4">
        <v>54</v>
      </c>
      <c r="AA2814" s="4">
        <f>=ROUNDDOWN(27,0)</f>
      </c>
      <c r="AB2814" s="5">
        <v>2</v>
      </c>
      <c r="AC2814" s="2" t="s">
        <v>9084</v>
      </c>
      <c r="AD2814" s="4">
        <v>70</v>
      </c>
      <c r="AE2814" s="4">
        <v>70</v>
      </c>
      <c r="AF2814" s="6">
        <v>74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/>
      <c r="BD2814" s="8"/>
      <c r="BE2814" s="4"/>
      <c r="BF2814" s="8"/>
      <c r="BG2814" s="7"/>
      <c r="BH2814" s="7"/>
      <c r="BI2814" s="7"/>
      <c r="BJ2814" s="4">
        <v>40</v>
      </c>
      <c r="BK2814" s="8">
        <v>22966.52</v>
      </c>
      <c r="BL2814" s="2" t="s">
        <v>9085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2528</v>
      </c>
      <c r="BV2814" s="2" t="s">
        <v>97</v>
      </c>
      <c r="BW2814" s="2" t="s">
        <v>100</v>
      </c>
      <c r="BX2814" s="2" t="s">
        <v>100</v>
      </c>
      <c r="BY2814" s="2" t="s">
        <v>113</v>
      </c>
      <c r="BZ2814" s="2" t="s">
        <v>100</v>
      </c>
    </row>
    <row r="2815">
      <c r="A2815" s="2" t="s">
        <v>9086</v>
      </c>
      <c r="B2815" s="2" t="s">
        <v>7711</v>
      </c>
      <c r="C2815" s="2" t="s">
        <v>4347</v>
      </c>
      <c r="D2815" s="2" t="s">
        <v>7762</v>
      </c>
      <c r="E2815" s="2" t="s">
        <v>7763</v>
      </c>
      <c r="F2815" s="2" t="s">
        <v>9087</v>
      </c>
      <c r="G2815" s="2" t="s">
        <v>9087</v>
      </c>
      <c r="H2815" s="2" t="s">
        <v>9087</v>
      </c>
      <c r="I2815" s="2" t="s">
        <v>9088</v>
      </c>
      <c r="J2815" s="2" t="s">
        <v>3877</v>
      </c>
      <c r="K2815" s="2" t="s">
        <v>9089</v>
      </c>
      <c r="L2815" s="3">
        <v>184.5</v>
      </c>
      <c r="M2815" s="3">
        <v>193.72</v>
      </c>
      <c r="N2815" s="3">
        <v>389</v>
      </c>
      <c r="O2815" s="2" t="s">
        <v>97</v>
      </c>
      <c r="P2815" s="2" t="s">
        <v>119</v>
      </c>
      <c r="Q2815" s="2" t="s">
        <v>99</v>
      </c>
      <c r="R2815" s="2" t="s">
        <v>100</v>
      </c>
      <c r="S2815" s="2" t="s">
        <v>100</v>
      </c>
      <c r="T2815" s="2" t="s">
        <v>100</v>
      </c>
      <c r="U2815" s="2" t="s">
        <v>1847</v>
      </c>
      <c r="V2815" s="2" t="s">
        <v>3188</v>
      </c>
      <c r="W2815" s="2" t="s">
        <v>415</v>
      </c>
      <c r="X2815" s="2" t="s">
        <v>4366</v>
      </c>
      <c r="Y2815" s="2" t="s">
        <v>1296</v>
      </c>
      <c r="Z2815" s="4">
        <v>156</v>
      </c>
      <c r="AA2815" s="4">
        <f>=ROUNDDOWN(21.3698630136986,0)</f>
      </c>
      <c r="AB2815" s="5">
        <v>7.3</v>
      </c>
      <c r="AC2815" s="2" t="s">
        <v>1259</v>
      </c>
      <c r="AD2815" s="4">
        <v>150</v>
      </c>
      <c r="AE2815" s="4">
        <v>150</v>
      </c>
      <c r="AF2815" s="6">
        <v>74</v>
      </c>
      <c r="AG2815" s="6">
        <v>60</v>
      </c>
      <c r="AH2815" s="7">
        <v>0.8235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172</v>
      </c>
      <c r="BK2815" s="8">
        <v>33815.66</v>
      </c>
      <c r="BL2815" s="2" t="s">
        <v>9049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2528</v>
      </c>
      <c r="BV2815" s="2" t="s">
        <v>97</v>
      </c>
      <c r="BW2815" s="2" t="s">
        <v>100</v>
      </c>
      <c r="BX2815" s="2" t="s">
        <v>100</v>
      </c>
      <c r="BY2815" s="2" t="s">
        <v>113</v>
      </c>
      <c r="BZ2815" s="2" t="s">
        <v>100</v>
      </c>
    </row>
    <row r="2816">
      <c r="A2816" s="2" t="s">
        <v>9090</v>
      </c>
      <c r="B2816" s="2" t="s">
        <v>7711</v>
      </c>
      <c r="C2816" s="2" t="s">
        <v>4347</v>
      </c>
      <c r="D2816" s="2" t="s">
        <v>7762</v>
      </c>
      <c r="E2816" s="2" t="s">
        <v>7763</v>
      </c>
      <c r="F2816" s="2" t="s">
        <v>9087</v>
      </c>
      <c r="G2816" s="2" t="s">
        <v>9087</v>
      </c>
      <c r="H2816" s="2" t="s">
        <v>9087</v>
      </c>
      <c r="I2816" s="2" t="s">
        <v>9088</v>
      </c>
      <c r="J2816" s="2" t="s">
        <v>3877</v>
      </c>
      <c r="K2816" s="2" t="s">
        <v>2580</v>
      </c>
      <c r="L2816" s="3">
        <v>184.5</v>
      </c>
      <c r="M2816" s="3">
        <v>193.72</v>
      </c>
      <c r="N2816" s="3">
        <v>389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100</v>
      </c>
      <c r="T2816" s="2" t="s">
        <v>100</v>
      </c>
      <c r="U2816" s="2" t="s">
        <v>1847</v>
      </c>
      <c r="V2816" s="2" t="s">
        <v>3188</v>
      </c>
      <c r="W2816" s="2" t="s">
        <v>415</v>
      </c>
      <c r="X2816" s="2" t="s">
        <v>4378</v>
      </c>
      <c r="Y2816" s="2" t="s">
        <v>2974</v>
      </c>
      <c r="Z2816" s="4">
        <v>115</v>
      </c>
      <c r="AA2816" s="4">
        <f>=ROUNDDOWN(5,0)</f>
      </c>
      <c r="AB2816" s="5">
        <v>23</v>
      </c>
      <c r="AC2816" s="2" t="s">
        <v>271</v>
      </c>
      <c r="AD2816" s="4">
        <v>177</v>
      </c>
      <c r="AE2816" s="4">
        <v>482</v>
      </c>
      <c r="AF2816" s="6">
        <v>74</v>
      </c>
      <c r="AG2816" s="6">
        <v>60</v>
      </c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573</v>
      </c>
      <c r="BK2816" s="8">
        <v>106081.96</v>
      </c>
      <c r="BL2816" s="2" t="s">
        <v>9031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2528</v>
      </c>
      <c r="BV2816" s="2" t="s">
        <v>97</v>
      </c>
      <c r="BW2816" s="2" t="s">
        <v>100</v>
      </c>
      <c r="BX2816" s="2" t="s">
        <v>100</v>
      </c>
      <c r="BY2816" s="2" t="s">
        <v>113</v>
      </c>
      <c r="BZ2816" s="2" t="s">
        <v>100</v>
      </c>
    </row>
    <row r="2817">
      <c r="A2817" s="2" t="s">
        <v>9091</v>
      </c>
      <c r="B2817" s="2" t="s">
        <v>7711</v>
      </c>
      <c r="C2817" s="2" t="s">
        <v>4347</v>
      </c>
      <c r="D2817" s="2" t="s">
        <v>7762</v>
      </c>
      <c r="E2817" s="2" t="s">
        <v>7763</v>
      </c>
      <c r="F2817" s="2" t="s">
        <v>9087</v>
      </c>
      <c r="G2817" s="2" t="s">
        <v>9087</v>
      </c>
      <c r="H2817" s="2" t="s">
        <v>9087</v>
      </c>
      <c r="I2817" s="2" t="s">
        <v>9088</v>
      </c>
      <c r="J2817" s="2" t="s">
        <v>3877</v>
      </c>
      <c r="K2817" s="2" t="s">
        <v>9092</v>
      </c>
      <c r="L2817" s="3">
        <v>184.5</v>
      </c>
      <c r="M2817" s="3">
        <v>193.72</v>
      </c>
      <c r="N2817" s="3">
        <v>389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100</v>
      </c>
      <c r="T2817" s="2" t="s">
        <v>100</v>
      </c>
      <c r="U2817" s="2" t="s">
        <v>1847</v>
      </c>
      <c r="V2817" s="2" t="s">
        <v>3188</v>
      </c>
      <c r="W2817" s="2" t="s">
        <v>415</v>
      </c>
      <c r="X2817" s="2" t="s">
        <v>4366</v>
      </c>
      <c r="Y2817" s="2" t="s">
        <v>9093</v>
      </c>
      <c r="Z2817" s="4">
        <v>177</v>
      </c>
      <c r="AA2817" s="4">
        <f>=ROUNDDOWN(11.8,0)</f>
      </c>
      <c r="AB2817" s="5">
        <v>15</v>
      </c>
      <c r="AC2817" s="2" t="s">
        <v>1259</v>
      </c>
      <c r="AD2817" s="4">
        <v>150</v>
      </c>
      <c r="AE2817" s="4">
        <v>182</v>
      </c>
      <c r="AF2817" s="6">
        <v>74</v>
      </c>
      <c r="AG2817" s="6"/>
      <c r="AH2817" s="7">
        <v>0.8342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307</v>
      </c>
      <c r="BK2817" s="8">
        <v>56091.23</v>
      </c>
      <c r="BL2817" s="2" t="s">
        <v>9094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2528</v>
      </c>
      <c r="BV2817" s="2" t="s">
        <v>97</v>
      </c>
      <c r="BW2817" s="2" t="s">
        <v>100</v>
      </c>
      <c r="BX2817" s="2" t="s">
        <v>100</v>
      </c>
      <c r="BY2817" s="2" t="s">
        <v>113</v>
      </c>
      <c r="BZ2817" s="2" t="s">
        <v>100</v>
      </c>
    </row>
    <row r="2818">
      <c r="A2818" s="2" t="s">
        <v>9095</v>
      </c>
      <c r="B2818" s="2" t="s">
        <v>7711</v>
      </c>
      <c r="C2818" s="2" t="s">
        <v>4347</v>
      </c>
      <c r="D2818" s="2" t="s">
        <v>7762</v>
      </c>
      <c r="E2818" s="2" t="s">
        <v>7763</v>
      </c>
      <c r="F2818" s="2" t="s">
        <v>9096</v>
      </c>
      <c r="G2818" s="2" t="s">
        <v>9096</v>
      </c>
      <c r="H2818" s="2" t="s">
        <v>9096</v>
      </c>
      <c r="I2818" s="2" t="s">
        <v>8635</v>
      </c>
      <c r="J2818" s="2" t="s">
        <v>3877</v>
      </c>
      <c r="K2818" s="2" t="s">
        <v>3269</v>
      </c>
      <c r="L2818" s="3">
        <v>265</v>
      </c>
      <c r="M2818" s="3">
        <v>278.25</v>
      </c>
      <c r="N2818" s="3">
        <v>549</v>
      </c>
      <c r="O2818" s="2" t="s">
        <v>97</v>
      </c>
      <c r="P2818" s="2" t="s">
        <v>119</v>
      </c>
      <c r="Q2818" s="2" t="s">
        <v>99</v>
      </c>
      <c r="R2818" s="2" t="s">
        <v>100</v>
      </c>
      <c r="S2818" s="2" t="s">
        <v>100</v>
      </c>
      <c r="T2818" s="2" t="s">
        <v>100</v>
      </c>
      <c r="U2818" s="2" t="s">
        <v>1847</v>
      </c>
      <c r="V2818" s="2" t="s">
        <v>146</v>
      </c>
      <c r="W2818" s="2" t="s">
        <v>561</v>
      </c>
      <c r="X2818" s="2" t="s">
        <v>4351</v>
      </c>
      <c r="Y2818" s="2" t="s">
        <v>9097</v>
      </c>
      <c r="Z2818" s="4">
        <v>300</v>
      </c>
      <c r="AA2818" s="4">
        <f>=ROUNDDOWN(42.8571428571429,0)</f>
      </c>
      <c r="AB2818" s="5">
        <v>7</v>
      </c>
      <c r="AC2818" s="2" t="s">
        <v>100</v>
      </c>
      <c r="AD2818" s="4"/>
      <c r="AE2818" s="4"/>
      <c r="AF2818" s="6">
        <v>74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/>
      <c r="BD2818" s="8"/>
      <c r="BE2818" s="4"/>
      <c r="BF2818" s="8"/>
      <c r="BG2818" s="7"/>
      <c r="BH2818" s="7"/>
      <c r="BI2818" s="7"/>
      <c r="BJ2818" s="4">
        <v>185</v>
      </c>
      <c r="BK2818" s="8">
        <v>49524.92</v>
      </c>
      <c r="BL2818" s="2" t="s">
        <v>9094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2528</v>
      </c>
      <c r="BV2818" s="2" t="s">
        <v>97</v>
      </c>
      <c r="BW2818" s="2" t="s">
        <v>100</v>
      </c>
      <c r="BX2818" s="2" t="s">
        <v>100</v>
      </c>
      <c r="BY2818" s="2" t="s">
        <v>113</v>
      </c>
      <c r="BZ2818" s="2" t="s">
        <v>100</v>
      </c>
    </row>
    <row r="2819">
      <c r="A2819" s="2" t="s">
        <v>9098</v>
      </c>
      <c r="B2819" s="2" t="s">
        <v>7711</v>
      </c>
      <c r="C2819" s="2" t="s">
        <v>4347</v>
      </c>
      <c r="D2819" s="2" t="s">
        <v>7762</v>
      </c>
      <c r="E2819" s="2" t="s">
        <v>7763</v>
      </c>
      <c r="F2819" s="2" t="s">
        <v>4587</v>
      </c>
      <c r="G2819" s="2" t="s">
        <v>4587</v>
      </c>
      <c r="H2819" s="2" t="s">
        <v>4587</v>
      </c>
      <c r="I2819" s="2" t="s">
        <v>9099</v>
      </c>
      <c r="J2819" s="2" t="s">
        <v>8956</v>
      </c>
      <c r="K2819" s="2" t="s">
        <v>1614</v>
      </c>
      <c r="L2819" s="3">
        <v>285</v>
      </c>
      <c r="M2819" s="3">
        <v>299.25</v>
      </c>
      <c r="N2819" s="3">
        <v>599</v>
      </c>
      <c r="O2819" s="2" t="s">
        <v>97</v>
      </c>
      <c r="P2819" s="2" t="s">
        <v>372</v>
      </c>
      <c r="Q2819" s="2" t="s">
        <v>99</v>
      </c>
      <c r="R2819" s="2" t="s">
        <v>100</v>
      </c>
      <c r="S2819" s="2" t="s">
        <v>100</v>
      </c>
      <c r="T2819" s="2" t="s">
        <v>100</v>
      </c>
      <c r="U2819" s="2" t="s">
        <v>514</v>
      </c>
      <c r="V2819" s="2" t="s">
        <v>146</v>
      </c>
      <c r="W2819" s="2" t="s">
        <v>415</v>
      </c>
      <c r="X2819" s="2" t="s">
        <v>4378</v>
      </c>
      <c r="Y2819" s="2" t="s">
        <v>9100</v>
      </c>
      <c r="Z2819" s="4">
        <v>102</v>
      </c>
      <c r="AA2819" s="4">
        <f>=ROUNDDOWN(4.25,0)</f>
      </c>
      <c r="AB2819" s="5">
        <v>24</v>
      </c>
      <c r="AC2819" s="2" t="s">
        <v>608</v>
      </c>
      <c r="AD2819" s="4">
        <v>49</v>
      </c>
      <c r="AE2819" s="4">
        <v>384</v>
      </c>
      <c r="AF2819" s="6">
        <v>74</v>
      </c>
      <c r="AG2819" s="6">
        <v>60</v>
      </c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>
        <v>546</v>
      </c>
      <c r="BK2819" s="8">
        <v>128366.16</v>
      </c>
      <c r="BL2819" s="2" t="s">
        <v>9031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2528</v>
      </c>
      <c r="BV2819" s="2" t="s">
        <v>97</v>
      </c>
      <c r="BW2819" s="2" t="s">
        <v>100</v>
      </c>
      <c r="BX2819" s="2" t="s">
        <v>100</v>
      </c>
      <c r="BY2819" s="2" t="s">
        <v>113</v>
      </c>
      <c r="BZ2819" s="2" t="s">
        <v>100</v>
      </c>
    </row>
    <row r="2820">
      <c r="A2820" s="2" t="s">
        <v>9101</v>
      </c>
      <c r="B2820" s="2" t="s">
        <v>7711</v>
      </c>
      <c r="C2820" s="2" t="s">
        <v>4347</v>
      </c>
      <c r="D2820" s="2" t="s">
        <v>7762</v>
      </c>
      <c r="E2820" s="2" t="s">
        <v>7763</v>
      </c>
      <c r="F2820" s="2" t="s">
        <v>4587</v>
      </c>
      <c r="G2820" s="2" t="s">
        <v>4587</v>
      </c>
      <c r="H2820" s="2" t="s">
        <v>4587</v>
      </c>
      <c r="I2820" s="2" t="s">
        <v>9099</v>
      </c>
      <c r="J2820" s="2" t="s">
        <v>8956</v>
      </c>
      <c r="K2820" s="2" t="s">
        <v>6337</v>
      </c>
      <c r="L2820" s="3">
        <v>285</v>
      </c>
      <c r="M2820" s="3">
        <v>299.25</v>
      </c>
      <c r="N2820" s="3">
        <v>599</v>
      </c>
      <c r="O2820" s="2" t="s">
        <v>97</v>
      </c>
      <c r="P2820" s="2" t="s">
        <v>372</v>
      </c>
      <c r="Q2820" s="2" t="s">
        <v>99</v>
      </c>
      <c r="R2820" s="2" t="s">
        <v>100</v>
      </c>
      <c r="S2820" s="2" t="s">
        <v>100</v>
      </c>
      <c r="T2820" s="2" t="s">
        <v>100</v>
      </c>
      <c r="U2820" s="2" t="s">
        <v>514</v>
      </c>
      <c r="V2820" s="2" t="s">
        <v>146</v>
      </c>
      <c r="W2820" s="2" t="s">
        <v>415</v>
      </c>
      <c r="X2820" s="2" t="s">
        <v>4378</v>
      </c>
      <c r="Y2820" s="2" t="s">
        <v>1543</v>
      </c>
      <c r="Z2820" s="4">
        <v>201</v>
      </c>
      <c r="AA2820" s="4">
        <f>=ROUNDDOWN(11.2290502793296,0)</f>
      </c>
      <c r="AB2820" s="5">
        <v>17.9</v>
      </c>
      <c r="AC2820" s="2" t="s">
        <v>608</v>
      </c>
      <c r="AD2820" s="4">
        <v>160</v>
      </c>
      <c r="AE2820" s="4">
        <v>395</v>
      </c>
      <c r="AF2820" s="6">
        <v>74</v>
      </c>
      <c r="AG2820" s="6">
        <v>60</v>
      </c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485</v>
      </c>
      <c r="BK2820" s="8">
        <v>121505.72</v>
      </c>
      <c r="BL2820" s="2" t="s">
        <v>9094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2528</v>
      </c>
      <c r="BV2820" s="2" t="s">
        <v>97</v>
      </c>
      <c r="BW2820" s="2" t="s">
        <v>100</v>
      </c>
      <c r="BX2820" s="2" t="s">
        <v>100</v>
      </c>
      <c r="BY2820" s="2" t="s">
        <v>113</v>
      </c>
      <c r="BZ2820" s="2" t="s">
        <v>100</v>
      </c>
    </row>
    <row r="2821">
      <c r="A2821" s="2" t="s">
        <v>9102</v>
      </c>
      <c r="B2821" s="2" t="s">
        <v>7711</v>
      </c>
      <c r="C2821" s="2" t="s">
        <v>4347</v>
      </c>
      <c r="D2821" s="2" t="s">
        <v>8024</v>
      </c>
      <c r="E2821" s="2" t="s">
        <v>8025</v>
      </c>
      <c r="F2821" s="2" t="s">
        <v>1158</v>
      </c>
      <c r="G2821" s="2" t="s">
        <v>1158</v>
      </c>
      <c r="H2821" s="2" t="s">
        <v>1158</v>
      </c>
      <c r="I2821" s="2" t="s">
        <v>9103</v>
      </c>
      <c r="J2821" s="2" t="s">
        <v>3877</v>
      </c>
      <c r="K2821" s="2" t="s">
        <v>858</v>
      </c>
      <c r="L2821" s="3">
        <v>240</v>
      </c>
      <c r="M2821" s="3">
        <v>252</v>
      </c>
      <c r="N2821" s="3">
        <v>499</v>
      </c>
      <c r="O2821" s="2" t="s">
        <v>97</v>
      </c>
      <c r="P2821" s="2" t="s">
        <v>225</v>
      </c>
      <c r="Q2821" s="2" t="s">
        <v>99</v>
      </c>
      <c r="R2821" s="2" t="s">
        <v>100</v>
      </c>
      <c r="S2821" s="2" t="s">
        <v>100</v>
      </c>
      <c r="T2821" s="2" t="s">
        <v>100</v>
      </c>
      <c r="U2821" s="2" t="s">
        <v>1847</v>
      </c>
      <c r="V2821" s="2" t="s">
        <v>3188</v>
      </c>
      <c r="W2821" s="2" t="s">
        <v>415</v>
      </c>
      <c r="X2821" s="2" t="s">
        <v>4378</v>
      </c>
      <c r="Y2821" s="2" t="s">
        <v>9104</v>
      </c>
      <c r="Z2821" s="4">
        <v>62</v>
      </c>
      <c r="AA2821" s="4">
        <f>=ROUNDDOWN(31,0)</f>
      </c>
      <c r="AB2821" s="5">
        <v>2</v>
      </c>
      <c r="AC2821" s="2" t="s">
        <v>100</v>
      </c>
      <c r="AD2821" s="4"/>
      <c r="AE2821" s="4"/>
      <c r="AF2821" s="6">
        <v>76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/>
      <c r="BD2821" s="8"/>
      <c r="BE2821" s="4"/>
      <c r="BF2821" s="8"/>
      <c r="BG2821" s="7"/>
      <c r="BH2821" s="7"/>
      <c r="BI2821" s="7"/>
      <c r="BJ2821" s="4">
        <v>34</v>
      </c>
      <c r="BK2821" s="8">
        <v>8739.23</v>
      </c>
      <c r="BL2821" s="2" t="s">
        <v>9105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2528</v>
      </c>
      <c r="BV2821" s="2" t="s">
        <v>97</v>
      </c>
      <c r="BW2821" s="2" t="s">
        <v>100</v>
      </c>
      <c r="BX2821" s="2" t="s">
        <v>100</v>
      </c>
      <c r="BY2821" s="2" t="s">
        <v>113</v>
      </c>
      <c r="BZ2821" s="2" t="s">
        <v>100</v>
      </c>
    </row>
    <row r="2822">
      <c r="A2822" s="2" t="s">
        <v>9106</v>
      </c>
      <c r="B2822" s="2" t="s">
        <v>7711</v>
      </c>
      <c r="C2822" s="2" t="s">
        <v>4347</v>
      </c>
      <c r="D2822" s="2" t="s">
        <v>8043</v>
      </c>
      <c r="E2822" s="2" t="s">
        <v>8044</v>
      </c>
      <c r="F2822" s="2" t="s">
        <v>9051</v>
      </c>
      <c r="G2822" s="2" t="s">
        <v>9051</v>
      </c>
      <c r="H2822" s="2" t="s">
        <v>9051</v>
      </c>
      <c r="I2822" s="2" t="s">
        <v>8045</v>
      </c>
      <c r="J2822" s="2" t="s">
        <v>3877</v>
      </c>
      <c r="K2822" s="2" t="s">
        <v>9052</v>
      </c>
      <c r="L2822" s="3">
        <v>278</v>
      </c>
      <c r="M2822" s="3">
        <v>291.9</v>
      </c>
      <c r="N2822" s="3">
        <v>599</v>
      </c>
      <c r="O2822" s="2" t="s">
        <v>97</v>
      </c>
      <c r="P2822" s="2" t="s">
        <v>225</v>
      </c>
      <c r="Q2822" s="2" t="s">
        <v>99</v>
      </c>
      <c r="R2822" s="2" t="s">
        <v>100</v>
      </c>
      <c r="S2822" s="2" t="s">
        <v>100</v>
      </c>
      <c r="T2822" s="2" t="s">
        <v>100</v>
      </c>
      <c r="U2822" s="2" t="s">
        <v>1847</v>
      </c>
      <c r="V2822" s="2" t="s">
        <v>3188</v>
      </c>
      <c r="W2822" s="2" t="s">
        <v>309</v>
      </c>
      <c r="X2822" s="2" t="s">
        <v>4366</v>
      </c>
      <c r="Y2822" s="2" t="s">
        <v>3509</v>
      </c>
      <c r="Z2822" s="4">
        <v>72</v>
      </c>
      <c r="AA2822" s="4">
        <f>=ROUNDDOWN(24.8275862068965,0)</f>
      </c>
      <c r="AB2822" s="5">
        <v>2.9</v>
      </c>
      <c r="AC2822" s="2" t="s">
        <v>100</v>
      </c>
      <c r="AD2822" s="4"/>
      <c r="AE2822" s="4"/>
      <c r="AF2822" s="6">
        <v>74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/>
      <c r="BD2822" s="8"/>
      <c r="BE2822" s="4"/>
      <c r="BF2822" s="8"/>
      <c r="BG2822" s="7"/>
      <c r="BH2822" s="7"/>
      <c r="BI2822" s="7"/>
      <c r="BJ2822" s="4">
        <v>25</v>
      </c>
      <c r="BK2822" s="8">
        <v>7609.81</v>
      </c>
      <c r="BL2822" s="2" t="s">
        <v>9107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2528</v>
      </c>
      <c r="BV2822" s="2" t="s">
        <v>97</v>
      </c>
      <c r="BW2822" s="2" t="s">
        <v>100</v>
      </c>
      <c r="BX2822" s="2" t="s">
        <v>100</v>
      </c>
      <c r="BY2822" s="2" t="s">
        <v>113</v>
      </c>
      <c r="BZ2822" s="2" t="s">
        <v>100</v>
      </c>
    </row>
    <row r="2823">
      <c r="A2823" s="2" t="s">
        <v>9108</v>
      </c>
      <c r="B2823" s="2" t="s">
        <v>7711</v>
      </c>
      <c r="C2823" s="2" t="s">
        <v>4347</v>
      </c>
      <c r="D2823" s="2" t="s">
        <v>8050</v>
      </c>
      <c r="E2823" s="2" t="s">
        <v>8051</v>
      </c>
      <c r="F2823" s="2" t="s">
        <v>167</v>
      </c>
      <c r="G2823" s="2" t="s">
        <v>167</v>
      </c>
      <c r="H2823" s="2" t="s">
        <v>167</v>
      </c>
      <c r="I2823" s="2" t="s">
        <v>8802</v>
      </c>
      <c r="J2823" s="2" t="s">
        <v>3877</v>
      </c>
      <c r="K2823" s="2" t="s">
        <v>1614</v>
      </c>
      <c r="L2823" s="3">
        <v>292.05</v>
      </c>
      <c r="M2823" s="3">
        <v>306.65</v>
      </c>
      <c r="N2823" s="3">
        <v>489.99</v>
      </c>
      <c r="O2823" s="2" t="s">
        <v>97</v>
      </c>
      <c r="P2823" s="2" t="s">
        <v>119</v>
      </c>
      <c r="Q2823" s="2" t="s">
        <v>99</v>
      </c>
      <c r="R2823" s="2" t="s">
        <v>100</v>
      </c>
      <c r="S2823" s="2" t="s">
        <v>100</v>
      </c>
      <c r="T2823" s="2" t="s">
        <v>100</v>
      </c>
      <c r="U2823" s="2" t="s">
        <v>1847</v>
      </c>
      <c r="V2823" s="2" t="s">
        <v>146</v>
      </c>
      <c r="W2823" s="2" t="s">
        <v>104</v>
      </c>
      <c r="X2823" s="2" t="s">
        <v>4351</v>
      </c>
      <c r="Y2823" s="2" t="s">
        <v>9109</v>
      </c>
      <c r="Z2823" s="4">
        <v>132</v>
      </c>
      <c r="AA2823" s="4">
        <f>=ROUNDDOWN(26.4,0)</f>
      </c>
      <c r="AB2823" s="5">
        <v>5</v>
      </c>
      <c r="AC2823" s="2" t="s">
        <v>100</v>
      </c>
      <c r="AD2823" s="4"/>
      <c r="AE2823" s="4"/>
      <c r="AF2823" s="6">
        <v>74</v>
      </c>
      <c r="AG2823" s="6">
        <v>60</v>
      </c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/>
      <c r="BD2823" s="8"/>
      <c r="BE2823" s="4"/>
      <c r="BF2823" s="8"/>
      <c r="BG2823" s="7"/>
      <c r="BH2823" s="7"/>
      <c r="BI2823" s="7"/>
      <c r="BJ2823" s="4">
        <v>122</v>
      </c>
      <c r="BK2823" s="8">
        <v>35315.94</v>
      </c>
      <c r="BL2823" s="2" t="s">
        <v>9110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2528</v>
      </c>
      <c r="BV2823" s="2" t="s">
        <v>97</v>
      </c>
      <c r="BW2823" s="2" t="s">
        <v>100</v>
      </c>
      <c r="BX2823" s="2" t="s">
        <v>100</v>
      </c>
      <c r="BY2823" s="2" t="s">
        <v>113</v>
      </c>
      <c r="BZ2823" s="2" t="s">
        <v>100</v>
      </c>
    </row>
    <row r="2824">
      <c r="A2824" s="2" t="s">
        <v>9111</v>
      </c>
      <c r="B2824" s="2" t="s">
        <v>7711</v>
      </c>
      <c r="C2824" s="2" t="s">
        <v>4347</v>
      </c>
      <c r="D2824" s="2" t="s">
        <v>8050</v>
      </c>
      <c r="E2824" s="2" t="s">
        <v>8051</v>
      </c>
      <c r="F2824" s="2" t="s">
        <v>398</v>
      </c>
      <c r="G2824" s="2" t="s">
        <v>398</v>
      </c>
      <c r="H2824" s="2" t="s">
        <v>398</v>
      </c>
      <c r="I2824" s="2" t="s">
        <v>9112</v>
      </c>
      <c r="J2824" s="2" t="s">
        <v>3877</v>
      </c>
      <c r="K2824" s="2" t="s">
        <v>858</v>
      </c>
      <c r="L2824" s="3">
        <v>255</v>
      </c>
      <c r="M2824" s="3">
        <v>267.75</v>
      </c>
      <c r="N2824" s="3">
        <v>549</v>
      </c>
      <c r="O2824" s="2" t="s">
        <v>97</v>
      </c>
      <c r="P2824" s="2" t="s">
        <v>119</v>
      </c>
      <c r="Q2824" s="2" t="s">
        <v>99</v>
      </c>
      <c r="R2824" s="2" t="s">
        <v>100</v>
      </c>
      <c r="S2824" s="2" t="s">
        <v>100</v>
      </c>
      <c r="T2824" s="2" t="s">
        <v>100</v>
      </c>
      <c r="U2824" s="2" t="s">
        <v>1847</v>
      </c>
      <c r="V2824" s="2" t="s">
        <v>3188</v>
      </c>
      <c r="W2824" s="2" t="s">
        <v>415</v>
      </c>
      <c r="X2824" s="2" t="s">
        <v>4378</v>
      </c>
      <c r="Y2824" s="2" t="s">
        <v>4929</v>
      </c>
      <c r="Z2824" s="4">
        <v>27</v>
      </c>
      <c r="AA2824" s="4">
        <f>=ROUNDDOWN(6.75,0)</f>
      </c>
      <c r="AB2824" s="5">
        <v>4</v>
      </c>
      <c r="AC2824" s="2" t="s">
        <v>1191</v>
      </c>
      <c r="AD2824" s="4">
        <v>100</v>
      </c>
      <c r="AE2824" s="4">
        <v>200</v>
      </c>
      <c r="AF2824" s="6">
        <v>69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/>
      <c r="BD2824" s="8"/>
      <c r="BE2824" s="4"/>
      <c r="BF2824" s="8"/>
      <c r="BG2824" s="7"/>
      <c r="BH2824" s="7"/>
      <c r="BI2824" s="7"/>
      <c r="BJ2824" s="4">
        <v>110</v>
      </c>
      <c r="BK2824" s="8">
        <v>29063.38</v>
      </c>
      <c r="BL2824" s="2" t="s">
        <v>3254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2528</v>
      </c>
      <c r="BV2824" s="2" t="s">
        <v>97</v>
      </c>
      <c r="BW2824" s="2" t="s">
        <v>100</v>
      </c>
      <c r="BX2824" s="2" t="s">
        <v>100</v>
      </c>
      <c r="BY2824" s="2" t="s">
        <v>113</v>
      </c>
      <c r="BZ2824" s="2" t="s">
        <v>100</v>
      </c>
    </row>
    <row r="2825">
      <c r="A2825" s="2" t="s">
        <v>9113</v>
      </c>
      <c r="B2825" s="2" t="s">
        <v>7711</v>
      </c>
      <c r="C2825" s="2" t="s">
        <v>4347</v>
      </c>
      <c r="D2825" s="2" t="s">
        <v>8050</v>
      </c>
      <c r="E2825" s="2" t="s">
        <v>8051</v>
      </c>
      <c r="F2825" s="2" t="s">
        <v>9114</v>
      </c>
      <c r="G2825" s="2" t="s">
        <v>9114</v>
      </c>
      <c r="H2825" s="2" t="s">
        <v>9114</v>
      </c>
      <c r="I2825" s="2" t="s">
        <v>9115</v>
      </c>
      <c r="J2825" s="2" t="s">
        <v>3877</v>
      </c>
      <c r="K2825" s="2" t="s">
        <v>9116</v>
      </c>
      <c r="L2825" s="3">
        <v>285</v>
      </c>
      <c r="M2825" s="3">
        <v>299.25</v>
      </c>
      <c r="N2825" s="3">
        <v>599</v>
      </c>
      <c r="O2825" s="2" t="s">
        <v>97</v>
      </c>
      <c r="P2825" s="2" t="s">
        <v>372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1847</v>
      </c>
      <c r="V2825" s="2" t="s">
        <v>146</v>
      </c>
      <c r="W2825" s="2" t="s">
        <v>415</v>
      </c>
      <c r="X2825" s="2" t="s">
        <v>4378</v>
      </c>
      <c r="Y2825" s="2" t="s">
        <v>9117</v>
      </c>
      <c r="Z2825" s="4">
        <v>895</v>
      </c>
      <c r="AA2825" s="4">
        <f>=ROUNDDOWN(42.6190476190476,0)</f>
      </c>
      <c r="AB2825" s="5">
        <v>21</v>
      </c>
      <c r="AC2825" s="2" t="s">
        <v>100</v>
      </c>
      <c r="AD2825" s="4"/>
      <c r="AE2825" s="4"/>
      <c r="AF2825" s="6">
        <v>74</v>
      </c>
      <c r="AG2825" s="6">
        <v>60</v>
      </c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613</v>
      </c>
      <c r="BK2825" s="8">
        <v>162345.9</v>
      </c>
      <c r="BL2825" s="2" t="s">
        <v>9105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2528</v>
      </c>
      <c r="BV2825" s="2" t="s">
        <v>97</v>
      </c>
      <c r="BW2825" s="2" t="s">
        <v>100</v>
      </c>
      <c r="BX2825" s="2" t="s">
        <v>100</v>
      </c>
      <c r="BY2825" s="2" t="s">
        <v>113</v>
      </c>
      <c r="BZ2825" s="2" t="s">
        <v>100</v>
      </c>
    </row>
    <row r="2826">
      <c r="A2826" s="2" t="s">
        <v>9118</v>
      </c>
      <c r="B2826" s="2" t="s">
        <v>7711</v>
      </c>
      <c r="C2826" s="2" t="s">
        <v>4347</v>
      </c>
      <c r="D2826" s="2" t="s">
        <v>8050</v>
      </c>
      <c r="E2826" s="2" t="s">
        <v>8051</v>
      </c>
      <c r="F2826" s="2" t="s">
        <v>9114</v>
      </c>
      <c r="G2826" s="2" t="s">
        <v>9114</v>
      </c>
      <c r="H2826" s="2" t="s">
        <v>9114</v>
      </c>
      <c r="I2826" s="2" t="s">
        <v>9115</v>
      </c>
      <c r="J2826" s="2" t="s">
        <v>3877</v>
      </c>
      <c r="K2826" s="2" t="s">
        <v>198</v>
      </c>
      <c r="L2826" s="3">
        <v>285</v>
      </c>
      <c r="M2826" s="3">
        <v>299.25</v>
      </c>
      <c r="N2826" s="3">
        <v>599</v>
      </c>
      <c r="O2826" s="2" t="s">
        <v>97</v>
      </c>
      <c r="P2826" s="2" t="s">
        <v>119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1847</v>
      </c>
      <c r="V2826" s="2" t="s">
        <v>146</v>
      </c>
      <c r="W2826" s="2" t="s">
        <v>415</v>
      </c>
      <c r="X2826" s="2" t="s">
        <v>4378</v>
      </c>
      <c r="Y2826" s="2" t="s">
        <v>2106</v>
      </c>
      <c r="Z2826" s="4">
        <v>180</v>
      </c>
      <c r="AA2826" s="4">
        <f>=ROUNDDOWN(36,0)</f>
      </c>
      <c r="AB2826" s="5">
        <v>5</v>
      </c>
      <c r="AC2826" s="2" t="s">
        <v>6196</v>
      </c>
      <c r="AD2826" s="4">
        <v>100</v>
      </c>
      <c r="AE2826" s="4">
        <v>100</v>
      </c>
      <c r="AF2826" s="6">
        <v>74</v>
      </c>
      <c r="AG2826" s="6"/>
      <c r="AH2826" s="7">
        <v>0.8824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91</v>
      </c>
      <c r="BK2826" s="8">
        <v>25277.2</v>
      </c>
      <c r="BL2826" s="2" t="s">
        <v>9119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2528</v>
      </c>
      <c r="BV2826" s="2" t="s">
        <v>97</v>
      </c>
      <c r="BW2826" s="2" t="s">
        <v>100</v>
      </c>
      <c r="BX2826" s="2" t="s">
        <v>100</v>
      </c>
      <c r="BY2826" s="2" t="s">
        <v>113</v>
      </c>
      <c r="BZ2826" s="2" t="s">
        <v>100</v>
      </c>
    </row>
    <row r="2827">
      <c r="A2827" s="2" t="s">
        <v>9120</v>
      </c>
      <c r="B2827" s="2" t="s">
        <v>7711</v>
      </c>
      <c r="C2827" s="2" t="s">
        <v>4347</v>
      </c>
      <c r="D2827" s="2" t="s">
        <v>8050</v>
      </c>
      <c r="E2827" s="2" t="s">
        <v>8051</v>
      </c>
      <c r="F2827" s="2" t="s">
        <v>9114</v>
      </c>
      <c r="G2827" s="2" t="s">
        <v>9114</v>
      </c>
      <c r="H2827" s="2" t="s">
        <v>9114</v>
      </c>
      <c r="I2827" s="2" t="s">
        <v>9115</v>
      </c>
      <c r="J2827" s="2" t="s">
        <v>3877</v>
      </c>
      <c r="K2827" s="2" t="s">
        <v>6337</v>
      </c>
      <c r="L2827" s="3">
        <v>285</v>
      </c>
      <c r="M2827" s="3">
        <v>299.25</v>
      </c>
      <c r="N2827" s="3">
        <v>599</v>
      </c>
      <c r="O2827" s="2" t="s">
        <v>97</v>
      </c>
      <c r="P2827" s="2" t="s">
        <v>372</v>
      </c>
      <c r="Q2827" s="2" t="s">
        <v>99</v>
      </c>
      <c r="R2827" s="2" t="s">
        <v>100</v>
      </c>
      <c r="S2827" s="2" t="s">
        <v>100</v>
      </c>
      <c r="T2827" s="2" t="s">
        <v>100</v>
      </c>
      <c r="U2827" s="2" t="s">
        <v>1847</v>
      </c>
      <c r="V2827" s="2" t="s">
        <v>146</v>
      </c>
      <c r="W2827" s="2" t="s">
        <v>415</v>
      </c>
      <c r="X2827" s="2" t="s">
        <v>4378</v>
      </c>
      <c r="Y2827" s="2" t="s">
        <v>9121</v>
      </c>
      <c r="Z2827" s="4">
        <v>337</v>
      </c>
      <c r="AA2827" s="4">
        <f>=ROUNDDOWN(6.48076923076923,0)</f>
      </c>
      <c r="AB2827" s="5">
        <v>52</v>
      </c>
      <c r="AC2827" s="2" t="s">
        <v>931</v>
      </c>
      <c r="AD2827" s="4">
        <v>255</v>
      </c>
      <c r="AE2827" s="4">
        <v>1368</v>
      </c>
      <c r="AF2827" s="6">
        <v>74</v>
      </c>
      <c r="AG2827" s="6">
        <v>60</v>
      </c>
      <c r="AH2827" s="7">
        <v>1</v>
      </c>
      <c r="AI2827" s="4"/>
      <c r="AJ2827" s="4">
        <f>=ROUNDDOWN({0},0)</f>
      </c>
      <c r="AK2827" s="5">
        <v>50</v>
      </c>
      <c r="AL2827" s="2" t="s">
        <v>931</v>
      </c>
      <c r="AM2827" s="4">
        <v>288</v>
      </c>
      <c r="AN2827" s="4">
        <v>626</v>
      </c>
      <c r="AO2827" s="7">
        <v>0.4278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1967</v>
      </c>
      <c r="BK2827" s="8">
        <v>539015.52</v>
      </c>
      <c r="BL2827" s="2" t="s">
        <v>9122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2528</v>
      </c>
      <c r="BV2827" s="2" t="s">
        <v>97</v>
      </c>
      <c r="BW2827" s="2" t="s">
        <v>100</v>
      </c>
      <c r="BX2827" s="2" t="s">
        <v>100</v>
      </c>
      <c r="BY2827" s="2" t="s">
        <v>113</v>
      </c>
      <c r="BZ2827" s="2" t="s">
        <v>100</v>
      </c>
    </row>
    <row r="2828">
      <c r="A2828" s="2" t="s">
        <v>9123</v>
      </c>
      <c r="B2828" s="2" t="s">
        <v>7711</v>
      </c>
      <c r="C2828" s="2" t="s">
        <v>4347</v>
      </c>
      <c r="D2828" s="2" t="s">
        <v>8050</v>
      </c>
      <c r="E2828" s="2" t="s">
        <v>8051</v>
      </c>
      <c r="F2828" s="2" t="s">
        <v>9114</v>
      </c>
      <c r="G2828" s="2" t="s">
        <v>9114</v>
      </c>
      <c r="H2828" s="2" t="s">
        <v>9114</v>
      </c>
      <c r="I2828" s="2" t="s">
        <v>9115</v>
      </c>
      <c r="J2828" s="2" t="s">
        <v>3877</v>
      </c>
      <c r="K2828" s="2" t="s">
        <v>9124</v>
      </c>
      <c r="L2828" s="3">
        <v>285</v>
      </c>
      <c r="M2828" s="3">
        <v>299.25</v>
      </c>
      <c r="N2828" s="3">
        <v>599</v>
      </c>
      <c r="O2828" s="2" t="s">
        <v>97</v>
      </c>
      <c r="P2828" s="2" t="s">
        <v>119</v>
      </c>
      <c r="Q2828" s="2" t="s">
        <v>99</v>
      </c>
      <c r="R2828" s="2" t="s">
        <v>100</v>
      </c>
      <c r="S2828" s="2" t="s">
        <v>100</v>
      </c>
      <c r="T2828" s="2" t="s">
        <v>100</v>
      </c>
      <c r="U2828" s="2" t="s">
        <v>1847</v>
      </c>
      <c r="V2828" s="2" t="s">
        <v>146</v>
      </c>
      <c r="W2828" s="2" t="s">
        <v>415</v>
      </c>
      <c r="X2828" s="2" t="s">
        <v>4378</v>
      </c>
      <c r="Y2828" s="2" t="s">
        <v>9125</v>
      </c>
      <c r="Z2828" s="4">
        <v>207</v>
      </c>
      <c r="AA2828" s="4">
        <f>=ROUNDDOWN(29.5714285714286,0)</f>
      </c>
      <c r="AB2828" s="5">
        <v>7</v>
      </c>
      <c r="AC2828" s="2" t="s">
        <v>1259</v>
      </c>
      <c r="AD2828" s="4">
        <v>100</v>
      </c>
      <c r="AE2828" s="4">
        <v>100</v>
      </c>
      <c r="AF2828" s="6">
        <v>74</v>
      </c>
      <c r="AG2828" s="6">
        <v>60</v>
      </c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192</v>
      </c>
      <c r="BK2828" s="8">
        <v>52022.4</v>
      </c>
      <c r="BL2828" s="2" t="s">
        <v>9094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2528</v>
      </c>
      <c r="BV2828" s="2" t="s">
        <v>97</v>
      </c>
      <c r="BW2828" s="2" t="s">
        <v>100</v>
      </c>
      <c r="BX2828" s="2" t="s">
        <v>100</v>
      </c>
      <c r="BY2828" s="2" t="s">
        <v>113</v>
      </c>
      <c r="BZ2828" s="2" t="s">
        <v>100</v>
      </c>
    </row>
    <row r="2829">
      <c r="A2829" s="2" t="s">
        <v>9126</v>
      </c>
      <c r="B2829" s="2" t="s">
        <v>7711</v>
      </c>
      <c r="C2829" s="2" t="s">
        <v>4347</v>
      </c>
      <c r="D2829" s="2" t="s">
        <v>8066</v>
      </c>
      <c r="E2829" s="2" t="s">
        <v>8067</v>
      </c>
      <c r="F2829" s="2" t="s">
        <v>9080</v>
      </c>
      <c r="G2829" s="2" t="s">
        <v>9080</v>
      </c>
      <c r="H2829" s="2" t="s">
        <v>9080</v>
      </c>
      <c r="I2829" s="2" t="s">
        <v>8067</v>
      </c>
      <c r="J2829" s="2" t="s">
        <v>3877</v>
      </c>
      <c r="K2829" s="2" t="s">
        <v>9081</v>
      </c>
      <c r="L2829" s="3">
        <v>127</v>
      </c>
      <c r="M2829" s="3">
        <v>133.35</v>
      </c>
      <c r="N2829" s="3">
        <v>269</v>
      </c>
      <c r="O2829" s="2" t="s">
        <v>97</v>
      </c>
      <c r="P2829" s="2" t="s">
        <v>119</v>
      </c>
      <c r="Q2829" s="2" t="s">
        <v>99</v>
      </c>
      <c r="R2829" s="2" t="s">
        <v>100</v>
      </c>
      <c r="S2829" s="2" t="s">
        <v>100</v>
      </c>
      <c r="T2829" s="2" t="s">
        <v>100</v>
      </c>
      <c r="U2829" s="2" t="s">
        <v>1847</v>
      </c>
      <c r="V2829" s="2" t="s">
        <v>3188</v>
      </c>
      <c r="W2829" s="2" t="s">
        <v>309</v>
      </c>
      <c r="X2829" s="2" t="s">
        <v>4366</v>
      </c>
      <c r="Y2829" s="2" t="s">
        <v>204</v>
      </c>
      <c r="Z2829" s="4">
        <v>115</v>
      </c>
      <c r="AA2829" s="4">
        <f>=ROUNDDOWN(28.75,0)</f>
      </c>
      <c r="AB2829" s="5">
        <v>4</v>
      </c>
      <c r="AC2829" s="2" t="s">
        <v>100</v>
      </c>
      <c r="AD2829" s="4"/>
      <c r="AE2829" s="4"/>
      <c r="AF2829" s="6">
        <v>76</v>
      </c>
      <c r="AG2829" s="6"/>
      <c r="AH2829" s="7">
        <v>0.8984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/>
      <c r="BD2829" s="8"/>
      <c r="BE2829" s="4"/>
      <c r="BF2829" s="8"/>
      <c r="BG2829" s="7"/>
      <c r="BH2829" s="7"/>
      <c r="BI2829" s="7"/>
      <c r="BJ2829" s="4">
        <v>99</v>
      </c>
      <c r="BK2829" s="8">
        <v>13082.76</v>
      </c>
      <c r="BL2829" s="2" t="s">
        <v>9049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2528</v>
      </c>
      <c r="BV2829" s="2" t="s">
        <v>97</v>
      </c>
      <c r="BW2829" s="2" t="s">
        <v>100</v>
      </c>
      <c r="BX2829" s="2" t="s">
        <v>100</v>
      </c>
      <c r="BY2829" s="2" t="s">
        <v>113</v>
      </c>
      <c r="BZ2829" s="2" t="s">
        <v>100</v>
      </c>
    </row>
    <row r="2830">
      <c r="A2830" s="2" t="s">
        <v>9127</v>
      </c>
      <c r="B2830" s="2" t="s">
        <v>7711</v>
      </c>
      <c r="C2830" s="2" t="s">
        <v>4347</v>
      </c>
      <c r="D2830" s="2" t="s">
        <v>8066</v>
      </c>
      <c r="E2830" s="2" t="s">
        <v>8067</v>
      </c>
      <c r="F2830" s="2" t="s">
        <v>9063</v>
      </c>
      <c r="G2830" s="2" t="s">
        <v>9063</v>
      </c>
      <c r="H2830" s="2" t="s">
        <v>9063</v>
      </c>
      <c r="I2830" s="2" t="s">
        <v>9128</v>
      </c>
      <c r="J2830" s="2" t="s">
        <v>3877</v>
      </c>
      <c r="K2830" s="2" t="s">
        <v>9065</v>
      </c>
      <c r="L2830" s="3">
        <v>125</v>
      </c>
      <c r="M2830" s="3">
        <v>131.25</v>
      </c>
      <c r="N2830" s="3">
        <v>259</v>
      </c>
      <c r="O2830" s="2" t="s">
        <v>97</v>
      </c>
      <c r="P2830" s="2" t="s">
        <v>119</v>
      </c>
      <c r="Q2830" s="2" t="s">
        <v>99</v>
      </c>
      <c r="R2830" s="2" t="s">
        <v>100</v>
      </c>
      <c r="S2830" s="2" t="s">
        <v>100</v>
      </c>
      <c r="T2830" s="2" t="s">
        <v>100</v>
      </c>
      <c r="U2830" s="2" t="s">
        <v>1847</v>
      </c>
      <c r="V2830" s="2" t="s">
        <v>3188</v>
      </c>
      <c r="W2830" s="2" t="s">
        <v>183</v>
      </c>
      <c r="X2830" s="2" t="s">
        <v>4366</v>
      </c>
      <c r="Y2830" s="2" t="s">
        <v>3509</v>
      </c>
      <c r="Z2830" s="4">
        <v>108</v>
      </c>
      <c r="AA2830" s="4">
        <f>=ROUNDDOWN(36,0)</f>
      </c>
      <c r="AB2830" s="5">
        <v>3</v>
      </c>
      <c r="AC2830" s="2" t="s">
        <v>356</v>
      </c>
      <c r="AD2830" s="4">
        <v>60</v>
      </c>
      <c r="AE2830" s="4">
        <v>60</v>
      </c>
      <c r="AF2830" s="6">
        <v>74</v>
      </c>
      <c r="AG2830" s="6">
        <v>60</v>
      </c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/>
      <c r="BD2830" s="8"/>
      <c r="BE2830" s="4"/>
      <c r="BF2830" s="8"/>
      <c r="BG2830" s="7"/>
      <c r="BH2830" s="7"/>
      <c r="BI2830" s="7"/>
      <c r="BJ2830" s="4">
        <v>86</v>
      </c>
      <c r="BK2830" s="8">
        <v>12145.58</v>
      </c>
      <c r="BL2830" s="2" t="s">
        <v>9129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2528</v>
      </c>
      <c r="BV2830" s="2" t="s">
        <v>97</v>
      </c>
      <c r="BW2830" s="2" t="s">
        <v>100</v>
      </c>
      <c r="BX2830" s="2" t="s">
        <v>100</v>
      </c>
      <c r="BY2830" s="2" t="s">
        <v>113</v>
      </c>
      <c r="BZ2830" s="2" t="s">
        <v>100</v>
      </c>
    </row>
    <row r="2831">
      <c r="A2831" s="2" t="s">
        <v>9130</v>
      </c>
      <c r="B2831" s="2" t="s">
        <v>7711</v>
      </c>
      <c r="C2831" s="2" t="s">
        <v>4347</v>
      </c>
      <c r="D2831" s="2" t="s">
        <v>8073</v>
      </c>
      <c r="E2831" s="2" t="s">
        <v>8074</v>
      </c>
      <c r="F2831" s="2" t="s">
        <v>9131</v>
      </c>
      <c r="G2831" s="2" t="s">
        <v>9131</v>
      </c>
      <c r="H2831" s="2" t="s">
        <v>9131</v>
      </c>
      <c r="I2831" s="2" t="s">
        <v>9132</v>
      </c>
      <c r="J2831" s="2" t="s">
        <v>3877</v>
      </c>
      <c r="K2831" s="2" t="s">
        <v>858</v>
      </c>
      <c r="L2831" s="3">
        <v>175</v>
      </c>
      <c r="M2831" s="3">
        <v>183.75</v>
      </c>
      <c r="N2831" s="3">
        <v>369</v>
      </c>
      <c r="O2831" s="2" t="s">
        <v>97</v>
      </c>
      <c r="P2831" s="2" t="s">
        <v>119</v>
      </c>
      <c r="Q2831" s="2" t="s">
        <v>99</v>
      </c>
      <c r="R2831" s="2" t="s">
        <v>100</v>
      </c>
      <c r="S2831" s="2" t="s">
        <v>100</v>
      </c>
      <c r="T2831" s="2" t="s">
        <v>100</v>
      </c>
      <c r="U2831" s="2" t="s">
        <v>1847</v>
      </c>
      <c r="V2831" s="2" t="s">
        <v>146</v>
      </c>
      <c r="W2831" s="2" t="s">
        <v>415</v>
      </c>
      <c r="X2831" s="2" t="s">
        <v>4378</v>
      </c>
      <c r="Y2831" s="2" t="s">
        <v>9133</v>
      </c>
      <c r="Z2831" s="4">
        <v>112</v>
      </c>
      <c r="AA2831" s="4">
        <f>=ROUNDDOWN(32,0)</f>
      </c>
      <c r="AB2831" s="5">
        <v>3.5</v>
      </c>
      <c r="AC2831" s="2" t="s">
        <v>1259</v>
      </c>
      <c r="AD2831" s="4">
        <v>100</v>
      </c>
      <c r="AE2831" s="4">
        <v>100</v>
      </c>
      <c r="AF2831" s="6">
        <v>74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/>
      <c r="BD2831" s="8"/>
      <c r="BE2831" s="4"/>
      <c r="BF2831" s="8"/>
      <c r="BG2831" s="7"/>
      <c r="BH2831" s="7"/>
      <c r="BI2831" s="7"/>
      <c r="BJ2831" s="4">
        <v>114</v>
      </c>
      <c r="BK2831" s="8">
        <v>20727.14</v>
      </c>
      <c r="BL2831" s="2" t="s">
        <v>9134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2528</v>
      </c>
      <c r="BV2831" s="2" t="s">
        <v>97</v>
      </c>
      <c r="BW2831" s="2" t="s">
        <v>100</v>
      </c>
      <c r="BX2831" s="2" t="s">
        <v>100</v>
      </c>
      <c r="BY2831" s="2" t="s">
        <v>113</v>
      </c>
      <c r="BZ2831" s="2" t="s">
        <v>100</v>
      </c>
    </row>
    <row r="2832">
      <c r="A2832" s="2" t="s">
        <v>9135</v>
      </c>
      <c r="B2832" s="2" t="s">
        <v>7711</v>
      </c>
      <c r="C2832" s="2" t="s">
        <v>4347</v>
      </c>
      <c r="D2832" s="2" t="s">
        <v>8073</v>
      </c>
      <c r="E2832" s="2" t="s">
        <v>8074</v>
      </c>
      <c r="F2832" s="2" t="s">
        <v>9051</v>
      </c>
      <c r="G2832" s="2" t="s">
        <v>9051</v>
      </c>
      <c r="H2832" s="2" t="s">
        <v>9051</v>
      </c>
      <c r="I2832" s="2" t="s">
        <v>8101</v>
      </c>
      <c r="J2832" s="2" t="s">
        <v>3877</v>
      </c>
      <c r="K2832" s="2" t="s">
        <v>913</v>
      </c>
      <c r="L2832" s="3">
        <v>212</v>
      </c>
      <c r="M2832" s="3">
        <v>222.6</v>
      </c>
      <c r="N2832" s="3">
        <v>449</v>
      </c>
      <c r="O2832" s="2" t="s">
        <v>97</v>
      </c>
      <c r="P2832" s="2" t="s">
        <v>225</v>
      </c>
      <c r="Q2832" s="2" t="s">
        <v>99</v>
      </c>
      <c r="R2832" s="2" t="s">
        <v>100</v>
      </c>
      <c r="S2832" s="2" t="s">
        <v>100</v>
      </c>
      <c r="T2832" s="2" t="s">
        <v>100</v>
      </c>
      <c r="U2832" s="2" t="s">
        <v>1847</v>
      </c>
      <c r="V2832" s="2" t="s">
        <v>3188</v>
      </c>
      <c r="W2832" s="2" t="s">
        <v>309</v>
      </c>
      <c r="X2832" s="2" t="s">
        <v>4366</v>
      </c>
      <c r="Y2832" s="2" t="s">
        <v>9136</v>
      </c>
      <c r="Z2832" s="4">
        <v>135</v>
      </c>
      <c r="AA2832" s="4">
        <f>=ROUNDDOWN(45,0)</f>
      </c>
      <c r="AB2832" s="5">
        <v>3</v>
      </c>
      <c r="AC2832" s="2" t="s">
        <v>100</v>
      </c>
      <c r="AD2832" s="4"/>
      <c r="AE2832" s="4"/>
      <c r="AF2832" s="6">
        <v>76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/>
      <c r="BD2832" s="8"/>
      <c r="BE2832" s="4"/>
      <c r="BF2832" s="8"/>
      <c r="BG2832" s="7"/>
      <c r="BH2832" s="7"/>
      <c r="BI2832" s="7"/>
      <c r="BJ2832" s="4">
        <v>57</v>
      </c>
      <c r="BK2832" s="8">
        <v>12973.6</v>
      </c>
      <c r="BL2832" s="2" t="s">
        <v>9137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2528</v>
      </c>
      <c r="BV2832" s="2" t="s">
        <v>97</v>
      </c>
      <c r="BW2832" s="2" t="s">
        <v>100</v>
      </c>
      <c r="BX2832" s="2" t="s">
        <v>100</v>
      </c>
      <c r="BY2832" s="2" t="s">
        <v>113</v>
      </c>
      <c r="BZ2832" s="2" t="s">
        <v>100</v>
      </c>
    </row>
    <row r="2833">
      <c r="A2833" s="2" t="s">
        <v>9138</v>
      </c>
      <c r="B2833" s="2" t="s">
        <v>7711</v>
      </c>
      <c r="C2833" s="2" t="s">
        <v>4347</v>
      </c>
      <c r="D2833" s="2" t="s">
        <v>8073</v>
      </c>
      <c r="E2833" s="2" t="s">
        <v>8074</v>
      </c>
      <c r="F2833" s="2" t="s">
        <v>9139</v>
      </c>
      <c r="G2833" s="2" t="s">
        <v>9139</v>
      </c>
      <c r="H2833" s="2" t="s">
        <v>9139</v>
      </c>
      <c r="I2833" s="2" t="s">
        <v>9140</v>
      </c>
      <c r="J2833" s="2" t="s">
        <v>3877</v>
      </c>
      <c r="K2833" s="2" t="s">
        <v>913</v>
      </c>
      <c r="L2833" s="3">
        <v>165</v>
      </c>
      <c r="M2833" s="3">
        <v>173.25</v>
      </c>
      <c r="N2833" s="3">
        <v>349</v>
      </c>
      <c r="O2833" s="2" t="s">
        <v>97</v>
      </c>
      <c r="P2833" s="2" t="s">
        <v>98</v>
      </c>
      <c r="Q2833" s="2" t="s">
        <v>99</v>
      </c>
      <c r="R2833" s="2" t="s">
        <v>100</v>
      </c>
      <c r="S2833" s="2" t="s">
        <v>100</v>
      </c>
      <c r="T2833" s="2" t="s">
        <v>100</v>
      </c>
      <c r="U2833" s="2" t="s">
        <v>1847</v>
      </c>
      <c r="V2833" s="2" t="s">
        <v>3188</v>
      </c>
      <c r="W2833" s="2" t="s">
        <v>561</v>
      </c>
      <c r="X2833" s="2" t="s">
        <v>4351</v>
      </c>
      <c r="Y2833" s="2" t="s">
        <v>9141</v>
      </c>
      <c r="Z2833" s="4">
        <v>241</v>
      </c>
      <c r="AA2833" s="4">
        <f>=ROUNDDOWN(14.1764705882353,0)</f>
      </c>
      <c r="AB2833" s="5">
        <v>17</v>
      </c>
      <c r="AC2833" s="2" t="s">
        <v>1342</v>
      </c>
      <c r="AD2833" s="4">
        <v>150</v>
      </c>
      <c r="AE2833" s="4">
        <v>340</v>
      </c>
      <c r="AF2833" s="6">
        <v>74</v>
      </c>
      <c r="AG2833" s="6">
        <v>60</v>
      </c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/>
      <c r="BD2833" s="8"/>
      <c r="BE2833" s="4"/>
      <c r="BF2833" s="8"/>
      <c r="BG2833" s="7"/>
      <c r="BH2833" s="7"/>
      <c r="BI2833" s="7"/>
      <c r="BJ2833" s="4">
        <v>482</v>
      </c>
      <c r="BK2833" s="8">
        <v>78283.6</v>
      </c>
      <c r="BL2833" s="2" t="s">
        <v>9142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2528</v>
      </c>
      <c r="BV2833" s="2" t="s">
        <v>97</v>
      </c>
      <c r="BW2833" s="2" t="s">
        <v>100</v>
      </c>
      <c r="BX2833" s="2" t="s">
        <v>100</v>
      </c>
      <c r="BY2833" s="2" t="s">
        <v>113</v>
      </c>
      <c r="BZ2833" s="2" t="s">
        <v>100</v>
      </c>
    </row>
    <row r="2834">
      <c r="A2834" s="2" t="s">
        <v>9143</v>
      </c>
      <c r="B2834" s="2" t="s">
        <v>7711</v>
      </c>
      <c r="C2834" s="2" t="s">
        <v>4347</v>
      </c>
      <c r="D2834" s="2" t="s">
        <v>8073</v>
      </c>
      <c r="E2834" s="2" t="s">
        <v>8109</v>
      </c>
      <c r="F2834" s="2" t="s">
        <v>9144</v>
      </c>
      <c r="G2834" s="2" t="s">
        <v>9144</v>
      </c>
      <c r="H2834" s="2" t="s">
        <v>9144</v>
      </c>
      <c r="I2834" s="2" t="s">
        <v>9145</v>
      </c>
      <c r="J2834" s="2" t="s">
        <v>9146</v>
      </c>
      <c r="K2834" s="2" t="s">
        <v>9060</v>
      </c>
      <c r="L2834" s="3">
        <v>215</v>
      </c>
      <c r="M2834" s="3">
        <v>225.75</v>
      </c>
      <c r="N2834" s="3">
        <v>449</v>
      </c>
      <c r="O2834" s="2" t="s">
        <v>97</v>
      </c>
      <c r="P2834" s="2" t="s">
        <v>119</v>
      </c>
      <c r="Q2834" s="2" t="s">
        <v>99</v>
      </c>
      <c r="R2834" s="2" t="s">
        <v>100</v>
      </c>
      <c r="S2834" s="2" t="s">
        <v>100</v>
      </c>
      <c r="T2834" s="2" t="s">
        <v>100</v>
      </c>
      <c r="U2834" s="2" t="s">
        <v>1847</v>
      </c>
      <c r="V2834" s="2" t="s">
        <v>3188</v>
      </c>
      <c r="W2834" s="2" t="s">
        <v>309</v>
      </c>
      <c r="X2834" s="2" t="s">
        <v>4378</v>
      </c>
      <c r="Y2834" s="2" t="s">
        <v>8070</v>
      </c>
      <c r="Z2834" s="4">
        <v>91</v>
      </c>
      <c r="AA2834" s="4">
        <f>=ROUNDDOWN(18.9583333333333,0)</f>
      </c>
      <c r="AB2834" s="5">
        <v>4.8</v>
      </c>
      <c r="AC2834" s="2" t="s">
        <v>1259</v>
      </c>
      <c r="AD2834" s="4">
        <v>100</v>
      </c>
      <c r="AE2834" s="4">
        <v>100</v>
      </c>
      <c r="AF2834" s="6">
        <v>74</v>
      </c>
      <c r="AG2834" s="6"/>
      <c r="AH2834" s="7">
        <v>0.6684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/>
      <c r="BJ2834" s="4">
        <v>80</v>
      </c>
      <c r="BK2834" s="8">
        <v>18788.2</v>
      </c>
      <c r="BL2834" s="2" t="s">
        <v>9147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2528</v>
      </c>
      <c r="BV2834" s="2" t="s">
        <v>97</v>
      </c>
      <c r="BW2834" s="2" t="s">
        <v>100</v>
      </c>
      <c r="BX2834" s="2" t="s">
        <v>100</v>
      </c>
      <c r="BY2834" s="2" t="s">
        <v>113</v>
      </c>
      <c r="BZ2834" s="2" t="s">
        <v>100</v>
      </c>
    </row>
    <row r="2835">
      <c r="A2835" s="2" t="s">
        <v>9148</v>
      </c>
      <c r="B2835" s="2" t="s">
        <v>7711</v>
      </c>
      <c r="C2835" s="2" t="s">
        <v>4347</v>
      </c>
      <c r="D2835" s="2" t="s">
        <v>8073</v>
      </c>
      <c r="E2835" s="2" t="s">
        <v>8109</v>
      </c>
      <c r="F2835" s="2" t="s">
        <v>9144</v>
      </c>
      <c r="G2835" s="2" t="s">
        <v>9144</v>
      </c>
      <c r="H2835" s="2" t="s">
        <v>9144</v>
      </c>
      <c r="I2835" s="2" t="s">
        <v>9149</v>
      </c>
      <c r="J2835" s="2" t="s">
        <v>9150</v>
      </c>
      <c r="K2835" s="2" t="s">
        <v>9060</v>
      </c>
      <c r="L2835" s="3">
        <v>190</v>
      </c>
      <c r="M2835" s="3">
        <v>199.5</v>
      </c>
      <c r="N2835" s="3">
        <v>399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100</v>
      </c>
      <c r="T2835" s="2" t="s">
        <v>100</v>
      </c>
      <c r="U2835" s="2" t="s">
        <v>1847</v>
      </c>
      <c r="V2835" s="2" t="s">
        <v>3188</v>
      </c>
      <c r="W2835" s="2" t="s">
        <v>309</v>
      </c>
      <c r="X2835" s="2" t="s">
        <v>4378</v>
      </c>
      <c r="Y2835" s="2" t="s">
        <v>7139</v>
      </c>
      <c r="Z2835" s="4">
        <v>145</v>
      </c>
      <c r="AA2835" s="4">
        <f>=ROUNDDOWN(9.66666666666667,0)</f>
      </c>
      <c r="AB2835" s="5">
        <v>15</v>
      </c>
      <c r="AC2835" s="2" t="s">
        <v>608</v>
      </c>
      <c r="AD2835" s="4">
        <v>200</v>
      </c>
      <c r="AE2835" s="4">
        <v>350</v>
      </c>
      <c r="AF2835" s="6">
        <v>74</v>
      </c>
      <c r="AG2835" s="6">
        <v>60</v>
      </c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/>
      <c r="BJ2835" s="4">
        <v>326</v>
      </c>
      <c r="BK2835" s="8">
        <v>65899.09</v>
      </c>
      <c r="BL2835" s="2" t="s">
        <v>9151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2528</v>
      </c>
      <c r="BV2835" s="2" t="s">
        <v>97</v>
      </c>
      <c r="BW2835" s="2" t="s">
        <v>100</v>
      </c>
      <c r="BX2835" s="2" t="s">
        <v>100</v>
      </c>
      <c r="BY2835" s="2" t="s">
        <v>113</v>
      </c>
      <c r="BZ2835" s="2" t="s">
        <v>100</v>
      </c>
    </row>
    <row r="2836">
      <c r="A2836" s="2" t="s">
        <v>9152</v>
      </c>
      <c r="B2836" s="2" t="s">
        <v>7711</v>
      </c>
      <c r="C2836" s="2" t="s">
        <v>4347</v>
      </c>
      <c r="D2836" s="2" t="s">
        <v>8073</v>
      </c>
      <c r="E2836" s="2" t="s">
        <v>8109</v>
      </c>
      <c r="F2836" s="2" t="s">
        <v>9080</v>
      </c>
      <c r="G2836" s="2" t="s">
        <v>9080</v>
      </c>
      <c r="H2836" s="2" t="s">
        <v>9080</v>
      </c>
      <c r="I2836" s="2" t="s">
        <v>9153</v>
      </c>
      <c r="J2836" s="2" t="s">
        <v>3877</v>
      </c>
      <c r="K2836" s="2" t="s">
        <v>913</v>
      </c>
      <c r="L2836" s="3">
        <v>168</v>
      </c>
      <c r="M2836" s="3">
        <v>176.4</v>
      </c>
      <c r="N2836" s="3">
        <v>359</v>
      </c>
      <c r="O2836" s="2" t="s">
        <v>97</v>
      </c>
      <c r="P2836" s="2" t="s">
        <v>119</v>
      </c>
      <c r="Q2836" s="2" t="s">
        <v>99</v>
      </c>
      <c r="R2836" s="2" t="s">
        <v>100</v>
      </c>
      <c r="S2836" s="2" t="s">
        <v>100</v>
      </c>
      <c r="T2836" s="2" t="s">
        <v>100</v>
      </c>
      <c r="U2836" s="2" t="s">
        <v>1847</v>
      </c>
      <c r="V2836" s="2" t="s">
        <v>3188</v>
      </c>
      <c r="W2836" s="2" t="s">
        <v>309</v>
      </c>
      <c r="X2836" s="2" t="s">
        <v>4366</v>
      </c>
      <c r="Y2836" s="2" t="s">
        <v>9154</v>
      </c>
      <c r="Z2836" s="4">
        <v>189</v>
      </c>
      <c r="AA2836" s="4">
        <f>=ROUNDDOWN(47.25,0)</f>
      </c>
      <c r="AB2836" s="5">
        <v>4</v>
      </c>
      <c r="AC2836" s="2" t="s">
        <v>100</v>
      </c>
      <c r="AD2836" s="4"/>
      <c r="AE2836" s="4"/>
      <c r="AF2836" s="6">
        <v>76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/>
      <c r="BD2836" s="8"/>
      <c r="BE2836" s="4"/>
      <c r="BF2836" s="8"/>
      <c r="BG2836" s="7"/>
      <c r="BH2836" s="7"/>
      <c r="BI2836" s="7"/>
      <c r="BJ2836" s="4">
        <v>95</v>
      </c>
      <c r="BK2836" s="8">
        <v>17811.82</v>
      </c>
      <c r="BL2836" s="2" t="s">
        <v>9155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2528</v>
      </c>
      <c r="BV2836" s="2" t="s">
        <v>97</v>
      </c>
      <c r="BW2836" s="2" t="s">
        <v>100</v>
      </c>
      <c r="BX2836" s="2" t="s">
        <v>100</v>
      </c>
      <c r="BY2836" s="2" t="s">
        <v>113</v>
      </c>
      <c r="BZ2836" s="2" t="s">
        <v>100</v>
      </c>
    </row>
    <row r="2837">
      <c r="A2837" s="2" t="s">
        <v>9156</v>
      </c>
      <c r="B2837" s="2" t="s">
        <v>7711</v>
      </c>
      <c r="C2837" s="2" t="s">
        <v>4347</v>
      </c>
      <c r="D2837" s="2" t="s">
        <v>8073</v>
      </c>
      <c r="E2837" s="2" t="s">
        <v>8109</v>
      </c>
      <c r="F2837" s="2" t="s">
        <v>4410</v>
      </c>
      <c r="G2837" s="2" t="s">
        <v>4410</v>
      </c>
      <c r="H2837" s="2" t="s">
        <v>4410</v>
      </c>
      <c r="I2837" s="2" t="s">
        <v>9157</v>
      </c>
      <c r="J2837" s="2" t="s">
        <v>3877</v>
      </c>
      <c r="K2837" s="2" t="s">
        <v>1304</v>
      </c>
      <c r="L2837" s="3">
        <v>250</v>
      </c>
      <c r="M2837" s="3">
        <v>262.5</v>
      </c>
      <c r="N2837" s="3">
        <v>529</v>
      </c>
      <c r="O2837" s="2" t="s">
        <v>97</v>
      </c>
      <c r="P2837" s="2" t="s">
        <v>119</v>
      </c>
      <c r="Q2837" s="2" t="s">
        <v>99</v>
      </c>
      <c r="R2837" s="2" t="s">
        <v>100</v>
      </c>
      <c r="S2837" s="2" t="s">
        <v>100</v>
      </c>
      <c r="T2837" s="2" t="s">
        <v>100</v>
      </c>
      <c r="U2837" s="2" t="s">
        <v>1847</v>
      </c>
      <c r="V2837" s="2" t="s">
        <v>3188</v>
      </c>
      <c r="W2837" s="2" t="s">
        <v>104</v>
      </c>
      <c r="X2837" s="2" t="s">
        <v>4366</v>
      </c>
      <c r="Y2837" s="2" t="s">
        <v>9158</v>
      </c>
      <c r="Z2837" s="4">
        <v>68</v>
      </c>
      <c r="AA2837" s="4">
        <f>=ROUNDDOWN(17,0)</f>
      </c>
      <c r="AB2837" s="5">
        <v>4</v>
      </c>
      <c r="AC2837" s="2" t="s">
        <v>241</v>
      </c>
      <c r="AD2837" s="4">
        <v>22</v>
      </c>
      <c r="AE2837" s="4">
        <v>130</v>
      </c>
      <c r="AF2837" s="6">
        <v>66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/>
      <c r="BD2837" s="8"/>
      <c r="BE2837" s="4"/>
      <c r="BF2837" s="8"/>
      <c r="BG2837" s="7"/>
      <c r="BH2837" s="7"/>
      <c r="BI2837" s="7"/>
      <c r="BJ2837" s="4">
        <v>90</v>
      </c>
      <c r="BK2837" s="8">
        <v>23452.17</v>
      </c>
      <c r="BL2837" s="2" t="s">
        <v>9159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2528</v>
      </c>
      <c r="BV2837" s="2" t="s">
        <v>97</v>
      </c>
      <c r="BW2837" s="2" t="s">
        <v>100</v>
      </c>
      <c r="BX2837" s="2" t="s">
        <v>100</v>
      </c>
      <c r="BY2837" s="2" t="s">
        <v>113</v>
      </c>
      <c r="BZ2837" s="2" t="s">
        <v>100</v>
      </c>
    </row>
    <row r="2838">
      <c r="A2838" s="2" t="s">
        <v>9160</v>
      </c>
      <c r="B2838" s="2" t="s">
        <v>7711</v>
      </c>
      <c r="C2838" s="2" t="s">
        <v>4347</v>
      </c>
      <c r="D2838" s="2" t="s">
        <v>8073</v>
      </c>
      <c r="E2838" s="2" t="s">
        <v>7907</v>
      </c>
      <c r="F2838" s="2" t="s">
        <v>9161</v>
      </c>
      <c r="G2838" s="2" t="s">
        <v>9161</v>
      </c>
      <c r="H2838" s="2" t="s">
        <v>9161</v>
      </c>
      <c r="I2838" s="2" t="s">
        <v>9162</v>
      </c>
      <c r="J2838" s="2" t="s">
        <v>3877</v>
      </c>
      <c r="K2838" s="2" t="s">
        <v>9060</v>
      </c>
      <c r="L2838" s="3">
        <v>103.5</v>
      </c>
      <c r="M2838" s="3">
        <v>108.68</v>
      </c>
      <c r="N2838" s="3">
        <v>219</v>
      </c>
      <c r="O2838" s="2" t="s">
        <v>97</v>
      </c>
      <c r="P2838" s="2" t="s">
        <v>119</v>
      </c>
      <c r="Q2838" s="2" t="s">
        <v>99</v>
      </c>
      <c r="R2838" s="2" t="s">
        <v>100</v>
      </c>
      <c r="S2838" s="2" t="s">
        <v>9163</v>
      </c>
      <c r="T2838" s="2" t="s">
        <v>100</v>
      </c>
      <c r="U2838" s="2" t="s">
        <v>1847</v>
      </c>
      <c r="V2838" s="2" t="s">
        <v>3188</v>
      </c>
      <c r="W2838" s="2" t="s">
        <v>415</v>
      </c>
      <c r="X2838" s="2" t="s">
        <v>4378</v>
      </c>
      <c r="Y2838" s="2" t="s">
        <v>1539</v>
      </c>
      <c r="Z2838" s="4">
        <v>247</v>
      </c>
      <c r="AA2838" s="4">
        <f>=ROUNDDOWN(20.5833333333333,0)</f>
      </c>
      <c r="AB2838" s="5">
        <v>12</v>
      </c>
      <c r="AC2838" s="2" t="s">
        <v>1771</v>
      </c>
      <c r="AD2838" s="4">
        <v>320</v>
      </c>
      <c r="AE2838" s="4">
        <v>320</v>
      </c>
      <c r="AF2838" s="6">
        <v>66</v>
      </c>
      <c r="AG2838" s="6">
        <v>49</v>
      </c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>
        <v>295</v>
      </c>
      <c r="BK2838" s="8">
        <v>31366.01</v>
      </c>
      <c r="BL2838" s="2" t="s">
        <v>9164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2528</v>
      </c>
      <c r="BV2838" s="2" t="s">
        <v>97</v>
      </c>
      <c r="BW2838" s="2" t="s">
        <v>100</v>
      </c>
      <c r="BX2838" s="2" t="s">
        <v>100</v>
      </c>
      <c r="BY2838" s="2" t="s">
        <v>113</v>
      </c>
      <c r="BZ2838" s="2" t="s">
        <v>100</v>
      </c>
    </row>
    <row r="2839">
      <c r="A2839" s="2" t="s">
        <v>9165</v>
      </c>
      <c r="B2839" s="2" t="s">
        <v>7711</v>
      </c>
      <c r="C2839" s="2" t="s">
        <v>4347</v>
      </c>
      <c r="D2839" s="2" t="s">
        <v>8073</v>
      </c>
      <c r="E2839" s="2" t="s">
        <v>7907</v>
      </c>
      <c r="F2839" s="2" t="s">
        <v>9166</v>
      </c>
      <c r="G2839" s="2" t="s">
        <v>9166</v>
      </c>
      <c r="H2839" s="2" t="s">
        <v>9166</v>
      </c>
      <c r="I2839" s="2" t="s">
        <v>9162</v>
      </c>
      <c r="J2839" s="2" t="s">
        <v>3877</v>
      </c>
      <c r="K2839" s="2" t="s">
        <v>9060</v>
      </c>
      <c r="L2839" s="3">
        <v>112.2</v>
      </c>
      <c r="M2839" s="3">
        <v>117.81</v>
      </c>
      <c r="N2839" s="3">
        <v>239</v>
      </c>
      <c r="O2839" s="2" t="s">
        <v>97</v>
      </c>
      <c r="P2839" s="2" t="s">
        <v>119</v>
      </c>
      <c r="Q2839" s="2" t="s">
        <v>99</v>
      </c>
      <c r="R2839" s="2" t="s">
        <v>100</v>
      </c>
      <c r="S2839" s="2" t="s">
        <v>9167</v>
      </c>
      <c r="T2839" s="2" t="s">
        <v>100</v>
      </c>
      <c r="U2839" s="2" t="s">
        <v>1847</v>
      </c>
      <c r="V2839" s="2" t="s">
        <v>146</v>
      </c>
      <c r="W2839" s="2" t="s">
        <v>415</v>
      </c>
      <c r="X2839" s="2" t="s">
        <v>4378</v>
      </c>
      <c r="Y2839" s="2" t="s">
        <v>1539</v>
      </c>
      <c r="Z2839" s="4">
        <v>299</v>
      </c>
      <c r="AA2839" s="4">
        <f>=ROUNDDOWN(24.9166666666667,0)</f>
      </c>
      <c r="AB2839" s="5">
        <v>12</v>
      </c>
      <c r="AC2839" s="2" t="s">
        <v>1771</v>
      </c>
      <c r="AD2839" s="4">
        <v>300</v>
      </c>
      <c r="AE2839" s="4">
        <v>300</v>
      </c>
      <c r="AF2839" s="6">
        <v>66</v>
      </c>
      <c r="AG2839" s="6">
        <v>49</v>
      </c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/>
      <c r="BD2839" s="8"/>
      <c r="BE2839" s="4"/>
      <c r="BF2839" s="8"/>
      <c r="BG2839" s="7"/>
      <c r="BH2839" s="7"/>
      <c r="BI2839" s="7"/>
      <c r="BJ2839" s="4">
        <v>297</v>
      </c>
      <c r="BK2839" s="8">
        <v>33421.85</v>
      </c>
      <c r="BL2839" s="2" t="s">
        <v>9168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2528</v>
      </c>
      <c r="BV2839" s="2" t="s">
        <v>97</v>
      </c>
      <c r="BW2839" s="2" t="s">
        <v>100</v>
      </c>
      <c r="BX2839" s="2" t="s">
        <v>100</v>
      </c>
      <c r="BY2839" s="2" t="s">
        <v>113</v>
      </c>
      <c r="BZ2839" s="2" t="s">
        <v>100</v>
      </c>
    </row>
    <row r="2840">
      <c r="A2840" s="2" t="s">
        <v>9169</v>
      </c>
      <c r="B2840" s="2" t="s">
        <v>7711</v>
      </c>
      <c r="C2840" s="2" t="s">
        <v>4347</v>
      </c>
      <c r="D2840" s="2" t="s">
        <v>8878</v>
      </c>
      <c r="E2840" s="2" t="s">
        <v>8893</v>
      </c>
      <c r="F2840" s="2" t="s">
        <v>9170</v>
      </c>
      <c r="G2840" s="2" t="s">
        <v>9170</v>
      </c>
      <c r="H2840" s="2" t="s">
        <v>9170</v>
      </c>
      <c r="I2840" s="2" t="s">
        <v>9171</v>
      </c>
      <c r="J2840" s="2" t="s">
        <v>3877</v>
      </c>
      <c r="K2840" s="2" t="s">
        <v>604</v>
      </c>
      <c r="L2840" s="3">
        <v>193.5</v>
      </c>
      <c r="M2840" s="3">
        <v>203.18</v>
      </c>
      <c r="N2840" s="3">
        <v>399</v>
      </c>
      <c r="O2840" s="2" t="s">
        <v>97</v>
      </c>
      <c r="P2840" s="2" t="s">
        <v>119</v>
      </c>
      <c r="Q2840" s="2" t="s">
        <v>99</v>
      </c>
      <c r="R2840" s="2" t="s">
        <v>100</v>
      </c>
      <c r="S2840" s="2" t="s">
        <v>100</v>
      </c>
      <c r="T2840" s="2" t="s">
        <v>100</v>
      </c>
      <c r="U2840" s="2" t="s">
        <v>1847</v>
      </c>
      <c r="V2840" s="2" t="s">
        <v>146</v>
      </c>
      <c r="W2840" s="2" t="s">
        <v>104</v>
      </c>
      <c r="X2840" s="2" t="s">
        <v>4378</v>
      </c>
      <c r="Y2840" s="2" t="s">
        <v>9172</v>
      </c>
      <c r="Z2840" s="4">
        <v>94</v>
      </c>
      <c r="AA2840" s="4">
        <f>=ROUNDDOWN(31.3333333333333,0)</f>
      </c>
      <c r="AB2840" s="5">
        <v>3</v>
      </c>
      <c r="AC2840" s="2" t="s">
        <v>100</v>
      </c>
      <c r="AD2840" s="4"/>
      <c r="AE2840" s="4"/>
      <c r="AF2840" s="6">
        <v>69</v>
      </c>
      <c r="AG2840" s="6">
        <v>52</v>
      </c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/>
      <c r="BD2840" s="8"/>
      <c r="BE2840" s="4"/>
      <c r="BF2840" s="8"/>
      <c r="BG2840" s="7"/>
      <c r="BH2840" s="7"/>
      <c r="BI2840" s="7"/>
      <c r="BJ2840" s="4">
        <v>90</v>
      </c>
      <c r="BK2840" s="8">
        <v>17432.17</v>
      </c>
      <c r="BL2840" s="2" t="s">
        <v>9173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2528</v>
      </c>
      <c r="BV2840" s="2" t="s">
        <v>97</v>
      </c>
      <c r="BW2840" s="2" t="s">
        <v>100</v>
      </c>
      <c r="BX2840" s="2" t="s">
        <v>100</v>
      </c>
      <c r="BY2840" s="2" t="s">
        <v>113</v>
      </c>
      <c r="BZ2840" s="2" t="s">
        <v>100</v>
      </c>
    </row>
    <row r="2841">
      <c r="A2841" s="2" t="s">
        <v>9174</v>
      </c>
      <c r="B2841" s="2" t="s">
        <v>7711</v>
      </c>
      <c r="C2841" s="2" t="s">
        <v>4347</v>
      </c>
      <c r="D2841" s="2" t="s">
        <v>8878</v>
      </c>
      <c r="E2841" s="2" t="s">
        <v>8893</v>
      </c>
      <c r="F2841" s="2" t="s">
        <v>1138</v>
      </c>
      <c r="G2841" s="2" t="s">
        <v>1138</v>
      </c>
      <c r="H2841" s="2" t="s">
        <v>1138</v>
      </c>
      <c r="I2841" s="2" t="s">
        <v>9171</v>
      </c>
      <c r="J2841" s="2" t="s">
        <v>3877</v>
      </c>
      <c r="K2841" s="2" t="s">
        <v>2580</v>
      </c>
      <c r="L2841" s="3">
        <v>135.58</v>
      </c>
      <c r="M2841" s="3">
        <v>142.36</v>
      </c>
      <c r="N2841" s="3">
        <v>289</v>
      </c>
      <c r="O2841" s="2" t="s">
        <v>97</v>
      </c>
      <c r="P2841" s="2" t="s">
        <v>119</v>
      </c>
      <c r="Q2841" s="2" t="s">
        <v>99</v>
      </c>
      <c r="R2841" s="2" t="s">
        <v>100</v>
      </c>
      <c r="S2841" s="2" t="s">
        <v>9175</v>
      </c>
      <c r="T2841" s="2" t="s">
        <v>100</v>
      </c>
      <c r="U2841" s="2" t="s">
        <v>1847</v>
      </c>
      <c r="V2841" s="2" t="s">
        <v>146</v>
      </c>
      <c r="W2841" s="2" t="s">
        <v>415</v>
      </c>
      <c r="X2841" s="2" t="s">
        <v>4378</v>
      </c>
      <c r="Y2841" s="2" t="s">
        <v>4103</v>
      </c>
      <c r="Z2841" s="4">
        <v>60</v>
      </c>
      <c r="AA2841" s="4">
        <f>=ROUNDDOWN(8.57142857142857,0)</f>
      </c>
      <c r="AB2841" s="5">
        <v>7</v>
      </c>
      <c r="AC2841" s="2" t="s">
        <v>123</v>
      </c>
      <c r="AD2841" s="4">
        <v>14</v>
      </c>
      <c r="AE2841" s="4">
        <v>188</v>
      </c>
      <c r="AF2841" s="6">
        <v>66</v>
      </c>
      <c r="AG2841" s="6">
        <v>49</v>
      </c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/>
      <c r="BD2841" s="8"/>
      <c r="BE2841" s="4"/>
      <c r="BF2841" s="8"/>
      <c r="BG2841" s="7"/>
      <c r="BH2841" s="7"/>
      <c r="BI2841" s="7"/>
      <c r="BJ2841" s="4">
        <v>173</v>
      </c>
      <c r="BK2841" s="8">
        <v>22540.94</v>
      </c>
      <c r="BL2841" s="2" t="s">
        <v>9176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2528</v>
      </c>
      <c r="BV2841" s="2" t="s">
        <v>97</v>
      </c>
      <c r="BW2841" s="2" t="s">
        <v>100</v>
      </c>
      <c r="BX2841" s="2" t="s">
        <v>100</v>
      </c>
      <c r="BY2841" s="2" t="s">
        <v>113</v>
      </c>
      <c r="BZ2841" s="2" t="s">
        <v>100</v>
      </c>
    </row>
    <row r="2842">
      <c r="A2842" s="2" t="s">
        <v>9177</v>
      </c>
      <c r="B2842" s="2" t="s">
        <v>7711</v>
      </c>
      <c r="C2842" s="2" t="s">
        <v>4347</v>
      </c>
      <c r="D2842" s="2" t="s">
        <v>8878</v>
      </c>
      <c r="E2842" s="2" t="s">
        <v>8893</v>
      </c>
      <c r="F2842" s="2" t="s">
        <v>9178</v>
      </c>
      <c r="G2842" s="2" t="s">
        <v>9178</v>
      </c>
      <c r="H2842" s="2" t="s">
        <v>9178</v>
      </c>
      <c r="I2842" s="2" t="s">
        <v>9171</v>
      </c>
      <c r="J2842" s="2" t="s">
        <v>3877</v>
      </c>
      <c r="K2842" s="2" t="s">
        <v>858</v>
      </c>
      <c r="L2842" s="3">
        <v>70.3</v>
      </c>
      <c r="M2842" s="3">
        <v>73.82</v>
      </c>
      <c r="N2842" s="3">
        <v>149</v>
      </c>
      <c r="O2842" s="2" t="s">
        <v>97</v>
      </c>
      <c r="P2842" s="2" t="s">
        <v>119</v>
      </c>
      <c r="Q2842" s="2" t="s">
        <v>99</v>
      </c>
      <c r="R2842" s="2" t="s">
        <v>100</v>
      </c>
      <c r="S2842" s="2" t="s">
        <v>9179</v>
      </c>
      <c r="T2842" s="2" t="s">
        <v>100</v>
      </c>
      <c r="U2842" s="2" t="s">
        <v>1847</v>
      </c>
      <c r="V2842" s="2" t="s">
        <v>146</v>
      </c>
      <c r="W2842" s="2" t="s">
        <v>415</v>
      </c>
      <c r="X2842" s="2" t="s">
        <v>4378</v>
      </c>
      <c r="Y2842" s="2" t="s">
        <v>9180</v>
      </c>
      <c r="Z2842" s="4">
        <v>50</v>
      </c>
      <c r="AA2842" s="4">
        <f>=ROUNDDOWN(3.57142857142857,0)</f>
      </c>
      <c r="AB2842" s="5">
        <v>14</v>
      </c>
      <c r="AC2842" s="2" t="s">
        <v>222</v>
      </c>
      <c r="AD2842" s="4">
        <v>123</v>
      </c>
      <c r="AE2842" s="4">
        <v>495</v>
      </c>
      <c r="AF2842" s="6">
        <v>66</v>
      </c>
      <c r="AG2842" s="6">
        <v>49</v>
      </c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/>
      <c r="BD2842" s="8"/>
      <c r="BE2842" s="4"/>
      <c r="BF2842" s="8"/>
      <c r="BG2842" s="7"/>
      <c r="BH2842" s="7"/>
      <c r="BI2842" s="7"/>
      <c r="BJ2842" s="4">
        <v>363</v>
      </c>
      <c r="BK2842" s="8">
        <v>26445</v>
      </c>
      <c r="BL2842" s="2" t="s">
        <v>9181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2528</v>
      </c>
      <c r="BV2842" s="2" t="s">
        <v>97</v>
      </c>
      <c r="BW2842" s="2" t="s">
        <v>100</v>
      </c>
      <c r="BX2842" s="2" t="s">
        <v>100</v>
      </c>
      <c r="BY2842" s="2" t="s">
        <v>113</v>
      </c>
      <c r="BZ2842" s="2" t="s">
        <v>100</v>
      </c>
    </row>
    <row r="2843">
      <c r="A2843" s="2" t="s">
        <v>9182</v>
      </c>
      <c r="B2843" s="2" t="s">
        <v>7711</v>
      </c>
      <c r="C2843" s="2" t="s">
        <v>4347</v>
      </c>
      <c r="D2843" s="2" t="s">
        <v>8878</v>
      </c>
      <c r="E2843" s="2" t="s">
        <v>8893</v>
      </c>
      <c r="F2843" s="2" t="s">
        <v>9183</v>
      </c>
      <c r="G2843" s="2" t="s">
        <v>9183</v>
      </c>
      <c r="H2843" s="2" t="s">
        <v>9183</v>
      </c>
      <c r="I2843" s="2" t="s">
        <v>9184</v>
      </c>
      <c r="J2843" s="2" t="s">
        <v>3877</v>
      </c>
      <c r="K2843" s="2" t="s">
        <v>118</v>
      </c>
      <c r="L2843" s="3">
        <v>140.25</v>
      </c>
      <c r="M2843" s="3">
        <v>147.26</v>
      </c>
      <c r="N2843" s="3">
        <v>299</v>
      </c>
      <c r="O2843" s="2" t="s">
        <v>97</v>
      </c>
      <c r="P2843" s="2" t="s">
        <v>119</v>
      </c>
      <c r="Q2843" s="2" t="s">
        <v>99</v>
      </c>
      <c r="R2843" s="2" t="s">
        <v>100</v>
      </c>
      <c r="S2843" s="2" t="s">
        <v>100</v>
      </c>
      <c r="T2843" s="2" t="s">
        <v>100</v>
      </c>
      <c r="U2843" s="2" t="s">
        <v>1847</v>
      </c>
      <c r="V2843" s="2" t="s">
        <v>3188</v>
      </c>
      <c r="W2843" s="2" t="s">
        <v>415</v>
      </c>
      <c r="X2843" s="2" t="s">
        <v>4378</v>
      </c>
      <c r="Y2843" s="2" t="s">
        <v>9185</v>
      </c>
      <c r="Z2843" s="4">
        <v>17</v>
      </c>
      <c r="AA2843" s="4">
        <f>=ROUNDDOWN(1.88888888888889,0)</f>
      </c>
      <c r="AB2843" s="5">
        <v>9</v>
      </c>
      <c r="AC2843" s="2" t="s">
        <v>100</v>
      </c>
      <c r="AD2843" s="4"/>
      <c r="AE2843" s="4"/>
      <c r="AF2843" s="6">
        <v>66</v>
      </c>
      <c r="AG2843" s="6"/>
      <c r="AH2843" s="7">
        <v>0.9893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/>
      <c r="BJ2843" s="4">
        <v>244</v>
      </c>
      <c r="BK2843" s="8">
        <v>36920.73</v>
      </c>
      <c r="BL2843" s="2" t="s">
        <v>9186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2528</v>
      </c>
      <c r="BV2843" s="2" t="s">
        <v>97</v>
      </c>
      <c r="BW2843" s="2" t="s">
        <v>100</v>
      </c>
      <c r="BX2843" s="2" t="s">
        <v>100</v>
      </c>
      <c r="BY2843" s="2" t="s">
        <v>113</v>
      </c>
      <c r="BZ2843" s="2" t="s">
        <v>100</v>
      </c>
    </row>
    <row r="2844">
      <c r="A2844" s="2" t="s">
        <v>9187</v>
      </c>
      <c r="B2844" s="2" t="s">
        <v>7711</v>
      </c>
      <c r="C2844" s="2" t="s">
        <v>4347</v>
      </c>
      <c r="D2844" s="2" t="s">
        <v>8878</v>
      </c>
      <c r="E2844" s="2" t="s">
        <v>8893</v>
      </c>
      <c r="F2844" s="2" t="s">
        <v>9183</v>
      </c>
      <c r="G2844" s="2" t="s">
        <v>9183</v>
      </c>
      <c r="H2844" s="2" t="s">
        <v>9183</v>
      </c>
      <c r="I2844" s="2" t="s">
        <v>9184</v>
      </c>
      <c r="J2844" s="2" t="s">
        <v>3877</v>
      </c>
      <c r="K2844" s="2" t="s">
        <v>6337</v>
      </c>
      <c r="L2844" s="3">
        <v>140.25</v>
      </c>
      <c r="M2844" s="3">
        <v>147.26</v>
      </c>
      <c r="N2844" s="3">
        <v>299</v>
      </c>
      <c r="O2844" s="2" t="s">
        <v>97</v>
      </c>
      <c r="P2844" s="2" t="s">
        <v>225</v>
      </c>
      <c r="Q2844" s="2" t="s">
        <v>99</v>
      </c>
      <c r="R2844" s="2" t="s">
        <v>100</v>
      </c>
      <c r="S2844" s="2" t="s">
        <v>100</v>
      </c>
      <c r="T2844" s="2" t="s">
        <v>100</v>
      </c>
      <c r="U2844" s="2" t="s">
        <v>1847</v>
      </c>
      <c r="V2844" s="2" t="s">
        <v>3188</v>
      </c>
      <c r="W2844" s="2" t="s">
        <v>415</v>
      </c>
      <c r="X2844" s="2" t="s">
        <v>4378</v>
      </c>
      <c r="Y2844" s="2" t="s">
        <v>100</v>
      </c>
      <c r="Z2844" s="4"/>
      <c r="AA2844" s="4">
        <f>=ROUNDDOWN({0},0)</f>
      </c>
      <c r="AB2844" s="5">
        <v>9</v>
      </c>
      <c r="AC2844" s="2" t="s">
        <v>222</v>
      </c>
      <c r="AD2844" s="4">
        <v>104</v>
      </c>
      <c r="AE2844" s="4">
        <v>214</v>
      </c>
      <c r="AF2844" s="6">
        <v>66</v>
      </c>
      <c r="AG2844" s="6">
        <v>49</v>
      </c>
      <c r="AH2844" s="7"/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/>
      <c r="BJ2844" s="4"/>
      <c r="BK2844" s="8"/>
      <c r="BL2844" s="2" t="s">
        <v>100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2528</v>
      </c>
      <c r="BV2844" s="2" t="s">
        <v>97</v>
      </c>
      <c r="BW2844" s="2" t="s">
        <v>100</v>
      </c>
      <c r="BX2844" s="2" t="s">
        <v>100</v>
      </c>
      <c r="BY2844" s="2" t="s">
        <v>113</v>
      </c>
      <c r="BZ2844" s="2" t="s">
        <v>100</v>
      </c>
    </row>
    <row r="2845">
      <c r="A2845" s="2" t="s">
        <v>9188</v>
      </c>
      <c r="B2845" s="2" t="s">
        <v>9189</v>
      </c>
      <c r="C2845" s="2" t="s">
        <v>2213</v>
      </c>
      <c r="D2845" s="2" t="s">
        <v>9190</v>
      </c>
      <c r="E2845" s="2" t="s">
        <v>9191</v>
      </c>
      <c r="F2845" s="2" t="s">
        <v>9192</v>
      </c>
      <c r="G2845" s="2" t="s">
        <v>9192</v>
      </c>
      <c r="H2845" s="2" t="s">
        <v>9192</v>
      </c>
      <c r="I2845" s="2" t="s">
        <v>9193</v>
      </c>
      <c r="J2845" s="2" t="s">
        <v>3877</v>
      </c>
      <c r="K2845" s="2" t="s">
        <v>3199</v>
      </c>
      <c r="L2845" s="3">
        <v>63</v>
      </c>
      <c r="M2845" s="3">
        <v>66.15</v>
      </c>
      <c r="N2845" s="3">
        <v>134.99</v>
      </c>
      <c r="O2845" s="2" t="s">
        <v>97</v>
      </c>
      <c r="P2845" s="2" t="s">
        <v>119</v>
      </c>
      <c r="Q2845" s="2" t="s">
        <v>99</v>
      </c>
      <c r="R2845" s="2" t="s">
        <v>100</v>
      </c>
      <c r="S2845" s="2" t="s">
        <v>100</v>
      </c>
      <c r="T2845" s="2" t="s">
        <v>100</v>
      </c>
      <c r="U2845" s="2" t="s">
        <v>1847</v>
      </c>
      <c r="V2845" s="2" t="s">
        <v>3188</v>
      </c>
      <c r="W2845" s="2" t="s">
        <v>104</v>
      </c>
      <c r="X2845" s="2" t="s">
        <v>100</v>
      </c>
      <c r="Y2845" s="2" t="s">
        <v>2278</v>
      </c>
      <c r="Z2845" s="4">
        <v>290</v>
      </c>
      <c r="AA2845" s="4">
        <f>=ROUNDDOWN(58,0)</f>
      </c>
      <c r="AB2845" s="5">
        <v>5</v>
      </c>
      <c r="AC2845" s="2" t="s">
        <v>100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>
        <v>127</v>
      </c>
      <c r="BK2845" s="8">
        <v>9255.82</v>
      </c>
      <c r="BL2845" s="2" t="s">
        <v>9194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2480</v>
      </c>
      <c r="BV2845" s="2" t="s">
        <v>97</v>
      </c>
      <c r="BW2845" s="2" t="s">
        <v>100</v>
      </c>
      <c r="BX2845" s="2" t="s">
        <v>100</v>
      </c>
      <c r="BY2845" s="2" t="s">
        <v>113</v>
      </c>
      <c r="BZ2845" s="2" t="s">
        <v>100</v>
      </c>
    </row>
    <row r="2846">
      <c r="A2846" s="2" t="s">
        <v>9195</v>
      </c>
      <c r="B2846" s="2" t="s">
        <v>9189</v>
      </c>
      <c r="C2846" s="2" t="s">
        <v>2213</v>
      </c>
      <c r="D2846" s="2" t="s">
        <v>9196</v>
      </c>
      <c r="E2846" s="2" t="s">
        <v>9197</v>
      </c>
      <c r="F2846" s="2" t="s">
        <v>9198</v>
      </c>
      <c r="G2846" s="2" t="s">
        <v>9198</v>
      </c>
      <c r="H2846" s="2" t="s">
        <v>9198</v>
      </c>
      <c r="I2846" s="2" t="s">
        <v>9199</v>
      </c>
      <c r="J2846" s="2" t="s">
        <v>3877</v>
      </c>
      <c r="K2846" s="2" t="s">
        <v>3199</v>
      </c>
      <c r="L2846" s="3">
        <v>74.1</v>
      </c>
      <c r="M2846" s="3">
        <v>77.8</v>
      </c>
      <c r="N2846" s="3">
        <v>164.99</v>
      </c>
      <c r="O2846" s="2" t="s">
        <v>97</v>
      </c>
      <c r="P2846" s="2" t="s">
        <v>119</v>
      </c>
      <c r="Q2846" s="2" t="s">
        <v>99</v>
      </c>
      <c r="R2846" s="2" t="s">
        <v>100</v>
      </c>
      <c r="S2846" s="2" t="s">
        <v>100</v>
      </c>
      <c r="T2846" s="2" t="s">
        <v>100</v>
      </c>
      <c r="U2846" s="2" t="s">
        <v>514</v>
      </c>
      <c r="V2846" s="2" t="s">
        <v>3188</v>
      </c>
      <c r="W2846" s="2" t="s">
        <v>309</v>
      </c>
      <c r="X2846" s="2" t="s">
        <v>104</v>
      </c>
      <c r="Y2846" s="2" t="s">
        <v>9200</v>
      </c>
      <c r="Z2846" s="4">
        <v>122</v>
      </c>
      <c r="AA2846" s="4">
        <f>=ROUNDDOWN(81.3333333333333,0)</f>
      </c>
      <c r="AB2846" s="5">
        <v>1.5</v>
      </c>
      <c r="AC2846" s="2" t="s">
        <v>100</v>
      </c>
      <c r="AD2846" s="4"/>
      <c r="AE2846" s="4"/>
      <c r="AF2846" s="6">
        <v>63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>
        <v>51</v>
      </c>
      <c r="BK2846" s="8">
        <v>3822.59</v>
      </c>
      <c r="BL2846" s="2" t="s">
        <v>9201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2480</v>
      </c>
      <c r="BV2846" s="2" t="s">
        <v>97</v>
      </c>
      <c r="BW2846" s="2" t="s">
        <v>100</v>
      </c>
      <c r="BX2846" s="2" t="s">
        <v>100</v>
      </c>
      <c r="BY2846" s="2" t="s">
        <v>113</v>
      </c>
      <c r="BZ2846" s="2" t="s">
        <v>100</v>
      </c>
    </row>
    <row r="2847">
      <c r="A2847" s="2" t="s">
        <v>9202</v>
      </c>
      <c r="B2847" s="2" t="s">
        <v>9189</v>
      </c>
      <c r="C2847" s="2" t="s">
        <v>2213</v>
      </c>
      <c r="D2847" s="2" t="s">
        <v>9203</v>
      </c>
      <c r="E2847" s="2" t="s">
        <v>9204</v>
      </c>
      <c r="F2847" s="2" t="s">
        <v>1158</v>
      </c>
      <c r="G2847" s="2" t="s">
        <v>1158</v>
      </c>
      <c r="H2847" s="2" t="s">
        <v>1158</v>
      </c>
      <c r="I2847" s="2" t="s">
        <v>9205</v>
      </c>
      <c r="J2847" s="2" t="s">
        <v>3877</v>
      </c>
      <c r="K2847" s="2" t="s">
        <v>3560</v>
      </c>
      <c r="L2847" s="3">
        <v>26.6</v>
      </c>
      <c r="M2847" s="3">
        <v>27.93</v>
      </c>
      <c r="N2847" s="3">
        <v>59.99</v>
      </c>
      <c r="O2847" s="2" t="s">
        <v>97</v>
      </c>
      <c r="P2847" s="2" t="s">
        <v>98</v>
      </c>
      <c r="Q2847" s="2" t="s">
        <v>99</v>
      </c>
      <c r="R2847" s="2" t="s">
        <v>100</v>
      </c>
      <c r="S2847" s="2" t="s">
        <v>100</v>
      </c>
      <c r="T2847" s="2" t="s">
        <v>100</v>
      </c>
      <c r="U2847" s="2" t="s">
        <v>100</v>
      </c>
      <c r="V2847" s="2" t="s">
        <v>3188</v>
      </c>
      <c r="W2847" s="2" t="s">
        <v>104</v>
      </c>
      <c r="X2847" s="2" t="s">
        <v>100</v>
      </c>
      <c r="Y2847" s="2" t="s">
        <v>9206</v>
      </c>
      <c r="Z2847" s="4">
        <v>203</v>
      </c>
      <c r="AA2847" s="4">
        <f>=ROUNDDOWN(20.3,0)</f>
      </c>
      <c r="AB2847" s="5">
        <v>10</v>
      </c>
      <c r="AC2847" s="2" t="s">
        <v>5126</v>
      </c>
      <c r="AD2847" s="4">
        <v>140</v>
      </c>
      <c r="AE2847" s="4">
        <v>140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/>
      <c r="BD2847" s="8"/>
      <c r="BE2847" s="4"/>
      <c r="BF2847" s="8"/>
      <c r="BG2847" s="7"/>
      <c r="BH2847" s="7"/>
      <c r="BI2847" s="7"/>
      <c r="BJ2847" s="4">
        <v>260</v>
      </c>
      <c r="BK2847" s="8">
        <v>8341.16</v>
      </c>
      <c r="BL2847" s="2" t="s">
        <v>9207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2480</v>
      </c>
      <c r="BV2847" s="2" t="s">
        <v>97</v>
      </c>
      <c r="BW2847" s="2" t="s">
        <v>100</v>
      </c>
      <c r="BX2847" s="2" t="s">
        <v>100</v>
      </c>
      <c r="BY2847" s="2" t="s">
        <v>113</v>
      </c>
      <c r="BZ2847" s="2" t="s">
        <v>245</v>
      </c>
    </row>
    <row r="2848">
      <c r="A2848" s="2" t="s">
        <v>9208</v>
      </c>
      <c r="B2848" s="2" t="s">
        <v>9189</v>
      </c>
      <c r="C2848" s="2" t="s">
        <v>2213</v>
      </c>
      <c r="D2848" s="2" t="s">
        <v>9203</v>
      </c>
      <c r="E2848" s="2" t="s">
        <v>9204</v>
      </c>
      <c r="F2848" s="2" t="s">
        <v>9209</v>
      </c>
      <c r="G2848" s="2" t="s">
        <v>9209</v>
      </c>
      <c r="H2848" s="2" t="s">
        <v>9209</v>
      </c>
      <c r="I2848" s="2" t="s">
        <v>9210</v>
      </c>
      <c r="J2848" s="2" t="s">
        <v>3877</v>
      </c>
      <c r="K2848" s="2" t="s">
        <v>118</v>
      </c>
      <c r="L2848" s="3">
        <v>54.94</v>
      </c>
      <c r="M2848" s="3">
        <v>57.69</v>
      </c>
      <c r="N2848" s="3">
        <v>119.99</v>
      </c>
      <c r="O2848" s="2" t="s">
        <v>97</v>
      </c>
      <c r="P2848" s="2" t="s">
        <v>119</v>
      </c>
      <c r="Q2848" s="2" t="s">
        <v>99</v>
      </c>
      <c r="R2848" s="2" t="s">
        <v>100</v>
      </c>
      <c r="S2848" s="2" t="s">
        <v>100</v>
      </c>
      <c r="T2848" s="2" t="s">
        <v>100</v>
      </c>
      <c r="U2848" s="2" t="s">
        <v>100</v>
      </c>
      <c r="V2848" s="2" t="s">
        <v>146</v>
      </c>
      <c r="W2848" s="2" t="s">
        <v>100</v>
      </c>
      <c r="X2848" s="2" t="s">
        <v>100</v>
      </c>
      <c r="Y2848" s="2" t="s">
        <v>2509</v>
      </c>
      <c r="Z2848" s="4">
        <v>160</v>
      </c>
      <c r="AA2848" s="4">
        <f>=ROUNDDOWN(35.5555555555556,0)</f>
      </c>
      <c r="AB2848" s="5">
        <v>4.5</v>
      </c>
      <c r="AC2848" s="2" t="s">
        <v>100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/>
      <c r="BJ2848" s="4">
        <v>125</v>
      </c>
      <c r="BK2848" s="8">
        <v>7594.66</v>
      </c>
      <c r="BL2848" s="2" t="s">
        <v>9211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2480</v>
      </c>
      <c r="BV2848" s="2" t="s">
        <v>97</v>
      </c>
      <c r="BW2848" s="2" t="s">
        <v>100</v>
      </c>
      <c r="BX2848" s="2" t="s">
        <v>100</v>
      </c>
      <c r="BY2848" s="2" t="s">
        <v>113</v>
      </c>
      <c r="BZ2848" s="2" t="s">
        <v>100</v>
      </c>
    </row>
    <row r="2849">
      <c r="A2849" s="2" t="s">
        <v>9212</v>
      </c>
      <c r="B2849" s="2" t="s">
        <v>9189</v>
      </c>
      <c r="C2849" s="2" t="s">
        <v>2213</v>
      </c>
      <c r="D2849" s="2" t="s">
        <v>9203</v>
      </c>
      <c r="E2849" s="2" t="s">
        <v>9204</v>
      </c>
      <c r="F2849" s="2" t="s">
        <v>9209</v>
      </c>
      <c r="G2849" s="2" t="s">
        <v>9209</v>
      </c>
      <c r="H2849" s="2" t="s">
        <v>9209</v>
      </c>
      <c r="I2849" s="2" t="s">
        <v>9210</v>
      </c>
      <c r="J2849" s="2" t="s">
        <v>3877</v>
      </c>
      <c r="K2849" s="2" t="s">
        <v>5109</v>
      </c>
      <c r="L2849" s="3">
        <v>54.94</v>
      </c>
      <c r="M2849" s="3">
        <v>57.69</v>
      </c>
      <c r="N2849" s="3">
        <v>119.99</v>
      </c>
      <c r="O2849" s="2" t="s">
        <v>97</v>
      </c>
      <c r="P2849" s="2" t="s">
        <v>119</v>
      </c>
      <c r="Q2849" s="2" t="s">
        <v>99</v>
      </c>
      <c r="R2849" s="2" t="s">
        <v>100</v>
      </c>
      <c r="S2849" s="2" t="s">
        <v>100</v>
      </c>
      <c r="T2849" s="2" t="s">
        <v>100</v>
      </c>
      <c r="U2849" s="2" t="s">
        <v>1847</v>
      </c>
      <c r="V2849" s="2" t="s">
        <v>3188</v>
      </c>
      <c r="W2849" s="2" t="s">
        <v>104</v>
      </c>
      <c r="X2849" s="2" t="s">
        <v>100</v>
      </c>
      <c r="Y2849" s="2" t="s">
        <v>9213</v>
      </c>
      <c r="Z2849" s="4">
        <v>169</v>
      </c>
      <c r="AA2849" s="4">
        <f>=ROUNDDOWN(33.8,0)</f>
      </c>
      <c r="AB2849" s="5">
        <v>5</v>
      </c>
      <c r="AC2849" s="2" t="s">
        <v>100</v>
      </c>
      <c r="AD2849" s="4"/>
      <c r="AE2849" s="4"/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/>
      <c r="BJ2849" s="4">
        <v>120</v>
      </c>
      <c r="BK2849" s="8">
        <v>7249.66</v>
      </c>
      <c r="BL2849" s="2" t="s">
        <v>9214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2480</v>
      </c>
      <c r="BV2849" s="2" t="s">
        <v>97</v>
      </c>
      <c r="BW2849" s="2" t="s">
        <v>100</v>
      </c>
      <c r="BX2849" s="2" t="s">
        <v>100</v>
      </c>
      <c r="BY2849" s="2" t="s">
        <v>113</v>
      </c>
      <c r="BZ2849" s="2" t="s">
        <v>100</v>
      </c>
    </row>
    <row r="2850">
      <c r="A2850" s="2" t="s">
        <v>9215</v>
      </c>
      <c r="B2850" s="2" t="s">
        <v>9189</v>
      </c>
      <c r="C2850" s="2" t="s">
        <v>2213</v>
      </c>
      <c r="D2850" s="2" t="s">
        <v>9203</v>
      </c>
      <c r="E2850" s="2" t="s">
        <v>9204</v>
      </c>
      <c r="F2850" s="2" t="s">
        <v>9216</v>
      </c>
      <c r="G2850" s="2" t="s">
        <v>9216</v>
      </c>
      <c r="H2850" s="2" t="s">
        <v>9216</v>
      </c>
      <c r="I2850" s="2" t="s">
        <v>9217</v>
      </c>
      <c r="J2850" s="2" t="s">
        <v>3877</v>
      </c>
      <c r="K2850" s="2" t="s">
        <v>189</v>
      </c>
      <c r="L2850" s="3">
        <v>37.75</v>
      </c>
      <c r="M2850" s="3">
        <v>39.64</v>
      </c>
      <c r="N2850" s="3">
        <v>84.99</v>
      </c>
      <c r="O2850" s="2" t="s">
        <v>97</v>
      </c>
      <c r="P2850" s="2" t="s">
        <v>119</v>
      </c>
      <c r="Q2850" s="2" t="s">
        <v>99</v>
      </c>
      <c r="R2850" s="2" t="s">
        <v>100</v>
      </c>
      <c r="S2850" s="2" t="s">
        <v>100</v>
      </c>
      <c r="T2850" s="2" t="s">
        <v>100</v>
      </c>
      <c r="U2850" s="2" t="s">
        <v>1847</v>
      </c>
      <c r="V2850" s="2" t="s">
        <v>3188</v>
      </c>
      <c r="W2850" s="2" t="s">
        <v>561</v>
      </c>
      <c r="X2850" s="2" t="s">
        <v>100</v>
      </c>
      <c r="Y2850" s="2" t="s">
        <v>9218</v>
      </c>
      <c r="Z2850" s="4">
        <v>68</v>
      </c>
      <c r="AA2850" s="4">
        <f>=ROUNDDOWN(22.6666666666667,0)</f>
      </c>
      <c r="AB2850" s="5">
        <v>3</v>
      </c>
      <c r="AC2850" s="2" t="s">
        <v>100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/>
      <c r="BD2850" s="8"/>
      <c r="BE2850" s="4"/>
      <c r="BF2850" s="8"/>
      <c r="BG2850" s="7"/>
      <c r="BH2850" s="7"/>
      <c r="BI2850" s="7"/>
      <c r="BJ2850" s="4">
        <v>62</v>
      </c>
      <c r="BK2850" s="8">
        <v>2858.68</v>
      </c>
      <c r="BL2850" s="2" t="s">
        <v>9219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2480</v>
      </c>
      <c r="BV2850" s="2" t="s">
        <v>97</v>
      </c>
      <c r="BW2850" s="2" t="s">
        <v>100</v>
      </c>
      <c r="BX2850" s="2" t="s">
        <v>100</v>
      </c>
      <c r="BY2850" s="2" t="s">
        <v>113</v>
      </c>
      <c r="BZ2850" s="2" t="s">
        <v>100</v>
      </c>
    </row>
    <row r="2851">
      <c r="A2851" s="2" t="s">
        <v>9220</v>
      </c>
      <c r="B2851" s="2" t="s">
        <v>9189</v>
      </c>
      <c r="C2851" s="2" t="s">
        <v>2213</v>
      </c>
      <c r="D2851" s="2" t="s">
        <v>9203</v>
      </c>
      <c r="E2851" s="2" t="s">
        <v>9204</v>
      </c>
      <c r="F2851" s="2" t="s">
        <v>9221</v>
      </c>
      <c r="G2851" s="2" t="s">
        <v>9221</v>
      </c>
      <c r="H2851" s="2" t="s">
        <v>9221</v>
      </c>
      <c r="I2851" s="2" t="s">
        <v>9222</v>
      </c>
      <c r="J2851" s="2" t="s">
        <v>3877</v>
      </c>
      <c r="K2851" s="2" t="s">
        <v>3199</v>
      </c>
      <c r="L2851" s="3">
        <v>24.8</v>
      </c>
      <c r="M2851" s="3">
        <v>26.04</v>
      </c>
      <c r="N2851" s="3">
        <v>49.99</v>
      </c>
      <c r="O2851" s="2" t="s">
        <v>97</v>
      </c>
      <c r="P2851" s="2" t="s">
        <v>225</v>
      </c>
      <c r="Q2851" s="2" t="s">
        <v>99</v>
      </c>
      <c r="R2851" s="2" t="s">
        <v>100</v>
      </c>
      <c r="S2851" s="2" t="s">
        <v>100</v>
      </c>
      <c r="T2851" s="2" t="s">
        <v>100</v>
      </c>
      <c r="U2851" s="2" t="s">
        <v>1847</v>
      </c>
      <c r="V2851" s="2" t="s">
        <v>3188</v>
      </c>
      <c r="W2851" s="2" t="s">
        <v>104</v>
      </c>
      <c r="X2851" s="2" t="s">
        <v>183</v>
      </c>
      <c r="Y2851" s="2" t="s">
        <v>3205</v>
      </c>
      <c r="Z2851" s="4">
        <v>25</v>
      </c>
      <c r="AA2851" s="4">
        <f>=ROUNDDOWN(3.37837837837838,0)</f>
      </c>
      <c r="AB2851" s="5">
        <v>7.4</v>
      </c>
      <c r="AC2851" s="2" t="s">
        <v>1457</v>
      </c>
      <c r="AD2851" s="4">
        <v>100</v>
      </c>
      <c r="AE2851" s="4">
        <v>200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/>
      <c r="BD2851" s="8"/>
      <c r="BE2851" s="4"/>
      <c r="BF2851" s="8"/>
      <c r="BG2851" s="7"/>
      <c r="BH2851" s="7"/>
      <c r="BI2851" s="7"/>
      <c r="BJ2851" s="4">
        <v>62</v>
      </c>
      <c r="BK2851" s="8">
        <v>1760.99</v>
      </c>
      <c r="BL2851" s="2" t="s">
        <v>9223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2480</v>
      </c>
      <c r="BV2851" s="2" t="s">
        <v>97</v>
      </c>
      <c r="BW2851" s="2" t="s">
        <v>100</v>
      </c>
      <c r="BX2851" s="2" t="s">
        <v>100</v>
      </c>
      <c r="BY2851" s="2" t="s">
        <v>113</v>
      </c>
      <c r="BZ2851" s="2" t="s">
        <v>100</v>
      </c>
    </row>
    <row r="2852">
      <c r="A2852" s="2" t="s">
        <v>9224</v>
      </c>
      <c r="B2852" s="2" t="s">
        <v>9189</v>
      </c>
      <c r="C2852" s="2" t="s">
        <v>2213</v>
      </c>
      <c r="D2852" s="2" t="s">
        <v>9203</v>
      </c>
      <c r="E2852" s="2" t="s">
        <v>9204</v>
      </c>
      <c r="F2852" s="2" t="s">
        <v>9225</v>
      </c>
      <c r="G2852" s="2" t="s">
        <v>9225</v>
      </c>
      <c r="H2852" s="2" t="s">
        <v>9225</v>
      </c>
      <c r="I2852" s="2" t="s">
        <v>9226</v>
      </c>
      <c r="J2852" s="2" t="s">
        <v>3877</v>
      </c>
      <c r="K2852" s="2" t="s">
        <v>3199</v>
      </c>
      <c r="L2852" s="3">
        <v>80.15</v>
      </c>
      <c r="M2852" s="3">
        <v>84.16</v>
      </c>
      <c r="N2852" s="3">
        <v>184.99</v>
      </c>
      <c r="O2852" s="2" t="s">
        <v>97</v>
      </c>
      <c r="P2852" s="2" t="s">
        <v>98</v>
      </c>
      <c r="Q2852" s="2" t="s">
        <v>99</v>
      </c>
      <c r="R2852" s="2" t="s">
        <v>100</v>
      </c>
      <c r="S2852" s="2" t="s">
        <v>100</v>
      </c>
      <c r="T2852" s="2" t="s">
        <v>100</v>
      </c>
      <c r="U2852" s="2" t="s">
        <v>514</v>
      </c>
      <c r="V2852" s="2" t="s">
        <v>3188</v>
      </c>
      <c r="W2852" s="2" t="s">
        <v>104</v>
      </c>
      <c r="X2852" s="2" t="s">
        <v>100</v>
      </c>
      <c r="Y2852" s="2" t="s">
        <v>9227</v>
      </c>
      <c r="Z2852" s="4">
        <v>258</v>
      </c>
      <c r="AA2852" s="4">
        <f>=ROUNDDOWN(44.4827586206897,0)</f>
      </c>
      <c r="AB2852" s="5">
        <v>5.8</v>
      </c>
      <c r="AC2852" s="2" t="s">
        <v>100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/>
      <c r="BJ2852" s="4">
        <v>168</v>
      </c>
      <c r="BK2852" s="8">
        <v>15105.86</v>
      </c>
      <c r="BL2852" s="2" t="s">
        <v>9214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2480</v>
      </c>
      <c r="BV2852" s="2" t="s">
        <v>97</v>
      </c>
      <c r="BW2852" s="2" t="s">
        <v>100</v>
      </c>
      <c r="BX2852" s="2" t="s">
        <v>100</v>
      </c>
      <c r="BY2852" s="2" t="s">
        <v>113</v>
      </c>
      <c r="BZ2852" s="2" t="s">
        <v>100</v>
      </c>
    </row>
    <row r="2853">
      <c r="A2853" s="2" t="s">
        <v>9228</v>
      </c>
      <c r="B2853" s="2" t="s">
        <v>9189</v>
      </c>
      <c r="C2853" s="2" t="s">
        <v>2213</v>
      </c>
      <c r="D2853" s="2" t="s">
        <v>9203</v>
      </c>
      <c r="E2853" s="2" t="s">
        <v>9204</v>
      </c>
      <c r="F2853" s="2" t="s">
        <v>9225</v>
      </c>
      <c r="G2853" s="2" t="s">
        <v>9225</v>
      </c>
      <c r="H2853" s="2" t="s">
        <v>9225</v>
      </c>
      <c r="I2853" s="2" t="s">
        <v>9226</v>
      </c>
      <c r="J2853" s="2" t="s">
        <v>3877</v>
      </c>
      <c r="K2853" s="2" t="s">
        <v>1340</v>
      </c>
      <c r="L2853" s="3">
        <v>80.15</v>
      </c>
      <c r="M2853" s="3">
        <v>84.16</v>
      </c>
      <c r="N2853" s="3">
        <v>184.99</v>
      </c>
      <c r="O2853" s="2" t="s">
        <v>97</v>
      </c>
      <c r="P2853" s="2" t="s">
        <v>98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514</v>
      </c>
      <c r="V2853" s="2" t="s">
        <v>3188</v>
      </c>
      <c r="W2853" s="2" t="s">
        <v>183</v>
      </c>
      <c r="X2853" s="2" t="s">
        <v>100</v>
      </c>
      <c r="Y2853" s="2" t="s">
        <v>1486</v>
      </c>
      <c r="Z2853" s="4">
        <v>152</v>
      </c>
      <c r="AA2853" s="4">
        <f>=ROUNDDOWN(50.6666666666667,0)</f>
      </c>
      <c r="AB2853" s="5">
        <v>3</v>
      </c>
      <c r="AC2853" s="2" t="s">
        <v>100</v>
      </c>
      <c r="AD2853" s="4"/>
      <c r="AE2853" s="4"/>
      <c r="AF2853" s="6">
        <v>65</v>
      </c>
      <c r="AG2853" s="6"/>
      <c r="AH2853" s="7">
        <v>0.9358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/>
      <c r="BJ2853" s="4">
        <v>77</v>
      </c>
      <c r="BK2853" s="8">
        <v>6543.75</v>
      </c>
      <c r="BL2853" s="2" t="s">
        <v>9229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2480</v>
      </c>
      <c r="BV2853" s="2" t="s">
        <v>97</v>
      </c>
      <c r="BW2853" s="2" t="s">
        <v>100</v>
      </c>
      <c r="BX2853" s="2" t="s">
        <v>100</v>
      </c>
      <c r="BY2853" s="2" t="s">
        <v>113</v>
      </c>
      <c r="BZ2853" s="2" t="s">
        <v>245</v>
      </c>
    </row>
    <row r="2854">
      <c r="A2854" s="2" t="s">
        <v>9230</v>
      </c>
      <c r="B2854" s="2" t="s">
        <v>9189</v>
      </c>
      <c r="C2854" s="2" t="s">
        <v>2213</v>
      </c>
      <c r="D2854" s="2" t="s">
        <v>9203</v>
      </c>
      <c r="E2854" s="2" t="s">
        <v>9204</v>
      </c>
      <c r="F2854" s="2" t="s">
        <v>9231</v>
      </c>
      <c r="G2854" s="2" t="s">
        <v>9231</v>
      </c>
      <c r="H2854" s="2" t="s">
        <v>9231</v>
      </c>
      <c r="I2854" s="2" t="s">
        <v>9232</v>
      </c>
      <c r="J2854" s="2" t="s">
        <v>3877</v>
      </c>
      <c r="K2854" s="2" t="s">
        <v>118</v>
      </c>
      <c r="L2854" s="3">
        <v>94.62</v>
      </c>
      <c r="M2854" s="3">
        <v>99.35</v>
      </c>
      <c r="N2854" s="3">
        <v>214.99</v>
      </c>
      <c r="O2854" s="2" t="s">
        <v>97</v>
      </c>
      <c r="P2854" s="2" t="s">
        <v>119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100</v>
      </c>
      <c r="V2854" s="2" t="s">
        <v>146</v>
      </c>
      <c r="W2854" s="2" t="s">
        <v>183</v>
      </c>
      <c r="X2854" s="2" t="s">
        <v>100</v>
      </c>
      <c r="Y2854" s="2" t="s">
        <v>9233</v>
      </c>
      <c r="Z2854" s="4">
        <v>187</v>
      </c>
      <c r="AA2854" s="4">
        <f>=ROUNDDOWN(37.4,0)</f>
      </c>
      <c r="AB2854" s="5">
        <v>5</v>
      </c>
      <c r="AC2854" s="2" t="s">
        <v>100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/>
      <c r="BD2854" s="8"/>
      <c r="BE2854" s="4"/>
      <c r="BF2854" s="8"/>
      <c r="BG2854" s="7"/>
      <c r="BH2854" s="7"/>
      <c r="BI2854" s="7"/>
      <c r="BJ2854" s="4">
        <v>146</v>
      </c>
      <c r="BK2854" s="8">
        <v>15799.82</v>
      </c>
      <c r="BL2854" s="2" t="s">
        <v>9234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2480</v>
      </c>
      <c r="BV2854" s="2" t="s">
        <v>97</v>
      </c>
      <c r="BW2854" s="2" t="s">
        <v>100</v>
      </c>
      <c r="BX2854" s="2" t="s">
        <v>100</v>
      </c>
      <c r="BY2854" s="2" t="s">
        <v>113</v>
      </c>
      <c r="BZ2854" s="2" t="s">
        <v>245</v>
      </c>
    </row>
    <row r="2855">
      <c r="A2855" s="2" t="s">
        <v>9235</v>
      </c>
      <c r="B2855" s="2" t="s">
        <v>9189</v>
      </c>
      <c r="C2855" s="2" t="s">
        <v>2213</v>
      </c>
      <c r="D2855" s="2" t="s">
        <v>9203</v>
      </c>
      <c r="E2855" s="2" t="s">
        <v>9204</v>
      </c>
      <c r="F2855" s="2" t="s">
        <v>9236</v>
      </c>
      <c r="G2855" s="2" t="s">
        <v>9236</v>
      </c>
      <c r="H2855" s="2" t="s">
        <v>9236</v>
      </c>
      <c r="I2855" s="2" t="s">
        <v>9237</v>
      </c>
      <c r="J2855" s="2" t="s">
        <v>3877</v>
      </c>
      <c r="K2855" s="2" t="s">
        <v>189</v>
      </c>
      <c r="L2855" s="3">
        <v>62.74</v>
      </c>
      <c r="M2855" s="3">
        <v>65.88</v>
      </c>
      <c r="N2855" s="3">
        <v>134.99</v>
      </c>
      <c r="O2855" s="2" t="s">
        <v>97</v>
      </c>
      <c r="P2855" s="2" t="s">
        <v>119</v>
      </c>
      <c r="Q2855" s="2" t="s">
        <v>99</v>
      </c>
      <c r="R2855" s="2" t="s">
        <v>100</v>
      </c>
      <c r="S2855" s="2" t="s">
        <v>100</v>
      </c>
      <c r="T2855" s="2" t="s">
        <v>100</v>
      </c>
      <c r="U2855" s="2" t="s">
        <v>514</v>
      </c>
      <c r="V2855" s="2" t="s">
        <v>3188</v>
      </c>
      <c r="W2855" s="2" t="s">
        <v>183</v>
      </c>
      <c r="X2855" s="2" t="s">
        <v>100</v>
      </c>
      <c r="Y2855" s="2" t="s">
        <v>1486</v>
      </c>
      <c r="Z2855" s="4">
        <v>31</v>
      </c>
      <c r="AA2855" s="4">
        <f>=ROUNDDOWN(15.5,0)</f>
      </c>
      <c r="AB2855" s="5">
        <v>2</v>
      </c>
      <c r="AC2855" s="2" t="s">
        <v>100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/>
      <c r="BD2855" s="8"/>
      <c r="BE2855" s="4"/>
      <c r="BF2855" s="8"/>
      <c r="BG2855" s="7"/>
      <c r="BH2855" s="7"/>
      <c r="BI2855" s="7"/>
      <c r="BJ2855" s="4">
        <v>66</v>
      </c>
      <c r="BK2855" s="8">
        <v>4863.3</v>
      </c>
      <c r="BL2855" s="2" t="s">
        <v>9238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2480</v>
      </c>
      <c r="BV2855" s="2" t="s">
        <v>97</v>
      </c>
      <c r="BW2855" s="2" t="s">
        <v>100</v>
      </c>
      <c r="BX2855" s="2" t="s">
        <v>100</v>
      </c>
      <c r="BY2855" s="2" t="s">
        <v>113</v>
      </c>
      <c r="BZ2855" s="2" t="s">
        <v>245</v>
      </c>
    </row>
    <row r="2856">
      <c r="A2856" s="2" t="s">
        <v>9239</v>
      </c>
      <c r="B2856" s="2" t="s">
        <v>9189</v>
      </c>
      <c r="C2856" s="2" t="s">
        <v>2213</v>
      </c>
      <c r="D2856" s="2" t="s">
        <v>9203</v>
      </c>
      <c r="E2856" s="2" t="s">
        <v>9204</v>
      </c>
      <c r="F2856" s="2" t="s">
        <v>9240</v>
      </c>
      <c r="G2856" s="2" t="s">
        <v>9240</v>
      </c>
      <c r="H2856" s="2" t="s">
        <v>9240</v>
      </c>
      <c r="I2856" s="2" t="s">
        <v>9241</v>
      </c>
      <c r="J2856" s="2" t="s">
        <v>3877</v>
      </c>
      <c r="K2856" s="2" t="s">
        <v>9242</v>
      </c>
      <c r="L2856" s="3">
        <v>28.87</v>
      </c>
      <c r="M2856" s="3">
        <v>30.31</v>
      </c>
      <c r="N2856" s="3">
        <v>64.99</v>
      </c>
      <c r="O2856" s="2" t="s">
        <v>97</v>
      </c>
      <c r="P2856" s="2" t="s">
        <v>119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1847</v>
      </c>
      <c r="V2856" s="2" t="s">
        <v>146</v>
      </c>
      <c r="W2856" s="2" t="s">
        <v>183</v>
      </c>
      <c r="X2856" s="2" t="s">
        <v>100</v>
      </c>
      <c r="Y2856" s="2" t="s">
        <v>9233</v>
      </c>
      <c r="Z2856" s="4">
        <v>131</v>
      </c>
      <c r="AA2856" s="4">
        <f>=ROUNDDOWN(21.8333333333333,0)</f>
      </c>
      <c r="AB2856" s="5">
        <v>6</v>
      </c>
      <c r="AC2856" s="2" t="s">
        <v>1516</v>
      </c>
      <c r="AD2856" s="4">
        <v>100</v>
      </c>
      <c r="AE2856" s="4">
        <v>100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/>
      <c r="BD2856" s="8"/>
      <c r="BE2856" s="4"/>
      <c r="BF2856" s="8"/>
      <c r="BG2856" s="7"/>
      <c r="BH2856" s="7"/>
      <c r="BI2856" s="7"/>
      <c r="BJ2856" s="4">
        <v>168</v>
      </c>
      <c r="BK2856" s="8">
        <v>5356.08</v>
      </c>
      <c r="BL2856" s="2" t="s">
        <v>9243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2480</v>
      </c>
      <c r="BV2856" s="2" t="s">
        <v>97</v>
      </c>
      <c r="BW2856" s="2" t="s">
        <v>100</v>
      </c>
      <c r="BX2856" s="2" t="s">
        <v>100</v>
      </c>
      <c r="BY2856" s="2" t="s">
        <v>113</v>
      </c>
      <c r="BZ2856" s="2" t="s">
        <v>245</v>
      </c>
    </row>
    <row r="2857">
      <c r="A2857" s="2" t="s">
        <v>9244</v>
      </c>
      <c r="B2857" s="2" t="s">
        <v>9189</v>
      </c>
      <c r="C2857" s="2" t="s">
        <v>2213</v>
      </c>
      <c r="D2857" s="2" t="s">
        <v>9203</v>
      </c>
      <c r="E2857" s="2" t="s">
        <v>9204</v>
      </c>
      <c r="F2857" s="2" t="s">
        <v>2918</v>
      </c>
      <c r="G2857" s="2" t="s">
        <v>2918</v>
      </c>
      <c r="H2857" s="2" t="s">
        <v>2918</v>
      </c>
      <c r="I2857" s="2" t="s">
        <v>9237</v>
      </c>
      <c r="J2857" s="2" t="s">
        <v>8956</v>
      </c>
      <c r="K2857" s="2" t="s">
        <v>118</v>
      </c>
      <c r="L2857" s="3">
        <v>68.82</v>
      </c>
      <c r="M2857" s="3">
        <v>72.26</v>
      </c>
      <c r="N2857" s="3">
        <v>149.99</v>
      </c>
      <c r="O2857" s="2" t="s">
        <v>97</v>
      </c>
      <c r="P2857" s="2" t="s">
        <v>119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514</v>
      </c>
      <c r="V2857" s="2" t="s">
        <v>3188</v>
      </c>
      <c r="W2857" s="2" t="s">
        <v>183</v>
      </c>
      <c r="X2857" s="2" t="s">
        <v>1580</v>
      </c>
      <c r="Y2857" s="2" t="s">
        <v>6410</v>
      </c>
      <c r="Z2857" s="4">
        <v>193</v>
      </c>
      <c r="AA2857" s="4">
        <f>=ROUNDDOWN(38.6,0)</f>
      </c>
      <c r="AB2857" s="5">
        <v>5</v>
      </c>
      <c r="AC2857" s="2" t="s">
        <v>320</v>
      </c>
      <c r="AD2857" s="4">
        <v>800</v>
      </c>
      <c r="AE2857" s="4">
        <v>800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/>
      <c r="BJ2857" s="4">
        <v>111</v>
      </c>
      <c r="BK2857" s="8">
        <v>8616.1</v>
      </c>
      <c r="BL2857" s="2" t="s">
        <v>9245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2480</v>
      </c>
      <c r="BV2857" s="2" t="s">
        <v>97</v>
      </c>
      <c r="BW2857" s="2" t="s">
        <v>100</v>
      </c>
      <c r="BX2857" s="2" t="s">
        <v>100</v>
      </c>
      <c r="BY2857" s="2" t="s">
        <v>113</v>
      </c>
      <c r="BZ2857" s="2" t="s">
        <v>245</v>
      </c>
    </row>
    <row r="2858">
      <c r="A2858" s="2" t="s">
        <v>9246</v>
      </c>
      <c r="B2858" s="2" t="s">
        <v>9189</v>
      </c>
      <c r="C2858" s="2" t="s">
        <v>2213</v>
      </c>
      <c r="D2858" s="2" t="s">
        <v>9203</v>
      </c>
      <c r="E2858" s="2" t="s">
        <v>9204</v>
      </c>
      <c r="F2858" s="2" t="s">
        <v>2918</v>
      </c>
      <c r="G2858" s="2" t="s">
        <v>2918</v>
      </c>
      <c r="H2858" s="2" t="s">
        <v>2918</v>
      </c>
      <c r="I2858" s="2" t="s">
        <v>9237</v>
      </c>
      <c r="J2858" s="2" t="s">
        <v>8956</v>
      </c>
      <c r="K2858" s="2" t="s">
        <v>3199</v>
      </c>
      <c r="L2858" s="3">
        <v>68.82</v>
      </c>
      <c r="M2858" s="3">
        <v>72.26</v>
      </c>
      <c r="N2858" s="3">
        <v>149.99</v>
      </c>
      <c r="O2858" s="2" t="s">
        <v>97</v>
      </c>
      <c r="P2858" s="2" t="s">
        <v>372</v>
      </c>
      <c r="Q2858" s="2" t="s">
        <v>99</v>
      </c>
      <c r="R2858" s="2" t="s">
        <v>100</v>
      </c>
      <c r="S2858" s="2" t="s">
        <v>100</v>
      </c>
      <c r="T2858" s="2" t="s">
        <v>100</v>
      </c>
      <c r="U2858" s="2" t="s">
        <v>514</v>
      </c>
      <c r="V2858" s="2" t="s">
        <v>3188</v>
      </c>
      <c r="W2858" s="2" t="s">
        <v>183</v>
      </c>
      <c r="X2858" s="2" t="s">
        <v>100</v>
      </c>
      <c r="Y2858" s="2" t="s">
        <v>1486</v>
      </c>
      <c r="Z2858" s="4">
        <v>451</v>
      </c>
      <c r="AA2858" s="4">
        <f>=ROUNDDOWN(21.4761904761905,0)</f>
      </c>
      <c r="AB2858" s="5">
        <v>21</v>
      </c>
      <c r="AC2858" s="2" t="s">
        <v>320</v>
      </c>
      <c r="AD2858" s="4">
        <v>800</v>
      </c>
      <c r="AE2858" s="4">
        <v>1100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>
        <v>540</v>
      </c>
      <c r="BK2858" s="8">
        <v>41446.63</v>
      </c>
      <c r="BL2858" s="2" t="s">
        <v>9247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2480</v>
      </c>
      <c r="BV2858" s="2" t="s">
        <v>97</v>
      </c>
      <c r="BW2858" s="2" t="s">
        <v>100</v>
      </c>
      <c r="BX2858" s="2" t="s">
        <v>100</v>
      </c>
      <c r="BY2858" s="2" t="s">
        <v>113</v>
      </c>
      <c r="BZ2858" s="2" t="s">
        <v>245</v>
      </c>
    </row>
    <row r="2859">
      <c r="A2859" s="2" t="s">
        <v>9248</v>
      </c>
      <c r="B2859" s="2" t="s">
        <v>9189</v>
      </c>
      <c r="C2859" s="2" t="s">
        <v>2213</v>
      </c>
      <c r="D2859" s="2" t="s">
        <v>9203</v>
      </c>
      <c r="E2859" s="2" t="s">
        <v>9204</v>
      </c>
      <c r="F2859" s="2" t="s">
        <v>2918</v>
      </c>
      <c r="G2859" s="2" t="s">
        <v>2918</v>
      </c>
      <c r="H2859" s="2" t="s">
        <v>2918</v>
      </c>
      <c r="I2859" s="2" t="s">
        <v>9237</v>
      </c>
      <c r="J2859" s="2" t="s">
        <v>8956</v>
      </c>
      <c r="K2859" s="2" t="s">
        <v>1148</v>
      </c>
      <c r="L2859" s="3">
        <v>68.82</v>
      </c>
      <c r="M2859" s="3">
        <v>72.26</v>
      </c>
      <c r="N2859" s="3">
        <v>149.99</v>
      </c>
      <c r="O2859" s="2" t="s">
        <v>97</v>
      </c>
      <c r="P2859" s="2" t="s">
        <v>119</v>
      </c>
      <c r="Q2859" s="2" t="s">
        <v>99</v>
      </c>
      <c r="R2859" s="2" t="s">
        <v>100</v>
      </c>
      <c r="S2859" s="2" t="s">
        <v>100</v>
      </c>
      <c r="T2859" s="2" t="s">
        <v>100</v>
      </c>
      <c r="U2859" s="2" t="s">
        <v>514</v>
      </c>
      <c r="V2859" s="2" t="s">
        <v>3188</v>
      </c>
      <c r="W2859" s="2" t="s">
        <v>183</v>
      </c>
      <c r="X2859" s="2" t="s">
        <v>1580</v>
      </c>
      <c r="Y2859" s="2" t="s">
        <v>6410</v>
      </c>
      <c r="Z2859" s="4">
        <v>83</v>
      </c>
      <c r="AA2859" s="4">
        <f>=ROUNDDOWN(27.6666666666667,0)</f>
      </c>
      <c r="AB2859" s="5">
        <v>3</v>
      </c>
      <c r="AC2859" s="2" t="s">
        <v>100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/>
      <c r="BJ2859" s="4">
        <v>87</v>
      </c>
      <c r="BK2859" s="8">
        <v>6361.52</v>
      </c>
      <c r="BL2859" s="2" t="s">
        <v>9249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2480</v>
      </c>
      <c r="BV2859" s="2" t="s">
        <v>97</v>
      </c>
      <c r="BW2859" s="2" t="s">
        <v>100</v>
      </c>
      <c r="BX2859" s="2" t="s">
        <v>100</v>
      </c>
      <c r="BY2859" s="2" t="s">
        <v>113</v>
      </c>
      <c r="BZ2859" s="2" t="s">
        <v>245</v>
      </c>
    </row>
    <row r="2860">
      <c r="A2860" s="2" t="s">
        <v>9250</v>
      </c>
      <c r="B2860" s="2" t="s">
        <v>9189</v>
      </c>
      <c r="C2860" s="2" t="s">
        <v>2213</v>
      </c>
      <c r="D2860" s="2" t="s">
        <v>9203</v>
      </c>
      <c r="E2860" s="2" t="s">
        <v>9204</v>
      </c>
      <c r="F2860" s="2" t="s">
        <v>2918</v>
      </c>
      <c r="G2860" s="2" t="s">
        <v>2918</v>
      </c>
      <c r="H2860" s="2" t="s">
        <v>2918</v>
      </c>
      <c r="I2860" s="2" t="s">
        <v>9237</v>
      </c>
      <c r="J2860" s="2" t="s">
        <v>8956</v>
      </c>
      <c r="K2860" s="2" t="s">
        <v>3560</v>
      </c>
      <c r="L2860" s="3">
        <v>68.82</v>
      </c>
      <c r="M2860" s="3">
        <v>72.26</v>
      </c>
      <c r="N2860" s="3">
        <v>149.99</v>
      </c>
      <c r="O2860" s="2" t="s">
        <v>97</v>
      </c>
      <c r="P2860" s="2" t="s">
        <v>119</v>
      </c>
      <c r="Q2860" s="2" t="s">
        <v>99</v>
      </c>
      <c r="R2860" s="2" t="s">
        <v>100</v>
      </c>
      <c r="S2860" s="2" t="s">
        <v>100</v>
      </c>
      <c r="T2860" s="2" t="s">
        <v>100</v>
      </c>
      <c r="U2860" s="2" t="s">
        <v>514</v>
      </c>
      <c r="V2860" s="2" t="s">
        <v>3188</v>
      </c>
      <c r="W2860" s="2" t="s">
        <v>183</v>
      </c>
      <c r="X2860" s="2" t="s">
        <v>1580</v>
      </c>
      <c r="Y2860" s="2" t="s">
        <v>6410</v>
      </c>
      <c r="Z2860" s="4">
        <v>103</v>
      </c>
      <c r="AA2860" s="4">
        <f>=ROUNDDOWN(34.3333333333333,0)</f>
      </c>
      <c r="AB2860" s="5">
        <v>3</v>
      </c>
      <c r="AC2860" s="2" t="s">
        <v>100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53</v>
      </c>
      <c r="BK2860" s="8">
        <v>3773.41</v>
      </c>
      <c r="BL2860" s="2" t="s">
        <v>9251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2480</v>
      </c>
      <c r="BV2860" s="2" t="s">
        <v>97</v>
      </c>
      <c r="BW2860" s="2" t="s">
        <v>100</v>
      </c>
      <c r="BX2860" s="2" t="s">
        <v>100</v>
      </c>
      <c r="BY2860" s="2" t="s">
        <v>113</v>
      </c>
      <c r="BZ2860" s="2" t="s">
        <v>245</v>
      </c>
    </row>
    <row r="2861">
      <c r="A2861" s="2" t="s">
        <v>9252</v>
      </c>
      <c r="B2861" s="2" t="s">
        <v>9189</v>
      </c>
      <c r="C2861" s="2" t="s">
        <v>2213</v>
      </c>
      <c r="D2861" s="2" t="s">
        <v>9203</v>
      </c>
      <c r="E2861" s="2" t="s">
        <v>9204</v>
      </c>
      <c r="F2861" s="2" t="s">
        <v>9253</v>
      </c>
      <c r="G2861" s="2" t="s">
        <v>9253</v>
      </c>
      <c r="H2861" s="2" t="s">
        <v>9253</v>
      </c>
      <c r="I2861" s="2" t="s">
        <v>9254</v>
      </c>
      <c r="J2861" s="2" t="s">
        <v>3877</v>
      </c>
      <c r="K2861" s="2" t="s">
        <v>189</v>
      </c>
      <c r="L2861" s="3">
        <v>26.46</v>
      </c>
      <c r="M2861" s="3">
        <v>27.78</v>
      </c>
      <c r="N2861" s="3">
        <v>59.99</v>
      </c>
      <c r="O2861" s="2" t="s">
        <v>97</v>
      </c>
      <c r="P2861" s="2" t="s">
        <v>119</v>
      </c>
      <c r="Q2861" s="2" t="s">
        <v>99</v>
      </c>
      <c r="R2861" s="2" t="s">
        <v>100</v>
      </c>
      <c r="S2861" s="2" t="s">
        <v>100</v>
      </c>
      <c r="T2861" s="2" t="s">
        <v>100</v>
      </c>
      <c r="U2861" s="2" t="s">
        <v>100</v>
      </c>
      <c r="V2861" s="2" t="s">
        <v>146</v>
      </c>
      <c r="W2861" s="2" t="s">
        <v>183</v>
      </c>
      <c r="X2861" s="2" t="s">
        <v>100</v>
      </c>
      <c r="Y2861" s="2" t="s">
        <v>9255</v>
      </c>
      <c r="Z2861" s="4">
        <v>162</v>
      </c>
      <c r="AA2861" s="4">
        <f>=ROUNDDOWN(32.4,0)</f>
      </c>
      <c r="AB2861" s="5">
        <v>5</v>
      </c>
      <c r="AC2861" s="2" t="s">
        <v>100</v>
      </c>
      <c r="AD2861" s="4"/>
      <c r="AE2861" s="4"/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/>
      <c r="BD2861" s="8"/>
      <c r="BE2861" s="4"/>
      <c r="BF2861" s="8"/>
      <c r="BG2861" s="7"/>
      <c r="BH2861" s="7"/>
      <c r="BI2861" s="7"/>
      <c r="BJ2861" s="4">
        <v>133</v>
      </c>
      <c r="BK2861" s="8">
        <v>3985.84</v>
      </c>
      <c r="BL2861" s="2" t="s">
        <v>9256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2480</v>
      </c>
      <c r="BV2861" s="2" t="s">
        <v>97</v>
      </c>
      <c r="BW2861" s="2" t="s">
        <v>100</v>
      </c>
      <c r="BX2861" s="2" t="s">
        <v>100</v>
      </c>
      <c r="BY2861" s="2" t="s">
        <v>113</v>
      </c>
      <c r="BZ2861" s="2" t="s">
        <v>245</v>
      </c>
    </row>
    <row r="2862">
      <c r="A2862" s="2" t="s">
        <v>9257</v>
      </c>
      <c r="B2862" s="2" t="s">
        <v>9189</v>
      </c>
      <c r="C2862" s="2" t="s">
        <v>2213</v>
      </c>
      <c r="D2862" s="2" t="s">
        <v>9203</v>
      </c>
      <c r="E2862" s="2" t="s">
        <v>9204</v>
      </c>
      <c r="F2862" s="2" t="s">
        <v>346</v>
      </c>
      <c r="G2862" s="2" t="s">
        <v>346</v>
      </c>
      <c r="H2862" s="2" t="s">
        <v>346</v>
      </c>
      <c r="I2862" s="2" t="s">
        <v>9258</v>
      </c>
      <c r="J2862" s="2" t="s">
        <v>3877</v>
      </c>
      <c r="K2862" s="2" t="s">
        <v>198</v>
      </c>
      <c r="L2862" s="3">
        <v>67.1</v>
      </c>
      <c r="M2862" s="3">
        <v>70.46</v>
      </c>
      <c r="N2862" s="3">
        <v>139.99</v>
      </c>
      <c r="O2862" s="2" t="s">
        <v>97</v>
      </c>
      <c r="P2862" s="2" t="s">
        <v>119</v>
      </c>
      <c r="Q2862" s="2" t="s">
        <v>99</v>
      </c>
      <c r="R2862" s="2" t="s">
        <v>100</v>
      </c>
      <c r="S2862" s="2" t="s">
        <v>100</v>
      </c>
      <c r="T2862" s="2" t="s">
        <v>100</v>
      </c>
      <c r="U2862" s="2" t="s">
        <v>514</v>
      </c>
      <c r="V2862" s="2" t="s">
        <v>146</v>
      </c>
      <c r="W2862" s="2" t="s">
        <v>183</v>
      </c>
      <c r="X2862" s="2" t="s">
        <v>100</v>
      </c>
      <c r="Y2862" s="2" t="s">
        <v>9259</v>
      </c>
      <c r="Z2862" s="4">
        <v>156</v>
      </c>
      <c r="AA2862" s="4">
        <f>=ROUNDDOWN(26,0)</f>
      </c>
      <c r="AB2862" s="5">
        <v>6</v>
      </c>
      <c r="AC2862" s="2" t="s">
        <v>1457</v>
      </c>
      <c r="AD2862" s="4">
        <v>100</v>
      </c>
      <c r="AE2862" s="4">
        <v>100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/>
      <c r="BD2862" s="8"/>
      <c r="BE2862" s="4"/>
      <c r="BF2862" s="8"/>
      <c r="BG2862" s="7"/>
      <c r="BH2862" s="7"/>
      <c r="BI2862" s="7"/>
      <c r="BJ2862" s="4">
        <v>126</v>
      </c>
      <c r="BK2862" s="8">
        <v>9146.92</v>
      </c>
      <c r="BL2862" s="2" t="s">
        <v>9260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2480</v>
      </c>
      <c r="BV2862" s="2" t="s">
        <v>97</v>
      </c>
      <c r="BW2862" s="2" t="s">
        <v>100</v>
      </c>
      <c r="BX2862" s="2" t="s">
        <v>100</v>
      </c>
      <c r="BY2862" s="2" t="s">
        <v>113</v>
      </c>
      <c r="BZ2862" s="2" t="s">
        <v>245</v>
      </c>
    </row>
    <row r="2863">
      <c r="A2863" s="2" t="s">
        <v>9261</v>
      </c>
      <c r="B2863" s="2" t="s">
        <v>9189</v>
      </c>
      <c r="C2863" s="2" t="s">
        <v>2213</v>
      </c>
      <c r="D2863" s="2" t="s">
        <v>9203</v>
      </c>
      <c r="E2863" s="2" t="s">
        <v>9204</v>
      </c>
      <c r="F2863" s="2" t="s">
        <v>9262</v>
      </c>
      <c r="G2863" s="2" t="s">
        <v>9262</v>
      </c>
      <c r="H2863" s="2" t="s">
        <v>9262</v>
      </c>
      <c r="I2863" s="2" t="s">
        <v>9263</v>
      </c>
      <c r="J2863" s="2" t="s">
        <v>3877</v>
      </c>
      <c r="K2863" s="2" t="s">
        <v>9264</v>
      </c>
      <c r="L2863" s="3">
        <v>76.5</v>
      </c>
      <c r="M2863" s="3">
        <v>80.33</v>
      </c>
      <c r="N2863" s="3">
        <v>159.99</v>
      </c>
      <c r="O2863" s="2" t="s">
        <v>97</v>
      </c>
      <c r="P2863" s="2" t="s">
        <v>119</v>
      </c>
      <c r="Q2863" s="2" t="s">
        <v>99</v>
      </c>
      <c r="R2863" s="2" t="s">
        <v>100</v>
      </c>
      <c r="S2863" s="2" t="s">
        <v>100</v>
      </c>
      <c r="T2863" s="2" t="s">
        <v>100</v>
      </c>
      <c r="U2863" s="2" t="s">
        <v>514</v>
      </c>
      <c r="V2863" s="2" t="s">
        <v>3188</v>
      </c>
      <c r="W2863" s="2" t="s">
        <v>561</v>
      </c>
      <c r="X2863" s="2" t="s">
        <v>561</v>
      </c>
      <c r="Y2863" s="2" t="s">
        <v>9265</v>
      </c>
      <c r="Z2863" s="4">
        <v>58</v>
      </c>
      <c r="AA2863" s="4">
        <f>=ROUNDDOWN(58,0)</f>
      </c>
      <c r="AB2863" s="5">
        <v>1</v>
      </c>
      <c r="AC2863" s="2" t="s">
        <v>100</v>
      </c>
      <c r="AD2863" s="4"/>
      <c r="AE2863" s="4"/>
      <c r="AF2863" s="6">
        <v>63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>
        <v>32</v>
      </c>
      <c r="BK2863" s="8">
        <v>2676.48</v>
      </c>
      <c r="BL2863" s="2" t="s">
        <v>9251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2480</v>
      </c>
      <c r="BV2863" s="2" t="s">
        <v>97</v>
      </c>
      <c r="BW2863" s="2" t="s">
        <v>100</v>
      </c>
      <c r="BX2863" s="2" t="s">
        <v>100</v>
      </c>
      <c r="BY2863" s="2" t="s">
        <v>113</v>
      </c>
      <c r="BZ2863" s="2" t="s">
        <v>100</v>
      </c>
    </row>
    <row r="2864">
      <c r="A2864" s="2" t="s">
        <v>9266</v>
      </c>
      <c r="B2864" s="2" t="s">
        <v>9189</v>
      </c>
      <c r="C2864" s="2" t="s">
        <v>2213</v>
      </c>
      <c r="D2864" s="2" t="s">
        <v>9203</v>
      </c>
      <c r="E2864" s="2" t="s">
        <v>9204</v>
      </c>
      <c r="F2864" s="2" t="s">
        <v>9262</v>
      </c>
      <c r="G2864" s="2" t="s">
        <v>9262</v>
      </c>
      <c r="H2864" s="2" t="s">
        <v>9262</v>
      </c>
      <c r="I2864" s="2" t="s">
        <v>9263</v>
      </c>
      <c r="J2864" s="2" t="s">
        <v>3877</v>
      </c>
      <c r="K2864" s="2" t="s">
        <v>9267</v>
      </c>
      <c r="L2864" s="3">
        <v>76.5</v>
      </c>
      <c r="M2864" s="3">
        <v>80.33</v>
      </c>
      <c r="N2864" s="3">
        <v>159.99</v>
      </c>
      <c r="O2864" s="2" t="s">
        <v>97</v>
      </c>
      <c r="P2864" s="2" t="s">
        <v>119</v>
      </c>
      <c r="Q2864" s="2" t="s">
        <v>99</v>
      </c>
      <c r="R2864" s="2" t="s">
        <v>100</v>
      </c>
      <c r="S2864" s="2" t="s">
        <v>100</v>
      </c>
      <c r="T2864" s="2" t="s">
        <v>100</v>
      </c>
      <c r="U2864" s="2" t="s">
        <v>514</v>
      </c>
      <c r="V2864" s="2" t="s">
        <v>3188</v>
      </c>
      <c r="W2864" s="2" t="s">
        <v>561</v>
      </c>
      <c r="X2864" s="2" t="s">
        <v>561</v>
      </c>
      <c r="Y2864" s="2" t="s">
        <v>9265</v>
      </c>
      <c r="Z2864" s="4">
        <v>75</v>
      </c>
      <c r="AA2864" s="4">
        <f>=ROUNDDOWN(75,0)</f>
      </c>
      <c r="AB2864" s="5">
        <v>1</v>
      </c>
      <c r="AC2864" s="2" t="s">
        <v>100</v>
      </c>
      <c r="AD2864" s="4"/>
      <c r="AE2864" s="4"/>
      <c r="AF2864" s="6">
        <v>63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>
        <v>22</v>
      </c>
      <c r="BK2864" s="8">
        <v>1821.97</v>
      </c>
      <c r="BL2864" s="2" t="s">
        <v>9268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2480</v>
      </c>
      <c r="BV2864" s="2" t="s">
        <v>97</v>
      </c>
      <c r="BW2864" s="2" t="s">
        <v>100</v>
      </c>
      <c r="BX2864" s="2" t="s">
        <v>100</v>
      </c>
      <c r="BY2864" s="2" t="s">
        <v>113</v>
      </c>
      <c r="BZ2864" s="2" t="s">
        <v>100</v>
      </c>
    </row>
    <row r="2865">
      <c r="A2865" s="2" t="s">
        <v>9269</v>
      </c>
      <c r="B2865" s="2" t="s">
        <v>9189</v>
      </c>
      <c r="C2865" s="2" t="s">
        <v>2213</v>
      </c>
      <c r="D2865" s="2" t="s">
        <v>9203</v>
      </c>
      <c r="E2865" s="2" t="s">
        <v>9204</v>
      </c>
      <c r="F2865" s="2" t="s">
        <v>9270</v>
      </c>
      <c r="G2865" s="2" t="s">
        <v>9270</v>
      </c>
      <c r="H2865" s="2" t="s">
        <v>9270</v>
      </c>
      <c r="I2865" s="2" t="s">
        <v>9271</v>
      </c>
      <c r="J2865" s="2" t="s">
        <v>3877</v>
      </c>
      <c r="K2865" s="2" t="s">
        <v>278</v>
      </c>
      <c r="L2865" s="3">
        <v>38</v>
      </c>
      <c r="M2865" s="3">
        <v>39.9</v>
      </c>
      <c r="N2865" s="3">
        <v>79.99</v>
      </c>
      <c r="O2865" s="2" t="s">
        <v>97</v>
      </c>
      <c r="P2865" s="2" t="s">
        <v>225</v>
      </c>
      <c r="Q2865" s="2" t="s">
        <v>99</v>
      </c>
      <c r="R2865" s="2" t="s">
        <v>100</v>
      </c>
      <c r="S2865" s="2" t="s">
        <v>100</v>
      </c>
      <c r="T2865" s="2" t="s">
        <v>100</v>
      </c>
      <c r="U2865" s="2" t="s">
        <v>1847</v>
      </c>
      <c r="V2865" s="2" t="s">
        <v>3188</v>
      </c>
      <c r="W2865" s="2" t="s">
        <v>104</v>
      </c>
      <c r="X2865" s="2" t="s">
        <v>100</v>
      </c>
      <c r="Y2865" s="2" t="s">
        <v>3584</v>
      </c>
      <c r="Z2865" s="4">
        <v>89</v>
      </c>
      <c r="AA2865" s="4">
        <f>=ROUNDDOWN(89,0)</f>
      </c>
      <c r="AB2865" s="5">
        <v>1</v>
      </c>
      <c r="AC2865" s="2" t="s">
        <v>100</v>
      </c>
      <c r="AD2865" s="4"/>
      <c r="AE2865" s="4"/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/>
      <c r="BD2865" s="8"/>
      <c r="BE2865" s="4"/>
      <c r="BF2865" s="8"/>
      <c r="BG2865" s="7"/>
      <c r="BH2865" s="7"/>
      <c r="BI2865" s="7"/>
      <c r="BJ2865" s="4">
        <v>3</v>
      </c>
      <c r="BK2865" s="8">
        <v>134.07</v>
      </c>
      <c r="BL2865" s="2" t="s">
        <v>3765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2480</v>
      </c>
      <c r="BV2865" s="2" t="s">
        <v>97</v>
      </c>
      <c r="BW2865" s="2" t="s">
        <v>100</v>
      </c>
      <c r="BX2865" s="2" t="s">
        <v>100</v>
      </c>
      <c r="BY2865" s="2" t="s">
        <v>113</v>
      </c>
      <c r="BZ2865" s="2" t="s">
        <v>100</v>
      </c>
    </row>
    <row r="2866">
      <c r="A2866" s="2" t="s">
        <v>9272</v>
      </c>
      <c r="B2866" s="2" t="s">
        <v>9189</v>
      </c>
      <c r="C2866" s="2" t="s">
        <v>2213</v>
      </c>
      <c r="D2866" s="2" t="s">
        <v>9203</v>
      </c>
      <c r="E2866" s="2" t="s">
        <v>9204</v>
      </c>
      <c r="F2866" s="2" t="s">
        <v>9273</v>
      </c>
      <c r="G2866" s="2" t="s">
        <v>9273</v>
      </c>
      <c r="H2866" s="2" t="s">
        <v>9273</v>
      </c>
      <c r="I2866" s="2" t="s">
        <v>9274</v>
      </c>
      <c r="J2866" s="2" t="s">
        <v>3877</v>
      </c>
      <c r="K2866" s="2" t="s">
        <v>297</v>
      </c>
      <c r="L2866" s="3">
        <v>44.54</v>
      </c>
      <c r="M2866" s="3">
        <v>46.77</v>
      </c>
      <c r="N2866" s="3">
        <v>94.99</v>
      </c>
      <c r="O2866" s="2" t="s">
        <v>97</v>
      </c>
      <c r="P2866" s="2" t="s">
        <v>119</v>
      </c>
      <c r="Q2866" s="2" t="s">
        <v>99</v>
      </c>
      <c r="R2866" s="2" t="s">
        <v>100</v>
      </c>
      <c r="S2866" s="2" t="s">
        <v>100</v>
      </c>
      <c r="T2866" s="2" t="s">
        <v>100</v>
      </c>
      <c r="U2866" s="2" t="s">
        <v>1847</v>
      </c>
      <c r="V2866" s="2" t="s">
        <v>3188</v>
      </c>
      <c r="W2866" s="2" t="s">
        <v>561</v>
      </c>
      <c r="X2866" s="2" t="s">
        <v>100</v>
      </c>
      <c r="Y2866" s="2" t="s">
        <v>5733</v>
      </c>
      <c r="Z2866" s="4">
        <v>46</v>
      </c>
      <c r="AA2866" s="4">
        <f>=ROUNDDOWN(12.4324324324324,0)</f>
      </c>
      <c r="AB2866" s="5">
        <v>3.7</v>
      </c>
      <c r="AC2866" s="2" t="s">
        <v>5126</v>
      </c>
      <c r="AD2866" s="4">
        <v>100</v>
      </c>
      <c r="AE2866" s="4">
        <v>100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/>
      <c r="BD2866" s="8"/>
      <c r="BE2866" s="4"/>
      <c r="BF2866" s="8"/>
      <c r="BG2866" s="7"/>
      <c r="BH2866" s="7"/>
      <c r="BI2866" s="7"/>
      <c r="BJ2866" s="4">
        <v>108</v>
      </c>
      <c r="BK2866" s="8">
        <v>4785.51</v>
      </c>
      <c r="BL2866" s="2" t="s">
        <v>9275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2480</v>
      </c>
      <c r="BV2866" s="2" t="s">
        <v>97</v>
      </c>
      <c r="BW2866" s="2" t="s">
        <v>100</v>
      </c>
      <c r="BX2866" s="2" t="s">
        <v>100</v>
      </c>
      <c r="BY2866" s="2" t="s">
        <v>113</v>
      </c>
      <c r="BZ2866" s="2" t="s">
        <v>245</v>
      </c>
    </row>
    <row r="2867">
      <c r="A2867" s="2" t="s">
        <v>9276</v>
      </c>
      <c r="B2867" s="2" t="s">
        <v>9189</v>
      </c>
      <c r="C2867" s="2" t="s">
        <v>2213</v>
      </c>
      <c r="D2867" s="2" t="s">
        <v>9203</v>
      </c>
      <c r="E2867" s="2" t="s">
        <v>9204</v>
      </c>
      <c r="F2867" s="2" t="s">
        <v>9277</v>
      </c>
      <c r="G2867" s="2" t="s">
        <v>9277</v>
      </c>
      <c r="H2867" s="2" t="s">
        <v>9277</v>
      </c>
      <c r="I2867" s="2" t="s">
        <v>9278</v>
      </c>
      <c r="J2867" s="2" t="s">
        <v>3877</v>
      </c>
      <c r="K2867" s="2" t="s">
        <v>96</v>
      </c>
      <c r="L2867" s="3">
        <v>50</v>
      </c>
      <c r="M2867" s="3">
        <v>52.5</v>
      </c>
      <c r="N2867" s="3">
        <v>104.99</v>
      </c>
      <c r="O2867" s="2" t="s">
        <v>97</v>
      </c>
      <c r="P2867" s="2" t="s">
        <v>225</v>
      </c>
      <c r="Q2867" s="2" t="s">
        <v>99</v>
      </c>
      <c r="R2867" s="2" t="s">
        <v>100</v>
      </c>
      <c r="S2867" s="2" t="s">
        <v>100</v>
      </c>
      <c r="T2867" s="2" t="s">
        <v>100</v>
      </c>
      <c r="U2867" s="2" t="s">
        <v>1847</v>
      </c>
      <c r="V2867" s="2" t="s">
        <v>3188</v>
      </c>
      <c r="W2867" s="2" t="s">
        <v>239</v>
      </c>
      <c r="X2867" s="2" t="s">
        <v>104</v>
      </c>
      <c r="Y2867" s="2" t="s">
        <v>1279</v>
      </c>
      <c r="Z2867" s="4">
        <v>50</v>
      </c>
      <c r="AA2867" s="4">
        <f>=ROUNDDOWN(41.6666666666667,0)</f>
      </c>
      <c r="AB2867" s="5">
        <v>1.2</v>
      </c>
      <c r="AC2867" s="2" t="s">
        <v>100</v>
      </c>
      <c r="AD2867" s="4"/>
      <c r="AE2867" s="4"/>
      <c r="AF2867" s="6">
        <v>63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/>
      <c r="BD2867" s="8"/>
      <c r="BE2867" s="4"/>
      <c r="BF2867" s="8"/>
      <c r="BG2867" s="7"/>
      <c r="BH2867" s="7"/>
      <c r="BI2867" s="7"/>
      <c r="BJ2867" s="4">
        <v>38</v>
      </c>
      <c r="BK2867" s="8">
        <v>2056.56</v>
      </c>
      <c r="BL2867" s="2" t="s">
        <v>9279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2480</v>
      </c>
      <c r="BV2867" s="2" t="s">
        <v>97</v>
      </c>
      <c r="BW2867" s="2" t="s">
        <v>100</v>
      </c>
      <c r="BX2867" s="2" t="s">
        <v>100</v>
      </c>
      <c r="BY2867" s="2" t="s">
        <v>113</v>
      </c>
      <c r="BZ2867" s="2" t="s">
        <v>100</v>
      </c>
    </row>
    <row r="2868">
      <c r="A2868" s="2" t="s">
        <v>9280</v>
      </c>
      <c r="B2868" s="2" t="s">
        <v>9189</v>
      </c>
      <c r="C2868" s="2" t="s">
        <v>2213</v>
      </c>
      <c r="D2868" s="2" t="s">
        <v>9203</v>
      </c>
      <c r="E2868" s="2" t="s">
        <v>9204</v>
      </c>
      <c r="F2868" s="2" t="s">
        <v>9281</v>
      </c>
      <c r="G2868" s="2" t="s">
        <v>9281</v>
      </c>
      <c r="H2868" s="2" t="s">
        <v>9281</v>
      </c>
      <c r="I2868" s="2" t="s">
        <v>9271</v>
      </c>
      <c r="J2868" s="2" t="s">
        <v>3877</v>
      </c>
      <c r="K2868" s="2" t="s">
        <v>118</v>
      </c>
      <c r="L2868" s="3">
        <v>34</v>
      </c>
      <c r="M2868" s="3">
        <v>35.7</v>
      </c>
      <c r="N2868" s="3">
        <v>69.99</v>
      </c>
      <c r="O2868" s="2" t="s">
        <v>97</v>
      </c>
      <c r="P2868" s="2" t="s">
        <v>225</v>
      </c>
      <c r="Q2868" s="2" t="s">
        <v>99</v>
      </c>
      <c r="R2868" s="2" t="s">
        <v>100</v>
      </c>
      <c r="S2868" s="2" t="s">
        <v>100</v>
      </c>
      <c r="T2868" s="2" t="s">
        <v>100</v>
      </c>
      <c r="U2868" s="2" t="s">
        <v>1847</v>
      </c>
      <c r="V2868" s="2" t="s">
        <v>3188</v>
      </c>
      <c r="W2868" s="2" t="s">
        <v>104</v>
      </c>
      <c r="X2868" s="2" t="s">
        <v>183</v>
      </c>
      <c r="Y2868" s="2" t="s">
        <v>3584</v>
      </c>
      <c r="Z2868" s="4">
        <v>91</v>
      </c>
      <c r="AA2868" s="4">
        <f>=ROUNDDOWN(91,0)</f>
      </c>
      <c r="AB2868" s="5">
        <v>1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/>
      <c r="BJ2868" s="4">
        <v>8</v>
      </c>
      <c r="BK2868" s="8">
        <v>287.74</v>
      </c>
      <c r="BL2868" s="2" t="s">
        <v>3254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2480</v>
      </c>
      <c r="BV2868" s="2" t="s">
        <v>97</v>
      </c>
      <c r="BW2868" s="2" t="s">
        <v>100</v>
      </c>
      <c r="BX2868" s="2" t="s">
        <v>100</v>
      </c>
      <c r="BY2868" s="2" t="s">
        <v>113</v>
      </c>
      <c r="BZ2868" s="2" t="s">
        <v>100</v>
      </c>
    </row>
    <row r="2869">
      <c r="A2869" s="2" t="s">
        <v>9282</v>
      </c>
      <c r="B2869" s="2" t="s">
        <v>9189</v>
      </c>
      <c r="C2869" s="2" t="s">
        <v>2213</v>
      </c>
      <c r="D2869" s="2" t="s">
        <v>9203</v>
      </c>
      <c r="E2869" s="2" t="s">
        <v>9204</v>
      </c>
      <c r="F2869" s="2" t="s">
        <v>9281</v>
      </c>
      <c r="G2869" s="2" t="s">
        <v>9281</v>
      </c>
      <c r="H2869" s="2" t="s">
        <v>9281</v>
      </c>
      <c r="I2869" s="2" t="s">
        <v>9271</v>
      </c>
      <c r="J2869" s="2" t="s">
        <v>3877</v>
      </c>
      <c r="K2869" s="2" t="s">
        <v>3560</v>
      </c>
      <c r="L2869" s="3">
        <v>34</v>
      </c>
      <c r="M2869" s="3">
        <v>35.7</v>
      </c>
      <c r="N2869" s="3">
        <v>69.99</v>
      </c>
      <c r="O2869" s="2" t="s">
        <v>97</v>
      </c>
      <c r="P2869" s="2" t="s">
        <v>225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1847</v>
      </c>
      <c r="V2869" s="2" t="s">
        <v>3188</v>
      </c>
      <c r="W2869" s="2" t="s">
        <v>104</v>
      </c>
      <c r="X2869" s="2" t="s">
        <v>183</v>
      </c>
      <c r="Y2869" s="2" t="s">
        <v>3584</v>
      </c>
      <c r="Z2869" s="4">
        <v>41</v>
      </c>
      <c r="AA2869" s="4">
        <f>=ROUNDDOWN(13.6666666666667,0)</f>
      </c>
      <c r="AB2869" s="5">
        <v>3</v>
      </c>
      <c r="AC2869" s="2" t="s">
        <v>9283</v>
      </c>
      <c r="AD2869" s="4">
        <v>100</v>
      </c>
      <c r="AE2869" s="4">
        <v>100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/>
      <c r="BJ2869" s="4">
        <v>32</v>
      </c>
      <c r="BK2869" s="8">
        <v>1287.64</v>
      </c>
      <c r="BL2869" s="2" t="s">
        <v>3753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2480</v>
      </c>
      <c r="BV2869" s="2" t="s">
        <v>97</v>
      </c>
      <c r="BW2869" s="2" t="s">
        <v>100</v>
      </c>
      <c r="BX2869" s="2" t="s">
        <v>100</v>
      </c>
      <c r="BY2869" s="2" t="s">
        <v>113</v>
      </c>
      <c r="BZ2869" s="2" t="s">
        <v>100</v>
      </c>
    </row>
    <row r="2870">
      <c r="A2870" s="2" t="s">
        <v>9284</v>
      </c>
      <c r="B2870" s="2" t="s">
        <v>9189</v>
      </c>
      <c r="C2870" s="2" t="s">
        <v>2213</v>
      </c>
      <c r="D2870" s="2" t="s">
        <v>9203</v>
      </c>
      <c r="E2870" s="2" t="s">
        <v>9204</v>
      </c>
      <c r="F2870" s="2" t="s">
        <v>9285</v>
      </c>
      <c r="G2870" s="2" t="s">
        <v>9285</v>
      </c>
      <c r="H2870" s="2" t="s">
        <v>9285</v>
      </c>
      <c r="I2870" s="2" t="s">
        <v>9217</v>
      </c>
      <c r="J2870" s="2" t="s">
        <v>3877</v>
      </c>
      <c r="K2870" s="2" t="s">
        <v>335</v>
      </c>
      <c r="L2870" s="3">
        <v>26.78</v>
      </c>
      <c r="M2870" s="3">
        <v>28.12</v>
      </c>
      <c r="N2870" s="3">
        <v>59.99</v>
      </c>
      <c r="O2870" s="2" t="s">
        <v>97</v>
      </c>
      <c r="P2870" s="2" t="s">
        <v>119</v>
      </c>
      <c r="Q2870" s="2" t="s">
        <v>99</v>
      </c>
      <c r="R2870" s="2" t="s">
        <v>100</v>
      </c>
      <c r="S2870" s="2" t="s">
        <v>100</v>
      </c>
      <c r="T2870" s="2" t="s">
        <v>100</v>
      </c>
      <c r="U2870" s="2" t="s">
        <v>1847</v>
      </c>
      <c r="V2870" s="2" t="s">
        <v>3188</v>
      </c>
      <c r="W2870" s="2" t="s">
        <v>561</v>
      </c>
      <c r="X2870" s="2" t="s">
        <v>100</v>
      </c>
      <c r="Y2870" s="2" t="s">
        <v>5733</v>
      </c>
      <c r="Z2870" s="4">
        <v>104</v>
      </c>
      <c r="AA2870" s="4">
        <f>=ROUNDDOWN(26,0)</f>
      </c>
      <c r="AB2870" s="5">
        <v>4</v>
      </c>
      <c r="AC2870" s="2" t="s">
        <v>100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/>
      <c r="BD2870" s="8"/>
      <c r="BE2870" s="4"/>
      <c r="BF2870" s="8"/>
      <c r="BG2870" s="7"/>
      <c r="BH2870" s="7"/>
      <c r="BI2870" s="7"/>
      <c r="BJ2870" s="4">
        <v>80</v>
      </c>
      <c r="BK2870" s="8">
        <v>2456.01</v>
      </c>
      <c r="BL2870" s="2" t="s">
        <v>9286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2480</v>
      </c>
      <c r="BV2870" s="2" t="s">
        <v>97</v>
      </c>
      <c r="BW2870" s="2" t="s">
        <v>100</v>
      </c>
      <c r="BX2870" s="2" t="s">
        <v>100</v>
      </c>
      <c r="BY2870" s="2" t="s">
        <v>113</v>
      </c>
      <c r="BZ2870" s="2" t="s">
        <v>245</v>
      </c>
    </row>
    <row r="2871">
      <c r="A2871" s="2" t="s">
        <v>9287</v>
      </c>
      <c r="B2871" s="2" t="s">
        <v>9189</v>
      </c>
      <c r="C2871" s="2" t="s">
        <v>2213</v>
      </c>
      <c r="D2871" s="2" t="s">
        <v>9203</v>
      </c>
      <c r="E2871" s="2" t="s">
        <v>9204</v>
      </c>
      <c r="F2871" s="2" t="s">
        <v>9288</v>
      </c>
      <c r="G2871" s="2" t="s">
        <v>9288</v>
      </c>
      <c r="H2871" s="2" t="s">
        <v>9288</v>
      </c>
      <c r="I2871" s="2" t="s">
        <v>9289</v>
      </c>
      <c r="J2871" s="2" t="s">
        <v>3877</v>
      </c>
      <c r="K2871" s="2" t="s">
        <v>1340</v>
      </c>
      <c r="L2871" s="3">
        <v>28.42</v>
      </c>
      <c r="M2871" s="3">
        <v>29.84</v>
      </c>
      <c r="N2871" s="3">
        <v>64.99</v>
      </c>
      <c r="O2871" s="2" t="s">
        <v>97</v>
      </c>
      <c r="P2871" s="2" t="s">
        <v>119</v>
      </c>
      <c r="Q2871" s="2" t="s">
        <v>99</v>
      </c>
      <c r="R2871" s="2" t="s">
        <v>100</v>
      </c>
      <c r="S2871" s="2" t="s">
        <v>100</v>
      </c>
      <c r="T2871" s="2" t="s">
        <v>100</v>
      </c>
      <c r="U2871" s="2" t="s">
        <v>1847</v>
      </c>
      <c r="V2871" s="2" t="s">
        <v>146</v>
      </c>
      <c r="W2871" s="2" t="s">
        <v>183</v>
      </c>
      <c r="X2871" s="2" t="s">
        <v>100</v>
      </c>
      <c r="Y2871" s="2" t="s">
        <v>9290</v>
      </c>
      <c r="Z2871" s="4">
        <v>109</v>
      </c>
      <c r="AA2871" s="4">
        <f>=ROUNDDOWN(28.6842105263158,0)</f>
      </c>
      <c r="AB2871" s="5">
        <v>3.8</v>
      </c>
      <c r="AC2871" s="2" t="s">
        <v>1516</v>
      </c>
      <c r="AD2871" s="4">
        <v>100</v>
      </c>
      <c r="AE2871" s="4">
        <v>100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/>
      <c r="BD2871" s="8"/>
      <c r="BE2871" s="4"/>
      <c r="BF2871" s="8"/>
      <c r="BG2871" s="7"/>
      <c r="BH2871" s="7"/>
      <c r="BI2871" s="7"/>
      <c r="BJ2871" s="4">
        <v>97</v>
      </c>
      <c r="BK2871" s="8">
        <v>3112.62</v>
      </c>
      <c r="BL2871" s="2" t="s">
        <v>9291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2480</v>
      </c>
      <c r="BV2871" s="2" t="s">
        <v>97</v>
      </c>
      <c r="BW2871" s="2" t="s">
        <v>100</v>
      </c>
      <c r="BX2871" s="2" t="s">
        <v>100</v>
      </c>
      <c r="BY2871" s="2" t="s">
        <v>113</v>
      </c>
      <c r="BZ2871" s="2" t="s">
        <v>245</v>
      </c>
    </row>
    <row r="2872">
      <c r="A2872" s="2" t="s">
        <v>9292</v>
      </c>
      <c r="B2872" s="2" t="s">
        <v>9189</v>
      </c>
      <c r="C2872" s="2" t="s">
        <v>2213</v>
      </c>
      <c r="D2872" s="2" t="s">
        <v>9203</v>
      </c>
      <c r="E2872" s="2" t="s">
        <v>9204</v>
      </c>
      <c r="F2872" s="2" t="s">
        <v>9293</v>
      </c>
      <c r="G2872" s="2" t="s">
        <v>9293</v>
      </c>
      <c r="H2872" s="2" t="s">
        <v>9293</v>
      </c>
      <c r="I2872" s="2" t="s">
        <v>9294</v>
      </c>
      <c r="J2872" s="2" t="s">
        <v>3877</v>
      </c>
      <c r="K2872" s="2" t="s">
        <v>118</v>
      </c>
      <c r="L2872" s="3">
        <v>53</v>
      </c>
      <c r="M2872" s="3">
        <v>55.65</v>
      </c>
      <c r="N2872" s="3">
        <v>109.99</v>
      </c>
      <c r="O2872" s="2" t="s">
        <v>97</v>
      </c>
      <c r="P2872" s="2" t="s">
        <v>119</v>
      </c>
      <c r="Q2872" s="2" t="s">
        <v>99</v>
      </c>
      <c r="R2872" s="2" t="s">
        <v>100</v>
      </c>
      <c r="S2872" s="2" t="s">
        <v>100</v>
      </c>
      <c r="T2872" s="2" t="s">
        <v>100</v>
      </c>
      <c r="U2872" s="2" t="s">
        <v>1847</v>
      </c>
      <c r="V2872" s="2" t="s">
        <v>3188</v>
      </c>
      <c r="W2872" s="2" t="s">
        <v>104</v>
      </c>
      <c r="X2872" s="2" t="s">
        <v>673</v>
      </c>
      <c r="Y2872" s="2" t="s">
        <v>9066</v>
      </c>
      <c r="Z2872" s="4">
        <v>27</v>
      </c>
      <c r="AA2872" s="4">
        <f>=ROUNDDOWN(13.5,0)</f>
      </c>
      <c r="AB2872" s="5">
        <v>2</v>
      </c>
      <c r="AC2872" s="2" t="s">
        <v>5126</v>
      </c>
      <c r="AD2872" s="4">
        <v>78</v>
      </c>
      <c r="AE2872" s="4">
        <v>78</v>
      </c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/>
      <c r="BJ2872" s="4">
        <v>36</v>
      </c>
      <c r="BK2872" s="8">
        <v>2131.7</v>
      </c>
      <c r="BL2872" s="2" t="s">
        <v>9295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2480</v>
      </c>
      <c r="BV2872" s="2" t="s">
        <v>97</v>
      </c>
      <c r="BW2872" s="2" t="s">
        <v>100</v>
      </c>
      <c r="BX2872" s="2" t="s">
        <v>100</v>
      </c>
      <c r="BY2872" s="2" t="s">
        <v>113</v>
      </c>
      <c r="BZ2872" s="2" t="s">
        <v>100</v>
      </c>
    </row>
    <row r="2873">
      <c r="A2873" s="2" t="s">
        <v>9296</v>
      </c>
      <c r="B2873" s="2" t="s">
        <v>9189</v>
      </c>
      <c r="C2873" s="2" t="s">
        <v>2213</v>
      </c>
      <c r="D2873" s="2" t="s">
        <v>9203</v>
      </c>
      <c r="E2873" s="2" t="s">
        <v>9204</v>
      </c>
      <c r="F2873" s="2" t="s">
        <v>9293</v>
      </c>
      <c r="G2873" s="2" t="s">
        <v>9293</v>
      </c>
      <c r="H2873" s="2" t="s">
        <v>9293</v>
      </c>
      <c r="I2873" s="2" t="s">
        <v>9294</v>
      </c>
      <c r="J2873" s="2" t="s">
        <v>3877</v>
      </c>
      <c r="K2873" s="2" t="s">
        <v>278</v>
      </c>
      <c r="L2873" s="3">
        <v>53</v>
      </c>
      <c r="M2873" s="3">
        <v>55.65</v>
      </c>
      <c r="N2873" s="3">
        <v>109.99</v>
      </c>
      <c r="O2873" s="2" t="s">
        <v>97</v>
      </c>
      <c r="P2873" s="2" t="s">
        <v>225</v>
      </c>
      <c r="Q2873" s="2" t="s">
        <v>99</v>
      </c>
      <c r="R2873" s="2" t="s">
        <v>100</v>
      </c>
      <c r="S2873" s="2" t="s">
        <v>100</v>
      </c>
      <c r="T2873" s="2" t="s">
        <v>100</v>
      </c>
      <c r="U2873" s="2" t="s">
        <v>1847</v>
      </c>
      <c r="V2873" s="2" t="s">
        <v>3188</v>
      </c>
      <c r="W2873" s="2" t="s">
        <v>104</v>
      </c>
      <c r="X2873" s="2" t="s">
        <v>673</v>
      </c>
      <c r="Y2873" s="2" t="s">
        <v>9066</v>
      </c>
      <c r="Z2873" s="4">
        <v>117</v>
      </c>
      <c r="AA2873" s="4">
        <f>=ROUNDDOWN(106.363636363636,0)</f>
      </c>
      <c r="AB2873" s="5">
        <v>1.1</v>
      </c>
      <c r="AC2873" s="2" t="s">
        <v>320</v>
      </c>
      <c r="AD2873" s="4">
        <v>768</v>
      </c>
      <c r="AE2873" s="4">
        <v>768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/>
      <c r="BJ2873" s="4">
        <v>24</v>
      </c>
      <c r="BK2873" s="8">
        <v>1371.25</v>
      </c>
      <c r="BL2873" s="2" t="s">
        <v>9297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2480</v>
      </c>
      <c r="BV2873" s="2" t="s">
        <v>97</v>
      </c>
      <c r="BW2873" s="2" t="s">
        <v>100</v>
      </c>
      <c r="BX2873" s="2" t="s">
        <v>100</v>
      </c>
      <c r="BY2873" s="2" t="s">
        <v>113</v>
      </c>
      <c r="BZ2873" s="2" t="s">
        <v>100</v>
      </c>
    </row>
    <row r="2874">
      <c r="A2874" s="2" t="s">
        <v>9298</v>
      </c>
      <c r="B2874" s="2" t="s">
        <v>9189</v>
      </c>
      <c r="C2874" s="2" t="s">
        <v>2213</v>
      </c>
      <c r="D2874" s="2" t="s">
        <v>9203</v>
      </c>
      <c r="E2874" s="2" t="s">
        <v>9204</v>
      </c>
      <c r="F2874" s="2" t="s">
        <v>9293</v>
      </c>
      <c r="G2874" s="2" t="s">
        <v>9293</v>
      </c>
      <c r="H2874" s="2" t="s">
        <v>9293</v>
      </c>
      <c r="I2874" s="2" t="s">
        <v>9294</v>
      </c>
      <c r="J2874" s="2" t="s">
        <v>3877</v>
      </c>
      <c r="K2874" s="2" t="s">
        <v>198</v>
      </c>
      <c r="L2874" s="3">
        <v>53</v>
      </c>
      <c r="M2874" s="3">
        <v>55.65</v>
      </c>
      <c r="N2874" s="3">
        <v>109.99</v>
      </c>
      <c r="O2874" s="2" t="s">
        <v>97</v>
      </c>
      <c r="P2874" s="2" t="s">
        <v>225</v>
      </c>
      <c r="Q2874" s="2" t="s">
        <v>99</v>
      </c>
      <c r="R2874" s="2" t="s">
        <v>100</v>
      </c>
      <c r="S2874" s="2" t="s">
        <v>100</v>
      </c>
      <c r="T2874" s="2" t="s">
        <v>100</v>
      </c>
      <c r="U2874" s="2" t="s">
        <v>1847</v>
      </c>
      <c r="V2874" s="2" t="s">
        <v>3188</v>
      </c>
      <c r="W2874" s="2" t="s">
        <v>104</v>
      </c>
      <c r="X2874" s="2" t="s">
        <v>673</v>
      </c>
      <c r="Y2874" s="2" t="s">
        <v>9066</v>
      </c>
      <c r="Z2874" s="4">
        <v>105</v>
      </c>
      <c r="AA2874" s="4">
        <f>=ROUNDDOWN(105,0)</f>
      </c>
      <c r="AB2874" s="5">
        <v>1</v>
      </c>
      <c r="AC2874" s="2" t="s">
        <v>100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/>
      <c r="BJ2874" s="4">
        <v>10</v>
      </c>
      <c r="BK2874" s="8">
        <v>645.28</v>
      </c>
      <c r="BL2874" s="2" t="s">
        <v>9299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2480</v>
      </c>
      <c r="BV2874" s="2" t="s">
        <v>97</v>
      </c>
      <c r="BW2874" s="2" t="s">
        <v>100</v>
      </c>
      <c r="BX2874" s="2" t="s">
        <v>100</v>
      </c>
      <c r="BY2874" s="2" t="s">
        <v>113</v>
      </c>
      <c r="BZ2874" s="2" t="s">
        <v>100</v>
      </c>
    </row>
    <row r="2875">
      <c r="A2875" s="2" t="s">
        <v>9300</v>
      </c>
      <c r="B2875" s="2" t="s">
        <v>9189</v>
      </c>
      <c r="C2875" s="2" t="s">
        <v>2213</v>
      </c>
      <c r="D2875" s="2" t="s">
        <v>9203</v>
      </c>
      <c r="E2875" s="2" t="s">
        <v>9204</v>
      </c>
      <c r="F2875" s="2" t="s">
        <v>9301</v>
      </c>
      <c r="G2875" s="2" t="s">
        <v>9301</v>
      </c>
      <c r="H2875" s="2" t="s">
        <v>9301</v>
      </c>
      <c r="I2875" s="2" t="s">
        <v>9302</v>
      </c>
      <c r="J2875" s="2" t="s">
        <v>3877</v>
      </c>
      <c r="K2875" s="2" t="s">
        <v>118</v>
      </c>
      <c r="L2875" s="3">
        <v>52</v>
      </c>
      <c r="M2875" s="3">
        <v>54.6</v>
      </c>
      <c r="N2875" s="3">
        <v>109.99</v>
      </c>
      <c r="O2875" s="2" t="s">
        <v>97</v>
      </c>
      <c r="P2875" s="2" t="s">
        <v>119</v>
      </c>
      <c r="Q2875" s="2" t="s">
        <v>99</v>
      </c>
      <c r="R2875" s="2" t="s">
        <v>100</v>
      </c>
      <c r="S2875" s="2" t="s">
        <v>100</v>
      </c>
      <c r="T2875" s="2" t="s">
        <v>100</v>
      </c>
      <c r="U2875" s="2" t="s">
        <v>1847</v>
      </c>
      <c r="V2875" s="2" t="s">
        <v>3188</v>
      </c>
      <c r="W2875" s="2" t="s">
        <v>673</v>
      </c>
      <c r="X2875" s="2" t="s">
        <v>104</v>
      </c>
      <c r="Y2875" s="2" t="s">
        <v>9066</v>
      </c>
      <c r="Z2875" s="4">
        <v>44</v>
      </c>
      <c r="AA2875" s="4">
        <f>=ROUNDDOWN(22,0)</f>
      </c>
      <c r="AB2875" s="5">
        <v>2</v>
      </c>
      <c r="AC2875" s="2" t="s">
        <v>9283</v>
      </c>
      <c r="AD2875" s="4">
        <v>100</v>
      </c>
      <c r="AE2875" s="4">
        <v>100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/>
      <c r="BJ2875" s="4">
        <v>48</v>
      </c>
      <c r="BK2875" s="8">
        <v>2805.59</v>
      </c>
      <c r="BL2875" s="2" t="s">
        <v>9303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2480</v>
      </c>
      <c r="BV2875" s="2" t="s">
        <v>97</v>
      </c>
      <c r="BW2875" s="2" t="s">
        <v>100</v>
      </c>
      <c r="BX2875" s="2" t="s">
        <v>100</v>
      </c>
      <c r="BY2875" s="2" t="s">
        <v>113</v>
      </c>
      <c r="BZ2875" s="2" t="s">
        <v>100</v>
      </c>
    </row>
    <row r="2876">
      <c r="A2876" s="2" t="s">
        <v>9304</v>
      </c>
      <c r="B2876" s="2" t="s">
        <v>9189</v>
      </c>
      <c r="C2876" s="2" t="s">
        <v>2213</v>
      </c>
      <c r="D2876" s="2" t="s">
        <v>9203</v>
      </c>
      <c r="E2876" s="2" t="s">
        <v>9204</v>
      </c>
      <c r="F2876" s="2" t="s">
        <v>9301</v>
      </c>
      <c r="G2876" s="2" t="s">
        <v>9301</v>
      </c>
      <c r="H2876" s="2" t="s">
        <v>9301</v>
      </c>
      <c r="I2876" s="2" t="s">
        <v>9305</v>
      </c>
      <c r="J2876" s="2" t="s">
        <v>3877</v>
      </c>
      <c r="K2876" s="2" t="s">
        <v>913</v>
      </c>
      <c r="L2876" s="3">
        <v>52</v>
      </c>
      <c r="M2876" s="3">
        <v>54.6</v>
      </c>
      <c r="N2876" s="3">
        <v>109.99</v>
      </c>
      <c r="O2876" s="2" t="s">
        <v>97</v>
      </c>
      <c r="P2876" s="2" t="s">
        <v>119</v>
      </c>
      <c r="Q2876" s="2" t="s">
        <v>99</v>
      </c>
      <c r="R2876" s="2" t="s">
        <v>100</v>
      </c>
      <c r="S2876" s="2" t="s">
        <v>100</v>
      </c>
      <c r="T2876" s="2" t="s">
        <v>100</v>
      </c>
      <c r="U2876" s="2" t="s">
        <v>1847</v>
      </c>
      <c r="V2876" s="2" t="s">
        <v>3188</v>
      </c>
      <c r="W2876" s="2" t="s">
        <v>673</v>
      </c>
      <c r="X2876" s="2" t="s">
        <v>104</v>
      </c>
      <c r="Y2876" s="2" t="s">
        <v>9066</v>
      </c>
      <c r="Z2876" s="4">
        <v>43</v>
      </c>
      <c r="AA2876" s="4">
        <f>=ROUNDDOWN(21.5,0)</f>
      </c>
      <c r="AB2876" s="5">
        <v>2</v>
      </c>
      <c r="AC2876" s="2" t="s">
        <v>100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/>
      <c r="BJ2876" s="4">
        <v>46</v>
      </c>
      <c r="BK2876" s="8">
        <v>2563.63</v>
      </c>
      <c r="BL2876" s="2" t="s">
        <v>9306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2480</v>
      </c>
      <c r="BV2876" s="2" t="s">
        <v>97</v>
      </c>
      <c r="BW2876" s="2" t="s">
        <v>100</v>
      </c>
      <c r="BX2876" s="2" t="s">
        <v>100</v>
      </c>
      <c r="BY2876" s="2" t="s">
        <v>113</v>
      </c>
      <c r="BZ2876" s="2" t="s">
        <v>100</v>
      </c>
    </row>
    <row r="2877">
      <c r="A2877" s="2" t="s">
        <v>9307</v>
      </c>
      <c r="B2877" s="2" t="s">
        <v>9189</v>
      </c>
      <c r="C2877" s="2" t="s">
        <v>2213</v>
      </c>
      <c r="D2877" s="2" t="s">
        <v>9203</v>
      </c>
      <c r="E2877" s="2" t="s">
        <v>9204</v>
      </c>
      <c r="F2877" s="2" t="s">
        <v>9301</v>
      </c>
      <c r="G2877" s="2" t="s">
        <v>9301</v>
      </c>
      <c r="H2877" s="2" t="s">
        <v>9301</v>
      </c>
      <c r="I2877" s="2" t="s">
        <v>9308</v>
      </c>
      <c r="J2877" s="2" t="s">
        <v>3877</v>
      </c>
      <c r="K2877" s="2" t="s">
        <v>278</v>
      </c>
      <c r="L2877" s="3">
        <v>52</v>
      </c>
      <c r="M2877" s="3">
        <v>54.6</v>
      </c>
      <c r="N2877" s="3">
        <v>109.99</v>
      </c>
      <c r="O2877" s="2" t="s">
        <v>97</v>
      </c>
      <c r="P2877" s="2" t="s">
        <v>119</v>
      </c>
      <c r="Q2877" s="2" t="s">
        <v>99</v>
      </c>
      <c r="R2877" s="2" t="s">
        <v>100</v>
      </c>
      <c r="S2877" s="2" t="s">
        <v>100</v>
      </c>
      <c r="T2877" s="2" t="s">
        <v>100</v>
      </c>
      <c r="U2877" s="2" t="s">
        <v>1847</v>
      </c>
      <c r="V2877" s="2" t="s">
        <v>3188</v>
      </c>
      <c r="W2877" s="2" t="s">
        <v>673</v>
      </c>
      <c r="X2877" s="2" t="s">
        <v>104</v>
      </c>
      <c r="Y2877" s="2" t="s">
        <v>9066</v>
      </c>
      <c r="Z2877" s="4">
        <v>77</v>
      </c>
      <c r="AA2877" s="4">
        <f>=ROUNDDOWN(19.25,0)</f>
      </c>
      <c r="AB2877" s="5">
        <v>4</v>
      </c>
      <c r="AC2877" s="2" t="s">
        <v>1516</v>
      </c>
      <c r="AD2877" s="4">
        <v>100</v>
      </c>
      <c r="AE2877" s="4">
        <v>100</v>
      </c>
      <c r="AF2877" s="6">
        <v>65</v>
      </c>
      <c r="AG2877" s="6"/>
      <c r="AH2877" s="7">
        <v>0.4278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/>
      <c r="BJ2877" s="4">
        <v>67</v>
      </c>
      <c r="BK2877" s="8">
        <v>3760.09</v>
      </c>
      <c r="BL2877" s="2" t="s">
        <v>7497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2480</v>
      </c>
      <c r="BV2877" s="2" t="s">
        <v>97</v>
      </c>
      <c r="BW2877" s="2" t="s">
        <v>100</v>
      </c>
      <c r="BX2877" s="2" t="s">
        <v>100</v>
      </c>
      <c r="BY2877" s="2" t="s">
        <v>113</v>
      </c>
      <c r="BZ2877" s="2" t="s">
        <v>100</v>
      </c>
    </row>
    <row r="2878">
      <c r="A2878" s="2" t="s">
        <v>9309</v>
      </c>
      <c r="B2878" s="2" t="s">
        <v>9189</v>
      </c>
      <c r="C2878" s="2" t="s">
        <v>2213</v>
      </c>
      <c r="D2878" s="2" t="s">
        <v>9203</v>
      </c>
      <c r="E2878" s="2" t="s">
        <v>9204</v>
      </c>
      <c r="F2878" s="2" t="s">
        <v>9310</v>
      </c>
      <c r="G2878" s="2" t="s">
        <v>9310</v>
      </c>
      <c r="H2878" s="2" t="s">
        <v>9310</v>
      </c>
      <c r="I2878" s="2" t="s">
        <v>9311</v>
      </c>
      <c r="J2878" s="2" t="s">
        <v>3877</v>
      </c>
      <c r="K2878" s="2" t="s">
        <v>9312</v>
      </c>
      <c r="L2878" s="3">
        <v>36</v>
      </c>
      <c r="M2878" s="3">
        <v>37.8</v>
      </c>
      <c r="N2878" s="3">
        <v>74.99</v>
      </c>
      <c r="O2878" s="2" t="s">
        <v>97</v>
      </c>
      <c r="P2878" s="2" t="s">
        <v>372</v>
      </c>
      <c r="Q2878" s="2" t="s">
        <v>99</v>
      </c>
      <c r="R2878" s="2" t="s">
        <v>100</v>
      </c>
      <c r="S2878" s="2" t="s">
        <v>100</v>
      </c>
      <c r="T2878" s="2" t="s">
        <v>100</v>
      </c>
      <c r="U2878" s="2" t="s">
        <v>100</v>
      </c>
      <c r="V2878" s="2" t="s">
        <v>3188</v>
      </c>
      <c r="W2878" s="2" t="s">
        <v>561</v>
      </c>
      <c r="X2878" s="2" t="s">
        <v>104</v>
      </c>
      <c r="Y2878" s="2" t="s">
        <v>2370</v>
      </c>
      <c r="Z2878" s="4">
        <v>567</v>
      </c>
      <c r="AA2878" s="4">
        <f>=ROUNDDOWN(25.4260089686099,0)</f>
      </c>
      <c r="AB2878" s="5">
        <v>22.3</v>
      </c>
      <c r="AC2878" s="2" t="s">
        <v>9283</v>
      </c>
      <c r="AD2878" s="4">
        <v>480</v>
      </c>
      <c r="AE2878" s="4">
        <v>480</v>
      </c>
      <c r="AF2878" s="6">
        <v>63</v>
      </c>
      <c r="AG2878" s="6"/>
      <c r="AH2878" s="7">
        <v>0.9358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/>
      <c r="BD2878" s="8"/>
      <c r="BE2878" s="4"/>
      <c r="BF2878" s="8"/>
      <c r="BG2878" s="7"/>
      <c r="BH2878" s="7"/>
      <c r="BI2878" s="7"/>
      <c r="BJ2878" s="4">
        <v>614</v>
      </c>
      <c r="BK2878" s="8">
        <v>24263.99</v>
      </c>
      <c r="BL2878" s="2" t="s">
        <v>9313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2480</v>
      </c>
      <c r="BV2878" s="2" t="s">
        <v>97</v>
      </c>
      <c r="BW2878" s="2" t="s">
        <v>100</v>
      </c>
      <c r="BX2878" s="2" t="s">
        <v>100</v>
      </c>
      <c r="BY2878" s="2" t="s">
        <v>113</v>
      </c>
      <c r="BZ2878" s="2" t="s">
        <v>100</v>
      </c>
    </row>
    <row r="2879">
      <c r="A2879" s="2" t="s">
        <v>9314</v>
      </c>
      <c r="B2879" s="2" t="s">
        <v>9189</v>
      </c>
      <c r="C2879" s="2" t="s">
        <v>2567</v>
      </c>
      <c r="D2879" s="2" t="s">
        <v>9315</v>
      </c>
      <c r="E2879" s="2" t="s">
        <v>9316</v>
      </c>
      <c r="F2879" s="2" t="s">
        <v>9317</v>
      </c>
      <c r="G2879" s="2" t="s">
        <v>9317</v>
      </c>
      <c r="H2879" s="2" t="s">
        <v>9317</v>
      </c>
      <c r="I2879" s="2" t="s">
        <v>9318</v>
      </c>
      <c r="J2879" s="2" t="s">
        <v>3877</v>
      </c>
      <c r="K2879" s="2" t="s">
        <v>8934</v>
      </c>
      <c r="L2879" s="3">
        <v>182</v>
      </c>
      <c r="M2879" s="3">
        <v>191.1</v>
      </c>
      <c r="N2879" s="3">
        <v>369.99</v>
      </c>
      <c r="O2879" s="2" t="s">
        <v>97</v>
      </c>
      <c r="P2879" s="2" t="s">
        <v>225</v>
      </c>
      <c r="Q2879" s="2" t="s">
        <v>99</v>
      </c>
      <c r="R2879" s="2" t="s">
        <v>100</v>
      </c>
      <c r="S2879" s="2" t="s">
        <v>100</v>
      </c>
      <c r="T2879" s="2" t="s">
        <v>100</v>
      </c>
      <c r="U2879" s="2" t="s">
        <v>1847</v>
      </c>
      <c r="V2879" s="2" t="s">
        <v>9319</v>
      </c>
      <c r="W2879" s="2" t="s">
        <v>104</v>
      </c>
      <c r="X2879" s="2" t="s">
        <v>4378</v>
      </c>
      <c r="Y2879" s="2" t="s">
        <v>100</v>
      </c>
      <c r="Z2879" s="4"/>
      <c r="AA2879" s="4">
        <f>=ROUNDDOWN({0},0)</f>
      </c>
      <c r="AB2879" s="5"/>
      <c r="AC2879" s="2" t="s">
        <v>872</v>
      </c>
      <c r="AD2879" s="4">
        <v>200</v>
      </c>
      <c r="AE2879" s="4">
        <v>200</v>
      </c>
      <c r="AF2879" s="6">
        <v>72</v>
      </c>
      <c r="AG2879" s="6"/>
      <c r="AH2879" s="7"/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/>
      <c r="BJ2879" s="4"/>
      <c r="BK2879" s="8"/>
      <c r="BL2879" s="2" t="s">
        <v>100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2528</v>
      </c>
      <c r="BV2879" s="2" t="s">
        <v>97</v>
      </c>
      <c r="BW2879" s="2" t="s">
        <v>100</v>
      </c>
      <c r="BX2879" s="2" t="s">
        <v>100</v>
      </c>
      <c r="BY2879" s="2" t="s">
        <v>113</v>
      </c>
      <c r="BZ2879" s="2" t="s">
        <v>100</v>
      </c>
    </row>
    <row r="2880">
      <c r="A2880" s="2" t="s">
        <v>9320</v>
      </c>
      <c r="B2880" s="2" t="s">
        <v>9189</v>
      </c>
      <c r="C2880" s="2" t="s">
        <v>2567</v>
      </c>
      <c r="D2880" s="2" t="s">
        <v>9315</v>
      </c>
      <c r="E2880" s="2" t="s">
        <v>9316</v>
      </c>
      <c r="F2880" s="2" t="s">
        <v>9317</v>
      </c>
      <c r="G2880" s="2" t="s">
        <v>9317</v>
      </c>
      <c r="H2880" s="2" t="s">
        <v>9317</v>
      </c>
      <c r="I2880" s="2" t="s">
        <v>9318</v>
      </c>
      <c r="J2880" s="2" t="s">
        <v>3877</v>
      </c>
      <c r="K2880" s="2" t="s">
        <v>9321</v>
      </c>
      <c r="L2880" s="3">
        <v>182</v>
      </c>
      <c r="M2880" s="3">
        <v>191.1</v>
      </c>
      <c r="N2880" s="3">
        <v>369.99</v>
      </c>
      <c r="O2880" s="2" t="s">
        <v>97</v>
      </c>
      <c r="P2880" s="2" t="s">
        <v>225</v>
      </c>
      <c r="Q2880" s="2" t="s">
        <v>99</v>
      </c>
      <c r="R2880" s="2" t="s">
        <v>100</v>
      </c>
      <c r="S2880" s="2" t="s">
        <v>100</v>
      </c>
      <c r="T2880" s="2" t="s">
        <v>100</v>
      </c>
      <c r="U2880" s="2" t="s">
        <v>1847</v>
      </c>
      <c r="V2880" s="2" t="s">
        <v>9319</v>
      </c>
      <c r="W2880" s="2" t="s">
        <v>104</v>
      </c>
      <c r="X2880" s="2" t="s">
        <v>4378</v>
      </c>
      <c r="Y2880" s="2" t="s">
        <v>100</v>
      </c>
      <c r="Z2880" s="4"/>
      <c r="AA2880" s="4">
        <f>=ROUNDDOWN({0},0)</f>
      </c>
      <c r="AB2880" s="5"/>
      <c r="AC2880" s="2" t="s">
        <v>872</v>
      </c>
      <c r="AD2880" s="4">
        <v>100</v>
      </c>
      <c r="AE2880" s="4">
        <v>100</v>
      </c>
      <c r="AF2880" s="6">
        <v>72</v>
      </c>
      <c r="AG2880" s="6"/>
      <c r="AH2880" s="7"/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/>
      <c r="BJ2880" s="4"/>
      <c r="BK2880" s="8"/>
      <c r="BL2880" s="2" t="s">
        <v>100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2528</v>
      </c>
      <c r="BV2880" s="2" t="s">
        <v>97</v>
      </c>
      <c r="BW2880" s="2" t="s">
        <v>100</v>
      </c>
      <c r="BX2880" s="2" t="s">
        <v>100</v>
      </c>
      <c r="BY2880" s="2" t="s">
        <v>113</v>
      </c>
      <c r="BZ2880" s="2" t="s">
        <v>100</v>
      </c>
    </row>
    <row r="2881">
      <c r="A2881" s="2" t="s">
        <v>9322</v>
      </c>
      <c r="B2881" s="2" t="s">
        <v>9189</v>
      </c>
      <c r="C2881" s="2" t="s">
        <v>2567</v>
      </c>
      <c r="D2881" s="2" t="s">
        <v>9315</v>
      </c>
      <c r="E2881" s="2" t="s">
        <v>9316</v>
      </c>
      <c r="F2881" s="2" t="s">
        <v>9323</v>
      </c>
      <c r="G2881" s="2" t="s">
        <v>9323</v>
      </c>
      <c r="H2881" s="2" t="s">
        <v>9323</v>
      </c>
      <c r="I2881" s="2" t="s">
        <v>9324</v>
      </c>
      <c r="J2881" s="2" t="s">
        <v>3877</v>
      </c>
      <c r="K2881" s="2" t="s">
        <v>9325</v>
      </c>
      <c r="L2881" s="3">
        <v>180</v>
      </c>
      <c r="M2881" s="3">
        <v>189</v>
      </c>
      <c r="N2881" s="3">
        <v>379.99</v>
      </c>
      <c r="O2881" s="2" t="s">
        <v>97</v>
      </c>
      <c r="P2881" s="2" t="s">
        <v>225</v>
      </c>
      <c r="Q2881" s="2" t="s">
        <v>99</v>
      </c>
      <c r="R2881" s="2" t="s">
        <v>100</v>
      </c>
      <c r="S2881" s="2" t="s">
        <v>100</v>
      </c>
      <c r="T2881" s="2" t="s">
        <v>100</v>
      </c>
      <c r="U2881" s="2" t="s">
        <v>1847</v>
      </c>
      <c r="V2881" s="2" t="s">
        <v>3188</v>
      </c>
      <c r="W2881" s="2" t="s">
        <v>561</v>
      </c>
      <c r="X2881" s="2" t="s">
        <v>104</v>
      </c>
      <c r="Y2881" s="2" t="s">
        <v>9326</v>
      </c>
      <c r="Z2881" s="4">
        <v>117</v>
      </c>
      <c r="AA2881" s="4">
        <f>=ROUNDDOWN({0},0)</f>
      </c>
      <c r="AB2881" s="5"/>
      <c r="AC2881" s="2" t="s">
        <v>100</v>
      </c>
      <c r="AD2881" s="4"/>
      <c r="AE2881" s="4"/>
      <c r="AF2881" s="6">
        <v>72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/>
      <c r="BD2881" s="8"/>
      <c r="BE2881" s="4"/>
      <c r="BF2881" s="8"/>
      <c r="BG2881" s="7"/>
      <c r="BH2881" s="7"/>
      <c r="BI2881" s="7"/>
      <c r="BJ2881" s="4"/>
      <c r="BK2881" s="8"/>
      <c r="BL2881" s="2" t="s">
        <v>100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2480</v>
      </c>
      <c r="BV2881" s="2" t="s">
        <v>97</v>
      </c>
      <c r="BW2881" s="2" t="s">
        <v>100</v>
      </c>
      <c r="BX2881" s="2" t="s">
        <v>100</v>
      </c>
      <c r="BY2881" s="2" t="s">
        <v>113</v>
      </c>
      <c r="BZ2881" s="2" t="s">
        <v>100</v>
      </c>
    </row>
    <row r="2882">
      <c r="A2882" s="2" t="s">
        <v>9327</v>
      </c>
      <c r="B2882" s="2" t="s">
        <v>9189</v>
      </c>
      <c r="C2882" s="2" t="s">
        <v>2567</v>
      </c>
      <c r="D2882" s="2" t="s">
        <v>9315</v>
      </c>
      <c r="E2882" s="2" t="s">
        <v>9316</v>
      </c>
      <c r="F2882" s="2" t="s">
        <v>9328</v>
      </c>
      <c r="G2882" s="2" t="s">
        <v>9328</v>
      </c>
      <c r="H2882" s="2" t="s">
        <v>9328</v>
      </c>
      <c r="I2882" s="2" t="s">
        <v>9329</v>
      </c>
      <c r="J2882" s="2" t="s">
        <v>3877</v>
      </c>
      <c r="K2882" s="2" t="s">
        <v>9330</v>
      </c>
      <c r="L2882" s="3">
        <v>123.35</v>
      </c>
      <c r="M2882" s="3">
        <v>129.52</v>
      </c>
      <c r="N2882" s="3">
        <v>259.99</v>
      </c>
      <c r="O2882" s="2" t="s">
        <v>97</v>
      </c>
      <c r="P2882" s="2" t="s">
        <v>119</v>
      </c>
      <c r="Q2882" s="2" t="s">
        <v>99</v>
      </c>
      <c r="R2882" s="2" t="s">
        <v>100</v>
      </c>
      <c r="S2882" s="2" t="s">
        <v>100</v>
      </c>
      <c r="T2882" s="2" t="s">
        <v>100</v>
      </c>
      <c r="U2882" s="2" t="s">
        <v>1847</v>
      </c>
      <c r="V2882" s="2" t="s">
        <v>3188</v>
      </c>
      <c r="W2882" s="2" t="s">
        <v>104</v>
      </c>
      <c r="X2882" s="2" t="s">
        <v>100</v>
      </c>
      <c r="Y2882" s="2" t="s">
        <v>1053</v>
      </c>
      <c r="Z2882" s="4">
        <v>117</v>
      </c>
      <c r="AA2882" s="4">
        <f>=ROUNDDOWN(19.5,0)</f>
      </c>
      <c r="AB2882" s="5">
        <v>6</v>
      </c>
      <c r="AC2882" s="2" t="s">
        <v>1516</v>
      </c>
      <c r="AD2882" s="4">
        <v>100</v>
      </c>
      <c r="AE2882" s="4">
        <v>100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/>
      <c r="BJ2882" s="4">
        <v>166</v>
      </c>
      <c r="BK2882" s="8">
        <v>23396.11</v>
      </c>
      <c r="BL2882" s="2" t="s">
        <v>9331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2480</v>
      </c>
      <c r="BV2882" s="2" t="s">
        <v>97</v>
      </c>
      <c r="BW2882" s="2" t="s">
        <v>100</v>
      </c>
      <c r="BX2882" s="2" t="s">
        <v>100</v>
      </c>
      <c r="BY2882" s="2" t="s">
        <v>113</v>
      </c>
      <c r="BZ2882" s="2" t="s">
        <v>100</v>
      </c>
    </row>
    <row r="2883">
      <c r="A2883" s="2" t="s">
        <v>9332</v>
      </c>
      <c r="B2883" s="2" t="s">
        <v>9189</v>
      </c>
      <c r="C2883" s="2" t="s">
        <v>2567</v>
      </c>
      <c r="D2883" s="2" t="s">
        <v>9315</v>
      </c>
      <c r="E2883" s="2" t="s">
        <v>9316</v>
      </c>
      <c r="F2883" s="2" t="s">
        <v>9328</v>
      </c>
      <c r="G2883" s="2" t="s">
        <v>9328</v>
      </c>
      <c r="H2883" s="2" t="s">
        <v>9328</v>
      </c>
      <c r="I2883" s="2" t="s">
        <v>9329</v>
      </c>
      <c r="J2883" s="2" t="s">
        <v>3877</v>
      </c>
      <c r="K2883" s="2" t="s">
        <v>9312</v>
      </c>
      <c r="L2883" s="3">
        <v>123.35</v>
      </c>
      <c r="M2883" s="3">
        <v>129.52</v>
      </c>
      <c r="N2883" s="3">
        <v>259.99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9333</v>
      </c>
      <c r="T2883" s="2" t="s">
        <v>100</v>
      </c>
      <c r="U2883" s="2" t="s">
        <v>100</v>
      </c>
      <c r="V2883" s="2" t="s">
        <v>146</v>
      </c>
      <c r="W2883" s="2" t="s">
        <v>104</v>
      </c>
      <c r="X2883" s="2" t="s">
        <v>100</v>
      </c>
      <c r="Y2883" s="2" t="s">
        <v>2745</v>
      </c>
      <c r="Z2883" s="4">
        <v>575</v>
      </c>
      <c r="AA2883" s="4">
        <f>=ROUNDDOWN(52.2727272727273,0)</f>
      </c>
      <c r="AB2883" s="5">
        <v>11</v>
      </c>
      <c r="AC2883" s="2" t="s">
        <v>100</v>
      </c>
      <c r="AD2883" s="4"/>
      <c r="AE2883" s="4"/>
      <c r="AF2883" s="6">
        <v>63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/>
      <c r="BJ2883" s="4">
        <v>287</v>
      </c>
      <c r="BK2883" s="8">
        <v>37305.07</v>
      </c>
      <c r="BL2883" s="2" t="s">
        <v>9334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2480</v>
      </c>
      <c r="BV2883" s="2" t="s">
        <v>97</v>
      </c>
      <c r="BW2883" s="2" t="s">
        <v>100</v>
      </c>
      <c r="BX2883" s="2" t="s">
        <v>100</v>
      </c>
      <c r="BY2883" s="2" t="s">
        <v>113</v>
      </c>
      <c r="BZ2883" s="2" t="s">
        <v>100</v>
      </c>
    </row>
    <row r="2884">
      <c r="A2884" s="2" t="s">
        <v>9335</v>
      </c>
      <c r="B2884" s="2" t="s">
        <v>9189</v>
      </c>
      <c r="C2884" s="2" t="s">
        <v>2567</v>
      </c>
      <c r="D2884" s="2" t="s">
        <v>9315</v>
      </c>
      <c r="E2884" s="2" t="s">
        <v>9316</v>
      </c>
      <c r="F2884" s="2" t="s">
        <v>9328</v>
      </c>
      <c r="G2884" s="2" t="s">
        <v>9328</v>
      </c>
      <c r="H2884" s="2" t="s">
        <v>9328</v>
      </c>
      <c r="I2884" s="2" t="s">
        <v>9329</v>
      </c>
      <c r="J2884" s="2" t="s">
        <v>3877</v>
      </c>
      <c r="K2884" s="2" t="s">
        <v>9336</v>
      </c>
      <c r="L2884" s="3">
        <v>123.35</v>
      </c>
      <c r="M2884" s="3">
        <v>129.52</v>
      </c>
      <c r="N2884" s="3">
        <v>259.99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100</v>
      </c>
      <c r="T2884" s="2" t="s">
        <v>100</v>
      </c>
      <c r="U2884" s="2" t="s">
        <v>100</v>
      </c>
      <c r="V2884" s="2" t="s">
        <v>3188</v>
      </c>
      <c r="W2884" s="2" t="s">
        <v>104</v>
      </c>
      <c r="X2884" s="2" t="s">
        <v>100</v>
      </c>
      <c r="Y2884" s="2" t="s">
        <v>5412</v>
      </c>
      <c r="Z2884" s="4">
        <v>114</v>
      </c>
      <c r="AA2884" s="4">
        <f>=ROUNDDOWN(19,0)</f>
      </c>
      <c r="AB2884" s="5">
        <v>6</v>
      </c>
      <c r="AC2884" s="2" t="s">
        <v>5126</v>
      </c>
      <c r="AD2884" s="4">
        <v>150</v>
      </c>
      <c r="AE2884" s="4">
        <v>150</v>
      </c>
      <c r="AF2884" s="6">
        <v>63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/>
      <c r="BJ2884" s="4">
        <v>158</v>
      </c>
      <c r="BK2884" s="8">
        <v>21597.83</v>
      </c>
      <c r="BL2884" s="2" t="s">
        <v>9337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2480</v>
      </c>
      <c r="BV2884" s="2" t="s">
        <v>97</v>
      </c>
      <c r="BW2884" s="2" t="s">
        <v>100</v>
      </c>
      <c r="BX2884" s="2" t="s">
        <v>100</v>
      </c>
      <c r="BY2884" s="2" t="s">
        <v>113</v>
      </c>
      <c r="BZ2884" s="2" t="s">
        <v>100</v>
      </c>
    </row>
    <row r="2885">
      <c r="A2885" s="2" t="s">
        <v>9338</v>
      </c>
      <c r="B2885" s="2" t="s">
        <v>9189</v>
      </c>
      <c r="C2885" s="2" t="s">
        <v>2567</v>
      </c>
      <c r="D2885" s="2" t="s">
        <v>9203</v>
      </c>
      <c r="E2885" s="2" t="s">
        <v>9204</v>
      </c>
      <c r="F2885" s="2" t="s">
        <v>8240</v>
      </c>
      <c r="G2885" s="2" t="s">
        <v>8240</v>
      </c>
      <c r="H2885" s="2" t="s">
        <v>8240</v>
      </c>
      <c r="I2885" s="2" t="s">
        <v>9339</v>
      </c>
      <c r="J2885" s="2" t="s">
        <v>3877</v>
      </c>
      <c r="K2885" s="2" t="s">
        <v>1614</v>
      </c>
      <c r="L2885" s="3">
        <v>81.97</v>
      </c>
      <c r="M2885" s="3">
        <v>86.07</v>
      </c>
      <c r="N2885" s="3">
        <v>189.99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9340</v>
      </c>
      <c r="T2885" s="2" t="s">
        <v>100</v>
      </c>
      <c r="U2885" s="2" t="s">
        <v>100</v>
      </c>
      <c r="V2885" s="2" t="s">
        <v>146</v>
      </c>
      <c r="W2885" s="2" t="s">
        <v>104</v>
      </c>
      <c r="X2885" s="2" t="s">
        <v>100</v>
      </c>
      <c r="Y2885" s="2" t="s">
        <v>240</v>
      </c>
      <c r="Z2885" s="4">
        <v>270</v>
      </c>
      <c r="AA2885" s="4">
        <f>=ROUNDDOWN(49.0909090909091,0)</f>
      </c>
      <c r="AB2885" s="5">
        <v>5.5</v>
      </c>
      <c r="AC2885" s="2" t="s">
        <v>100</v>
      </c>
      <c r="AD2885" s="4"/>
      <c r="AE2885" s="4"/>
      <c r="AF2885" s="6">
        <v>65</v>
      </c>
      <c r="AG2885" s="6"/>
      <c r="AH2885" s="7">
        <v>0.385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/>
      <c r="BD2885" s="8"/>
      <c r="BE2885" s="4"/>
      <c r="BF2885" s="8"/>
      <c r="BG2885" s="7"/>
      <c r="BH2885" s="7"/>
      <c r="BI2885" s="7"/>
      <c r="BJ2885" s="4">
        <v>48</v>
      </c>
      <c r="BK2885" s="8">
        <v>3839.27</v>
      </c>
      <c r="BL2885" s="2" t="s">
        <v>9341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2480</v>
      </c>
      <c r="BV2885" s="2" t="s">
        <v>97</v>
      </c>
      <c r="BW2885" s="2" t="s">
        <v>100</v>
      </c>
      <c r="BX2885" s="2" t="s">
        <v>100</v>
      </c>
      <c r="BY2885" s="2" t="s">
        <v>113</v>
      </c>
      <c r="BZ2885" s="2" t="s">
        <v>100</v>
      </c>
    </row>
    <row r="2886">
      <c r="A2886" s="2" t="s">
        <v>9342</v>
      </c>
      <c r="B2886" s="2" t="s">
        <v>9189</v>
      </c>
      <c r="C2886" s="2" t="s">
        <v>2850</v>
      </c>
      <c r="D2886" s="2" t="s">
        <v>9315</v>
      </c>
      <c r="E2886" s="2" t="s">
        <v>9316</v>
      </c>
      <c r="F2886" s="2" t="s">
        <v>9343</v>
      </c>
      <c r="G2886" s="2" t="s">
        <v>9343</v>
      </c>
      <c r="H2886" s="2" t="s">
        <v>9343</v>
      </c>
      <c r="I2886" s="2" t="s">
        <v>9344</v>
      </c>
      <c r="J2886" s="2" t="s">
        <v>3877</v>
      </c>
      <c r="K2886" s="2" t="s">
        <v>9345</v>
      </c>
      <c r="L2886" s="3">
        <v>130.68</v>
      </c>
      <c r="M2886" s="3">
        <v>137.21</v>
      </c>
      <c r="N2886" s="3">
        <v>299.99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100</v>
      </c>
      <c r="T2886" s="2" t="s">
        <v>100</v>
      </c>
      <c r="U2886" s="2" t="s">
        <v>1847</v>
      </c>
      <c r="V2886" s="2" t="s">
        <v>146</v>
      </c>
      <c r="W2886" s="2" t="s">
        <v>104</v>
      </c>
      <c r="X2886" s="2" t="s">
        <v>100</v>
      </c>
      <c r="Y2886" s="2" t="s">
        <v>9346</v>
      </c>
      <c r="Z2886" s="4">
        <v>305</v>
      </c>
      <c r="AA2886" s="4">
        <f>=ROUNDDOWN(51.6949152542373,0)</f>
      </c>
      <c r="AB2886" s="5">
        <v>5.9</v>
      </c>
      <c r="AC2886" s="2" t="s">
        <v>100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/>
      <c r="BD2886" s="8"/>
      <c r="BE2886" s="4"/>
      <c r="BF2886" s="8"/>
      <c r="BG2886" s="7"/>
      <c r="BH2886" s="7"/>
      <c r="BI2886" s="7"/>
      <c r="BJ2886" s="4">
        <v>155</v>
      </c>
      <c r="BK2886" s="8">
        <v>21243.83</v>
      </c>
      <c r="BL2886" s="2" t="s">
        <v>9347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2528</v>
      </c>
      <c r="BV2886" s="2" t="s">
        <v>97</v>
      </c>
      <c r="BW2886" s="2" t="s">
        <v>100</v>
      </c>
      <c r="BX2886" s="2" t="s">
        <v>100</v>
      </c>
      <c r="BY2886" s="2" t="s">
        <v>113</v>
      </c>
      <c r="BZ2886" s="2" t="s">
        <v>100</v>
      </c>
    </row>
    <row r="2887">
      <c r="A2887" s="2" t="s">
        <v>9348</v>
      </c>
      <c r="B2887" s="2" t="s">
        <v>9189</v>
      </c>
      <c r="C2887" s="2" t="s">
        <v>2850</v>
      </c>
      <c r="D2887" s="2" t="s">
        <v>9315</v>
      </c>
      <c r="E2887" s="2" t="s">
        <v>9316</v>
      </c>
      <c r="F2887" s="2" t="s">
        <v>9349</v>
      </c>
      <c r="G2887" s="2" t="s">
        <v>9349</v>
      </c>
      <c r="H2887" s="2" t="s">
        <v>9349</v>
      </c>
      <c r="I2887" s="2" t="s">
        <v>9350</v>
      </c>
      <c r="J2887" s="2" t="s">
        <v>3877</v>
      </c>
      <c r="K2887" s="2" t="s">
        <v>9325</v>
      </c>
      <c r="L2887" s="3">
        <v>136</v>
      </c>
      <c r="M2887" s="3">
        <v>142.8</v>
      </c>
      <c r="N2887" s="3">
        <v>279.99</v>
      </c>
      <c r="O2887" s="2" t="s">
        <v>97</v>
      </c>
      <c r="P2887" s="2" t="s">
        <v>225</v>
      </c>
      <c r="Q2887" s="2" t="s">
        <v>99</v>
      </c>
      <c r="R2887" s="2" t="s">
        <v>100</v>
      </c>
      <c r="S2887" s="2" t="s">
        <v>100</v>
      </c>
      <c r="T2887" s="2" t="s">
        <v>100</v>
      </c>
      <c r="U2887" s="2" t="s">
        <v>1847</v>
      </c>
      <c r="V2887" s="2" t="s">
        <v>3188</v>
      </c>
      <c r="W2887" s="2" t="s">
        <v>104</v>
      </c>
      <c r="X2887" s="2" t="s">
        <v>561</v>
      </c>
      <c r="Y2887" s="2" t="s">
        <v>9326</v>
      </c>
      <c r="Z2887" s="4">
        <v>135</v>
      </c>
      <c r="AA2887" s="4">
        <f>=ROUNDDOWN({0},0)</f>
      </c>
      <c r="AB2887" s="5"/>
      <c r="AC2887" s="2" t="s">
        <v>100</v>
      </c>
      <c r="AD2887" s="4"/>
      <c r="AE2887" s="4"/>
      <c r="AF2887" s="6">
        <v>72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/>
      <c r="BD2887" s="8"/>
      <c r="BE2887" s="4"/>
      <c r="BF2887" s="8"/>
      <c r="BG2887" s="7"/>
      <c r="BH2887" s="7"/>
      <c r="BI2887" s="7"/>
      <c r="BJ2887" s="4"/>
      <c r="BK2887" s="8"/>
      <c r="BL2887" s="2" t="s">
        <v>100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2528</v>
      </c>
      <c r="BV2887" s="2" t="s">
        <v>97</v>
      </c>
      <c r="BW2887" s="2" t="s">
        <v>100</v>
      </c>
      <c r="BX2887" s="2" t="s">
        <v>100</v>
      </c>
      <c r="BY2887" s="2" t="s">
        <v>113</v>
      </c>
      <c r="BZ2887" s="2" t="s">
        <v>100</v>
      </c>
    </row>
    <row r="2888">
      <c r="A2888" s="2" t="s">
        <v>9351</v>
      </c>
      <c r="B2888" s="2" t="s">
        <v>9189</v>
      </c>
      <c r="C2888" s="2" t="s">
        <v>2850</v>
      </c>
      <c r="D2888" s="2" t="s">
        <v>9315</v>
      </c>
      <c r="E2888" s="2" t="s">
        <v>9316</v>
      </c>
      <c r="F2888" s="2" t="s">
        <v>2869</v>
      </c>
      <c r="G2888" s="2" t="s">
        <v>2869</v>
      </c>
      <c r="H2888" s="2" t="s">
        <v>2869</v>
      </c>
      <c r="I2888" s="2" t="s">
        <v>9352</v>
      </c>
      <c r="J2888" s="2" t="s">
        <v>3877</v>
      </c>
      <c r="K2888" s="2" t="s">
        <v>189</v>
      </c>
      <c r="L2888" s="3">
        <v>125.15</v>
      </c>
      <c r="M2888" s="3">
        <v>131.41</v>
      </c>
      <c r="N2888" s="3">
        <v>279.99</v>
      </c>
      <c r="O2888" s="2" t="s">
        <v>97</v>
      </c>
      <c r="P2888" s="2" t="s">
        <v>372</v>
      </c>
      <c r="Q2888" s="2" t="s">
        <v>99</v>
      </c>
      <c r="R2888" s="2" t="s">
        <v>100</v>
      </c>
      <c r="S2888" s="2" t="s">
        <v>100</v>
      </c>
      <c r="T2888" s="2" t="s">
        <v>100</v>
      </c>
      <c r="U2888" s="2" t="s">
        <v>100</v>
      </c>
      <c r="V2888" s="2" t="s">
        <v>3188</v>
      </c>
      <c r="W2888" s="2" t="s">
        <v>104</v>
      </c>
      <c r="X2888" s="2" t="s">
        <v>100</v>
      </c>
      <c r="Y2888" s="2" t="s">
        <v>9353</v>
      </c>
      <c r="Z2888" s="4">
        <v>480</v>
      </c>
      <c r="AA2888" s="4">
        <f>=ROUNDDOWN(31.1688311688312,0)</f>
      </c>
      <c r="AB2888" s="5">
        <v>15.4</v>
      </c>
      <c r="AC2888" s="2" t="s">
        <v>320</v>
      </c>
      <c r="AD2888" s="4">
        <v>800</v>
      </c>
      <c r="AE2888" s="4">
        <v>800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/>
      <c r="BD2888" s="8"/>
      <c r="BE2888" s="4"/>
      <c r="BF2888" s="8"/>
      <c r="BG2888" s="7"/>
      <c r="BH2888" s="7"/>
      <c r="BI2888" s="7"/>
      <c r="BJ2888" s="4">
        <v>445</v>
      </c>
      <c r="BK2888" s="8">
        <v>61386.78</v>
      </c>
      <c r="BL2888" s="2" t="s">
        <v>9354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2480</v>
      </c>
      <c r="BV2888" s="2" t="s">
        <v>97</v>
      </c>
      <c r="BW2888" s="2" t="s">
        <v>100</v>
      </c>
      <c r="BX2888" s="2" t="s">
        <v>100</v>
      </c>
      <c r="BY2888" s="2" t="s">
        <v>113</v>
      </c>
      <c r="BZ2888" s="2" t="s">
        <v>100</v>
      </c>
    </row>
    <row r="2889">
      <c r="A2889" s="2" t="s">
        <v>9355</v>
      </c>
      <c r="B2889" s="2" t="s">
        <v>9189</v>
      </c>
      <c r="C2889" s="2" t="s">
        <v>2850</v>
      </c>
      <c r="D2889" s="2" t="s">
        <v>9315</v>
      </c>
      <c r="E2889" s="2" t="s">
        <v>9316</v>
      </c>
      <c r="F2889" s="2" t="s">
        <v>8428</v>
      </c>
      <c r="G2889" s="2" t="s">
        <v>8428</v>
      </c>
      <c r="H2889" s="2" t="s">
        <v>8428</v>
      </c>
      <c r="I2889" s="2" t="s">
        <v>9356</v>
      </c>
      <c r="J2889" s="2" t="s">
        <v>3877</v>
      </c>
      <c r="K2889" s="2" t="s">
        <v>3199</v>
      </c>
      <c r="L2889" s="3">
        <v>267.67</v>
      </c>
      <c r="M2889" s="3">
        <v>281.05</v>
      </c>
      <c r="N2889" s="3">
        <v>609.99</v>
      </c>
      <c r="O2889" s="2" t="s">
        <v>97</v>
      </c>
      <c r="P2889" s="2" t="s">
        <v>119</v>
      </c>
      <c r="Q2889" s="2" t="s">
        <v>99</v>
      </c>
      <c r="R2889" s="2" t="s">
        <v>100</v>
      </c>
      <c r="S2889" s="2" t="s">
        <v>9357</v>
      </c>
      <c r="T2889" s="2" t="s">
        <v>100</v>
      </c>
      <c r="U2889" s="2" t="s">
        <v>100</v>
      </c>
      <c r="V2889" s="2" t="s">
        <v>1150</v>
      </c>
      <c r="W2889" s="2" t="s">
        <v>561</v>
      </c>
      <c r="X2889" s="2" t="s">
        <v>100</v>
      </c>
      <c r="Y2889" s="2" t="s">
        <v>3938</v>
      </c>
      <c r="Z2889" s="4">
        <v>89</v>
      </c>
      <c r="AA2889" s="4">
        <f>=ROUNDDOWN(89,0)</f>
      </c>
      <c r="AB2889" s="5">
        <v>1</v>
      </c>
      <c r="AC2889" s="2" t="s">
        <v>100</v>
      </c>
      <c r="AD2889" s="4"/>
      <c r="AE2889" s="4"/>
      <c r="AF2889" s="6">
        <v>63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/>
      <c r="BD2889" s="8"/>
      <c r="BE2889" s="4"/>
      <c r="BF2889" s="8"/>
      <c r="BG2889" s="7"/>
      <c r="BH2889" s="7"/>
      <c r="BI2889" s="7"/>
      <c r="BJ2889" s="4">
        <v>28</v>
      </c>
      <c r="BK2889" s="8">
        <v>7319.72</v>
      </c>
      <c r="BL2889" s="2" t="s">
        <v>9358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2528</v>
      </c>
      <c r="BV2889" s="2" t="s">
        <v>97</v>
      </c>
      <c r="BW2889" s="2" t="s">
        <v>100</v>
      </c>
      <c r="BX2889" s="2" t="s">
        <v>100</v>
      </c>
      <c r="BY2889" s="2" t="s">
        <v>113</v>
      </c>
      <c r="BZ2889" s="2" t="s">
        <v>100</v>
      </c>
    </row>
    <row r="2890">
      <c r="A2890" s="2" t="s">
        <v>9359</v>
      </c>
      <c r="B2890" s="2" t="s">
        <v>9189</v>
      </c>
      <c r="C2890" s="2" t="s">
        <v>2850</v>
      </c>
      <c r="D2890" s="2" t="s">
        <v>9190</v>
      </c>
      <c r="E2890" s="2" t="s">
        <v>9191</v>
      </c>
      <c r="F2890" s="2" t="s">
        <v>9360</v>
      </c>
      <c r="G2890" s="2" t="s">
        <v>9360</v>
      </c>
      <c r="H2890" s="2" t="s">
        <v>9360</v>
      </c>
      <c r="I2890" s="2" t="s">
        <v>9361</v>
      </c>
      <c r="J2890" s="2" t="s">
        <v>3877</v>
      </c>
      <c r="K2890" s="2" t="s">
        <v>3199</v>
      </c>
      <c r="L2890" s="3">
        <v>127.24</v>
      </c>
      <c r="M2890" s="3">
        <v>133.6</v>
      </c>
      <c r="N2890" s="3">
        <v>289.99</v>
      </c>
      <c r="O2890" s="2" t="s">
        <v>97</v>
      </c>
      <c r="P2890" s="2" t="s">
        <v>119</v>
      </c>
      <c r="Q2890" s="2" t="s">
        <v>99</v>
      </c>
      <c r="R2890" s="2" t="s">
        <v>100</v>
      </c>
      <c r="S2890" s="2" t="s">
        <v>100</v>
      </c>
      <c r="T2890" s="2" t="s">
        <v>100</v>
      </c>
      <c r="U2890" s="2" t="s">
        <v>100</v>
      </c>
      <c r="V2890" s="2" t="s">
        <v>146</v>
      </c>
      <c r="W2890" s="2" t="s">
        <v>104</v>
      </c>
      <c r="X2890" s="2" t="s">
        <v>100</v>
      </c>
      <c r="Y2890" s="2" t="s">
        <v>2844</v>
      </c>
      <c r="Z2890" s="4">
        <v>139</v>
      </c>
      <c r="AA2890" s="4">
        <f>=ROUNDDOWN(92.6666666666667,0)</f>
      </c>
      <c r="AB2890" s="5">
        <v>1.5</v>
      </c>
      <c r="AC2890" s="2" t="s">
        <v>100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/>
      <c r="BD2890" s="8"/>
      <c r="BE2890" s="4"/>
      <c r="BF2890" s="8"/>
      <c r="BG2890" s="7"/>
      <c r="BH2890" s="7"/>
      <c r="BI2890" s="7"/>
      <c r="BJ2890" s="4">
        <v>34</v>
      </c>
      <c r="BK2890" s="8">
        <v>4942.77</v>
      </c>
      <c r="BL2890" s="2" t="s">
        <v>9362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2480</v>
      </c>
      <c r="BV2890" s="2" t="s">
        <v>97</v>
      </c>
      <c r="BW2890" s="2" t="s">
        <v>100</v>
      </c>
      <c r="BX2890" s="2" t="s">
        <v>100</v>
      </c>
      <c r="BY2890" s="2" t="s">
        <v>113</v>
      </c>
      <c r="BZ2890" s="2" t="s">
        <v>100</v>
      </c>
    </row>
    <row r="2891">
      <c r="A2891" s="2" t="s">
        <v>9363</v>
      </c>
      <c r="B2891" s="2" t="s">
        <v>9189</v>
      </c>
      <c r="C2891" s="2" t="s">
        <v>2850</v>
      </c>
      <c r="D2891" s="2" t="s">
        <v>9190</v>
      </c>
      <c r="E2891" s="2" t="s">
        <v>9191</v>
      </c>
      <c r="F2891" s="2" t="s">
        <v>9364</v>
      </c>
      <c r="G2891" s="2" t="s">
        <v>9364</v>
      </c>
      <c r="H2891" s="2" t="s">
        <v>9364</v>
      </c>
      <c r="I2891" s="2" t="s">
        <v>9365</v>
      </c>
      <c r="J2891" s="2" t="s">
        <v>3877</v>
      </c>
      <c r="K2891" s="2" t="s">
        <v>3199</v>
      </c>
      <c r="L2891" s="3">
        <v>86.4</v>
      </c>
      <c r="M2891" s="3">
        <v>90.72</v>
      </c>
      <c r="N2891" s="3">
        <v>179.99</v>
      </c>
      <c r="O2891" s="2" t="s">
        <v>97</v>
      </c>
      <c r="P2891" s="2" t="s">
        <v>119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1847</v>
      </c>
      <c r="V2891" s="2" t="s">
        <v>3188</v>
      </c>
      <c r="W2891" s="2" t="s">
        <v>104</v>
      </c>
      <c r="X2891" s="2" t="s">
        <v>100</v>
      </c>
      <c r="Y2891" s="2" t="s">
        <v>9366</v>
      </c>
      <c r="Z2891" s="4">
        <v>78</v>
      </c>
      <c r="AA2891" s="4">
        <f>=ROUNDDOWN(26,0)</f>
      </c>
      <c r="AB2891" s="5">
        <v>3</v>
      </c>
      <c r="AC2891" s="2" t="s">
        <v>100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/>
      <c r="BD2891" s="8"/>
      <c r="BE2891" s="4"/>
      <c r="BF2891" s="8"/>
      <c r="BG2891" s="7"/>
      <c r="BH2891" s="7"/>
      <c r="BI2891" s="7"/>
      <c r="BJ2891" s="4">
        <v>71</v>
      </c>
      <c r="BK2891" s="8">
        <v>7088.26</v>
      </c>
      <c r="BL2891" s="2" t="s">
        <v>9367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2528</v>
      </c>
      <c r="BV2891" s="2" t="s">
        <v>97</v>
      </c>
      <c r="BW2891" s="2" t="s">
        <v>100</v>
      </c>
      <c r="BX2891" s="2" t="s">
        <v>100</v>
      </c>
      <c r="BY2891" s="2" t="s">
        <v>113</v>
      </c>
      <c r="BZ2891" s="2" t="s">
        <v>100</v>
      </c>
    </row>
    <row r="2892">
      <c r="A2892" s="2" t="s">
        <v>9368</v>
      </c>
      <c r="B2892" s="2" t="s">
        <v>9189</v>
      </c>
      <c r="C2892" s="2" t="s">
        <v>2850</v>
      </c>
      <c r="D2892" s="2" t="s">
        <v>9190</v>
      </c>
      <c r="E2892" s="2" t="s">
        <v>9191</v>
      </c>
      <c r="F2892" s="2" t="s">
        <v>9369</v>
      </c>
      <c r="G2892" s="2" t="s">
        <v>9369</v>
      </c>
      <c r="H2892" s="2" t="s">
        <v>9369</v>
      </c>
      <c r="I2892" s="2" t="s">
        <v>9370</v>
      </c>
      <c r="J2892" s="2" t="s">
        <v>3877</v>
      </c>
      <c r="K2892" s="2" t="s">
        <v>9325</v>
      </c>
      <c r="L2892" s="3">
        <v>54.27</v>
      </c>
      <c r="M2892" s="3">
        <v>56.98</v>
      </c>
      <c r="N2892" s="3">
        <v>129.99</v>
      </c>
      <c r="O2892" s="2" t="s">
        <v>97</v>
      </c>
      <c r="P2892" s="2" t="s">
        <v>98</v>
      </c>
      <c r="Q2892" s="2" t="s">
        <v>99</v>
      </c>
      <c r="R2892" s="2" t="s">
        <v>100</v>
      </c>
      <c r="S2892" s="2" t="s">
        <v>100</v>
      </c>
      <c r="T2892" s="2" t="s">
        <v>100</v>
      </c>
      <c r="U2892" s="2" t="s">
        <v>1847</v>
      </c>
      <c r="V2892" s="2" t="s">
        <v>3188</v>
      </c>
      <c r="W2892" s="2" t="s">
        <v>104</v>
      </c>
      <c r="X2892" s="2" t="s">
        <v>100</v>
      </c>
      <c r="Y2892" s="2" t="s">
        <v>2278</v>
      </c>
      <c r="Z2892" s="4">
        <v>170</v>
      </c>
      <c r="AA2892" s="4">
        <f>=ROUNDDOWN(30.3571428571429,0)</f>
      </c>
      <c r="AB2892" s="5">
        <v>5.6</v>
      </c>
      <c r="AC2892" s="2" t="s">
        <v>100</v>
      </c>
      <c r="AD2892" s="4"/>
      <c r="AE2892" s="4"/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/>
      <c r="BD2892" s="8"/>
      <c r="BE2892" s="4"/>
      <c r="BF2892" s="8"/>
      <c r="BG2892" s="7"/>
      <c r="BH2892" s="7"/>
      <c r="BI2892" s="7"/>
      <c r="BJ2892" s="4">
        <v>169</v>
      </c>
      <c r="BK2892" s="8">
        <v>10025.24</v>
      </c>
      <c r="BL2892" s="2" t="s">
        <v>9371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2528</v>
      </c>
      <c r="BV2892" s="2" t="s">
        <v>97</v>
      </c>
      <c r="BW2892" s="2" t="s">
        <v>100</v>
      </c>
      <c r="BX2892" s="2" t="s">
        <v>100</v>
      </c>
      <c r="BY2892" s="2" t="s">
        <v>113</v>
      </c>
      <c r="BZ2892" s="2" t="s">
        <v>100</v>
      </c>
    </row>
    <row r="2893">
      <c r="A2893" s="2" t="s">
        <v>9372</v>
      </c>
      <c r="B2893" s="2" t="s">
        <v>9189</v>
      </c>
      <c r="C2893" s="2" t="s">
        <v>2850</v>
      </c>
      <c r="D2893" s="2" t="s">
        <v>9190</v>
      </c>
      <c r="E2893" s="2" t="s">
        <v>9191</v>
      </c>
      <c r="F2893" s="2" t="s">
        <v>9373</v>
      </c>
      <c r="G2893" s="2" t="s">
        <v>9373</v>
      </c>
      <c r="H2893" s="2" t="s">
        <v>9373</v>
      </c>
      <c r="I2893" s="2" t="s">
        <v>9374</v>
      </c>
      <c r="J2893" s="2" t="s">
        <v>3877</v>
      </c>
      <c r="K2893" s="2" t="s">
        <v>9375</v>
      </c>
      <c r="L2893" s="3">
        <v>86</v>
      </c>
      <c r="M2893" s="3">
        <v>90.3</v>
      </c>
      <c r="N2893" s="3">
        <v>179.99</v>
      </c>
      <c r="O2893" s="2" t="s">
        <v>97</v>
      </c>
      <c r="P2893" s="2" t="s">
        <v>225</v>
      </c>
      <c r="Q2893" s="2" t="s">
        <v>99</v>
      </c>
      <c r="R2893" s="2" t="s">
        <v>100</v>
      </c>
      <c r="S2893" s="2" t="s">
        <v>100</v>
      </c>
      <c r="T2893" s="2" t="s">
        <v>100</v>
      </c>
      <c r="U2893" s="2" t="s">
        <v>1847</v>
      </c>
      <c r="V2893" s="2" t="s">
        <v>3188</v>
      </c>
      <c r="W2893" s="2" t="s">
        <v>1580</v>
      </c>
      <c r="X2893" s="2" t="s">
        <v>561</v>
      </c>
      <c r="Y2893" s="2" t="s">
        <v>3840</v>
      </c>
      <c r="Z2893" s="4">
        <v>92</v>
      </c>
      <c r="AA2893" s="4">
        <f>=ROUNDDOWN(92,0)</f>
      </c>
      <c r="AB2893" s="5">
        <v>1</v>
      </c>
      <c r="AC2893" s="2" t="s">
        <v>100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/>
      <c r="BD2893" s="8"/>
      <c r="BE2893" s="4"/>
      <c r="BF2893" s="8"/>
      <c r="BG2893" s="7"/>
      <c r="BH2893" s="7"/>
      <c r="BI2893" s="7"/>
      <c r="BJ2893" s="4">
        <v>2</v>
      </c>
      <c r="BK2893" s="8">
        <v>191.44</v>
      </c>
      <c r="BL2893" s="2" t="s">
        <v>9376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2528</v>
      </c>
      <c r="BV2893" s="2" t="s">
        <v>97</v>
      </c>
      <c r="BW2893" s="2" t="s">
        <v>100</v>
      </c>
      <c r="BX2893" s="2" t="s">
        <v>100</v>
      </c>
      <c r="BY2893" s="2" t="s">
        <v>113</v>
      </c>
      <c r="BZ2893" s="2" t="s">
        <v>100</v>
      </c>
    </row>
    <row r="2894">
      <c r="A2894" s="2" t="s">
        <v>9377</v>
      </c>
      <c r="B2894" s="2" t="s">
        <v>9189</v>
      </c>
      <c r="C2894" s="2" t="s">
        <v>2850</v>
      </c>
      <c r="D2894" s="2" t="s">
        <v>9190</v>
      </c>
      <c r="E2894" s="2" t="s">
        <v>9191</v>
      </c>
      <c r="F2894" s="2" t="s">
        <v>9378</v>
      </c>
      <c r="G2894" s="2" t="s">
        <v>9378</v>
      </c>
      <c r="H2894" s="2" t="s">
        <v>9378</v>
      </c>
      <c r="I2894" s="2" t="s">
        <v>9379</v>
      </c>
      <c r="J2894" s="2" t="s">
        <v>3877</v>
      </c>
      <c r="K2894" s="2" t="s">
        <v>8996</v>
      </c>
      <c r="L2894" s="3">
        <v>129.06</v>
      </c>
      <c r="M2894" s="3">
        <v>135.51</v>
      </c>
      <c r="N2894" s="3">
        <v>284.99</v>
      </c>
      <c r="O2894" s="2" t="s">
        <v>97</v>
      </c>
      <c r="P2894" s="2" t="s">
        <v>119</v>
      </c>
      <c r="Q2894" s="2" t="s">
        <v>99</v>
      </c>
      <c r="R2894" s="2" t="s">
        <v>100</v>
      </c>
      <c r="S2894" s="2" t="s">
        <v>100</v>
      </c>
      <c r="T2894" s="2" t="s">
        <v>100</v>
      </c>
      <c r="U2894" s="2" t="s">
        <v>100</v>
      </c>
      <c r="V2894" s="2" t="s">
        <v>3188</v>
      </c>
      <c r="W2894" s="2" t="s">
        <v>104</v>
      </c>
      <c r="X2894" s="2" t="s">
        <v>100</v>
      </c>
      <c r="Y2894" s="2" t="s">
        <v>7982</v>
      </c>
      <c r="Z2894" s="4">
        <v>69</v>
      </c>
      <c r="AA2894" s="4">
        <f>=ROUNDDOWN(34.5,0)</f>
      </c>
      <c r="AB2894" s="5">
        <v>2</v>
      </c>
      <c r="AC2894" s="2" t="s">
        <v>100</v>
      </c>
      <c r="AD2894" s="4"/>
      <c r="AE2894" s="4"/>
      <c r="AF2894" s="6">
        <v>63</v>
      </c>
      <c r="AG2894" s="6"/>
      <c r="AH2894" s="7">
        <v>0.7433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/>
      <c r="BD2894" s="8"/>
      <c r="BE2894" s="4"/>
      <c r="BF2894" s="8"/>
      <c r="BG2894" s="7"/>
      <c r="BH2894" s="7"/>
      <c r="BI2894" s="7"/>
      <c r="BJ2894" s="4">
        <v>34</v>
      </c>
      <c r="BK2894" s="8">
        <v>4776.05</v>
      </c>
      <c r="BL2894" s="2" t="s">
        <v>9380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2528</v>
      </c>
      <c r="BV2894" s="2" t="s">
        <v>97</v>
      </c>
      <c r="BW2894" s="2" t="s">
        <v>100</v>
      </c>
      <c r="BX2894" s="2" t="s">
        <v>100</v>
      </c>
      <c r="BY2894" s="2" t="s">
        <v>113</v>
      </c>
      <c r="BZ2894" s="2" t="s">
        <v>100</v>
      </c>
    </row>
    <row r="2895">
      <c r="A2895" s="2" t="s">
        <v>9381</v>
      </c>
      <c r="B2895" s="2" t="s">
        <v>9189</v>
      </c>
      <c r="C2895" s="2" t="s">
        <v>2850</v>
      </c>
      <c r="D2895" s="2" t="s">
        <v>9190</v>
      </c>
      <c r="E2895" s="2" t="s">
        <v>9191</v>
      </c>
      <c r="F2895" s="2" t="s">
        <v>9382</v>
      </c>
      <c r="G2895" s="2" t="s">
        <v>9382</v>
      </c>
      <c r="H2895" s="2" t="s">
        <v>9382</v>
      </c>
      <c r="I2895" s="2" t="s">
        <v>9383</v>
      </c>
      <c r="J2895" s="2" t="s">
        <v>3877</v>
      </c>
      <c r="K2895" s="2" t="s">
        <v>9384</v>
      </c>
      <c r="L2895" s="3">
        <v>76</v>
      </c>
      <c r="M2895" s="3">
        <v>79.8</v>
      </c>
      <c r="N2895" s="3">
        <v>159.99</v>
      </c>
      <c r="O2895" s="2" t="s">
        <v>97</v>
      </c>
      <c r="P2895" s="2" t="s">
        <v>225</v>
      </c>
      <c r="Q2895" s="2" t="s">
        <v>99</v>
      </c>
      <c r="R2895" s="2" t="s">
        <v>100</v>
      </c>
      <c r="S2895" s="2" t="s">
        <v>100</v>
      </c>
      <c r="T2895" s="2" t="s">
        <v>100</v>
      </c>
      <c r="U2895" s="2" t="s">
        <v>1847</v>
      </c>
      <c r="V2895" s="2" t="s">
        <v>3188</v>
      </c>
      <c r="W2895" s="2" t="s">
        <v>183</v>
      </c>
      <c r="X2895" s="2" t="s">
        <v>561</v>
      </c>
      <c r="Y2895" s="2" t="s">
        <v>3584</v>
      </c>
      <c r="Z2895" s="4">
        <v>77</v>
      </c>
      <c r="AA2895" s="4">
        <f>=ROUNDDOWN(38.5,0)</f>
      </c>
      <c r="AB2895" s="5">
        <v>2</v>
      </c>
      <c r="AC2895" s="2" t="s">
        <v>100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/>
      <c r="BD2895" s="8"/>
      <c r="BE2895" s="4"/>
      <c r="BF2895" s="8"/>
      <c r="BG2895" s="7"/>
      <c r="BH2895" s="7"/>
      <c r="BI2895" s="7"/>
      <c r="BJ2895" s="4">
        <v>14</v>
      </c>
      <c r="BK2895" s="8">
        <v>1198.86</v>
      </c>
      <c r="BL2895" s="2" t="s">
        <v>3304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2528</v>
      </c>
      <c r="BV2895" s="2" t="s">
        <v>97</v>
      </c>
      <c r="BW2895" s="2" t="s">
        <v>100</v>
      </c>
      <c r="BX2895" s="2" t="s">
        <v>100</v>
      </c>
      <c r="BY2895" s="2" t="s">
        <v>113</v>
      </c>
      <c r="BZ2895" s="2" t="s">
        <v>100</v>
      </c>
    </row>
    <row r="2896">
      <c r="A2896" s="2" t="s">
        <v>9385</v>
      </c>
      <c r="B2896" s="2" t="s">
        <v>9189</v>
      </c>
      <c r="C2896" s="2" t="s">
        <v>2850</v>
      </c>
      <c r="D2896" s="2" t="s">
        <v>9386</v>
      </c>
      <c r="E2896" s="2" t="s">
        <v>9387</v>
      </c>
      <c r="F2896" s="2" t="s">
        <v>9388</v>
      </c>
      <c r="G2896" s="2" t="s">
        <v>9388</v>
      </c>
      <c r="H2896" s="2" t="s">
        <v>9388</v>
      </c>
      <c r="I2896" s="2" t="s">
        <v>9389</v>
      </c>
      <c r="J2896" s="2" t="s">
        <v>3877</v>
      </c>
      <c r="K2896" s="2" t="s">
        <v>858</v>
      </c>
      <c r="L2896" s="3">
        <v>68.4</v>
      </c>
      <c r="M2896" s="3">
        <v>71.82</v>
      </c>
      <c r="N2896" s="3">
        <v>149.99</v>
      </c>
      <c r="O2896" s="2" t="s">
        <v>97</v>
      </c>
      <c r="P2896" s="2" t="s">
        <v>119</v>
      </c>
      <c r="Q2896" s="2" t="s">
        <v>99</v>
      </c>
      <c r="R2896" s="2" t="s">
        <v>100</v>
      </c>
      <c r="S2896" s="2" t="s">
        <v>100</v>
      </c>
      <c r="T2896" s="2" t="s">
        <v>100</v>
      </c>
      <c r="U2896" s="2" t="s">
        <v>1847</v>
      </c>
      <c r="V2896" s="2" t="s">
        <v>3188</v>
      </c>
      <c r="W2896" s="2" t="s">
        <v>239</v>
      </c>
      <c r="X2896" s="2" t="s">
        <v>183</v>
      </c>
      <c r="Y2896" s="2" t="s">
        <v>9200</v>
      </c>
      <c r="Z2896" s="4">
        <v>161</v>
      </c>
      <c r="AA2896" s="4">
        <f>=ROUNDDOWN(28.75,0)</f>
      </c>
      <c r="AB2896" s="5">
        <v>5.6</v>
      </c>
      <c r="AC2896" s="2" t="s">
        <v>320</v>
      </c>
      <c r="AD2896" s="4">
        <v>100</v>
      </c>
      <c r="AE2896" s="4">
        <v>200</v>
      </c>
      <c r="AF2896" s="6">
        <v>63</v>
      </c>
      <c r="AG2896" s="6"/>
      <c r="AH2896" s="7">
        <v>0.5722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/>
      <c r="BD2896" s="8"/>
      <c r="BE2896" s="4"/>
      <c r="BF2896" s="8"/>
      <c r="BG2896" s="7"/>
      <c r="BH2896" s="7"/>
      <c r="BI2896" s="7"/>
      <c r="BJ2896" s="4">
        <v>108</v>
      </c>
      <c r="BK2896" s="8">
        <v>7660.43</v>
      </c>
      <c r="BL2896" s="2" t="s">
        <v>9390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2528</v>
      </c>
      <c r="BV2896" s="2" t="s">
        <v>97</v>
      </c>
      <c r="BW2896" s="2" t="s">
        <v>100</v>
      </c>
      <c r="BX2896" s="2" t="s">
        <v>100</v>
      </c>
      <c r="BY2896" s="2" t="s">
        <v>113</v>
      </c>
      <c r="BZ2896" s="2" t="s">
        <v>100</v>
      </c>
    </row>
    <row r="2897">
      <c r="A2897" s="2" t="s">
        <v>9391</v>
      </c>
      <c r="B2897" s="2" t="s">
        <v>9189</v>
      </c>
      <c r="C2897" s="2" t="s">
        <v>2850</v>
      </c>
      <c r="D2897" s="2" t="s">
        <v>9392</v>
      </c>
      <c r="E2897" s="2" t="s">
        <v>9393</v>
      </c>
      <c r="F2897" s="2" t="s">
        <v>9364</v>
      </c>
      <c r="G2897" s="2" t="s">
        <v>9364</v>
      </c>
      <c r="H2897" s="2" t="s">
        <v>9364</v>
      </c>
      <c r="I2897" s="2" t="s">
        <v>9394</v>
      </c>
      <c r="J2897" s="2" t="s">
        <v>9395</v>
      </c>
      <c r="K2897" s="2" t="s">
        <v>9396</v>
      </c>
      <c r="L2897" s="3">
        <v>47.52</v>
      </c>
      <c r="M2897" s="3">
        <v>49.9</v>
      </c>
      <c r="N2897" s="3">
        <v>109.99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100</v>
      </c>
      <c r="T2897" s="2" t="s">
        <v>100</v>
      </c>
      <c r="U2897" s="2" t="s">
        <v>1847</v>
      </c>
      <c r="V2897" s="2" t="s">
        <v>3188</v>
      </c>
      <c r="W2897" s="2" t="s">
        <v>104</v>
      </c>
      <c r="X2897" s="2" t="s">
        <v>415</v>
      </c>
      <c r="Y2897" s="2" t="s">
        <v>9366</v>
      </c>
      <c r="Z2897" s="4">
        <v>683</v>
      </c>
      <c r="AA2897" s="4">
        <f>=ROUNDDOWN(108.412698412698,0)</f>
      </c>
      <c r="AB2897" s="5">
        <v>6.3</v>
      </c>
      <c r="AC2897" s="2" t="s">
        <v>100</v>
      </c>
      <c r="AD2897" s="4"/>
      <c r="AE2897" s="4"/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/>
      <c r="BJ2897" s="4">
        <v>247</v>
      </c>
      <c r="BK2897" s="8">
        <v>14230.62</v>
      </c>
      <c r="BL2897" s="2" t="s">
        <v>9397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2480</v>
      </c>
      <c r="BV2897" s="2" t="s">
        <v>97</v>
      </c>
      <c r="BW2897" s="2" t="s">
        <v>100</v>
      </c>
      <c r="BX2897" s="2" t="s">
        <v>100</v>
      </c>
      <c r="BY2897" s="2" t="s">
        <v>113</v>
      </c>
      <c r="BZ2897" s="2" t="s">
        <v>100</v>
      </c>
    </row>
    <row r="2898">
      <c r="A2898" s="2" t="s">
        <v>9398</v>
      </c>
      <c r="B2898" s="2" t="s">
        <v>9189</v>
      </c>
      <c r="C2898" s="2" t="s">
        <v>2850</v>
      </c>
      <c r="D2898" s="2" t="s">
        <v>9392</v>
      </c>
      <c r="E2898" s="2" t="s">
        <v>9393</v>
      </c>
      <c r="F2898" s="2" t="s">
        <v>9364</v>
      </c>
      <c r="G2898" s="2" t="s">
        <v>9364</v>
      </c>
      <c r="H2898" s="2" t="s">
        <v>9364</v>
      </c>
      <c r="I2898" s="2" t="s">
        <v>9394</v>
      </c>
      <c r="J2898" s="2" t="s">
        <v>9395</v>
      </c>
      <c r="K2898" s="2" t="s">
        <v>9399</v>
      </c>
      <c r="L2898" s="3">
        <v>47.52</v>
      </c>
      <c r="M2898" s="3">
        <v>49.9</v>
      </c>
      <c r="N2898" s="3">
        <v>109.99</v>
      </c>
      <c r="O2898" s="2" t="s">
        <v>97</v>
      </c>
      <c r="P2898" s="2" t="s">
        <v>119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1847</v>
      </c>
      <c r="V2898" s="2" t="s">
        <v>3188</v>
      </c>
      <c r="W2898" s="2" t="s">
        <v>104</v>
      </c>
      <c r="X2898" s="2" t="s">
        <v>415</v>
      </c>
      <c r="Y2898" s="2" t="s">
        <v>9066</v>
      </c>
      <c r="Z2898" s="4">
        <v>74</v>
      </c>
      <c r="AA2898" s="4">
        <f>=ROUNDDOWN(46.25,0)</f>
      </c>
      <c r="AB2898" s="5">
        <v>1.6</v>
      </c>
      <c r="AC2898" s="2" t="s">
        <v>100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/>
      <c r="BJ2898" s="4">
        <v>45</v>
      </c>
      <c r="BK2898" s="8">
        <v>2360.64</v>
      </c>
      <c r="BL2898" s="2" t="s">
        <v>9400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2528</v>
      </c>
      <c r="BV2898" s="2" t="s">
        <v>97</v>
      </c>
      <c r="BW2898" s="2" t="s">
        <v>100</v>
      </c>
      <c r="BX2898" s="2" t="s">
        <v>100</v>
      </c>
      <c r="BY2898" s="2" t="s">
        <v>113</v>
      </c>
      <c r="BZ2898" s="2" t="s">
        <v>100</v>
      </c>
    </row>
    <row r="2899">
      <c r="A2899" s="2" t="s">
        <v>9401</v>
      </c>
      <c r="B2899" s="2" t="s">
        <v>9189</v>
      </c>
      <c r="C2899" s="2" t="s">
        <v>2850</v>
      </c>
      <c r="D2899" s="2" t="s">
        <v>9392</v>
      </c>
      <c r="E2899" s="2" t="s">
        <v>9393</v>
      </c>
      <c r="F2899" s="2" t="s">
        <v>9364</v>
      </c>
      <c r="G2899" s="2" t="s">
        <v>9364</v>
      </c>
      <c r="H2899" s="2" t="s">
        <v>9364</v>
      </c>
      <c r="I2899" s="2" t="s">
        <v>9394</v>
      </c>
      <c r="J2899" s="2" t="s">
        <v>9395</v>
      </c>
      <c r="K2899" s="2" t="s">
        <v>9402</v>
      </c>
      <c r="L2899" s="3">
        <v>47.52</v>
      </c>
      <c r="M2899" s="3">
        <v>49.9</v>
      </c>
      <c r="N2899" s="3">
        <v>109.99</v>
      </c>
      <c r="O2899" s="2" t="s">
        <v>97</v>
      </c>
      <c r="P2899" s="2" t="s">
        <v>119</v>
      </c>
      <c r="Q2899" s="2" t="s">
        <v>99</v>
      </c>
      <c r="R2899" s="2" t="s">
        <v>100</v>
      </c>
      <c r="S2899" s="2" t="s">
        <v>100</v>
      </c>
      <c r="T2899" s="2" t="s">
        <v>100</v>
      </c>
      <c r="U2899" s="2" t="s">
        <v>1847</v>
      </c>
      <c r="V2899" s="2" t="s">
        <v>3188</v>
      </c>
      <c r="W2899" s="2" t="s">
        <v>104</v>
      </c>
      <c r="X2899" s="2" t="s">
        <v>415</v>
      </c>
      <c r="Y2899" s="2" t="s">
        <v>9403</v>
      </c>
      <c r="Z2899" s="4">
        <v>187</v>
      </c>
      <c r="AA2899" s="4">
        <f>=ROUNDDOWN(62.3333333333333,0)</f>
      </c>
      <c r="AB2899" s="5">
        <v>3</v>
      </c>
      <c r="AC2899" s="2" t="s">
        <v>100</v>
      </c>
      <c r="AD2899" s="4"/>
      <c r="AE2899" s="4"/>
      <c r="AF2899" s="6">
        <v>63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/>
      <c r="BJ2899" s="4">
        <v>88</v>
      </c>
      <c r="BK2899" s="8">
        <v>4832.18</v>
      </c>
      <c r="BL2899" s="2" t="s">
        <v>9404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2480</v>
      </c>
      <c r="BV2899" s="2" t="s">
        <v>97</v>
      </c>
      <c r="BW2899" s="2" t="s">
        <v>100</v>
      </c>
      <c r="BX2899" s="2" t="s">
        <v>100</v>
      </c>
      <c r="BY2899" s="2" t="s">
        <v>113</v>
      </c>
      <c r="BZ2899" s="2" t="s">
        <v>100</v>
      </c>
    </row>
    <row r="2900">
      <c r="A2900" s="2" t="s">
        <v>9405</v>
      </c>
      <c r="B2900" s="2" t="s">
        <v>9189</v>
      </c>
      <c r="C2900" s="2" t="s">
        <v>2850</v>
      </c>
      <c r="D2900" s="2" t="s">
        <v>9392</v>
      </c>
      <c r="E2900" s="2" t="s">
        <v>9393</v>
      </c>
      <c r="F2900" s="2" t="s">
        <v>9364</v>
      </c>
      <c r="G2900" s="2" t="s">
        <v>9364</v>
      </c>
      <c r="H2900" s="2" t="s">
        <v>9364</v>
      </c>
      <c r="I2900" s="2" t="s">
        <v>9406</v>
      </c>
      <c r="J2900" s="2" t="s">
        <v>9407</v>
      </c>
      <c r="K2900" s="2" t="s">
        <v>9408</v>
      </c>
      <c r="L2900" s="3">
        <v>72</v>
      </c>
      <c r="M2900" s="3">
        <v>75.6</v>
      </c>
      <c r="N2900" s="3">
        <v>149.99</v>
      </c>
      <c r="O2900" s="2" t="s">
        <v>97</v>
      </c>
      <c r="P2900" s="2" t="s">
        <v>98</v>
      </c>
      <c r="Q2900" s="2" t="s">
        <v>99</v>
      </c>
      <c r="R2900" s="2" t="s">
        <v>100</v>
      </c>
      <c r="S2900" s="2" t="s">
        <v>100</v>
      </c>
      <c r="T2900" s="2" t="s">
        <v>100</v>
      </c>
      <c r="U2900" s="2" t="s">
        <v>1847</v>
      </c>
      <c r="V2900" s="2" t="s">
        <v>3188</v>
      </c>
      <c r="W2900" s="2" t="s">
        <v>104</v>
      </c>
      <c r="X2900" s="2" t="s">
        <v>415</v>
      </c>
      <c r="Y2900" s="2" t="s">
        <v>1279</v>
      </c>
      <c r="Z2900" s="4"/>
      <c r="AA2900" s="4">
        <f>=ROUNDDOWN({0},0)</f>
      </c>
      <c r="AB2900" s="5">
        <v>11</v>
      </c>
      <c r="AC2900" s="2" t="s">
        <v>9283</v>
      </c>
      <c r="AD2900" s="4">
        <v>120</v>
      </c>
      <c r="AE2900" s="4">
        <v>320</v>
      </c>
      <c r="AF2900" s="6">
        <v>63</v>
      </c>
      <c r="AG2900" s="6"/>
      <c r="AH2900" s="7">
        <v>0.7059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>
        <v>298</v>
      </c>
      <c r="BK2900" s="8">
        <v>24239.22</v>
      </c>
      <c r="BL2900" s="2" t="s">
        <v>9409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2528</v>
      </c>
      <c r="BV2900" s="2" t="s">
        <v>97</v>
      </c>
      <c r="BW2900" s="2" t="s">
        <v>100</v>
      </c>
      <c r="BX2900" s="2" t="s">
        <v>100</v>
      </c>
      <c r="BY2900" s="2" t="s">
        <v>113</v>
      </c>
      <c r="BZ2900" s="2" t="s">
        <v>100</v>
      </c>
    </row>
    <row r="2901">
      <c r="A2901" s="2" t="s">
        <v>9410</v>
      </c>
      <c r="B2901" s="2" t="s">
        <v>9189</v>
      </c>
      <c r="C2901" s="2" t="s">
        <v>2850</v>
      </c>
      <c r="D2901" s="2" t="s">
        <v>9392</v>
      </c>
      <c r="E2901" s="2" t="s">
        <v>9393</v>
      </c>
      <c r="F2901" s="2" t="s">
        <v>9364</v>
      </c>
      <c r="G2901" s="2" t="s">
        <v>9364</v>
      </c>
      <c r="H2901" s="2" t="s">
        <v>9364</v>
      </c>
      <c r="I2901" s="2" t="s">
        <v>9394</v>
      </c>
      <c r="J2901" s="2" t="s">
        <v>9395</v>
      </c>
      <c r="K2901" s="2" t="s">
        <v>9408</v>
      </c>
      <c r="L2901" s="3">
        <v>47.52</v>
      </c>
      <c r="M2901" s="3">
        <v>49.9</v>
      </c>
      <c r="N2901" s="3">
        <v>109.99</v>
      </c>
      <c r="O2901" s="2" t="s">
        <v>97</v>
      </c>
      <c r="P2901" s="2" t="s">
        <v>372</v>
      </c>
      <c r="Q2901" s="2" t="s">
        <v>99</v>
      </c>
      <c r="R2901" s="2" t="s">
        <v>100</v>
      </c>
      <c r="S2901" s="2" t="s">
        <v>9411</v>
      </c>
      <c r="T2901" s="2" t="s">
        <v>100</v>
      </c>
      <c r="U2901" s="2" t="s">
        <v>1847</v>
      </c>
      <c r="V2901" s="2" t="s">
        <v>146</v>
      </c>
      <c r="W2901" s="2" t="s">
        <v>104</v>
      </c>
      <c r="X2901" s="2" t="s">
        <v>415</v>
      </c>
      <c r="Y2901" s="2" t="s">
        <v>111</v>
      </c>
      <c r="Z2901" s="4">
        <v>993</v>
      </c>
      <c r="AA2901" s="4">
        <f>=ROUNDDOWN(23.6428571428571,0)</f>
      </c>
      <c r="AB2901" s="5">
        <v>42</v>
      </c>
      <c r="AC2901" s="2" t="s">
        <v>100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>
        <v>1505</v>
      </c>
      <c r="BK2901" s="8">
        <v>78234.42</v>
      </c>
      <c r="BL2901" s="2" t="s">
        <v>9412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2480</v>
      </c>
      <c r="BV2901" s="2" t="s">
        <v>97</v>
      </c>
      <c r="BW2901" s="2" t="s">
        <v>100</v>
      </c>
      <c r="BX2901" s="2" t="s">
        <v>100</v>
      </c>
      <c r="BY2901" s="2" t="s">
        <v>113</v>
      </c>
      <c r="BZ2901" s="2" t="s">
        <v>100</v>
      </c>
    </row>
    <row r="2902">
      <c r="A2902" s="2" t="s">
        <v>9413</v>
      </c>
      <c r="B2902" s="2" t="s">
        <v>9189</v>
      </c>
      <c r="C2902" s="2" t="s">
        <v>2850</v>
      </c>
      <c r="D2902" s="2" t="s">
        <v>9392</v>
      </c>
      <c r="E2902" s="2" t="s">
        <v>9393</v>
      </c>
      <c r="F2902" s="2" t="s">
        <v>9364</v>
      </c>
      <c r="G2902" s="2" t="s">
        <v>9364</v>
      </c>
      <c r="H2902" s="2" t="s">
        <v>9364</v>
      </c>
      <c r="I2902" s="2" t="s">
        <v>9394</v>
      </c>
      <c r="J2902" s="2" t="s">
        <v>9395</v>
      </c>
      <c r="K2902" s="2" t="s">
        <v>9414</v>
      </c>
      <c r="L2902" s="3">
        <v>47.52</v>
      </c>
      <c r="M2902" s="3">
        <v>49.9</v>
      </c>
      <c r="N2902" s="3">
        <v>109.99</v>
      </c>
      <c r="O2902" s="2" t="s">
        <v>97</v>
      </c>
      <c r="P2902" s="2" t="s">
        <v>119</v>
      </c>
      <c r="Q2902" s="2" t="s">
        <v>99</v>
      </c>
      <c r="R2902" s="2" t="s">
        <v>100</v>
      </c>
      <c r="S2902" s="2" t="s">
        <v>100</v>
      </c>
      <c r="T2902" s="2" t="s">
        <v>100</v>
      </c>
      <c r="U2902" s="2" t="s">
        <v>1847</v>
      </c>
      <c r="V2902" s="2" t="s">
        <v>3188</v>
      </c>
      <c r="W2902" s="2" t="s">
        <v>104</v>
      </c>
      <c r="X2902" s="2" t="s">
        <v>415</v>
      </c>
      <c r="Y2902" s="2" t="s">
        <v>9366</v>
      </c>
      <c r="Z2902" s="4">
        <v>364</v>
      </c>
      <c r="AA2902" s="4">
        <f>=ROUNDDOWN(55.1515151515152,0)</f>
      </c>
      <c r="AB2902" s="5">
        <v>6.6</v>
      </c>
      <c r="AC2902" s="2" t="s">
        <v>100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/>
      <c r="BJ2902" s="4">
        <v>214</v>
      </c>
      <c r="BK2902" s="8">
        <v>11671.25</v>
      </c>
      <c r="BL2902" s="2" t="s">
        <v>9415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2528</v>
      </c>
      <c r="BV2902" s="2" t="s">
        <v>97</v>
      </c>
      <c r="BW2902" s="2" t="s">
        <v>100</v>
      </c>
      <c r="BX2902" s="2" t="s">
        <v>100</v>
      </c>
      <c r="BY2902" s="2" t="s">
        <v>113</v>
      </c>
      <c r="BZ2902" s="2" t="s">
        <v>100</v>
      </c>
    </row>
    <row r="2903">
      <c r="A2903" s="2" t="s">
        <v>9416</v>
      </c>
      <c r="B2903" s="2" t="s">
        <v>9189</v>
      </c>
      <c r="C2903" s="2" t="s">
        <v>2850</v>
      </c>
      <c r="D2903" s="2" t="s">
        <v>9196</v>
      </c>
      <c r="E2903" s="2" t="s">
        <v>9197</v>
      </c>
      <c r="F2903" s="2" t="s">
        <v>9417</v>
      </c>
      <c r="G2903" s="2" t="s">
        <v>9417</v>
      </c>
      <c r="H2903" s="2" t="s">
        <v>9417</v>
      </c>
      <c r="I2903" s="2" t="s">
        <v>9418</v>
      </c>
      <c r="J2903" s="2" t="s">
        <v>3877</v>
      </c>
      <c r="K2903" s="2" t="s">
        <v>9419</v>
      </c>
      <c r="L2903" s="3">
        <v>48</v>
      </c>
      <c r="M2903" s="3">
        <v>50.4</v>
      </c>
      <c r="N2903" s="3">
        <v>99.99</v>
      </c>
      <c r="O2903" s="2" t="s">
        <v>97</v>
      </c>
      <c r="P2903" s="2" t="s">
        <v>119</v>
      </c>
      <c r="Q2903" s="2" t="s">
        <v>99</v>
      </c>
      <c r="R2903" s="2" t="s">
        <v>100</v>
      </c>
      <c r="S2903" s="2" t="s">
        <v>100</v>
      </c>
      <c r="T2903" s="2" t="s">
        <v>100</v>
      </c>
      <c r="U2903" s="2" t="s">
        <v>1847</v>
      </c>
      <c r="V2903" s="2" t="s">
        <v>3188</v>
      </c>
      <c r="W2903" s="2" t="s">
        <v>673</v>
      </c>
      <c r="X2903" s="2" t="s">
        <v>100</v>
      </c>
      <c r="Y2903" s="2" t="s">
        <v>9420</v>
      </c>
      <c r="Z2903" s="4">
        <v>33</v>
      </c>
      <c r="AA2903" s="4">
        <f>=ROUNDDOWN(16.5,0)</f>
      </c>
      <c r="AB2903" s="5">
        <v>2</v>
      </c>
      <c r="AC2903" s="2" t="s">
        <v>100</v>
      </c>
      <c r="AD2903" s="4"/>
      <c r="AE2903" s="4"/>
      <c r="AF2903" s="6">
        <v>63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/>
      <c r="BD2903" s="8"/>
      <c r="BE2903" s="4"/>
      <c r="BF2903" s="8"/>
      <c r="BG2903" s="7"/>
      <c r="BH2903" s="7"/>
      <c r="BI2903" s="7"/>
      <c r="BJ2903" s="4">
        <v>55</v>
      </c>
      <c r="BK2903" s="8">
        <v>2888.53</v>
      </c>
      <c r="BL2903" s="2" t="s">
        <v>3254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2480</v>
      </c>
      <c r="BV2903" s="2" t="s">
        <v>97</v>
      </c>
      <c r="BW2903" s="2" t="s">
        <v>100</v>
      </c>
      <c r="BX2903" s="2" t="s">
        <v>100</v>
      </c>
      <c r="BY2903" s="2" t="s">
        <v>113</v>
      </c>
      <c r="BZ2903" s="2" t="s">
        <v>100</v>
      </c>
    </row>
    <row r="2904">
      <c r="A2904" s="2" t="s">
        <v>9421</v>
      </c>
      <c r="B2904" s="2" t="s">
        <v>9189</v>
      </c>
      <c r="C2904" s="2" t="s">
        <v>2850</v>
      </c>
      <c r="D2904" s="2" t="s">
        <v>9196</v>
      </c>
      <c r="E2904" s="2" t="s">
        <v>9197</v>
      </c>
      <c r="F2904" s="2" t="s">
        <v>9382</v>
      </c>
      <c r="G2904" s="2" t="s">
        <v>9382</v>
      </c>
      <c r="H2904" s="2" t="s">
        <v>9382</v>
      </c>
      <c r="I2904" s="2" t="s">
        <v>9422</v>
      </c>
      <c r="J2904" s="2" t="s">
        <v>3877</v>
      </c>
      <c r="K2904" s="2" t="s">
        <v>3199</v>
      </c>
      <c r="L2904" s="3">
        <v>51.3</v>
      </c>
      <c r="M2904" s="3">
        <v>53.86</v>
      </c>
      <c r="N2904" s="3">
        <v>119.99</v>
      </c>
      <c r="O2904" s="2" t="s">
        <v>97</v>
      </c>
      <c r="P2904" s="2" t="s">
        <v>372</v>
      </c>
      <c r="Q2904" s="2" t="s">
        <v>99</v>
      </c>
      <c r="R2904" s="2" t="s">
        <v>100</v>
      </c>
      <c r="S2904" s="2" t="s">
        <v>100</v>
      </c>
      <c r="T2904" s="2" t="s">
        <v>100</v>
      </c>
      <c r="U2904" s="2" t="s">
        <v>1847</v>
      </c>
      <c r="V2904" s="2" t="s">
        <v>3188</v>
      </c>
      <c r="W2904" s="2" t="s">
        <v>183</v>
      </c>
      <c r="X2904" s="2" t="s">
        <v>561</v>
      </c>
      <c r="Y2904" s="2" t="s">
        <v>9010</v>
      </c>
      <c r="Z2904" s="4">
        <v>555</v>
      </c>
      <c r="AA2904" s="4">
        <f>=ROUNDDOWN(47.4358974358974,0)</f>
      </c>
      <c r="AB2904" s="5">
        <v>11.7</v>
      </c>
      <c r="AC2904" s="2" t="s">
        <v>320</v>
      </c>
      <c r="AD2904" s="4">
        <v>1600</v>
      </c>
      <c r="AE2904" s="4">
        <v>1600</v>
      </c>
      <c r="AF2904" s="6">
        <v>63</v>
      </c>
      <c r="AG2904" s="6"/>
      <c r="AH2904" s="7">
        <v>0.7219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/>
      <c r="BD2904" s="8"/>
      <c r="BE2904" s="4"/>
      <c r="BF2904" s="8"/>
      <c r="BG2904" s="7"/>
      <c r="BH2904" s="7"/>
      <c r="BI2904" s="7"/>
      <c r="BJ2904" s="4">
        <v>384</v>
      </c>
      <c r="BK2904" s="8">
        <v>24317.89</v>
      </c>
      <c r="BL2904" s="2" t="s">
        <v>9423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2528</v>
      </c>
      <c r="BV2904" s="2" t="s">
        <v>97</v>
      </c>
      <c r="BW2904" s="2" t="s">
        <v>100</v>
      </c>
      <c r="BX2904" s="2" t="s">
        <v>100</v>
      </c>
      <c r="BY2904" s="2" t="s">
        <v>113</v>
      </c>
      <c r="BZ2904" s="2" t="s">
        <v>100</v>
      </c>
    </row>
    <row r="2905">
      <c r="A2905" s="2" t="s">
        <v>9424</v>
      </c>
      <c r="B2905" s="2" t="s">
        <v>9189</v>
      </c>
      <c r="C2905" s="2" t="s">
        <v>2850</v>
      </c>
      <c r="D2905" s="2" t="s">
        <v>9196</v>
      </c>
      <c r="E2905" s="2" t="s">
        <v>9197</v>
      </c>
      <c r="F2905" s="2" t="s">
        <v>9425</v>
      </c>
      <c r="G2905" s="2" t="s">
        <v>9425</v>
      </c>
      <c r="H2905" s="2" t="s">
        <v>9425</v>
      </c>
      <c r="I2905" s="2" t="s">
        <v>9426</v>
      </c>
      <c r="J2905" s="2" t="s">
        <v>3877</v>
      </c>
      <c r="K2905" s="2" t="s">
        <v>9312</v>
      </c>
      <c r="L2905" s="3">
        <v>45</v>
      </c>
      <c r="M2905" s="3">
        <v>47.25</v>
      </c>
      <c r="N2905" s="3">
        <v>94.99</v>
      </c>
      <c r="O2905" s="2" t="s">
        <v>97</v>
      </c>
      <c r="P2905" s="2" t="s">
        <v>225</v>
      </c>
      <c r="Q2905" s="2" t="s">
        <v>99</v>
      </c>
      <c r="R2905" s="2" t="s">
        <v>100</v>
      </c>
      <c r="S2905" s="2" t="s">
        <v>100</v>
      </c>
      <c r="T2905" s="2" t="s">
        <v>100</v>
      </c>
      <c r="U2905" s="2" t="s">
        <v>1847</v>
      </c>
      <c r="V2905" s="2" t="s">
        <v>3188</v>
      </c>
      <c r="W2905" s="2" t="s">
        <v>309</v>
      </c>
      <c r="X2905" s="2" t="s">
        <v>673</v>
      </c>
      <c r="Y2905" s="2" t="s">
        <v>9427</v>
      </c>
      <c r="Z2905" s="4">
        <v>98</v>
      </c>
      <c r="AA2905" s="4">
        <f>=ROUNDDOWN(98,0)</f>
      </c>
      <c r="AB2905" s="5">
        <v>1</v>
      </c>
      <c r="AC2905" s="2" t="s">
        <v>100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/>
      <c r="BD2905" s="8"/>
      <c r="BE2905" s="4"/>
      <c r="BF2905" s="8"/>
      <c r="BG2905" s="7"/>
      <c r="BH2905" s="7"/>
      <c r="BI2905" s="7"/>
      <c r="BJ2905" s="4"/>
      <c r="BK2905" s="8"/>
      <c r="BL2905" s="2" t="s">
        <v>100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2480</v>
      </c>
      <c r="BV2905" s="2" t="s">
        <v>97</v>
      </c>
      <c r="BW2905" s="2" t="s">
        <v>100</v>
      </c>
      <c r="BX2905" s="2" t="s">
        <v>100</v>
      </c>
      <c r="BY2905" s="2" t="s">
        <v>113</v>
      </c>
      <c r="BZ2905" s="2" t="s">
        <v>100</v>
      </c>
    </row>
    <row r="2906">
      <c r="A2906" s="2" t="s">
        <v>9428</v>
      </c>
      <c r="B2906" s="2" t="s">
        <v>9189</v>
      </c>
      <c r="C2906" s="2" t="s">
        <v>2850</v>
      </c>
      <c r="D2906" s="2" t="s">
        <v>9203</v>
      </c>
      <c r="E2906" s="2" t="s">
        <v>9204</v>
      </c>
      <c r="F2906" s="2" t="s">
        <v>9429</v>
      </c>
      <c r="G2906" s="2" t="s">
        <v>9429</v>
      </c>
      <c r="H2906" s="2" t="s">
        <v>9429</v>
      </c>
      <c r="I2906" s="2" t="s">
        <v>9430</v>
      </c>
      <c r="J2906" s="2" t="s">
        <v>3877</v>
      </c>
      <c r="K2906" s="2" t="s">
        <v>189</v>
      </c>
      <c r="L2906" s="3">
        <v>46.17</v>
      </c>
      <c r="M2906" s="3">
        <v>48.48</v>
      </c>
      <c r="N2906" s="3">
        <v>104.99</v>
      </c>
      <c r="O2906" s="2" t="s">
        <v>97</v>
      </c>
      <c r="P2906" s="2" t="s">
        <v>119</v>
      </c>
      <c r="Q2906" s="2" t="s">
        <v>99</v>
      </c>
      <c r="R2906" s="2" t="s">
        <v>100</v>
      </c>
      <c r="S2906" s="2" t="s">
        <v>100</v>
      </c>
      <c r="T2906" s="2" t="s">
        <v>100</v>
      </c>
      <c r="U2906" s="2" t="s">
        <v>1847</v>
      </c>
      <c r="V2906" s="2" t="s">
        <v>3188</v>
      </c>
      <c r="W2906" s="2" t="s">
        <v>561</v>
      </c>
      <c r="X2906" s="2" t="s">
        <v>100</v>
      </c>
      <c r="Y2906" s="2" t="s">
        <v>5935</v>
      </c>
      <c r="Z2906" s="4">
        <v>101</v>
      </c>
      <c r="AA2906" s="4">
        <f>=ROUNDDOWN(34.8275862068965,0)</f>
      </c>
      <c r="AB2906" s="5">
        <v>2.9</v>
      </c>
      <c r="AC2906" s="2" t="s">
        <v>320</v>
      </c>
      <c r="AD2906" s="4">
        <v>800</v>
      </c>
      <c r="AE2906" s="4">
        <v>800</v>
      </c>
      <c r="AF2906" s="6">
        <v>65</v>
      </c>
      <c r="AG2906" s="6"/>
      <c r="AH2906" s="7">
        <v>0.7273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/>
      <c r="BD2906" s="8"/>
      <c r="BE2906" s="4"/>
      <c r="BF2906" s="8"/>
      <c r="BG2906" s="7"/>
      <c r="BH2906" s="7"/>
      <c r="BI2906" s="7"/>
      <c r="BJ2906" s="4">
        <v>92</v>
      </c>
      <c r="BK2906" s="8">
        <v>4989.52</v>
      </c>
      <c r="BL2906" s="2" t="s">
        <v>9431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2528</v>
      </c>
      <c r="BV2906" s="2" t="s">
        <v>97</v>
      </c>
      <c r="BW2906" s="2" t="s">
        <v>100</v>
      </c>
      <c r="BX2906" s="2" t="s">
        <v>100</v>
      </c>
      <c r="BY2906" s="2" t="s">
        <v>113</v>
      </c>
      <c r="BZ2906" s="2" t="s">
        <v>100</v>
      </c>
    </row>
    <row r="2907">
      <c r="A2907" s="2" t="s">
        <v>9432</v>
      </c>
      <c r="B2907" s="2" t="s">
        <v>9189</v>
      </c>
      <c r="C2907" s="2" t="s">
        <v>2850</v>
      </c>
      <c r="D2907" s="2" t="s">
        <v>9203</v>
      </c>
      <c r="E2907" s="2" t="s">
        <v>9204</v>
      </c>
      <c r="F2907" s="2" t="s">
        <v>9433</v>
      </c>
      <c r="G2907" s="2" t="s">
        <v>9433</v>
      </c>
      <c r="H2907" s="2" t="s">
        <v>9433</v>
      </c>
      <c r="I2907" s="2" t="s">
        <v>9434</v>
      </c>
      <c r="J2907" s="2" t="s">
        <v>3877</v>
      </c>
      <c r="K2907" s="2" t="s">
        <v>604</v>
      </c>
      <c r="L2907" s="3">
        <v>24.5</v>
      </c>
      <c r="M2907" s="3">
        <v>25.73</v>
      </c>
      <c r="N2907" s="3">
        <v>49.99</v>
      </c>
      <c r="O2907" s="2" t="s">
        <v>97</v>
      </c>
      <c r="P2907" s="2" t="s">
        <v>225</v>
      </c>
      <c r="Q2907" s="2" t="s">
        <v>99</v>
      </c>
      <c r="R2907" s="2" t="s">
        <v>100</v>
      </c>
      <c r="S2907" s="2" t="s">
        <v>100</v>
      </c>
      <c r="T2907" s="2" t="s">
        <v>100</v>
      </c>
      <c r="U2907" s="2" t="s">
        <v>1847</v>
      </c>
      <c r="V2907" s="2" t="s">
        <v>3188</v>
      </c>
      <c r="W2907" s="2" t="s">
        <v>183</v>
      </c>
      <c r="X2907" s="2" t="s">
        <v>561</v>
      </c>
      <c r="Y2907" s="2" t="s">
        <v>3840</v>
      </c>
      <c r="Z2907" s="4">
        <v>82</v>
      </c>
      <c r="AA2907" s="4">
        <f>=ROUNDDOWN(41,0)</f>
      </c>
      <c r="AB2907" s="5">
        <v>2</v>
      </c>
      <c r="AC2907" s="2" t="s">
        <v>100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/>
      <c r="BD2907" s="8"/>
      <c r="BE2907" s="4"/>
      <c r="BF2907" s="8"/>
      <c r="BG2907" s="7"/>
      <c r="BH2907" s="7"/>
      <c r="BI2907" s="7"/>
      <c r="BJ2907" s="4">
        <v>10</v>
      </c>
      <c r="BK2907" s="8">
        <v>327.48</v>
      </c>
      <c r="BL2907" s="2" t="s">
        <v>9435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2528</v>
      </c>
      <c r="BV2907" s="2" t="s">
        <v>97</v>
      </c>
      <c r="BW2907" s="2" t="s">
        <v>100</v>
      </c>
      <c r="BX2907" s="2" t="s">
        <v>100</v>
      </c>
      <c r="BY2907" s="2" t="s">
        <v>113</v>
      </c>
      <c r="BZ2907" s="2" t="s">
        <v>100</v>
      </c>
    </row>
    <row r="2908">
      <c r="A2908" s="2" t="s">
        <v>9436</v>
      </c>
      <c r="B2908" s="2" t="s">
        <v>9189</v>
      </c>
      <c r="C2908" s="2" t="s">
        <v>2850</v>
      </c>
      <c r="D2908" s="2" t="s">
        <v>9203</v>
      </c>
      <c r="E2908" s="2" t="s">
        <v>9204</v>
      </c>
      <c r="F2908" s="2" t="s">
        <v>9437</v>
      </c>
      <c r="G2908" s="2" t="s">
        <v>9437</v>
      </c>
      <c r="H2908" s="2" t="s">
        <v>9437</v>
      </c>
      <c r="I2908" s="2" t="s">
        <v>9438</v>
      </c>
      <c r="J2908" s="2" t="s">
        <v>3877</v>
      </c>
      <c r="K2908" s="2" t="s">
        <v>604</v>
      </c>
      <c r="L2908" s="3">
        <v>45.25</v>
      </c>
      <c r="M2908" s="3">
        <v>47.51</v>
      </c>
      <c r="N2908" s="3">
        <v>99.99</v>
      </c>
      <c r="O2908" s="2" t="s">
        <v>97</v>
      </c>
      <c r="P2908" s="2" t="s">
        <v>119</v>
      </c>
      <c r="Q2908" s="2" t="s">
        <v>99</v>
      </c>
      <c r="R2908" s="2" t="s">
        <v>100</v>
      </c>
      <c r="S2908" s="2" t="s">
        <v>100</v>
      </c>
      <c r="T2908" s="2" t="s">
        <v>100</v>
      </c>
      <c r="U2908" s="2" t="s">
        <v>1847</v>
      </c>
      <c r="V2908" s="2" t="s">
        <v>3188</v>
      </c>
      <c r="W2908" s="2" t="s">
        <v>561</v>
      </c>
      <c r="X2908" s="2" t="s">
        <v>100</v>
      </c>
      <c r="Y2908" s="2" t="s">
        <v>5733</v>
      </c>
      <c r="Z2908" s="4">
        <v>124</v>
      </c>
      <c r="AA2908" s="4">
        <f>=ROUNDDOWN(32.6315789473684,0)</f>
      </c>
      <c r="AB2908" s="5">
        <v>3.8</v>
      </c>
      <c r="AC2908" s="2" t="s">
        <v>100</v>
      </c>
      <c r="AD2908" s="4"/>
      <c r="AE2908" s="4"/>
      <c r="AF2908" s="6">
        <v>65</v>
      </c>
      <c r="AG2908" s="6"/>
      <c r="AH2908" s="7">
        <v>0.9465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/>
      <c r="BD2908" s="8"/>
      <c r="BE2908" s="4"/>
      <c r="BF2908" s="8"/>
      <c r="BG2908" s="7"/>
      <c r="BH2908" s="7"/>
      <c r="BI2908" s="7"/>
      <c r="BJ2908" s="4">
        <v>87</v>
      </c>
      <c r="BK2908" s="8">
        <v>4415.07</v>
      </c>
      <c r="BL2908" s="2" t="s">
        <v>9439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2528</v>
      </c>
      <c r="BV2908" s="2" t="s">
        <v>97</v>
      </c>
      <c r="BW2908" s="2" t="s">
        <v>100</v>
      </c>
      <c r="BX2908" s="2" t="s">
        <v>100</v>
      </c>
      <c r="BY2908" s="2" t="s">
        <v>113</v>
      </c>
      <c r="BZ2908" s="2" t="s">
        <v>100</v>
      </c>
    </row>
    <row r="2909">
      <c r="A2909" s="2" t="s">
        <v>9440</v>
      </c>
      <c r="B2909" s="2" t="s">
        <v>9189</v>
      </c>
      <c r="C2909" s="2" t="s">
        <v>2850</v>
      </c>
      <c r="D2909" s="2" t="s">
        <v>9203</v>
      </c>
      <c r="E2909" s="2" t="s">
        <v>9204</v>
      </c>
      <c r="F2909" s="2" t="s">
        <v>9441</v>
      </c>
      <c r="G2909" s="2" t="s">
        <v>9442</v>
      </c>
      <c r="H2909" s="2" t="s">
        <v>9441</v>
      </c>
      <c r="I2909" s="2" t="s">
        <v>9443</v>
      </c>
      <c r="J2909" s="2" t="s">
        <v>3877</v>
      </c>
      <c r="K2909" s="2" t="s">
        <v>118</v>
      </c>
      <c r="L2909" s="3">
        <v>53</v>
      </c>
      <c r="M2909" s="3">
        <v>55.65</v>
      </c>
      <c r="N2909" s="3">
        <v>109.99</v>
      </c>
      <c r="O2909" s="2" t="s">
        <v>97</v>
      </c>
      <c r="P2909" s="2" t="s">
        <v>225</v>
      </c>
      <c r="Q2909" s="2" t="s">
        <v>99</v>
      </c>
      <c r="R2909" s="2" t="s">
        <v>100</v>
      </c>
      <c r="S2909" s="2" t="s">
        <v>100</v>
      </c>
      <c r="T2909" s="2" t="s">
        <v>100</v>
      </c>
      <c r="U2909" s="2" t="s">
        <v>1847</v>
      </c>
      <c r="V2909" s="2" t="s">
        <v>3188</v>
      </c>
      <c r="W2909" s="2" t="s">
        <v>9444</v>
      </c>
      <c r="X2909" s="2" t="s">
        <v>561</v>
      </c>
      <c r="Y2909" s="2" t="s">
        <v>3840</v>
      </c>
      <c r="Z2909" s="4">
        <v>70</v>
      </c>
      <c r="AA2909" s="4">
        <f>=ROUNDDOWN(23.3333333333333,0)</f>
      </c>
      <c r="AB2909" s="5">
        <v>3</v>
      </c>
      <c r="AC2909" s="2" t="s">
        <v>100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/>
      <c r="BD2909" s="8"/>
      <c r="BE2909" s="4"/>
      <c r="BF2909" s="8"/>
      <c r="BG2909" s="7"/>
      <c r="BH2909" s="7"/>
      <c r="BI2909" s="7"/>
      <c r="BJ2909" s="4">
        <v>20</v>
      </c>
      <c r="BK2909" s="8">
        <v>1215.42</v>
      </c>
      <c r="BL2909" s="2" t="s">
        <v>9445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2528</v>
      </c>
      <c r="BV2909" s="2" t="s">
        <v>97</v>
      </c>
      <c r="BW2909" s="2" t="s">
        <v>100</v>
      </c>
      <c r="BX2909" s="2" t="s">
        <v>100</v>
      </c>
      <c r="BY2909" s="2" t="s">
        <v>113</v>
      </c>
      <c r="BZ2909" s="2" t="s">
        <v>100</v>
      </c>
    </row>
    <row r="2910">
      <c r="A2910" s="2" t="s">
        <v>9446</v>
      </c>
      <c r="B2910" s="2" t="s">
        <v>9189</v>
      </c>
      <c r="C2910" s="2" t="s">
        <v>2850</v>
      </c>
      <c r="D2910" s="2" t="s">
        <v>9203</v>
      </c>
      <c r="E2910" s="2" t="s">
        <v>9204</v>
      </c>
      <c r="F2910" s="2" t="s">
        <v>9447</v>
      </c>
      <c r="G2910" s="2" t="s">
        <v>9447</v>
      </c>
      <c r="H2910" s="2" t="s">
        <v>9447</v>
      </c>
      <c r="I2910" s="2" t="s">
        <v>9448</v>
      </c>
      <c r="J2910" s="2" t="s">
        <v>3877</v>
      </c>
      <c r="K2910" s="2" t="s">
        <v>9449</v>
      </c>
      <c r="L2910" s="3">
        <v>38.7</v>
      </c>
      <c r="M2910" s="3">
        <v>40.64</v>
      </c>
      <c r="N2910" s="3">
        <v>89.99</v>
      </c>
      <c r="O2910" s="2" t="s">
        <v>97</v>
      </c>
      <c r="P2910" s="2" t="s">
        <v>119</v>
      </c>
      <c r="Q2910" s="2" t="s">
        <v>99</v>
      </c>
      <c r="R2910" s="2" t="s">
        <v>100</v>
      </c>
      <c r="S2910" s="2" t="s">
        <v>100</v>
      </c>
      <c r="T2910" s="2" t="s">
        <v>100</v>
      </c>
      <c r="U2910" s="2" t="s">
        <v>1847</v>
      </c>
      <c r="V2910" s="2" t="s">
        <v>3188</v>
      </c>
      <c r="W2910" s="2" t="s">
        <v>1580</v>
      </c>
      <c r="X2910" s="2" t="s">
        <v>100</v>
      </c>
      <c r="Y2910" s="2" t="s">
        <v>9010</v>
      </c>
      <c r="Z2910" s="4">
        <v>81</v>
      </c>
      <c r="AA2910" s="4">
        <f>=ROUNDDOWN(18,0)</f>
      </c>
      <c r="AB2910" s="5">
        <v>4.5</v>
      </c>
      <c r="AC2910" s="2" t="s">
        <v>1516</v>
      </c>
      <c r="AD2910" s="4">
        <v>100</v>
      </c>
      <c r="AE2910" s="4">
        <v>100</v>
      </c>
      <c r="AF2910" s="6">
        <v>63</v>
      </c>
      <c r="AG2910" s="6"/>
      <c r="AH2910" s="7">
        <v>0.9733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/>
      <c r="AW2910" s="8"/>
      <c r="AX2910" s="4"/>
      <c r="AY2910" s="8"/>
      <c r="AZ2910" s="7"/>
      <c r="BA2910" s="7"/>
      <c r="BB2910" s="7"/>
      <c r="BC2910" s="4"/>
      <c r="BD2910" s="8"/>
      <c r="BE2910" s="4"/>
      <c r="BF2910" s="8"/>
      <c r="BG2910" s="7"/>
      <c r="BH2910" s="7"/>
      <c r="BI2910" s="7"/>
      <c r="BJ2910" s="4">
        <v>116</v>
      </c>
      <c r="BK2910" s="8">
        <v>5493.49</v>
      </c>
      <c r="BL2910" s="2" t="s">
        <v>9450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2528</v>
      </c>
      <c r="BV2910" s="2" t="s">
        <v>97</v>
      </c>
      <c r="BW2910" s="2" t="s">
        <v>100</v>
      </c>
      <c r="BX2910" s="2" t="s">
        <v>100</v>
      </c>
      <c r="BY2910" s="2" t="s">
        <v>113</v>
      </c>
      <c r="BZ2910" s="2" t="s">
        <v>100</v>
      </c>
    </row>
    <row r="2911">
      <c r="A2911" s="2" t="s">
        <v>9451</v>
      </c>
      <c r="B2911" s="2" t="s">
        <v>9189</v>
      </c>
      <c r="C2911" s="2" t="s">
        <v>2850</v>
      </c>
      <c r="D2911" s="2" t="s">
        <v>9203</v>
      </c>
      <c r="E2911" s="2" t="s">
        <v>9204</v>
      </c>
      <c r="F2911" s="2" t="s">
        <v>9452</v>
      </c>
      <c r="G2911" s="2" t="s">
        <v>9452</v>
      </c>
      <c r="H2911" s="2" t="s">
        <v>9452</v>
      </c>
      <c r="I2911" s="2" t="s">
        <v>9453</v>
      </c>
      <c r="J2911" s="2" t="s">
        <v>3877</v>
      </c>
      <c r="K2911" s="2" t="s">
        <v>3199</v>
      </c>
      <c r="L2911" s="3">
        <v>45</v>
      </c>
      <c r="M2911" s="3">
        <v>47.25</v>
      </c>
      <c r="N2911" s="3">
        <v>104.99</v>
      </c>
      <c r="O2911" s="2" t="s">
        <v>97</v>
      </c>
      <c r="P2911" s="2" t="s">
        <v>119</v>
      </c>
      <c r="Q2911" s="2" t="s">
        <v>99</v>
      </c>
      <c r="R2911" s="2" t="s">
        <v>100</v>
      </c>
      <c r="S2911" s="2" t="s">
        <v>100</v>
      </c>
      <c r="T2911" s="2" t="s">
        <v>100</v>
      </c>
      <c r="U2911" s="2" t="s">
        <v>1847</v>
      </c>
      <c r="V2911" s="2" t="s">
        <v>3188</v>
      </c>
      <c r="W2911" s="2" t="s">
        <v>561</v>
      </c>
      <c r="X2911" s="2" t="s">
        <v>673</v>
      </c>
      <c r="Y2911" s="2" t="s">
        <v>9010</v>
      </c>
      <c r="Z2911" s="4">
        <v>44</v>
      </c>
      <c r="AA2911" s="4">
        <f>=ROUNDDOWN(12.2222222222222,0)</f>
      </c>
      <c r="AB2911" s="5">
        <v>3.6</v>
      </c>
      <c r="AC2911" s="2" t="s">
        <v>5126</v>
      </c>
      <c r="AD2911" s="4">
        <v>100</v>
      </c>
      <c r="AE2911" s="4">
        <v>100</v>
      </c>
      <c r="AF2911" s="6">
        <v>63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/>
      <c r="AW2911" s="8"/>
      <c r="AX2911" s="4"/>
      <c r="AY2911" s="8"/>
      <c r="AZ2911" s="7"/>
      <c r="BA2911" s="7"/>
      <c r="BB2911" s="7"/>
      <c r="BC2911" s="4"/>
      <c r="BD2911" s="8"/>
      <c r="BE2911" s="4"/>
      <c r="BF2911" s="8"/>
      <c r="BG2911" s="7"/>
      <c r="BH2911" s="7"/>
      <c r="BI2911" s="7"/>
      <c r="BJ2911" s="4">
        <v>97</v>
      </c>
      <c r="BK2911" s="8">
        <v>5287.08</v>
      </c>
      <c r="BL2911" s="2" t="s">
        <v>9454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2528</v>
      </c>
      <c r="BV2911" s="2" t="s">
        <v>97</v>
      </c>
      <c r="BW2911" s="2" t="s">
        <v>100</v>
      </c>
      <c r="BX2911" s="2" t="s">
        <v>100</v>
      </c>
      <c r="BY2911" s="2" t="s">
        <v>113</v>
      </c>
      <c r="BZ2911" s="2" t="s">
        <v>100</v>
      </c>
    </row>
    <row r="2912">
      <c r="A2912" s="2" t="s">
        <v>9455</v>
      </c>
      <c r="B2912" s="2" t="s">
        <v>9189</v>
      </c>
      <c r="C2912" s="2" t="s">
        <v>2850</v>
      </c>
      <c r="D2912" s="2" t="s">
        <v>9203</v>
      </c>
      <c r="E2912" s="2" t="s">
        <v>9204</v>
      </c>
      <c r="F2912" s="2" t="s">
        <v>9456</v>
      </c>
      <c r="G2912" s="2" t="s">
        <v>9456</v>
      </c>
      <c r="H2912" s="2" t="s">
        <v>9456</v>
      </c>
      <c r="I2912" s="2" t="s">
        <v>9457</v>
      </c>
      <c r="J2912" s="2" t="s">
        <v>3877</v>
      </c>
      <c r="K2912" s="2" t="s">
        <v>9449</v>
      </c>
      <c r="L2912" s="3">
        <v>67.24</v>
      </c>
      <c r="M2912" s="3">
        <v>70.6</v>
      </c>
      <c r="N2912" s="3">
        <v>159.99</v>
      </c>
      <c r="O2912" s="2" t="s">
        <v>97</v>
      </c>
      <c r="P2912" s="2" t="s">
        <v>372</v>
      </c>
      <c r="Q2912" s="2" t="s">
        <v>99</v>
      </c>
      <c r="R2912" s="2" t="s">
        <v>100</v>
      </c>
      <c r="S2912" s="2" t="s">
        <v>9458</v>
      </c>
      <c r="T2912" s="2" t="s">
        <v>100</v>
      </c>
      <c r="U2912" s="2" t="s">
        <v>100</v>
      </c>
      <c r="V2912" s="2" t="s">
        <v>1150</v>
      </c>
      <c r="W2912" s="2" t="s">
        <v>1580</v>
      </c>
      <c r="X2912" s="2" t="s">
        <v>561</v>
      </c>
      <c r="Y2912" s="2" t="s">
        <v>1801</v>
      </c>
      <c r="Z2912" s="4">
        <v>284</v>
      </c>
      <c r="AA2912" s="4">
        <f>=ROUNDDOWN(14.9473684210526,0)</f>
      </c>
      <c r="AB2912" s="5">
        <v>19</v>
      </c>
      <c r="AC2912" s="2" t="s">
        <v>1546</v>
      </c>
      <c r="AD2912" s="4">
        <v>100</v>
      </c>
      <c r="AE2912" s="4">
        <v>460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/>
      <c r="BD2912" s="8"/>
      <c r="BE2912" s="4"/>
      <c r="BF2912" s="8"/>
      <c r="BG2912" s="7"/>
      <c r="BH2912" s="7"/>
      <c r="BI2912" s="7"/>
      <c r="BJ2912" s="4">
        <v>508</v>
      </c>
      <c r="BK2912" s="8">
        <v>39880.13</v>
      </c>
      <c r="BL2912" s="2" t="s">
        <v>9459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2528</v>
      </c>
      <c r="BV2912" s="2" t="s">
        <v>97</v>
      </c>
      <c r="BW2912" s="2" t="s">
        <v>100</v>
      </c>
      <c r="BX2912" s="2" t="s">
        <v>100</v>
      </c>
      <c r="BY2912" s="2" t="s">
        <v>113</v>
      </c>
      <c r="BZ2912" s="2" t="s">
        <v>100</v>
      </c>
    </row>
    <row r="2913">
      <c r="A2913" s="2" t="s">
        <v>9460</v>
      </c>
      <c r="B2913" s="2" t="s">
        <v>9189</v>
      </c>
      <c r="C2913" s="2" t="s">
        <v>2850</v>
      </c>
      <c r="D2913" s="2" t="s">
        <v>9203</v>
      </c>
      <c r="E2913" s="2" t="s">
        <v>9204</v>
      </c>
      <c r="F2913" s="2" t="s">
        <v>5554</v>
      </c>
      <c r="G2913" s="2" t="s">
        <v>5554</v>
      </c>
      <c r="H2913" s="2" t="s">
        <v>5554</v>
      </c>
      <c r="I2913" s="2" t="s">
        <v>9438</v>
      </c>
      <c r="J2913" s="2" t="s">
        <v>3877</v>
      </c>
      <c r="K2913" s="2" t="s">
        <v>1614</v>
      </c>
      <c r="L2913" s="3">
        <v>46.72</v>
      </c>
      <c r="M2913" s="3">
        <v>49.06</v>
      </c>
      <c r="N2913" s="3">
        <v>109.99</v>
      </c>
      <c r="O2913" s="2" t="s">
        <v>97</v>
      </c>
      <c r="P2913" s="2" t="s">
        <v>119</v>
      </c>
      <c r="Q2913" s="2" t="s">
        <v>99</v>
      </c>
      <c r="R2913" s="2" t="s">
        <v>100</v>
      </c>
      <c r="S2913" s="2" t="s">
        <v>9461</v>
      </c>
      <c r="T2913" s="2" t="s">
        <v>100</v>
      </c>
      <c r="U2913" s="2" t="s">
        <v>100</v>
      </c>
      <c r="V2913" s="2" t="s">
        <v>146</v>
      </c>
      <c r="W2913" s="2" t="s">
        <v>561</v>
      </c>
      <c r="X2913" s="2" t="s">
        <v>100</v>
      </c>
      <c r="Y2913" s="2" t="s">
        <v>240</v>
      </c>
      <c r="Z2913" s="4">
        <v>66</v>
      </c>
      <c r="AA2913" s="4">
        <f>=ROUNDDOWN(13.2,0)</f>
      </c>
      <c r="AB2913" s="5">
        <v>5</v>
      </c>
      <c r="AC2913" s="2" t="s">
        <v>9283</v>
      </c>
      <c r="AD2913" s="4">
        <v>120</v>
      </c>
      <c r="AE2913" s="4">
        <v>120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/>
      <c r="BD2913" s="8"/>
      <c r="BE2913" s="4"/>
      <c r="BF2913" s="8"/>
      <c r="BG2913" s="7"/>
      <c r="BH2913" s="7"/>
      <c r="BI2913" s="7"/>
      <c r="BJ2913" s="4">
        <v>119</v>
      </c>
      <c r="BK2913" s="8">
        <v>6255.13</v>
      </c>
      <c r="BL2913" s="2" t="s">
        <v>9462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2528</v>
      </c>
      <c r="BV2913" s="2" t="s">
        <v>97</v>
      </c>
      <c r="BW2913" s="2" t="s">
        <v>100</v>
      </c>
      <c r="BX2913" s="2" t="s">
        <v>100</v>
      </c>
      <c r="BY2913" s="2" t="s">
        <v>113</v>
      </c>
      <c r="BZ2913" s="2" t="s">
        <v>100</v>
      </c>
    </row>
    <row r="2914">
      <c r="A2914" s="2" t="s">
        <v>9463</v>
      </c>
      <c r="B2914" s="2" t="s">
        <v>9189</v>
      </c>
      <c r="C2914" s="2" t="s">
        <v>2850</v>
      </c>
      <c r="D2914" s="2" t="s">
        <v>9203</v>
      </c>
      <c r="E2914" s="2" t="s">
        <v>9204</v>
      </c>
      <c r="F2914" s="2" t="s">
        <v>9464</v>
      </c>
      <c r="G2914" s="2" t="s">
        <v>9464</v>
      </c>
      <c r="H2914" s="2" t="s">
        <v>9464</v>
      </c>
      <c r="I2914" s="2" t="s">
        <v>9465</v>
      </c>
      <c r="J2914" s="2" t="s">
        <v>3877</v>
      </c>
      <c r="K2914" s="2" t="s">
        <v>3199</v>
      </c>
      <c r="L2914" s="3">
        <v>52</v>
      </c>
      <c r="M2914" s="3">
        <v>54.6</v>
      </c>
      <c r="N2914" s="3">
        <v>109.99</v>
      </c>
      <c r="O2914" s="2" t="s">
        <v>97</v>
      </c>
      <c r="P2914" s="2" t="s">
        <v>225</v>
      </c>
      <c r="Q2914" s="2" t="s">
        <v>99</v>
      </c>
      <c r="R2914" s="2" t="s">
        <v>100</v>
      </c>
      <c r="S2914" s="2" t="s">
        <v>100</v>
      </c>
      <c r="T2914" s="2" t="s">
        <v>100</v>
      </c>
      <c r="U2914" s="2" t="s">
        <v>1847</v>
      </c>
      <c r="V2914" s="2" t="s">
        <v>3188</v>
      </c>
      <c r="W2914" s="2" t="s">
        <v>561</v>
      </c>
      <c r="X2914" s="2" t="s">
        <v>183</v>
      </c>
      <c r="Y2914" s="2" t="s">
        <v>3614</v>
      </c>
      <c r="Z2914" s="4">
        <v>75</v>
      </c>
      <c r="AA2914" s="4">
        <f>=ROUNDDOWN(37.5,0)</f>
      </c>
      <c r="AB2914" s="5">
        <v>2</v>
      </c>
      <c r="AC2914" s="2" t="s">
        <v>100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/>
      <c r="AW2914" s="8"/>
      <c r="AX2914" s="4"/>
      <c r="AY2914" s="8"/>
      <c r="AZ2914" s="7"/>
      <c r="BA2914" s="7"/>
      <c r="BB2914" s="7"/>
      <c r="BC2914" s="4"/>
      <c r="BD2914" s="8"/>
      <c r="BE2914" s="4"/>
      <c r="BF2914" s="8"/>
      <c r="BG2914" s="7"/>
      <c r="BH2914" s="7"/>
      <c r="BI2914" s="7"/>
      <c r="BJ2914" s="4">
        <v>15</v>
      </c>
      <c r="BK2914" s="8">
        <v>887.78</v>
      </c>
      <c r="BL2914" s="2" t="s">
        <v>2137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2528</v>
      </c>
      <c r="BV2914" s="2" t="s">
        <v>97</v>
      </c>
      <c r="BW2914" s="2" t="s">
        <v>100</v>
      </c>
      <c r="BX2914" s="2" t="s">
        <v>100</v>
      </c>
      <c r="BY2914" s="2" t="s">
        <v>113</v>
      </c>
      <c r="BZ2914" s="2" t="s">
        <v>100</v>
      </c>
    </row>
    <row r="2915">
      <c r="A2915" s="2" t="s">
        <v>9466</v>
      </c>
      <c r="B2915" s="2" t="s">
        <v>9189</v>
      </c>
      <c r="C2915" s="2" t="s">
        <v>2850</v>
      </c>
      <c r="D2915" s="2" t="s">
        <v>9203</v>
      </c>
      <c r="E2915" s="2" t="s">
        <v>9204</v>
      </c>
      <c r="F2915" s="2" t="s">
        <v>9467</v>
      </c>
      <c r="G2915" s="2" t="s">
        <v>9467</v>
      </c>
      <c r="H2915" s="2" t="s">
        <v>9467</v>
      </c>
      <c r="I2915" s="2" t="s">
        <v>9438</v>
      </c>
      <c r="J2915" s="2" t="s">
        <v>3877</v>
      </c>
      <c r="K2915" s="2" t="s">
        <v>189</v>
      </c>
      <c r="L2915" s="3">
        <v>44</v>
      </c>
      <c r="M2915" s="3">
        <v>46.2</v>
      </c>
      <c r="N2915" s="3">
        <v>89.99</v>
      </c>
      <c r="O2915" s="2" t="s">
        <v>97</v>
      </c>
      <c r="P2915" s="2" t="s">
        <v>225</v>
      </c>
      <c r="Q2915" s="2" t="s">
        <v>99</v>
      </c>
      <c r="R2915" s="2" t="s">
        <v>100</v>
      </c>
      <c r="S2915" s="2" t="s">
        <v>100</v>
      </c>
      <c r="T2915" s="2" t="s">
        <v>100</v>
      </c>
      <c r="U2915" s="2" t="s">
        <v>1847</v>
      </c>
      <c r="V2915" s="2" t="s">
        <v>3188</v>
      </c>
      <c r="W2915" s="2" t="s">
        <v>9444</v>
      </c>
      <c r="X2915" s="2" t="s">
        <v>561</v>
      </c>
      <c r="Y2915" s="2" t="s">
        <v>3205</v>
      </c>
      <c r="Z2915" s="4">
        <v>91</v>
      </c>
      <c r="AA2915" s="4">
        <f>=ROUNDDOWN(30.3333333333333,0)</f>
      </c>
      <c r="AB2915" s="5">
        <v>3</v>
      </c>
      <c r="AC2915" s="2" t="s">
        <v>100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/>
      <c r="BD2915" s="8"/>
      <c r="BE2915" s="4"/>
      <c r="BF2915" s="8"/>
      <c r="BG2915" s="7"/>
      <c r="BH2915" s="7"/>
      <c r="BI2915" s="7"/>
      <c r="BJ2915" s="4">
        <v>3</v>
      </c>
      <c r="BK2915" s="8">
        <v>193.47</v>
      </c>
      <c r="BL2915" s="2" t="s">
        <v>9468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2528</v>
      </c>
      <c r="BV2915" s="2" t="s">
        <v>97</v>
      </c>
      <c r="BW2915" s="2" t="s">
        <v>100</v>
      </c>
      <c r="BX2915" s="2" t="s">
        <v>100</v>
      </c>
      <c r="BY2915" s="2" t="s">
        <v>113</v>
      </c>
      <c r="BZ2915" s="2" t="s">
        <v>100</v>
      </c>
    </row>
    <row r="2916">
      <c r="A2916" s="2" t="s">
        <v>9469</v>
      </c>
      <c r="B2916" s="2" t="s">
        <v>9189</v>
      </c>
      <c r="C2916" s="2" t="s">
        <v>2850</v>
      </c>
      <c r="D2916" s="2" t="s">
        <v>9203</v>
      </c>
      <c r="E2916" s="2" t="s">
        <v>9204</v>
      </c>
      <c r="F2916" s="2" t="s">
        <v>7770</v>
      </c>
      <c r="G2916" s="2" t="s">
        <v>7770</v>
      </c>
      <c r="H2916" s="2" t="s">
        <v>7770</v>
      </c>
      <c r="I2916" s="2" t="s">
        <v>9470</v>
      </c>
      <c r="J2916" s="2" t="s">
        <v>3877</v>
      </c>
      <c r="K2916" s="2" t="s">
        <v>189</v>
      </c>
      <c r="L2916" s="3">
        <v>39.5</v>
      </c>
      <c r="M2916" s="3">
        <v>41.48</v>
      </c>
      <c r="N2916" s="3">
        <v>89.99</v>
      </c>
      <c r="O2916" s="2" t="s">
        <v>97</v>
      </c>
      <c r="P2916" s="2" t="s">
        <v>119</v>
      </c>
      <c r="Q2916" s="2" t="s">
        <v>99</v>
      </c>
      <c r="R2916" s="2" t="s">
        <v>100</v>
      </c>
      <c r="S2916" s="2" t="s">
        <v>100</v>
      </c>
      <c r="T2916" s="2" t="s">
        <v>100</v>
      </c>
      <c r="U2916" s="2" t="s">
        <v>1847</v>
      </c>
      <c r="V2916" s="2" t="s">
        <v>3188</v>
      </c>
      <c r="W2916" s="2" t="s">
        <v>561</v>
      </c>
      <c r="X2916" s="2" t="s">
        <v>100</v>
      </c>
      <c r="Y2916" s="2" t="s">
        <v>5733</v>
      </c>
      <c r="Z2916" s="4">
        <v>142</v>
      </c>
      <c r="AA2916" s="4">
        <f>=ROUNDDOWN(78.8888888888889,0)</f>
      </c>
      <c r="AB2916" s="5">
        <v>1.8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/>
      <c r="BD2916" s="8"/>
      <c r="BE2916" s="4"/>
      <c r="BF2916" s="8"/>
      <c r="BG2916" s="7"/>
      <c r="BH2916" s="7"/>
      <c r="BI2916" s="7"/>
      <c r="BJ2916" s="4">
        <v>40</v>
      </c>
      <c r="BK2916" s="8">
        <v>1774.13</v>
      </c>
      <c r="BL2916" s="2" t="s">
        <v>9471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2528</v>
      </c>
      <c r="BV2916" s="2" t="s">
        <v>97</v>
      </c>
      <c r="BW2916" s="2" t="s">
        <v>100</v>
      </c>
      <c r="BX2916" s="2" t="s">
        <v>100</v>
      </c>
      <c r="BY2916" s="2" t="s">
        <v>113</v>
      </c>
      <c r="BZ2916" s="2" t="s">
        <v>100</v>
      </c>
    </row>
    <row r="2917">
      <c r="A2917" s="2" t="s">
        <v>9472</v>
      </c>
      <c r="B2917" s="2" t="s">
        <v>9189</v>
      </c>
      <c r="C2917" s="2" t="s">
        <v>2850</v>
      </c>
      <c r="D2917" s="2" t="s">
        <v>9203</v>
      </c>
      <c r="E2917" s="2" t="s">
        <v>9204</v>
      </c>
      <c r="F2917" s="2" t="s">
        <v>9473</v>
      </c>
      <c r="G2917" s="2" t="s">
        <v>9473</v>
      </c>
      <c r="H2917" s="2" t="s">
        <v>9473</v>
      </c>
      <c r="I2917" s="2" t="s">
        <v>9474</v>
      </c>
      <c r="J2917" s="2" t="s">
        <v>3877</v>
      </c>
      <c r="K2917" s="2" t="s">
        <v>9475</v>
      </c>
      <c r="L2917" s="3">
        <v>108.45</v>
      </c>
      <c r="M2917" s="3">
        <v>113.87</v>
      </c>
      <c r="N2917" s="3">
        <v>249.99</v>
      </c>
      <c r="O2917" s="2" t="s">
        <v>97</v>
      </c>
      <c r="P2917" s="2" t="s">
        <v>372</v>
      </c>
      <c r="Q2917" s="2" t="s">
        <v>99</v>
      </c>
      <c r="R2917" s="2" t="s">
        <v>100</v>
      </c>
      <c r="S2917" s="2" t="s">
        <v>9476</v>
      </c>
      <c r="T2917" s="2" t="s">
        <v>100</v>
      </c>
      <c r="U2917" s="2" t="s">
        <v>100</v>
      </c>
      <c r="V2917" s="2" t="s">
        <v>146</v>
      </c>
      <c r="W2917" s="2" t="s">
        <v>104</v>
      </c>
      <c r="X2917" s="2" t="s">
        <v>100</v>
      </c>
      <c r="Y2917" s="2" t="s">
        <v>9477</v>
      </c>
      <c r="Z2917" s="4">
        <v>62</v>
      </c>
      <c r="AA2917" s="4">
        <f>=ROUNDDOWN(5.2991452991453,0)</f>
      </c>
      <c r="AB2917" s="5">
        <v>11.7</v>
      </c>
      <c r="AC2917" s="2" t="s">
        <v>3887</v>
      </c>
      <c r="AD2917" s="4">
        <v>100</v>
      </c>
      <c r="AE2917" s="4">
        <v>300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/>
      <c r="BD2917" s="8"/>
      <c r="BE2917" s="4"/>
      <c r="BF2917" s="8"/>
      <c r="BG2917" s="7"/>
      <c r="BH2917" s="7"/>
      <c r="BI2917" s="7"/>
      <c r="BJ2917" s="4">
        <v>300</v>
      </c>
      <c r="BK2917" s="8">
        <v>33603.21</v>
      </c>
      <c r="BL2917" s="2" t="s">
        <v>9478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2480</v>
      </c>
      <c r="BV2917" s="2" t="s">
        <v>97</v>
      </c>
      <c r="BW2917" s="2" t="s">
        <v>100</v>
      </c>
      <c r="BX2917" s="2" t="s">
        <v>100</v>
      </c>
      <c r="BY2917" s="2" t="s">
        <v>113</v>
      </c>
      <c r="BZ2917" s="2" t="s">
        <v>100</v>
      </c>
    </row>
    <row r="2918">
      <c r="A2918" s="2" t="s">
        <v>9479</v>
      </c>
      <c r="B2918" s="2" t="s">
        <v>9189</v>
      </c>
      <c r="C2918" s="2" t="s">
        <v>2850</v>
      </c>
      <c r="D2918" s="2" t="s">
        <v>9203</v>
      </c>
      <c r="E2918" s="2" t="s">
        <v>9204</v>
      </c>
      <c r="F2918" s="2" t="s">
        <v>9480</v>
      </c>
      <c r="G2918" s="2" t="s">
        <v>9480</v>
      </c>
      <c r="H2918" s="2" t="s">
        <v>9480</v>
      </c>
      <c r="I2918" s="2" t="s">
        <v>9481</v>
      </c>
      <c r="J2918" s="2" t="s">
        <v>3877</v>
      </c>
      <c r="K2918" s="2" t="s">
        <v>8996</v>
      </c>
      <c r="L2918" s="3">
        <v>43.2</v>
      </c>
      <c r="M2918" s="3">
        <v>45.36</v>
      </c>
      <c r="N2918" s="3">
        <v>99.99</v>
      </c>
      <c r="O2918" s="2" t="s">
        <v>97</v>
      </c>
      <c r="P2918" s="2" t="s">
        <v>98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1847</v>
      </c>
      <c r="V2918" s="2" t="s">
        <v>3188</v>
      </c>
      <c r="W2918" s="2" t="s">
        <v>104</v>
      </c>
      <c r="X2918" s="2" t="s">
        <v>100</v>
      </c>
      <c r="Y2918" s="2" t="s">
        <v>9010</v>
      </c>
      <c r="Z2918" s="4">
        <v>153</v>
      </c>
      <c r="AA2918" s="4">
        <f>=ROUNDDOWN(17.5862068965517,0)</f>
      </c>
      <c r="AB2918" s="5">
        <v>8.7</v>
      </c>
      <c r="AC2918" s="2" t="s">
        <v>1516</v>
      </c>
      <c r="AD2918" s="4">
        <v>100</v>
      </c>
      <c r="AE2918" s="4">
        <v>100</v>
      </c>
      <c r="AF2918" s="6">
        <v>63</v>
      </c>
      <c r="AG2918" s="6"/>
      <c r="AH2918" s="7">
        <v>0.8717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/>
      <c r="BD2918" s="8"/>
      <c r="BE2918" s="4"/>
      <c r="BF2918" s="8"/>
      <c r="BG2918" s="7"/>
      <c r="BH2918" s="7"/>
      <c r="BI2918" s="7"/>
      <c r="BJ2918" s="4">
        <v>204</v>
      </c>
      <c r="BK2918" s="8">
        <v>10977.98</v>
      </c>
      <c r="BL2918" s="2" t="s">
        <v>9482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2528</v>
      </c>
      <c r="BV2918" s="2" t="s">
        <v>97</v>
      </c>
      <c r="BW2918" s="2" t="s">
        <v>100</v>
      </c>
      <c r="BX2918" s="2" t="s">
        <v>100</v>
      </c>
      <c r="BY2918" s="2" t="s">
        <v>113</v>
      </c>
      <c r="BZ2918" s="2" t="s">
        <v>100</v>
      </c>
    </row>
    <row r="2919">
      <c r="A2919" s="2" t="s">
        <v>9483</v>
      </c>
      <c r="B2919" s="2" t="s">
        <v>9189</v>
      </c>
      <c r="C2919" s="2" t="s">
        <v>2850</v>
      </c>
      <c r="D2919" s="2" t="s">
        <v>9203</v>
      </c>
      <c r="E2919" s="2" t="s">
        <v>9204</v>
      </c>
      <c r="F2919" s="2" t="s">
        <v>9378</v>
      </c>
      <c r="G2919" s="2" t="s">
        <v>9378</v>
      </c>
      <c r="H2919" s="2" t="s">
        <v>9378</v>
      </c>
      <c r="I2919" s="2" t="s">
        <v>9484</v>
      </c>
      <c r="J2919" s="2" t="s">
        <v>3877</v>
      </c>
      <c r="K2919" s="2" t="s">
        <v>8996</v>
      </c>
      <c r="L2919" s="3">
        <v>71.54</v>
      </c>
      <c r="M2919" s="3">
        <v>75.12</v>
      </c>
      <c r="N2919" s="3">
        <v>157.99</v>
      </c>
      <c r="O2919" s="2" t="s">
        <v>97</v>
      </c>
      <c r="P2919" s="2" t="s">
        <v>119</v>
      </c>
      <c r="Q2919" s="2" t="s">
        <v>99</v>
      </c>
      <c r="R2919" s="2" t="s">
        <v>100</v>
      </c>
      <c r="S2919" s="2" t="s">
        <v>100</v>
      </c>
      <c r="T2919" s="2" t="s">
        <v>100</v>
      </c>
      <c r="U2919" s="2" t="s">
        <v>100</v>
      </c>
      <c r="V2919" s="2" t="s">
        <v>3188</v>
      </c>
      <c r="W2919" s="2" t="s">
        <v>561</v>
      </c>
      <c r="X2919" s="2" t="s">
        <v>100</v>
      </c>
      <c r="Y2919" s="2" t="s">
        <v>7982</v>
      </c>
      <c r="Z2919" s="4">
        <v>30</v>
      </c>
      <c r="AA2919" s="4">
        <f>=ROUNDDOWN(15,0)</f>
      </c>
      <c r="AB2919" s="5">
        <v>2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/>
      <c r="BD2919" s="8"/>
      <c r="BE2919" s="4"/>
      <c r="BF2919" s="8"/>
      <c r="BG2919" s="7"/>
      <c r="BH2919" s="7"/>
      <c r="BI2919" s="7"/>
      <c r="BJ2919" s="4">
        <v>62</v>
      </c>
      <c r="BK2919" s="8">
        <v>4328.77</v>
      </c>
      <c r="BL2919" s="2" t="s">
        <v>8600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2528</v>
      </c>
      <c r="BV2919" s="2" t="s">
        <v>97</v>
      </c>
      <c r="BW2919" s="2" t="s">
        <v>100</v>
      </c>
      <c r="BX2919" s="2" t="s">
        <v>100</v>
      </c>
      <c r="BY2919" s="2" t="s">
        <v>113</v>
      </c>
      <c r="BZ2919" s="2" t="s">
        <v>100</v>
      </c>
    </row>
    <row r="2920">
      <c r="A2920" s="2" t="s">
        <v>9485</v>
      </c>
      <c r="B2920" s="2" t="s">
        <v>9189</v>
      </c>
      <c r="C2920" s="2" t="s">
        <v>2850</v>
      </c>
      <c r="D2920" s="2" t="s">
        <v>9203</v>
      </c>
      <c r="E2920" s="2" t="s">
        <v>9204</v>
      </c>
      <c r="F2920" s="2" t="s">
        <v>9486</v>
      </c>
      <c r="G2920" s="2" t="s">
        <v>9486</v>
      </c>
      <c r="H2920" s="2" t="s">
        <v>9486</v>
      </c>
      <c r="I2920" s="2" t="s">
        <v>9274</v>
      </c>
      <c r="J2920" s="2" t="s">
        <v>3877</v>
      </c>
      <c r="K2920" s="2" t="s">
        <v>118</v>
      </c>
      <c r="L2920" s="3">
        <v>40.38</v>
      </c>
      <c r="M2920" s="3">
        <v>42.4</v>
      </c>
      <c r="N2920" s="3">
        <v>89.99</v>
      </c>
      <c r="O2920" s="2" t="s">
        <v>97</v>
      </c>
      <c r="P2920" s="2" t="s">
        <v>119</v>
      </c>
      <c r="Q2920" s="2" t="s">
        <v>99</v>
      </c>
      <c r="R2920" s="2" t="s">
        <v>100</v>
      </c>
      <c r="S2920" s="2" t="s">
        <v>100</v>
      </c>
      <c r="T2920" s="2" t="s">
        <v>100</v>
      </c>
      <c r="U2920" s="2" t="s">
        <v>1847</v>
      </c>
      <c r="V2920" s="2" t="s">
        <v>3188</v>
      </c>
      <c r="W2920" s="2" t="s">
        <v>561</v>
      </c>
      <c r="X2920" s="2" t="s">
        <v>100</v>
      </c>
      <c r="Y2920" s="2" t="s">
        <v>5733</v>
      </c>
      <c r="Z2920" s="4">
        <v>51</v>
      </c>
      <c r="AA2920" s="4">
        <f>=ROUNDDOWN(17,0)</f>
      </c>
      <c r="AB2920" s="5">
        <v>3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/>
      <c r="BD2920" s="8"/>
      <c r="BE2920" s="4"/>
      <c r="BF2920" s="8"/>
      <c r="BG2920" s="7"/>
      <c r="BH2920" s="7"/>
      <c r="BI2920" s="7"/>
      <c r="BJ2920" s="4">
        <v>88</v>
      </c>
      <c r="BK2920" s="8">
        <v>3944.98</v>
      </c>
      <c r="BL2920" s="2" t="s">
        <v>9487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2528</v>
      </c>
      <c r="BV2920" s="2" t="s">
        <v>97</v>
      </c>
      <c r="BW2920" s="2" t="s">
        <v>100</v>
      </c>
      <c r="BX2920" s="2" t="s">
        <v>100</v>
      </c>
      <c r="BY2920" s="2" t="s">
        <v>113</v>
      </c>
      <c r="BZ2920" s="2" t="s">
        <v>100</v>
      </c>
    </row>
    <row r="2921">
      <c r="A2921" s="2" t="s">
        <v>9488</v>
      </c>
      <c r="B2921" s="2" t="s">
        <v>9189</v>
      </c>
      <c r="C2921" s="2" t="s">
        <v>2850</v>
      </c>
      <c r="D2921" s="2" t="s">
        <v>9203</v>
      </c>
      <c r="E2921" s="2" t="s">
        <v>9204</v>
      </c>
      <c r="F2921" s="2" t="s">
        <v>9382</v>
      </c>
      <c r="G2921" s="2" t="s">
        <v>9382</v>
      </c>
      <c r="H2921" s="2" t="s">
        <v>9382</v>
      </c>
      <c r="I2921" s="2" t="s">
        <v>9489</v>
      </c>
      <c r="J2921" s="2" t="s">
        <v>3877</v>
      </c>
      <c r="K2921" s="2" t="s">
        <v>9384</v>
      </c>
      <c r="L2921" s="3">
        <v>55</v>
      </c>
      <c r="M2921" s="3">
        <v>57.75</v>
      </c>
      <c r="N2921" s="3">
        <v>114.99</v>
      </c>
      <c r="O2921" s="2" t="s">
        <v>97</v>
      </c>
      <c r="P2921" s="2" t="s">
        <v>119</v>
      </c>
      <c r="Q2921" s="2" t="s">
        <v>99</v>
      </c>
      <c r="R2921" s="2" t="s">
        <v>100</v>
      </c>
      <c r="S2921" s="2" t="s">
        <v>100</v>
      </c>
      <c r="T2921" s="2" t="s">
        <v>100</v>
      </c>
      <c r="U2921" s="2" t="s">
        <v>1847</v>
      </c>
      <c r="V2921" s="2" t="s">
        <v>3188</v>
      </c>
      <c r="W2921" s="2" t="s">
        <v>183</v>
      </c>
      <c r="X2921" s="2" t="s">
        <v>561</v>
      </c>
      <c r="Y2921" s="2" t="s">
        <v>9490</v>
      </c>
      <c r="Z2921" s="4">
        <v>121</v>
      </c>
      <c r="AA2921" s="4">
        <f>=ROUNDDOWN(40.3333333333333,0)</f>
      </c>
      <c r="AB2921" s="5">
        <v>3</v>
      </c>
      <c r="AC2921" s="2" t="s">
        <v>320</v>
      </c>
      <c r="AD2921" s="4">
        <v>800</v>
      </c>
      <c r="AE2921" s="4">
        <v>800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/>
      <c r="AW2921" s="8"/>
      <c r="AX2921" s="4"/>
      <c r="AY2921" s="8"/>
      <c r="AZ2921" s="7"/>
      <c r="BA2921" s="7"/>
      <c r="BB2921" s="7"/>
      <c r="BC2921" s="4"/>
      <c r="BD2921" s="8"/>
      <c r="BE2921" s="4"/>
      <c r="BF2921" s="8"/>
      <c r="BG2921" s="7"/>
      <c r="BH2921" s="7"/>
      <c r="BI2921" s="7"/>
      <c r="BJ2921" s="4">
        <v>65</v>
      </c>
      <c r="BK2921" s="8">
        <v>3999.06</v>
      </c>
      <c r="BL2921" s="2" t="s">
        <v>9491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2528</v>
      </c>
      <c r="BV2921" s="2" t="s">
        <v>97</v>
      </c>
      <c r="BW2921" s="2" t="s">
        <v>100</v>
      </c>
      <c r="BX2921" s="2" t="s">
        <v>100</v>
      </c>
      <c r="BY2921" s="2" t="s">
        <v>113</v>
      </c>
      <c r="BZ2921" s="2" t="s">
        <v>100</v>
      </c>
    </row>
    <row r="2922">
      <c r="A2922" s="2" t="s">
        <v>9492</v>
      </c>
      <c r="B2922" s="2" t="s">
        <v>9189</v>
      </c>
      <c r="C2922" s="2" t="s">
        <v>2850</v>
      </c>
      <c r="D2922" s="2" t="s">
        <v>9203</v>
      </c>
      <c r="E2922" s="2" t="s">
        <v>9204</v>
      </c>
      <c r="F2922" s="2" t="s">
        <v>9493</v>
      </c>
      <c r="G2922" s="2" t="s">
        <v>9493</v>
      </c>
      <c r="H2922" s="2" t="s">
        <v>9493</v>
      </c>
      <c r="I2922" s="2" t="s">
        <v>9494</v>
      </c>
      <c r="J2922" s="2" t="s">
        <v>3877</v>
      </c>
      <c r="K2922" s="2" t="s">
        <v>3199</v>
      </c>
      <c r="L2922" s="3">
        <v>33</v>
      </c>
      <c r="M2922" s="3">
        <v>34.65</v>
      </c>
      <c r="N2922" s="3">
        <v>69.99</v>
      </c>
      <c r="O2922" s="2" t="s">
        <v>97</v>
      </c>
      <c r="P2922" s="2" t="s">
        <v>119</v>
      </c>
      <c r="Q2922" s="2" t="s">
        <v>99</v>
      </c>
      <c r="R2922" s="2" t="s">
        <v>100</v>
      </c>
      <c r="S2922" s="2" t="s">
        <v>100</v>
      </c>
      <c r="T2922" s="2" t="s">
        <v>100</v>
      </c>
      <c r="U2922" s="2" t="s">
        <v>1847</v>
      </c>
      <c r="V2922" s="2" t="s">
        <v>3188</v>
      </c>
      <c r="W2922" s="2" t="s">
        <v>561</v>
      </c>
      <c r="X2922" s="2" t="s">
        <v>673</v>
      </c>
      <c r="Y2922" s="2" t="s">
        <v>9490</v>
      </c>
      <c r="Z2922" s="4">
        <v>125</v>
      </c>
      <c r="AA2922" s="4">
        <f>=ROUNDDOWN(41.6666666666667,0)</f>
      </c>
      <c r="AB2922" s="5">
        <v>3</v>
      </c>
      <c r="AC2922" s="2" t="s">
        <v>320</v>
      </c>
      <c r="AD2922" s="4">
        <v>800</v>
      </c>
      <c r="AE2922" s="4">
        <v>800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/>
      <c r="AW2922" s="8"/>
      <c r="AX2922" s="4"/>
      <c r="AY2922" s="8"/>
      <c r="AZ2922" s="7"/>
      <c r="BA2922" s="7"/>
      <c r="BB2922" s="7"/>
      <c r="BC2922" s="4"/>
      <c r="BD2922" s="8"/>
      <c r="BE2922" s="4"/>
      <c r="BF2922" s="8"/>
      <c r="BG2922" s="7"/>
      <c r="BH2922" s="7"/>
      <c r="BI2922" s="7"/>
      <c r="BJ2922" s="4">
        <v>61</v>
      </c>
      <c r="BK2922" s="8">
        <v>2303.74</v>
      </c>
      <c r="BL2922" s="2" t="s">
        <v>9495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2528</v>
      </c>
      <c r="BV2922" s="2" t="s">
        <v>97</v>
      </c>
      <c r="BW2922" s="2" t="s">
        <v>100</v>
      </c>
      <c r="BX2922" s="2" t="s">
        <v>100</v>
      </c>
      <c r="BY2922" s="2" t="s">
        <v>113</v>
      </c>
      <c r="BZ2922" s="2" t="s">
        <v>100</v>
      </c>
    </row>
    <row r="2923">
      <c r="A2923" s="2" t="s">
        <v>9496</v>
      </c>
      <c r="B2923" s="2" t="s">
        <v>9189</v>
      </c>
      <c r="C2923" s="2" t="s">
        <v>2850</v>
      </c>
      <c r="D2923" s="2" t="s">
        <v>9203</v>
      </c>
      <c r="E2923" s="2" t="s">
        <v>9204</v>
      </c>
      <c r="F2923" s="2" t="s">
        <v>9497</v>
      </c>
      <c r="G2923" s="2" t="s">
        <v>9497</v>
      </c>
      <c r="H2923" s="2" t="s">
        <v>9497</v>
      </c>
      <c r="I2923" s="2" t="s">
        <v>9498</v>
      </c>
      <c r="J2923" s="2" t="s">
        <v>3877</v>
      </c>
      <c r="K2923" s="2" t="s">
        <v>9499</v>
      </c>
      <c r="L2923" s="3">
        <v>78.14</v>
      </c>
      <c r="M2923" s="3">
        <v>82.05</v>
      </c>
      <c r="N2923" s="3">
        <v>179.99</v>
      </c>
      <c r="O2923" s="2" t="s">
        <v>97</v>
      </c>
      <c r="P2923" s="2" t="s">
        <v>119</v>
      </c>
      <c r="Q2923" s="2" t="s">
        <v>99</v>
      </c>
      <c r="R2923" s="2" t="s">
        <v>100</v>
      </c>
      <c r="S2923" s="2" t="s">
        <v>100</v>
      </c>
      <c r="T2923" s="2" t="s">
        <v>100</v>
      </c>
      <c r="U2923" s="2" t="s">
        <v>1847</v>
      </c>
      <c r="V2923" s="2" t="s">
        <v>3188</v>
      </c>
      <c r="W2923" s="2" t="s">
        <v>100</v>
      </c>
      <c r="X2923" s="2" t="s">
        <v>100</v>
      </c>
      <c r="Y2923" s="2" t="s">
        <v>904</v>
      </c>
      <c r="Z2923" s="4">
        <v>32</v>
      </c>
      <c r="AA2923" s="4">
        <f>=ROUNDDOWN(16,0)</f>
      </c>
      <c r="AB2923" s="5">
        <v>2</v>
      </c>
      <c r="AC2923" s="2" t="s">
        <v>5126</v>
      </c>
      <c r="AD2923" s="4">
        <v>50</v>
      </c>
      <c r="AE2923" s="4">
        <v>100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/>
      <c r="BD2923" s="8"/>
      <c r="BE2923" s="4"/>
      <c r="BF2923" s="8"/>
      <c r="BG2923" s="7"/>
      <c r="BH2923" s="7"/>
      <c r="BI2923" s="7"/>
      <c r="BJ2923" s="4">
        <v>63</v>
      </c>
      <c r="BK2923" s="8">
        <v>5515.92</v>
      </c>
      <c r="BL2923" s="2" t="s">
        <v>9500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2480</v>
      </c>
      <c r="BV2923" s="2" t="s">
        <v>97</v>
      </c>
      <c r="BW2923" s="2" t="s">
        <v>100</v>
      </c>
      <c r="BX2923" s="2" t="s">
        <v>100</v>
      </c>
      <c r="BY2923" s="2" t="s">
        <v>113</v>
      </c>
      <c r="BZ2923" s="2" t="s">
        <v>100</v>
      </c>
    </row>
    <row r="2924">
      <c r="A2924" s="2" t="s">
        <v>9501</v>
      </c>
      <c r="B2924" s="2" t="s">
        <v>9189</v>
      </c>
      <c r="C2924" s="2" t="s">
        <v>2850</v>
      </c>
      <c r="D2924" s="2" t="s">
        <v>9203</v>
      </c>
      <c r="E2924" s="2" t="s">
        <v>9204</v>
      </c>
      <c r="F2924" s="2" t="s">
        <v>9502</v>
      </c>
      <c r="G2924" s="2" t="s">
        <v>9502</v>
      </c>
      <c r="H2924" s="2" t="s">
        <v>9502</v>
      </c>
      <c r="I2924" s="2" t="s">
        <v>9503</v>
      </c>
      <c r="J2924" s="2" t="s">
        <v>3877</v>
      </c>
      <c r="K2924" s="2" t="s">
        <v>8996</v>
      </c>
      <c r="L2924" s="3">
        <v>113.85</v>
      </c>
      <c r="M2924" s="3">
        <v>119.54</v>
      </c>
      <c r="N2924" s="3">
        <v>249.99</v>
      </c>
      <c r="O2924" s="2" t="s">
        <v>97</v>
      </c>
      <c r="P2924" s="2" t="s">
        <v>372</v>
      </c>
      <c r="Q2924" s="2" t="s">
        <v>99</v>
      </c>
      <c r="R2924" s="2" t="s">
        <v>100</v>
      </c>
      <c r="S2924" s="2" t="s">
        <v>9504</v>
      </c>
      <c r="T2924" s="2" t="s">
        <v>100</v>
      </c>
      <c r="U2924" s="2" t="s">
        <v>100</v>
      </c>
      <c r="V2924" s="2" t="s">
        <v>146</v>
      </c>
      <c r="W2924" s="2" t="s">
        <v>104</v>
      </c>
      <c r="X2924" s="2" t="s">
        <v>100</v>
      </c>
      <c r="Y2924" s="2" t="s">
        <v>7007</v>
      </c>
      <c r="Z2924" s="4">
        <v>278</v>
      </c>
      <c r="AA2924" s="4">
        <f>=ROUNDDOWN(41.4925373134328,0)</f>
      </c>
      <c r="AB2924" s="5">
        <v>6.7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/>
      <c r="AW2924" s="8"/>
      <c r="AX2924" s="4"/>
      <c r="AY2924" s="8"/>
      <c r="AZ2924" s="7"/>
      <c r="BA2924" s="7"/>
      <c r="BB2924" s="7"/>
      <c r="BC2924" s="4"/>
      <c r="BD2924" s="8"/>
      <c r="BE2924" s="4"/>
      <c r="BF2924" s="8"/>
      <c r="BG2924" s="7"/>
      <c r="BH2924" s="7"/>
      <c r="BI2924" s="7"/>
      <c r="BJ2924" s="4">
        <v>196</v>
      </c>
      <c r="BK2924" s="8">
        <v>25506.13</v>
      </c>
      <c r="BL2924" s="2" t="s">
        <v>9505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2480</v>
      </c>
      <c r="BV2924" s="2" t="s">
        <v>97</v>
      </c>
      <c r="BW2924" s="2" t="s">
        <v>100</v>
      </c>
      <c r="BX2924" s="2" t="s">
        <v>100</v>
      </c>
      <c r="BY2924" s="2" t="s">
        <v>113</v>
      </c>
      <c r="BZ2924" s="2" t="s">
        <v>100</v>
      </c>
    </row>
    <row r="2925">
      <c r="A2925" s="2" t="s">
        <v>9506</v>
      </c>
      <c r="B2925" s="2" t="s">
        <v>9189</v>
      </c>
      <c r="C2925" s="2" t="s">
        <v>2850</v>
      </c>
      <c r="D2925" s="2" t="s">
        <v>9203</v>
      </c>
      <c r="E2925" s="2" t="s">
        <v>9204</v>
      </c>
      <c r="F2925" s="2" t="s">
        <v>9507</v>
      </c>
      <c r="G2925" s="2" t="s">
        <v>9507</v>
      </c>
      <c r="H2925" s="2" t="s">
        <v>9507</v>
      </c>
      <c r="I2925" s="2" t="s">
        <v>9508</v>
      </c>
      <c r="J2925" s="2" t="s">
        <v>3877</v>
      </c>
      <c r="K2925" s="2" t="s">
        <v>1614</v>
      </c>
      <c r="L2925" s="3">
        <v>72</v>
      </c>
      <c r="M2925" s="3">
        <v>75.6</v>
      </c>
      <c r="N2925" s="3">
        <v>149.99</v>
      </c>
      <c r="O2925" s="2" t="s">
        <v>97</v>
      </c>
      <c r="P2925" s="2" t="s">
        <v>119</v>
      </c>
      <c r="Q2925" s="2" t="s">
        <v>99</v>
      </c>
      <c r="R2925" s="2" t="s">
        <v>100</v>
      </c>
      <c r="S2925" s="2" t="s">
        <v>9509</v>
      </c>
      <c r="T2925" s="2" t="s">
        <v>100</v>
      </c>
      <c r="U2925" s="2" t="s">
        <v>100</v>
      </c>
      <c r="V2925" s="2" t="s">
        <v>146</v>
      </c>
      <c r="W2925" s="2" t="s">
        <v>561</v>
      </c>
      <c r="X2925" s="2" t="s">
        <v>100</v>
      </c>
      <c r="Y2925" s="2" t="s">
        <v>240</v>
      </c>
      <c r="Z2925" s="4">
        <v>152</v>
      </c>
      <c r="AA2925" s="4">
        <f>=ROUNDDOWN(50.6666666666667,0)</f>
      </c>
      <c r="AB2925" s="5">
        <v>3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/>
      <c r="AW2925" s="8"/>
      <c r="AX2925" s="4"/>
      <c r="AY2925" s="8"/>
      <c r="AZ2925" s="7"/>
      <c r="BA2925" s="7"/>
      <c r="BB2925" s="7"/>
      <c r="BC2925" s="4"/>
      <c r="BD2925" s="8"/>
      <c r="BE2925" s="4"/>
      <c r="BF2925" s="8"/>
      <c r="BG2925" s="7"/>
      <c r="BH2925" s="7"/>
      <c r="BI2925" s="7"/>
      <c r="BJ2925" s="4">
        <v>62</v>
      </c>
      <c r="BK2925" s="8">
        <v>4990.73</v>
      </c>
      <c r="BL2925" s="2" t="s">
        <v>9510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2480</v>
      </c>
      <c r="BV2925" s="2" t="s">
        <v>97</v>
      </c>
      <c r="BW2925" s="2" t="s">
        <v>100</v>
      </c>
      <c r="BX2925" s="2" t="s">
        <v>100</v>
      </c>
      <c r="BY2925" s="2" t="s">
        <v>113</v>
      </c>
      <c r="BZ2925" s="2" t="s">
        <v>100</v>
      </c>
    </row>
    <row r="2926">
      <c r="A2926" s="2" t="s">
        <v>9511</v>
      </c>
      <c r="B2926" s="2" t="s">
        <v>9189</v>
      </c>
      <c r="C2926" s="2" t="s">
        <v>2850</v>
      </c>
      <c r="D2926" s="2" t="s">
        <v>9203</v>
      </c>
      <c r="E2926" s="2" t="s">
        <v>9204</v>
      </c>
      <c r="F2926" s="2" t="s">
        <v>9512</v>
      </c>
      <c r="G2926" s="2" t="s">
        <v>9512</v>
      </c>
      <c r="H2926" s="2" t="s">
        <v>9512</v>
      </c>
      <c r="I2926" s="2" t="s">
        <v>9438</v>
      </c>
      <c r="J2926" s="2" t="s">
        <v>3877</v>
      </c>
      <c r="K2926" s="2" t="s">
        <v>189</v>
      </c>
      <c r="L2926" s="3">
        <v>39.2</v>
      </c>
      <c r="M2926" s="3">
        <v>41.16</v>
      </c>
      <c r="N2926" s="3">
        <v>79.99</v>
      </c>
      <c r="O2926" s="2" t="s">
        <v>97</v>
      </c>
      <c r="P2926" s="2" t="s">
        <v>225</v>
      </c>
      <c r="Q2926" s="2" t="s">
        <v>99</v>
      </c>
      <c r="R2926" s="2" t="s">
        <v>100</v>
      </c>
      <c r="S2926" s="2" t="s">
        <v>100</v>
      </c>
      <c r="T2926" s="2" t="s">
        <v>100</v>
      </c>
      <c r="U2926" s="2" t="s">
        <v>1847</v>
      </c>
      <c r="V2926" s="2" t="s">
        <v>3188</v>
      </c>
      <c r="W2926" s="2" t="s">
        <v>183</v>
      </c>
      <c r="X2926" s="2" t="s">
        <v>561</v>
      </c>
      <c r="Y2926" s="2" t="s">
        <v>3667</v>
      </c>
      <c r="Z2926" s="4">
        <v>73</v>
      </c>
      <c r="AA2926" s="4">
        <f>=ROUNDDOWN(18.25,0)</f>
      </c>
      <c r="AB2926" s="5">
        <v>4</v>
      </c>
      <c r="AC2926" s="2" t="s">
        <v>1516</v>
      </c>
      <c r="AD2926" s="4">
        <v>100</v>
      </c>
      <c r="AE2926" s="4">
        <v>100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/>
      <c r="AW2926" s="8"/>
      <c r="AX2926" s="4"/>
      <c r="AY2926" s="8"/>
      <c r="AZ2926" s="7"/>
      <c r="BA2926" s="7"/>
      <c r="BB2926" s="7"/>
      <c r="BC2926" s="4"/>
      <c r="BD2926" s="8"/>
      <c r="BE2926" s="4"/>
      <c r="BF2926" s="8"/>
      <c r="BG2926" s="7"/>
      <c r="BH2926" s="7"/>
      <c r="BI2926" s="7"/>
      <c r="BJ2926" s="4">
        <v>20</v>
      </c>
      <c r="BK2926" s="8">
        <v>856.98</v>
      </c>
      <c r="BL2926" s="2" t="s">
        <v>3304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2528</v>
      </c>
      <c r="BV2926" s="2" t="s">
        <v>97</v>
      </c>
      <c r="BW2926" s="2" t="s">
        <v>100</v>
      </c>
      <c r="BX2926" s="2" t="s">
        <v>100</v>
      </c>
      <c r="BY2926" s="2" t="s">
        <v>113</v>
      </c>
      <c r="BZ2926" s="2" t="s">
        <v>100</v>
      </c>
    </row>
    <row r="2927">
      <c r="A2927" s="2" t="s">
        <v>9513</v>
      </c>
      <c r="B2927" s="2" t="s">
        <v>9189</v>
      </c>
      <c r="C2927" s="2" t="s">
        <v>2850</v>
      </c>
      <c r="D2927" s="2" t="s">
        <v>9203</v>
      </c>
      <c r="E2927" s="2" t="s">
        <v>9204</v>
      </c>
      <c r="F2927" s="2" t="s">
        <v>9514</v>
      </c>
      <c r="G2927" s="2" t="s">
        <v>9514</v>
      </c>
      <c r="H2927" s="2" t="s">
        <v>9514</v>
      </c>
      <c r="I2927" s="2" t="s">
        <v>9515</v>
      </c>
      <c r="J2927" s="2" t="s">
        <v>3877</v>
      </c>
      <c r="K2927" s="2" t="s">
        <v>9516</v>
      </c>
      <c r="L2927" s="3">
        <v>44.37</v>
      </c>
      <c r="M2927" s="3">
        <v>46.59</v>
      </c>
      <c r="N2927" s="3">
        <v>104.99</v>
      </c>
      <c r="O2927" s="2" t="s">
        <v>97</v>
      </c>
      <c r="P2927" s="2" t="s">
        <v>119</v>
      </c>
      <c r="Q2927" s="2" t="s">
        <v>99</v>
      </c>
      <c r="R2927" s="2" t="s">
        <v>100</v>
      </c>
      <c r="S2927" s="2" t="s">
        <v>100</v>
      </c>
      <c r="T2927" s="2" t="s">
        <v>100</v>
      </c>
      <c r="U2927" s="2" t="s">
        <v>1847</v>
      </c>
      <c r="V2927" s="2" t="s">
        <v>3188</v>
      </c>
      <c r="W2927" s="2" t="s">
        <v>561</v>
      </c>
      <c r="X2927" s="2" t="s">
        <v>1580</v>
      </c>
      <c r="Y2927" s="2" t="s">
        <v>9517</v>
      </c>
      <c r="Z2927" s="4">
        <v>102</v>
      </c>
      <c r="AA2927" s="4">
        <f>=ROUNDDOWN(60,0)</f>
      </c>
      <c r="AB2927" s="5">
        <v>1.7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/>
      <c r="BD2927" s="8"/>
      <c r="BE2927" s="4"/>
      <c r="BF2927" s="8"/>
      <c r="BG2927" s="7"/>
      <c r="BH2927" s="7"/>
      <c r="BI2927" s="7"/>
      <c r="BJ2927" s="4">
        <v>63</v>
      </c>
      <c r="BK2927" s="8">
        <v>3288.26</v>
      </c>
      <c r="BL2927" s="2" t="s">
        <v>9518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2528</v>
      </c>
      <c r="BV2927" s="2" t="s">
        <v>97</v>
      </c>
      <c r="BW2927" s="2" t="s">
        <v>100</v>
      </c>
      <c r="BX2927" s="2" t="s">
        <v>100</v>
      </c>
      <c r="BY2927" s="2" t="s">
        <v>113</v>
      </c>
      <c r="BZ2927" s="2" t="s">
        <v>100</v>
      </c>
    </row>
    <row r="2928">
      <c r="A2928" s="2" t="s">
        <v>9519</v>
      </c>
      <c r="B2928" s="2" t="s">
        <v>9189</v>
      </c>
      <c r="C2928" s="2" t="s">
        <v>2850</v>
      </c>
      <c r="D2928" s="2" t="s">
        <v>9203</v>
      </c>
      <c r="E2928" s="2" t="s">
        <v>9204</v>
      </c>
      <c r="F2928" s="2" t="s">
        <v>9520</v>
      </c>
      <c r="G2928" s="2" t="s">
        <v>9520</v>
      </c>
      <c r="H2928" s="2" t="s">
        <v>9520</v>
      </c>
      <c r="I2928" s="2" t="s">
        <v>9521</v>
      </c>
      <c r="J2928" s="2" t="s">
        <v>3877</v>
      </c>
      <c r="K2928" s="2" t="s">
        <v>189</v>
      </c>
      <c r="L2928" s="3">
        <v>40.5</v>
      </c>
      <c r="M2928" s="3">
        <v>42.53</v>
      </c>
      <c r="N2928" s="3">
        <v>84.99</v>
      </c>
      <c r="O2928" s="2" t="s">
        <v>97</v>
      </c>
      <c r="P2928" s="2" t="s">
        <v>225</v>
      </c>
      <c r="Q2928" s="2" t="s">
        <v>99</v>
      </c>
      <c r="R2928" s="2" t="s">
        <v>100</v>
      </c>
      <c r="S2928" s="2" t="s">
        <v>100</v>
      </c>
      <c r="T2928" s="2" t="s">
        <v>100</v>
      </c>
      <c r="U2928" s="2" t="s">
        <v>1847</v>
      </c>
      <c r="V2928" s="2" t="s">
        <v>3188</v>
      </c>
      <c r="W2928" s="2" t="s">
        <v>561</v>
      </c>
      <c r="X2928" s="2" t="s">
        <v>183</v>
      </c>
      <c r="Y2928" s="2" t="s">
        <v>9522</v>
      </c>
      <c r="Z2928" s="4">
        <v>97</v>
      </c>
      <c r="AA2928" s="4">
        <f>=ROUNDDOWN(97,0)</f>
      </c>
      <c r="AB2928" s="5">
        <v>1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/>
      <c r="AW2928" s="8"/>
      <c r="AX2928" s="4"/>
      <c r="AY2928" s="8"/>
      <c r="AZ2928" s="7"/>
      <c r="BA2928" s="7"/>
      <c r="BB2928" s="7"/>
      <c r="BC2928" s="4"/>
      <c r="BD2928" s="8"/>
      <c r="BE2928" s="4"/>
      <c r="BF2928" s="8"/>
      <c r="BG2928" s="7"/>
      <c r="BH2928" s="7"/>
      <c r="BI2928" s="7"/>
      <c r="BJ2928" s="4">
        <v>3</v>
      </c>
      <c r="BK2928" s="8">
        <v>127.58</v>
      </c>
      <c r="BL2928" s="2" t="s">
        <v>8944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2528</v>
      </c>
      <c r="BV2928" s="2" t="s">
        <v>97</v>
      </c>
      <c r="BW2928" s="2" t="s">
        <v>100</v>
      </c>
      <c r="BX2928" s="2" t="s">
        <v>100</v>
      </c>
      <c r="BY2928" s="2" t="s">
        <v>113</v>
      </c>
      <c r="BZ2928" s="2" t="s">
        <v>100</v>
      </c>
    </row>
    <row r="2929">
      <c r="A2929" s="2" t="s">
        <v>9523</v>
      </c>
      <c r="B2929" s="2" t="s">
        <v>9189</v>
      </c>
      <c r="C2929" s="2" t="s">
        <v>2850</v>
      </c>
      <c r="D2929" s="2" t="s">
        <v>9203</v>
      </c>
      <c r="E2929" s="2" t="s">
        <v>9204</v>
      </c>
      <c r="F2929" s="2" t="s">
        <v>9524</v>
      </c>
      <c r="G2929" s="2" t="s">
        <v>9524</v>
      </c>
      <c r="H2929" s="2" t="s">
        <v>9524</v>
      </c>
      <c r="I2929" s="2" t="s">
        <v>9525</v>
      </c>
      <c r="J2929" s="2" t="s">
        <v>3877</v>
      </c>
      <c r="K2929" s="2" t="s">
        <v>198</v>
      </c>
      <c r="L2929" s="3">
        <v>38.4</v>
      </c>
      <c r="M2929" s="3">
        <v>40.32</v>
      </c>
      <c r="N2929" s="3">
        <v>79.99</v>
      </c>
      <c r="O2929" s="2" t="s">
        <v>97</v>
      </c>
      <c r="P2929" s="2" t="s">
        <v>225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1847</v>
      </c>
      <c r="V2929" s="2" t="s">
        <v>3188</v>
      </c>
      <c r="W2929" s="2" t="s">
        <v>9444</v>
      </c>
      <c r="X2929" s="2" t="s">
        <v>561</v>
      </c>
      <c r="Y2929" s="2" t="s">
        <v>3205</v>
      </c>
      <c r="Z2929" s="4">
        <v>79</v>
      </c>
      <c r="AA2929" s="4">
        <f>=ROUNDDOWN(79,0)</f>
      </c>
      <c r="AB2929" s="5">
        <v>1</v>
      </c>
      <c r="AC2929" s="2" t="s">
        <v>100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/>
      <c r="BD2929" s="8"/>
      <c r="BE2929" s="4"/>
      <c r="BF2929" s="8"/>
      <c r="BG2929" s="7"/>
      <c r="BH2929" s="7"/>
      <c r="BI2929" s="7"/>
      <c r="BJ2929" s="4">
        <v>9</v>
      </c>
      <c r="BK2929" s="8">
        <v>383.84</v>
      </c>
      <c r="BL2929" s="2" t="s">
        <v>9526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2528</v>
      </c>
      <c r="BV2929" s="2" t="s">
        <v>97</v>
      </c>
      <c r="BW2929" s="2" t="s">
        <v>100</v>
      </c>
      <c r="BX2929" s="2" t="s">
        <v>100</v>
      </c>
      <c r="BY2929" s="2" t="s">
        <v>113</v>
      </c>
      <c r="BZ2929" s="2" t="s">
        <v>100</v>
      </c>
    </row>
    <row r="2930">
      <c r="A2930" s="2" t="s">
        <v>9527</v>
      </c>
      <c r="B2930" s="2" t="s">
        <v>9189</v>
      </c>
      <c r="C2930" s="2" t="s">
        <v>4347</v>
      </c>
      <c r="D2930" s="2" t="s">
        <v>9190</v>
      </c>
      <c r="E2930" s="2" t="s">
        <v>9191</v>
      </c>
      <c r="F2930" s="2" t="s">
        <v>9528</v>
      </c>
      <c r="G2930" s="2" t="s">
        <v>9528</v>
      </c>
      <c r="H2930" s="2" t="s">
        <v>9528</v>
      </c>
      <c r="I2930" s="2" t="s">
        <v>9529</v>
      </c>
      <c r="J2930" s="2" t="s">
        <v>3877</v>
      </c>
      <c r="K2930" s="2" t="s">
        <v>9325</v>
      </c>
      <c r="L2930" s="3">
        <v>57.5</v>
      </c>
      <c r="M2930" s="3">
        <v>60.38</v>
      </c>
      <c r="N2930" s="3">
        <v>119.99</v>
      </c>
      <c r="O2930" s="2" t="s">
        <v>97</v>
      </c>
      <c r="P2930" s="2" t="s">
        <v>372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1847</v>
      </c>
      <c r="V2930" s="2" t="s">
        <v>3188</v>
      </c>
      <c r="W2930" s="2" t="s">
        <v>309</v>
      </c>
      <c r="X2930" s="2" t="s">
        <v>4378</v>
      </c>
      <c r="Y2930" s="2" t="s">
        <v>9530</v>
      </c>
      <c r="Z2930" s="4">
        <v>115</v>
      </c>
      <c r="AA2930" s="4">
        <f>=ROUNDDOWN(7.66666666666667,0)</f>
      </c>
      <c r="AB2930" s="5">
        <v>15</v>
      </c>
      <c r="AC2930" s="2" t="s">
        <v>5126</v>
      </c>
      <c r="AD2930" s="4">
        <v>150</v>
      </c>
      <c r="AE2930" s="4">
        <v>400</v>
      </c>
      <c r="AF2930" s="6">
        <v>63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/>
      <c r="BD2930" s="8"/>
      <c r="BE2930" s="4"/>
      <c r="BF2930" s="8"/>
      <c r="BG2930" s="7"/>
      <c r="BH2930" s="7"/>
      <c r="BI2930" s="7"/>
      <c r="BJ2930" s="4">
        <v>370</v>
      </c>
      <c r="BK2930" s="8">
        <v>23895.43</v>
      </c>
      <c r="BL2930" s="2" t="s">
        <v>9531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2528</v>
      </c>
      <c r="BV2930" s="2" t="s">
        <v>97</v>
      </c>
      <c r="BW2930" s="2" t="s">
        <v>100</v>
      </c>
      <c r="BX2930" s="2" t="s">
        <v>100</v>
      </c>
      <c r="BY2930" s="2" t="s">
        <v>113</v>
      </c>
      <c r="BZ2930" s="2" t="s">
        <v>100</v>
      </c>
    </row>
    <row r="2931">
      <c r="A2931" s="2" t="s">
        <v>9532</v>
      </c>
      <c r="B2931" s="2" t="s">
        <v>9189</v>
      </c>
      <c r="C2931" s="2" t="s">
        <v>4347</v>
      </c>
      <c r="D2931" s="2" t="s">
        <v>9190</v>
      </c>
      <c r="E2931" s="2" t="s">
        <v>9191</v>
      </c>
      <c r="F2931" s="2" t="s">
        <v>9533</v>
      </c>
      <c r="G2931" s="2" t="s">
        <v>9533</v>
      </c>
      <c r="H2931" s="2" t="s">
        <v>9533</v>
      </c>
      <c r="I2931" s="2" t="s">
        <v>9534</v>
      </c>
      <c r="J2931" s="2" t="s">
        <v>3877</v>
      </c>
      <c r="K2931" s="2" t="s">
        <v>9330</v>
      </c>
      <c r="L2931" s="3">
        <v>79.49</v>
      </c>
      <c r="M2931" s="3">
        <v>83.46</v>
      </c>
      <c r="N2931" s="3">
        <v>184.99</v>
      </c>
      <c r="O2931" s="2" t="s">
        <v>97</v>
      </c>
      <c r="P2931" s="2" t="s">
        <v>98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100</v>
      </c>
      <c r="V2931" s="2" t="s">
        <v>3188</v>
      </c>
      <c r="W2931" s="2" t="s">
        <v>561</v>
      </c>
      <c r="X2931" s="2" t="s">
        <v>4351</v>
      </c>
      <c r="Y2931" s="2" t="s">
        <v>5564</v>
      </c>
      <c r="Z2931" s="4">
        <v>178</v>
      </c>
      <c r="AA2931" s="4">
        <f>=ROUNDDOWN(35.6,0)</f>
      </c>
      <c r="AB2931" s="5">
        <v>5</v>
      </c>
      <c r="AC2931" s="2" t="s">
        <v>100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/>
      <c r="BD2931" s="8"/>
      <c r="BE2931" s="4"/>
      <c r="BF2931" s="8"/>
      <c r="BG2931" s="7"/>
      <c r="BH2931" s="7"/>
      <c r="BI2931" s="7"/>
      <c r="BJ2931" s="4">
        <v>150</v>
      </c>
      <c r="BK2931" s="8">
        <v>13461.92</v>
      </c>
      <c r="BL2931" s="2" t="s">
        <v>9535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2528</v>
      </c>
      <c r="BV2931" s="2" t="s">
        <v>97</v>
      </c>
      <c r="BW2931" s="2" t="s">
        <v>100</v>
      </c>
      <c r="BX2931" s="2" t="s">
        <v>100</v>
      </c>
      <c r="BY2931" s="2" t="s">
        <v>113</v>
      </c>
      <c r="BZ2931" s="2" t="s">
        <v>100</v>
      </c>
    </row>
    <row r="2932">
      <c r="A2932" s="2" t="s">
        <v>9536</v>
      </c>
      <c r="B2932" s="2" t="s">
        <v>9189</v>
      </c>
      <c r="C2932" s="2" t="s">
        <v>4347</v>
      </c>
      <c r="D2932" s="2" t="s">
        <v>9203</v>
      </c>
      <c r="E2932" s="2" t="s">
        <v>9204</v>
      </c>
      <c r="F2932" s="2" t="s">
        <v>9528</v>
      </c>
      <c r="G2932" s="2" t="s">
        <v>9528</v>
      </c>
      <c r="H2932" s="2" t="s">
        <v>9528</v>
      </c>
      <c r="I2932" s="2" t="s">
        <v>9537</v>
      </c>
      <c r="J2932" s="2" t="s">
        <v>3877</v>
      </c>
      <c r="K2932" s="2" t="s">
        <v>9325</v>
      </c>
      <c r="L2932" s="3">
        <v>39.85</v>
      </c>
      <c r="M2932" s="3">
        <v>41.84</v>
      </c>
      <c r="N2932" s="3">
        <v>79.99</v>
      </c>
      <c r="O2932" s="2" t="s">
        <v>97</v>
      </c>
      <c r="P2932" s="2" t="s">
        <v>119</v>
      </c>
      <c r="Q2932" s="2" t="s">
        <v>99</v>
      </c>
      <c r="R2932" s="2" t="s">
        <v>100</v>
      </c>
      <c r="S2932" s="2" t="s">
        <v>100</v>
      </c>
      <c r="T2932" s="2" t="s">
        <v>100</v>
      </c>
      <c r="U2932" s="2" t="s">
        <v>1847</v>
      </c>
      <c r="V2932" s="2" t="s">
        <v>3188</v>
      </c>
      <c r="W2932" s="2" t="s">
        <v>309</v>
      </c>
      <c r="X2932" s="2" t="s">
        <v>4378</v>
      </c>
      <c r="Y2932" s="2" t="s">
        <v>9066</v>
      </c>
      <c r="Z2932" s="4">
        <v>110</v>
      </c>
      <c r="AA2932" s="4">
        <f>=ROUNDDOWN(36.6666666666667,0)</f>
      </c>
      <c r="AB2932" s="5">
        <v>3</v>
      </c>
      <c r="AC2932" s="2" t="s">
        <v>320</v>
      </c>
      <c r="AD2932" s="4">
        <v>100</v>
      </c>
      <c r="AE2932" s="4">
        <v>100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/>
      <c r="BD2932" s="8"/>
      <c r="BE2932" s="4"/>
      <c r="BF2932" s="8"/>
      <c r="BG2932" s="7"/>
      <c r="BH2932" s="7"/>
      <c r="BI2932" s="7"/>
      <c r="BJ2932" s="4">
        <v>80</v>
      </c>
      <c r="BK2932" s="8">
        <v>3770.31</v>
      </c>
      <c r="BL2932" s="2" t="s">
        <v>9538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2528</v>
      </c>
      <c r="BV2932" s="2" t="s">
        <v>97</v>
      </c>
      <c r="BW2932" s="2" t="s">
        <v>100</v>
      </c>
      <c r="BX2932" s="2" t="s">
        <v>100</v>
      </c>
      <c r="BY2932" s="2" t="s">
        <v>113</v>
      </c>
      <c r="BZ2932" s="2" t="s">
        <v>100</v>
      </c>
    </row>
    <row r="2933">
      <c r="A2933" s="2" t="s">
        <v>9539</v>
      </c>
      <c r="B2933" s="2" t="s">
        <v>9189</v>
      </c>
      <c r="C2933" s="2" t="s">
        <v>4347</v>
      </c>
      <c r="D2933" s="2" t="s">
        <v>9203</v>
      </c>
      <c r="E2933" s="2" t="s">
        <v>9204</v>
      </c>
      <c r="F2933" s="2" t="s">
        <v>9540</v>
      </c>
      <c r="G2933" s="2" t="s">
        <v>9540</v>
      </c>
      <c r="H2933" s="2" t="s">
        <v>9540</v>
      </c>
      <c r="I2933" s="2" t="s">
        <v>9274</v>
      </c>
      <c r="J2933" s="2" t="s">
        <v>3877</v>
      </c>
      <c r="K2933" s="2" t="s">
        <v>335</v>
      </c>
      <c r="L2933" s="3">
        <v>43.99</v>
      </c>
      <c r="M2933" s="3">
        <v>46.19</v>
      </c>
      <c r="N2933" s="3">
        <v>99.99</v>
      </c>
      <c r="O2933" s="2" t="s">
        <v>97</v>
      </c>
      <c r="P2933" s="2" t="s">
        <v>119</v>
      </c>
      <c r="Q2933" s="2" t="s">
        <v>99</v>
      </c>
      <c r="R2933" s="2" t="s">
        <v>100</v>
      </c>
      <c r="S2933" s="2" t="s">
        <v>100</v>
      </c>
      <c r="T2933" s="2" t="s">
        <v>100</v>
      </c>
      <c r="U2933" s="2" t="s">
        <v>1847</v>
      </c>
      <c r="V2933" s="2" t="s">
        <v>3188</v>
      </c>
      <c r="W2933" s="2" t="s">
        <v>561</v>
      </c>
      <c r="X2933" s="2" t="s">
        <v>4351</v>
      </c>
      <c r="Y2933" s="2" t="s">
        <v>6438</v>
      </c>
      <c r="Z2933" s="4">
        <v>227</v>
      </c>
      <c r="AA2933" s="4">
        <f>=ROUNDDOWN(37.8333333333333,0)</f>
      </c>
      <c r="AB2933" s="5">
        <v>6</v>
      </c>
      <c r="AC2933" s="2" t="s">
        <v>100</v>
      </c>
      <c r="AD2933" s="4"/>
      <c r="AE2933" s="4"/>
      <c r="AF2933" s="6">
        <v>65</v>
      </c>
      <c r="AG2933" s="6"/>
      <c r="AH2933" s="7">
        <v>0.877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/>
      <c r="BD2933" s="8"/>
      <c r="BE2933" s="4"/>
      <c r="BF2933" s="8"/>
      <c r="BG2933" s="7"/>
      <c r="BH2933" s="7"/>
      <c r="BI2933" s="7"/>
      <c r="BJ2933" s="4">
        <v>136</v>
      </c>
      <c r="BK2933" s="8">
        <v>6298.64</v>
      </c>
      <c r="BL2933" s="2" t="s">
        <v>9541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2528</v>
      </c>
      <c r="BV2933" s="2" t="s">
        <v>97</v>
      </c>
      <c r="BW2933" s="2" t="s">
        <v>100</v>
      </c>
      <c r="BX2933" s="2" t="s">
        <v>100</v>
      </c>
      <c r="BY2933" s="2" t="s">
        <v>113</v>
      </c>
      <c r="BZ2933" s="2" t="s">
        <v>100</v>
      </c>
    </row>
    <row r="2934">
      <c r="A2934" s="2" t="s">
        <v>9542</v>
      </c>
      <c r="B2934" s="2" t="s">
        <v>9189</v>
      </c>
      <c r="C2934" s="2" t="s">
        <v>4347</v>
      </c>
      <c r="D2934" s="2" t="s">
        <v>9203</v>
      </c>
      <c r="E2934" s="2" t="s">
        <v>9204</v>
      </c>
      <c r="F2934" s="2" t="s">
        <v>1976</v>
      </c>
      <c r="G2934" s="2" t="s">
        <v>1976</v>
      </c>
      <c r="H2934" s="2" t="s">
        <v>1976</v>
      </c>
      <c r="I2934" s="2" t="s">
        <v>9543</v>
      </c>
      <c r="J2934" s="2" t="s">
        <v>3877</v>
      </c>
      <c r="K2934" s="2" t="s">
        <v>198</v>
      </c>
      <c r="L2934" s="3">
        <v>41.94</v>
      </c>
      <c r="M2934" s="3">
        <v>44.04</v>
      </c>
      <c r="N2934" s="3">
        <v>89.99</v>
      </c>
      <c r="O2934" s="2" t="s">
        <v>97</v>
      </c>
      <c r="P2934" s="2" t="s">
        <v>119</v>
      </c>
      <c r="Q2934" s="2" t="s">
        <v>99</v>
      </c>
      <c r="R2934" s="2" t="s">
        <v>100</v>
      </c>
      <c r="S2934" s="2" t="s">
        <v>100</v>
      </c>
      <c r="T2934" s="2" t="s">
        <v>100</v>
      </c>
      <c r="U2934" s="2" t="s">
        <v>1847</v>
      </c>
      <c r="V2934" s="2" t="s">
        <v>3188</v>
      </c>
      <c r="W2934" s="2" t="s">
        <v>561</v>
      </c>
      <c r="X2934" s="2" t="s">
        <v>4351</v>
      </c>
      <c r="Y2934" s="2" t="s">
        <v>9544</v>
      </c>
      <c r="Z2934" s="4">
        <v>170</v>
      </c>
      <c r="AA2934" s="4">
        <f>=ROUNDDOWN(53.125,0)</f>
      </c>
      <c r="AB2934" s="5">
        <v>3.2</v>
      </c>
      <c r="AC2934" s="2" t="s">
        <v>100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/>
      <c r="BD2934" s="8"/>
      <c r="BE2934" s="4"/>
      <c r="BF2934" s="8"/>
      <c r="BG2934" s="7"/>
      <c r="BH2934" s="7"/>
      <c r="BI2934" s="7"/>
      <c r="BJ2934" s="4">
        <v>122</v>
      </c>
      <c r="BK2934" s="8">
        <v>5622.7</v>
      </c>
      <c r="BL2934" s="2" t="s">
        <v>9541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2528</v>
      </c>
      <c r="BV2934" s="2" t="s">
        <v>97</v>
      </c>
      <c r="BW2934" s="2" t="s">
        <v>100</v>
      </c>
      <c r="BX2934" s="2" t="s">
        <v>100</v>
      </c>
      <c r="BY2934" s="2" t="s">
        <v>113</v>
      </c>
      <c r="BZ2934" s="2" t="s">
        <v>100</v>
      </c>
    </row>
    <row r="2935">
      <c r="A2935" s="2" t="s">
        <v>9545</v>
      </c>
      <c r="B2935" s="2" t="s">
        <v>9189</v>
      </c>
      <c r="C2935" s="2" t="s">
        <v>4347</v>
      </c>
      <c r="D2935" s="2" t="s">
        <v>9203</v>
      </c>
      <c r="E2935" s="2" t="s">
        <v>9204</v>
      </c>
      <c r="F2935" s="2" t="s">
        <v>9546</v>
      </c>
      <c r="G2935" s="2" t="s">
        <v>9546</v>
      </c>
      <c r="H2935" s="2" t="s">
        <v>9546</v>
      </c>
      <c r="I2935" s="2" t="s">
        <v>9547</v>
      </c>
      <c r="J2935" s="2" t="s">
        <v>3877</v>
      </c>
      <c r="K2935" s="2" t="s">
        <v>9449</v>
      </c>
      <c r="L2935" s="3">
        <v>48.75</v>
      </c>
      <c r="M2935" s="3">
        <v>51.19</v>
      </c>
      <c r="N2935" s="3">
        <v>99.99</v>
      </c>
      <c r="O2935" s="2" t="s">
        <v>97</v>
      </c>
      <c r="P2935" s="2" t="s">
        <v>119</v>
      </c>
      <c r="Q2935" s="2" t="s">
        <v>99</v>
      </c>
      <c r="R2935" s="2" t="s">
        <v>100</v>
      </c>
      <c r="S2935" s="2" t="s">
        <v>100</v>
      </c>
      <c r="T2935" s="2" t="s">
        <v>100</v>
      </c>
      <c r="U2935" s="2" t="s">
        <v>1847</v>
      </c>
      <c r="V2935" s="2" t="s">
        <v>3188</v>
      </c>
      <c r="W2935" s="2" t="s">
        <v>561</v>
      </c>
      <c r="X2935" s="2" t="s">
        <v>4351</v>
      </c>
      <c r="Y2935" s="2" t="s">
        <v>9548</v>
      </c>
      <c r="Z2935" s="4">
        <v>19</v>
      </c>
      <c r="AA2935" s="4">
        <f>=ROUNDDOWN(9.5,0)</f>
      </c>
      <c r="AB2935" s="5">
        <v>2</v>
      </c>
      <c r="AC2935" s="2" t="s">
        <v>5126</v>
      </c>
      <c r="AD2935" s="4">
        <v>100</v>
      </c>
      <c r="AE2935" s="4">
        <v>100</v>
      </c>
      <c r="AF2935" s="6">
        <v>63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/>
      <c r="BD2935" s="8"/>
      <c r="BE2935" s="4"/>
      <c r="BF2935" s="8"/>
      <c r="BG2935" s="7"/>
      <c r="BH2935" s="7"/>
      <c r="BI2935" s="7"/>
      <c r="BJ2935" s="4">
        <v>46</v>
      </c>
      <c r="BK2935" s="8">
        <v>2533.02</v>
      </c>
      <c r="BL2935" s="2" t="s">
        <v>9549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2528</v>
      </c>
      <c r="BV2935" s="2" t="s">
        <v>97</v>
      </c>
      <c r="BW2935" s="2" t="s">
        <v>100</v>
      </c>
      <c r="BX2935" s="2" t="s">
        <v>100</v>
      </c>
      <c r="BY2935" s="2" t="s">
        <v>113</v>
      </c>
      <c r="BZ2935" s="2" t="s">
        <v>100</v>
      </c>
    </row>
    <row r="2936">
      <c r="A2936" s="2" t="s">
        <v>9550</v>
      </c>
      <c r="B2936" s="2" t="s">
        <v>9189</v>
      </c>
      <c r="C2936" s="2" t="s">
        <v>4347</v>
      </c>
      <c r="D2936" s="2" t="s">
        <v>9203</v>
      </c>
      <c r="E2936" s="2" t="s">
        <v>9204</v>
      </c>
      <c r="F2936" s="2" t="s">
        <v>9551</v>
      </c>
      <c r="G2936" s="2" t="s">
        <v>9551</v>
      </c>
      <c r="H2936" s="2" t="s">
        <v>9551</v>
      </c>
      <c r="I2936" s="2" t="s">
        <v>9438</v>
      </c>
      <c r="J2936" s="2" t="s">
        <v>3877</v>
      </c>
      <c r="K2936" s="2" t="s">
        <v>189</v>
      </c>
      <c r="L2936" s="3">
        <v>64.06</v>
      </c>
      <c r="M2936" s="3">
        <v>67.26</v>
      </c>
      <c r="N2936" s="3">
        <v>139.99</v>
      </c>
      <c r="O2936" s="2" t="s">
        <v>97</v>
      </c>
      <c r="P2936" s="2" t="s">
        <v>119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100</v>
      </c>
      <c r="V2936" s="2" t="s">
        <v>146</v>
      </c>
      <c r="W2936" s="2" t="s">
        <v>104</v>
      </c>
      <c r="X2936" s="2" t="s">
        <v>4378</v>
      </c>
      <c r="Y2936" s="2" t="s">
        <v>9552</v>
      </c>
      <c r="Z2936" s="4">
        <v>2</v>
      </c>
      <c r="AA2936" s="4">
        <f>=ROUNDDOWN(0.666666666666667,0)</f>
      </c>
      <c r="AB2936" s="5">
        <v>3</v>
      </c>
      <c r="AC2936" s="2" t="s">
        <v>107</v>
      </c>
      <c r="AD2936" s="4">
        <v>100</v>
      </c>
      <c r="AE2936" s="4">
        <v>100</v>
      </c>
      <c r="AF2936" s="6">
        <v>65</v>
      </c>
      <c r="AG2936" s="6"/>
      <c r="AH2936" s="7">
        <v>0.7166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/>
      <c r="BD2936" s="8"/>
      <c r="BE2936" s="4"/>
      <c r="BF2936" s="8"/>
      <c r="BG2936" s="7"/>
      <c r="BH2936" s="7"/>
      <c r="BI2936" s="7"/>
      <c r="BJ2936" s="4">
        <v>46</v>
      </c>
      <c r="BK2936" s="8">
        <v>3229.12</v>
      </c>
      <c r="BL2936" s="2" t="s">
        <v>1738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2528</v>
      </c>
      <c r="BV2936" s="2" t="s">
        <v>97</v>
      </c>
      <c r="BW2936" s="2" t="s">
        <v>100</v>
      </c>
      <c r="BX2936" s="2" t="s">
        <v>100</v>
      </c>
      <c r="BY2936" s="2" t="s">
        <v>113</v>
      </c>
      <c r="BZ2936" s="2" t="s">
        <v>100</v>
      </c>
    </row>
    <row r="2937">
      <c r="A2937" s="2" t="s">
        <v>9553</v>
      </c>
      <c r="B2937" s="2" t="s">
        <v>9189</v>
      </c>
      <c r="C2937" s="2" t="s">
        <v>4347</v>
      </c>
      <c r="D2937" s="2" t="s">
        <v>9203</v>
      </c>
      <c r="E2937" s="2" t="s">
        <v>9204</v>
      </c>
      <c r="F2937" s="2" t="s">
        <v>9554</v>
      </c>
      <c r="G2937" s="2" t="s">
        <v>9554</v>
      </c>
      <c r="H2937" s="2" t="s">
        <v>9554</v>
      </c>
      <c r="I2937" s="2" t="s">
        <v>9555</v>
      </c>
      <c r="J2937" s="2" t="s">
        <v>3877</v>
      </c>
      <c r="K2937" s="2" t="s">
        <v>118</v>
      </c>
      <c r="L2937" s="3">
        <v>63</v>
      </c>
      <c r="M2937" s="3">
        <v>66.15</v>
      </c>
      <c r="N2937" s="3">
        <v>129.99</v>
      </c>
      <c r="O2937" s="2" t="s">
        <v>97</v>
      </c>
      <c r="P2937" s="2" t="s">
        <v>119</v>
      </c>
      <c r="Q2937" s="2" t="s">
        <v>99</v>
      </c>
      <c r="R2937" s="2" t="s">
        <v>100</v>
      </c>
      <c r="S2937" s="2" t="s">
        <v>100</v>
      </c>
      <c r="T2937" s="2" t="s">
        <v>100</v>
      </c>
      <c r="U2937" s="2" t="s">
        <v>1847</v>
      </c>
      <c r="V2937" s="2" t="s">
        <v>3188</v>
      </c>
      <c r="W2937" s="2" t="s">
        <v>4366</v>
      </c>
      <c r="X2937" s="2" t="s">
        <v>239</v>
      </c>
      <c r="Y2937" s="2" t="s">
        <v>3614</v>
      </c>
      <c r="Z2937" s="4">
        <v>11</v>
      </c>
      <c r="AA2937" s="4">
        <f>=ROUNDDOWN(2.5,0)</f>
      </c>
      <c r="AB2937" s="5">
        <v>4.4</v>
      </c>
      <c r="AC2937" s="2" t="s">
        <v>5126</v>
      </c>
      <c r="AD2937" s="4">
        <v>100</v>
      </c>
      <c r="AE2937" s="4">
        <v>100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/>
      <c r="BD2937" s="8"/>
      <c r="BE2937" s="4"/>
      <c r="BF2937" s="8"/>
      <c r="BG2937" s="7"/>
      <c r="BH2937" s="7"/>
      <c r="BI2937" s="7"/>
      <c r="BJ2937" s="4">
        <v>84</v>
      </c>
      <c r="BK2937" s="8">
        <v>5936.45</v>
      </c>
      <c r="BL2937" s="2" t="s">
        <v>1472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2528</v>
      </c>
      <c r="BV2937" s="2" t="s">
        <v>97</v>
      </c>
      <c r="BW2937" s="2" t="s">
        <v>100</v>
      </c>
      <c r="BX2937" s="2" t="s">
        <v>100</v>
      </c>
      <c r="BY2937" s="2" t="s">
        <v>113</v>
      </c>
      <c r="BZ2937" s="2" t="s">
        <v>100</v>
      </c>
    </row>
    <row r="2938">
      <c r="A2938" s="2" t="s">
        <v>9556</v>
      </c>
      <c r="B2938" s="2" t="s">
        <v>9557</v>
      </c>
      <c r="C2938" s="2" t="s">
        <v>9558</v>
      </c>
      <c r="D2938" s="2" t="s">
        <v>9559</v>
      </c>
      <c r="E2938" s="2" t="s">
        <v>9560</v>
      </c>
      <c r="F2938" s="2" t="s">
        <v>9561</v>
      </c>
      <c r="G2938" s="2" t="s">
        <v>9561</v>
      </c>
      <c r="H2938" s="2" t="s">
        <v>9561</v>
      </c>
      <c r="I2938" s="2" t="s">
        <v>9562</v>
      </c>
      <c r="J2938" s="2" t="s">
        <v>9563</v>
      </c>
      <c r="K2938" s="2" t="s">
        <v>9562</v>
      </c>
      <c r="L2938" s="3">
        <v>7.42</v>
      </c>
      <c r="M2938" s="3">
        <v>7.79</v>
      </c>
      <c r="N2938" s="3">
        <v>15.99</v>
      </c>
      <c r="O2938" s="2" t="s">
        <v>97</v>
      </c>
      <c r="P2938" s="2" t="s">
        <v>119</v>
      </c>
      <c r="Q2938" s="2" t="s">
        <v>99</v>
      </c>
      <c r="R2938" s="2" t="s">
        <v>100</v>
      </c>
      <c r="S2938" s="2" t="s">
        <v>100</v>
      </c>
      <c r="T2938" s="2" t="s">
        <v>100</v>
      </c>
      <c r="U2938" s="2" t="s">
        <v>1847</v>
      </c>
      <c r="V2938" s="2" t="s">
        <v>3188</v>
      </c>
      <c r="W2938" s="2" t="s">
        <v>183</v>
      </c>
      <c r="X2938" s="2" t="s">
        <v>100</v>
      </c>
      <c r="Y2938" s="2" t="s">
        <v>9564</v>
      </c>
      <c r="Z2938" s="4">
        <v>158</v>
      </c>
      <c r="AA2938" s="4">
        <f>=ROUNDDOWN(6.32,0)</f>
      </c>
      <c r="AB2938" s="5">
        <v>25</v>
      </c>
      <c r="AC2938" s="2" t="s">
        <v>205</v>
      </c>
      <c r="AD2938" s="4">
        <v>1200</v>
      </c>
      <c r="AE2938" s="4">
        <v>1200</v>
      </c>
      <c r="AF2938" s="6">
        <v>65</v>
      </c>
      <c r="AG2938" s="6"/>
      <c r="AH2938" s="7">
        <v>0.877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>
        <v>734</v>
      </c>
      <c r="BK2938" s="8">
        <v>8103.36</v>
      </c>
      <c r="BL2938" s="2" t="s">
        <v>9565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2480</v>
      </c>
      <c r="BV2938" s="2" t="s">
        <v>97</v>
      </c>
      <c r="BW2938" s="2" t="s">
        <v>100</v>
      </c>
      <c r="BX2938" s="2" t="s">
        <v>100</v>
      </c>
      <c r="BY2938" s="2" t="s">
        <v>113</v>
      </c>
      <c r="BZ2938" s="2" t="s">
        <v>100</v>
      </c>
    </row>
    <row r="2939">
      <c r="A2939" s="2" t="s">
        <v>9566</v>
      </c>
      <c r="B2939" s="2" t="s">
        <v>9557</v>
      </c>
      <c r="C2939" s="2" t="s">
        <v>9558</v>
      </c>
      <c r="D2939" s="2" t="s">
        <v>9559</v>
      </c>
      <c r="E2939" s="2" t="s">
        <v>9560</v>
      </c>
      <c r="F2939" s="2" t="s">
        <v>9561</v>
      </c>
      <c r="G2939" s="2" t="s">
        <v>9561</v>
      </c>
      <c r="H2939" s="2" t="s">
        <v>9561</v>
      </c>
      <c r="I2939" s="2" t="s">
        <v>9567</v>
      </c>
      <c r="J2939" s="2" t="s">
        <v>3877</v>
      </c>
      <c r="K2939" s="2" t="s">
        <v>9568</v>
      </c>
      <c r="L2939" s="3">
        <v>10.39</v>
      </c>
      <c r="M2939" s="3">
        <v>10.91</v>
      </c>
      <c r="N2939" s="3">
        <v>18.99</v>
      </c>
      <c r="O2939" s="2" t="s">
        <v>97</v>
      </c>
      <c r="P2939" s="2" t="s">
        <v>119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514</v>
      </c>
      <c r="V2939" s="2" t="s">
        <v>3188</v>
      </c>
      <c r="W2939" s="2" t="s">
        <v>183</v>
      </c>
      <c r="X2939" s="2" t="s">
        <v>100</v>
      </c>
      <c r="Y2939" s="2" t="s">
        <v>9569</v>
      </c>
      <c r="Z2939" s="4">
        <v>607</v>
      </c>
      <c r="AA2939" s="4">
        <f>=ROUNDDOWN(303.5,0)</f>
      </c>
      <c r="AB2939" s="5">
        <v>2</v>
      </c>
      <c r="AC2939" s="2" t="s">
        <v>100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/>
      <c r="AW2939" s="8"/>
      <c r="AX2939" s="4"/>
      <c r="AY2939" s="8"/>
      <c r="AZ2939" s="7"/>
      <c r="BA2939" s="7"/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/>
      <c r="BJ2939" s="4">
        <v>11</v>
      </c>
      <c r="BK2939" s="8">
        <v>129</v>
      </c>
      <c r="BL2939" s="2" t="s">
        <v>9570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2480</v>
      </c>
      <c r="BV2939" s="2" t="s">
        <v>97</v>
      </c>
      <c r="BW2939" s="2" t="s">
        <v>100</v>
      </c>
      <c r="BX2939" s="2" t="s">
        <v>100</v>
      </c>
      <c r="BY2939" s="2" t="s">
        <v>113</v>
      </c>
      <c r="BZ2939" s="2" t="s">
        <v>100</v>
      </c>
    </row>
    <row r="2940">
      <c r="A2940" s="2" t="s">
        <v>9571</v>
      </c>
      <c r="B2940" s="2" t="s">
        <v>9557</v>
      </c>
      <c r="C2940" s="2" t="s">
        <v>9558</v>
      </c>
      <c r="D2940" s="2" t="s">
        <v>9559</v>
      </c>
      <c r="E2940" s="2" t="s">
        <v>9560</v>
      </c>
      <c r="F2940" s="2" t="s">
        <v>9561</v>
      </c>
      <c r="G2940" s="2" t="s">
        <v>9561</v>
      </c>
      <c r="H2940" s="2" t="s">
        <v>9561</v>
      </c>
      <c r="I2940" s="2" t="s">
        <v>9572</v>
      </c>
      <c r="J2940" s="2" t="s">
        <v>3877</v>
      </c>
      <c r="K2940" s="2" t="s">
        <v>324</v>
      </c>
      <c r="L2940" s="3">
        <v>6.36</v>
      </c>
      <c r="M2940" s="3">
        <v>6.68</v>
      </c>
      <c r="N2940" s="3">
        <v>12.99</v>
      </c>
      <c r="O2940" s="2" t="s">
        <v>97</v>
      </c>
      <c r="P2940" s="2" t="s">
        <v>119</v>
      </c>
      <c r="Q2940" s="2" t="s">
        <v>99</v>
      </c>
      <c r="R2940" s="2" t="s">
        <v>100</v>
      </c>
      <c r="S2940" s="2" t="s">
        <v>100</v>
      </c>
      <c r="T2940" s="2" t="s">
        <v>100</v>
      </c>
      <c r="U2940" s="2" t="s">
        <v>1847</v>
      </c>
      <c r="V2940" s="2" t="s">
        <v>3188</v>
      </c>
      <c r="W2940" s="2" t="s">
        <v>183</v>
      </c>
      <c r="X2940" s="2" t="s">
        <v>100</v>
      </c>
      <c r="Y2940" s="2" t="s">
        <v>9569</v>
      </c>
      <c r="Z2940" s="4">
        <v>201</v>
      </c>
      <c r="AA2940" s="4">
        <f>=ROUNDDOWN(40.2,0)</f>
      </c>
      <c r="AB2940" s="5">
        <v>5</v>
      </c>
      <c r="AC2940" s="2" t="s">
        <v>100</v>
      </c>
      <c r="AD2940" s="4"/>
      <c r="AE2940" s="4"/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/>
      <c r="AW2940" s="8"/>
      <c r="AX2940" s="4"/>
      <c r="AY2940" s="8"/>
      <c r="AZ2940" s="7"/>
      <c r="BA2940" s="7"/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>
        <v>241</v>
      </c>
      <c r="BK2940" s="8">
        <v>1761.41</v>
      </c>
      <c r="BL2940" s="2" t="s">
        <v>9573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2480</v>
      </c>
      <c r="BV2940" s="2" t="s">
        <v>97</v>
      </c>
      <c r="BW2940" s="2" t="s">
        <v>100</v>
      </c>
      <c r="BX2940" s="2" t="s">
        <v>100</v>
      </c>
      <c r="BY2940" s="2" t="s">
        <v>113</v>
      </c>
      <c r="BZ2940" s="2" t="s">
        <v>100</v>
      </c>
    </row>
    <row r="2941">
      <c r="A2941" s="2" t="s">
        <v>9574</v>
      </c>
      <c r="B2941" s="2" t="s">
        <v>9557</v>
      </c>
      <c r="C2941" s="2" t="s">
        <v>9558</v>
      </c>
      <c r="D2941" s="2" t="s">
        <v>9559</v>
      </c>
      <c r="E2941" s="2" t="s">
        <v>9560</v>
      </c>
      <c r="F2941" s="2" t="s">
        <v>9561</v>
      </c>
      <c r="G2941" s="2" t="s">
        <v>9561</v>
      </c>
      <c r="H2941" s="2" t="s">
        <v>9561</v>
      </c>
      <c r="I2941" s="2" t="s">
        <v>9575</v>
      </c>
      <c r="J2941" s="2" t="s">
        <v>3877</v>
      </c>
      <c r="K2941" s="2" t="s">
        <v>9576</v>
      </c>
      <c r="L2941" s="3">
        <v>9.92</v>
      </c>
      <c r="M2941" s="3">
        <v>10.42</v>
      </c>
      <c r="N2941" s="3">
        <v>18.99</v>
      </c>
      <c r="O2941" s="2" t="s">
        <v>97</v>
      </c>
      <c r="P2941" s="2" t="s">
        <v>119</v>
      </c>
      <c r="Q2941" s="2" t="s">
        <v>99</v>
      </c>
      <c r="R2941" s="2" t="s">
        <v>100</v>
      </c>
      <c r="S2941" s="2" t="s">
        <v>100</v>
      </c>
      <c r="T2941" s="2" t="s">
        <v>100</v>
      </c>
      <c r="U2941" s="2" t="s">
        <v>514</v>
      </c>
      <c r="V2941" s="2" t="s">
        <v>3188</v>
      </c>
      <c r="W2941" s="2" t="s">
        <v>183</v>
      </c>
      <c r="X2941" s="2" t="s">
        <v>100</v>
      </c>
      <c r="Y2941" s="2" t="s">
        <v>9569</v>
      </c>
      <c r="Z2941" s="4">
        <v>433</v>
      </c>
      <c r="AA2941" s="4">
        <f>=ROUNDDOWN(108.25,0)</f>
      </c>
      <c r="AB2941" s="5">
        <v>4</v>
      </c>
      <c r="AC2941" s="2" t="s">
        <v>100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/>
      <c r="AW2941" s="8"/>
      <c r="AX2941" s="4"/>
      <c r="AY2941" s="8"/>
      <c r="AZ2941" s="7"/>
      <c r="BA2941" s="7"/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>
        <v>141</v>
      </c>
      <c r="BK2941" s="8">
        <v>1608.34</v>
      </c>
      <c r="BL2941" s="2" t="s">
        <v>9577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2480</v>
      </c>
      <c r="BV2941" s="2" t="s">
        <v>97</v>
      </c>
      <c r="BW2941" s="2" t="s">
        <v>100</v>
      </c>
      <c r="BX2941" s="2" t="s">
        <v>100</v>
      </c>
      <c r="BY2941" s="2" t="s">
        <v>113</v>
      </c>
      <c r="BZ2941" s="2" t="s">
        <v>100</v>
      </c>
    </row>
    <row r="2942">
      <c r="A2942" s="2" t="s">
        <v>9578</v>
      </c>
      <c r="B2942" s="2" t="s">
        <v>9557</v>
      </c>
      <c r="C2942" s="2" t="s">
        <v>9558</v>
      </c>
      <c r="D2942" s="2" t="s">
        <v>9559</v>
      </c>
      <c r="E2942" s="2" t="s">
        <v>9560</v>
      </c>
      <c r="F2942" s="2" t="s">
        <v>9561</v>
      </c>
      <c r="G2942" s="2" t="s">
        <v>9561</v>
      </c>
      <c r="H2942" s="2" t="s">
        <v>9561</v>
      </c>
      <c r="I2942" s="2" t="s">
        <v>9579</v>
      </c>
      <c r="J2942" s="2" t="s">
        <v>9563</v>
      </c>
      <c r="K2942" s="2" t="s">
        <v>9580</v>
      </c>
      <c r="L2942" s="3">
        <v>7.37</v>
      </c>
      <c r="M2942" s="3">
        <v>7.74</v>
      </c>
      <c r="N2942" s="3">
        <v>15.99</v>
      </c>
      <c r="O2942" s="2" t="s">
        <v>97</v>
      </c>
      <c r="P2942" s="2" t="s">
        <v>119</v>
      </c>
      <c r="Q2942" s="2" t="s">
        <v>99</v>
      </c>
      <c r="R2942" s="2" t="s">
        <v>100</v>
      </c>
      <c r="S2942" s="2" t="s">
        <v>100</v>
      </c>
      <c r="T2942" s="2" t="s">
        <v>100</v>
      </c>
      <c r="U2942" s="2" t="s">
        <v>1847</v>
      </c>
      <c r="V2942" s="2" t="s">
        <v>3188</v>
      </c>
      <c r="W2942" s="2" t="s">
        <v>183</v>
      </c>
      <c r="X2942" s="2" t="s">
        <v>100</v>
      </c>
      <c r="Y2942" s="2" t="s">
        <v>9564</v>
      </c>
      <c r="Z2942" s="4">
        <v>643</v>
      </c>
      <c r="AA2942" s="4">
        <f>=ROUNDDOWN(214.333333333333,0)</f>
      </c>
      <c r="AB2942" s="5">
        <v>3</v>
      </c>
      <c r="AC2942" s="2" t="s">
        <v>100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/>
      <c r="BJ2942" s="4">
        <v>24</v>
      </c>
      <c r="BK2942" s="8">
        <v>264.96</v>
      </c>
      <c r="BL2942" s="2" t="s">
        <v>9581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2480</v>
      </c>
      <c r="BV2942" s="2" t="s">
        <v>97</v>
      </c>
      <c r="BW2942" s="2" t="s">
        <v>100</v>
      </c>
      <c r="BX2942" s="2" t="s">
        <v>100</v>
      </c>
      <c r="BY2942" s="2" t="s">
        <v>113</v>
      </c>
      <c r="BZ2942" s="2" t="s">
        <v>100</v>
      </c>
    </row>
    <row r="2943">
      <c r="A2943" s="2" t="s">
        <v>9582</v>
      </c>
      <c r="B2943" s="2" t="s">
        <v>9557</v>
      </c>
      <c r="C2943" s="2" t="s">
        <v>9558</v>
      </c>
      <c r="D2943" s="2" t="s">
        <v>9559</v>
      </c>
      <c r="E2943" s="2" t="s">
        <v>9560</v>
      </c>
      <c r="F2943" s="2" t="s">
        <v>9561</v>
      </c>
      <c r="G2943" s="2" t="s">
        <v>9561</v>
      </c>
      <c r="H2943" s="2" t="s">
        <v>9561</v>
      </c>
      <c r="I2943" s="2" t="s">
        <v>9579</v>
      </c>
      <c r="J2943" s="2" t="s">
        <v>9563</v>
      </c>
      <c r="K2943" s="2" t="s">
        <v>9583</v>
      </c>
      <c r="L2943" s="3">
        <v>7.37</v>
      </c>
      <c r="M2943" s="3">
        <v>7.74</v>
      </c>
      <c r="N2943" s="3">
        <v>15.99</v>
      </c>
      <c r="O2943" s="2" t="s">
        <v>97</v>
      </c>
      <c r="P2943" s="2" t="s">
        <v>119</v>
      </c>
      <c r="Q2943" s="2" t="s">
        <v>99</v>
      </c>
      <c r="R2943" s="2" t="s">
        <v>100</v>
      </c>
      <c r="S2943" s="2" t="s">
        <v>100</v>
      </c>
      <c r="T2943" s="2" t="s">
        <v>100</v>
      </c>
      <c r="U2943" s="2" t="s">
        <v>1847</v>
      </c>
      <c r="V2943" s="2" t="s">
        <v>3188</v>
      </c>
      <c r="W2943" s="2" t="s">
        <v>183</v>
      </c>
      <c r="X2943" s="2" t="s">
        <v>100</v>
      </c>
      <c r="Y2943" s="2" t="s">
        <v>9564</v>
      </c>
      <c r="Z2943" s="4">
        <v>463</v>
      </c>
      <c r="AA2943" s="4">
        <f>=ROUNDDOWN(21.0454545454545,0)</f>
      </c>
      <c r="AB2943" s="5">
        <v>22</v>
      </c>
      <c r="AC2943" s="2" t="s">
        <v>205</v>
      </c>
      <c r="AD2943" s="4">
        <v>1200</v>
      </c>
      <c r="AE2943" s="4">
        <v>1200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/>
      <c r="BJ2943" s="4">
        <v>147</v>
      </c>
      <c r="BK2943" s="8">
        <v>1622.88</v>
      </c>
      <c r="BL2943" s="2" t="s">
        <v>9565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2480</v>
      </c>
      <c r="BV2943" s="2" t="s">
        <v>97</v>
      </c>
      <c r="BW2943" s="2" t="s">
        <v>100</v>
      </c>
      <c r="BX2943" s="2" t="s">
        <v>100</v>
      </c>
      <c r="BY2943" s="2" t="s">
        <v>113</v>
      </c>
      <c r="BZ2943" s="2" t="s">
        <v>100</v>
      </c>
    </row>
    <row r="2944">
      <c r="A2944" s="2" t="s">
        <v>9584</v>
      </c>
      <c r="B2944" s="2" t="s">
        <v>9557</v>
      </c>
      <c r="C2944" s="2" t="s">
        <v>9558</v>
      </c>
      <c r="D2944" s="2" t="s">
        <v>9559</v>
      </c>
      <c r="E2944" s="2" t="s">
        <v>9560</v>
      </c>
      <c r="F2944" s="2" t="s">
        <v>9561</v>
      </c>
      <c r="G2944" s="2" t="s">
        <v>9561</v>
      </c>
      <c r="H2944" s="2" t="s">
        <v>9561</v>
      </c>
      <c r="I2944" s="2" t="s">
        <v>9585</v>
      </c>
      <c r="J2944" s="2" t="s">
        <v>9563</v>
      </c>
      <c r="K2944" s="2" t="s">
        <v>9586</v>
      </c>
      <c r="L2944" s="3">
        <v>7.08</v>
      </c>
      <c r="M2944" s="3">
        <v>7.43</v>
      </c>
      <c r="N2944" s="3">
        <v>15.99</v>
      </c>
      <c r="O2944" s="2" t="s">
        <v>97</v>
      </c>
      <c r="P2944" s="2" t="s">
        <v>119</v>
      </c>
      <c r="Q2944" s="2" t="s">
        <v>99</v>
      </c>
      <c r="R2944" s="2" t="s">
        <v>100</v>
      </c>
      <c r="S2944" s="2" t="s">
        <v>100</v>
      </c>
      <c r="T2944" s="2" t="s">
        <v>100</v>
      </c>
      <c r="U2944" s="2" t="s">
        <v>1847</v>
      </c>
      <c r="V2944" s="2" t="s">
        <v>3188</v>
      </c>
      <c r="W2944" s="2" t="s">
        <v>183</v>
      </c>
      <c r="X2944" s="2" t="s">
        <v>100</v>
      </c>
      <c r="Y2944" s="2" t="s">
        <v>9587</v>
      </c>
      <c r="Z2944" s="4">
        <v>732</v>
      </c>
      <c r="AA2944" s="4">
        <f>=ROUNDDOWN(43.0588235294118,0)</f>
      </c>
      <c r="AB2944" s="5">
        <v>17</v>
      </c>
      <c r="AC2944" s="2" t="s">
        <v>100</v>
      </c>
      <c r="AD2944" s="4"/>
      <c r="AE2944" s="4"/>
      <c r="AF2944" s="6">
        <v>65</v>
      </c>
      <c r="AG2944" s="6"/>
      <c r="AH2944" s="7">
        <v>0.9786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/>
      <c r="BJ2944" s="4">
        <v>289</v>
      </c>
      <c r="BK2944" s="8">
        <v>3190.56</v>
      </c>
      <c r="BL2944" s="2" t="s">
        <v>9565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2480</v>
      </c>
      <c r="BV2944" s="2" t="s">
        <v>97</v>
      </c>
      <c r="BW2944" s="2" t="s">
        <v>100</v>
      </c>
      <c r="BX2944" s="2" t="s">
        <v>100</v>
      </c>
      <c r="BY2944" s="2" t="s">
        <v>113</v>
      </c>
      <c r="BZ2944" s="2" t="s">
        <v>100</v>
      </c>
    </row>
    <row r="2945">
      <c r="A2945" s="2" t="s">
        <v>9588</v>
      </c>
      <c r="B2945" s="2" t="s">
        <v>9557</v>
      </c>
      <c r="C2945" s="2" t="s">
        <v>9558</v>
      </c>
      <c r="D2945" s="2" t="s">
        <v>9559</v>
      </c>
      <c r="E2945" s="2" t="s">
        <v>9560</v>
      </c>
      <c r="F2945" s="2" t="s">
        <v>9561</v>
      </c>
      <c r="G2945" s="2" t="s">
        <v>9561</v>
      </c>
      <c r="H2945" s="2" t="s">
        <v>9561</v>
      </c>
      <c r="I2945" s="2" t="s">
        <v>9589</v>
      </c>
      <c r="J2945" s="2" t="s">
        <v>3877</v>
      </c>
      <c r="K2945" s="2" t="s">
        <v>297</v>
      </c>
      <c r="L2945" s="3">
        <v>8.06</v>
      </c>
      <c r="M2945" s="3">
        <v>8.46</v>
      </c>
      <c r="N2945" s="3">
        <v>14.99</v>
      </c>
      <c r="O2945" s="2" t="s">
        <v>97</v>
      </c>
      <c r="P2945" s="2" t="s">
        <v>119</v>
      </c>
      <c r="Q2945" s="2" t="s">
        <v>99</v>
      </c>
      <c r="R2945" s="2" t="s">
        <v>100</v>
      </c>
      <c r="S2945" s="2" t="s">
        <v>100</v>
      </c>
      <c r="T2945" s="2" t="s">
        <v>100</v>
      </c>
      <c r="U2945" s="2" t="s">
        <v>1847</v>
      </c>
      <c r="V2945" s="2" t="s">
        <v>3188</v>
      </c>
      <c r="W2945" s="2" t="s">
        <v>183</v>
      </c>
      <c r="X2945" s="2" t="s">
        <v>100</v>
      </c>
      <c r="Y2945" s="2" t="s">
        <v>9569</v>
      </c>
      <c r="Z2945" s="4">
        <v>202</v>
      </c>
      <c r="AA2945" s="4">
        <f>=ROUNDDOWN(35.4385964912281,0)</f>
      </c>
      <c r="AB2945" s="5">
        <v>5.7</v>
      </c>
      <c r="AC2945" s="2" t="s">
        <v>100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/>
      <c r="AW2945" s="8"/>
      <c r="AX2945" s="4"/>
      <c r="AY2945" s="8"/>
      <c r="AZ2945" s="7"/>
      <c r="BA2945" s="7"/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>
        <v>266</v>
      </c>
      <c r="BK2945" s="8">
        <v>2465.44</v>
      </c>
      <c r="BL2945" s="2" t="s">
        <v>9577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2480</v>
      </c>
      <c r="BV2945" s="2" t="s">
        <v>97</v>
      </c>
      <c r="BW2945" s="2" t="s">
        <v>100</v>
      </c>
      <c r="BX2945" s="2" t="s">
        <v>100</v>
      </c>
      <c r="BY2945" s="2" t="s">
        <v>113</v>
      </c>
      <c r="BZ2945" s="2" t="s">
        <v>100</v>
      </c>
    </row>
    <row r="2946">
      <c r="A2946" s="2" t="s">
        <v>9590</v>
      </c>
      <c r="B2946" s="2" t="s">
        <v>9557</v>
      </c>
      <c r="C2946" s="2" t="s">
        <v>9558</v>
      </c>
      <c r="D2946" s="2" t="s">
        <v>9559</v>
      </c>
      <c r="E2946" s="2" t="s">
        <v>9560</v>
      </c>
      <c r="F2946" s="2" t="s">
        <v>9591</v>
      </c>
      <c r="G2946" s="2" t="s">
        <v>9591</v>
      </c>
      <c r="H2946" s="2" t="s">
        <v>9591</v>
      </c>
      <c r="I2946" s="2" t="s">
        <v>9592</v>
      </c>
      <c r="J2946" s="2" t="s">
        <v>3877</v>
      </c>
      <c r="K2946" s="2" t="s">
        <v>469</v>
      </c>
      <c r="L2946" s="3">
        <v>6.54</v>
      </c>
      <c r="M2946" s="3">
        <v>6.87</v>
      </c>
      <c r="N2946" s="3">
        <v>14.99</v>
      </c>
      <c r="O2946" s="2" t="s">
        <v>97</v>
      </c>
      <c r="P2946" s="2" t="s">
        <v>225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1847</v>
      </c>
      <c r="V2946" s="2" t="s">
        <v>3188</v>
      </c>
      <c r="W2946" s="2" t="s">
        <v>183</v>
      </c>
      <c r="X2946" s="2" t="s">
        <v>100</v>
      </c>
      <c r="Y2946" s="2" t="s">
        <v>9593</v>
      </c>
      <c r="Z2946" s="4">
        <v>581</v>
      </c>
      <c r="AA2946" s="4">
        <f>=ROUNDDOWN(145.25,0)</f>
      </c>
      <c r="AB2946" s="5">
        <v>4</v>
      </c>
      <c r="AC2946" s="2" t="s">
        <v>100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/>
      <c r="BD2946" s="8"/>
      <c r="BE2946" s="4"/>
      <c r="BF2946" s="8"/>
      <c r="BG2946" s="7"/>
      <c r="BH2946" s="7"/>
      <c r="BI2946" s="7"/>
      <c r="BJ2946" s="4">
        <v>12</v>
      </c>
      <c r="BK2946" s="8">
        <v>90.24</v>
      </c>
      <c r="BL2946" s="2" t="s">
        <v>9594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2480</v>
      </c>
      <c r="BV2946" s="2" t="s">
        <v>97</v>
      </c>
      <c r="BW2946" s="2" t="s">
        <v>100</v>
      </c>
      <c r="BX2946" s="2" t="s">
        <v>100</v>
      </c>
      <c r="BY2946" s="2" t="s">
        <v>113</v>
      </c>
      <c r="BZ2946" s="2" t="s">
        <v>100</v>
      </c>
    </row>
    <row r="2947">
      <c r="A2947" s="2" t="s">
        <v>9595</v>
      </c>
      <c r="B2947" s="2" t="s">
        <v>9596</v>
      </c>
      <c r="C2947" s="2" t="s">
        <v>9558</v>
      </c>
      <c r="D2947" s="2" t="s">
        <v>9597</v>
      </c>
      <c r="E2947" s="2" t="s">
        <v>9598</v>
      </c>
      <c r="F2947" s="2" t="s">
        <v>9599</v>
      </c>
      <c r="G2947" s="2" t="s">
        <v>9599</v>
      </c>
      <c r="H2947" s="2" t="s">
        <v>9599</v>
      </c>
      <c r="I2947" s="2" t="s">
        <v>9600</v>
      </c>
      <c r="J2947" s="2" t="s">
        <v>9601</v>
      </c>
      <c r="K2947" s="2" t="s">
        <v>198</v>
      </c>
      <c r="L2947" s="3">
        <v>22.49</v>
      </c>
      <c r="M2947" s="3">
        <v>23.61</v>
      </c>
      <c r="N2947" s="3">
        <v>49.99</v>
      </c>
      <c r="O2947" s="2" t="s">
        <v>97</v>
      </c>
      <c r="P2947" s="2" t="s">
        <v>119</v>
      </c>
      <c r="Q2947" s="2" t="s">
        <v>99</v>
      </c>
      <c r="R2947" s="2" t="s">
        <v>100</v>
      </c>
      <c r="S2947" s="2" t="s">
        <v>100</v>
      </c>
      <c r="T2947" s="2" t="s">
        <v>100</v>
      </c>
      <c r="U2947" s="2" t="s">
        <v>1847</v>
      </c>
      <c r="V2947" s="2" t="s">
        <v>3188</v>
      </c>
      <c r="W2947" s="2" t="s">
        <v>183</v>
      </c>
      <c r="X2947" s="2" t="s">
        <v>100</v>
      </c>
      <c r="Y2947" s="2" t="s">
        <v>9602</v>
      </c>
      <c r="Z2947" s="4">
        <v>367</v>
      </c>
      <c r="AA2947" s="4">
        <f>=ROUNDDOWN(73.4,0)</f>
      </c>
      <c r="AB2947" s="5">
        <v>5</v>
      </c>
      <c r="AC2947" s="2" t="s">
        <v>100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/>
      <c r="BJ2947" s="4">
        <v>121</v>
      </c>
      <c r="BK2947" s="8">
        <v>3949.12</v>
      </c>
      <c r="BL2947" s="2" t="s">
        <v>9400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2480</v>
      </c>
      <c r="BV2947" s="2" t="s">
        <v>97</v>
      </c>
      <c r="BW2947" s="2" t="s">
        <v>100</v>
      </c>
      <c r="BX2947" s="2" t="s">
        <v>100</v>
      </c>
      <c r="BY2947" s="2" t="s">
        <v>113</v>
      </c>
      <c r="BZ2947" s="2" t="s">
        <v>100</v>
      </c>
    </row>
    <row r="2948">
      <c r="A2948" s="2" t="s">
        <v>9603</v>
      </c>
      <c r="B2948" s="2" t="s">
        <v>9596</v>
      </c>
      <c r="C2948" s="2" t="s">
        <v>9558</v>
      </c>
      <c r="D2948" s="2" t="s">
        <v>9597</v>
      </c>
      <c r="E2948" s="2" t="s">
        <v>9598</v>
      </c>
      <c r="F2948" s="2" t="s">
        <v>9599</v>
      </c>
      <c r="G2948" s="2" t="s">
        <v>9599</v>
      </c>
      <c r="H2948" s="2" t="s">
        <v>9599</v>
      </c>
      <c r="I2948" s="2" t="s">
        <v>9604</v>
      </c>
      <c r="J2948" s="2" t="s">
        <v>9605</v>
      </c>
      <c r="K2948" s="2" t="s">
        <v>198</v>
      </c>
      <c r="L2948" s="3">
        <v>26.14</v>
      </c>
      <c r="M2948" s="3">
        <v>27.45</v>
      </c>
      <c r="N2948" s="3">
        <v>57.99</v>
      </c>
      <c r="O2948" s="2" t="s">
        <v>97</v>
      </c>
      <c r="P2948" s="2" t="s">
        <v>119</v>
      </c>
      <c r="Q2948" s="2" t="s">
        <v>99</v>
      </c>
      <c r="R2948" s="2" t="s">
        <v>100</v>
      </c>
      <c r="S2948" s="2" t="s">
        <v>100</v>
      </c>
      <c r="T2948" s="2" t="s">
        <v>100</v>
      </c>
      <c r="U2948" s="2" t="s">
        <v>1847</v>
      </c>
      <c r="V2948" s="2" t="s">
        <v>3188</v>
      </c>
      <c r="W2948" s="2" t="s">
        <v>183</v>
      </c>
      <c r="X2948" s="2" t="s">
        <v>100</v>
      </c>
      <c r="Y2948" s="2" t="s">
        <v>9602</v>
      </c>
      <c r="Z2948" s="4">
        <v>1209</v>
      </c>
      <c r="AA2948" s="4">
        <f>=ROUNDDOWN(241.8,0)</f>
      </c>
      <c r="AB2948" s="5">
        <v>5</v>
      </c>
      <c r="AC2948" s="2" t="s">
        <v>100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>
        <v>144</v>
      </c>
      <c r="BK2948" s="8">
        <v>5304.95</v>
      </c>
      <c r="BL2948" s="2" t="s">
        <v>9606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2480</v>
      </c>
      <c r="BV2948" s="2" t="s">
        <v>97</v>
      </c>
      <c r="BW2948" s="2" t="s">
        <v>100</v>
      </c>
      <c r="BX2948" s="2" t="s">
        <v>100</v>
      </c>
      <c r="BY2948" s="2" t="s">
        <v>113</v>
      </c>
      <c r="BZ2948" s="2" t="s">
        <v>100</v>
      </c>
    </row>
    <row r="2949">
      <c r="A2949" s="2" t="s">
        <v>9607</v>
      </c>
      <c r="B2949" s="2" t="s">
        <v>9596</v>
      </c>
      <c r="C2949" s="2" t="s">
        <v>9558</v>
      </c>
      <c r="D2949" s="2" t="s">
        <v>9597</v>
      </c>
      <c r="E2949" s="2" t="s">
        <v>9598</v>
      </c>
      <c r="F2949" s="2" t="s">
        <v>9599</v>
      </c>
      <c r="G2949" s="2" t="s">
        <v>9599</v>
      </c>
      <c r="H2949" s="2" t="s">
        <v>9599</v>
      </c>
      <c r="I2949" s="2" t="s">
        <v>9608</v>
      </c>
      <c r="J2949" s="2" t="s">
        <v>9609</v>
      </c>
      <c r="K2949" s="2" t="s">
        <v>198</v>
      </c>
      <c r="L2949" s="3">
        <v>34.46</v>
      </c>
      <c r="M2949" s="3">
        <v>36.18</v>
      </c>
      <c r="N2949" s="3">
        <v>76.99</v>
      </c>
      <c r="O2949" s="2" t="s">
        <v>97</v>
      </c>
      <c r="P2949" s="2" t="s">
        <v>119</v>
      </c>
      <c r="Q2949" s="2" t="s">
        <v>99</v>
      </c>
      <c r="R2949" s="2" t="s">
        <v>100</v>
      </c>
      <c r="S2949" s="2" t="s">
        <v>100</v>
      </c>
      <c r="T2949" s="2" t="s">
        <v>100</v>
      </c>
      <c r="U2949" s="2" t="s">
        <v>1847</v>
      </c>
      <c r="V2949" s="2" t="s">
        <v>3188</v>
      </c>
      <c r="W2949" s="2" t="s">
        <v>183</v>
      </c>
      <c r="X2949" s="2" t="s">
        <v>100</v>
      </c>
      <c r="Y2949" s="2" t="s">
        <v>9602</v>
      </c>
      <c r="Z2949" s="4">
        <v>524</v>
      </c>
      <c r="AA2949" s="4">
        <f>=ROUNDDOWN(74.8571428571429,0)</f>
      </c>
      <c r="AB2949" s="5">
        <v>7</v>
      </c>
      <c r="AC2949" s="2" t="s">
        <v>100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>
        <v>63</v>
      </c>
      <c r="BK2949" s="8">
        <v>2559.47</v>
      </c>
      <c r="BL2949" s="2" t="s">
        <v>9606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2480</v>
      </c>
      <c r="BV2949" s="2" t="s">
        <v>97</v>
      </c>
      <c r="BW2949" s="2" t="s">
        <v>100</v>
      </c>
      <c r="BX2949" s="2" t="s">
        <v>100</v>
      </c>
      <c r="BY2949" s="2" t="s">
        <v>113</v>
      </c>
      <c r="BZ2949" s="2" t="s">
        <v>100</v>
      </c>
    </row>
    <row r="2950">
      <c r="A2950" s="2" t="s">
        <v>9610</v>
      </c>
      <c r="B2950" s="2" t="s">
        <v>9596</v>
      </c>
      <c r="C2950" s="2" t="s">
        <v>9558</v>
      </c>
      <c r="D2950" s="2" t="s">
        <v>9597</v>
      </c>
      <c r="E2950" s="2" t="s">
        <v>9598</v>
      </c>
      <c r="F2950" s="2" t="s">
        <v>9599</v>
      </c>
      <c r="G2950" s="2" t="s">
        <v>9599</v>
      </c>
      <c r="H2950" s="2" t="s">
        <v>9599</v>
      </c>
      <c r="I2950" s="2" t="s">
        <v>9600</v>
      </c>
      <c r="J2950" s="2" t="s">
        <v>9601</v>
      </c>
      <c r="K2950" s="2" t="s">
        <v>144</v>
      </c>
      <c r="L2950" s="3">
        <v>22.49</v>
      </c>
      <c r="M2950" s="3">
        <v>23.61</v>
      </c>
      <c r="N2950" s="3">
        <v>49.99</v>
      </c>
      <c r="O2950" s="2" t="s">
        <v>97</v>
      </c>
      <c r="P2950" s="2" t="s">
        <v>119</v>
      </c>
      <c r="Q2950" s="2" t="s">
        <v>99</v>
      </c>
      <c r="R2950" s="2" t="s">
        <v>100</v>
      </c>
      <c r="S2950" s="2" t="s">
        <v>100</v>
      </c>
      <c r="T2950" s="2" t="s">
        <v>100</v>
      </c>
      <c r="U2950" s="2" t="s">
        <v>1847</v>
      </c>
      <c r="V2950" s="2" t="s">
        <v>3188</v>
      </c>
      <c r="W2950" s="2" t="s">
        <v>183</v>
      </c>
      <c r="X2950" s="2" t="s">
        <v>100</v>
      </c>
      <c r="Y2950" s="2" t="s">
        <v>9602</v>
      </c>
      <c r="Z2950" s="4">
        <v>5</v>
      </c>
      <c r="AA2950" s="4">
        <f>=ROUNDDOWN(2,0)</f>
      </c>
      <c r="AB2950" s="5">
        <v>2.5</v>
      </c>
      <c r="AC2950" s="2" t="s">
        <v>100</v>
      </c>
      <c r="AD2950" s="4"/>
      <c r="AE2950" s="4"/>
      <c r="AF2950" s="6">
        <v>65</v>
      </c>
      <c r="AG2950" s="6"/>
      <c r="AH2950" s="7">
        <v>0.861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>
        <v>90</v>
      </c>
      <c r="BK2950" s="8">
        <v>2658.93</v>
      </c>
      <c r="BL2950" s="2" t="s">
        <v>1593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2480</v>
      </c>
      <c r="BV2950" s="2" t="s">
        <v>97</v>
      </c>
      <c r="BW2950" s="2" t="s">
        <v>100</v>
      </c>
      <c r="BX2950" s="2" t="s">
        <v>100</v>
      </c>
      <c r="BY2950" s="2" t="s">
        <v>113</v>
      </c>
      <c r="BZ2950" s="2" t="s">
        <v>100</v>
      </c>
    </row>
    <row r="2951">
      <c r="A2951" s="2" t="s">
        <v>9611</v>
      </c>
      <c r="B2951" s="2" t="s">
        <v>9596</v>
      </c>
      <c r="C2951" s="2" t="s">
        <v>9558</v>
      </c>
      <c r="D2951" s="2" t="s">
        <v>9597</v>
      </c>
      <c r="E2951" s="2" t="s">
        <v>9598</v>
      </c>
      <c r="F2951" s="2" t="s">
        <v>9599</v>
      </c>
      <c r="G2951" s="2" t="s">
        <v>9599</v>
      </c>
      <c r="H2951" s="2" t="s">
        <v>9599</v>
      </c>
      <c r="I2951" s="2" t="s">
        <v>9604</v>
      </c>
      <c r="J2951" s="2" t="s">
        <v>9605</v>
      </c>
      <c r="K2951" s="2" t="s">
        <v>144</v>
      </c>
      <c r="L2951" s="3">
        <v>26.14</v>
      </c>
      <c r="M2951" s="3">
        <v>27.45</v>
      </c>
      <c r="N2951" s="3">
        <v>57.99</v>
      </c>
      <c r="O2951" s="2" t="s">
        <v>97</v>
      </c>
      <c r="P2951" s="2" t="s">
        <v>119</v>
      </c>
      <c r="Q2951" s="2" t="s">
        <v>99</v>
      </c>
      <c r="R2951" s="2" t="s">
        <v>100</v>
      </c>
      <c r="S2951" s="2" t="s">
        <v>100</v>
      </c>
      <c r="T2951" s="2" t="s">
        <v>100</v>
      </c>
      <c r="U2951" s="2" t="s">
        <v>1847</v>
      </c>
      <c r="V2951" s="2" t="s">
        <v>3188</v>
      </c>
      <c r="W2951" s="2" t="s">
        <v>183</v>
      </c>
      <c r="X2951" s="2" t="s">
        <v>100</v>
      </c>
      <c r="Y2951" s="2" t="s">
        <v>9602</v>
      </c>
      <c r="Z2951" s="4">
        <v>264</v>
      </c>
      <c r="AA2951" s="4">
        <f>=ROUNDDOWN(88,0)</f>
      </c>
      <c r="AB2951" s="5">
        <v>3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>
        <v>36</v>
      </c>
      <c r="BK2951" s="8">
        <v>1295.06</v>
      </c>
      <c r="BL2951" s="2" t="s">
        <v>9400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2480</v>
      </c>
      <c r="BV2951" s="2" t="s">
        <v>97</v>
      </c>
      <c r="BW2951" s="2" t="s">
        <v>100</v>
      </c>
      <c r="BX2951" s="2" t="s">
        <v>100</v>
      </c>
      <c r="BY2951" s="2" t="s">
        <v>113</v>
      </c>
      <c r="BZ2951" s="2" t="s">
        <v>100</v>
      </c>
    </row>
    <row r="2952">
      <c r="A2952" s="2" t="s">
        <v>9612</v>
      </c>
      <c r="B2952" s="2" t="s">
        <v>9596</v>
      </c>
      <c r="C2952" s="2" t="s">
        <v>9558</v>
      </c>
      <c r="D2952" s="2" t="s">
        <v>9597</v>
      </c>
      <c r="E2952" s="2" t="s">
        <v>9598</v>
      </c>
      <c r="F2952" s="2" t="s">
        <v>9599</v>
      </c>
      <c r="G2952" s="2" t="s">
        <v>9599</v>
      </c>
      <c r="H2952" s="2" t="s">
        <v>9599</v>
      </c>
      <c r="I2952" s="2" t="s">
        <v>9608</v>
      </c>
      <c r="J2952" s="2" t="s">
        <v>9609</v>
      </c>
      <c r="K2952" s="2" t="s">
        <v>144</v>
      </c>
      <c r="L2952" s="3">
        <v>34.46</v>
      </c>
      <c r="M2952" s="3">
        <v>36.18</v>
      </c>
      <c r="N2952" s="3">
        <v>76.99</v>
      </c>
      <c r="O2952" s="2" t="s">
        <v>97</v>
      </c>
      <c r="P2952" s="2" t="s">
        <v>119</v>
      </c>
      <c r="Q2952" s="2" t="s">
        <v>99</v>
      </c>
      <c r="R2952" s="2" t="s">
        <v>100</v>
      </c>
      <c r="S2952" s="2" t="s">
        <v>100</v>
      </c>
      <c r="T2952" s="2" t="s">
        <v>100</v>
      </c>
      <c r="U2952" s="2" t="s">
        <v>1847</v>
      </c>
      <c r="V2952" s="2" t="s">
        <v>3188</v>
      </c>
      <c r="W2952" s="2" t="s">
        <v>183</v>
      </c>
      <c r="X2952" s="2" t="s">
        <v>100</v>
      </c>
      <c r="Y2952" s="2" t="s">
        <v>9602</v>
      </c>
      <c r="Z2952" s="4">
        <v>349</v>
      </c>
      <c r="AA2952" s="4">
        <f>=ROUNDDOWN(174.5,0)</f>
      </c>
      <c r="AB2952" s="5">
        <v>2</v>
      </c>
      <c r="AC2952" s="2" t="s">
        <v>100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>
        <v>31</v>
      </c>
      <c r="BK2952" s="8">
        <v>1328.1</v>
      </c>
      <c r="BL2952" s="2" t="s">
        <v>9613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2480</v>
      </c>
      <c r="BV2952" s="2" t="s">
        <v>97</v>
      </c>
      <c r="BW2952" s="2" t="s">
        <v>100</v>
      </c>
      <c r="BX2952" s="2" t="s">
        <v>100</v>
      </c>
      <c r="BY2952" s="2" t="s">
        <v>113</v>
      </c>
      <c r="BZ2952" s="2" t="s">
        <v>100</v>
      </c>
    </row>
    <row r="2953">
      <c r="A2953" s="2" t="s">
        <v>9614</v>
      </c>
      <c r="B2953" s="2" t="s">
        <v>9596</v>
      </c>
      <c r="C2953" s="2" t="s">
        <v>9558</v>
      </c>
      <c r="D2953" s="2" t="s">
        <v>9597</v>
      </c>
      <c r="E2953" s="2" t="s">
        <v>9598</v>
      </c>
      <c r="F2953" s="2" t="s">
        <v>9599</v>
      </c>
      <c r="G2953" s="2" t="s">
        <v>9599</v>
      </c>
      <c r="H2953" s="2" t="s">
        <v>9599</v>
      </c>
      <c r="I2953" s="2" t="s">
        <v>9600</v>
      </c>
      <c r="J2953" s="2" t="s">
        <v>9601</v>
      </c>
      <c r="K2953" s="2" t="s">
        <v>360</v>
      </c>
      <c r="L2953" s="3">
        <v>22.49</v>
      </c>
      <c r="M2953" s="3">
        <v>23.61</v>
      </c>
      <c r="N2953" s="3">
        <v>49.99</v>
      </c>
      <c r="O2953" s="2" t="s">
        <v>97</v>
      </c>
      <c r="P2953" s="2" t="s">
        <v>119</v>
      </c>
      <c r="Q2953" s="2" t="s">
        <v>99</v>
      </c>
      <c r="R2953" s="2" t="s">
        <v>100</v>
      </c>
      <c r="S2953" s="2" t="s">
        <v>100</v>
      </c>
      <c r="T2953" s="2" t="s">
        <v>100</v>
      </c>
      <c r="U2953" s="2" t="s">
        <v>1847</v>
      </c>
      <c r="V2953" s="2" t="s">
        <v>3188</v>
      </c>
      <c r="W2953" s="2" t="s">
        <v>183</v>
      </c>
      <c r="X2953" s="2" t="s">
        <v>100</v>
      </c>
      <c r="Y2953" s="2" t="s">
        <v>9602</v>
      </c>
      <c r="Z2953" s="4">
        <v>114</v>
      </c>
      <c r="AA2953" s="4">
        <f>=ROUNDDOWN(63.3333333333333,0)</f>
      </c>
      <c r="AB2953" s="5">
        <v>1.8</v>
      </c>
      <c r="AC2953" s="2" t="s">
        <v>100</v>
      </c>
      <c r="AD2953" s="4"/>
      <c r="AE2953" s="4"/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>
        <v>53</v>
      </c>
      <c r="BK2953" s="8">
        <v>1755.03</v>
      </c>
      <c r="BL2953" s="2" t="s">
        <v>9400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2480</v>
      </c>
      <c r="BV2953" s="2" t="s">
        <v>97</v>
      </c>
      <c r="BW2953" s="2" t="s">
        <v>100</v>
      </c>
      <c r="BX2953" s="2" t="s">
        <v>100</v>
      </c>
      <c r="BY2953" s="2" t="s">
        <v>113</v>
      </c>
      <c r="BZ2953" s="2" t="s">
        <v>100</v>
      </c>
    </row>
    <row r="2954">
      <c r="A2954" s="2" t="s">
        <v>9615</v>
      </c>
      <c r="B2954" s="2" t="s">
        <v>9596</v>
      </c>
      <c r="C2954" s="2" t="s">
        <v>9558</v>
      </c>
      <c r="D2954" s="2" t="s">
        <v>9597</v>
      </c>
      <c r="E2954" s="2" t="s">
        <v>9598</v>
      </c>
      <c r="F2954" s="2" t="s">
        <v>9599</v>
      </c>
      <c r="G2954" s="2" t="s">
        <v>9599</v>
      </c>
      <c r="H2954" s="2" t="s">
        <v>9599</v>
      </c>
      <c r="I2954" s="2" t="s">
        <v>9604</v>
      </c>
      <c r="J2954" s="2" t="s">
        <v>9605</v>
      </c>
      <c r="K2954" s="2" t="s">
        <v>360</v>
      </c>
      <c r="L2954" s="3">
        <v>26.14</v>
      </c>
      <c r="M2954" s="3">
        <v>27.45</v>
      </c>
      <c r="N2954" s="3">
        <v>57.99</v>
      </c>
      <c r="O2954" s="2" t="s">
        <v>97</v>
      </c>
      <c r="P2954" s="2" t="s">
        <v>119</v>
      </c>
      <c r="Q2954" s="2" t="s">
        <v>99</v>
      </c>
      <c r="R2954" s="2" t="s">
        <v>100</v>
      </c>
      <c r="S2954" s="2" t="s">
        <v>100</v>
      </c>
      <c r="T2954" s="2" t="s">
        <v>100</v>
      </c>
      <c r="U2954" s="2" t="s">
        <v>1847</v>
      </c>
      <c r="V2954" s="2" t="s">
        <v>3188</v>
      </c>
      <c r="W2954" s="2" t="s">
        <v>183</v>
      </c>
      <c r="X2954" s="2" t="s">
        <v>100</v>
      </c>
      <c r="Y2954" s="2" t="s">
        <v>9602</v>
      </c>
      <c r="Z2954" s="4">
        <v>229</v>
      </c>
      <c r="AA2954" s="4">
        <f>=ROUNDDOWN(76.3333333333333,0)</f>
      </c>
      <c r="AB2954" s="5">
        <v>3</v>
      </c>
      <c r="AC2954" s="2" t="s">
        <v>100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>
        <v>59</v>
      </c>
      <c r="BK2954" s="8">
        <v>2037.94</v>
      </c>
      <c r="BL2954" s="2" t="s">
        <v>9606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2480</v>
      </c>
      <c r="BV2954" s="2" t="s">
        <v>97</v>
      </c>
      <c r="BW2954" s="2" t="s">
        <v>100</v>
      </c>
      <c r="BX2954" s="2" t="s">
        <v>100</v>
      </c>
      <c r="BY2954" s="2" t="s">
        <v>113</v>
      </c>
      <c r="BZ2954" s="2" t="s">
        <v>100</v>
      </c>
    </row>
    <row r="2955">
      <c r="A2955" s="2" t="s">
        <v>9616</v>
      </c>
      <c r="B2955" s="2" t="s">
        <v>9596</v>
      </c>
      <c r="C2955" s="2" t="s">
        <v>9558</v>
      </c>
      <c r="D2955" s="2" t="s">
        <v>9597</v>
      </c>
      <c r="E2955" s="2" t="s">
        <v>9598</v>
      </c>
      <c r="F2955" s="2" t="s">
        <v>9599</v>
      </c>
      <c r="G2955" s="2" t="s">
        <v>9599</v>
      </c>
      <c r="H2955" s="2" t="s">
        <v>9599</v>
      </c>
      <c r="I2955" s="2" t="s">
        <v>9608</v>
      </c>
      <c r="J2955" s="2" t="s">
        <v>9609</v>
      </c>
      <c r="K2955" s="2" t="s">
        <v>360</v>
      </c>
      <c r="L2955" s="3">
        <v>34.46</v>
      </c>
      <c r="M2955" s="3">
        <v>36.18</v>
      </c>
      <c r="N2955" s="3">
        <v>76.99</v>
      </c>
      <c r="O2955" s="2" t="s">
        <v>97</v>
      </c>
      <c r="P2955" s="2" t="s">
        <v>119</v>
      </c>
      <c r="Q2955" s="2" t="s">
        <v>99</v>
      </c>
      <c r="R2955" s="2" t="s">
        <v>100</v>
      </c>
      <c r="S2955" s="2" t="s">
        <v>100</v>
      </c>
      <c r="T2955" s="2" t="s">
        <v>100</v>
      </c>
      <c r="U2955" s="2" t="s">
        <v>1847</v>
      </c>
      <c r="V2955" s="2" t="s">
        <v>3188</v>
      </c>
      <c r="W2955" s="2" t="s">
        <v>183</v>
      </c>
      <c r="X2955" s="2" t="s">
        <v>100</v>
      </c>
      <c r="Y2955" s="2" t="s">
        <v>9602</v>
      </c>
      <c r="Z2955" s="4">
        <v>55</v>
      </c>
      <c r="AA2955" s="4">
        <f>=ROUNDDOWN(14.8648648648649,0)</f>
      </c>
      <c r="AB2955" s="5">
        <v>3.7</v>
      </c>
      <c r="AC2955" s="2" t="s">
        <v>100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>
        <v>47</v>
      </c>
      <c r="BK2955" s="8">
        <v>2059.4</v>
      </c>
      <c r="BL2955" s="2" t="s">
        <v>9400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2480</v>
      </c>
      <c r="BV2955" s="2" t="s">
        <v>97</v>
      </c>
      <c r="BW2955" s="2" t="s">
        <v>100</v>
      </c>
      <c r="BX2955" s="2" t="s">
        <v>100</v>
      </c>
      <c r="BY2955" s="2" t="s">
        <v>113</v>
      </c>
      <c r="BZ2955" s="2" t="s">
        <v>100</v>
      </c>
    </row>
    <row r="2956">
      <c r="A2956" s="2" t="s">
        <v>9617</v>
      </c>
      <c r="B2956" s="2" t="s">
        <v>9596</v>
      </c>
      <c r="C2956" s="2" t="s">
        <v>9558</v>
      </c>
      <c r="D2956" s="2" t="s">
        <v>9597</v>
      </c>
      <c r="E2956" s="2" t="s">
        <v>9598</v>
      </c>
      <c r="F2956" s="2" t="s">
        <v>9618</v>
      </c>
      <c r="G2956" s="2" t="s">
        <v>9618</v>
      </c>
      <c r="H2956" s="2" t="s">
        <v>9618</v>
      </c>
      <c r="I2956" s="2" t="s">
        <v>9619</v>
      </c>
      <c r="J2956" s="2" t="s">
        <v>3877</v>
      </c>
      <c r="K2956" s="2" t="s">
        <v>1172</v>
      </c>
      <c r="L2956" s="3">
        <v>22.43</v>
      </c>
      <c r="M2956" s="3">
        <v>23.55</v>
      </c>
      <c r="N2956" s="3">
        <v>39.99</v>
      </c>
      <c r="O2956" s="2" t="s">
        <v>97</v>
      </c>
      <c r="P2956" s="2" t="s">
        <v>119</v>
      </c>
      <c r="Q2956" s="2" t="s">
        <v>99</v>
      </c>
      <c r="R2956" s="2" t="s">
        <v>100</v>
      </c>
      <c r="S2956" s="2" t="s">
        <v>100</v>
      </c>
      <c r="T2956" s="2" t="s">
        <v>100</v>
      </c>
      <c r="U2956" s="2" t="s">
        <v>1847</v>
      </c>
      <c r="V2956" s="2" t="s">
        <v>3188</v>
      </c>
      <c r="W2956" s="2" t="s">
        <v>183</v>
      </c>
      <c r="X2956" s="2" t="s">
        <v>100</v>
      </c>
      <c r="Y2956" s="2" t="s">
        <v>9569</v>
      </c>
      <c r="Z2956" s="4">
        <v>464</v>
      </c>
      <c r="AA2956" s="4">
        <f>=ROUNDDOWN(77.3333333333333,0)</f>
      </c>
      <c r="AB2956" s="5">
        <v>6</v>
      </c>
      <c r="AC2956" s="2" t="s">
        <v>100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/>
      <c r="BD2956" s="8"/>
      <c r="BE2956" s="4"/>
      <c r="BF2956" s="8"/>
      <c r="BG2956" s="7"/>
      <c r="BH2956" s="7"/>
      <c r="BI2956" s="7"/>
      <c r="BJ2956" s="4">
        <v>43</v>
      </c>
      <c r="BK2956" s="8">
        <v>1109.67</v>
      </c>
      <c r="BL2956" s="2" t="s">
        <v>9620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2480</v>
      </c>
      <c r="BV2956" s="2" t="s">
        <v>97</v>
      </c>
      <c r="BW2956" s="2" t="s">
        <v>100</v>
      </c>
      <c r="BX2956" s="2" t="s">
        <v>100</v>
      </c>
      <c r="BY2956" s="2" t="s">
        <v>113</v>
      </c>
      <c r="BZ2956" s="2" t="s">
        <v>100</v>
      </c>
    </row>
    <row r="2957">
      <c r="A2957" s="2" t="s">
        <v>9621</v>
      </c>
      <c r="B2957" s="2" t="s">
        <v>9596</v>
      </c>
      <c r="C2957" s="2" t="s">
        <v>9558</v>
      </c>
      <c r="D2957" s="2" t="s">
        <v>9597</v>
      </c>
      <c r="E2957" s="2" t="s">
        <v>9598</v>
      </c>
      <c r="F2957" s="2" t="s">
        <v>9622</v>
      </c>
      <c r="G2957" s="2" t="s">
        <v>9622</v>
      </c>
      <c r="H2957" s="2" t="s">
        <v>9622</v>
      </c>
      <c r="I2957" s="2" t="s">
        <v>9623</v>
      </c>
      <c r="J2957" s="2" t="s">
        <v>3877</v>
      </c>
      <c r="K2957" s="2" t="s">
        <v>9624</v>
      </c>
      <c r="L2957" s="3">
        <v>20.81</v>
      </c>
      <c r="M2957" s="3">
        <v>21.85</v>
      </c>
      <c r="N2957" s="3">
        <v>29.99</v>
      </c>
      <c r="O2957" s="2" t="s">
        <v>97</v>
      </c>
      <c r="P2957" s="2" t="s">
        <v>119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1847</v>
      </c>
      <c r="V2957" s="2" t="s">
        <v>3188</v>
      </c>
      <c r="W2957" s="2" t="s">
        <v>183</v>
      </c>
      <c r="X2957" s="2" t="s">
        <v>100</v>
      </c>
      <c r="Y2957" s="2" t="s">
        <v>9593</v>
      </c>
      <c r="Z2957" s="4">
        <v>592</v>
      </c>
      <c r="AA2957" s="4">
        <f>=ROUNDDOWN(296,0)</f>
      </c>
      <c r="AB2957" s="5">
        <v>2</v>
      </c>
      <c r="AC2957" s="2" t="s">
        <v>100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/>
      <c r="BD2957" s="8"/>
      <c r="BE2957" s="4"/>
      <c r="BF2957" s="8"/>
      <c r="BG2957" s="7"/>
      <c r="BH2957" s="7"/>
      <c r="BI2957" s="7"/>
      <c r="BJ2957" s="4">
        <v>1</v>
      </c>
      <c r="BK2957" s="8">
        <v>21.85</v>
      </c>
      <c r="BL2957" s="2" t="s">
        <v>7767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2480</v>
      </c>
      <c r="BV2957" s="2" t="s">
        <v>97</v>
      </c>
      <c r="BW2957" s="2" t="s">
        <v>100</v>
      </c>
      <c r="BX2957" s="2" t="s">
        <v>100</v>
      </c>
      <c r="BY2957" s="2" t="s">
        <v>113</v>
      </c>
      <c r="BZ2957" s="2" t="s">
        <v>100</v>
      </c>
    </row>
    <row r="2958">
      <c r="A2958" s="2" t="s">
        <v>9625</v>
      </c>
      <c r="B2958" s="2" t="s">
        <v>9596</v>
      </c>
      <c r="C2958" s="2" t="s">
        <v>9558</v>
      </c>
      <c r="D2958" s="2" t="s">
        <v>9597</v>
      </c>
      <c r="E2958" s="2" t="s">
        <v>9598</v>
      </c>
      <c r="F2958" s="2" t="s">
        <v>667</v>
      </c>
      <c r="G2958" s="2" t="s">
        <v>667</v>
      </c>
      <c r="H2958" s="2" t="s">
        <v>667</v>
      </c>
      <c r="I2958" s="2" t="s">
        <v>9626</v>
      </c>
      <c r="J2958" s="2" t="s">
        <v>9627</v>
      </c>
      <c r="K2958" s="2" t="s">
        <v>198</v>
      </c>
      <c r="L2958" s="3">
        <v>24</v>
      </c>
      <c r="M2958" s="3">
        <v>25.2</v>
      </c>
      <c r="N2958" s="3">
        <v>49.99</v>
      </c>
      <c r="O2958" s="2" t="s">
        <v>97</v>
      </c>
      <c r="P2958" s="2" t="s">
        <v>98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1847</v>
      </c>
      <c r="V2958" s="2" t="s">
        <v>3188</v>
      </c>
      <c r="W2958" s="2" t="s">
        <v>100</v>
      </c>
      <c r="X2958" s="2" t="s">
        <v>100</v>
      </c>
      <c r="Y2958" s="2" t="s">
        <v>9628</v>
      </c>
      <c r="Z2958" s="4">
        <v>227</v>
      </c>
      <c r="AA2958" s="4">
        <f>=ROUNDDOWN(13.3529411764706,0)</f>
      </c>
      <c r="AB2958" s="5">
        <v>17</v>
      </c>
      <c r="AC2958" s="2" t="s">
        <v>100</v>
      </c>
      <c r="AD2958" s="4"/>
      <c r="AE2958" s="4"/>
      <c r="AF2958" s="6">
        <v>64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>
        <v>508</v>
      </c>
      <c r="BK2958" s="8">
        <v>12830.48</v>
      </c>
      <c r="BL2958" s="2" t="s">
        <v>9629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2480</v>
      </c>
      <c r="BV2958" s="2" t="s">
        <v>97</v>
      </c>
      <c r="BW2958" s="2" t="s">
        <v>100</v>
      </c>
      <c r="BX2958" s="2" t="s">
        <v>100</v>
      </c>
      <c r="BY2958" s="2" t="s">
        <v>113</v>
      </c>
      <c r="BZ2958" s="2" t="s">
        <v>100</v>
      </c>
    </row>
    <row r="2959">
      <c r="A2959" s="2" t="s">
        <v>9630</v>
      </c>
      <c r="B2959" s="2" t="s">
        <v>9596</v>
      </c>
      <c r="C2959" s="2" t="s">
        <v>9558</v>
      </c>
      <c r="D2959" s="2" t="s">
        <v>9597</v>
      </c>
      <c r="E2959" s="2" t="s">
        <v>9598</v>
      </c>
      <c r="F2959" s="2" t="s">
        <v>667</v>
      </c>
      <c r="G2959" s="2" t="s">
        <v>667</v>
      </c>
      <c r="H2959" s="2" t="s">
        <v>667</v>
      </c>
      <c r="I2959" s="2" t="s">
        <v>9626</v>
      </c>
      <c r="J2959" s="2" t="s">
        <v>9631</v>
      </c>
      <c r="K2959" s="2" t="s">
        <v>198</v>
      </c>
      <c r="L2959" s="3">
        <v>50</v>
      </c>
      <c r="M2959" s="3">
        <v>52.5</v>
      </c>
      <c r="N2959" s="3">
        <v>104.99</v>
      </c>
      <c r="O2959" s="2" t="s">
        <v>97</v>
      </c>
      <c r="P2959" s="2" t="s">
        <v>119</v>
      </c>
      <c r="Q2959" s="2" t="s">
        <v>99</v>
      </c>
      <c r="R2959" s="2" t="s">
        <v>100</v>
      </c>
      <c r="S2959" s="2" t="s">
        <v>100</v>
      </c>
      <c r="T2959" s="2" t="s">
        <v>100</v>
      </c>
      <c r="U2959" s="2" t="s">
        <v>1847</v>
      </c>
      <c r="V2959" s="2" t="s">
        <v>3188</v>
      </c>
      <c r="W2959" s="2" t="s">
        <v>100</v>
      </c>
      <c r="X2959" s="2" t="s">
        <v>100</v>
      </c>
      <c r="Y2959" s="2" t="s">
        <v>9628</v>
      </c>
      <c r="Z2959" s="4">
        <v>806</v>
      </c>
      <c r="AA2959" s="4">
        <f>=ROUNDDOWN(134.333333333333,0)</f>
      </c>
      <c r="AB2959" s="5">
        <v>6</v>
      </c>
      <c r="AC2959" s="2" t="s">
        <v>100</v>
      </c>
      <c r="AD2959" s="4"/>
      <c r="AE2959" s="4"/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>
        <v>104</v>
      </c>
      <c r="BK2959" s="8">
        <v>4947.72</v>
      </c>
      <c r="BL2959" s="2" t="s">
        <v>9632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2480</v>
      </c>
      <c r="BV2959" s="2" t="s">
        <v>97</v>
      </c>
      <c r="BW2959" s="2" t="s">
        <v>100</v>
      </c>
      <c r="BX2959" s="2" t="s">
        <v>100</v>
      </c>
      <c r="BY2959" s="2" t="s">
        <v>113</v>
      </c>
      <c r="BZ2959" s="2" t="s">
        <v>100</v>
      </c>
    </row>
    <row r="2960">
      <c r="A2960" s="2" t="s">
        <v>9633</v>
      </c>
      <c r="B2960" s="2" t="s">
        <v>9596</v>
      </c>
      <c r="C2960" s="2" t="s">
        <v>9558</v>
      </c>
      <c r="D2960" s="2" t="s">
        <v>9597</v>
      </c>
      <c r="E2960" s="2" t="s">
        <v>9598</v>
      </c>
      <c r="F2960" s="2" t="s">
        <v>667</v>
      </c>
      <c r="G2960" s="2" t="s">
        <v>667</v>
      </c>
      <c r="H2960" s="2" t="s">
        <v>667</v>
      </c>
      <c r="I2960" s="2" t="s">
        <v>9626</v>
      </c>
      <c r="J2960" s="2" t="s">
        <v>9634</v>
      </c>
      <c r="K2960" s="2" t="s">
        <v>198</v>
      </c>
      <c r="L2960" s="3">
        <v>80</v>
      </c>
      <c r="M2960" s="3">
        <v>84</v>
      </c>
      <c r="N2960" s="3">
        <v>167.99</v>
      </c>
      <c r="O2960" s="2" t="s">
        <v>97</v>
      </c>
      <c r="P2960" s="2" t="s">
        <v>119</v>
      </c>
      <c r="Q2960" s="2" t="s">
        <v>99</v>
      </c>
      <c r="R2960" s="2" t="s">
        <v>100</v>
      </c>
      <c r="S2960" s="2" t="s">
        <v>100</v>
      </c>
      <c r="T2960" s="2" t="s">
        <v>100</v>
      </c>
      <c r="U2960" s="2" t="s">
        <v>1847</v>
      </c>
      <c r="V2960" s="2" t="s">
        <v>3188</v>
      </c>
      <c r="W2960" s="2" t="s">
        <v>100</v>
      </c>
      <c r="X2960" s="2" t="s">
        <v>100</v>
      </c>
      <c r="Y2960" s="2" t="s">
        <v>9628</v>
      </c>
      <c r="Z2960" s="4">
        <v>334</v>
      </c>
      <c r="AA2960" s="4">
        <f>=ROUNDDOWN(334,0)</f>
      </c>
      <c r="AB2960" s="5">
        <v>1</v>
      </c>
      <c r="AC2960" s="2" t="s">
        <v>100</v>
      </c>
      <c r="AD2960" s="4"/>
      <c r="AE2960" s="4"/>
      <c r="AF2960" s="6">
        <v>64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>
        <v>16</v>
      </c>
      <c r="BK2960" s="8">
        <v>1387.2</v>
      </c>
      <c r="BL2960" s="2" t="s">
        <v>9635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2480</v>
      </c>
      <c r="BV2960" s="2" t="s">
        <v>97</v>
      </c>
      <c r="BW2960" s="2" t="s">
        <v>100</v>
      </c>
      <c r="BX2960" s="2" t="s">
        <v>100</v>
      </c>
      <c r="BY2960" s="2" t="s">
        <v>113</v>
      </c>
      <c r="BZ2960" s="2" t="s">
        <v>100</v>
      </c>
    </row>
    <row r="2961">
      <c r="A2961" s="2" t="s">
        <v>9636</v>
      </c>
      <c r="B2961" s="2" t="s">
        <v>9596</v>
      </c>
      <c r="C2961" s="2" t="s">
        <v>9558</v>
      </c>
      <c r="D2961" s="2" t="s">
        <v>9597</v>
      </c>
      <c r="E2961" s="2" t="s">
        <v>9598</v>
      </c>
      <c r="F2961" s="2" t="s">
        <v>2154</v>
      </c>
      <c r="G2961" s="2" t="s">
        <v>2154</v>
      </c>
      <c r="H2961" s="2" t="s">
        <v>2154</v>
      </c>
      <c r="I2961" s="2" t="s">
        <v>9637</v>
      </c>
      <c r="J2961" s="2" t="s">
        <v>9638</v>
      </c>
      <c r="K2961" s="2" t="s">
        <v>198</v>
      </c>
      <c r="L2961" s="3">
        <v>18</v>
      </c>
      <c r="M2961" s="3">
        <v>18.9</v>
      </c>
      <c r="N2961" s="3">
        <v>37.99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100</v>
      </c>
      <c r="T2961" s="2" t="s">
        <v>100</v>
      </c>
      <c r="U2961" s="2" t="s">
        <v>1847</v>
      </c>
      <c r="V2961" s="2" t="s">
        <v>3188</v>
      </c>
      <c r="W2961" s="2" t="s">
        <v>100</v>
      </c>
      <c r="X2961" s="2" t="s">
        <v>100</v>
      </c>
      <c r="Y2961" s="2" t="s">
        <v>9639</v>
      </c>
      <c r="Z2961" s="4">
        <v>987</v>
      </c>
      <c r="AA2961" s="4">
        <f>=ROUNDDOWN(44.8636363636364,0)</f>
      </c>
      <c r="AB2961" s="5">
        <v>22</v>
      </c>
      <c r="AC2961" s="2" t="s">
        <v>100</v>
      </c>
      <c r="AD2961" s="4"/>
      <c r="AE2961" s="4"/>
      <c r="AF2961" s="6">
        <v>64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/>
      <c r="AW2961" s="8"/>
      <c r="AX2961" s="4"/>
      <c r="AY2961" s="8"/>
      <c r="AZ2961" s="7"/>
      <c r="BA2961" s="7"/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>
        <v>383</v>
      </c>
      <c r="BK2961" s="8">
        <v>6354.96</v>
      </c>
      <c r="BL2961" s="2" t="s">
        <v>9632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2480</v>
      </c>
      <c r="BV2961" s="2" t="s">
        <v>97</v>
      </c>
      <c r="BW2961" s="2" t="s">
        <v>100</v>
      </c>
      <c r="BX2961" s="2" t="s">
        <v>100</v>
      </c>
      <c r="BY2961" s="2" t="s">
        <v>113</v>
      </c>
      <c r="BZ2961" s="2" t="s">
        <v>100</v>
      </c>
    </row>
    <row r="2962">
      <c r="A2962" s="2" t="s">
        <v>9640</v>
      </c>
      <c r="B2962" s="2" t="s">
        <v>9596</v>
      </c>
      <c r="C2962" s="2" t="s">
        <v>9558</v>
      </c>
      <c r="D2962" s="2" t="s">
        <v>9597</v>
      </c>
      <c r="E2962" s="2" t="s">
        <v>9598</v>
      </c>
      <c r="F2962" s="2" t="s">
        <v>2154</v>
      </c>
      <c r="G2962" s="2" t="s">
        <v>2154</v>
      </c>
      <c r="H2962" s="2" t="s">
        <v>2154</v>
      </c>
      <c r="I2962" s="2" t="s">
        <v>9637</v>
      </c>
      <c r="J2962" s="2" t="s">
        <v>9638</v>
      </c>
      <c r="K2962" s="2" t="s">
        <v>1172</v>
      </c>
      <c r="L2962" s="3">
        <v>18</v>
      </c>
      <c r="M2962" s="3">
        <v>18.9</v>
      </c>
      <c r="N2962" s="3">
        <v>37.99</v>
      </c>
      <c r="O2962" s="2" t="s">
        <v>97</v>
      </c>
      <c r="P2962" s="2" t="s">
        <v>98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1847</v>
      </c>
      <c r="V2962" s="2" t="s">
        <v>3188</v>
      </c>
      <c r="W2962" s="2" t="s">
        <v>100</v>
      </c>
      <c r="X2962" s="2" t="s">
        <v>100</v>
      </c>
      <c r="Y2962" s="2" t="s">
        <v>4043</v>
      </c>
      <c r="Z2962" s="4">
        <v>140</v>
      </c>
      <c r="AA2962" s="4">
        <f>=ROUNDDOWN(10,0)</f>
      </c>
      <c r="AB2962" s="5">
        <v>14</v>
      </c>
      <c r="AC2962" s="2" t="s">
        <v>100</v>
      </c>
      <c r="AD2962" s="4"/>
      <c r="AE2962" s="4"/>
      <c r="AF2962" s="6">
        <v>64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>
        <v>285</v>
      </c>
      <c r="BK2962" s="8">
        <v>4965.24</v>
      </c>
      <c r="BL2962" s="2" t="s">
        <v>9641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2480</v>
      </c>
      <c r="BV2962" s="2" t="s">
        <v>97</v>
      </c>
      <c r="BW2962" s="2" t="s">
        <v>100</v>
      </c>
      <c r="BX2962" s="2" t="s">
        <v>100</v>
      </c>
      <c r="BY2962" s="2" t="s">
        <v>113</v>
      </c>
      <c r="BZ2962" s="2" t="s">
        <v>100</v>
      </c>
    </row>
    <row r="2963">
      <c r="A2963" s="2" t="s">
        <v>9642</v>
      </c>
      <c r="B2963" s="2" t="s">
        <v>9596</v>
      </c>
      <c r="C2963" s="2" t="s">
        <v>9558</v>
      </c>
      <c r="D2963" s="2" t="s">
        <v>9597</v>
      </c>
      <c r="E2963" s="2" t="s">
        <v>9598</v>
      </c>
      <c r="F2963" s="2" t="s">
        <v>9643</v>
      </c>
      <c r="G2963" s="2" t="s">
        <v>9643</v>
      </c>
      <c r="H2963" s="2" t="s">
        <v>9643</v>
      </c>
      <c r="I2963" s="2" t="s">
        <v>9644</v>
      </c>
      <c r="J2963" s="2" t="s">
        <v>5322</v>
      </c>
      <c r="K2963" s="2" t="s">
        <v>198</v>
      </c>
      <c r="L2963" s="3">
        <v>9.51</v>
      </c>
      <c r="M2963" s="3">
        <v>9.99</v>
      </c>
      <c r="N2963" s="3">
        <v>24.99</v>
      </c>
      <c r="O2963" s="2" t="s">
        <v>97</v>
      </c>
      <c r="P2963" s="2" t="s">
        <v>119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1847</v>
      </c>
      <c r="V2963" s="2" t="s">
        <v>3188</v>
      </c>
      <c r="W2963" s="2" t="s">
        <v>183</v>
      </c>
      <c r="X2963" s="2" t="s">
        <v>100</v>
      </c>
      <c r="Y2963" s="2" t="s">
        <v>9569</v>
      </c>
      <c r="Z2963" s="4">
        <v>396</v>
      </c>
      <c r="AA2963" s="4">
        <f>=ROUNDDOWN(123.75,0)</f>
      </c>
      <c r="AB2963" s="5">
        <v>3.2</v>
      </c>
      <c r="AC2963" s="2" t="s">
        <v>100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>
        <v>133</v>
      </c>
      <c r="BK2963" s="8">
        <v>1544.74</v>
      </c>
      <c r="BL2963" s="2" t="s">
        <v>9645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2480</v>
      </c>
      <c r="BV2963" s="2" t="s">
        <v>97</v>
      </c>
      <c r="BW2963" s="2" t="s">
        <v>100</v>
      </c>
      <c r="BX2963" s="2" t="s">
        <v>100</v>
      </c>
      <c r="BY2963" s="2" t="s">
        <v>113</v>
      </c>
      <c r="BZ2963" s="2" t="s">
        <v>100</v>
      </c>
    </row>
    <row r="2964">
      <c r="A2964" s="2" t="s">
        <v>9646</v>
      </c>
      <c r="B2964" s="2" t="s">
        <v>9596</v>
      </c>
      <c r="C2964" s="2" t="s">
        <v>9558</v>
      </c>
      <c r="D2964" s="2" t="s">
        <v>9597</v>
      </c>
      <c r="E2964" s="2" t="s">
        <v>9598</v>
      </c>
      <c r="F2964" s="2" t="s">
        <v>9643</v>
      </c>
      <c r="G2964" s="2" t="s">
        <v>9643</v>
      </c>
      <c r="H2964" s="2" t="s">
        <v>9643</v>
      </c>
      <c r="I2964" s="2" t="s">
        <v>9647</v>
      </c>
      <c r="J2964" s="2" t="s">
        <v>9648</v>
      </c>
      <c r="K2964" s="2" t="s">
        <v>198</v>
      </c>
      <c r="L2964" s="3">
        <v>16.01</v>
      </c>
      <c r="M2964" s="3">
        <v>16.81</v>
      </c>
      <c r="N2964" s="3">
        <v>34.99</v>
      </c>
      <c r="O2964" s="2" t="s">
        <v>97</v>
      </c>
      <c r="P2964" s="2" t="s">
        <v>119</v>
      </c>
      <c r="Q2964" s="2" t="s">
        <v>99</v>
      </c>
      <c r="R2964" s="2" t="s">
        <v>100</v>
      </c>
      <c r="S2964" s="2" t="s">
        <v>100</v>
      </c>
      <c r="T2964" s="2" t="s">
        <v>100</v>
      </c>
      <c r="U2964" s="2" t="s">
        <v>1847</v>
      </c>
      <c r="V2964" s="2" t="s">
        <v>3188</v>
      </c>
      <c r="W2964" s="2" t="s">
        <v>183</v>
      </c>
      <c r="X2964" s="2" t="s">
        <v>100</v>
      </c>
      <c r="Y2964" s="2" t="s">
        <v>9569</v>
      </c>
      <c r="Z2964" s="4">
        <v>389</v>
      </c>
      <c r="AA2964" s="4">
        <f>=ROUNDDOWN(38.9,0)</f>
      </c>
      <c r="AB2964" s="5">
        <v>10</v>
      </c>
      <c r="AC2964" s="2" t="s">
        <v>100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>
        <v>269</v>
      </c>
      <c r="BK2964" s="8">
        <v>5056.21</v>
      </c>
      <c r="BL2964" s="2" t="s">
        <v>9049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2480</v>
      </c>
      <c r="BV2964" s="2" t="s">
        <v>97</v>
      </c>
      <c r="BW2964" s="2" t="s">
        <v>100</v>
      </c>
      <c r="BX2964" s="2" t="s">
        <v>100</v>
      </c>
      <c r="BY2964" s="2" t="s">
        <v>113</v>
      </c>
      <c r="BZ2964" s="2" t="s">
        <v>100</v>
      </c>
    </row>
    <row r="2965">
      <c r="A2965" s="2" t="s">
        <v>9649</v>
      </c>
      <c r="B2965" s="2" t="s">
        <v>9596</v>
      </c>
      <c r="C2965" s="2" t="s">
        <v>9558</v>
      </c>
      <c r="D2965" s="2" t="s">
        <v>9597</v>
      </c>
      <c r="E2965" s="2" t="s">
        <v>9598</v>
      </c>
      <c r="F2965" s="2" t="s">
        <v>3921</v>
      </c>
      <c r="G2965" s="2" t="s">
        <v>3921</v>
      </c>
      <c r="H2965" s="2" t="s">
        <v>3921</v>
      </c>
      <c r="I2965" s="2" t="s">
        <v>9650</v>
      </c>
      <c r="J2965" s="2" t="s">
        <v>9651</v>
      </c>
      <c r="K2965" s="2" t="s">
        <v>198</v>
      </c>
      <c r="L2965" s="3">
        <v>8.66</v>
      </c>
      <c r="M2965" s="3">
        <v>9.09</v>
      </c>
      <c r="N2965" s="3">
        <v>19.99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100</v>
      </c>
      <c r="T2965" s="2" t="s">
        <v>100</v>
      </c>
      <c r="U2965" s="2" t="s">
        <v>1847</v>
      </c>
      <c r="V2965" s="2" t="s">
        <v>3188</v>
      </c>
      <c r="W2965" s="2" t="s">
        <v>183</v>
      </c>
      <c r="X2965" s="2" t="s">
        <v>100</v>
      </c>
      <c r="Y2965" s="2" t="s">
        <v>9569</v>
      </c>
      <c r="Z2965" s="4">
        <v>6</v>
      </c>
      <c r="AA2965" s="4">
        <f>=ROUNDDOWN(0.107142857142857,0)</f>
      </c>
      <c r="AB2965" s="5">
        <v>56</v>
      </c>
      <c r="AC2965" s="2" t="s">
        <v>1069</v>
      </c>
      <c r="AD2965" s="4">
        <v>1200</v>
      </c>
      <c r="AE2965" s="4">
        <v>2004</v>
      </c>
      <c r="AF2965" s="6">
        <v>65</v>
      </c>
      <c r="AG2965" s="6"/>
      <c r="AH2965" s="7">
        <v>0.3262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>
        <v>1587</v>
      </c>
      <c r="BK2965" s="8">
        <v>15785.71</v>
      </c>
      <c r="BL2965" s="2" t="s">
        <v>9635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2480</v>
      </c>
      <c r="BV2965" s="2" t="s">
        <v>97</v>
      </c>
      <c r="BW2965" s="2" t="s">
        <v>100</v>
      </c>
      <c r="BX2965" s="2" t="s">
        <v>100</v>
      </c>
      <c r="BY2965" s="2" t="s">
        <v>113</v>
      </c>
      <c r="BZ2965" s="2" t="s">
        <v>100</v>
      </c>
    </row>
    <row r="2966">
      <c r="A2966" s="2" t="s">
        <v>9652</v>
      </c>
      <c r="B2966" s="2" t="s">
        <v>9596</v>
      </c>
      <c r="C2966" s="2" t="s">
        <v>9558</v>
      </c>
      <c r="D2966" s="2" t="s">
        <v>9597</v>
      </c>
      <c r="E2966" s="2" t="s">
        <v>9598</v>
      </c>
      <c r="F2966" s="2" t="s">
        <v>3921</v>
      </c>
      <c r="G2966" s="2" t="s">
        <v>3921</v>
      </c>
      <c r="H2966" s="2" t="s">
        <v>3921</v>
      </c>
      <c r="I2966" s="2" t="s">
        <v>9650</v>
      </c>
      <c r="J2966" s="2" t="s">
        <v>9601</v>
      </c>
      <c r="K2966" s="2" t="s">
        <v>198</v>
      </c>
      <c r="L2966" s="3">
        <v>10.57</v>
      </c>
      <c r="M2966" s="3">
        <v>11.1</v>
      </c>
      <c r="N2966" s="3">
        <v>23.99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100</v>
      </c>
      <c r="T2966" s="2" t="s">
        <v>100</v>
      </c>
      <c r="U2966" s="2" t="s">
        <v>1847</v>
      </c>
      <c r="V2966" s="2" t="s">
        <v>3188</v>
      </c>
      <c r="W2966" s="2" t="s">
        <v>183</v>
      </c>
      <c r="X2966" s="2" t="s">
        <v>100</v>
      </c>
      <c r="Y2966" s="2" t="s">
        <v>9569</v>
      </c>
      <c r="Z2966" s="4">
        <v>1353</v>
      </c>
      <c r="AA2966" s="4">
        <f>=ROUNDDOWN(112.75,0)</f>
      </c>
      <c r="AB2966" s="5">
        <v>12</v>
      </c>
      <c r="AC2966" s="2" t="s">
        <v>100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>
        <v>355</v>
      </c>
      <c r="BK2966" s="8">
        <v>4297.33</v>
      </c>
      <c r="BL2966" s="2" t="s">
        <v>9635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2480</v>
      </c>
      <c r="BV2966" s="2" t="s">
        <v>97</v>
      </c>
      <c r="BW2966" s="2" t="s">
        <v>100</v>
      </c>
      <c r="BX2966" s="2" t="s">
        <v>100</v>
      </c>
      <c r="BY2966" s="2" t="s">
        <v>113</v>
      </c>
      <c r="BZ2966" s="2" t="s">
        <v>100</v>
      </c>
    </row>
    <row r="2967">
      <c r="A2967" s="2" t="s">
        <v>9653</v>
      </c>
      <c r="B2967" s="2" t="s">
        <v>9596</v>
      </c>
      <c r="C2967" s="2" t="s">
        <v>9558</v>
      </c>
      <c r="D2967" s="2" t="s">
        <v>9597</v>
      </c>
      <c r="E2967" s="2" t="s">
        <v>9598</v>
      </c>
      <c r="F2967" s="2" t="s">
        <v>3921</v>
      </c>
      <c r="G2967" s="2" t="s">
        <v>3921</v>
      </c>
      <c r="H2967" s="2" t="s">
        <v>3921</v>
      </c>
      <c r="I2967" s="2" t="s">
        <v>9650</v>
      </c>
      <c r="J2967" s="2" t="s">
        <v>9605</v>
      </c>
      <c r="K2967" s="2" t="s">
        <v>198</v>
      </c>
      <c r="L2967" s="3">
        <v>13.42</v>
      </c>
      <c r="M2967" s="3">
        <v>14.09</v>
      </c>
      <c r="N2967" s="3">
        <v>29.99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1847</v>
      </c>
      <c r="V2967" s="2" t="s">
        <v>3188</v>
      </c>
      <c r="W2967" s="2" t="s">
        <v>183</v>
      </c>
      <c r="X2967" s="2" t="s">
        <v>100</v>
      </c>
      <c r="Y2967" s="2" t="s">
        <v>9569</v>
      </c>
      <c r="Z2967" s="4">
        <v>1345</v>
      </c>
      <c r="AA2967" s="4">
        <f>=ROUNDDOWN(84.0625,0)</f>
      </c>
      <c r="AB2967" s="5">
        <v>16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>
        <v>376</v>
      </c>
      <c r="BK2967" s="8">
        <v>5771.5</v>
      </c>
      <c r="BL2967" s="2" t="s">
        <v>9620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2480</v>
      </c>
      <c r="BV2967" s="2" t="s">
        <v>97</v>
      </c>
      <c r="BW2967" s="2" t="s">
        <v>100</v>
      </c>
      <c r="BX2967" s="2" t="s">
        <v>100</v>
      </c>
      <c r="BY2967" s="2" t="s">
        <v>113</v>
      </c>
      <c r="BZ2967" s="2" t="s">
        <v>100</v>
      </c>
    </row>
    <row r="2968">
      <c r="A2968" s="2" t="s">
        <v>9654</v>
      </c>
      <c r="B2968" s="2" t="s">
        <v>9596</v>
      </c>
      <c r="C2968" s="2" t="s">
        <v>9558</v>
      </c>
      <c r="D2968" s="2" t="s">
        <v>9597</v>
      </c>
      <c r="E2968" s="2" t="s">
        <v>9598</v>
      </c>
      <c r="F2968" s="2" t="s">
        <v>3921</v>
      </c>
      <c r="G2968" s="2" t="s">
        <v>3921</v>
      </c>
      <c r="H2968" s="2" t="s">
        <v>3921</v>
      </c>
      <c r="I2968" s="2" t="s">
        <v>9650</v>
      </c>
      <c r="J2968" s="2" t="s">
        <v>9609</v>
      </c>
      <c r="K2968" s="2" t="s">
        <v>198</v>
      </c>
      <c r="L2968" s="3">
        <v>15.03</v>
      </c>
      <c r="M2968" s="3">
        <v>15.78</v>
      </c>
      <c r="N2968" s="3">
        <v>34.99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100</v>
      </c>
      <c r="T2968" s="2" t="s">
        <v>100</v>
      </c>
      <c r="U2968" s="2" t="s">
        <v>1847</v>
      </c>
      <c r="V2968" s="2" t="s">
        <v>3188</v>
      </c>
      <c r="W2968" s="2" t="s">
        <v>183</v>
      </c>
      <c r="X2968" s="2" t="s">
        <v>100</v>
      </c>
      <c r="Y2968" s="2" t="s">
        <v>9569</v>
      </c>
      <c r="Z2968" s="4">
        <v>1749</v>
      </c>
      <c r="AA2968" s="4">
        <f>=ROUNDDOWN(174.9,0)</f>
      </c>
      <c r="AB2968" s="5">
        <v>10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>
        <v>107</v>
      </c>
      <c r="BK2968" s="8">
        <v>1825.33</v>
      </c>
      <c r="BL2968" s="2" t="s">
        <v>9635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2480</v>
      </c>
      <c r="BV2968" s="2" t="s">
        <v>97</v>
      </c>
      <c r="BW2968" s="2" t="s">
        <v>100</v>
      </c>
      <c r="BX2968" s="2" t="s">
        <v>100</v>
      </c>
      <c r="BY2968" s="2" t="s">
        <v>113</v>
      </c>
      <c r="BZ2968" s="2" t="s">
        <v>100</v>
      </c>
    </row>
    <row r="2969">
      <c r="A2969" s="2" t="s">
        <v>9655</v>
      </c>
      <c r="B2969" s="2" t="s">
        <v>9596</v>
      </c>
      <c r="C2969" s="2" t="s">
        <v>9558</v>
      </c>
      <c r="D2969" s="2" t="s">
        <v>9597</v>
      </c>
      <c r="E2969" s="2" t="s">
        <v>9598</v>
      </c>
      <c r="F2969" s="2" t="s">
        <v>3921</v>
      </c>
      <c r="G2969" s="2" t="s">
        <v>3921</v>
      </c>
      <c r="H2969" s="2" t="s">
        <v>3921</v>
      </c>
      <c r="I2969" s="2" t="s">
        <v>9656</v>
      </c>
      <c r="J2969" s="2" t="s">
        <v>9651</v>
      </c>
      <c r="K2969" s="2" t="s">
        <v>3688</v>
      </c>
      <c r="L2969" s="3">
        <v>11.19</v>
      </c>
      <c r="M2969" s="3">
        <v>11.75</v>
      </c>
      <c r="N2969" s="3">
        <v>21.99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100</v>
      </c>
      <c r="T2969" s="2" t="s">
        <v>100</v>
      </c>
      <c r="U2969" s="2" t="s">
        <v>1847</v>
      </c>
      <c r="V2969" s="2" t="s">
        <v>3188</v>
      </c>
      <c r="W2969" s="2" t="s">
        <v>183</v>
      </c>
      <c r="X2969" s="2" t="s">
        <v>100</v>
      </c>
      <c r="Y2969" s="2" t="s">
        <v>9657</v>
      </c>
      <c r="Z2969" s="4">
        <v>1558</v>
      </c>
      <c r="AA2969" s="4">
        <f>=ROUNDDOWN(236.060606060606,0)</f>
      </c>
      <c r="AB2969" s="5">
        <v>6.6</v>
      </c>
      <c r="AC2969" s="2" t="s">
        <v>100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282</v>
      </c>
      <c r="BK2969" s="8">
        <v>3629.34</v>
      </c>
      <c r="BL2969" s="2" t="s">
        <v>9565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2480</v>
      </c>
      <c r="BV2969" s="2" t="s">
        <v>97</v>
      </c>
      <c r="BW2969" s="2" t="s">
        <v>100</v>
      </c>
      <c r="BX2969" s="2" t="s">
        <v>100</v>
      </c>
      <c r="BY2969" s="2" t="s">
        <v>113</v>
      </c>
      <c r="BZ2969" s="2" t="s">
        <v>100</v>
      </c>
    </row>
    <row r="2970">
      <c r="A2970" s="2" t="s">
        <v>9658</v>
      </c>
      <c r="B2970" s="2" t="s">
        <v>9596</v>
      </c>
      <c r="C2970" s="2" t="s">
        <v>9558</v>
      </c>
      <c r="D2970" s="2" t="s">
        <v>9597</v>
      </c>
      <c r="E2970" s="2" t="s">
        <v>9598</v>
      </c>
      <c r="F2970" s="2" t="s">
        <v>3921</v>
      </c>
      <c r="G2970" s="2" t="s">
        <v>3921</v>
      </c>
      <c r="H2970" s="2" t="s">
        <v>3921</v>
      </c>
      <c r="I2970" s="2" t="s">
        <v>9656</v>
      </c>
      <c r="J2970" s="2" t="s">
        <v>9601</v>
      </c>
      <c r="K2970" s="2" t="s">
        <v>3688</v>
      </c>
      <c r="L2970" s="3">
        <v>13.49</v>
      </c>
      <c r="M2970" s="3">
        <v>14.16</v>
      </c>
      <c r="N2970" s="3">
        <v>24.99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1847</v>
      </c>
      <c r="V2970" s="2" t="s">
        <v>3188</v>
      </c>
      <c r="W2970" s="2" t="s">
        <v>183</v>
      </c>
      <c r="X2970" s="2" t="s">
        <v>100</v>
      </c>
      <c r="Y2970" s="2" t="s">
        <v>9657</v>
      </c>
      <c r="Z2970" s="4">
        <v>1227</v>
      </c>
      <c r="AA2970" s="4">
        <f>=ROUNDDOWN(49.08,0)</f>
      </c>
      <c r="AB2970" s="5">
        <v>25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>
        <v>536</v>
      </c>
      <c r="BK2970" s="8">
        <v>8313.9</v>
      </c>
      <c r="BL2970" s="2" t="s">
        <v>9620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2480</v>
      </c>
      <c r="BV2970" s="2" t="s">
        <v>97</v>
      </c>
      <c r="BW2970" s="2" t="s">
        <v>100</v>
      </c>
      <c r="BX2970" s="2" t="s">
        <v>100</v>
      </c>
      <c r="BY2970" s="2" t="s">
        <v>113</v>
      </c>
      <c r="BZ2970" s="2" t="s">
        <v>100</v>
      </c>
    </row>
    <row r="2971">
      <c r="A2971" s="2" t="s">
        <v>9659</v>
      </c>
      <c r="B2971" s="2" t="s">
        <v>9596</v>
      </c>
      <c r="C2971" s="2" t="s">
        <v>9558</v>
      </c>
      <c r="D2971" s="2" t="s">
        <v>9597</v>
      </c>
      <c r="E2971" s="2" t="s">
        <v>9598</v>
      </c>
      <c r="F2971" s="2" t="s">
        <v>3921</v>
      </c>
      <c r="G2971" s="2" t="s">
        <v>3921</v>
      </c>
      <c r="H2971" s="2" t="s">
        <v>3921</v>
      </c>
      <c r="I2971" s="2" t="s">
        <v>9656</v>
      </c>
      <c r="J2971" s="2" t="s">
        <v>9605</v>
      </c>
      <c r="K2971" s="2" t="s">
        <v>3688</v>
      </c>
      <c r="L2971" s="3">
        <v>18.65</v>
      </c>
      <c r="M2971" s="3">
        <v>19.58</v>
      </c>
      <c r="N2971" s="3">
        <v>26.99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100</v>
      </c>
      <c r="T2971" s="2" t="s">
        <v>100</v>
      </c>
      <c r="U2971" s="2" t="s">
        <v>1847</v>
      </c>
      <c r="V2971" s="2" t="s">
        <v>3188</v>
      </c>
      <c r="W2971" s="2" t="s">
        <v>183</v>
      </c>
      <c r="X2971" s="2" t="s">
        <v>100</v>
      </c>
      <c r="Y2971" s="2" t="s">
        <v>9657</v>
      </c>
      <c r="Z2971" s="4">
        <v>1534</v>
      </c>
      <c r="AA2971" s="4">
        <f>=ROUNDDOWN(278.909090909091,0)</f>
      </c>
      <c r="AB2971" s="5">
        <v>5.5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239</v>
      </c>
      <c r="BK2971" s="8">
        <v>5105.29</v>
      </c>
      <c r="BL2971" s="2" t="s">
        <v>9620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2480</v>
      </c>
      <c r="BV2971" s="2" t="s">
        <v>97</v>
      </c>
      <c r="BW2971" s="2" t="s">
        <v>100</v>
      </c>
      <c r="BX2971" s="2" t="s">
        <v>100</v>
      </c>
      <c r="BY2971" s="2" t="s">
        <v>113</v>
      </c>
      <c r="BZ2971" s="2" t="s">
        <v>100</v>
      </c>
    </row>
    <row r="2972">
      <c r="A2972" s="2" t="s">
        <v>9660</v>
      </c>
      <c r="B2972" s="2" t="s">
        <v>9596</v>
      </c>
      <c r="C2972" s="2" t="s">
        <v>9558</v>
      </c>
      <c r="D2972" s="2" t="s">
        <v>9597</v>
      </c>
      <c r="E2972" s="2" t="s">
        <v>9598</v>
      </c>
      <c r="F2972" s="2" t="s">
        <v>3921</v>
      </c>
      <c r="G2972" s="2" t="s">
        <v>3921</v>
      </c>
      <c r="H2972" s="2" t="s">
        <v>3921</v>
      </c>
      <c r="I2972" s="2" t="s">
        <v>9656</v>
      </c>
      <c r="J2972" s="2" t="s">
        <v>9609</v>
      </c>
      <c r="K2972" s="2" t="s">
        <v>3688</v>
      </c>
      <c r="L2972" s="3">
        <v>20.9</v>
      </c>
      <c r="M2972" s="3">
        <v>21.95</v>
      </c>
      <c r="N2972" s="3">
        <v>29.99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1847</v>
      </c>
      <c r="V2972" s="2" t="s">
        <v>3188</v>
      </c>
      <c r="W2972" s="2" t="s">
        <v>183</v>
      </c>
      <c r="X2972" s="2" t="s">
        <v>100</v>
      </c>
      <c r="Y2972" s="2" t="s">
        <v>9657</v>
      </c>
      <c r="Z2972" s="4">
        <v>1314</v>
      </c>
      <c r="AA2972" s="4">
        <f>=ROUNDDOWN(52.56,0)</f>
      </c>
      <c r="AB2972" s="5">
        <v>25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486</v>
      </c>
      <c r="BK2972" s="8">
        <v>11664.78</v>
      </c>
      <c r="BL2972" s="2" t="s">
        <v>9620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2480</v>
      </c>
      <c r="BV2972" s="2" t="s">
        <v>97</v>
      </c>
      <c r="BW2972" s="2" t="s">
        <v>100</v>
      </c>
      <c r="BX2972" s="2" t="s">
        <v>100</v>
      </c>
      <c r="BY2972" s="2" t="s">
        <v>113</v>
      </c>
      <c r="BZ2972" s="2" t="s">
        <v>100</v>
      </c>
    </row>
    <row r="2973">
      <c r="A2973" s="2" t="s">
        <v>9661</v>
      </c>
      <c r="B2973" s="2" t="s">
        <v>9596</v>
      </c>
      <c r="C2973" s="2" t="s">
        <v>9558</v>
      </c>
      <c r="D2973" s="2" t="s">
        <v>9597</v>
      </c>
      <c r="E2973" s="2" t="s">
        <v>9598</v>
      </c>
      <c r="F2973" s="2" t="s">
        <v>9662</v>
      </c>
      <c r="G2973" s="2" t="s">
        <v>9662</v>
      </c>
      <c r="H2973" s="2" t="s">
        <v>9662</v>
      </c>
      <c r="I2973" s="2" t="s">
        <v>9663</v>
      </c>
      <c r="J2973" s="2" t="s">
        <v>9651</v>
      </c>
      <c r="K2973" s="2" t="s">
        <v>718</v>
      </c>
      <c r="L2973" s="3">
        <v>9.27</v>
      </c>
      <c r="M2973" s="3">
        <v>9.73</v>
      </c>
      <c r="N2973" s="3">
        <v>19.99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100</v>
      </c>
      <c r="T2973" s="2" t="s">
        <v>100</v>
      </c>
      <c r="U2973" s="2" t="s">
        <v>1847</v>
      </c>
      <c r="V2973" s="2" t="s">
        <v>3188</v>
      </c>
      <c r="W2973" s="2" t="s">
        <v>183</v>
      </c>
      <c r="X2973" s="2" t="s">
        <v>100</v>
      </c>
      <c r="Y2973" s="2" t="s">
        <v>9569</v>
      </c>
      <c r="Z2973" s="4">
        <v>7</v>
      </c>
      <c r="AA2973" s="4">
        <f>=ROUNDDOWN(0.212121212121212,0)</f>
      </c>
      <c r="AB2973" s="5">
        <v>33</v>
      </c>
      <c r="AC2973" s="2" t="s">
        <v>931</v>
      </c>
      <c r="AD2973" s="4">
        <v>90</v>
      </c>
      <c r="AE2973" s="4">
        <v>870</v>
      </c>
      <c r="AF2973" s="6">
        <v>65</v>
      </c>
      <c r="AG2973" s="6"/>
      <c r="AH2973" s="7">
        <v>0.861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>
        <v>984</v>
      </c>
      <c r="BK2973" s="8">
        <v>10485.15</v>
      </c>
      <c r="BL2973" s="2" t="s">
        <v>9635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2480</v>
      </c>
      <c r="BV2973" s="2" t="s">
        <v>97</v>
      </c>
      <c r="BW2973" s="2" t="s">
        <v>100</v>
      </c>
      <c r="BX2973" s="2" t="s">
        <v>100</v>
      </c>
      <c r="BY2973" s="2" t="s">
        <v>113</v>
      </c>
      <c r="BZ2973" s="2" t="s">
        <v>100</v>
      </c>
    </row>
    <row r="2974">
      <c r="A2974" s="2" t="s">
        <v>9664</v>
      </c>
      <c r="B2974" s="2" t="s">
        <v>9596</v>
      </c>
      <c r="C2974" s="2" t="s">
        <v>9558</v>
      </c>
      <c r="D2974" s="2" t="s">
        <v>9597</v>
      </c>
      <c r="E2974" s="2" t="s">
        <v>9598</v>
      </c>
      <c r="F2974" s="2" t="s">
        <v>9662</v>
      </c>
      <c r="G2974" s="2" t="s">
        <v>9662</v>
      </c>
      <c r="H2974" s="2" t="s">
        <v>9662</v>
      </c>
      <c r="I2974" s="2" t="s">
        <v>9663</v>
      </c>
      <c r="J2974" s="2" t="s">
        <v>9601</v>
      </c>
      <c r="K2974" s="2" t="s">
        <v>718</v>
      </c>
      <c r="L2974" s="3">
        <v>11.12</v>
      </c>
      <c r="M2974" s="3">
        <v>11.68</v>
      </c>
      <c r="N2974" s="3">
        <v>25.99</v>
      </c>
      <c r="O2974" s="2" t="s">
        <v>97</v>
      </c>
      <c r="P2974" s="2" t="s">
        <v>98</v>
      </c>
      <c r="Q2974" s="2" t="s">
        <v>99</v>
      </c>
      <c r="R2974" s="2" t="s">
        <v>100</v>
      </c>
      <c r="S2974" s="2" t="s">
        <v>100</v>
      </c>
      <c r="T2974" s="2" t="s">
        <v>100</v>
      </c>
      <c r="U2974" s="2" t="s">
        <v>1847</v>
      </c>
      <c r="V2974" s="2" t="s">
        <v>3188</v>
      </c>
      <c r="W2974" s="2" t="s">
        <v>183</v>
      </c>
      <c r="X2974" s="2" t="s">
        <v>100</v>
      </c>
      <c r="Y2974" s="2" t="s">
        <v>9569</v>
      </c>
      <c r="Z2974" s="4">
        <v>8</v>
      </c>
      <c r="AA2974" s="4">
        <f>=ROUNDDOWN(0.222222222222222,0)</f>
      </c>
      <c r="AB2974" s="5">
        <v>36</v>
      </c>
      <c r="AC2974" s="2" t="s">
        <v>931</v>
      </c>
      <c r="AD2974" s="4">
        <v>270</v>
      </c>
      <c r="AE2974" s="4">
        <v>1038</v>
      </c>
      <c r="AF2974" s="6">
        <v>65</v>
      </c>
      <c r="AG2974" s="6"/>
      <c r="AH2974" s="7">
        <v>0.5561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>
        <v>994</v>
      </c>
      <c r="BK2974" s="8">
        <v>12699.93</v>
      </c>
      <c r="BL2974" s="2" t="s">
        <v>9635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2480</v>
      </c>
      <c r="BV2974" s="2" t="s">
        <v>97</v>
      </c>
      <c r="BW2974" s="2" t="s">
        <v>100</v>
      </c>
      <c r="BX2974" s="2" t="s">
        <v>100</v>
      </c>
      <c r="BY2974" s="2" t="s">
        <v>113</v>
      </c>
      <c r="BZ2974" s="2" t="s">
        <v>100</v>
      </c>
    </row>
    <row r="2975">
      <c r="A2975" s="2" t="s">
        <v>9665</v>
      </c>
      <c r="B2975" s="2" t="s">
        <v>9596</v>
      </c>
      <c r="C2975" s="2" t="s">
        <v>9558</v>
      </c>
      <c r="D2975" s="2" t="s">
        <v>9597</v>
      </c>
      <c r="E2975" s="2" t="s">
        <v>9598</v>
      </c>
      <c r="F2975" s="2" t="s">
        <v>9662</v>
      </c>
      <c r="G2975" s="2" t="s">
        <v>9662</v>
      </c>
      <c r="H2975" s="2" t="s">
        <v>9662</v>
      </c>
      <c r="I2975" s="2" t="s">
        <v>9663</v>
      </c>
      <c r="J2975" s="2" t="s">
        <v>9605</v>
      </c>
      <c r="K2975" s="2" t="s">
        <v>718</v>
      </c>
      <c r="L2975" s="3">
        <v>14.04</v>
      </c>
      <c r="M2975" s="3">
        <v>14.74</v>
      </c>
      <c r="N2975" s="3">
        <v>29.99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1847</v>
      </c>
      <c r="V2975" s="2" t="s">
        <v>3188</v>
      </c>
      <c r="W2975" s="2" t="s">
        <v>183</v>
      </c>
      <c r="X2975" s="2" t="s">
        <v>100</v>
      </c>
      <c r="Y2975" s="2" t="s">
        <v>9569</v>
      </c>
      <c r="Z2975" s="4">
        <v>3</v>
      </c>
      <c r="AA2975" s="4">
        <f>=ROUNDDOWN(0.075,0)</f>
      </c>
      <c r="AB2975" s="5">
        <v>40</v>
      </c>
      <c r="AC2975" s="2" t="s">
        <v>3031</v>
      </c>
      <c r="AD2975" s="4">
        <v>540</v>
      </c>
      <c r="AE2975" s="4">
        <v>1080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>
        <v>562</v>
      </c>
      <c r="BK2975" s="8">
        <v>9065.02</v>
      </c>
      <c r="BL2975" s="2" t="s">
        <v>9635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2480</v>
      </c>
      <c r="BV2975" s="2" t="s">
        <v>97</v>
      </c>
      <c r="BW2975" s="2" t="s">
        <v>100</v>
      </c>
      <c r="BX2975" s="2" t="s">
        <v>100</v>
      </c>
      <c r="BY2975" s="2" t="s">
        <v>113</v>
      </c>
      <c r="BZ2975" s="2" t="s">
        <v>100</v>
      </c>
    </row>
    <row r="2976">
      <c r="A2976" s="2" t="s">
        <v>9666</v>
      </c>
      <c r="B2976" s="2" t="s">
        <v>9596</v>
      </c>
      <c r="C2976" s="2" t="s">
        <v>9558</v>
      </c>
      <c r="D2976" s="2" t="s">
        <v>9597</v>
      </c>
      <c r="E2976" s="2" t="s">
        <v>9598</v>
      </c>
      <c r="F2976" s="2" t="s">
        <v>9662</v>
      </c>
      <c r="G2976" s="2" t="s">
        <v>9662</v>
      </c>
      <c r="H2976" s="2" t="s">
        <v>9662</v>
      </c>
      <c r="I2976" s="2" t="s">
        <v>9663</v>
      </c>
      <c r="J2976" s="2" t="s">
        <v>9609</v>
      </c>
      <c r="K2976" s="2" t="s">
        <v>718</v>
      </c>
      <c r="L2976" s="3">
        <v>16.45</v>
      </c>
      <c r="M2976" s="3">
        <v>17.27</v>
      </c>
      <c r="N2976" s="3">
        <v>34.99</v>
      </c>
      <c r="O2976" s="2" t="s">
        <v>97</v>
      </c>
      <c r="P2976" s="2" t="s">
        <v>98</v>
      </c>
      <c r="Q2976" s="2" t="s">
        <v>99</v>
      </c>
      <c r="R2976" s="2" t="s">
        <v>100</v>
      </c>
      <c r="S2976" s="2" t="s">
        <v>100</v>
      </c>
      <c r="T2976" s="2" t="s">
        <v>100</v>
      </c>
      <c r="U2976" s="2" t="s">
        <v>1847</v>
      </c>
      <c r="V2976" s="2" t="s">
        <v>3188</v>
      </c>
      <c r="W2976" s="2" t="s">
        <v>183</v>
      </c>
      <c r="X2976" s="2" t="s">
        <v>100</v>
      </c>
      <c r="Y2976" s="2" t="s">
        <v>9569</v>
      </c>
      <c r="Z2976" s="4">
        <v>14</v>
      </c>
      <c r="AA2976" s="4">
        <f>=ROUNDDOWN(0.636363636363636,0)</f>
      </c>
      <c r="AB2976" s="5">
        <v>22</v>
      </c>
      <c r="AC2976" s="2" t="s">
        <v>931</v>
      </c>
      <c r="AD2976" s="4">
        <v>270</v>
      </c>
      <c r="AE2976" s="4">
        <v>600</v>
      </c>
      <c r="AF2976" s="6">
        <v>65</v>
      </c>
      <c r="AG2976" s="6"/>
      <c r="AH2976" s="7">
        <v>0.9947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>
        <v>550</v>
      </c>
      <c r="BK2976" s="8">
        <v>10389.62</v>
      </c>
      <c r="BL2976" s="2" t="s">
        <v>9635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2480</v>
      </c>
      <c r="BV2976" s="2" t="s">
        <v>97</v>
      </c>
      <c r="BW2976" s="2" t="s">
        <v>100</v>
      </c>
      <c r="BX2976" s="2" t="s">
        <v>100</v>
      </c>
      <c r="BY2976" s="2" t="s">
        <v>113</v>
      </c>
      <c r="BZ2976" s="2" t="s">
        <v>100</v>
      </c>
    </row>
    <row r="2977">
      <c r="A2977" s="2" t="s">
        <v>9667</v>
      </c>
      <c r="B2977" s="2" t="s">
        <v>9668</v>
      </c>
      <c r="C2977" s="2" t="s">
        <v>4861</v>
      </c>
      <c r="D2977" s="2" t="s">
        <v>9669</v>
      </c>
      <c r="E2977" s="2" t="s">
        <v>9670</v>
      </c>
      <c r="F2977" s="2" t="s">
        <v>9671</v>
      </c>
      <c r="G2977" s="2" t="s">
        <v>9671</v>
      </c>
      <c r="H2977" s="2" t="s">
        <v>9671</v>
      </c>
      <c r="I2977" s="2" t="s">
        <v>9672</v>
      </c>
      <c r="J2977" s="2" t="s">
        <v>1936</v>
      </c>
      <c r="K2977" s="2" t="s">
        <v>9673</v>
      </c>
      <c r="L2977" s="3">
        <v>14.89</v>
      </c>
      <c r="M2977" s="3">
        <v>15.63</v>
      </c>
      <c r="N2977" s="3">
        <v>31.99</v>
      </c>
      <c r="O2977" s="2" t="s">
        <v>97</v>
      </c>
      <c r="P2977" s="2" t="s">
        <v>372</v>
      </c>
      <c r="Q2977" s="2" t="s">
        <v>99</v>
      </c>
      <c r="R2977" s="2" t="s">
        <v>100</v>
      </c>
      <c r="S2977" s="2" t="s">
        <v>9674</v>
      </c>
      <c r="T2977" s="2" t="s">
        <v>9675</v>
      </c>
      <c r="U2977" s="2" t="s">
        <v>100</v>
      </c>
      <c r="V2977" s="2" t="s">
        <v>201</v>
      </c>
      <c r="W2977" s="2" t="s">
        <v>183</v>
      </c>
      <c r="X2977" s="2" t="s">
        <v>100</v>
      </c>
      <c r="Y2977" s="2" t="s">
        <v>3938</v>
      </c>
      <c r="Z2977" s="4">
        <v>789</v>
      </c>
      <c r="AA2977" s="4">
        <f>=ROUNDDOWN(16.4375,0)</f>
      </c>
      <c r="AB2977" s="5">
        <v>48</v>
      </c>
      <c r="AC2977" s="2" t="s">
        <v>222</v>
      </c>
      <c r="AD2977" s="4">
        <v>680</v>
      </c>
      <c r="AE2977" s="4">
        <v>680</v>
      </c>
      <c r="AF2977" s="6">
        <v>65</v>
      </c>
      <c r="AG2977" s="6"/>
      <c r="AH2977" s="7">
        <v>0.4278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>
        <v>12</v>
      </c>
      <c r="AQ2977" s="8">
        <v>195.96</v>
      </c>
      <c r="AR2977" s="4"/>
      <c r="AS2977" s="8"/>
      <c r="AT2977" s="7"/>
      <c r="AU2977" s="7"/>
      <c r="AV2977" s="4">
        <v>146</v>
      </c>
      <c r="AW2977" s="8">
        <v>2962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>
        <v>0.0662</v>
      </c>
      <c r="BC2977" s="4">
        <v>1059</v>
      </c>
      <c r="BD2977" s="8">
        <v>21656.5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0.1368</v>
      </c>
      <c r="BJ2977" s="4">
        <v>1107</v>
      </c>
      <c r="BK2977" s="8">
        <v>17857.74</v>
      </c>
      <c r="BL2977" s="2" t="s">
        <v>9676</v>
      </c>
      <c r="BM2977" s="7">
        <v>0.0108</v>
      </c>
      <c r="BN2977" s="7">
        <v>0.011</v>
      </c>
      <c r="BO2977" s="4">
        <v>12</v>
      </c>
      <c r="BP2977" s="8">
        <v>195.96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1863</v>
      </c>
      <c r="BX2977" s="2" t="s">
        <v>173</v>
      </c>
      <c r="BY2977" s="2" t="s">
        <v>113</v>
      </c>
      <c r="BZ2977" s="2" t="s">
        <v>100</v>
      </c>
    </row>
    <row r="2978">
      <c r="A2978" s="2" t="s">
        <v>9677</v>
      </c>
      <c r="B2978" s="2" t="s">
        <v>9668</v>
      </c>
      <c r="C2978" s="2" t="s">
        <v>4861</v>
      </c>
      <c r="D2978" s="2" t="s">
        <v>9669</v>
      </c>
      <c r="E2978" s="2" t="s">
        <v>9670</v>
      </c>
      <c r="F2978" s="2" t="s">
        <v>9671</v>
      </c>
      <c r="G2978" s="2" t="s">
        <v>9671</v>
      </c>
      <c r="H2978" s="2" t="s">
        <v>9671</v>
      </c>
      <c r="I2978" s="2" t="s">
        <v>9672</v>
      </c>
      <c r="J2978" s="2" t="s">
        <v>2072</v>
      </c>
      <c r="K2978" s="2" t="s">
        <v>9673</v>
      </c>
      <c r="L2978" s="3">
        <v>16.16</v>
      </c>
      <c r="M2978" s="3">
        <v>16.97</v>
      </c>
      <c r="N2978" s="3">
        <v>34.99</v>
      </c>
      <c r="O2978" s="2" t="s">
        <v>97</v>
      </c>
      <c r="P2978" s="2" t="s">
        <v>950</v>
      </c>
      <c r="Q2978" s="2" t="s">
        <v>99</v>
      </c>
      <c r="R2978" s="2" t="s">
        <v>100</v>
      </c>
      <c r="S2978" s="2" t="s">
        <v>9674</v>
      </c>
      <c r="T2978" s="2" t="s">
        <v>9675</v>
      </c>
      <c r="U2978" s="2" t="s">
        <v>480</v>
      </c>
      <c r="V2978" s="2" t="s">
        <v>201</v>
      </c>
      <c r="W2978" s="2" t="s">
        <v>183</v>
      </c>
      <c r="X2978" s="2" t="s">
        <v>100</v>
      </c>
      <c r="Y2978" s="2" t="s">
        <v>6293</v>
      </c>
      <c r="Z2978" s="4">
        <v>852</v>
      </c>
      <c r="AA2978" s="4">
        <f>=ROUNDDOWN(12.1714285714286,0)</f>
      </c>
      <c r="AB2978" s="5">
        <v>70</v>
      </c>
      <c r="AC2978" s="2" t="s">
        <v>768</v>
      </c>
      <c r="AD2978" s="4">
        <v>579</v>
      </c>
      <c r="AE2978" s="4">
        <v>862</v>
      </c>
      <c r="AF2978" s="6">
        <v>65</v>
      </c>
      <c r="AG2978" s="6"/>
      <c r="AH2978" s="7">
        <v>0.3957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>
        <v>104</v>
      </c>
      <c r="AQ2978" s="8">
        <v>1867.84</v>
      </c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>
        <v>0.6306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 t="s">
        <v>100</v>
      </c>
      <c r="BJ2978" s="4">
        <v>1347</v>
      </c>
      <c r="BK2978" s="8">
        <v>24543.92</v>
      </c>
      <c r="BL2978" s="2" t="s">
        <v>749</v>
      </c>
      <c r="BM2978" s="7">
        <v>0.0772</v>
      </c>
      <c r="BN2978" s="7">
        <v>0.0761</v>
      </c>
      <c r="BO2978" s="4">
        <v>104</v>
      </c>
      <c r="BP2978" s="8">
        <v>1867.84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1863</v>
      </c>
      <c r="BX2978" s="2" t="s">
        <v>9678</v>
      </c>
      <c r="BY2978" s="2" t="s">
        <v>113</v>
      </c>
      <c r="BZ2978" s="2" t="s">
        <v>100</v>
      </c>
    </row>
    <row r="2979">
      <c r="A2979" s="2" t="s">
        <v>9679</v>
      </c>
      <c r="B2979" s="2" t="s">
        <v>9668</v>
      </c>
      <c r="C2979" s="2" t="s">
        <v>4861</v>
      </c>
      <c r="D2979" s="2" t="s">
        <v>9669</v>
      </c>
      <c r="E2979" s="2" t="s">
        <v>9670</v>
      </c>
      <c r="F2979" s="2" t="s">
        <v>9671</v>
      </c>
      <c r="G2979" s="2" t="s">
        <v>9671</v>
      </c>
      <c r="H2979" s="2" t="s">
        <v>9671</v>
      </c>
      <c r="I2979" s="2" t="s">
        <v>9672</v>
      </c>
      <c r="J2979" s="2" t="s">
        <v>706</v>
      </c>
      <c r="K2979" s="2" t="s">
        <v>9673</v>
      </c>
      <c r="L2979" s="3">
        <v>22.21</v>
      </c>
      <c r="M2979" s="3">
        <v>23.32</v>
      </c>
      <c r="N2979" s="3">
        <v>47.99</v>
      </c>
      <c r="O2979" s="2" t="s">
        <v>97</v>
      </c>
      <c r="P2979" s="2" t="s">
        <v>307</v>
      </c>
      <c r="Q2979" s="2" t="s">
        <v>99</v>
      </c>
      <c r="R2979" s="2" t="s">
        <v>100</v>
      </c>
      <c r="S2979" s="2" t="s">
        <v>9674</v>
      </c>
      <c r="T2979" s="2" t="s">
        <v>9675</v>
      </c>
      <c r="U2979" s="2" t="s">
        <v>100</v>
      </c>
      <c r="V2979" s="2" t="s">
        <v>201</v>
      </c>
      <c r="W2979" s="2" t="s">
        <v>183</v>
      </c>
      <c r="X2979" s="2" t="s">
        <v>100</v>
      </c>
      <c r="Y2979" s="2" t="s">
        <v>240</v>
      </c>
      <c r="Z2979" s="4">
        <v>1759</v>
      </c>
      <c r="AA2979" s="4">
        <f>=ROUNDDOWN(24.7746478873239,0)</f>
      </c>
      <c r="AB2979" s="5">
        <v>71</v>
      </c>
      <c r="AC2979" s="2" t="s">
        <v>222</v>
      </c>
      <c r="AD2979" s="4">
        <v>884</v>
      </c>
      <c r="AE2979" s="4">
        <v>907</v>
      </c>
      <c r="AF2979" s="6">
        <v>65</v>
      </c>
      <c r="AG2979" s="6"/>
      <c r="AH2979" s="7">
        <v>0.3904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 t="s">
        <v>100</v>
      </c>
      <c r="BJ2979" s="4">
        <v>770</v>
      </c>
      <c r="BK2979" s="8">
        <v>18739.02</v>
      </c>
      <c r="BL2979" s="2" t="s">
        <v>6563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1863</v>
      </c>
      <c r="BX2979" s="2" t="s">
        <v>6658</v>
      </c>
      <c r="BY2979" s="2" t="s">
        <v>113</v>
      </c>
      <c r="BZ2979" s="2" t="s">
        <v>245</v>
      </c>
    </row>
    <row r="2980">
      <c r="A2980" s="2" t="s">
        <v>9680</v>
      </c>
      <c r="B2980" s="2" t="s">
        <v>9668</v>
      </c>
      <c r="C2980" s="2" t="s">
        <v>4861</v>
      </c>
      <c r="D2980" s="2" t="s">
        <v>9669</v>
      </c>
      <c r="E2980" s="2" t="s">
        <v>9670</v>
      </c>
      <c r="F2980" s="2" t="s">
        <v>9671</v>
      </c>
      <c r="G2980" s="2" t="s">
        <v>9671</v>
      </c>
      <c r="H2980" s="2" t="s">
        <v>9671</v>
      </c>
      <c r="I2980" s="2" t="s">
        <v>9672</v>
      </c>
      <c r="J2980" s="2" t="s">
        <v>714</v>
      </c>
      <c r="K2980" s="2" t="s">
        <v>9673</v>
      </c>
      <c r="L2980" s="3">
        <v>27.39</v>
      </c>
      <c r="M2980" s="3">
        <v>28.76</v>
      </c>
      <c r="N2980" s="3">
        <v>62.99</v>
      </c>
      <c r="O2980" s="2" t="s">
        <v>97</v>
      </c>
      <c r="P2980" s="2" t="s">
        <v>119</v>
      </c>
      <c r="Q2980" s="2" t="s">
        <v>99</v>
      </c>
      <c r="R2980" s="2" t="s">
        <v>100</v>
      </c>
      <c r="S2980" s="2" t="s">
        <v>9674</v>
      </c>
      <c r="T2980" s="2" t="s">
        <v>9675</v>
      </c>
      <c r="U2980" s="2" t="s">
        <v>100</v>
      </c>
      <c r="V2980" s="2" t="s">
        <v>201</v>
      </c>
      <c r="W2980" s="2" t="s">
        <v>183</v>
      </c>
      <c r="X2980" s="2" t="s">
        <v>100</v>
      </c>
      <c r="Y2980" s="2" t="s">
        <v>240</v>
      </c>
      <c r="Z2980" s="4">
        <v>1182</v>
      </c>
      <c r="AA2980" s="4">
        <f>=ROUNDDOWN(31.1052631578947,0)</f>
      </c>
      <c r="AB2980" s="5">
        <v>38</v>
      </c>
      <c r="AC2980" s="2" t="s">
        <v>222</v>
      </c>
      <c r="AD2980" s="4">
        <v>421</v>
      </c>
      <c r="AE2980" s="4">
        <v>421</v>
      </c>
      <c r="AF2980" s="6">
        <v>65</v>
      </c>
      <c r="AG2980" s="6"/>
      <c r="AH2980" s="7">
        <v>0.4492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>
        <v>23</v>
      </c>
      <c r="AQ2980" s="8">
        <v>688.62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0.2325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277</v>
      </c>
      <c r="BK2980" s="8">
        <v>8149.47</v>
      </c>
      <c r="BL2980" s="2" t="s">
        <v>259</v>
      </c>
      <c r="BM2980" s="7">
        <v>0.083</v>
      </c>
      <c r="BN2980" s="7">
        <v>0.0845</v>
      </c>
      <c r="BO2980" s="4">
        <v>23</v>
      </c>
      <c r="BP2980" s="8">
        <v>688.62</v>
      </c>
      <c r="BQ2980" s="4"/>
      <c r="BR2980" s="8"/>
      <c r="BS2980" s="7"/>
      <c r="BT2980" s="7"/>
      <c r="BU2980" s="2" t="s">
        <v>109</v>
      </c>
      <c r="BV2980" s="2" t="s">
        <v>110</v>
      </c>
      <c r="BW2980" s="2" t="s">
        <v>1863</v>
      </c>
      <c r="BX2980" s="2" t="s">
        <v>9681</v>
      </c>
      <c r="BY2980" s="2" t="s">
        <v>113</v>
      </c>
      <c r="BZ2980" s="2" t="s">
        <v>100</v>
      </c>
    </row>
    <row r="2981">
      <c r="A2981" s="2" t="s">
        <v>9682</v>
      </c>
      <c r="B2981" s="2" t="s">
        <v>9668</v>
      </c>
      <c r="C2981" s="2" t="s">
        <v>4861</v>
      </c>
      <c r="D2981" s="2" t="s">
        <v>9669</v>
      </c>
      <c r="E2981" s="2" t="s">
        <v>9670</v>
      </c>
      <c r="F2981" s="2" t="s">
        <v>9671</v>
      </c>
      <c r="G2981" s="2" t="s">
        <v>9671</v>
      </c>
      <c r="H2981" s="2" t="s">
        <v>9671</v>
      </c>
      <c r="I2981" s="2" t="s">
        <v>9672</v>
      </c>
      <c r="J2981" s="2" t="s">
        <v>817</v>
      </c>
      <c r="K2981" s="2" t="s">
        <v>9673</v>
      </c>
      <c r="L2981" s="3">
        <v>27.39</v>
      </c>
      <c r="M2981" s="3">
        <v>28.76</v>
      </c>
      <c r="N2981" s="3">
        <v>62.99</v>
      </c>
      <c r="O2981" s="2" t="s">
        <v>97</v>
      </c>
      <c r="P2981" s="2" t="s">
        <v>119</v>
      </c>
      <c r="Q2981" s="2" t="s">
        <v>99</v>
      </c>
      <c r="R2981" s="2" t="s">
        <v>100</v>
      </c>
      <c r="S2981" s="2" t="s">
        <v>9674</v>
      </c>
      <c r="T2981" s="2" t="s">
        <v>9675</v>
      </c>
      <c r="U2981" s="2" t="s">
        <v>100</v>
      </c>
      <c r="V2981" s="2" t="s">
        <v>201</v>
      </c>
      <c r="W2981" s="2" t="s">
        <v>183</v>
      </c>
      <c r="X2981" s="2" t="s">
        <v>100</v>
      </c>
      <c r="Y2981" s="2" t="s">
        <v>6293</v>
      </c>
      <c r="Z2981" s="4">
        <v>808</v>
      </c>
      <c r="AA2981" s="4">
        <f>=ROUNDDOWN(44.8888888888889,0)</f>
      </c>
      <c r="AB2981" s="5">
        <v>18</v>
      </c>
      <c r="AC2981" s="2" t="s">
        <v>222</v>
      </c>
      <c r="AD2981" s="4">
        <v>299</v>
      </c>
      <c r="AE2981" s="4">
        <v>299</v>
      </c>
      <c r="AF2981" s="6">
        <v>65</v>
      </c>
      <c r="AG2981" s="6"/>
      <c r="AH2981" s="7">
        <v>0.385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>
        <v>7</v>
      </c>
      <c r="AQ2981" s="8">
        <v>209.58</v>
      </c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>
        <v>0.0708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>
        <v>92</v>
      </c>
      <c r="BK2981" s="8">
        <v>2770.88</v>
      </c>
      <c r="BL2981" s="2" t="s">
        <v>9683</v>
      </c>
      <c r="BM2981" s="7">
        <v>0.0761</v>
      </c>
      <c r="BN2981" s="7">
        <v>0.0756</v>
      </c>
      <c r="BO2981" s="4">
        <v>7</v>
      </c>
      <c r="BP2981" s="8">
        <v>209.58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1863</v>
      </c>
      <c r="BX2981" s="2" t="s">
        <v>6402</v>
      </c>
      <c r="BY2981" s="2" t="s">
        <v>113</v>
      </c>
      <c r="BZ2981" s="2" t="s">
        <v>100</v>
      </c>
    </row>
    <row r="2982">
      <c r="A2982" s="2" t="s">
        <v>9684</v>
      </c>
      <c r="B2982" s="2" t="s">
        <v>9668</v>
      </c>
      <c r="C2982" s="2" t="s">
        <v>4861</v>
      </c>
      <c r="D2982" s="2" t="s">
        <v>9669</v>
      </c>
      <c r="E2982" s="2" t="s">
        <v>9670</v>
      </c>
      <c r="F2982" s="2" t="s">
        <v>9671</v>
      </c>
      <c r="G2982" s="2" t="s">
        <v>9671</v>
      </c>
      <c r="H2982" s="2" t="s">
        <v>9671</v>
      </c>
      <c r="I2982" s="2" t="s">
        <v>9672</v>
      </c>
      <c r="J2982" s="2" t="s">
        <v>1936</v>
      </c>
      <c r="K2982" s="2" t="s">
        <v>7561</v>
      </c>
      <c r="L2982" s="3">
        <v>14.89</v>
      </c>
      <c r="M2982" s="3">
        <v>15.63</v>
      </c>
      <c r="N2982" s="3">
        <v>31.99</v>
      </c>
      <c r="O2982" s="2" t="s">
        <v>97</v>
      </c>
      <c r="P2982" s="2" t="s">
        <v>119</v>
      </c>
      <c r="Q2982" s="2" t="s">
        <v>99</v>
      </c>
      <c r="R2982" s="2" t="s">
        <v>100</v>
      </c>
      <c r="S2982" s="2" t="s">
        <v>9685</v>
      </c>
      <c r="T2982" s="2" t="s">
        <v>9675</v>
      </c>
      <c r="U2982" s="2" t="s">
        <v>100</v>
      </c>
      <c r="V2982" s="2" t="s">
        <v>403</v>
      </c>
      <c r="W2982" s="2" t="s">
        <v>183</v>
      </c>
      <c r="X2982" s="2" t="s">
        <v>100</v>
      </c>
      <c r="Y2982" s="2" t="s">
        <v>990</v>
      </c>
      <c r="Z2982" s="4">
        <v>1056</v>
      </c>
      <c r="AA2982" s="4">
        <f>=ROUNDDOWN(22.9565217391304,0)</f>
      </c>
      <c r="AB2982" s="5">
        <v>46</v>
      </c>
      <c r="AC2982" s="2" t="s">
        <v>100</v>
      </c>
      <c r="AD2982" s="4"/>
      <c r="AE2982" s="4"/>
      <c r="AF2982" s="6">
        <v>65</v>
      </c>
      <c r="AG2982" s="6"/>
      <c r="AH2982" s="7">
        <v>0.6898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>
        <v>105</v>
      </c>
      <c r="AQ2982" s="8">
        <v>1714.65</v>
      </c>
      <c r="AR2982" s="4"/>
      <c r="AS2982" s="8"/>
      <c r="AT2982" s="7"/>
      <c r="AU2982" s="7"/>
      <c r="AV2982" s="4">
        <v>126</v>
      </c>
      <c r="AW2982" s="8">
        <v>2196.3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0.7807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0.1014</v>
      </c>
      <c r="BJ2982" s="4">
        <v>981</v>
      </c>
      <c r="BK2982" s="8">
        <v>16258.26</v>
      </c>
      <c r="BL2982" s="2" t="s">
        <v>9686</v>
      </c>
      <c r="BM2982" s="7">
        <v>0.107</v>
      </c>
      <c r="BN2982" s="7">
        <v>0.1055</v>
      </c>
      <c r="BO2982" s="4">
        <v>105</v>
      </c>
      <c r="BP2982" s="8">
        <v>1714.65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1863</v>
      </c>
      <c r="BX2982" s="2" t="s">
        <v>800</v>
      </c>
      <c r="BY2982" s="2" t="s">
        <v>113</v>
      </c>
      <c r="BZ2982" s="2" t="s">
        <v>100</v>
      </c>
    </row>
    <row r="2983">
      <c r="A2983" s="2" t="s">
        <v>9687</v>
      </c>
      <c r="B2983" s="2" t="s">
        <v>9668</v>
      </c>
      <c r="C2983" s="2" t="s">
        <v>4861</v>
      </c>
      <c r="D2983" s="2" t="s">
        <v>9669</v>
      </c>
      <c r="E2983" s="2" t="s">
        <v>9670</v>
      </c>
      <c r="F2983" s="2" t="s">
        <v>9671</v>
      </c>
      <c r="G2983" s="2" t="s">
        <v>9671</v>
      </c>
      <c r="H2983" s="2" t="s">
        <v>9671</v>
      </c>
      <c r="I2983" s="2" t="s">
        <v>9672</v>
      </c>
      <c r="J2983" s="2" t="s">
        <v>2072</v>
      </c>
      <c r="K2983" s="2" t="s">
        <v>7561</v>
      </c>
      <c r="L2983" s="3">
        <v>16.16</v>
      </c>
      <c r="M2983" s="3">
        <v>16.97</v>
      </c>
      <c r="N2983" s="3">
        <v>34.99</v>
      </c>
      <c r="O2983" s="2" t="s">
        <v>97</v>
      </c>
      <c r="P2983" s="2" t="s">
        <v>119</v>
      </c>
      <c r="Q2983" s="2" t="s">
        <v>99</v>
      </c>
      <c r="R2983" s="2" t="s">
        <v>100</v>
      </c>
      <c r="S2983" s="2" t="s">
        <v>9685</v>
      </c>
      <c r="T2983" s="2" t="s">
        <v>9675</v>
      </c>
      <c r="U2983" s="2" t="s">
        <v>100</v>
      </c>
      <c r="V2983" s="2" t="s">
        <v>403</v>
      </c>
      <c r="W2983" s="2" t="s">
        <v>183</v>
      </c>
      <c r="X2983" s="2" t="s">
        <v>100</v>
      </c>
      <c r="Y2983" s="2" t="s">
        <v>990</v>
      </c>
      <c r="Z2983" s="4">
        <v>843</v>
      </c>
      <c r="AA2983" s="4">
        <f>=ROUNDDOWN(35.125,0)</f>
      </c>
      <c r="AB2983" s="5">
        <v>24</v>
      </c>
      <c r="AC2983" s="2" t="s">
        <v>100</v>
      </c>
      <c r="AD2983" s="4"/>
      <c r="AE2983" s="4"/>
      <c r="AF2983" s="6">
        <v>65</v>
      </c>
      <c r="AG2983" s="6"/>
      <c r="AH2983" s="7">
        <v>0.7005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>
        <v>5</v>
      </c>
      <c r="AQ2983" s="8">
        <v>89.8</v>
      </c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>
        <v>0.0409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345</v>
      </c>
      <c r="BK2983" s="8">
        <v>6028.89</v>
      </c>
      <c r="BL2983" s="2" t="s">
        <v>9688</v>
      </c>
      <c r="BM2983" s="7">
        <v>0.0145</v>
      </c>
      <c r="BN2983" s="7">
        <v>0.0149</v>
      </c>
      <c r="BO2983" s="4">
        <v>5</v>
      </c>
      <c r="BP2983" s="8">
        <v>89.8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1863</v>
      </c>
      <c r="BX2983" s="2" t="s">
        <v>9689</v>
      </c>
      <c r="BY2983" s="2" t="s">
        <v>113</v>
      </c>
      <c r="BZ2983" s="2" t="s">
        <v>100</v>
      </c>
    </row>
    <row r="2984">
      <c r="A2984" s="2" t="s">
        <v>9690</v>
      </c>
      <c r="B2984" s="2" t="s">
        <v>9668</v>
      </c>
      <c r="C2984" s="2" t="s">
        <v>4861</v>
      </c>
      <c r="D2984" s="2" t="s">
        <v>9669</v>
      </c>
      <c r="E2984" s="2" t="s">
        <v>9670</v>
      </c>
      <c r="F2984" s="2" t="s">
        <v>9671</v>
      </c>
      <c r="G2984" s="2" t="s">
        <v>9671</v>
      </c>
      <c r="H2984" s="2" t="s">
        <v>9671</v>
      </c>
      <c r="I2984" s="2" t="s">
        <v>9672</v>
      </c>
      <c r="J2984" s="2" t="s">
        <v>717</v>
      </c>
      <c r="K2984" s="2" t="s">
        <v>7561</v>
      </c>
      <c r="L2984" s="3">
        <v>19.57</v>
      </c>
      <c r="M2984" s="3">
        <v>20.55</v>
      </c>
      <c r="N2984" s="3">
        <v>42.99</v>
      </c>
      <c r="O2984" s="2" t="s">
        <v>97</v>
      </c>
      <c r="P2984" s="2" t="s">
        <v>119</v>
      </c>
      <c r="Q2984" s="2" t="s">
        <v>99</v>
      </c>
      <c r="R2984" s="2" t="s">
        <v>100</v>
      </c>
      <c r="S2984" s="2" t="s">
        <v>9685</v>
      </c>
      <c r="T2984" s="2" t="s">
        <v>9675</v>
      </c>
      <c r="U2984" s="2" t="s">
        <v>100</v>
      </c>
      <c r="V2984" s="2" t="s">
        <v>403</v>
      </c>
      <c r="W2984" s="2" t="s">
        <v>183</v>
      </c>
      <c r="X2984" s="2" t="s">
        <v>100</v>
      </c>
      <c r="Y2984" s="2" t="s">
        <v>990</v>
      </c>
      <c r="Z2984" s="4">
        <v>809</v>
      </c>
      <c r="AA2984" s="4">
        <f>=ROUNDDOWN(36.7727272727273,0)</f>
      </c>
      <c r="AB2984" s="5">
        <v>22</v>
      </c>
      <c r="AC2984" s="2" t="s">
        <v>100</v>
      </c>
      <c r="AD2984" s="4"/>
      <c r="AE2984" s="4"/>
      <c r="AF2984" s="6">
        <v>65</v>
      </c>
      <c r="AG2984" s="6"/>
      <c r="AH2984" s="7">
        <v>0.7005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>
        <v>2</v>
      </c>
      <c r="AQ2984" s="8">
        <v>43.54</v>
      </c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>
        <v>0.0198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 t="s">
        <v>100</v>
      </c>
      <c r="BJ2984" s="4">
        <v>258</v>
      </c>
      <c r="BK2984" s="8">
        <v>5790.46</v>
      </c>
      <c r="BL2984" s="2" t="s">
        <v>9691</v>
      </c>
      <c r="BM2984" s="7">
        <v>0.0078</v>
      </c>
      <c r="BN2984" s="7">
        <v>0.0075</v>
      </c>
      <c r="BO2984" s="4">
        <v>2</v>
      </c>
      <c r="BP2984" s="8">
        <v>43.54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1863</v>
      </c>
      <c r="BX2984" s="2" t="s">
        <v>9678</v>
      </c>
      <c r="BY2984" s="2" t="s">
        <v>113</v>
      </c>
      <c r="BZ2984" s="2" t="s">
        <v>100</v>
      </c>
    </row>
    <row r="2985">
      <c r="A2985" s="2" t="s">
        <v>9692</v>
      </c>
      <c r="B2985" s="2" t="s">
        <v>9668</v>
      </c>
      <c r="C2985" s="2" t="s">
        <v>4861</v>
      </c>
      <c r="D2985" s="2" t="s">
        <v>9669</v>
      </c>
      <c r="E2985" s="2" t="s">
        <v>9670</v>
      </c>
      <c r="F2985" s="2" t="s">
        <v>9671</v>
      </c>
      <c r="G2985" s="2" t="s">
        <v>9671</v>
      </c>
      <c r="H2985" s="2" t="s">
        <v>9671</v>
      </c>
      <c r="I2985" s="2" t="s">
        <v>9672</v>
      </c>
      <c r="J2985" s="2" t="s">
        <v>706</v>
      </c>
      <c r="K2985" s="2" t="s">
        <v>7561</v>
      </c>
      <c r="L2985" s="3">
        <v>22.21</v>
      </c>
      <c r="M2985" s="3">
        <v>23.32</v>
      </c>
      <c r="N2985" s="3">
        <v>47.99</v>
      </c>
      <c r="O2985" s="2" t="s">
        <v>97</v>
      </c>
      <c r="P2985" s="2" t="s">
        <v>119</v>
      </c>
      <c r="Q2985" s="2" t="s">
        <v>99</v>
      </c>
      <c r="R2985" s="2" t="s">
        <v>100</v>
      </c>
      <c r="S2985" s="2" t="s">
        <v>9685</v>
      </c>
      <c r="T2985" s="2" t="s">
        <v>9675</v>
      </c>
      <c r="U2985" s="2" t="s">
        <v>100</v>
      </c>
      <c r="V2985" s="2" t="s">
        <v>403</v>
      </c>
      <c r="W2985" s="2" t="s">
        <v>183</v>
      </c>
      <c r="X2985" s="2" t="s">
        <v>100</v>
      </c>
      <c r="Y2985" s="2" t="s">
        <v>990</v>
      </c>
      <c r="Z2985" s="4">
        <v>851</v>
      </c>
      <c r="AA2985" s="4">
        <f>=ROUNDDOWN(23,0)</f>
      </c>
      <c r="AB2985" s="5">
        <v>37</v>
      </c>
      <c r="AC2985" s="2" t="s">
        <v>100</v>
      </c>
      <c r="AD2985" s="4"/>
      <c r="AE2985" s="4"/>
      <c r="AF2985" s="6">
        <v>65</v>
      </c>
      <c r="AG2985" s="6"/>
      <c r="AH2985" s="7">
        <v>0.7005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>
        <v>13</v>
      </c>
      <c r="AQ2985" s="8">
        <v>318.37</v>
      </c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>
        <v>0.145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 t="s">
        <v>100</v>
      </c>
      <c r="BJ2985" s="4">
        <v>457</v>
      </c>
      <c r="BK2985" s="8">
        <v>11300.77</v>
      </c>
      <c r="BL2985" s="2" t="s">
        <v>749</v>
      </c>
      <c r="BM2985" s="7">
        <v>0.0284</v>
      </c>
      <c r="BN2985" s="7">
        <v>0.0282</v>
      </c>
      <c r="BO2985" s="4">
        <v>13</v>
      </c>
      <c r="BP2985" s="8">
        <v>318.37</v>
      </c>
      <c r="BQ2985" s="4"/>
      <c r="BR2985" s="8"/>
      <c r="BS2985" s="7"/>
      <c r="BT2985" s="7"/>
      <c r="BU2985" s="2" t="s">
        <v>109</v>
      </c>
      <c r="BV2985" s="2" t="s">
        <v>110</v>
      </c>
      <c r="BW2985" s="2" t="s">
        <v>1863</v>
      </c>
      <c r="BX2985" s="2" t="s">
        <v>9693</v>
      </c>
      <c r="BY2985" s="2" t="s">
        <v>113</v>
      </c>
      <c r="BZ2985" s="2" t="s">
        <v>100</v>
      </c>
    </row>
    <row r="2986">
      <c r="A2986" s="2" t="s">
        <v>9694</v>
      </c>
      <c r="B2986" s="2" t="s">
        <v>9668</v>
      </c>
      <c r="C2986" s="2" t="s">
        <v>4861</v>
      </c>
      <c r="D2986" s="2" t="s">
        <v>9669</v>
      </c>
      <c r="E2986" s="2" t="s">
        <v>9670</v>
      </c>
      <c r="F2986" s="2" t="s">
        <v>9671</v>
      </c>
      <c r="G2986" s="2" t="s">
        <v>9671</v>
      </c>
      <c r="H2986" s="2" t="s">
        <v>9671</v>
      </c>
      <c r="I2986" s="2" t="s">
        <v>9672</v>
      </c>
      <c r="J2986" s="2" t="s">
        <v>714</v>
      </c>
      <c r="K2986" s="2" t="s">
        <v>7561</v>
      </c>
      <c r="L2986" s="3">
        <v>27.39</v>
      </c>
      <c r="M2986" s="3">
        <v>28.76</v>
      </c>
      <c r="N2986" s="3">
        <v>62.99</v>
      </c>
      <c r="O2986" s="2" t="s">
        <v>97</v>
      </c>
      <c r="P2986" s="2" t="s">
        <v>119</v>
      </c>
      <c r="Q2986" s="2" t="s">
        <v>99</v>
      </c>
      <c r="R2986" s="2" t="s">
        <v>100</v>
      </c>
      <c r="S2986" s="2" t="s">
        <v>9685</v>
      </c>
      <c r="T2986" s="2" t="s">
        <v>9675</v>
      </c>
      <c r="U2986" s="2" t="s">
        <v>100</v>
      </c>
      <c r="V2986" s="2" t="s">
        <v>403</v>
      </c>
      <c r="W2986" s="2" t="s">
        <v>183</v>
      </c>
      <c r="X2986" s="2" t="s">
        <v>100</v>
      </c>
      <c r="Y2986" s="2" t="s">
        <v>990</v>
      </c>
      <c r="Z2986" s="4">
        <v>564</v>
      </c>
      <c r="AA2986" s="4">
        <f>=ROUNDDOWN(35.25,0)</f>
      </c>
      <c r="AB2986" s="5">
        <v>16</v>
      </c>
      <c r="AC2986" s="2" t="s">
        <v>100</v>
      </c>
      <c r="AD2986" s="4"/>
      <c r="AE2986" s="4"/>
      <c r="AF2986" s="6">
        <v>65</v>
      </c>
      <c r="AG2986" s="6"/>
      <c r="AH2986" s="7">
        <v>0.7005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>
        <v>1</v>
      </c>
      <c r="AQ2986" s="8">
        <v>29.94</v>
      </c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>
        <v>0.0136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 t="s">
        <v>100</v>
      </c>
      <c r="BJ2986" s="4">
        <v>226</v>
      </c>
      <c r="BK2986" s="8">
        <v>6876.25</v>
      </c>
      <c r="BL2986" s="2" t="s">
        <v>124</v>
      </c>
      <c r="BM2986" s="7">
        <v>0.0044</v>
      </c>
      <c r="BN2986" s="7">
        <v>0.0044</v>
      </c>
      <c r="BO2986" s="4">
        <v>1</v>
      </c>
      <c r="BP2986" s="8">
        <v>29.94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1863</v>
      </c>
      <c r="BX2986" s="2" t="s">
        <v>1906</v>
      </c>
      <c r="BY2986" s="2" t="s">
        <v>113</v>
      </c>
      <c r="BZ2986" s="2" t="s">
        <v>100</v>
      </c>
    </row>
    <row r="2987">
      <c r="A2987" s="2" t="s">
        <v>9695</v>
      </c>
      <c r="B2987" s="2" t="s">
        <v>9668</v>
      </c>
      <c r="C2987" s="2" t="s">
        <v>4861</v>
      </c>
      <c r="D2987" s="2" t="s">
        <v>9669</v>
      </c>
      <c r="E2987" s="2" t="s">
        <v>9670</v>
      </c>
      <c r="F2987" s="2" t="s">
        <v>9671</v>
      </c>
      <c r="G2987" s="2" t="s">
        <v>9671</v>
      </c>
      <c r="H2987" s="2" t="s">
        <v>9671</v>
      </c>
      <c r="I2987" s="2" t="s">
        <v>9672</v>
      </c>
      <c r="J2987" s="2" t="s">
        <v>817</v>
      </c>
      <c r="K2987" s="2" t="s">
        <v>7561</v>
      </c>
      <c r="L2987" s="3">
        <v>27.39</v>
      </c>
      <c r="M2987" s="3">
        <v>28.76</v>
      </c>
      <c r="N2987" s="3">
        <v>62.99</v>
      </c>
      <c r="O2987" s="2" t="s">
        <v>97</v>
      </c>
      <c r="P2987" s="2" t="s">
        <v>119</v>
      </c>
      <c r="Q2987" s="2" t="s">
        <v>99</v>
      </c>
      <c r="R2987" s="2" t="s">
        <v>100</v>
      </c>
      <c r="S2987" s="2" t="s">
        <v>9685</v>
      </c>
      <c r="T2987" s="2" t="s">
        <v>9675</v>
      </c>
      <c r="U2987" s="2" t="s">
        <v>100</v>
      </c>
      <c r="V2987" s="2" t="s">
        <v>403</v>
      </c>
      <c r="W2987" s="2" t="s">
        <v>183</v>
      </c>
      <c r="X2987" s="2" t="s">
        <v>100</v>
      </c>
      <c r="Y2987" s="2" t="s">
        <v>990</v>
      </c>
      <c r="Z2987" s="4">
        <v>431</v>
      </c>
      <c r="AA2987" s="4">
        <f>=ROUNDDOWN(35.9166666666667,0)</f>
      </c>
      <c r="AB2987" s="5">
        <v>12</v>
      </c>
      <c r="AC2987" s="2" t="s">
        <v>100</v>
      </c>
      <c r="AD2987" s="4"/>
      <c r="AE2987" s="4"/>
      <c r="AF2987" s="6">
        <v>65</v>
      </c>
      <c r="AG2987" s="6"/>
      <c r="AH2987" s="7">
        <v>0.7005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 t="s">
        <v>100</v>
      </c>
      <c r="BJ2987" s="4">
        <v>71</v>
      </c>
      <c r="BK2987" s="8">
        <v>2068.45</v>
      </c>
      <c r="BL2987" s="2" t="s">
        <v>9696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1863</v>
      </c>
      <c r="BX2987" s="2" t="s">
        <v>9697</v>
      </c>
      <c r="BY2987" s="2" t="s">
        <v>113</v>
      </c>
      <c r="BZ2987" s="2" t="s">
        <v>100</v>
      </c>
    </row>
    <row r="2988">
      <c r="A2988" s="2" t="s">
        <v>9698</v>
      </c>
      <c r="B2988" s="2" t="s">
        <v>9668</v>
      </c>
      <c r="C2988" s="2" t="s">
        <v>4861</v>
      </c>
      <c r="D2988" s="2" t="s">
        <v>9669</v>
      </c>
      <c r="E2988" s="2" t="s">
        <v>9670</v>
      </c>
      <c r="F2988" s="2" t="s">
        <v>9671</v>
      </c>
      <c r="G2988" s="2" t="s">
        <v>9671</v>
      </c>
      <c r="H2988" s="2" t="s">
        <v>9671</v>
      </c>
      <c r="I2988" s="2" t="s">
        <v>9672</v>
      </c>
      <c r="J2988" s="2" t="s">
        <v>1936</v>
      </c>
      <c r="K2988" s="2" t="s">
        <v>9699</v>
      </c>
      <c r="L2988" s="3">
        <v>14.89</v>
      </c>
      <c r="M2988" s="3">
        <v>15.63</v>
      </c>
      <c r="N2988" s="3">
        <v>31.99</v>
      </c>
      <c r="O2988" s="2" t="s">
        <v>97</v>
      </c>
      <c r="P2988" s="2" t="s">
        <v>119</v>
      </c>
      <c r="Q2988" s="2" t="s">
        <v>99</v>
      </c>
      <c r="R2988" s="2" t="s">
        <v>100</v>
      </c>
      <c r="S2988" s="2" t="s">
        <v>9700</v>
      </c>
      <c r="T2988" s="2" t="s">
        <v>9675</v>
      </c>
      <c r="U2988" s="2" t="s">
        <v>480</v>
      </c>
      <c r="V2988" s="2" t="s">
        <v>3937</v>
      </c>
      <c r="W2988" s="2" t="s">
        <v>183</v>
      </c>
      <c r="X2988" s="2" t="s">
        <v>202</v>
      </c>
      <c r="Y2988" s="2" t="s">
        <v>9701</v>
      </c>
      <c r="Z2988" s="4">
        <v>558</v>
      </c>
      <c r="AA2988" s="4">
        <f>=ROUNDDOWN(11.16,0)</f>
      </c>
      <c r="AB2988" s="5">
        <v>50</v>
      </c>
      <c r="AC2988" s="2" t="s">
        <v>9702</v>
      </c>
      <c r="AD2988" s="4">
        <v>250</v>
      </c>
      <c r="AE2988" s="4">
        <v>350</v>
      </c>
      <c r="AF2988" s="6">
        <v>65</v>
      </c>
      <c r="AG2988" s="6"/>
      <c r="AH2988" s="7">
        <v>0.5508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>
        <v>19</v>
      </c>
      <c r="AQ2988" s="8">
        <v>310.27</v>
      </c>
      <c r="AR2988" s="4"/>
      <c r="AS2988" s="8"/>
      <c r="AT2988" s="7"/>
      <c r="AU2988" s="7"/>
      <c r="AV2988" s="4">
        <v>97</v>
      </c>
      <c r="AW2988" s="8">
        <v>2038.26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>
        <v>0.1522</v>
      </c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0.0941</v>
      </c>
      <c r="BJ2988" s="4">
        <v>1727</v>
      </c>
      <c r="BK2988" s="8">
        <v>27332.51</v>
      </c>
      <c r="BL2988" s="2" t="s">
        <v>9703</v>
      </c>
      <c r="BM2988" s="7">
        <v>0.011</v>
      </c>
      <c r="BN2988" s="7">
        <v>0.0114</v>
      </c>
      <c r="BO2988" s="4">
        <v>19</v>
      </c>
      <c r="BP2988" s="8">
        <v>310.27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9704</v>
      </c>
      <c r="BX2988" s="2" t="s">
        <v>841</v>
      </c>
      <c r="BY2988" s="2" t="s">
        <v>113</v>
      </c>
      <c r="BZ2988" s="2" t="s">
        <v>100</v>
      </c>
    </row>
    <row r="2989">
      <c r="A2989" s="2" t="s">
        <v>9705</v>
      </c>
      <c r="B2989" s="2" t="s">
        <v>9668</v>
      </c>
      <c r="C2989" s="2" t="s">
        <v>4861</v>
      </c>
      <c r="D2989" s="2" t="s">
        <v>9669</v>
      </c>
      <c r="E2989" s="2" t="s">
        <v>9670</v>
      </c>
      <c r="F2989" s="2" t="s">
        <v>9671</v>
      </c>
      <c r="G2989" s="2" t="s">
        <v>9671</v>
      </c>
      <c r="H2989" s="2" t="s">
        <v>9671</v>
      </c>
      <c r="I2989" s="2" t="s">
        <v>9672</v>
      </c>
      <c r="J2989" s="2" t="s">
        <v>717</v>
      </c>
      <c r="K2989" s="2" t="s">
        <v>9699</v>
      </c>
      <c r="L2989" s="3">
        <v>19.57</v>
      </c>
      <c r="M2989" s="3">
        <v>20.55</v>
      </c>
      <c r="N2989" s="3">
        <v>42.99</v>
      </c>
      <c r="O2989" s="2" t="s">
        <v>97</v>
      </c>
      <c r="P2989" s="2" t="s">
        <v>119</v>
      </c>
      <c r="Q2989" s="2" t="s">
        <v>99</v>
      </c>
      <c r="R2989" s="2" t="s">
        <v>100</v>
      </c>
      <c r="S2989" s="2" t="s">
        <v>9700</v>
      </c>
      <c r="T2989" s="2" t="s">
        <v>9675</v>
      </c>
      <c r="U2989" s="2" t="s">
        <v>402</v>
      </c>
      <c r="V2989" s="2" t="s">
        <v>3937</v>
      </c>
      <c r="W2989" s="2" t="s">
        <v>183</v>
      </c>
      <c r="X2989" s="2" t="s">
        <v>202</v>
      </c>
      <c r="Y2989" s="2" t="s">
        <v>9701</v>
      </c>
      <c r="Z2989" s="4"/>
      <c r="AA2989" s="4">
        <f>=ROUNDDOWN({0},0)</f>
      </c>
      <c r="AB2989" s="5">
        <v>49</v>
      </c>
      <c r="AC2989" s="2" t="s">
        <v>9702</v>
      </c>
      <c r="AD2989" s="4">
        <v>140</v>
      </c>
      <c r="AE2989" s="4">
        <v>240</v>
      </c>
      <c r="AF2989" s="6">
        <v>65</v>
      </c>
      <c r="AG2989" s="6"/>
      <c r="AH2989" s="7">
        <v>0.5989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>
        <v>69</v>
      </c>
      <c r="AQ2989" s="8">
        <v>1502.13</v>
      </c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>
        <v>0.737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1265</v>
      </c>
      <c r="BK2989" s="8">
        <v>26751.58</v>
      </c>
      <c r="BL2989" s="2" t="s">
        <v>9706</v>
      </c>
      <c r="BM2989" s="7">
        <v>0.0545</v>
      </c>
      <c r="BN2989" s="7">
        <v>0.0562</v>
      </c>
      <c r="BO2989" s="4">
        <v>69</v>
      </c>
      <c r="BP2989" s="8">
        <v>1502.13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9704</v>
      </c>
      <c r="BX2989" s="2" t="s">
        <v>9707</v>
      </c>
      <c r="BY2989" s="2" t="s">
        <v>113</v>
      </c>
      <c r="BZ2989" s="2" t="s">
        <v>100</v>
      </c>
    </row>
    <row r="2990">
      <c r="A2990" s="2" t="s">
        <v>9708</v>
      </c>
      <c r="B2990" s="2" t="s">
        <v>9668</v>
      </c>
      <c r="C2990" s="2" t="s">
        <v>4861</v>
      </c>
      <c r="D2990" s="2" t="s">
        <v>9669</v>
      </c>
      <c r="E2990" s="2" t="s">
        <v>9670</v>
      </c>
      <c r="F2990" s="2" t="s">
        <v>9671</v>
      </c>
      <c r="G2990" s="2" t="s">
        <v>9671</v>
      </c>
      <c r="H2990" s="2" t="s">
        <v>9671</v>
      </c>
      <c r="I2990" s="2" t="s">
        <v>9672</v>
      </c>
      <c r="J2990" s="2" t="s">
        <v>706</v>
      </c>
      <c r="K2990" s="2" t="s">
        <v>9699</v>
      </c>
      <c r="L2990" s="3">
        <v>22.21</v>
      </c>
      <c r="M2990" s="3">
        <v>23.32</v>
      </c>
      <c r="N2990" s="3">
        <v>47.99</v>
      </c>
      <c r="O2990" s="2" t="s">
        <v>97</v>
      </c>
      <c r="P2990" s="2" t="s">
        <v>98</v>
      </c>
      <c r="Q2990" s="2" t="s">
        <v>99</v>
      </c>
      <c r="R2990" s="2" t="s">
        <v>100</v>
      </c>
      <c r="S2990" s="2" t="s">
        <v>9700</v>
      </c>
      <c r="T2990" s="2" t="s">
        <v>9675</v>
      </c>
      <c r="U2990" s="2" t="s">
        <v>402</v>
      </c>
      <c r="V2990" s="2" t="s">
        <v>3937</v>
      </c>
      <c r="W2990" s="2" t="s">
        <v>183</v>
      </c>
      <c r="X2990" s="2" t="s">
        <v>202</v>
      </c>
      <c r="Y2990" s="2" t="s">
        <v>9701</v>
      </c>
      <c r="Z2990" s="4">
        <v>550</v>
      </c>
      <c r="AA2990" s="4">
        <f>=ROUNDDOWN(10.7843137254902,0)</f>
      </c>
      <c r="AB2990" s="5">
        <v>51</v>
      </c>
      <c r="AC2990" s="2" t="s">
        <v>9702</v>
      </c>
      <c r="AD2990" s="4">
        <v>260</v>
      </c>
      <c r="AE2990" s="4">
        <v>260</v>
      </c>
      <c r="AF2990" s="6">
        <v>65</v>
      </c>
      <c r="AG2990" s="6"/>
      <c r="AH2990" s="7">
        <v>0.4652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>
        <v>8</v>
      </c>
      <c r="AQ2990" s="8">
        <v>195.92</v>
      </c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0.0961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 t="s">
        <v>100</v>
      </c>
      <c r="BJ2990" s="4">
        <v>2056</v>
      </c>
      <c r="BK2990" s="8">
        <v>48843.35</v>
      </c>
      <c r="BL2990" s="2" t="s">
        <v>9709</v>
      </c>
      <c r="BM2990" s="7">
        <v>0.0039</v>
      </c>
      <c r="BN2990" s="7">
        <v>0.004</v>
      </c>
      <c r="BO2990" s="4">
        <v>8</v>
      </c>
      <c r="BP2990" s="8">
        <v>195.92</v>
      </c>
      <c r="BQ2990" s="4"/>
      <c r="BR2990" s="8"/>
      <c r="BS2990" s="7"/>
      <c r="BT2990" s="7"/>
      <c r="BU2990" s="2" t="s">
        <v>109</v>
      </c>
      <c r="BV2990" s="2" t="s">
        <v>110</v>
      </c>
      <c r="BW2990" s="2" t="s">
        <v>9704</v>
      </c>
      <c r="BX2990" s="2" t="s">
        <v>9710</v>
      </c>
      <c r="BY2990" s="2" t="s">
        <v>113</v>
      </c>
      <c r="BZ2990" s="2" t="s">
        <v>100</v>
      </c>
    </row>
    <row r="2991">
      <c r="A2991" s="2" t="s">
        <v>9711</v>
      </c>
      <c r="B2991" s="2" t="s">
        <v>9668</v>
      </c>
      <c r="C2991" s="2" t="s">
        <v>4861</v>
      </c>
      <c r="D2991" s="2" t="s">
        <v>9669</v>
      </c>
      <c r="E2991" s="2" t="s">
        <v>9670</v>
      </c>
      <c r="F2991" s="2" t="s">
        <v>9671</v>
      </c>
      <c r="G2991" s="2" t="s">
        <v>9671</v>
      </c>
      <c r="H2991" s="2" t="s">
        <v>9671</v>
      </c>
      <c r="I2991" s="2" t="s">
        <v>9672</v>
      </c>
      <c r="J2991" s="2" t="s">
        <v>714</v>
      </c>
      <c r="K2991" s="2" t="s">
        <v>9699</v>
      </c>
      <c r="L2991" s="3">
        <v>27.39</v>
      </c>
      <c r="M2991" s="3">
        <v>28.76</v>
      </c>
      <c r="N2991" s="3">
        <v>62.99</v>
      </c>
      <c r="O2991" s="2" t="s">
        <v>97</v>
      </c>
      <c r="P2991" s="2" t="s">
        <v>119</v>
      </c>
      <c r="Q2991" s="2" t="s">
        <v>99</v>
      </c>
      <c r="R2991" s="2" t="s">
        <v>100</v>
      </c>
      <c r="S2991" s="2" t="s">
        <v>9700</v>
      </c>
      <c r="T2991" s="2" t="s">
        <v>9675</v>
      </c>
      <c r="U2991" s="2" t="s">
        <v>402</v>
      </c>
      <c r="V2991" s="2" t="s">
        <v>3937</v>
      </c>
      <c r="W2991" s="2" t="s">
        <v>183</v>
      </c>
      <c r="X2991" s="2" t="s">
        <v>202</v>
      </c>
      <c r="Y2991" s="2" t="s">
        <v>9701</v>
      </c>
      <c r="Z2991" s="4">
        <v>643</v>
      </c>
      <c r="AA2991" s="4">
        <f>=ROUNDDOWN(33.8421052631579,0)</f>
      </c>
      <c r="AB2991" s="5">
        <v>19</v>
      </c>
      <c r="AC2991" s="2" t="s">
        <v>100</v>
      </c>
      <c r="AD2991" s="4"/>
      <c r="AE2991" s="4"/>
      <c r="AF2991" s="6">
        <v>65</v>
      </c>
      <c r="AG2991" s="6"/>
      <c r="AH2991" s="7">
        <v>0.7005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>
        <v>1</v>
      </c>
      <c r="AQ2991" s="8">
        <v>29.94</v>
      </c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>
        <v>0.0147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 t="s">
        <v>100</v>
      </c>
      <c r="BJ2991" s="4">
        <v>151</v>
      </c>
      <c r="BK2991" s="8">
        <v>4590.27</v>
      </c>
      <c r="BL2991" s="2" t="s">
        <v>9712</v>
      </c>
      <c r="BM2991" s="7">
        <v>0.0066</v>
      </c>
      <c r="BN2991" s="7">
        <v>0.0065</v>
      </c>
      <c r="BO2991" s="4">
        <v>1</v>
      </c>
      <c r="BP2991" s="8">
        <v>29.94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9704</v>
      </c>
      <c r="BX2991" s="2" t="s">
        <v>5227</v>
      </c>
      <c r="BY2991" s="2" t="s">
        <v>113</v>
      </c>
      <c r="BZ2991" s="2" t="s">
        <v>100</v>
      </c>
    </row>
    <row r="2992">
      <c r="A2992" s="2" t="s">
        <v>9713</v>
      </c>
      <c r="B2992" s="2" t="s">
        <v>9668</v>
      </c>
      <c r="C2992" s="2" t="s">
        <v>4861</v>
      </c>
      <c r="D2992" s="2" t="s">
        <v>9669</v>
      </c>
      <c r="E2992" s="2" t="s">
        <v>9670</v>
      </c>
      <c r="F2992" s="2" t="s">
        <v>9671</v>
      </c>
      <c r="G2992" s="2" t="s">
        <v>9671</v>
      </c>
      <c r="H2992" s="2" t="s">
        <v>9671</v>
      </c>
      <c r="I2992" s="2" t="s">
        <v>9672</v>
      </c>
      <c r="J2992" s="2" t="s">
        <v>1936</v>
      </c>
      <c r="K2992" s="2" t="s">
        <v>9714</v>
      </c>
      <c r="L2992" s="3">
        <v>14.89</v>
      </c>
      <c r="M2992" s="3">
        <v>15.63</v>
      </c>
      <c r="N2992" s="3">
        <v>31.99</v>
      </c>
      <c r="O2992" s="2" t="s">
        <v>97</v>
      </c>
      <c r="P2992" s="2" t="s">
        <v>119</v>
      </c>
      <c r="Q2992" s="2" t="s">
        <v>99</v>
      </c>
      <c r="R2992" s="2" t="s">
        <v>100</v>
      </c>
      <c r="S2992" s="2" t="s">
        <v>9715</v>
      </c>
      <c r="T2992" s="2" t="s">
        <v>9675</v>
      </c>
      <c r="U2992" s="2" t="s">
        <v>100</v>
      </c>
      <c r="V2992" s="2" t="s">
        <v>146</v>
      </c>
      <c r="W2992" s="2" t="s">
        <v>183</v>
      </c>
      <c r="X2992" s="2" t="s">
        <v>100</v>
      </c>
      <c r="Y2992" s="2" t="s">
        <v>240</v>
      </c>
      <c r="Z2992" s="4">
        <v>2</v>
      </c>
      <c r="AA2992" s="4">
        <f>=ROUNDDOWN(0.0425531914893617,0)</f>
      </c>
      <c r="AB2992" s="5">
        <v>47</v>
      </c>
      <c r="AC2992" s="2" t="s">
        <v>1102</v>
      </c>
      <c r="AD2992" s="4">
        <v>8520</v>
      </c>
      <c r="AE2992" s="4">
        <v>8520</v>
      </c>
      <c r="AF2992" s="6">
        <v>65</v>
      </c>
      <c r="AG2992" s="6"/>
      <c r="AH2992" s="7">
        <v>0.6096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>
        <v>36</v>
      </c>
      <c r="AQ2992" s="8">
        <v>587.88</v>
      </c>
      <c r="AR2992" s="4"/>
      <c r="AS2992" s="8"/>
      <c r="AT2992" s="7"/>
      <c r="AU2992" s="7"/>
      <c r="AV2992" s="4">
        <v>75</v>
      </c>
      <c r="AW2992" s="8">
        <v>1586.62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>
        <v>0.3705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>
        <v>0.0733</v>
      </c>
      <c r="BJ2992" s="4">
        <v>1737</v>
      </c>
      <c r="BK2992" s="8">
        <v>27536.87</v>
      </c>
      <c r="BL2992" s="2" t="s">
        <v>9716</v>
      </c>
      <c r="BM2992" s="7">
        <v>0.0207</v>
      </c>
      <c r="BN2992" s="7">
        <v>0.0213</v>
      </c>
      <c r="BO2992" s="4">
        <v>36</v>
      </c>
      <c r="BP2992" s="8">
        <v>587.88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1863</v>
      </c>
      <c r="BX2992" s="2" t="s">
        <v>173</v>
      </c>
      <c r="BY2992" s="2" t="s">
        <v>113</v>
      </c>
      <c r="BZ2992" s="2" t="s">
        <v>100</v>
      </c>
    </row>
    <row r="2993">
      <c r="A2993" s="2" t="s">
        <v>9717</v>
      </c>
      <c r="B2993" s="2" t="s">
        <v>9668</v>
      </c>
      <c r="C2993" s="2" t="s">
        <v>4861</v>
      </c>
      <c r="D2993" s="2" t="s">
        <v>9669</v>
      </c>
      <c r="E2993" s="2" t="s">
        <v>9670</v>
      </c>
      <c r="F2993" s="2" t="s">
        <v>9671</v>
      </c>
      <c r="G2993" s="2" t="s">
        <v>9671</v>
      </c>
      <c r="H2993" s="2" t="s">
        <v>9671</v>
      </c>
      <c r="I2993" s="2" t="s">
        <v>9672</v>
      </c>
      <c r="J2993" s="2" t="s">
        <v>717</v>
      </c>
      <c r="K2993" s="2" t="s">
        <v>9714</v>
      </c>
      <c r="L2993" s="3">
        <v>19.57</v>
      </c>
      <c r="M2993" s="3">
        <v>20.55</v>
      </c>
      <c r="N2993" s="3">
        <v>42.99</v>
      </c>
      <c r="O2993" s="2" t="s">
        <v>97</v>
      </c>
      <c r="P2993" s="2" t="s">
        <v>950</v>
      </c>
      <c r="Q2993" s="2" t="s">
        <v>99</v>
      </c>
      <c r="R2993" s="2" t="s">
        <v>100</v>
      </c>
      <c r="S2993" s="2" t="s">
        <v>9715</v>
      </c>
      <c r="T2993" s="2" t="s">
        <v>9675</v>
      </c>
      <c r="U2993" s="2" t="s">
        <v>100</v>
      </c>
      <c r="V2993" s="2" t="s">
        <v>146</v>
      </c>
      <c r="W2993" s="2" t="s">
        <v>183</v>
      </c>
      <c r="X2993" s="2" t="s">
        <v>100</v>
      </c>
      <c r="Y2993" s="2" t="s">
        <v>240</v>
      </c>
      <c r="Z2993" s="4">
        <v>639</v>
      </c>
      <c r="AA2993" s="4">
        <f>=ROUNDDOWN(18.2571428571429,0)</f>
      </c>
      <c r="AB2993" s="5">
        <v>35</v>
      </c>
      <c r="AC2993" s="2" t="s">
        <v>1102</v>
      </c>
      <c r="AD2993" s="4">
        <v>6285</v>
      </c>
      <c r="AE2993" s="4">
        <v>6285</v>
      </c>
      <c r="AF2993" s="6">
        <v>65</v>
      </c>
      <c r="AG2993" s="6"/>
      <c r="AH2993" s="7">
        <v>0.6684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>
        <v>6</v>
      </c>
      <c r="AQ2993" s="8">
        <v>130.62</v>
      </c>
      <c r="AR2993" s="4"/>
      <c r="AS2993" s="8"/>
      <c r="AT2993" s="7"/>
      <c r="AU2993" s="7"/>
      <c r="AV2993" s="4" t="s">
        <v>100</v>
      </c>
      <c r="AW2993" s="8" t="s">
        <v>100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>
        <v>0.0823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 t="s">
        <v>100</v>
      </c>
      <c r="BJ2993" s="4">
        <v>602</v>
      </c>
      <c r="BK2993" s="8">
        <v>12726</v>
      </c>
      <c r="BL2993" s="2" t="s">
        <v>9718</v>
      </c>
      <c r="BM2993" s="7">
        <v>0.01</v>
      </c>
      <c r="BN2993" s="7">
        <v>0.0103</v>
      </c>
      <c r="BO2993" s="4">
        <v>6</v>
      </c>
      <c r="BP2993" s="8">
        <v>130.62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1863</v>
      </c>
      <c r="BX2993" s="2" t="s">
        <v>9719</v>
      </c>
      <c r="BY2993" s="2" t="s">
        <v>113</v>
      </c>
      <c r="BZ2993" s="2" t="s">
        <v>100</v>
      </c>
    </row>
    <row r="2994">
      <c r="A2994" s="2" t="s">
        <v>9720</v>
      </c>
      <c r="B2994" s="2" t="s">
        <v>9668</v>
      </c>
      <c r="C2994" s="2" t="s">
        <v>4861</v>
      </c>
      <c r="D2994" s="2" t="s">
        <v>9669</v>
      </c>
      <c r="E2994" s="2" t="s">
        <v>9670</v>
      </c>
      <c r="F2994" s="2" t="s">
        <v>9671</v>
      </c>
      <c r="G2994" s="2" t="s">
        <v>9671</v>
      </c>
      <c r="H2994" s="2" t="s">
        <v>9671</v>
      </c>
      <c r="I2994" s="2" t="s">
        <v>9672</v>
      </c>
      <c r="J2994" s="2" t="s">
        <v>706</v>
      </c>
      <c r="K2994" s="2" t="s">
        <v>9714</v>
      </c>
      <c r="L2994" s="3">
        <v>22.21</v>
      </c>
      <c r="M2994" s="3">
        <v>23.32</v>
      </c>
      <c r="N2994" s="3">
        <v>47.99</v>
      </c>
      <c r="O2994" s="2" t="s">
        <v>97</v>
      </c>
      <c r="P2994" s="2" t="s">
        <v>950</v>
      </c>
      <c r="Q2994" s="2" t="s">
        <v>99</v>
      </c>
      <c r="R2994" s="2" t="s">
        <v>100</v>
      </c>
      <c r="S2994" s="2" t="s">
        <v>9715</v>
      </c>
      <c r="T2994" s="2" t="s">
        <v>9675</v>
      </c>
      <c r="U2994" s="2" t="s">
        <v>100</v>
      </c>
      <c r="V2994" s="2" t="s">
        <v>146</v>
      </c>
      <c r="W2994" s="2" t="s">
        <v>183</v>
      </c>
      <c r="X2994" s="2" t="s">
        <v>100</v>
      </c>
      <c r="Y2994" s="2" t="s">
        <v>240</v>
      </c>
      <c r="Z2994" s="4">
        <v>271</v>
      </c>
      <c r="AA2994" s="4">
        <f>=ROUNDDOWN(4.83928571428571,0)</f>
      </c>
      <c r="AB2994" s="5">
        <v>56</v>
      </c>
      <c r="AC2994" s="2" t="s">
        <v>1102</v>
      </c>
      <c r="AD2994" s="4">
        <v>8835</v>
      </c>
      <c r="AE2994" s="4">
        <v>8835</v>
      </c>
      <c r="AF2994" s="6">
        <v>65</v>
      </c>
      <c r="AG2994" s="6"/>
      <c r="AH2994" s="7">
        <v>0.6684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>
        <v>22</v>
      </c>
      <c r="AQ2994" s="8">
        <v>538.78</v>
      </c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0.3396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 t="s">
        <v>100</v>
      </c>
      <c r="BJ2994" s="4">
        <v>1358</v>
      </c>
      <c r="BK2994" s="8">
        <v>32841.52</v>
      </c>
      <c r="BL2994" s="2" t="s">
        <v>9721</v>
      </c>
      <c r="BM2994" s="7">
        <v>0.0162</v>
      </c>
      <c r="BN2994" s="7">
        <v>0.0164</v>
      </c>
      <c r="BO2994" s="4">
        <v>22</v>
      </c>
      <c r="BP2994" s="8">
        <v>538.78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1863</v>
      </c>
      <c r="BX2994" s="2" t="s">
        <v>7398</v>
      </c>
      <c r="BY2994" s="2" t="s">
        <v>113</v>
      </c>
      <c r="BZ2994" s="2" t="s">
        <v>100</v>
      </c>
    </row>
    <row r="2995">
      <c r="A2995" s="2" t="s">
        <v>9722</v>
      </c>
      <c r="B2995" s="2" t="s">
        <v>9668</v>
      </c>
      <c r="C2995" s="2" t="s">
        <v>4861</v>
      </c>
      <c r="D2995" s="2" t="s">
        <v>9669</v>
      </c>
      <c r="E2995" s="2" t="s">
        <v>9670</v>
      </c>
      <c r="F2995" s="2" t="s">
        <v>9671</v>
      </c>
      <c r="G2995" s="2" t="s">
        <v>9671</v>
      </c>
      <c r="H2995" s="2" t="s">
        <v>9671</v>
      </c>
      <c r="I2995" s="2" t="s">
        <v>9672</v>
      </c>
      <c r="J2995" s="2" t="s">
        <v>714</v>
      </c>
      <c r="K2995" s="2" t="s">
        <v>9714</v>
      </c>
      <c r="L2995" s="3">
        <v>27.39</v>
      </c>
      <c r="M2995" s="3">
        <v>28.76</v>
      </c>
      <c r="N2995" s="3">
        <v>62.99</v>
      </c>
      <c r="O2995" s="2" t="s">
        <v>97</v>
      </c>
      <c r="P2995" s="2" t="s">
        <v>119</v>
      </c>
      <c r="Q2995" s="2" t="s">
        <v>99</v>
      </c>
      <c r="R2995" s="2" t="s">
        <v>100</v>
      </c>
      <c r="S2995" s="2" t="s">
        <v>9715</v>
      </c>
      <c r="T2995" s="2" t="s">
        <v>9675</v>
      </c>
      <c r="U2995" s="2" t="s">
        <v>100</v>
      </c>
      <c r="V2995" s="2" t="s">
        <v>146</v>
      </c>
      <c r="W2995" s="2" t="s">
        <v>183</v>
      </c>
      <c r="X2995" s="2" t="s">
        <v>100</v>
      </c>
      <c r="Y2995" s="2" t="s">
        <v>240</v>
      </c>
      <c r="Z2995" s="4">
        <v>309</v>
      </c>
      <c r="AA2995" s="4">
        <f>=ROUNDDOWN(14.0454545454545,0)</f>
      </c>
      <c r="AB2995" s="5">
        <v>22</v>
      </c>
      <c r="AC2995" s="2" t="s">
        <v>1102</v>
      </c>
      <c r="AD2995" s="4">
        <v>3615</v>
      </c>
      <c r="AE2995" s="4">
        <v>3615</v>
      </c>
      <c r="AF2995" s="6">
        <v>65</v>
      </c>
      <c r="AG2995" s="6"/>
      <c r="AH2995" s="7">
        <v>0.6684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>
        <v>11</v>
      </c>
      <c r="AQ2995" s="8">
        <v>329.34</v>
      </c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>
        <v>0.2076</v>
      </c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 t="s">
        <v>100</v>
      </c>
      <c r="BJ2995" s="4">
        <v>319</v>
      </c>
      <c r="BK2995" s="8">
        <v>9326.38</v>
      </c>
      <c r="BL2995" s="2" t="s">
        <v>9723</v>
      </c>
      <c r="BM2995" s="7">
        <v>0.0345</v>
      </c>
      <c r="BN2995" s="7">
        <v>0.0353</v>
      </c>
      <c r="BO2995" s="4">
        <v>11</v>
      </c>
      <c r="BP2995" s="8">
        <v>329.34</v>
      </c>
      <c r="BQ2995" s="4"/>
      <c r="BR2995" s="8"/>
      <c r="BS2995" s="7"/>
      <c r="BT2995" s="7"/>
      <c r="BU2995" s="2" t="s">
        <v>109</v>
      </c>
      <c r="BV2995" s="2" t="s">
        <v>110</v>
      </c>
      <c r="BW2995" s="2" t="s">
        <v>1863</v>
      </c>
      <c r="BX2995" s="2" t="s">
        <v>9724</v>
      </c>
      <c r="BY2995" s="2" t="s">
        <v>113</v>
      </c>
      <c r="BZ2995" s="2" t="s">
        <v>100</v>
      </c>
    </row>
    <row r="2996">
      <c r="A2996" s="2" t="s">
        <v>9725</v>
      </c>
      <c r="B2996" s="2" t="s">
        <v>9668</v>
      </c>
      <c r="C2996" s="2" t="s">
        <v>4861</v>
      </c>
      <c r="D2996" s="2" t="s">
        <v>9669</v>
      </c>
      <c r="E2996" s="2" t="s">
        <v>9670</v>
      </c>
      <c r="F2996" s="2" t="s">
        <v>9671</v>
      </c>
      <c r="G2996" s="2" t="s">
        <v>9671</v>
      </c>
      <c r="H2996" s="2" t="s">
        <v>9671</v>
      </c>
      <c r="I2996" s="2" t="s">
        <v>9672</v>
      </c>
      <c r="J2996" s="2" t="s">
        <v>1936</v>
      </c>
      <c r="K2996" s="2" t="s">
        <v>7548</v>
      </c>
      <c r="L2996" s="3">
        <v>14.89</v>
      </c>
      <c r="M2996" s="3">
        <v>15.63</v>
      </c>
      <c r="N2996" s="3">
        <v>31.99</v>
      </c>
      <c r="O2996" s="2" t="s">
        <v>97</v>
      </c>
      <c r="P2996" s="2" t="s">
        <v>119</v>
      </c>
      <c r="Q2996" s="2" t="s">
        <v>99</v>
      </c>
      <c r="R2996" s="2" t="s">
        <v>100</v>
      </c>
      <c r="S2996" s="2" t="s">
        <v>9726</v>
      </c>
      <c r="T2996" s="2" t="s">
        <v>9675</v>
      </c>
      <c r="U2996" s="2" t="s">
        <v>100</v>
      </c>
      <c r="V2996" s="2" t="s">
        <v>403</v>
      </c>
      <c r="W2996" s="2" t="s">
        <v>183</v>
      </c>
      <c r="X2996" s="2" t="s">
        <v>100</v>
      </c>
      <c r="Y2996" s="2" t="s">
        <v>990</v>
      </c>
      <c r="Z2996" s="4">
        <v>1208</v>
      </c>
      <c r="AA2996" s="4">
        <f>=ROUNDDOWN(57.5238095238095,0)</f>
      </c>
      <c r="AB2996" s="5">
        <v>21</v>
      </c>
      <c r="AC2996" s="2" t="s">
        <v>100</v>
      </c>
      <c r="AD2996" s="4"/>
      <c r="AE2996" s="4"/>
      <c r="AF2996" s="6">
        <v>65</v>
      </c>
      <c r="AG2996" s="6"/>
      <c r="AH2996" s="7">
        <v>0.7594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>
        <v>56</v>
      </c>
      <c r="AQ2996" s="8">
        <v>914.48</v>
      </c>
      <c r="AR2996" s="4"/>
      <c r="AS2996" s="8"/>
      <c r="AT2996" s="7"/>
      <c r="AU2996" s="7"/>
      <c r="AV2996" s="4">
        <v>84</v>
      </c>
      <c r="AW2996" s="8">
        <v>1552.33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>
        <v>0.5891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0.0717</v>
      </c>
      <c r="BJ2996" s="4">
        <v>314</v>
      </c>
      <c r="BK2996" s="8">
        <v>5221.36</v>
      </c>
      <c r="BL2996" s="2" t="s">
        <v>9727</v>
      </c>
      <c r="BM2996" s="7">
        <v>0.1783</v>
      </c>
      <c r="BN2996" s="7">
        <v>0.1751</v>
      </c>
      <c r="BO2996" s="4">
        <v>56</v>
      </c>
      <c r="BP2996" s="8">
        <v>914.48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1863</v>
      </c>
      <c r="BX2996" s="2" t="s">
        <v>9728</v>
      </c>
      <c r="BY2996" s="2" t="s">
        <v>113</v>
      </c>
      <c r="BZ2996" s="2" t="s">
        <v>100</v>
      </c>
    </row>
    <row r="2997">
      <c r="A2997" s="2" t="s">
        <v>9729</v>
      </c>
      <c r="B2997" s="2" t="s">
        <v>9668</v>
      </c>
      <c r="C2997" s="2" t="s">
        <v>4861</v>
      </c>
      <c r="D2997" s="2" t="s">
        <v>9669</v>
      </c>
      <c r="E2997" s="2" t="s">
        <v>9670</v>
      </c>
      <c r="F2997" s="2" t="s">
        <v>9671</v>
      </c>
      <c r="G2997" s="2" t="s">
        <v>9671</v>
      </c>
      <c r="H2997" s="2" t="s">
        <v>9671</v>
      </c>
      <c r="I2997" s="2" t="s">
        <v>9672</v>
      </c>
      <c r="J2997" s="2" t="s">
        <v>2072</v>
      </c>
      <c r="K2997" s="2" t="s">
        <v>7548</v>
      </c>
      <c r="L2997" s="3">
        <v>16.16</v>
      </c>
      <c r="M2997" s="3">
        <v>16.97</v>
      </c>
      <c r="N2997" s="3">
        <v>34.99</v>
      </c>
      <c r="O2997" s="2" t="s">
        <v>97</v>
      </c>
      <c r="P2997" s="2" t="s">
        <v>119</v>
      </c>
      <c r="Q2997" s="2" t="s">
        <v>99</v>
      </c>
      <c r="R2997" s="2" t="s">
        <v>100</v>
      </c>
      <c r="S2997" s="2" t="s">
        <v>9726</v>
      </c>
      <c r="T2997" s="2" t="s">
        <v>9675</v>
      </c>
      <c r="U2997" s="2" t="s">
        <v>100</v>
      </c>
      <c r="V2997" s="2" t="s">
        <v>403</v>
      </c>
      <c r="W2997" s="2" t="s">
        <v>183</v>
      </c>
      <c r="X2997" s="2" t="s">
        <v>100</v>
      </c>
      <c r="Y2997" s="2" t="s">
        <v>990</v>
      </c>
      <c r="Z2997" s="4">
        <v>1054</v>
      </c>
      <c r="AA2997" s="4">
        <f>=ROUNDDOWN(45.8260869565217,0)</f>
      </c>
      <c r="AB2997" s="5">
        <v>23</v>
      </c>
      <c r="AC2997" s="2" t="s">
        <v>100</v>
      </c>
      <c r="AD2997" s="4"/>
      <c r="AE2997" s="4"/>
      <c r="AF2997" s="6">
        <v>65</v>
      </c>
      <c r="AG2997" s="6"/>
      <c r="AH2997" s="7">
        <v>0.6043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>
        <v>9</v>
      </c>
      <c r="AQ2997" s="8">
        <v>161.64</v>
      </c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>
        <v>0.1041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377</v>
      </c>
      <c r="BK2997" s="8">
        <v>7193.79</v>
      </c>
      <c r="BL2997" s="2" t="s">
        <v>9730</v>
      </c>
      <c r="BM2997" s="7">
        <v>0.0239</v>
      </c>
      <c r="BN2997" s="7">
        <v>0.0225</v>
      </c>
      <c r="BO2997" s="4">
        <v>9</v>
      </c>
      <c r="BP2997" s="8">
        <v>161.64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1863</v>
      </c>
      <c r="BX2997" s="2" t="s">
        <v>6150</v>
      </c>
      <c r="BY2997" s="2" t="s">
        <v>113</v>
      </c>
      <c r="BZ2997" s="2" t="s">
        <v>100</v>
      </c>
    </row>
    <row r="2998">
      <c r="A2998" s="2" t="s">
        <v>9731</v>
      </c>
      <c r="B2998" s="2" t="s">
        <v>9668</v>
      </c>
      <c r="C2998" s="2" t="s">
        <v>4861</v>
      </c>
      <c r="D2998" s="2" t="s">
        <v>9669</v>
      </c>
      <c r="E2998" s="2" t="s">
        <v>9670</v>
      </c>
      <c r="F2998" s="2" t="s">
        <v>9671</v>
      </c>
      <c r="G2998" s="2" t="s">
        <v>9671</v>
      </c>
      <c r="H2998" s="2" t="s">
        <v>9671</v>
      </c>
      <c r="I2998" s="2" t="s">
        <v>9672</v>
      </c>
      <c r="J2998" s="2" t="s">
        <v>717</v>
      </c>
      <c r="K2998" s="2" t="s">
        <v>7548</v>
      </c>
      <c r="L2998" s="3">
        <v>19.57</v>
      </c>
      <c r="M2998" s="3">
        <v>20.55</v>
      </c>
      <c r="N2998" s="3">
        <v>42.99</v>
      </c>
      <c r="O2998" s="2" t="s">
        <v>97</v>
      </c>
      <c r="P2998" s="2" t="s">
        <v>119</v>
      </c>
      <c r="Q2998" s="2" t="s">
        <v>99</v>
      </c>
      <c r="R2998" s="2" t="s">
        <v>100</v>
      </c>
      <c r="S2998" s="2" t="s">
        <v>9726</v>
      </c>
      <c r="T2998" s="2" t="s">
        <v>9675</v>
      </c>
      <c r="U2998" s="2" t="s">
        <v>100</v>
      </c>
      <c r="V2998" s="2" t="s">
        <v>403</v>
      </c>
      <c r="W2998" s="2" t="s">
        <v>183</v>
      </c>
      <c r="X2998" s="2" t="s">
        <v>100</v>
      </c>
      <c r="Y2998" s="2" t="s">
        <v>990</v>
      </c>
      <c r="Z2998" s="4">
        <v>755</v>
      </c>
      <c r="AA2998" s="4">
        <f>=ROUNDDOWN(47.1875,0)</f>
      </c>
      <c r="AB2998" s="5">
        <v>16</v>
      </c>
      <c r="AC2998" s="2" t="s">
        <v>100</v>
      </c>
      <c r="AD2998" s="4"/>
      <c r="AE2998" s="4"/>
      <c r="AF2998" s="6">
        <v>65</v>
      </c>
      <c r="AG2998" s="6"/>
      <c r="AH2998" s="7">
        <v>0.7647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 t="s">
        <v>100</v>
      </c>
      <c r="BJ2998" s="4">
        <v>225</v>
      </c>
      <c r="BK2998" s="8">
        <v>4777.74</v>
      </c>
      <c r="BL2998" s="2" t="s">
        <v>9732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1863</v>
      </c>
      <c r="BX2998" s="2" t="s">
        <v>2628</v>
      </c>
      <c r="BY2998" s="2" t="s">
        <v>113</v>
      </c>
      <c r="BZ2998" s="2" t="s">
        <v>100</v>
      </c>
    </row>
    <row r="2999">
      <c r="A2999" s="2" t="s">
        <v>9733</v>
      </c>
      <c r="B2999" s="2" t="s">
        <v>9668</v>
      </c>
      <c r="C2999" s="2" t="s">
        <v>4861</v>
      </c>
      <c r="D2999" s="2" t="s">
        <v>9669</v>
      </c>
      <c r="E2999" s="2" t="s">
        <v>9670</v>
      </c>
      <c r="F2999" s="2" t="s">
        <v>9671</v>
      </c>
      <c r="G2999" s="2" t="s">
        <v>9671</v>
      </c>
      <c r="H2999" s="2" t="s">
        <v>9671</v>
      </c>
      <c r="I2999" s="2" t="s">
        <v>9672</v>
      </c>
      <c r="J2999" s="2" t="s">
        <v>706</v>
      </c>
      <c r="K2999" s="2" t="s">
        <v>7548</v>
      </c>
      <c r="L2999" s="3">
        <v>22.21</v>
      </c>
      <c r="M2999" s="3">
        <v>23.32</v>
      </c>
      <c r="N2999" s="3">
        <v>47.99</v>
      </c>
      <c r="O2999" s="2" t="s">
        <v>97</v>
      </c>
      <c r="P2999" s="2" t="s">
        <v>950</v>
      </c>
      <c r="Q2999" s="2" t="s">
        <v>99</v>
      </c>
      <c r="R2999" s="2" t="s">
        <v>100</v>
      </c>
      <c r="S2999" s="2" t="s">
        <v>9726</v>
      </c>
      <c r="T2999" s="2" t="s">
        <v>9675</v>
      </c>
      <c r="U2999" s="2" t="s">
        <v>100</v>
      </c>
      <c r="V2999" s="2" t="s">
        <v>403</v>
      </c>
      <c r="W2999" s="2" t="s">
        <v>183</v>
      </c>
      <c r="X2999" s="2" t="s">
        <v>100</v>
      </c>
      <c r="Y2999" s="2" t="s">
        <v>990</v>
      </c>
      <c r="Z2999" s="4">
        <v>1311</v>
      </c>
      <c r="AA2999" s="4">
        <f>=ROUNDDOWN(40.96875,0)</f>
      </c>
      <c r="AB2999" s="5">
        <v>32</v>
      </c>
      <c r="AC2999" s="2" t="s">
        <v>100</v>
      </c>
      <c r="AD2999" s="4"/>
      <c r="AE2999" s="4"/>
      <c r="AF2999" s="6">
        <v>65</v>
      </c>
      <c r="AG2999" s="6"/>
      <c r="AH2999" s="7">
        <v>0.7647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>
        <v>17</v>
      </c>
      <c r="AQ2999" s="8">
        <v>416.33</v>
      </c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>
        <v>0.2682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 t="s">
        <v>100</v>
      </c>
      <c r="BJ2999" s="4">
        <v>203</v>
      </c>
      <c r="BK2999" s="8">
        <v>5107.77</v>
      </c>
      <c r="BL2999" s="2" t="s">
        <v>9734</v>
      </c>
      <c r="BM2999" s="7">
        <v>0.0837</v>
      </c>
      <c r="BN2999" s="7">
        <v>0.0815</v>
      </c>
      <c r="BO2999" s="4">
        <v>17</v>
      </c>
      <c r="BP2999" s="8">
        <v>416.33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1863</v>
      </c>
      <c r="BX2999" s="2" t="s">
        <v>9735</v>
      </c>
      <c r="BY2999" s="2" t="s">
        <v>113</v>
      </c>
      <c r="BZ2999" s="2" t="s">
        <v>100</v>
      </c>
    </row>
    <row r="3000">
      <c r="A3000" s="2" t="s">
        <v>9736</v>
      </c>
      <c r="B3000" s="2" t="s">
        <v>9668</v>
      </c>
      <c r="C3000" s="2" t="s">
        <v>4861</v>
      </c>
      <c r="D3000" s="2" t="s">
        <v>9669</v>
      </c>
      <c r="E3000" s="2" t="s">
        <v>9670</v>
      </c>
      <c r="F3000" s="2" t="s">
        <v>9671</v>
      </c>
      <c r="G3000" s="2" t="s">
        <v>9671</v>
      </c>
      <c r="H3000" s="2" t="s">
        <v>9671</v>
      </c>
      <c r="I3000" s="2" t="s">
        <v>9672</v>
      </c>
      <c r="J3000" s="2" t="s">
        <v>714</v>
      </c>
      <c r="K3000" s="2" t="s">
        <v>7548</v>
      </c>
      <c r="L3000" s="3">
        <v>27.39</v>
      </c>
      <c r="M3000" s="3">
        <v>28.76</v>
      </c>
      <c r="N3000" s="3">
        <v>62.99</v>
      </c>
      <c r="O3000" s="2" t="s">
        <v>97</v>
      </c>
      <c r="P3000" s="2" t="s">
        <v>119</v>
      </c>
      <c r="Q3000" s="2" t="s">
        <v>99</v>
      </c>
      <c r="R3000" s="2" t="s">
        <v>100</v>
      </c>
      <c r="S3000" s="2" t="s">
        <v>9726</v>
      </c>
      <c r="T3000" s="2" t="s">
        <v>9675</v>
      </c>
      <c r="U3000" s="2" t="s">
        <v>100</v>
      </c>
      <c r="V3000" s="2" t="s">
        <v>403</v>
      </c>
      <c r="W3000" s="2" t="s">
        <v>183</v>
      </c>
      <c r="X3000" s="2" t="s">
        <v>100</v>
      </c>
      <c r="Y3000" s="2" t="s">
        <v>990</v>
      </c>
      <c r="Z3000" s="4">
        <v>500</v>
      </c>
      <c r="AA3000" s="4">
        <f>=ROUNDDOWN(50,0)</f>
      </c>
      <c r="AB3000" s="5">
        <v>10</v>
      </c>
      <c r="AC3000" s="2" t="s">
        <v>100</v>
      </c>
      <c r="AD3000" s="4"/>
      <c r="AE3000" s="4"/>
      <c r="AF3000" s="6">
        <v>65</v>
      </c>
      <c r="AG3000" s="6"/>
      <c r="AH3000" s="7">
        <v>0.9251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>
        <v>2</v>
      </c>
      <c r="AQ3000" s="8">
        <v>59.88</v>
      </c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>
        <v>0.0386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 t="s">
        <v>100</v>
      </c>
      <c r="BJ3000" s="4">
        <v>134</v>
      </c>
      <c r="BK3000" s="8">
        <v>4058.71</v>
      </c>
      <c r="BL3000" s="2" t="s">
        <v>4464</v>
      </c>
      <c r="BM3000" s="7">
        <v>0.0149</v>
      </c>
      <c r="BN3000" s="7">
        <v>0.0148</v>
      </c>
      <c r="BO3000" s="4">
        <v>2</v>
      </c>
      <c r="BP3000" s="8">
        <v>59.88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1863</v>
      </c>
      <c r="BX3000" s="2" t="s">
        <v>9737</v>
      </c>
      <c r="BY3000" s="2" t="s">
        <v>113</v>
      </c>
      <c r="BZ3000" s="2" t="s">
        <v>100</v>
      </c>
    </row>
    <row r="3001">
      <c r="A3001" s="2" t="s">
        <v>9738</v>
      </c>
      <c r="B3001" s="2" t="s">
        <v>9668</v>
      </c>
      <c r="C3001" s="2" t="s">
        <v>4861</v>
      </c>
      <c r="D3001" s="2" t="s">
        <v>9669</v>
      </c>
      <c r="E3001" s="2" t="s">
        <v>9670</v>
      </c>
      <c r="F3001" s="2" t="s">
        <v>9671</v>
      </c>
      <c r="G3001" s="2" t="s">
        <v>9671</v>
      </c>
      <c r="H3001" s="2" t="s">
        <v>9671</v>
      </c>
      <c r="I3001" s="2" t="s">
        <v>9672</v>
      </c>
      <c r="J3001" s="2" t="s">
        <v>1936</v>
      </c>
      <c r="K3001" s="2" t="s">
        <v>9739</v>
      </c>
      <c r="L3001" s="3">
        <v>14.89</v>
      </c>
      <c r="M3001" s="3">
        <v>15.63</v>
      </c>
      <c r="N3001" s="3">
        <v>31.99</v>
      </c>
      <c r="O3001" s="2" t="s">
        <v>97</v>
      </c>
      <c r="P3001" s="2" t="s">
        <v>307</v>
      </c>
      <c r="Q3001" s="2" t="s">
        <v>99</v>
      </c>
      <c r="R3001" s="2" t="s">
        <v>100</v>
      </c>
      <c r="S3001" s="2" t="s">
        <v>9740</v>
      </c>
      <c r="T3001" s="2" t="s">
        <v>9675</v>
      </c>
      <c r="U3001" s="2" t="s">
        <v>480</v>
      </c>
      <c r="V3001" s="2" t="s">
        <v>3937</v>
      </c>
      <c r="W3001" s="2" t="s">
        <v>183</v>
      </c>
      <c r="X3001" s="2" t="s">
        <v>202</v>
      </c>
      <c r="Y3001" s="2" t="s">
        <v>9701</v>
      </c>
      <c r="Z3001" s="4">
        <v>299</v>
      </c>
      <c r="AA3001" s="4">
        <f>=ROUNDDOWN(2.66964285714286,0)</f>
      </c>
      <c r="AB3001" s="5">
        <v>112</v>
      </c>
      <c r="AC3001" s="2" t="s">
        <v>241</v>
      </c>
      <c r="AD3001" s="4">
        <v>128</v>
      </c>
      <c r="AE3001" s="4">
        <v>20981</v>
      </c>
      <c r="AF3001" s="6">
        <v>65</v>
      </c>
      <c r="AG3001" s="6"/>
      <c r="AH3001" s="7">
        <v>0.6203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>
        <v>54</v>
      </c>
      <c r="AQ3001" s="8">
        <v>881.82</v>
      </c>
      <c r="AR3001" s="4"/>
      <c r="AS3001" s="8"/>
      <c r="AT3001" s="7"/>
      <c r="AU3001" s="7"/>
      <c r="AV3001" s="4">
        <v>76</v>
      </c>
      <c r="AW3001" s="8">
        <v>1513.26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>
        <v>0.5827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0.0699</v>
      </c>
      <c r="BJ3001" s="4">
        <v>3000</v>
      </c>
      <c r="BK3001" s="8">
        <v>52887.27</v>
      </c>
      <c r="BL3001" s="2" t="s">
        <v>4464</v>
      </c>
      <c r="BM3001" s="7">
        <v>0.018</v>
      </c>
      <c r="BN3001" s="7">
        <v>0.0167</v>
      </c>
      <c r="BO3001" s="4">
        <v>54</v>
      </c>
      <c r="BP3001" s="8">
        <v>881.82</v>
      </c>
      <c r="BQ3001" s="4"/>
      <c r="BR3001" s="8"/>
      <c r="BS3001" s="7"/>
      <c r="BT3001" s="7"/>
      <c r="BU3001" s="2" t="s">
        <v>109</v>
      </c>
      <c r="BV3001" s="2" t="s">
        <v>110</v>
      </c>
      <c r="BW3001" s="2" t="s">
        <v>841</v>
      </c>
      <c r="BX3001" s="2" t="s">
        <v>9741</v>
      </c>
      <c r="BY3001" s="2" t="s">
        <v>113</v>
      </c>
      <c r="BZ3001" s="2" t="s">
        <v>100</v>
      </c>
    </row>
    <row r="3002">
      <c r="A3002" s="2" t="s">
        <v>9742</v>
      </c>
      <c r="B3002" s="2" t="s">
        <v>9668</v>
      </c>
      <c r="C3002" s="2" t="s">
        <v>4861</v>
      </c>
      <c r="D3002" s="2" t="s">
        <v>9669</v>
      </c>
      <c r="E3002" s="2" t="s">
        <v>9670</v>
      </c>
      <c r="F3002" s="2" t="s">
        <v>9671</v>
      </c>
      <c r="G3002" s="2" t="s">
        <v>9671</v>
      </c>
      <c r="H3002" s="2" t="s">
        <v>9671</v>
      </c>
      <c r="I3002" s="2" t="s">
        <v>9672</v>
      </c>
      <c r="J3002" s="2" t="s">
        <v>717</v>
      </c>
      <c r="K3002" s="2" t="s">
        <v>9739</v>
      </c>
      <c r="L3002" s="3">
        <v>19.57</v>
      </c>
      <c r="M3002" s="3">
        <v>20.55</v>
      </c>
      <c r="N3002" s="3">
        <v>42.99</v>
      </c>
      <c r="O3002" s="2" t="s">
        <v>97</v>
      </c>
      <c r="P3002" s="2" t="s">
        <v>372</v>
      </c>
      <c r="Q3002" s="2" t="s">
        <v>99</v>
      </c>
      <c r="R3002" s="2" t="s">
        <v>100</v>
      </c>
      <c r="S3002" s="2" t="s">
        <v>9740</v>
      </c>
      <c r="T3002" s="2" t="s">
        <v>9675</v>
      </c>
      <c r="U3002" s="2" t="s">
        <v>402</v>
      </c>
      <c r="V3002" s="2" t="s">
        <v>3937</v>
      </c>
      <c r="W3002" s="2" t="s">
        <v>183</v>
      </c>
      <c r="X3002" s="2" t="s">
        <v>202</v>
      </c>
      <c r="Y3002" s="2" t="s">
        <v>9701</v>
      </c>
      <c r="Z3002" s="4">
        <v>1052</v>
      </c>
      <c r="AA3002" s="4">
        <f>=ROUNDDOWN(19.4814814814815,0)</f>
      </c>
      <c r="AB3002" s="5">
        <v>54</v>
      </c>
      <c r="AC3002" s="2" t="s">
        <v>241</v>
      </c>
      <c r="AD3002" s="4">
        <v>19104</v>
      </c>
      <c r="AE3002" s="4">
        <v>19334</v>
      </c>
      <c r="AF3002" s="6">
        <v>65</v>
      </c>
      <c r="AG3002" s="6"/>
      <c r="AH3002" s="7">
        <v>0.6524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>
        <v>2</v>
      </c>
      <c r="AQ3002" s="8">
        <v>43.54</v>
      </c>
      <c r="AR3002" s="4"/>
      <c r="AS3002" s="8"/>
      <c r="AT3002" s="7"/>
      <c r="AU3002" s="7"/>
      <c r="AV3002" s="4" t="s">
        <v>100</v>
      </c>
      <c r="AW3002" s="8" t="s">
        <v>100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>
        <v>0.0288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 t="s">
        <v>100</v>
      </c>
      <c r="BJ3002" s="4">
        <v>1715</v>
      </c>
      <c r="BK3002" s="8">
        <v>36174.32</v>
      </c>
      <c r="BL3002" s="2" t="s">
        <v>9743</v>
      </c>
      <c r="BM3002" s="7">
        <v>0.0012</v>
      </c>
      <c r="BN3002" s="7">
        <v>0.0012</v>
      </c>
      <c r="BO3002" s="4">
        <v>2</v>
      </c>
      <c r="BP3002" s="8">
        <v>43.54</v>
      </c>
      <c r="BQ3002" s="4"/>
      <c r="BR3002" s="8"/>
      <c r="BS3002" s="7"/>
      <c r="BT3002" s="7"/>
      <c r="BU3002" s="2" t="s">
        <v>109</v>
      </c>
      <c r="BV3002" s="2" t="s">
        <v>110</v>
      </c>
      <c r="BW3002" s="2" t="s">
        <v>627</v>
      </c>
      <c r="BX3002" s="2" t="s">
        <v>9744</v>
      </c>
      <c r="BY3002" s="2" t="s">
        <v>113</v>
      </c>
      <c r="BZ3002" s="2" t="s">
        <v>100</v>
      </c>
    </row>
    <row r="3003">
      <c r="A3003" s="2" t="s">
        <v>9745</v>
      </c>
      <c r="B3003" s="2" t="s">
        <v>9668</v>
      </c>
      <c r="C3003" s="2" t="s">
        <v>4861</v>
      </c>
      <c r="D3003" s="2" t="s">
        <v>9669</v>
      </c>
      <c r="E3003" s="2" t="s">
        <v>9670</v>
      </c>
      <c r="F3003" s="2" t="s">
        <v>9671</v>
      </c>
      <c r="G3003" s="2" t="s">
        <v>9671</v>
      </c>
      <c r="H3003" s="2" t="s">
        <v>9671</v>
      </c>
      <c r="I3003" s="2" t="s">
        <v>9672</v>
      </c>
      <c r="J3003" s="2" t="s">
        <v>706</v>
      </c>
      <c r="K3003" s="2" t="s">
        <v>9739</v>
      </c>
      <c r="L3003" s="3">
        <v>22.21</v>
      </c>
      <c r="M3003" s="3">
        <v>23.32</v>
      </c>
      <c r="N3003" s="3">
        <v>47.99</v>
      </c>
      <c r="O3003" s="2" t="s">
        <v>97</v>
      </c>
      <c r="P3003" s="2" t="s">
        <v>372</v>
      </c>
      <c r="Q3003" s="2" t="s">
        <v>99</v>
      </c>
      <c r="R3003" s="2" t="s">
        <v>100</v>
      </c>
      <c r="S3003" s="2" t="s">
        <v>9740</v>
      </c>
      <c r="T3003" s="2" t="s">
        <v>9675</v>
      </c>
      <c r="U3003" s="2" t="s">
        <v>402</v>
      </c>
      <c r="V3003" s="2" t="s">
        <v>3937</v>
      </c>
      <c r="W3003" s="2" t="s">
        <v>183</v>
      </c>
      <c r="X3003" s="2" t="s">
        <v>202</v>
      </c>
      <c r="Y3003" s="2" t="s">
        <v>9701</v>
      </c>
      <c r="Z3003" s="4">
        <v>21</v>
      </c>
      <c r="AA3003" s="4">
        <f>=ROUNDDOWN(0.304347826086957,0)</f>
      </c>
      <c r="AB3003" s="5">
        <v>69</v>
      </c>
      <c r="AC3003" s="2" t="s">
        <v>241</v>
      </c>
      <c r="AD3003" s="4">
        <v>16864</v>
      </c>
      <c r="AE3003" s="4">
        <v>17562</v>
      </c>
      <c r="AF3003" s="6">
        <v>65</v>
      </c>
      <c r="AG3003" s="6"/>
      <c r="AH3003" s="7">
        <v>0.5401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>
        <v>2</v>
      </c>
      <c r="AQ3003" s="8">
        <v>48.98</v>
      </c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>
        <v>0.0324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 t="s">
        <v>100</v>
      </c>
      <c r="BJ3003" s="4">
        <v>2031</v>
      </c>
      <c r="BK3003" s="8">
        <v>48160.1</v>
      </c>
      <c r="BL3003" s="2" t="s">
        <v>9746</v>
      </c>
      <c r="BM3003" s="7">
        <v>0.001</v>
      </c>
      <c r="BN3003" s="7">
        <v>0.001</v>
      </c>
      <c r="BO3003" s="4">
        <v>2</v>
      </c>
      <c r="BP3003" s="8">
        <v>48.98</v>
      </c>
      <c r="BQ3003" s="4"/>
      <c r="BR3003" s="8"/>
      <c r="BS3003" s="7"/>
      <c r="BT3003" s="7"/>
      <c r="BU3003" s="2" t="s">
        <v>109</v>
      </c>
      <c r="BV3003" s="2" t="s">
        <v>110</v>
      </c>
      <c r="BW3003" s="2" t="s">
        <v>9704</v>
      </c>
      <c r="BX3003" s="2" t="s">
        <v>790</v>
      </c>
      <c r="BY3003" s="2" t="s">
        <v>113</v>
      </c>
      <c r="BZ3003" s="2" t="s">
        <v>100</v>
      </c>
    </row>
    <row r="3004">
      <c r="A3004" s="2" t="s">
        <v>9747</v>
      </c>
      <c r="B3004" s="2" t="s">
        <v>9668</v>
      </c>
      <c r="C3004" s="2" t="s">
        <v>4861</v>
      </c>
      <c r="D3004" s="2" t="s">
        <v>9669</v>
      </c>
      <c r="E3004" s="2" t="s">
        <v>9670</v>
      </c>
      <c r="F3004" s="2" t="s">
        <v>9671</v>
      </c>
      <c r="G3004" s="2" t="s">
        <v>9671</v>
      </c>
      <c r="H3004" s="2" t="s">
        <v>9671</v>
      </c>
      <c r="I3004" s="2" t="s">
        <v>9672</v>
      </c>
      <c r="J3004" s="2" t="s">
        <v>714</v>
      </c>
      <c r="K3004" s="2" t="s">
        <v>9739</v>
      </c>
      <c r="L3004" s="3">
        <v>27.39</v>
      </c>
      <c r="M3004" s="3">
        <v>28.76</v>
      </c>
      <c r="N3004" s="3">
        <v>62.99</v>
      </c>
      <c r="O3004" s="2" t="s">
        <v>97</v>
      </c>
      <c r="P3004" s="2" t="s">
        <v>119</v>
      </c>
      <c r="Q3004" s="2" t="s">
        <v>99</v>
      </c>
      <c r="R3004" s="2" t="s">
        <v>100</v>
      </c>
      <c r="S3004" s="2" t="s">
        <v>9740</v>
      </c>
      <c r="T3004" s="2" t="s">
        <v>9675</v>
      </c>
      <c r="U3004" s="2" t="s">
        <v>402</v>
      </c>
      <c r="V3004" s="2" t="s">
        <v>3937</v>
      </c>
      <c r="W3004" s="2" t="s">
        <v>183</v>
      </c>
      <c r="X3004" s="2" t="s">
        <v>202</v>
      </c>
      <c r="Y3004" s="2" t="s">
        <v>9701</v>
      </c>
      <c r="Z3004" s="4">
        <v>742</v>
      </c>
      <c r="AA3004" s="4">
        <f>=ROUNDDOWN(26.5,0)</f>
      </c>
      <c r="AB3004" s="5">
        <v>28</v>
      </c>
      <c r="AC3004" s="2" t="s">
        <v>241</v>
      </c>
      <c r="AD3004" s="4">
        <v>8032</v>
      </c>
      <c r="AE3004" s="4">
        <v>8089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>
        <v>18</v>
      </c>
      <c r="AQ3004" s="8">
        <v>538.92</v>
      </c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>
        <v>0.3561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>
        <v>402</v>
      </c>
      <c r="BK3004" s="8">
        <v>12221.98</v>
      </c>
      <c r="BL3004" s="2" t="s">
        <v>9748</v>
      </c>
      <c r="BM3004" s="7">
        <v>0.0448</v>
      </c>
      <c r="BN3004" s="7">
        <v>0.0441</v>
      </c>
      <c r="BO3004" s="4">
        <v>18</v>
      </c>
      <c r="BP3004" s="8">
        <v>538.92</v>
      </c>
      <c r="BQ3004" s="4"/>
      <c r="BR3004" s="8"/>
      <c r="BS3004" s="7"/>
      <c r="BT3004" s="7"/>
      <c r="BU3004" s="2" t="s">
        <v>109</v>
      </c>
      <c r="BV3004" s="2" t="s">
        <v>110</v>
      </c>
      <c r="BW3004" s="2" t="s">
        <v>9704</v>
      </c>
      <c r="BX3004" s="2" t="s">
        <v>9749</v>
      </c>
      <c r="BY3004" s="2" t="s">
        <v>113</v>
      </c>
      <c r="BZ3004" s="2" t="s">
        <v>100</v>
      </c>
    </row>
    <row r="3005">
      <c r="A3005" s="2" t="s">
        <v>9750</v>
      </c>
      <c r="B3005" s="2" t="s">
        <v>9668</v>
      </c>
      <c r="C3005" s="2" t="s">
        <v>4861</v>
      </c>
      <c r="D3005" s="2" t="s">
        <v>9669</v>
      </c>
      <c r="E3005" s="2" t="s">
        <v>9670</v>
      </c>
      <c r="F3005" s="2" t="s">
        <v>9671</v>
      </c>
      <c r="G3005" s="2" t="s">
        <v>9671</v>
      </c>
      <c r="H3005" s="2" t="s">
        <v>9671</v>
      </c>
      <c r="I3005" s="2" t="s">
        <v>9672</v>
      </c>
      <c r="J3005" s="2" t="s">
        <v>2072</v>
      </c>
      <c r="K3005" s="2" t="s">
        <v>9751</v>
      </c>
      <c r="L3005" s="3">
        <v>16.16</v>
      </c>
      <c r="M3005" s="3">
        <v>16.97</v>
      </c>
      <c r="N3005" s="3">
        <v>34.99</v>
      </c>
      <c r="O3005" s="2" t="s">
        <v>97</v>
      </c>
      <c r="P3005" s="2" t="s">
        <v>119</v>
      </c>
      <c r="Q3005" s="2" t="s">
        <v>99</v>
      </c>
      <c r="R3005" s="2" t="s">
        <v>100</v>
      </c>
      <c r="S3005" s="2" t="s">
        <v>9752</v>
      </c>
      <c r="T3005" s="2" t="s">
        <v>9675</v>
      </c>
      <c r="U3005" s="2" t="s">
        <v>480</v>
      </c>
      <c r="V3005" s="2" t="s">
        <v>2661</v>
      </c>
      <c r="W3005" s="2" t="s">
        <v>183</v>
      </c>
      <c r="X3005" s="2" t="s">
        <v>104</v>
      </c>
      <c r="Y3005" s="2" t="s">
        <v>9753</v>
      </c>
      <c r="Z3005" s="4">
        <v>604</v>
      </c>
      <c r="AA3005" s="4">
        <f>=ROUNDDOWN(28.7619047619048,0)</f>
      </c>
      <c r="AB3005" s="5">
        <v>21</v>
      </c>
      <c r="AC3005" s="2" t="s">
        <v>9702</v>
      </c>
      <c r="AD3005" s="4">
        <v>70</v>
      </c>
      <c r="AE3005" s="4">
        <v>70</v>
      </c>
      <c r="AF3005" s="6">
        <v>65</v>
      </c>
      <c r="AG3005" s="6"/>
      <c r="AH3005" s="7">
        <v>0.6952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>
        <v>5</v>
      </c>
      <c r="AQ3005" s="8">
        <v>89.8</v>
      </c>
      <c r="AR3005" s="4"/>
      <c r="AS3005" s="8"/>
      <c r="AT3005" s="7"/>
      <c r="AU3005" s="7"/>
      <c r="AV3005" s="4">
        <v>37</v>
      </c>
      <c r="AW3005" s="8">
        <v>927.99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>
        <v>0.0968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0.0429</v>
      </c>
      <c r="BJ3005" s="4">
        <v>345</v>
      </c>
      <c r="BK3005" s="8">
        <v>6334.27</v>
      </c>
      <c r="BL3005" s="2" t="s">
        <v>9754</v>
      </c>
      <c r="BM3005" s="7">
        <v>0.0145</v>
      </c>
      <c r="BN3005" s="7">
        <v>0.0142</v>
      </c>
      <c r="BO3005" s="4">
        <v>5</v>
      </c>
      <c r="BP3005" s="8">
        <v>89.8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9755</v>
      </c>
      <c r="BX3005" s="2" t="s">
        <v>7317</v>
      </c>
      <c r="BY3005" s="2" t="s">
        <v>113</v>
      </c>
      <c r="BZ3005" s="2" t="s">
        <v>100</v>
      </c>
    </row>
    <row r="3006">
      <c r="A3006" s="2" t="s">
        <v>9756</v>
      </c>
      <c r="B3006" s="2" t="s">
        <v>9668</v>
      </c>
      <c r="C3006" s="2" t="s">
        <v>4861</v>
      </c>
      <c r="D3006" s="2" t="s">
        <v>9669</v>
      </c>
      <c r="E3006" s="2" t="s">
        <v>9670</v>
      </c>
      <c r="F3006" s="2" t="s">
        <v>9671</v>
      </c>
      <c r="G3006" s="2" t="s">
        <v>9671</v>
      </c>
      <c r="H3006" s="2" t="s">
        <v>9671</v>
      </c>
      <c r="I3006" s="2" t="s">
        <v>9672</v>
      </c>
      <c r="J3006" s="2" t="s">
        <v>717</v>
      </c>
      <c r="K3006" s="2" t="s">
        <v>9751</v>
      </c>
      <c r="L3006" s="3">
        <v>19.57</v>
      </c>
      <c r="M3006" s="3">
        <v>20.55</v>
      </c>
      <c r="N3006" s="3">
        <v>42.99</v>
      </c>
      <c r="O3006" s="2" t="s">
        <v>97</v>
      </c>
      <c r="P3006" s="2" t="s">
        <v>950</v>
      </c>
      <c r="Q3006" s="2" t="s">
        <v>99</v>
      </c>
      <c r="R3006" s="2" t="s">
        <v>100</v>
      </c>
      <c r="S3006" s="2" t="s">
        <v>9752</v>
      </c>
      <c r="T3006" s="2" t="s">
        <v>9675</v>
      </c>
      <c r="U3006" s="2" t="s">
        <v>402</v>
      </c>
      <c r="V3006" s="2" t="s">
        <v>2661</v>
      </c>
      <c r="W3006" s="2" t="s">
        <v>183</v>
      </c>
      <c r="X3006" s="2" t="s">
        <v>104</v>
      </c>
      <c r="Y3006" s="2" t="s">
        <v>9753</v>
      </c>
      <c r="Z3006" s="4">
        <v>530</v>
      </c>
      <c r="AA3006" s="4">
        <f>=ROUNDDOWN(15.5882352941176,0)</f>
      </c>
      <c r="AB3006" s="5">
        <v>34</v>
      </c>
      <c r="AC3006" s="2" t="s">
        <v>9702</v>
      </c>
      <c r="AD3006" s="4">
        <v>120</v>
      </c>
      <c r="AE3006" s="4">
        <v>120</v>
      </c>
      <c r="AF3006" s="6">
        <v>65</v>
      </c>
      <c r="AG3006" s="6"/>
      <c r="AH3006" s="7">
        <v>0.6952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>
        <v>2</v>
      </c>
      <c r="AQ3006" s="8">
        <v>43.54</v>
      </c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>
        <v>0.0469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>
        <v>924</v>
      </c>
      <c r="BK3006" s="8">
        <v>19512.81</v>
      </c>
      <c r="BL3006" s="2" t="s">
        <v>9757</v>
      </c>
      <c r="BM3006" s="7">
        <v>0.0022</v>
      </c>
      <c r="BN3006" s="7">
        <v>0.0022</v>
      </c>
      <c r="BO3006" s="4">
        <v>2</v>
      </c>
      <c r="BP3006" s="8">
        <v>43.54</v>
      </c>
      <c r="BQ3006" s="4"/>
      <c r="BR3006" s="8"/>
      <c r="BS3006" s="7"/>
      <c r="BT3006" s="7"/>
      <c r="BU3006" s="2" t="s">
        <v>109</v>
      </c>
      <c r="BV3006" s="2" t="s">
        <v>110</v>
      </c>
      <c r="BW3006" s="2" t="s">
        <v>1820</v>
      </c>
      <c r="BX3006" s="2" t="s">
        <v>4540</v>
      </c>
      <c r="BY3006" s="2" t="s">
        <v>113</v>
      </c>
      <c r="BZ3006" s="2" t="s">
        <v>100</v>
      </c>
    </row>
    <row r="3007">
      <c r="A3007" s="2" t="s">
        <v>9758</v>
      </c>
      <c r="B3007" s="2" t="s">
        <v>9668</v>
      </c>
      <c r="C3007" s="2" t="s">
        <v>4861</v>
      </c>
      <c r="D3007" s="2" t="s">
        <v>9669</v>
      </c>
      <c r="E3007" s="2" t="s">
        <v>9670</v>
      </c>
      <c r="F3007" s="2" t="s">
        <v>9671</v>
      </c>
      <c r="G3007" s="2" t="s">
        <v>9671</v>
      </c>
      <c r="H3007" s="2" t="s">
        <v>9671</v>
      </c>
      <c r="I3007" s="2" t="s">
        <v>9672</v>
      </c>
      <c r="J3007" s="2" t="s">
        <v>706</v>
      </c>
      <c r="K3007" s="2" t="s">
        <v>9751</v>
      </c>
      <c r="L3007" s="3">
        <v>22.21</v>
      </c>
      <c r="M3007" s="3">
        <v>23.32</v>
      </c>
      <c r="N3007" s="3">
        <v>47.99</v>
      </c>
      <c r="O3007" s="2" t="s">
        <v>97</v>
      </c>
      <c r="P3007" s="2" t="s">
        <v>307</v>
      </c>
      <c r="Q3007" s="2" t="s">
        <v>99</v>
      </c>
      <c r="R3007" s="2" t="s">
        <v>100</v>
      </c>
      <c r="S3007" s="2" t="s">
        <v>9752</v>
      </c>
      <c r="T3007" s="2" t="s">
        <v>9675</v>
      </c>
      <c r="U3007" s="2" t="s">
        <v>402</v>
      </c>
      <c r="V3007" s="2" t="s">
        <v>2661</v>
      </c>
      <c r="W3007" s="2" t="s">
        <v>183</v>
      </c>
      <c r="X3007" s="2" t="s">
        <v>104</v>
      </c>
      <c r="Y3007" s="2" t="s">
        <v>9753</v>
      </c>
      <c r="Z3007" s="4">
        <v>2334</v>
      </c>
      <c r="AA3007" s="4">
        <f>=ROUNDDOWN(21.6111111111111,0)</f>
      </c>
      <c r="AB3007" s="5">
        <v>108</v>
      </c>
      <c r="AC3007" s="2" t="s">
        <v>9702</v>
      </c>
      <c r="AD3007" s="4">
        <v>400</v>
      </c>
      <c r="AE3007" s="4">
        <v>720</v>
      </c>
      <c r="AF3007" s="6">
        <v>65</v>
      </c>
      <c r="AG3007" s="6"/>
      <c r="AH3007" s="7">
        <v>0.6417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>
        <v>19</v>
      </c>
      <c r="AQ3007" s="8">
        <v>465.31</v>
      </c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>
        <v>0.5014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 t="s">
        <v>100</v>
      </c>
      <c r="BJ3007" s="4">
        <v>2696</v>
      </c>
      <c r="BK3007" s="8">
        <v>67976.15</v>
      </c>
      <c r="BL3007" s="2" t="s">
        <v>9759</v>
      </c>
      <c r="BM3007" s="7">
        <v>0.007</v>
      </c>
      <c r="BN3007" s="7">
        <v>0.0068</v>
      </c>
      <c r="BO3007" s="4">
        <v>19</v>
      </c>
      <c r="BP3007" s="8">
        <v>465.31</v>
      </c>
      <c r="BQ3007" s="4"/>
      <c r="BR3007" s="8"/>
      <c r="BS3007" s="7"/>
      <c r="BT3007" s="7"/>
      <c r="BU3007" s="2" t="s">
        <v>109</v>
      </c>
      <c r="BV3007" s="2" t="s">
        <v>110</v>
      </c>
      <c r="BW3007" s="2" t="s">
        <v>9760</v>
      </c>
      <c r="BX3007" s="2" t="s">
        <v>9761</v>
      </c>
      <c r="BY3007" s="2" t="s">
        <v>113</v>
      </c>
      <c r="BZ3007" s="2" t="s">
        <v>100</v>
      </c>
    </row>
    <row r="3008">
      <c r="A3008" s="2" t="s">
        <v>9762</v>
      </c>
      <c r="B3008" s="2" t="s">
        <v>9668</v>
      </c>
      <c r="C3008" s="2" t="s">
        <v>4861</v>
      </c>
      <c r="D3008" s="2" t="s">
        <v>9669</v>
      </c>
      <c r="E3008" s="2" t="s">
        <v>9670</v>
      </c>
      <c r="F3008" s="2" t="s">
        <v>9671</v>
      </c>
      <c r="G3008" s="2" t="s">
        <v>9671</v>
      </c>
      <c r="H3008" s="2" t="s">
        <v>9671</v>
      </c>
      <c r="I3008" s="2" t="s">
        <v>9672</v>
      </c>
      <c r="J3008" s="2" t="s">
        <v>714</v>
      </c>
      <c r="K3008" s="2" t="s">
        <v>9751</v>
      </c>
      <c r="L3008" s="3">
        <v>27.39</v>
      </c>
      <c r="M3008" s="3">
        <v>28.76</v>
      </c>
      <c r="N3008" s="3">
        <v>62.99</v>
      </c>
      <c r="O3008" s="2" t="s">
        <v>97</v>
      </c>
      <c r="P3008" s="2" t="s">
        <v>119</v>
      </c>
      <c r="Q3008" s="2" t="s">
        <v>99</v>
      </c>
      <c r="R3008" s="2" t="s">
        <v>100</v>
      </c>
      <c r="S3008" s="2" t="s">
        <v>9752</v>
      </c>
      <c r="T3008" s="2" t="s">
        <v>9675</v>
      </c>
      <c r="U3008" s="2" t="s">
        <v>402</v>
      </c>
      <c r="V3008" s="2" t="s">
        <v>2661</v>
      </c>
      <c r="W3008" s="2" t="s">
        <v>183</v>
      </c>
      <c r="X3008" s="2" t="s">
        <v>104</v>
      </c>
      <c r="Y3008" s="2" t="s">
        <v>9753</v>
      </c>
      <c r="Z3008" s="4">
        <v>890</v>
      </c>
      <c r="AA3008" s="4">
        <f>=ROUNDDOWN(35.6,0)</f>
      </c>
      <c r="AB3008" s="5">
        <v>25</v>
      </c>
      <c r="AC3008" s="2" t="s">
        <v>100</v>
      </c>
      <c r="AD3008" s="4"/>
      <c r="AE3008" s="4"/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>
        <v>11</v>
      </c>
      <c r="AQ3008" s="8">
        <v>329.34</v>
      </c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0.3549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>
        <v>301</v>
      </c>
      <c r="BK3008" s="8">
        <v>8836.65</v>
      </c>
      <c r="BL3008" s="2" t="s">
        <v>9763</v>
      </c>
      <c r="BM3008" s="7">
        <v>0.0365</v>
      </c>
      <c r="BN3008" s="7">
        <v>0.0373</v>
      </c>
      <c r="BO3008" s="4">
        <v>11</v>
      </c>
      <c r="BP3008" s="8">
        <v>329.34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9704</v>
      </c>
      <c r="BX3008" s="2" t="s">
        <v>9764</v>
      </c>
      <c r="BY3008" s="2" t="s">
        <v>113</v>
      </c>
      <c r="BZ3008" s="2" t="s">
        <v>100</v>
      </c>
    </row>
    <row r="3009">
      <c r="A3009" s="2" t="s">
        <v>9765</v>
      </c>
      <c r="B3009" s="2" t="s">
        <v>9668</v>
      </c>
      <c r="C3009" s="2" t="s">
        <v>4861</v>
      </c>
      <c r="D3009" s="2" t="s">
        <v>9669</v>
      </c>
      <c r="E3009" s="2" t="s">
        <v>9670</v>
      </c>
      <c r="F3009" s="2" t="s">
        <v>9671</v>
      </c>
      <c r="G3009" s="2" t="s">
        <v>9671</v>
      </c>
      <c r="H3009" s="2" t="s">
        <v>9671</v>
      </c>
      <c r="I3009" s="2" t="s">
        <v>9672</v>
      </c>
      <c r="J3009" s="2" t="s">
        <v>1936</v>
      </c>
      <c r="K3009" s="2" t="s">
        <v>9766</v>
      </c>
      <c r="L3009" s="3">
        <v>14.89</v>
      </c>
      <c r="M3009" s="3">
        <v>15.63</v>
      </c>
      <c r="N3009" s="3">
        <v>31.99</v>
      </c>
      <c r="O3009" s="2" t="s">
        <v>97</v>
      </c>
      <c r="P3009" s="2" t="s">
        <v>119</v>
      </c>
      <c r="Q3009" s="2" t="s">
        <v>99</v>
      </c>
      <c r="R3009" s="2" t="s">
        <v>100</v>
      </c>
      <c r="S3009" s="2" t="s">
        <v>9767</v>
      </c>
      <c r="T3009" s="2" t="s">
        <v>9675</v>
      </c>
      <c r="U3009" s="2" t="s">
        <v>100</v>
      </c>
      <c r="V3009" s="2" t="s">
        <v>146</v>
      </c>
      <c r="W3009" s="2" t="s">
        <v>183</v>
      </c>
      <c r="X3009" s="2" t="s">
        <v>100</v>
      </c>
      <c r="Y3009" s="2" t="s">
        <v>240</v>
      </c>
      <c r="Z3009" s="4">
        <v>910</v>
      </c>
      <c r="AA3009" s="4">
        <f>=ROUNDDOWN(16.5454545454545,0)</f>
      </c>
      <c r="AB3009" s="5">
        <v>55</v>
      </c>
      <c r="AC3009" s="2" t="s">
        <v>241</v>
      </c>
      <c r="AD3009" s="4">
        <v>32</v>
      </c>
      <c r="AE3009" s="4">
        <v>10629</v>
      </c>
      <c r="AF3009" s="6">
        <v>65</v>
      </c>
      <c r="AG3009" s="6"/>
      <c r="AH3009" s="7">
        <v>0.6524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>
        <v>37</v>
      </c>
      <c r="AQ3009" s="8">
        <v>604.21</v>
      </c>
      <c r="AR3009" s="4"/>
      <c r="AS3009" s="8"/>
      <c r="AT3009" s="7"/>
      <c r="AU3009" s="7"/>
      <c r="AV3009" s="4">
        <v>49</v>
      </c>
      <c r="AW3009" s="8">
        <v>876.33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>
        <v>0.6895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0.0405</v>
      </c>
      <c r="BJ3009" s="4">
        <v>968</v>
      </c>
      <c r="BK3009" s="8">
        <v>15364.73</v>
      </c>
      <c r="BL3009" s="2" t="s">
        <v>9768</v>
      </c>
      <c r="BM3009" s="7">
        <v>0.0382</v>
      </c>
      <c r="BN3009" s="7">
        <v>0.0393</v>
      </c>
      <c r="BO3009" s="4">
        <v>37</v>
      </c>
      <c r="BP3009" s="8">
        <v>604.21</v>
      </c>
      <c r="BQ3009" s="4"/>
      <c r="BR3009" s="8"/>
      <c r="BS3009" s="7"/>
      <c r="BT3009" s="7"/>
      <c r="BU3009" s="2" t="s">
        <v>109</v>
      </c>
      <c r="BV3009" s="2" t="s">
        <v>110</v>
      </c>
      <c r="BW3009" s="2" t="s">
        <v>1863</v>
      </c>
      <c r="BX3009" s="2" t="s">
        <v>1919</v>
      </c>
      <c r="BY3009" s="2" t="s">
        <v>113</v>
      </c>
      <c r="BZ3009" s="2" t="s">
        <v>100</v>
      </c>
    </row>
    <row r="3010">
      <c r="A3010" s="2" t="s">
        <v>9769</v>
      </c>
      <c r="B3010" s="2" t="s">
        <v>9668</v>
      </c>
      <c r="C3010" s="2" t="s">
        <v>4861</v>
      </c>
      <c r="D3010" s="2" t="s">
        <v>9669</v>
      </c>
      <c r="E3010" s="2" t="s">
        <v>9670</v>
      </c>
      <c r="F3010" s="2" t="s">
        <v>9671</v>
      </c>
      <c r="G3010" s="2" t="s">
        <v>9671</v>
      </c>
      <c r="H3010" s="2" t="s">
        <v>9671</v>
      </c>
      <c r="I3010" s="2" t="s">
        <v>9672</v>
      </c>
      <c r="J3010" s="2" t="s">
        <v>717</v>
      </c>
      <c r="K3010" s="2" t="s">
        <v>9766</v>
      </c>
      <c r="L3010" s="3">
        <v>19.57</v>
      </c>
      <c r="M3010" s="3">
        <v>20.55</v>
      </c>
      <c r="N3010" s="3">
        <v>42.99</v>
      </c>
      <c r="O3010" s="2" t="s">
        <v>97</v>
      </c>
      <c r="P3010" s="2" t="s">
        <v>950</v>
      </c>
      <c r="Q3010" s="2" t="s">
        <v>99</v>
      </c>
      <c r="R3010" s="2" t="s">
        <v>100</v>
      </c>
      <c r="S3010" s="2" t="s">
        <v>9767</v>
      </c>
      <c r="T3010" s="2" t="s">
        <v>9675</v>
      </c>
      <c r="U3010" s="2" t="s">
        <v>100</v>
      </c>
      <c r="V3010" s="2" t="s">
        <v>146</v>
      </c>
      <c r="W3010" s="2" t="s">
        <v>183</v>
      </c>
      <c r="X3010" s="2" t="s">
        <v>100</v>
      </c>
      <c r="Y3010" s="2" t="s">
        <v>240</v>
      </c>
      <c r="Z3010" s="4">
        <v>758</v>
      </c>
      <c r="AA3010" s="4">
        <f>=ROUNDDOWN(18.047619047619,0)</f>
      </c>
      <c r="AB3010" s="5">
        <v>42</v>
      </c>
      <c r="AC3010" s="2" t="s">
        <v>562</v>
      </c>
      <c r="AD3010" s="4">
        <v>585</v>
      </c>
      <c r="AE3010" s="4">
        <v>585</v>
      </c>
      <c r="AF3010" s="6">
        <v>65</v>
      </c>
      <c r="AG3010" s="6"/>
      <c r="AH3010" s="7">
        <v>0.6471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>
        <v>8</v>
      </c>
      <c r="AQ3010" s="8">
        <v>174.16</v>
      </c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>
        <v>0.1987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>
        <v>731</v>
      </c>
      <c r="BK3010" s="8">
        <v>15749.62</v>
      </c>
      <c r="BL3010" s="2" t="s">
        <v>9770</v>
      </c>
      <c r="BM3010" s="7">
        <v>0.0109</v>
      </c>
      <c r="BN3010" s="7">
        <v>0.0111</v>
      </c>
      <c r="BO3010" s="4">
        <v>8</v>
      </c>
      <c r="BP3010" s="8">
        <v>174.16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1863</v>
      </c>
      <c r="BX3010" s="2" t="s">
        <v>9771</v>
      </c>
      <c r="BY3010" s="2" t="s">
        <v>113</v>
      </c>
      <c r="BZ3010" s="2" t="s">
        <v>100</v>
      </c>
    </row>
    <row r="3011">
      <c r="A3011" s="2" t="s">
        <v>9772</v>
      </c>
      <c r="B3011" s="2" t="s">
        <v>9668</v>
      </c>
      <c r="C3011" s="2" t="s">
        <v>4861</v>
      </c>
      <c r="D3011" s="2" t="s">
        <v>9669</v>
      </c>
      <c r="E3011" s="2" t="s">
        <v>9670</v>
      </c>
      <c r="F3011" s="2" t="s">
        <v>9671</v>
      </c>
      <c r="G3011" s="2" t="s">
        <v>9671</v>
      </c>
      <c r="H3011" s="2" t="s">
        <v>9671</v>
      </c>
      <c r="I3011" s="2" t="s">
        <v>9672</v>
      </c>
      <c r="J3011" s="2" t="s">
        <v>706</v>
      </c>
      <c r="K3011" s="2" t="s">
        <v>9766</v>
      </c>
      <c r="L3011" s="3">
        <v>22.21</v>
      </c>
      <c r="M3011" s="3">
        <v>23.32</v>
      </c>
      <c r="N3011" s="3">
        <v>47.99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9767</v>
      </c>
      <c r="T3011" s="2" t="s">
        <v>9675</v>
      </c>
      <c r="U3011" s="2" t="s">
        <v>100</v>
      </c>
      <c r="V3011" s="2" t="s">
        <v>146</v>
      </c>
      <c r="W3011" s="2" t="s">
        <v>183</v>
      </c>
      <c r="X3011" s="2" t="s">
        <v>100</v>
      </c>
      <c r="Y3011" s="2" t="s">
        <v>240</v>
      </c>
      <c r="Z3011" s="4">
        <v>2469</v>
      </c>
      <c r="AA3011" s="4">
        <f>=ROUNDDOWN(40.4754098360656,0)</f>
      </c>
      <c r="AB3011" s="5">
        <v>61</v>
      </c>
      <c r="AC3011" s="2" t="s">
        <v>241</v>
      </c>
      <c r="AD3011" s="4">
        <v>6184</v>
      </c>
      <c r="AE3011" s="4">
        <v>16496</v>
      </c>
      <c r="AF3011" s="6">
        <v>65</v>
      </c>
      <c r="AG3011" s="6"/>
      <c r="AH3011" s="7">
        <v>0.6524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>
        <v>4</v>
      </c>
      <c r="AQ3011" s="8">
        <v>97.96</v>
      </c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>
        <v>0.1118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>
        <v>268</v>
      </c>
      <c r="BK3011" s="8">
        <v>6481.75</v>
      </c>
      <c r="BL3011" s="2" t="s">
        <v>9773</v>
      </c>
      <c r="BM3011" s="7">
        <v>0.0149</v>
      </c>
      <c r="BN3011" s="7">
        <v>0.0151</v>
      </c>
      <c r="BO3011" s="4">
        <v>4</v>
      </c>
      <c r="BP3011" s="8">
        <v>97.96</v>
      </c>
      <c r="BQ3011" s="4"/>
      <c r="BR3011" s="8"/>
      <c r="BS3011" s="7"/>
      <c r="BT3011" s="7"/>
      <c r="BU3011" s="2" t="s">
        <v>109</v>
      </c>
      <c r="BV3011" s="2" t="s">
        <v>110</v>
      </c>
      <c r="BW3011" s="2" t="s">
        <v>1863</v>
      </c>
      <c r="BX3011" s="2" t="s">
        <v>800</v>
      </c>
      <c r="BY3011" s="2" t="s">
        <v>113</v>
      </c>
      <c r="BZ3011" s="2" t="s">
        <v>100</v>
      </c>
    </row>
    <row r="3012">
      <c r="A3012" s="2" t="s">
        <v>9774</v>
      </c>
      <c r="B3012" s="2" t="s">
        <v>9668</v>
      </c>
      <c r="C3012" s="2" t="s">
        <v>4861</v>
      </c>
      <c r="D3012" s="2" t="s">
        <v>9669</v>
      </c>
      <c r="E3012" s="2" t="s">
        <v>9670</v>
      </c>
      <c r="F3012" s="2" t="s">
        <v>9671</v>
      </c>
      <c r="G3012" s="2" t="s">
        <v>9671</v>
      </c>
      <c r="H3012" s="2" t="s">
        <v>9671</v>
      </c>
      <c r="I3012" s="2" t="s">
        <v>9672</v>
      </c>
      <c r="J3012" s="2" t="s">
        <v>817</v>
      </c>
      <c r="K3012" s="2" t="s">
        <v>9766</v>
      </c>
      <c r="L3012" s="3">
        <v>27.39</v>
      </c>
      <c r="M3012" s="3">
        <v>28.76</v>
      </c>
      <c r="N3012" s="3">
        <v>62.99</v>
      </c>
      <c r="O3012" s="2" t="s">
        <v>97</v>
      </c>
      <c r="P3012" s="2" t="s">
        <v>119</v>
      </c>
      <c r="Q3012" s="2" t="s">
        <v>99</v>
      </c>
      <c r="R3012" s="2" t="s">
        <v>100</v>
      </c>
      <c r="S3012" s="2" t="s">
        <v>9767</v>
      </c>
      <c r="T3012" s="2" t="s">
        <v>9675</v>
      </c>
      <c r="U3012" s="2" t="s">
        <v>100</v>
      </c>
      <c r="V3012" s="2" t="s">
        <v>146</v>
      </c>
      <c r="W3012" s="2" t="s">
        <v>183</v>
      </c>
      <c r="X3012" s="2" t="s">
        <v>100</v>
      </c>
      <c r="Y3012" s="2" t="s">
        <v>240</v>
      </c>
      <c r="Z3012" s="4">
        <v>409</v>
      </c>
      <c r="AA3012" s="4">
        <f>=ROUNDDOWN(29.2142857142857,0)</f>
      </c>
      <c r="AB3012" s="5">
        <v>14</v>
      </c>
      <c r="AC3012" s="2" t="s">
        <v>562</v>
      </c>
      <c r="AD3012" s="4">
        <v>124</v>
      </c>
      <c r="AE3012" s="4">
        <v>124</v>
      </c>
      <c r="AF3012" s="6">
        <v>65</v>
      </c>
      <c r="AG3012" s="6"/>
      <c r="AH3012" s="7">
        <v>0.6524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>
        <v>74</v>
      </c>
      <c r="BK3012" s="8">
        <v>2177.1</v>
      </c>
      <c r="BL3012" s="2" t="s">
        <v>1354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1863</v>
      </c>
      <c r="BX3012" s="2" t="s">
        <v>4479</v>
      </c>
      <c r="BY3012" s="2" t="s">
        <v>113</v>
      </c>
      <c r="BZ3012" s="2" t="s">
        <v>100</v>
      </c>
    </row>
    <row r="3013">
      <c r="A3013" s="2" t="s">
        <v>9775</v>
      </c>
      <c r="B3013" s="2" t="s">
        <v>9668</v>
      </c>
      <c r="C3013" s="2" t="s">
        <v>4861</v>
      </c>
      <c r="D3013" s="2" t="s">
        <v>9669</v>
      </c>
      <c r="E3013" s="2" t="s">
        <v>9670</v>
      </c>
      <c r="F3013" s="2" t="s">
        <v>9671</v>
      </c>
      <c r="G3013" s="2" t="s">
        <v>9671</v>
      </c>
      <c r="H3013" s="2" t="s">
        <v>9671</v>
      </c>
      <c r="I3013" s="2" t="s">
        <v>9672</v>
      </c>
      <c r="J3013" s="2" t="s">
        <v>1936</v>
      </c>
      <c r="K3013" s="2" t="s">
        <v>9776</v>
      </c>
      <c r="L3013" s="3">
        <v>14.89</v>
      </c>
      <c r="M3013" s="3">
        <v>15.63</v>
      </c>
      <c r="N3013" s="3">
        <v>31.99</v>
      </c>
      <c r="O3013" s="2" t="s">
        <v>97</v>
      </c>
      <c r="P3013" s="2" t="s">
        <v>372</v>
      </c>
      <c r="Q3013" s="2" t="s">
        <v>99</v>
      </c>
      <c r="R3013" s="2" t="s">
        <v>100</v>
      </c>
      <c r="S3013" s="2" t="s">
        <v>9777</v>
      </c>
      <c r="T3013" s="2" t="s">
        <v>9675</v>
      </c>
      <c r="U3013" s="2" t="s">
        <v>100</v>
      </c>
      <c r="V3013" s="2" t="s">
        <v>3937</v>
      </c>
      <c r="W3013" s="2" t="s">
        <v>183</v>
      </c>
      <c r="X3013" s="2" t="s">
        <v>100</v>
      </c>
      <c r="Y3013" s="2" t="s">
        <v>6293</v>
      </c>
      <c r="Z3013" s="4">
        <v>1122</v>
      </c>
      <c r="AA3013" s="4">
        <f>=ROUNDDOWN(13.046511627907,0)</f>
      </c>
      <c r="AB3013" s="5">
        <v>86</v>
      </c>
      <c r="AC3013" s="2" t="s">
        <v>4334</v>
      </c>
      <c r="AD3013" s="4">
        <v>329</v>
      </c>
      <c r="AE3013" s="4">
        <v>579</v>
      </c>
      <c r="AF3013" s="6">
        <v>65</v>
      </c>
      <c r="AG3013" s="6"/>
      <c r="AH3013" s="7">
        <v>0.7273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>
        <v>18</v>
      </c>
      <c r="AQ3013" s="8">
        <v>293.94</v>
      </c>
      <c r="AR3013" s="4"/>
      <c r="AS3013" s="8"/>
      <c r="AT3013" s="7"/>
      <c r="AU3013" s="7"/>
      <c r="AV3013" s="4">
        <v>36</v>
      </c>
      <c r="AW3013" s="8">
        <v>773.48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>
        <v>0.38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0.0357</v>
      </c>
      <c r="BJ3013" s="4">
        <v>2536</v>
      </c>
      <c r="BK3013" s="8">
        <v>40147.8</v>
      </c>
      <c r="BL3013" s="2" t="s">
        <v>9778</v>
      </c>
      <c r="BM3013" s="7">
        <v>0.0071</v>
      </c>
      <c r="BN3013" s="7">
        <v>0.0073</v>
      </c>
      <c r="BO3013" s="4">
        <v>18</v>
      </c>
      <c r="BP3013" s="8">
        <v>293.94</v>
      </c>
      <c r="BQ3013" s="4"/>
      <c r="BR3013" s="8"/>
      <c r="BS3013" s="7"/>
      <c r="BT3013" s="7"/>
      <c r="BU3013" s="2" t="s">
        <v>109</v>
      </c>
      <c r="BV3013" s="2" t="s">
        <v>110</v>
      </c>
      <c r="BW3013" s="2" t="s">
        <v>1863</v>
      </c>
      <c r="BX3013" s="2" t="s">
        <v>7398</v>
      </c>
      <c r="BY3013" s="2" t="s">
        <v>113</v>
      </c>
      <c r="BZ3013" s="2" t="s">
        <v>100</v>
      </c>
    </row>
    <row r="3014">
      <c r="A3014" s="2" t="s">
        <v>9779</v>
      </c>
      <c r="B3014" s="2" t="s">
        <v>9668</v>
      </c>
      <c r="C3014" s="2" t="s">
        <v>4861</v>
      </c>
      <c r="D3014" s="2" t="s">
        <v>9669</v>
      </c>
      <c r="E3014" s="2" t="s">
        <v>9670</v>
      </c>
      <c r="F3014" s="2" t="s">
        <v>9671</v>
      </c>
      <c r="G3014" s="2" t="s">
        <v>9671</v>
      </c>
      <c r="H3014" s="2" t="s">
        <v>9671</v>
      </c>
      <c r="I3014" s="2" t="s">
        <v>9672</v>
      </c>
      <c r="J3014" s="2" t="s">
        <v>2072</v>
      </c>
      <c r="K3014" s="2" t="s">
        <v>9776</v>
      </c>
      <c r="L3014" s="3">
        <v>16.16</v>
      </c>
      <c r="M3014" s="3">
        <v>16.97</v>
      </c>
      <c r="N3014" s="3">
        <v>34.99</v>
      </c>
      <c r="O3014" s="2" t="s">
        <v>97</v>
      </c>
      <c r="P3014" s="2" t="s">
        <v>98</v>
      </c>
      <c r="Q3014" s="2" t="s">
        <v>99</v>
      </c>
      <c r="R3014" s="2" t="s">
        <v>100</v>
      </c>
      <c r="S3014" s="2" t="s">
        <v>9777</v>
      </c>
      <c r="T3014" s="2" t="s">
        <v>9675</v>
      </c>
      <c r="U3014" s="2" t="s">
        <v>100</v>
      </c>
      <c r="V3014" s="2" t="s">
        <v>3937</v>
      </c>
      <c r="W3014" s="2" t="s">
        <v>183</v>
      </c>
      <c r="X3014" s="2" t="s">
        <v>100</v>
      </c>
      <c r="Y3014" s="2" t="s">
        <v>6293</v>
      </c>
      <c r="Z3014" s="4">
        <v>634</v>
      </c>
      <c r="AA3014" s="4">
        <f>=ROUNDDOWN(14.7441860465116,0)</f>
      </c>
      <c r="AB3014" s="5">
        <v>43</v>
      </c>
      <c r="AC3014" s="2" t="s">
        <v>1102</v>
      </c>
      <c r="AD3014" s="4">
        <v>601</v>
      </c>
      <c r="AE3014" s="4">
        <v>1082</v>
      </c>
      <c r="AF3014" s="6">
        <v>65</v>
      </c>
      <c r="AG3014" s="6"/>
      <c r="AH3014" s="7">
        <v>0.6631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>
        <v>2</v>
      </c>
      <c r="AQ3014" s="8">
        <v>35.92</v>
      </c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>
        <v>0.0464</v>
      </c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1164</v>
      </c>
      <c r="BK3014" s="8">
        <v>20607.73</v>
      </c>
      <c r="BL3014" s="2" t="s">
        <v>9730</v>
      </c>
      <c r="BM3014" s="7">
        <v>0.0017</v>
      </c>
      <c r="BN3014" s="7">
        <v>0.0017</v>
      </c>
      <c r="BO3014" s="4">
        <v>2</v>
      </c>
      <c r="BP3014" s="8">
        <v>35.92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750</v>
      </c>
      <c r="BX3014" s="2" t="s">
        <v>9780</v>
      </c>
      <c r="BY3014" s="2" t="s">
        <v>113</v>
      </c>
      <c r="BZ3014" s="2" t="s">
        <v>100</v>
      </c>
    </row>
    <row r="3015">
      <c r="A3015" s="2" t="s">
        <v>9781</v>
      </c>
      <c r="B3015" s="2" t="s">
        <v>9668</v>
      </c>
      <c r="C3015" s="2" t="s">
        <v>4861</v>
      </c>
      <c r="D3015" s="2" t="s">
        <v>9669</v>
      </c>
      <c r="E3015" s="2" t="s">
        <v>9670</v>
      </c>
      <c r="F3015" s="2" t="s">
        <v>9671</v>
      </c>
      <c r="G3015" s="2" t="s">
        <v>9671</v>
      </c>
      <c r="H3015" s="2" t="s">
        <v>9671</v>
      </c>
      <c r="I3015" s="2" t="s">
        <v>9672</v>
      </c>
      <c r="J3015" s="2" t="s">
        <v>717</v>
      </c>
      <c r="K3015" s="2" t="s">
        <v>9776</v>
      </c>
      <c r="L3015" s="3">
        <v>19.57</v>
      </c>
      <c r="M3015" s="3">
        <v>20.55</v>
      </c>
      <c r="N3015" s="3">
        <v>42.99</v>
      </c>
      <c r="O3015" s="2" t="s">
        <v>97</v>
      </c>
      <c r="P3015" s="2" t="s">
        <v>119</v>
      </c>
      <c r="Q3015" s="2" t="s">
        <v>99</v>
      </c>
      <c r="R3015" s="2" t="s">
        <v>100</v>
      </c>
      <c r="S3015" s="2" t="s">
        <v>9777</v>
      </c>
      <c r="T3015" s="2" t="s">
        <v>9675</v>
      </c>
      <c r="U3015" s="2" t="s">
        <v>100</v>
      </c>
      <c r="V3015" s="2" t="s">
        <v>3937</v>
      </c>
      <c r="W3015" s="2" t="s">
        <v>183</v>
      </c>
      <c r="X3015" s="2" t="s">
        <v>100</v>
      </c>
      <c r="Y3015" s="2" t="s">
        <v>6293</v>
      </c>
      <c r="Z3015" s="4">
        <v>703</v>
      </c>
      <c r="AA3015" s="4">
        <f>=ROUNDDOWN(14.6458333333333,0)</f>
      </c>
      <c r="AB3015" s="5">
        <v>48</v>
      </c>
      <c r="AC3015" s="2" t="s">
        <v>1102</v>
      </c>
      <c r="AD3015" s="4">
        <v>522</v>
      </c>
      <c r="AE3015" s="4">
        <v>616</v>
      </c>
      <c r="AF3015" s="6">
        <v>65</v>
      </c>
      <c r="AG3015" s="6"/>
      <c r="AH3015" s="7">
        <v>0.7005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>
        <v>1</v>
      </c>
      <c r="AQ3015" s="8">
        <v>21.77</v>
      </c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>
        <v>0.0281</v>
      </c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 t="s">
        <v>100</v>
      </c>
      <c r="BJ3015" s="4">
        <v>704</v>
      </c>
      <c r="BK3015" s="8">
        <v>14903.62</v>
      </c>
      <c r="BL3015" s="2" t="s">
        <v>4466</v>
      </c>
      <c r="BM3015" s="7">
        <v>0.0014</v>
      </c>
      <c r="BN3015" s="7">
        <v>0.0015</v>
      </c>
      <c r="BO3015" s="4">
        <v>1</v>
      </c>
      <c r="BP3015" s="8">
        <v>21.77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1863</v>
      </c>
      <c r="BX3015" s="2" t="s">
        <v>9782</v>
      </c>
      <c r="BY3015" s="2" t="s">
        <v>113</v>
      </c>
      <c r="BZ3015" s="2" t="s">
        <v>100</v>
      </c>
    </row>
    <row r="3016">
      <c r="A3016" s="2" t="s">
        <v>9783</v>
      </c>
      <c r="B3016" s="2" t="s">
        <v>9668</v>
      </c>
      <c r="C3016" s="2" t="s">
        <v>4861</v>
      </c>
      <c r="D3016" s="2" t="s">
        <v>9669</v>
      </c>
      <c r="E3016" s="2" t="s">
        <v>9670</v>
      </c>
      <c r="F3016" s="2" t="s">
        <v>9671</v>
      </c>
      <c r="G3016" s="2" t="s">
        <v>9671</v>
      </c>
      <c r="H3016" s="2" t="s">
        <v>9671</v>
      </c>
      <c r="I3016" s="2" t="s">
        <v>9672</v>
      </c>
      <c r="J3016" s="2" t="s">
        <v>706</v>
      </c>
      <c r="K3016" s="2" t="s">
        <v>9776</v>
      </c>
      <c r="L3016" s="3">
        <v>22.21</v>
      </c>
      <c r="M3016" s="3">
        <v>23.32</v>
      </c>
      <c r="N3016" s="3">
        <v>47.99</v>
      </c>
      <c r="O3016" s="2" t="s">
        <v>97</v>
      </c>
      <c r="P3016" s="2" t="s">
        <v>372</v>
      </c>
      <c r="Q3016" s="2" t="s">
        <v>99</v>
      </c>
      <c r="R3016" s="2" t="s">
        <v>100</v>
      </c>
      <c r="S3016" s="2" t="s">
        <v>9777</v>
      </c>
      <c r="T3016" s="2" t="s">
        <v>9675</v>
      </c>
      <c r="U3016" s="2" t="s">
        <v>100</v>
      </c>
      <c r="V3016" s="2" t="s">
        <v>3937</v>
      </c>
      <c r="W3016" s="2" t="s">
        <v>183</v>
      </c>
      <c r="X3016" s="2" t="s">
        <v>100</v>
      </c>
      <c r="Y3016" s="2" t="s">
        <v>6293</v>
      </c>
      <c r="Z3016" s="4">
        <v>1818</v>
      </c>
      <c r="AA3016" s="4">
        <f>=ROUNDDOWN(25.25,0)</f>
      </c>
      <c r="AB3016" s="5">
        <v>72</v>
      </c>
      <c r="AC3016" s="2" t="s">
        <v>1102</v>
      </c>
      <c r="AD3016" s="4">
        <v>941</v>
      </c>
      <c r="AE3016" s="4">
        <v>1125</v>
      </c>
      <c r="AF3016" s="6">
        <v>65</v>
      </c>
      <c r="AG3016" s="6"/>
      <c r="AH3016" s="7">
        <v>0.7433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>
        <v>5</v>
      </c>
      <c r="AQ3016" s="8">
        <v>122.45</v>
      </c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>
        <v>0.1583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1152</v>
      </c>
      <c r="BK3016" s="8">
        <v>27808.73</v>
      </c>
      <c r="BL3016" s="2" t="s">
        <v>1886</v>
      </c>
      <c r="BM3016" s="7">
        <v>0.0043</v>
      </c>
      <c r="BN3016" s="7">
        <v>0.0044</v>
      </c>
      <c r="BO3016" s="4">
        <v>5</v>
      </c>
      <c r="BP3016" s="8">
        <v>122.45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1863</v>
      </c>
      <c r="BX3016" s="2" t="s">
        <v>9719</v>
      </c>
      <c r="BY3016" s="2" t="s">
        <v>113</v>
      </c>
      <c r="BZ3016" s="2" t="s">
        <v>100</v>
      </c>
    </row>
    <row r="3017">
      <c r="A3017" s="2" t="s">
        <v>9784</v>
      </c>
      <c r="B3017" s="2" t="s">
        <v>9668</v>
      </c>
      <c r="C3017" s="2" t="s">
        <v>4861</v>
      </c>
      <c r="D3017" s="2" t="s">
        <v>9669</v>
      </c>
      <c r="E3017" s="2" t="s">
        <v>9670</v>
      </c>
      <c r="F3017" s="2" t="s">
        <v>9671</v>
      </c>
      <c r="G3017" s="2" t="s">
        <v>9671</v>
      </c>
      <c r="H3017" s="2" t="s">
        <v>9671</v>
      </c>
      <c r="I3017" s="2" t="s">
        <v>9672</v>
      </c>
      <c r="J3017" s="2" t="s">
        <v>714</v>
      </c>
      <c r="K3017" s="2" t="s">
        <v>9776</v>
      </c>
      <c r="L3017" s="3">
        <v>27.39</v>
      </c>
      <c r="M3017" s="3">
        <v>28.76</v>
      </c>
      <c r="N3017" s="3">
        <v>62.99</v>
      </c>
      <c r="O3017" s="2" t="s">
        <v>97</v>
      </c>
      <c r="P3017" s="2" t="s">
        <v>950</v>
      </c>
      <c r="Q3017" s="2" t="s">
        <v>99</v>
      </c>
      <c r="R3017" s="2" t="s">
        <v>100</v>
      </c>
      <c r="S3017" s="2" t="s">
        <v>9777</v>
      </c>
      <c r="T3017" s="2" t="s">
        <v>9675</v>
      </c>
      <c r="U3017" s="2" t="s">
        <v>100</v>
      </c>
      <c r="V3017" s="2" t="s">
        <v>3937</v>
      </c>
      <c r="W3017" s="2" t="s">
        <v>183</v>
      </c>
      <c r="X3017" s="2" t="s">
        <v>100</v>
      </c>
      <c r="Y3017" s="2" t="s">
        <v>2881</v>
      </c>
      <c r="Z3017" s="4">
        <v>1774</v>
      </c>
      <c r="AA3017" s="4">
        <f>=ROUNDDOWN(65.7037037037037,0)</f>
      </c>
      <c r="AB3017" s="5">
        <v>27</v>
      </c>
      <c r="AC3017" s="2" t="s">
        <v>4334</v>
      </c>
      <c r="AD3017" s="4">
        <v>52</v>
      </c>
      <c r="AE3017" s="4">
        <v>52</v>
      </c>
      <c r="AF3017" s="6">
        <v>65</v>
      </c>
      <c r="AG3017" s="6"/>
      <c r="AH3017" s="7">
        <v>0.7005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>
        <v>10</v>
      </c>
      <c r="AQ3017" s="8">
        <v>299.4</v>
      </c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>
        <v>0.3871</v>
      </c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>
        <v>220</v>
      </c>
      <c r="BK3017" s="8">
        <v>6457.88</v>
      </c>
      <c r="BL3017" s="2" t="s">
        <v>9785</v>
      </c>
      <c r="BM3017" s="7">
        <v>0.0455</v>
      </c>
      <c r="BN3017" s="7">
        <v>0.0464</v>
      </c>
      <c r="BO3017" s="4">
        <v>10</v>
      </c>
      <c r="BP3017" s="8">
        <v>299.4</v>
      </c>
      <c r="BQ3017" s="4"/>
      <c r="BR3017" s="8"/>
      <c r="BS3017" s="7"/>
      <c r="BT3017" s="7"/>
      <c r="BU3017" s="2" t="s">
        <v>109</v>
      </c>
      <c r="BV3017" s="2" t="s">
        <v>110</v>
      </c>
      <c r="BW3017" s="2" t="s">
        <v>1863</v>
      </c>
      <c r="BX3017" s="2" t="s">
        <v>9786</v>
      </c>
      <c r="BY3017" s="2" t="s">
        <v>113</v>
      </c>
      <c r="BZ3017" s="2" t="s">
        <v>100</v>
      </c>
    </row>
    <row r="3018">
      <c r="A3018" s="2" t="s">
        <v>9787</v>
      </c>
      <c r="B3018" s="2" t="s">
        <v>9668</v>
      </c>
      <c r="C3018" s="2" t="s">
        <v>4861</v>
      </c>
      <c r="D3018" s="2" t="s">
        <v>9669</v>
      </c>
      <c r="E3018" s="2" t="s">
        <v>9670</v>
      </c>
      <c r="F3018" s="2" t="s">
        <v>9671</v>
      </c>
      <c r="G3018" s="2" t="s">
        <v>9671</v>
      </c>
      <c r="H3018" s="2" t="s">
        <v>9671</v>
      </c>
      <c r="I3018" s="2" t="s">
        <v>9672</v>
      </c>
      <c r="J3018" s="2" t="s">
        <v>717</v>
      </c>
      <c r="K3018" s="2" t="s">
        <v>9788</v>
      </c>
      <c r="L3018" s="3">
        <v>19.57</v>
      </c>
      <c r="M3018" s="3">
        <v>20.55</v>
      </c>
      <c r="N3018" s="3">
        <v>42.99</v>
      </c>
      <c r="O3018" s="2" t="s">
        <v>97</v>
      </c>
      <c r="P3018" s="2" t="s">
        <v>372</v>
      </c>
      <c r="Q3018" s="2" t="s">
        <v>99</v>
      </c>
      <c r="R3018" s="2" t="s">
        <v>100</v>
      </c>
      <c r="S3018" s="2" t="s">
        <v>9789</v>
      </c>
      <c r="T3018" s="2" t="s">
        <v>9675</v>
      </c>
      <c r="U3018" s="2" t="s">
        <v>402</v>
      </c>
      <c r="V3018" s="2" t="s">
        <v>3937</v>
      </c>
      <c r="W3018" s="2" t="s">
        <v>183</v>
      </c>
      <c r="X3018" s="2" t="s">
        <v>202</v>
      </c>
      <c r="Y3018" s="2" t="s">
        <v>9790</v>
      </c>
      <c r="Z3018" s="4">
        <v>433</v>
      </c>
      <c r="AA3018" s="4">
        <f>=ROUNDDOWN(12.0277777777778,0)</f>
      </c>
      <c r="AB3018" s="5">
        <v>36</v>
      </c>
      <c r="AC3018" s="2" t="s">
        <v>222</v>
      </c>
      <c r="AD3018" s="4">
        <v>320</v>
      </c>
      <c r="AE3018" s="4">
        <v>320</v>
      </c>
      <c r="AF3018" s="6">
        <v>65</v>
      </c>
      <c r="AG3018" s="6"/>
      <c r="AH3018" s="7">
        <v>0.4064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>
        <v>13</v>
      </c>
      <c r="AQ3018" s="8">
        <v>283.01</v>
      </c>
      <c r="AR3018" s="4"/>
      <c r="AS3018" s="8"/>
      <c r="AT3018" s="7"/>
      <c r="AU3018" s="7"/>
      <c r="AV3018" s="4">
        <v>29</v>
      </c>
      <c r="AW3018" s="8">
        <v>723.9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>
        <v>0.391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0.0334</v>
      </c>
      <c r="BJ3018" s="4">
        <v>791</v>
      </c>
      <c r="BK3018" s="8">
        <v>16724.65</v>
      </c>
      <c r="BL3018" s="2" t="s">
        <v>9791</v>
      </c>
      <c r="BM3018" s="7">
        <v>0.0164</v>
      </c>
      <c r="BN3018" s="7">
        <v>0.0169</v>
      </c>
      <c r="BO3018" s="4">
        <v>13</v>
      </c>
      <c r="BP3018" s="8">
        <v>283.01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9792</v>
      </c>
      <c r="BX3018" s="2" t="s">
        <v>9793</v>
      </c>
      <c r="BY3018" s="2" t="s">
        <v>113</v>
      </c>
      <c r="BZ3018" s="2" t="s">
        <v>100</v>
      </c>
    </row>
    <row r="3019">
      <c r="A3019" s="2" t="s">
        <v>9794</v>
      </c>
      <c r="B3019" s="2" t="s">
        <v>9668</v>
      </c>
      <c r="C3019" s="2" t="s">
        <v>4861</v>
      </c>
      <c r="D3019" s="2" t="s">
        <v>9669</v>
      </c>
      <c r="E3019" s="2" t="s">
        <v>9670</v>
      </c>
      <c r="F3019" s="2" t="s">
        <v>9671</v>
      </c>
      <c r="G3019" s="2" t="s">
        <v>9671</v>
      </c>
      <c r="H3019" s="2" t="s">
        <v>9671</v>
      </c>
      <c r="I3019" s="2" t="s">
        <v>9672</v>
      </c>
      <c r="J3019" s="2" t="s">
        <v>706</v>
      </c>
      <c r="K3019" s="2" t="s">
        <v>9788</v>
      </c>
      <c r="L3019" s="3">
        <v>22.21</v>
      </c>
      <c r="M3019" s="3">
        <v>23.32</v>
      </c>
      <c r="N3019" s="3">
        <v>47.99</v>
      </c>
      <c r="O3019" s="2" t="s">
        <v>97</v>
      </c>
      <c r="P3019" s="2" t="s">
        <v>950</v>
      </c>
      <c r="Q3019" s="2" t="s">
        <v>99</v>
      </c>
      <c r="R3019" s="2" t="s">
        <v>100</v>
      </c>
      <c r="S3019" s="2" t="s">
        <v>9789</v>
      </c>
      <c r="T3019" s="2" t="s">
        <v>9675</v>
      </c>
      <c r="U3019" s="2" t="s">
        <v>402</v>
      </c>
      <c r="V3019" s="2" t="s">
        <v>3937</v>
      </c>
      <c r="W3019" s="2" t="s">
        <v>183</v>
      </c>
      <c r="X3019" s="2" t="s">
        <v>202</v>
      </c>
      <c r="Y3019" s="2" t="s">
        <v>9790</v>
      </c>
      <c r="Z3019" s="4">
        <v>703</v>
      </c>
      <c r="AA3019" s="4">
        <f>=ROUNDDOWN(21.96875,0)</f>
      </c>
      <c r="AB3019" s="5">
        <v>32</v>
      </c>
      <c r="AC3019" s="2" t="s">
        <v>768</v>
      </c>
      <c r="AD3019" s="4">
        <v>403</v>
      </c>
      <c r="AE3019" s="4">
        <v>520</v>
      </c>
      <c r="AF3019" s="6">
        <v>65</v>
      </c>
      <c r="AG3019" s="6"/>
      <c r="AH3019" s="7">
        <v>0.3957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>
        <v>7</v>
      </c>
      <c r="AQ3019" s="8">
        <v>171.43</v>
      </c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>
        <v>0.2368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>
        <v>311</v>
      </c>
      <c r="BK3019" s="8">
        <v>7773.96</v>
      </c>
      <c r="BL3019" s="2" t="s">
        <v>9795</v>
      </c>
      <c r="BM3019" s="7">
        <v>0.0225</v>
      </c>
      <c r="BN3019" s="7">
        <v>0.0221</v>
      </c>
      <c r="BO3019" s="4">
        <v>7</v>
      </c>
      <c r="BP3019" s="8">
        <v>171.43</v>
      </c>
      <c r="BQ3019" s="4"/>
      <c r="BR3019" s="8"/>
      <c r="BS3019" s="7"/>
      <c r="BT3019" s="7"/>
      <c r="BU3019" s="2" t="s">
        <v>109</v>
      </c>
      <c r="BV3019" s="2" t="s">
        <v>110</v>
      </c>
      <c r="BW3019" s="2" t="s">
        <v>1512</v>
      </c>
      <c r="BX3019" s="2" t="s">
        <v>9796</v>
      </c>
      <c r="BY3019" s="2" t="s">
        <v>113</v>
      </c>
      <c r="BZ3019" s="2" t="s">
        <v>100</v>
      </c>
    </row>
    <row r="3020">
      <c r="A3020" s="2" t="s">
        <v>9797</v>
      </c>
      <c r="B3020" s="2" t="s">
        <v>9668</v>
      </c>
      <c r="C3020" s="2" t="s">
        <v>4861</v>
      </c>
      <c r="D3020" s="2" t="s">
        <v>9669</v>
      </c>
      <c r="E3020" s="2" t="s">
        <v>9670</v>
      </c>
      <c r="F3020" s="2" t="s">
        <v>9671</v>
      </c>
      <c r="G3020" s="2" t="s">
        <v>9671</v>
      </c>
      <c r="H3020" s="2" t="s">
        <v>9671</v>
      </c>
      <c r="I3020" s="2" t="s">
        <v>9672</v>
      </c>
      <c r="J3020" s="2" t="s">
        <v>714</v>
      </c>
      <c r="K3020" s="2" t="s">
        <v>9788</v>
      </c>
      <c r="L3020" s="3">
        <v>27.39</v>
      </c>
      <c r="M3020" s="3">
        <v>28.76</v>
      </c>
      <c r="N3020" s="3">
        <v>62.99</v>
      </c>
      <c r="O3020" s="2" t="s">
        <v>97</v>
      </c>
      <c r="P3020" s="2" t="s">
        <v>119</v>
      </c>
      <c r="Q3020" s="2" t="s">
        <v>99</v>
      </c>
      <c r="R3020" s="2" t="s">
        <v>100</v>
      </c>
      <c r="S3020" s="2" t="s">
        <v>9789</v>
      </c>
      <c r="T3020" s="2" t="s">
        <v>9675</v>
      </c>
      <c r="U3020" s="2" t="s">
        <v>402</v>
      </c>
      <c r="V3020" s="2" t="s">
        <v>3937</v>
      </c>
      <c r="W3020" s="2" t="s">
        <v>183</v>
      </c>
      <c r="X3020" s="2" t="s">
        <v>202</v>
      </c>
      <c r="Y3020" s="2" t="s">
        <v>9790</v>
      </c>
      <c r="Z3020" s="4">
        <v>370</v>
      </c>
      <c r="AA3020" s="4">
        <f>=ROUNDDOWN(24.6666666666667,0)</f>
      </c>
      <c r="AB3020" s="5">
        <v>15</v>
      </c>
      <c r="AC3020" s="2" t="s">
        <v>222</v>
      </c>
      <c r="AD3020" s="4">
        <v>158</v>
      </c>
      <c r="AE3020" s="4">
        <v>158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>
        <v>9</v>
      </c>
      <c r="AQ3020" s="8">
        <v>269.46</v>
      </c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>
        <v>0.3722</v>
      </c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 t="s">
        <v>100</v>
      </c>
      <c r="BJ3020" s="4">
        <v>193</v>
      </c>
      <c r="BK3020" s="8">
        <v>5832.1</v>
      </c>
      <c r="BL3020" s="2" t="s">
        <v>9798</v>
      </c>
      <c r="BM3020" s="7">
        <v>0.0466</v>
      </c>
      <c r="BN3020" s="7">
        <v>0.0462</v>
      </c>
      <c r="BO3020" s="4">
        <v>9</v>
      </c>
      <c r="BP3020" s="8">
        <v>269.46</v>
      </c>
      <c r="BQ3020" s="4"/>
      <c r="BR3020" s="8"/>
      <c r="BS3020" s="7"/>
      <c r="BT3020" s="7"/>
      <c r="BU3020" s="2" t="s">
        <v>109</v>
      </c>
      <c r="BV3020" s="2" t="s">
        <v>110</v>
      </c>
      <c r="BW3020" s="2" t="s">
        <v>9704</v>
      </c>
      <c r="BX3020" s="2" t="s">
        <v>9799</v>
      </c>
      <c r="BY3020" s="2" t="s">
        <v>113</v>
      </c>
      <c r="BZ3020" s="2" t="s">
        <v>100</v>
      </c>
    </row>
    <row r="3021">
      <c r="A3021" s="2" t="s">
        <v>9800</v>
      </c>
      <c r="B3021" s="2" t="s">
        <v>9668</v>
      </c>
      <c r="C3021" s="2" t="s">
        <v>4861</v>
      </c>
      <c r="D3021" s="2" t="s">
        <v>9669</v>
      </c>
      <c r="E3021" s="2" t="s">
        <v>9670</v>
      </c>
      <c r="F3021" s="2" t="s">
        <v>9671</v>
      </c>
      <c r="G3021" s="2" t="s">
        <v>9671</v>
      </c>
      <c r="H3021" s="2" t="s">
        <v>9671</v>
      </c>
      <c r="I3021" s="2" t="s">
        <v>9672</v>
      </c>
      <c r="J3021" s="2" t="s">
        <v>1936</v>
      </c>
      <c r="K3021" s="2" t="s">
        <v>9801</v>
      </c>
      <c r="L3021" s="3">
        <v>14.89</v>
      </c>
      <c r="M3021" s="3">
        <v>15.63</v>
      </c>
      <c r="N3021" s="3">
        <v>31.99</v>
      </c>
      <c r="O3021" s="2" t="s">
        <v>97</v>
      </c>
      <c r="P3021" s="2" t="s">
        <v>119</v>
      </c>
      <c r="Q3021" s="2" t="s">
        <v>99</v>
      </c>
      <c r="R3021" s="2" t="s">
        <v>100</v>
      </c>
      <c r="S3021" s="2" t="s">
        <v>9802</v>
      </c>
      <c r="T3021" s="2" t="s">
        <v>9675</v>
      </c>
      <c r="U3021" s="2" t="s">
        <v>480</v>
      </c>
      <c r="V3021" s="2" t="s">
        <v>3937</v>
      </c>
      <c r="W3021" s="2" t="s">
        <v>183</v>
      </c>
      <c r="X3021" s="2" t="s">
        <v>202</v>
      </c>
      <c r="Y3021" s="2" t="s">
        <v>9701</v>
      </c>
      <c r="Z3021" s="4">
        <v>328</v>
      </c>
      <c r="AA3021" s="4">
        <f>=ROUNDDOWN(9.64705882352941,0)</f>
      </c>
      <c r="AB3021" s="5">
        <v>34</v>
      </c>
      <c r="AC3021" s="2" t="s">
        <v>222</v>
      </c>
      <c r="AD3021" s="4">
        <v>470</v>
      </c>
      <c r="AE3021" s="4">
        <v>470</v>
      </c>
      <c r="AF3021" s="6">
        <v>65</v>
      </c>
      <c r="AG3021" s="6"/>
      <c r="AH3021" s="7">
        <v>0.3957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>
        <v>18</v>
      </c>
      <c r="AQ3021" s="8">
        <v>293.94</v>
      </c>
      <c r="AR3021" s="4"/>
      <c r="AS3021" s="8"/>
      <c r="AT3021" s="7"/>
      <c r="AU3021" s="7"/>
      <c r="AV3021" s="4">
        <v>34</v>
      </c>
      <c r="AW3021" s="8">
        <v>677.66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>
        <v>0.4338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0.0313</v>
      </c>
      <c r="BJ3021" s="4">
        <v>1023</v>
      </c>
      <c r="BK3021" s="8">
        <v>17209</v>
      </c>
      <c r="BL3021" s="2" t="s">
        <v>9803</v>
      </c>
      <c r="BM3021" s="7">
        <v>0.0176</v>
      </c>
      <c r="BN3021" s="7">
        <v>0.0171</v>
      </c>
      <c r="BO3021" s="4">
        <v>18</v>
      </c>
      <c r="BP3021" s="8">
        <v>293.94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9704</v>
      </c>
      <c r="BX3021" s="2" t="s">
        <v>9804</v>
      </c>
      <c r="BY3021" s="2" t="s">
        <v>113</v>
      </c>
      <c r="BZ3021" s="2" t="s">
        <v>100</v>
      </c>
    </row>
    <row r="3022">
      <c r="A3022" s="2" t="s">
        <v>9805</v>
      </c>
      <c r="B3022" s="2" t="s">
        <v>9668</v>
      </c>
      <c r="C3022" s="2" t="s">
        <v>4861</v>
      </c>
      <c r="D3022" s="2" t="s">
        <v>9669</v>
      </c>
      <c r="E3022" s="2" t="s">
        <v>9670</v>
      </c>
      <c r="F3022" s="2" t="s">
        <v>9671</v>
      </c>
      <c r="G3022" s="2" t="s">
        <v>9671</v>
      </c>
      <c r="H3022" s="2" t="s">
        <v>9671</v>
      </c>
      <c r="I3022" s="2" t="s">
        <v>9672</v>
      </c>
      <c r="J3022" s="2" t="s">
        <v>717</v>
      </c>
      <c r="K3022" s="2" t="s">
        <v>9801</v>
      </c>
      <c r="L3022" s="3">
        <v>19.57</v>
      </c>
      <c r="M3022" s="3">
        <v>20.55</v>
      </c>
      <c r="N3022" s="3">
        <v>42.99</v>
      </c>
      <c r="O3022" s="2" t="s">
        <v>97</v>
      </c>
      <c r="P3022" s="2" t="s">
        <v>950</v>
      </c>
      <c r="Q3022" s="2" t="s">
        <v>99</v>
      </c>
      <c r="R3022" s="2" t="s">
        <v>100</v>
      </c>
      <c r="S3022" s="2" t="s">
        <v>9802</v>
      </c>
      <c r="T3022" s="2" t="s">
        <v>9675</v>
      </c>
      <c r="U3022" s="2" t="s">
        <v>402</v>
      </c>
      <c r="V3022" s="2" t="s">
        <v>3937</v>
      </c>
      <c r="W3022" s="2" t="s">
        <v>183</v>
      </c>
      <c r="X3022" s="2" t="s">
        <v>202</v>
      </c>
      <c r="Y3022" s="2" t="s">
        <v>9701</v>
      </c>
      <c r="Z3022" s="4">
        <v>520</v>
      </c>
      <c r="AA3022" s="4">
        <f>=ROUNDDOWN(19.2592592592593,0)</f>
      </c>
      <c r="AB3022" s="5">
        <v>27</v>
      </c>
      <c r="AC3022" s="2" t="s">
        <v>222</v>
      </c>
      <c r="AD3022" s="4">
        <v>364</v>
      </c>
      <c r="AE3022" s="4">
        <v>364</v>
      </c>
      <c r="AF3022" s="6">
        <v>65</v>
      </c>
      <c r="AG3022" s="6"/>
      <c r="AH3022" s="7">
        <v>0.4011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>
        <v>11</v>
      </c>
      <c r="AQ3022" s="8">
        <v>239.47</v>
      </c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>
        <v>0.3534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 t="s">
        <v>100</v>
      </c>
      <c r="BJ3022" s="4">
        <v>589</v>
      </c>
      <c r="BK3022" s="8">
        <v>12407.78</v>
      </c>
      <c r="BL3022" s="2" t="s">
        <v>9806</v>
      </c>
      <c r="BM3022" s="7">
        <v>0.0187</v>
      </c>
      <c r="BN3022" s="7">
        <v>0.0193</v>
      </c>
      <c r="BO3022" s="4">
        <v>11</v>
      </c>
      <c r="BP3022" s="8">
        <v>239.47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9704</v>
      </c>
      <c r="BX3022" s="2" t="s">
        <v>9807</v>
      </c>
      <c r="BY3022" s="2" t="s">
        <v>113</v>
      </c>
      <c r="BZ3022" s="2" t="s">
        <v>100</v>
      </c>
    </row>
    <row r="3023">
      <c r="A3023" s="2" t="s">
        <v>9808</v>
      </c>
      <c r="B3023" s="2" t="s">
        <v>9668</v>
      </c>
      <c r="C3023" s="2" t="s">
        <v>4861</v>
      </c>
      <c r="D3023" s="2" t="s">
        <v>9669</v>
      </c>
      <c r="E3023" s="2" t="s">
        <v>9670</v>
      </c>
      <c r="F3023" s="2" t="s">
        <v>9671</v>
      </c>
      <c r="G3023" s="2" t="s">
        <v>9671</v>
      </c>
      <c r="H3023" s="2" t="s">
        <v>9671</v>
      </c>
      <c r="I3023" s="2" t="s">
        <v>9672</v>
      </c>
      <c r="J3023" s="2" t="s">
        <v>706</v>
      </c>
      <c r="K3023" s="2" t="s">
        <v>9801</v>
      </c>
      <c r="L3023" s="3">
        <v>22.21</v>
      </c>
      <c r="M3023" s="3">
        <v>23.32</v>
      </c>
      <c r="N3023" s="3">
        <v>47.99</v>
      </c>
      <c r="O3023" s="2" t="s">
        <v>97</v>
      </c>
      <c r="P3023" s="2" t="s">
        <v>950</v>
      </c>
      <c r="Q3023" s="2" t="s">
        <v>99</v>
      </c>
      <c r="R3023" s="2" t="s">
        <v>100</v>
      </c>
      <c r="S3023" s="2" t="s">
        <v>9802</v>
      </c>
      <c r="T3023" s="2" t="s">
        <v>9675</v>
      </c>
      <c r="U3023" s="2" t="s">
        <v>402</v>
      </c>
      <c r="V3023" s="2" t="s">
        <v>3937</v>
      </c>
      <c r="W3023" s="2" t="s">
        <v>183</v>
      </c>
      <c r="X3023" s="2" t="s">
        <v>202</v>
      </c>
      <c r="Y3023" s="2" t="s">
        <v>9701</v>
      </c>
      <c r="Z3023" s="4">
        <v>402</v>
      </c>
      <c r="AA3023" s="4">
        <f>=ROUNDDOWN(9.34883720930232,0)</f>
      </c>
      <c r="AB3023" s="5">
        <v>43</v>
      </c>
      <c r="AC3023" s="2" t="s">
        <v>222</v>
      </c>
      <c r="AD3023" s="4">
        <v>505</v>
      </c>
      <c r="AE3023" s="4">
        <v>505</v>
      </c>
      <c r="AF3023" s="6">
        <v>65</v>
      </c>
      <c r="AG3023" s="6"/>
      <c r="AH3023" s="7">
        <v>0.3957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>
        <v>1</v>
      </c>
      <c r="AQ3023" s="8">
        <v>24.49</v>
      </c>
      <c r="AR3023" s="4"/>
      <c r="AS3023" s="8"/>
      <c r="AT3023" s="7"/>
      <c r="AU3023" s="7"/>
      <c r="AV3023" s="4" t="s">
        <v>100</v>
      </c>
      <c r="AW3023" s="8" t="s">
        <v>100</v>
      </c>
      <c r="AX3023" s="4" t="s">
        <v>100</v>
      </c>
      <c r="AY3023" s="8" t="s">
        <v>100</v>
      </c>
      <c r="AZ3023" s="7" t="s">
        <v>100</v>
      </c>
      <c r="BA3023" s="7" t="s">
        <v>100</v>
      </c>
      <c r="BB3023" s="7">
        <v>0.0361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 t="s">
        <v>100</v>
      </c>
      <c r="BJ3023" s="4">
        <v>950</v>
      </c>
      <c r="BK3023" s="8">
        <v>23720.7</v>
      </c>
      <c r="BL3023" s="2" t="s">
        <v>9809</v>
      </c>
      <c r="BM3023" s="7">
        <v>0.0011</v>
      </c>
      <c r="BN3023" s="7">
        <v>0.001</v>
      </c>
      <c r="BO3023" s="4">
        <v>1</v>
      </c>
      <c r="BP3023" s="8">
        <v>24.49</v>
      </c>
      <c r="BQ3023" s="4"/>
      <c r="BR3023" s="8"/>
      <c r="BS3023" s="7"/>
      <c r="BT3023" s="7"/>
      <c r="BU3023" s="2" t="s">
        <v>109</v>
      </c>
      <c r="BV3023" s="2" t="s">
        <v>110</v>
      </c>
      <c r="BW3023" s="2" t="s">
        <v>9704</v>
      </c>
      <c r="BX3023" s="2" t="s">
        <v>9810</v>
      </c>
      <c r="BY3023" s="2" t="s">
        <v>113</v>
      </c>
      <c r="BZ3023" s="2" t="s">
        <v>100</v>
      </c>
    </row>
    <row r="3024">
      <c r="A3024" s="2" t="s">
        <v>9811</v>
      </c>
      <c r="B3024" s="2" t="s">
        <v>9668</v>
      </c>
      <c r="C3024" s="2" t="s">
        <v>4861</v>
      </c>
      <c r="D3024" s="2" t="s">
        <v>9669</v>
      </c>
      <c r="E3024" s="2" t="s">
        <v>9670</v>
      </c>
      <c r="F3024" s="2" t="s">
        <v>9671</v>
      </c>
      <c r="G3024" s="2" t="s">
        <v>9671</v>
      </c>
      <c r="H3024" s="2" t="s">
        <v>9671</v>
      </c>
      <c r="I3024" s="2" t="s">
        <v>9672</v>
      </c>
      <c r="J3024" s="2" t="s">
        <v>714</v>
      </c>
      <c r="K3024" s="2" t="s">
        <v>9801</v>
      </c>
      <c r="L3024" s="3">
        <v>27.39</v>
      </c>
      <c r="M3024" s="3">
        <v>28.76</v>
      </c>
      <c r="N3024" s="3">
        <v>62.99</v>
      </c>
      <c r="O3024" s="2" t="s">
        <v>97</v>
      </c>
      <c r="P3024" s="2" t="s">
        <v>119</v>
      </c>
      <c r="Q3024" s="2" t="s">
        <v>99</v>
      </c>
      <c r="R3024" s="2" t="s">
        <v>100</v>
      </c>
      <c r="S3024" s="2" t="s">
        <v>9802</v>
      </c>
      <c r="T3024" s="2" t="s">
        <v>9675</v>
      </c>
      <c r="U3024" s="2" t="s">
        <v>402</v>
      </c>
      <c r="V3024" s="2" t="s">
        <v>3937</v>
      </c>
      <c r="W3024" s="2" t="s">
        <v>183</v>
      </c>
      <c r="X3024" s="2" t="s">
        <v>202</v>
      </c>
      <c r="Y3024" s="2" t="s">
        <v>9701</v>
      </c>
      <c r="Z3024" s="4">
        <v>438</v>
      </c>
      <c r="AA3024" s="4">
        <f>=ROUNDDOWN(29.2,0)</f>
      </c>
      <c r="AB3024" s="5">
        <v>15</v>
      </c>
      <c r="AC3024" s="2" t="s">
        <v>222</v>
      </c>
      <c r="AD3024" s="4">
        <v>198</v>
      </c>
      <c r="AE3024" s="4">
        <v>198</v>
      </c>
      <c r="AF3024" s="6">
        <v>65</v>
      </c>
      <c r="AG3024" s="6"/>
      <c r="AH3024" s="7">
        <v>0.3957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>
        <v>4</v>
      </c>
      <c r="AQ3024" s="8">
        <v>119.76</v>
      </c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>
        <v>0.1767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 t="s">
        <v>100</v>
      </c>
      <c r="BJ3024" s="4">
        <v>128</v>
      </c>
      <c r="BK3024" s="8">
        <v>3764.51</v>
      </c>
      <c r="BL3024" s="2" t="s">
        <v>9812</v>
      </c>
      <c r="BM3024" s="7">
        <v>0.0312</v>
      </c>
      <c r="BN3024" s="7">
        <v>0.0318</v>
      </c>
      <c r="BO3024" s="4">
        <v>4</v>
      </c>
      <c r="BP3024" s="8">
        <v>119.76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9704</v>
      </c>
      <c r="BX3024" s="2" t="s">
        <v>9813</v>
      </c>
      <c r="BY3024" s="2" t="s">
        <v>113</v>
      </c>
      <c r="BZ3024" s="2" t="s">
        <v>100</v>
      </c>
    </row>
    <row r="3025">
      <c r="A3025" s="2" t="s">
        <v>9814</v>
      </c>
      <c r="B3025" s="2" t="s">
        <v>9668</v>
      </c>
      <c r="C3025" s="2" t="s">
        <v>4861</v>
      </c>
      <c r="D3025" s="2" t="s">
        <v>9669</v>
      </c>
      <c r="E3025" s="2" t="s">
        <v>9670</v>
      </c>
      <c r="F3025" s="2" t="s">
        <v>9671</v>
      </c>
      <c r="G3025" s="2" t="s">
        <v>9671</v>
      </c>
      <c r="H3025" s="2" t="s">
        <v>9671</v>
      </c>
      <c r="I3025" s="2" t="s">
        <v>9672</v>
      </c>
      <c r="J3025" s="2" t="s">
        <v>714</v>
      </c>
      <c r="K3025" s="2" t="s">
        <v>9815</v>
      </c>
      <c r="L3025" s="3">
        <v>27.39</v>
      </c>
      <c r="M3025" s="3">
        <v>28.76</v>
      </c>
      <c r="N3025" s="3">
        <v>62.99</v>
      </c>
      <c r="O3025" s="2" t="s">
        <v>97</v>
      </c>
      <c r="P3025" s="2" t="s">
        <v>119</v>
      </c>
      <c r="Q3025" s="2" t="s">
        <v>99</v>
      </c>
      <c r="R3025" s="2" t="s">
        <v>100</v>
      </c>
      <c r="S3025" s="2" t="s">
        <v>9816</v>
      </c>
      <c r="T3025" s="2" t="s">
        <v>9675</v>
      </c>
      <c r="U3025" s="2" t="s">
        <v>100</v>
      </c>
      <c r="V3025" s="2" t="s">
        <v>3937</v>
      </c>
      <c r="W3025" s="2" t="s">
        <v>183</v>
      </c>
      <c r="X3025" s="2" t="s">
        <v>100</v>
      </c>
      <c r="Y3025" s="2" t="s">
        <v>240</v>
      </c>
      <c r="Z3025" s="4">
        <v>488</v>
      </c>
      <c r="AA3025" s="4">
        <f>=ROUNDDOWN(34.8571428571429,0)</f>
      </c>
      <c r="AB3025" s="5">
        <v>14</v>
      </c>
      <c r="AC3025" s="2" t="s">
        <v>1102</v>
      </c>
      <c r="AD3025" s="4">
        <v>230</v>
      </c>
      <c r="AE3025" s="4">
        <v>250</v>
      </c>
      <c r="AF3025" s="6">
        <v>65</v>
      </c>
      <c r="AG3025" s="6"/>
      <c r="AH3025" s="7">
        <v>0.7433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>
        <v>22</v>
      </c>
      <c r="AQ3025" s="8">
        <v>658.68</v>
      </c>
      <c r="AR3025" s="4"/>
      <c r="AS3025" s="8"/>
      <c r="AT3025" s="7"/>
      <c r="AU3025" s="7"/>
      <c r="AV3025" s="4">
        <v>22</v>
      </c>
      <c r="AW3025" s="8">
        <v>658.68</v>
      </c>
      <c r="AX3025" s="4"/>
      <c r="AY3025" s="8"/>
      <c r="AZ3025" s="7"/>
      <c r="BA3025" s="7"/>
      <c r="BB3025" s="7">
        <v>1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0.0304</v>
      </c>
      <c r="BJ3025" s="4">
        <v>141</v>
      </c>
      <c r="BK3025" s="8">
        <v>4172.61</v>
      </c>
      <c r="BL3025" s="2" t="s">
        <v>9817</v>
      </c>
      <c r="BM3025" s="7">
        <v>0.156</v>
      </c>
      <c r="BN3025" s="7">
        <v>0.1579</v>
      </c>
      <c r="BO3025" s="4">
        <v>22</v>
      </c>
      <c r="BP3025" s="8">
        <v>658.68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1863</v>
      </c>
      <c r="BX3025" s="2" t="s">
        <v>6658</v>
      </c>
      <c r="BY3025" s="2" t="s">
        <v>113</v>
      </c>
      <c r="BZ3025" s="2" t="s">
        <v>100</v>
      </c>
    </row>
    <row r="3026">
      <c r="A3026" s="2" t="s">
        <v>9818</v>
      </c>
      <c r="B3026" s="2" t="s">
        <v>9668</v>
      </c>
      <c r="C3026" s="2" t="s">
        <v>4861</v>
      </c>
      <c r="D3026" s="2" t="s">
        <v>9669</v>
      </c>
      <c r="E3026" s="2" t="s">
        <v>9670</v>
      </c>
      <c r="F3026" s="2" t="s">
        <v>9671</v>
      </c>
      <c r="G3026" s="2" t="s">
        <v>9671</v>
      </c>
      <c r="H3026" s="2" t="s">
        <v>9671</v>
      </c>
      <c r="I3026" s="2" t="s">
        <v>9672</v>
      </c>
      <c r="J3026" s="2" t="s">
        <v>1936</v>
      </c>
      <c r="K3026" s="2" t="s">
        <v>9819</v>
      </c>
      <c r="L3026" s="3">
        <v>14.89</v>
      </c>
      <c r="M3026" s="3">
        <v>15.63</v>
      </c>
      <c r="N3026" s="3">
        <v>31.99</v>
      </c>
      <c r="O3026" s="2" t="s">
        <v>97</v>
      </c>
      <c r="P3026" s="2" t="s">
        <v>119</v>
      </c>
      <c r="Q3026" s="2" t="s">
        <v>99</v>
      </c>
      <c r="R3026" s="2" t="s">
        <v>100</v>
      </c>
      <c r="S3026" s="2" t="s">
        <v>9820</v>
      </c>
      <c r="T3026" s="2" t="s">
        <v>9675</v>
      </c>
      <c r="U3026" s="2" t="s">
        <v>100</v>
      </c>
      <c r="V3026" s="2" t="s">
        <v>3937</v>
      </c>
      <c r="W3026" s="2" t="s">
        <v>183</v>
      </c>
      <c r="X3026" s="2" t="s">
        <v>100</v>
      </c>
      <c r="Y3026" s="2" t="s">
        <v>2045</v>
      </c>
      <c r="Z3026" s="4">
        <v>1229</v>
      </c>
      <c r="AA3026" s="4">
        <f>=ROUNDDOWN(29.9756097560976,0)</f>
      </c>
      <c r="AB3026" s="5">
        <v>41</v>
      </c>
      <c r="AC3026" s="2" t="s">
        <v>9702</v>
      </c>
      <c r="AD3026" s="4">
        <v>190</v>
      </c>
      <c r="AE3026" s="4">
        <v>190</v>
      </c>
      <c r="AF3026" s="6">
        <v>65</v>
      </c>
      <c r="AG3026" s="6"/>
      <c r="AH3026" s="7">
        <v>0.7594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>
        <v>6</v>
      </c>
      <c r="AQ3026" s="8">
        <v>97.98</v>
      </c>
      <c r="AR3026" s="4"/>
      <c r="AS3026" s="8"/>
      <c r="AT3026" s="7"/>
      <c r="AU3026" s="7"/>
      <c r="AV3026" s="4">
        <v>30</v>
      </c>
      <c r="AW3026" s="8">
        <v>636.28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>
        <v>0.154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0.0294</v>
      </c>
      <c r="BJ3026" s="4">
        <v>713</v>
      </c>
      <c r="BK3026" s="8">
        <v>11857.13</v>
      </c>
      <c r="BL3026" s="2" t="s">
        <v>9821</v>
      </c>
      <c r="BM3026" s="7">
        <v>0.0084</v>
      </c>
      <c r="BN3026" s="7">
        <v>0.0083</v>
      </c>
      <c r="BO3026" s="4">
        <v>6</v>
      </c>
      <c r="BP3026" s="8">
        <v>97.98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1863</v>
      </c>
      <c r="BX3026" s="2" t="s">
        <v>800</v>
      </c>
      <c r="BY3026" s="2" t="s">
        <v>113</v>
      </c>
      <c r="BZ3026" s="2" t="s">
        <v>100</v>
      </c>
    </row>
    <row r="3027">
      <c r="A3027" s="2" t="s">
        <v>9822</v>
      </c>
      <c r="B3027" s="2" t="s">
        <v>9668</v>
      </c>
      <c r="C3027" s="2" t="s">
        <v>4861</v>
      </c>
      <c r="D3027" s="2" t="s">
        <v>9669</v>
      </c>
      <c r="E3027" s="2" t="s">
        <v>9670</v>
      </c>
      <c r="F3027" s="2" t="s">
        <v>9671</v>
      </c>
      <c r="G3027" s="2" t="s">
        <v>9671</v>
      </c>
      <c r="H3027" s="2" t="s">
        <v>9671</v>
      </c>
      <c r="I3027" s="2" t="s">
        <v>9672</v>
      </c>
      <c r="J3027" s="2" t="s">
        <v>2072</v>
      </c>
      <c r="K3027" s="2" t="s">
        <v>9819</v>
      </c>
      <c r="L3027" s="3">
        <v>16.16</v>
      </c>
      <c r="M3027" s="3">
        <v>16.97</v>
      </c>
      <c r="N3027" s="3">
        <v>34.99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9820</v>
      </c>
      <c r="T3027" s="2" t="s">
        <v>9675</v>
      </c>
      <c r="U3027" s="2" t="s">
        <v>100</v>
      </c>
      <c r="V3027" s="2" t="s">
        <v>3937</v>
      </c>
      <c r="W3027" s="2" t="s">
        <v>183</v>
      </c>
      <c r="X3027" s="2" t="s">
        <v>100</v>
      </c>
      <c r="Y3027" s="2" t="s">
        <v>2745</v>
      </c>
      <c r="Z3027" s="4">
        <v>284</v>
      </c>
      <c r="AA3027" s="4">
        <f>=ROUNDDOWN(5.68,0)</f>
      </c>
      <c r="AB3027" s="5">
        <v>50</v>
      </c>
      <c r="AC3027" s="2" t="s">
        <v>9702</v>
      </c>
      <c r="AD3027" s="4">
        <v>170</v>
      </c>
      <c r="AE3027" s="4">
        <v>270</v>
      </c>
      <c r="AF3027" s="6">
        <v>65</v>
      </c>
      <c r="AG3027" s="6"/>
      <c r="AH3027" s="7">
        <v>0.6898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>
        <v>13</v>
      </c>
      <c r="AQ3027" s="8">
        <v>233.48</v>
      </c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>
        <v>0.3669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 t="s">
        <v>100</v>
      </c>
      <c r="BJ3027" s="4">
        <v>1145</v>
      </c>
      <c r="BK3027" s="8">
        <v>21246.84</v>
      </c>
      <c r="BL3027" s="2" t="s">
        <v>9823</v>
      </c>
      <c r="BM3027" s="7">
        <v>0.0114</v>
      </c>
      <c r="BN3027" s="7">
        <v>0.011</v>
      </c>
      <c r="BO3027" s="4">
        <v>13</v>
      </c>
      <c r="BP3027" s="8">
        <v>233.48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1863</v>
      </c>
      <c r="BX3027" s="2" t="s">
        <v>9737</v>
      </c>
      <c r="BY3027" s="2" t="s">
        <v>113</v>
      </c>
      <c r="BZ3027" s="2" t="s">
        <v>100</v>
      </c>
    </row>
    <row r="3028">
      <c r="A3028" s="2" t="s">
        <v>9824</v>
      </c>
      <c r="B3028" s="2" t="s">
        <v>9668</v>
      </c>
      <c r="C3028" s="2" t="s">
        <v>4861</v>
      </c>
      <c r="D3028" s="2" t="s">
        <v>9669</v>
      </c>
      <c r="E3028" s="2" t="s">
        <v>9670</v>
      </c>
      <c r="F3028" s="2" t="s">
        <v>9671</v>
      </c>
      <c r="G3028" s="2" t="s">
        <v>9671</v>
      </c>
      <c r="H3028" s="2" t="s">
        <v>9671</v>
      </c>
      <c r="I3028" s="2" t="s">
        <v>9672</v>
      </c>
      <c r="J3028" s="2" t="s">
        <v>717</v>
      </c>
      <c r="K3028" s="2" t="s">
        <v>9819</v>
      </c>
      <c r="L3028" s="3">
        <v>19.57</v>
      </c>
      <c r="M3028" s="3">
        <v>20.55</v>
      </c>
      <c r="N3028" s="3">
        <v>42.99</v>
      </c>
      <c r="O3028" s="2" t="s">
        <v>97</v>
      </c>
      <c r="P3028" s="2" t="s">
        <v>950</v>
      </c>
      <c r="Q3028" s="2" t="s">
        <v>99</v>
      </c>
      <c r="R3028" s="2" t="s">
        <v>100</v>
      </c>
      <c r="S3028" s="2" t="s">
        <v>9820</v>
      </c>
      <c r="T3028" s="2" t="s">
        <v>9675</v>
      </c>
      <c r="U3028" s="2" t="s">
        <v>100</v>
      </c>
      <c r="V3028" s="2" t="s">
        <v>3937</v>
      </c>
      <c r="W3028" s="2" t="s">
        <v>183</v>
      </c>
      <c r="X3028" s="2" t="s">
        <v>100</v>
      </c>
      <c r="Y3028" s="2" t="s">
        <v>2045</v>
      </c>
      <c r="Z3028" s="4">
        <v>1368</v>
      </c>
      <c r="AA3028" s="4">
        <f>=ROUNDDOWN(29.1063829787234,0)</f>
      </c>
      <c r="AB3028" s="5">
        <v>47</v>
      </c>
      <c r="AC3028" s="2" t="s">
        <v>9702</v>
      </c>
      <c r="AD3028" s="4">
        <v>240</v>
      </c>
      <c r="AE3028" s="4">
        <v>240</v>
      </c>
      <c r="AF3028" s="6">
        <v>65</v>
      </c>
      <c r="AG3028" s="6"/>
      <c r="AH3028" s="7">
        <v>0.7647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>
        <v>1</v>
      </c>
      <c r="AQ3028" s="8">
        <v>21.77</v>
      </c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>
        <v>0.0342</v>
      </c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 t="s">
        <v>100</v>
      </c>
      <c r="BJ3028" s="4">
        <v>943</v>
      </c>
      <c r="BK3028" s="8">
        <v>19960.69</v>
      </c>
      <c r="BL3028" s="2" t="s">
        <v>9825</v>
      </c>
      <c r="BM3028" s="7">
        <v>0.0011</v>
      </c>
      <c r="BN3028" s="7">
        <v>0.0011</v>
      </c>
      <c r="BO3028" s="4">
        <v>1</v>
      </c>
      <c r="BP3028" s="8">
        <v>21.77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1863</v>
      </c>
      <c r="BX3028" s="2" t="s">
        <v>4479</v>
      </c>
      <c r="BY3028" s="2" t="s">
        <v>113</v>
      </c>
      <c r="BZ3028" s="2" t="s">
        <v>100</v>
      </c>
    </row>
    <row r="3029">
      <c r="A3029" s="2" t="s">
        <v>9826</v>
      </c>
      <c r="B3029" s="2" t="s">
        <v>9668</v>
      </c>
      <c r="C3029" s="2" t="s">
        <v>4861</v>
      </c>
      <c r="D3029" s="2" t="s">
        <v>9669</v>
      </c>
      <c r="E3029" s="2" t="s">
        <v>9670</v>
      </c>
      <c r="F3029" s="2" t="s">
        <v>9671</v>
      </c>
      <c r="G3029" s="2" t="s">
        <v>9671</v>
      </c>
      <c r="H3029" s="2" t="s">
        <v>9671</v>
      </c>
      <c r="I3029" s="2" t="s">
        <v>9672</v>
      </c>
      <c r="J3029" s="2" t="s">
        <v>706</v>
      </c>
      <c r="K3029" s="2" t="s">
        <v>9819</v>
      </c>
      <c r="L3029" s="3">
        <v>22.21</v>
      </c>
      <c r="M3029" s="3">
        <v>23.32</v>
      </c>
      <c r="N3029" s="3">
        <v>47.99</v>
      </c>
      <c r="O3029" s="2" t="s">
        <v>97</v>
      </c>
      <c r="P3029" s="2" t="s">
        <v>307</v>
      </c>
      <c r="Q3029" s="2" t="s">
        <v>99</v>
      </c>
      <c r="R3029" s="2" t="s">
        <v>100</v>
      </c>
      <c r="S3029" s="2" t="s">
        <v>9820</v>
      </c>
      <c r="T3029" s="2" t="s">
        <v>9675</v>
      </c>
      <c r="U3029" s="2" t="s">
        <v>100</v>
      </c>
      <c r="V3029" s="2" t="s">
        <v>3937</v>
      </c>
      <c r="W3029" s="2" t="s">
        <v>183</v>
      </c>
      <c r="X3029" s="2" t="s">
        <v>100</v>
      </c>
      <c r="Y3029" s="2" t="s">
        <v>2745</v>
      </c>
      <c r="Z3029" s="4">
        <v>1226</v>
      </c>
      <c r="AA3029" s="4">
        <f>=ROUNDDOWN(9.578125,0)</f>
      </c>
      <c r="AB3029" s="5">
        <v>128</v>
      </c>
      <c r="AC3029" s="2" t="s">
        <v>9702</v>
      </c>
      <c r="AD3029" s="4">
        <v>500</v>
      </c>
      <c r="AE3029" s="4">
        <v>900</v>
      </c>
      <c r="AF3029" s="6">
        <v>65</v>
      </c>
      <c r="AG3029" s="6"/>
      <c r="AH3029" s="7">
        <v>0.508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>
        <v>3</v>
      </c>
      <c r="AQ3029" s="8">
        <v>73.47</v>
      </c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>
        <v>0.1155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 t="s">
        <v>100</v>
      </c>
      <c r="BJ3029" s="4">
        <v>4350</v>
      </c>
      <c r="BK3029" s="8">
        <v>103184.05</v>
      </c>
      <c r="BL3029" s="2" t="s">
        <v>749</v>
      </c>
      <c r="BM3029" s="7">
        <v>0.0007</v>
      </c>
      <c r="BN3029" s="7">
        <v>0.0007</v>
      </c>
      <c r="BO3029" s="4">
        <v>3</v>
      </c>
      <c r="BP3029" s="8">
        <v>73.47</v>
      </c>
      <c r="BQ3029" s="4"/>
      <c r="BR3029" s="8"/>
      <c r="BS3029" s="7"/>
      <c r="BT3029" s="7"/>
      <c r="BU3029" s="2" t="s">
        <v>109</v>
      </c>
      <c r="BV3029" s="2" t="s">
        <v>110</v>
      </c>
      <c r="BW3029" s="2" t="s">
        <v>1863</v>
      </c>
      <c r="BX3029" s="2" t="s">
        <v>800</v>
      </c>
      <c r="BY3029" s="2" t="s">
        <v>113</v>
      </c>
      <c r="BZ3029" s="2" t="s">
        <v>100</v>
      </c>
    </row>
    <row r="3030">
      <c r="A3030" s="2" t="s">
        <v>9827</v>
      </c>
      <c r="B3030" s="2" t="s">
        <v>9668</v>
      </c>
      <c r="C3030" s="2" t="s">
        <v>4861</v>
      </c>
      <c r="D3030" s="2" t="s">
        <v>9669</v>
      </c>
      <c r="E3030" s="2" t="s">
        <v>9670</v>
      </c>
      <c r="F3030" s="2" t="s">
        <v>9671</v>
      </c>
      <c r="G3030" s="2" t="s">
        <v>9671</v>
      </c>
      <c r="H3030" s="2" t="s">
        <v>9671</v>
      </c>
      <c r="I3030" s="2" t="s">
        <v>9672</v>
      </c>
      <c r="J3030" s="2" t="s">
        <v>714</v>
      </c>
      <c r="K3030" s="2" t="s">
        <v>9819</v>
      </c>
      <c r="L3030" s="3">
        <v>27.39</v>
      </c>
      <c r="M3030" s="3">
        <v>28.76</v>
      </c>
      <c r="N3030" s="3">
        <v>62.99</v>
      </c>
      <c r="O3030" s="2" t="s">
        <v>97</v>
      </c>
      <c r="P3030" s="2" t="s">
        <v>119</v>
      </c>
      <c r="Q3030" s="2" t="s">
        <v>99</v>
      </c>
      <c r="R3030" s="2" t="s">
        <v>100</v>
      </c>
      <c r="S3030" s="2" t="s">
        <v>9820</v>
      </c>
      <c r="T3030" s="2" t="s">
        <v>9675</v>
      </c>
      <c r="U3030" s="2" t="s">
        <v>100</v>
      </c>
      <c r="V3030" s="2" t="s">
        <v>3937</v>
      </c>
      <c r="W3030" s="2" t="s">
        <v>183</v>
      </c>
      <c r="X3030" s="2" t="s">
        <v>100</v>
      </c>
      <c r="Y3030" s="2" t="s">
        <v>2045</v>
      </c>
      <c r="Z3030" s="4">
        <v>1074</v>
      </c>
      <c r="AA3030" s="4">
        <f>=ROUNDDOWN(26.1951219512195,0)</f>
      </c>
      <c r="AB3030" s="5">
        <v>41</v>
      </c>
      <c r="AC3030" s="2" t="s">
        <v>100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>
        <v>7</v>
      </c>
      <c r="AQ3030" s="8">
        <v>209.58</v>
      </c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>
        <v>0.3294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652</v>
      </c>
      <c r="BK3030" s="8">
        <v>18995.03</v>
      </c>
      <c r="BL3030" s="2" t="s">
        <v>259</v>
      </c>
      <c r="BM3030" s="7">
        <v>0.0107</v>
      </c>
      <c r="BN3030" s="7">
        <v>0.011</v>
      </c>
      <c r="BO3030" s="4">
        <v>7</v>
      </c>
      <c r="BP3030" s="8">
        <v>209.58</v>
      </c>
      <c r="BQ3030" s="4"/>
      <c r="BR3030" s="8"/>
      <c r="BS3030" s="7"/>
      <c r="BT3030" s="7"/>
      <c r="BU3030" s="2" t="s">
        <v>109</v>
      </c>
      <c r="BV3030" s="2" t="s">
        <v>110</v>
      </c>
      <c r="BW3030" s="2" t="s">
        <v>1863</v>
      </c>
      <c r="BX3030" s="2" t="s">
        <v>1919</v>
      </c>
      <c r="BY3030" s="2" t="s">
        <v>113</v>
      </c>
      <c r="BZ3030" s="2" t="s">
        <v>100</v>
      </c>
    </row>
    <row r="3031">
      <c r="A3031" s="2" t="s">
        <v>9828</v>
      </c>
      <c r="B3031" s="2" t="s">
        <v>9668</v>
      </c>
      <c r="C3031" s="2" t="s">
        <v>4861</v>
      </c>
      <c r="D3031" s="2" t="s">
        <v>9669</v>
      </c>
      <c r="E3031" s="2" t="s">
        <v>9670</v>
      </c>
      <c r="F3031" s="2" t="s">
        <v>9671</v>
      </c>
      <c r="G3031" s="2" t="s">
        <v>9671</v>
      </c>
      <c r="H3031" s="2" t="s">
        <v>9671</v>
      </c>
      <c r="I3031" s="2" t="s">
        <v>9672</v>
      </c>
      <c r="J3031" s="2" t="s">
        <v>817</v>
      </c>
      <c r="K3031" s="2" t="s">
        <v>9819</v>
      </c>
      <c r="L3031" s="3">
        <v>27.39</v>
      </c>
      <c r="M3031" s="3">
        <v>28.76</v>
      </c>
      <c r="N3031" s="3">
        <v>62.99</v>
      </c>
      <c r="O3031" s="2" t="s">
        <v>97</v>
      </c>
      <c r="P3031" s="2" t="s">
        <v>119</v>
      </c>
      <c r="Q3031" s="2" t="s">
        <v>99</v>
      </c>
      <c r="R3031" s="2" t="s">
        <v>100</v>
      </c>
      <c r="S3031" s="2" t="s">
        <v>9820</v>
      </c>
      <c r="T3031" s="2" t="s">
        <v>9675</v>
      </c>
      <c r="U3031" s="2" t="s">
        <v>100</v>
      </c>
      <c r="V3031" s="2" t="s">
        <v>3937</v>
      </c>
      <c r="W3031" s="2" t="s">
        <v>183</v>
      </c>
      <c r="X3031" s="2" t="s">
        <v>100</v>
      </c>
      <c r="Y3031" s="2" t="s">
        <v>2045</v>
      </c>
      <c r="Z3031" s="4">
        <v>772</v>
      </c>
      <c r="AA3031" s="4">
        <f>=ROUNDDOWN(27.5714285714286,0)</f>
      </c>
      <c r="AB3031" s="5">
        <v>28</v>
      </c>
      <c r="AC3031" s="2" t="s">
        <v>100</v>
      </c>
      <c r="AD3031" s="4"/>
      <c r="AE3031" s="4"/>
      <c r="AF3031" s="6">
        <v>65</v>
      </c>
      <c r="AG3031" s="6"/>
      <c r="AH3031" s="7">
        <v>0.7647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 t="s">
        <v>100</v>
      </c>
      <c r="BJ3031" s="4">
        <v>254</v>
      </c>
      <c r="BK3031" s="8">
        <v>7460.55</v>
      </c>
      <c r="BL3031" s="2" t="s">
        <v>1803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1863</v>
      </c>
      <c r="BX3031" s="2" t="s">
        <v>9829</v>
      </c>
      <c r="BY3031" s="2" t="s">
        <v>113</v>
      </c>
      <c r="BZ3031" s="2" t="s">
        <v>100</v>
      </c>
    </row>
    <row r="3032">
      <c r="A3032" s="2" t="s">
        <v>9830</v>
      </c>
      <c r="B3032" s="2" t="s">
        <v>9668</v>
      </c>
      <c r="C3032" s="2" t="s">
        <v>4861</v>
      </c>
      <c r="D3032" s="2" t="s">
        <v>9669</v>
      </c>
      <c r="E3032" s="2" t="s">
        <v>9670</v>
      </c>
      <c r="F3032" s="2" t="s">
        <v>9671</v>
      </c>
      <c r="G3032" s="2" t="s">
        <v>9671</v>
      </c>
      <c r="H3032" s="2" t="s">
        <v>9671</v>
      </c>
      <c r="I3032" s="2" t="s">
        <v>9672</v>
      </c>
      <c r="J3032" s="2" t="s">
        <v>1936</v>
      </c>
      <c r="K3032" s="2" t="s">
        <v>9831</v>
      </c>
      <c r="L3032" s="3">
        <v>14.89</v>
      </c>
      <c r="M3032" s="3">
        <v>15.63</v>
      </c>
      <c r="N3032" s="3">
        <v>31.99</v>
      </c>
      <c r="O3032" s="2" t="s">
        <v>97</v>
      </c>
      <c r="P3032" s="2" t="s">
        <v>119</v>
      </c>
      <c r="Q3032" s="2" t="s">
        <v>99</v>
      </c>
      <c r="R3032" s="2" t="s">
        <v>100</v>
      </c>
      <c r="S3032" s="2" t="s">
        <v>9832</v>
      </c>
      <c r="T3032" s="2" t="s">
        <v>9675</v>
      </c>
      <c r="U3032" s="2" t="s">
        <v>100</v>
      </c>
      <c r="V3032" s="2" t="s">
        <v>146</v>
      </c>
      <c r="W3032" s="2" t="s">
        <v>183</v>
      </c>
      <c r="X3032" s="2" t="s">
        <v>100</v>
      </c>
      <c r="Y3032" s="2" t="s">
        <v>5079</v>
      </c>
      <c r="Z3032" s="4">
        <v>1130</v>
      </c>
      <c r="AA3032" s="4">
        <f>=ROUNDDOWN(23.5416666666667,0)</f>
      </c>
      <c r="AB3032" s="5">
        <v>48</v>
      </c>
      <c r="AC3032" s="2" t="s">
        <v>1102</v>
      </c>
      <c r="AD3032" s="4">
        <v>8820</v>
      </c>
      <c r="AE3032" s="4">
        <v>8820</v>
      </c>
      <c r="AF3032" s="6">
        <v>65</v>
      </c>
      <c r="AG3032" s="6"/>
      <c r="AH3032" s="7">
        <v>0.6684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>
        <v>8</v>
      </c>
      <c r="AQ3032" s="8">
        <v>130.64</v>
      </c>
      <c r="AR3032" s="4"/>
      <c r="AS3032" s="8"/>
      <c r="AT3032" s="7"/>
      <c r="AU3032" s="7"/>
      <c r="AV3032" s="4">
        <v>25</v>
      </c>
      <c r="AW3032" s="8">
        <v>576.95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>
        <v>0.2264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0.0266</v>
      </c>
      <c r="BJ3032" s="4">
        <v>842</v>
      </c>
      <c r="BK3032" s="8">
        <v>13419.82</v>
      </c>
      <c r="BL3032" s="2" t="s">
        <v>9833</v>
      </c>
      <c r="BM3032" s="7">
        <v>0.0095</v>
      </c>
      <c r="BN3032" s="7">
        <v>0.0097</v>
      </c>
      <c r="BO3032" s="4">
        <v>8</v>
      </c>
      <c r="BP3032" s="8">
        <v>130.64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1863</v>
      </c>
      <c r="BX3032" s="2" t="s">
        <v>9233</v>
      </c>
      <c r="BY3032" s="2" t="s">
        <v>113</v>
      </c>
      <c r="BZ3032" s="2" t="s">
        <v>100</v>
      </c>
    </row>
    <row r="3033">
      <c r="A3033" s="2" t="s">
        <v>9834</v>
      </c>
      <c r="B3033" s="2" t="s">
        <v>9668</v>
      </c>
      <c r="C3033" s="2" t="s">
        <v>4861</v>
      </c>
      <c r="D3033" s="2" t="s">
        <v>9669</v>
      </c>
      <c r="E3033" s="2" t="s">
        <v>9670</v>
      </c>
      <c r="F3033" s="2" t="s">
        <v>9671</v>
      </c>
      <c r="G3033" s="2" t="s">
        <v>9671</v>
      </c>
      <c r="H3033" s="2" t="s">
        <v>9671</v>
      </c>
      <c r="I3033" s="2" t="s">
        <v>9672</v>
      </c>
      <c r="J3033" s="2" t="s">
        <v>717</v>
      </c>
      <c r="K3033" s="2" t="s">
        <v>9831</v>
      </c>
      <c r="L3033" s="3">
        <v>19.57</v>
      </c>
      <c r="M3033" s="3">
        <v>20.55</v>
      </c>
      <c r="N3033" s="3">
        <v>42.99</v>
      </c>
      <c r="O3033" s="2" t="s">
        <v>97</v>
      </c>
      <c r="P3033" s="2" t="s">
        <v>950</v>
      </c>
      <c r="Q3033" s="2" t="s">
        <v>99</v>
      </c>
      <c r="R3033" s="2" t="s">
        <v>100</v>
      </c>
      <c r="S3033" s="2" t="s">
        <v>9832</v>
      </c>
      <c r="T3033" s="2" t="s">
        <v>9675</v>
      </c>
      <c r="U3033" s="2" t="s">
        <v>100</v>
      </c>
      <c r="V3033" s="2" t="s">
        <v>146</v>
      </c>
      <c r="W3033" s="2" t="s">
        <v>183</v>
      </c>
      <c r="X3033" s="2" t="s">
        <v>100</v>
      </c>
      <c r="Y3033" s="2" t="s">
        <v>240</v>
      </c>
      <c r="Z3033" s="4">
        <v>859</v>
      </c>
      <c r="AA3033" s="4">
        <f>=ROUNDDOWN(26.030303030303,0)</f>
      </c>
      <c r="AB3033" s="5">
        <v>33</v>
      </c>
      <c r="AC3033" s="2" t="s">
        <v>1102</v>
      </c>
      <c r="AD3033" s="4">
        <v>6360</v>
      </c>
      <c r="AE3033" s="4">
        <v>6360</v>
      </c>
      <c r="AF3033" s="6">
        <v>65</v>
      </c>
      <c r="AG3033" s="6"/>
      <c r="AH3033" s="7">
        <v>0.6684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>
        <v>1</v>
      </c>
      <c r="AQ3033" s="8">
        <v>21.77</v>
      </c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>
        <v>0.0377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686</v>
      </c>
      <c r="BK3033" s="8">
        <v>14609.33</v>
      </c>
      <c r="BL3033" s="2" t="s">
        <v>259</v>
      </c>
      <c r="BM3033" s="7">
        <v>0.0015</v>
      </c>
      <c r="BN3033" s="7">
        <v>0.0015</v>
      </c>
      <c r="BO3033" s="4">
        <v>1</v>
      </c>
      <c r="BP3033" s="8">
        <v>21.77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1863</v>
      </c>
      <c r="BX3033" s="2" t="s">
        <v>9724</v>
      </c>
      <c r="BY3033" s="2" t="s">
        <v>113</v>
      </c>
      <c r="BZ3033" s="2" t="s">
        <v>100</v>
      </c>
    </row>
    <row r="3034">
      <c r="A3034" s="2" t="s">
        <v>9835</v>
      </c>
      <c r="B3034" s="2" t="s">
        <v>9668</v>
      </c>
      <c r="C3034" s="2" t="s">
        <v>4861</v>
      </c>
      <c r="D3034" s="2" t="s">
        <v>9669</v>
      </c>
      <c r="E3034" s="2" t="s">
        <v>9670</v>
      </c>
      <c r="F3034" s="2" t="s">
        <v>9671</v>
      </c>
      <c r="G3034" s="2" t="s">
        <v>9671</v>
      </c>
      <c r="H3034" s="2" t="s">
        <v>9671</v>
      </c>
      <c r="I3034" s="2" t="s">
        <v>9672</v>
      </c>
      <c r="J3034" s="2" t="s">
        <v>706</v>
      </c>
      <c r="K3034" s="2" t="s">
        <v>9831</v>
      </c>
      <c r="L3034" s="3">
        <v>22.21</v>
      </c>
      <c r="M3034" s="3">
        <v>23.32</v>
      </c>
      <c r="N3034" s="3">
        <v>47.99</v>
      </c>
      <c r="O3034" s="2" t="s">
        <v>97</v>
      </c>
      <c r="P3034" s="2" t="s">
        <v>119</v>
      </c>
      <c r="Q3034" s="2" t="s">
        <v>99</v>
      </c>
      <c r="R3034" s="2" t="s">
        <v>100</v>
      </c>
      <c r="S3034" s="2" t="s">
        <v>9832</v>
      </c>
      <c r="T3034" s="2" t="s">
        <v>9675</v>
      </c>
      <c r="U3034" s="2" t="s">
        <v>100</v>
      </c>
      <c r="V3034" s="2" t="s">
        <v>146</v>
      </c>
      <c r="W3034" s="2" t="s">
        <v>100</v>
      </c>
      <c r="X3034" s="2" t="s">
        <v>100</v>
      </c>
      <c r="Y3034" s="2" t="s">
        <v>240</v>
      </c>
      <c r="Z3034" s="4">
        <v>1211</v>
      </c>
      <c r="AA3034" s="4">
        <f>=ROUNDDOWN(21.2456140350877,0)</f>
      </c>
      <c r="AB3034" s="5">
        <v>57</v>
      </c>
      <c r="AC3034" s="2" t="s">
        <v>1102</v>
      </c>
      <c r="AD3034" s="4">
        <v>10140</v>
      </c>
      <c r="AE3034" s="4">
        <v>10140</v>
      </c>
      <c r="AF3034" s="6">
        <v>65</v>
      </c>
      <c r="AG3034" s="6"/>
      <c r="AH3034" s="7">
        <v>0.6684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>
        <v>10</v>
      </c>
      <c r="AQ3034" s="8">
        <v>244.9</v>
      </c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>
        <v>0.4245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1474</v>
      </c>
      <c r="BK3034" s="8">
        <v>35669.04</v>
      </c>
      <c r="BL3034" s="2" t="s">
        <v>9730</v>
      </c>
      <c r="BM3034" s="7">
        <v>0.0068</v>
      </c>
      <c r="BN3034" s="7">
        <v>0.0069</v>
      </c>
      <c r="BO3034" s="4">
        <v>10</v>
      </c>
      <c r="BP3034" s="8">
        <v>244.9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1863</v>
      </c>
      <c r="BX3034" s="2" t="s">
        <v>6568</v>
      </c>
      <c r="BY3034" s="2" t="s">
        <v>113</v>
      </c>
      <c r="BZ3034" s="2" t="s">
        <v>100</v>
      </c>
    </row>
    <row r="3035">
      <c r="A3035" s="2" t="s">
        <v>9836</v>
      </c>
      <c r="B3035" s="2" t="s">
        <v>9668</v>
      </c>
      <c r="C3035" s="2" t="s">
        <v>4861</v>
      </c>
      <c r="D3035" s="2" t="s">
        <v>9669</v>
      </c>
      <c r="E3035" s="2" t="s">
        <v>9670</v>
      </c>
      <c r="F3035" s="2" t="s">
        <v>9671</v>
      </c>
      <c r="G3035" s="2" t="s">
        <v>9671</v>
      </c>
      <c r="H3035" s="2" t="s">
        <v>9671</v>
      </c>
      <c r="I3035" s="2" t="s">
        <v>9672</v>
      </c>
      <c r="J3035" s="2" t="s">
        <v>714</v>
      </c>
      <c r="K3035" s="2" t="s">
        <v>9831</v>
      </c>
      <c r="L3035" s="3">
        <v>27.39</v>
      </c>
      <c r="M3035" s="3">
        <v>28.76</v>
      </c>
      <c r="N3035" s="3">
        <v>62.99</v>
      </c>
      <c r="O3035" s="2" t="s">
        <v>97</v>
      </c>
      <c r="P3035" s="2" t="s">
        <v>119</v>
      </c>
      <c r="Q3035" s="2" t="s">
        <v>99</v>
      </c>
      <c r="R3035" s="2" t="s">
        <v>100</v>
      </c>
      <c r="S3035" s="2" t="s">
        <v>9832</v>
      </c>
      <c r="T3035" s="2" t="s">
        <v>9675</v>
      </c>
      <c r="U3035" s="2" t="s">
        <v>100</v>
      </c>
      <c r="V3035" s="2" t="s">
        <v>146</v>
      </c>
      <c r="W3035" s="2" t="s">
        <v>183</v>
      </c>
      <c r="X3035" s="2" t="s">
        <v>100</v>
      </c>
      <c r="Y3035" s="2" t="s">
        <v>240</v>
      </c>
      <c r="Z3035" s="4">
        <v>713</v>
      </c>
      <c r="AA3035" s="4">
        <f>=ROUNDDOWN(26.4074074074074,0)</f>
      </c>
      <c r="AB3035" s="5">
        <v>27</v>
      </c>
      <c r="AC3035" s="2" t="s">
        <v>1102</v>
      </c>
      <c r="AD3035" s="4">
        <v>4380</v>
      </c>
      <c r="AE3035" s="4">
        <v>4380</v>
      </c>
      <c r="AF3035" s="6">
        <v>65</v>
      </c>
      <c r="AG3035" s="6"/>
      <c r="AH3035" s="7">
        <v>0.6631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>
        <v>6</v>
      </c>
      <c r="AQ3035" s="8">
        <v>179.64</v>
      </c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>
        <v>0.3114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 t="s">
        <v>100</v>
      </c>
      <c r="BJ3035" s="4">
        <v>288</v>
      </c>
      <c r="BK3035" s="8">
        <v>8449.55</v>
      </c>
      <c r="BL3035" s="2" t="s">
        <v>161</v>
      </c>
      <c r="BM3035" s="7">
        <v>0.0208</v>
      </c>
      <c r="BN3035" s="7">
        <v>0.0213</v>
      </c>
      <c r="BO3035" s="4">
        <v>6</v>
      </c>
      <c r="BP3035" s="8">
        <v>179.64</v>
      </c>
      <c r="BQ3035" s="4"/>
      <c r="BR3035" s="8"/>
      <c r="BS3035" s="7"/>
      <c r="BT3035" s="7"/>
      <c r="BU3035" s="2" t="s">
        <v>109</v>
      </c>
      <c r="BV3035" s="2" t="s">
        <v>110</v>
      </c>
      <c r="BW3035" s="2" t="s">
        <v>1863</v>
      </c>
      <c r="BX3035" s="2" t="s">
        <v>4495</v>
      </c>
      <c r="BY3035" s="2" t="s">
        <v>113</v>
      </c>
      <c r="BZ3035" s="2" t="s">
        <v>100</v>
      </c>
    </row>
    <row r="3036">
      <c r="A3036" s="2" t="s">
        <v>9837</v>
      </c>
      <c r="B3036" s="2" t="s">
        <v>9668</v>
      </c>
      <c r="C3036" s="2" t="s">
        <v>4861</v>
      </c>
      <c r="D3036" s="2" t="s">
        <v>9669</v>
      </c>
      <c r="E3036" s="2" t="s">
        <v>9670</v>
      </c>
      <c r="F3036" s="2" t="s">
        <v>9671</v>
      </c>
      <c r="G3036" s="2" t="s">
        <v>9671</v>
      </c>
      <c r="H3036" s="2" t="s">
        <v>9671</v>
      </c>
      <c r="I3036" s="2" t="s">
        <v>9672</v>
      </c>
      <c r="J3036" s="2" t="s">
        <v>817</v>
      </c>
      <c r="K3036" s="2" t="s">
        <v>9831</v>
      </c>
      <c r="L3036" s="3">
        <v>27.39</v>
      </c>
      <c r="M3036" s="3">
        <v>28.76</v>
      </c>
      <c r="N3036" s="3">
        <v>62.99</v>
      </c>
      <c r="O3036" s="2" t="s">
        <v>97</v>
      </c>
      <c r="P3036" s="2" t="s">
        <v>119</v>
      </c>
      <c r="Q3036" s="2" t="s">
        <v>99</v>
      </c>
      <c r="R3036" s="2" t="s">
        <v>100</v>
      </c>
      <c r="S3036" s="2" t="s">
        <v>9832</v>
      </c>
      <c r="T3036" s="2" t="s">
        <v>9675</v>
      </c>
      <c r="U3036" s="2" t="s">
        <v>100</v>
      </c>
      <c r="V3036" s="2" t="s">
        <v>146</v>
      </c>
      <c r="W3036" s="2" t="s">
        <v>183</v>
      </c>
      <c r="X3036" s="2" t="s">
        <v>100</v>
      </c>
      <c r="Y3036" s="2" t="s">
        <v>240</v>
      </c>
      <c r="Z3036" s="4">
        <v>722</v>
      </c>
      <c r="AA3036" s="4">
        <f>=ROUNDDOWN(60.1666666666667,0)</f>
      </c>
      <c r="AB3036" s="5">
        <v>12</v>
      </c>
      <c r="AC3036" s="2" t="s">
        <v>241</v>
      </c>
      <c r="AD3036" s="4">
        <v>2775</v>
      </c>
      <c r="AE3036" s="4">
        <v>2775</v>
      </c>
      <c r="AF3036" s="6">
        <v>65</v>
      </c>
      <c r="AG3036" s="6"/>
      <c r="AH3036" s="7">
        <v>0.6631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>
        <v>45</v>
      </c>
      <c r="BK3036" s="8">
        <v>1321.86</v>
      </c>
      <c r="BL3036" s="2" t="s">
        <v>9838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1863</v>
      </c>
      <c r="BX3036" s="2" t="s">
        <v>2205</v>
      </c>
      <c r="BY3036" s="2" t="s">
        <v>113</v>
      </c>
      <c r="BZ3036" s="2" t="s">
        <v>100</v>
      </c>
    </row>
    <row r="3037">
      <c r="A3037" s="2" t="s">
        <v>9839</v>
      </c>
      <c r="B3037" s="2" t="s">
        <v>9668</v>
      </c>
      <c r="C3037" s="2" t="s">
        <v>4861</v>
      </c>
      <c r="D3037" s="2" t="s">
        <v>9669</v>
      </c>
      <c r="E3037" s="2" t="s">
        <v>9670</v>
      </c>
      <c r="F3037" s="2" t="s">
        <v>9671</v>
      </c>
      <c r="G3037" s="2" t="s">
        <v>9671</v>
      </c>
      <c r="H3037" s="2" t="s">
        <v>9671</v>
      </c>
      <c r="I3037" s="2" t="s">
        <v>9672</v>
      </c>
      <c r="J3037" s="2" t="s">
        <v>1936</v>
      </c>
      <c r="K3037" s="2" t="s">
        <v>9840</v>
      </c>
      <c r="L3037" s="3">
        <v>14.89</v>
      </c>
      <c r="M3037" s="3">
        <v>15.63</v>
      </c>
      <c r="N3037" s="3">
        <v>31.99</v>
      </c>
      <c r="O3037" s="2" t="s">
        <v>97</v>
      </c>
      <c r="P3037" s="2" t="s">
        <v>119</v>
      </c>
      <c r="Q3037" s="2" t="s">
        <v>99</v>
      </c>
      <c r="R3037" s="2" t="s">
        <v>100</v>
      </c>
      <c r="S3037" s="2" t="s">
        <v>9841</v>
      </c>
      <c r="T3037" s="2" t="s">
        <v>9675</v>
      </c>
      <c r="U3037" s="2" t="s">
        <v>100</v>
      </c>
      <c r="V3037" s="2" t="s">
        <v>201</v>
      </c>
      <c r="W3037" s="2" t="s">
        <v>183</v>
      </c>
      <c r="X3037" s="2" t="s">
        <v>100</v>
      </c>
      <c r="Y3037" s="2" t="s">
        <v>990</v>
      </c>
      <c r="Z3037" s="4">
        <v>2080</v>
      </c>
      <c r="AA3037" s="4">
        <f>=ROUNDDOWN(40.7843137254902,0)</f>
      </c>
      <c r="AB3037" s="5">
        <v>51</v>
      </c>
      <c r="AC3037" s="2" t="s">
        <v>100</v>
      </c>
      <c r="AD3037" s="4"/>
      <c r="AE3037" s="4"/>
      <c r="AF3037" s="6">
        <v>65</v>
      </c>
      <c r="AG3037" s="6"/>
      <c r="AH3037" s="7">
        <v>0.7594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>
        <v>25</v>
      </c>
      <c r="AW3037" s="8">
        <v>547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0.0253</v>
      </c>
      <c r="BJ3037" s="4">
        <v>465</v>
      </c>
      <c r="BK3037" s="8">
        <v>7436.15</v>
      </c>
      <c r="BL3037" s="2" t="s">
        <v>9842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1863</v>
      </c>
      <c r="BX3037" s="2" t="s">
        <v>812</v>
      </c>
      <c r="BY3037" s="2" t="s">
        <v>113</v>
      </c>
      <c r="BZ3037" s="2" t="s">
        <v>100</v>
      </c>
    </row>
    <row r="3038">
      <c r="A3038" s="2" t="s">
        <v>9843</v>
      </c>
      <c r="B3038" s="2" t="s">
        <v>9668</v>
      </c>
      <c r="C3038" s="2" t="s">
        <v>4861</v>
      </c>
      <c r="D3038" s="2" t="s">
        <v>9669</v>
      </c>
      <c r="E3038" s="2" t="s">
        <v>9670</v>
      </c>
      <c r="F3038" s="2" t="s">
        <v>9671</v>
      </c>
      <c r="G3038" s="2" t="s">
        <v>9671</v>
      </c>
      <c r="H3038" s="2" t="s">
        <v>9671</v>
      </c>
      <c r="I3038" s="2" t="s">
        <v>9672</v>
      </c>
      <c r="J3038" s="2" t="s">
        <v>2072</v>
      </c>
      <c r="K3038" s="2" t="s">
        <v>9840</v>
      </c>
      <c r="L3038" s="3">
        <v>16.16</v>
      </c>
      <c r="M3038" s="3">
        <v>16.97</v>
      </c>
      <c r="N3038" s="3">
        <v>34.99</v>
      </c>
      <c r="O3038" s="2" t="s">
        <v>97</v>
      </c>
      <c r="P3038" s="2" t="s">
        <v>119</v>
      </c>
      <c r="Q3038" s="2" t="s">
        <v>99</v>
      </c>
      <c r="R3038" s="2" t="s">
        <v>100</v>
      </c>
      <c r="S3038" s="2" t="s">
        <v>9841</v>
      </c>
      <c r="T3038" s="2" t="s">
        <v>9675</v>
      </c>
      <c r="U3038" s="2" t="s">
        <v>100</v>
      </c>
      <c r="V3038" s="2" t="s">
        <v>201</v>
      </c>
      <c r="W3038" s="2" t="s">
        <v>183</v>
      </c>
      <c r="X3038" s="2" t="s">
        <v>100</v>
      </c>
      <c r="Y3038" s="2" t="s">
        <v>990</v>
      </c>
      <c r="Z3038" s="4">
        <v>708</v>
      </c>
      <c r="AA3038" s="4">
        <f>=ROUNDDOWN(16.0909090909091,0)</f>
      </c>
      <c r="AB3038" s="5">
        <v>44</v>
      </c>
      <c r="AC3038" s="2" t="s">
        <v>100</v>
      </c>
      <c r="AD3038" s="4"/>
      <c r="AE3038" s="4"/>
      <c r="AF3038" s="6">
        <v>65</v>
      </c>
      <c r="AG3038" s="6"/>
      <c r="AH3038" s="7">
        <v>0.5561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>
        <v>15</v>
      </c>
      <c r="AQ3038" s="8">
        <v>269.4</v>
      </c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>
        <v>0.4925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 t="s">
        <v>100</v>
      </c>
      <c r="BJ3038" s="4">
        <v>1264</v>
      </c>
      <c r="BK3038" s="8">
        <v>22047.86</v>
      </c>
      <c r="BL3038" s="2" t="s">
        <v>9844</v>
      </c>
      <c r="BM3038" s="7">
        <v>0.0119</v>
      </c>
      <c r="BN3038" s="7">
        <v>0.0122</v>
      </c>
      <c r="BO3038" s="4">
        <v>15</v>
      </c>
      <c r="BP3038" s="8">
        <v>269.4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1863</v>
      </c>
      <c r="BX3038" s="2" t="s">
        <v>9845</v>
      </c>
      <c r="BY3038" s="2" t="s">
        <v>113</v>
      </c>
      <c r="BZ3038" s="2" t="s">
        <v>100</v>
      </c>
    </row>
    <row r="3039">
      <c r="A3039" s="2" t="s">
        <v>9846</v>
      </c>
      <c r="B3039" s="2" t="s">
        <v>9668</v>
      </c>
      <c r="C3039" s="2" t="s">
        <v>4861</v>
      </c>
      <c r="D3039" s="2" t="s">
        <v>9669</v>
      </c>
      <c r="E3039" s="2" t="s">
        <v>9670</v>
      </c>
      <c r="F3039" s="2" t="s">
        <v>9671</v>
      </c>
      <c r="G3039" s="2" t="s">
        <v>9671</v>
      </c>
      <c r="H3039" s="2" t="s">
        <v>9671</v>
      </c>
      <c r="I3039" s="2" t="s">
        <v>9672</v>
      </c>
      <c r="J3039" s="2" t="s">
        <v>717</v>
      </c>
      <c r="K3039" s="2" t="s">
        <v>9840</v>
      </c>
      <c r="L3039" s="3">
        <v>19.57</v>
      </c>
      <c r="M3039" s="3">
        <v>20.55</v>
      </c>
      <c r="N3039" s="3">
        <v>42.99</v>
      </c>
      <c r="O3039" s="2" t="s">
        <v>97</v>
      </c>
      <c r="P3039" s="2" t="s">
        <v>119</v>
      </c>
      <c r="Q3039" s="2" t="s">
        <v>99</v>
      </c>
      <c r="R3039" s="2" t="s">
        <v>100</v>
      </c>
      <c r="S3039" s="2" t="s">
        <v>9841</v>
      </c>
      <c r="T3039" s="2" t="s">
        <v>9675</v>
      </c>
      <c r="U3039" s="2" t="s">
        <v>100</v>
      </c>
      <c r="V3039" s="2" t="s">
        <v>201</v>
      </c>
      <c r="W3039" s="2" t="s">
        <v>183</v>
      </c>
      <c r="X3039" s="2" t="s">
        <v>100</v>
      </c>
      <c r="Y3039" s="2" t="s">
        <v>990</v>
      </c>
      <c r="Z3039" s="4">
        <v>1707</v>
      </c>
      <c r="AA3039" s="4">
        <f>=ROUNDDOWN(41.6341463414634,0)</f>
      </c>
      <c r="AB3039" s="5">
        <v>41</v>
      </c>
      <c r="AC3039" s="2" t="s">
        <v>100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>
        <v>348</v>
      </c>
      <c r="BK3039" s="8">
        <v>7565.47</v>
      </c>
      <c r="BL3039" s="2" t="s">
        <v>9847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1863</v>
      </c>
      <c r="BX3039" s="2" t="s">
        <v>9848</v>
      </c>
      <c r="BY3039" s="2" t="s">
        <v>113</v>
      </c>
      <c r="BZ3039" s="2" t="s">
        <v>100</v>
      </c>
    </row>
    <row r="3040">
      <c r="A3040" s="2" t="s">
        <v>9849</v>
      </c>
      <c r="B3040" s="2" t="s">
        <v>9668</v>
      </c>
      <c r="C3040" s="2" t="s">
        <v>4861</v>
      </c>
      <c r="D3040" s="2" t="s">
        <v>9669</v>
      </c>
      <c r="E3040" s="2" t="s">
        <v>9670</v>
      </c>
      <c r="F3040" s="2" t="s">
        <v>9671</v>
      </c>
      <c r="G3040" s="2" t="s">
        <v>9671</v>
      </c>
      <c r="H3040" s="2" t="s">
        <v>9671</v>
      </c>
      <c r="I3040" s="2" t="s">
        <v>9672</v>
      </c>
      <c r="J3040" s="2" t="s">
        <v>706</v>
      </c>
      <c r="K3040" s="2" t="s">
        <v>9840</v>
      </c>
      <c r="L3040" s="3">
        <v>22.21</v>
      </c>
      <c r="M3040" s="3">
        <v>23.32</v>
      </c>
      <c r="N3040" s="3">
        <v>47.99</v>
      </c>
      <c r="O3040" s="2" t="s">
        <v>97</v>
      </c>
      <c r="P3040" s="2" t="s">
        <v>950</v>
      </c>
      <c r="Q3040" s="2" t="s">
        <v>99</v>
      </c>
      <c r="R3040" s="2" t="s">
        <v>100</v>
      </c>
      <c r="S3040" s="2" t="s">
        <v>9841</v>
      </c>
      <c r="T3040" s="2" t="s">
        <v>9675</v>
      </c>
      <c r="U3040" s="2" t="s">
        <v>100</v>
      </c>
      <c r="V3040" s="2" t="s">
        <v>201</v>
      </c>
      <c r="W3040" s="2" t="s">
        <v>183</v>
      </c>
      <c r="X3040" s="2" t="s">
        <v>100</v>
      </c>
      <c r="Y3040" s="2" t="s">
        <v>990</v>
      </c>
      <c r="Z3040" s="4">
        <v>1514</v>
      </c>
      <c r="AA3040" s="4">
        <f>=ROUNDDOWN(33.6444444444444,0)</f>
      </c>
      <c r="AB3040" s="5">
        <v>45</v>
      </c>
      <c r="AC3040" s="2" t="s">
        <v>100</v>
      </c>
      <c r="AD3040" s="4"/>
      <c r="AE3040" s="4"/>
      <c r="AF3040" s="6">
        <v>65</v>
      </c>
      <c r="AG3040" s="6"/>
      <c r="AH3040" s="7">
        <v>0.7647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>
        <v>4</v>
      </c>
      <c r="AQ3040" s="8">
        <v>97.96</v>
      </c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>
        <v>0.1791</v>
      </c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>
        <v>557</v>
      </c>
      <c r="BK3040" s="8">
        <v>13324.35</v>
      </c>
      <c r="BL3040" s="2" t="s">
        <v>5127</v>
      </c>
      <c r="BM3040" s="7">
        <v>0.0072</v>
      </c>
      <c r="BN3040" s="7">
        <v>0.0074</v>
      </c>
      <c r="BO3040" s="4">
        <v>4</v>
      </c>
      <c r="BP3040" s="8">
        <v>97.96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1863</v>
      </c>
      <c r="BX3040" s="2" t="s">
        <v>9850</v>
      </c>
      <c r="BY3040" s="2" t="s">
        <v>113</v>
      </c>
      <c r="BZ3040" s="2" t="s">
        <v>100</v>
      </c>
    </row>
    <row r="3041">
      <c r="A3041" s="2" t="s">
        <v>9851</v>
      </c>
      <c r="B3041" s="2" t="s">
        <v>9668</v>
      </c>
      <c r="C3041" s="2" t="s">
        <v>4861</v>
      </c>
      <c r="D3041" s="2" t="s">
        <v>9669</v>
      </c>
      <c r="E3041" s="2" t="s">
        <v>9670</v>
      </c>
      <c r="F3041" s="2" t="s">
        <v>9671</v>
      </c>
      <c r="G3041" s="2" t="s">
        <v>9671</v>
      </c>
      <c r="H3041" s="2" t="s">
        <v>9671</v>
      </c>
      <c r="I3041" s="2" t="s">
        <v>9672</v>
      </c>
      <c r="J3041" s="2" t="s">
        <v>714</v>
      </c>
      <c r="K3041" s="2" t="s">
        <v>9840</v>
      </c>
      <c r="L3041" s="3">
        <v>27.39</v>
      </c>
      <c r="M3041" s="3">
        <v>28.76</v>
      </c>
      <c r="N3041" s="3">
        <v>62.99</v>
      </c>
      <c r="O3041" s="2" t="s">
        <v>97</v>
      </c>
      <c r="P3041" s="2" t="s">
        <v>119</v>
      </c>
      <c r="Q3041" s="2" t="s">
        <v>99</v>
      </c>
      <c r="R3041" s="2" t="s">
        <v>100</v>
      </c>
      <c r="S3041" s="2" t="s">
        <v>9841</v>
      </c>
      <c r="T3041" s="2" t="s">
        <v>9675</v>
      </c>
      <c r="U3041" s="2" t="s">
        <v>100</v>
      </c>
      <c r="V3041" s="2" t="s">
        <v>201</v>
      </c>
      <c r="W3041" s="2" t="s">
        <v>183</v>
      </c>
      <c r="X3041" s="2" t="s">
        <v>100</v>
      </c>
      <c r="Y3041" s="2" t="s">
        <v>990</v>
      </c>
      <c r="Z3041" s="4">
        <v>914</v>
      </c>
      <c r="AA3041" s="4">
        <f>=ROUNDDOWN(41.5454545454545,0)</f>
      </c>
      <c r="AB3041" s="5">
        <v>22</v>
      </c>
      <c r="AC3041" s="2" t="s">
        <v>100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>
        <v>6</v>
      </c>
      <c r="AQ3041" s="8">
        <v>179.64</v>
      </c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>
        <v>0.3284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 t="s">
        <v>100</v>
      </c>
      <c r="BJ3041" s="4">
        <v>158</v>
      </c>
      <c r="BK3041" s="8">
        <v>4714.47</v>
      </c>
      <c r="BL3041" s="2" t="s">
        <v>4464</v>
      </c>
      <c r="BM3041" s="7">
        <v>0.038</v>
      </c>
      <c r="BN3041" s="7">
        <v>0.0381</v>
      </c>
      <c r="BO3041" s="4">
        <v>6</v>
      </c>
      <c r="BP3041" s="8">
        <v>179.64</v>
      </c>
      <c r="BQ3041" s="4"/>
      <c r="BR3041" s="8"/>
      <c r="BS3041" s="7"/>
      <c r="BT3041" s="7"/>
      <c r="BU3041" s="2" t="s">
        <v>109</v>
      </c>
      <c r="BV3041" s="2" t="s">
        <v>110</v>
      </c>
      <c r="BW3041" s="2" t="s">
        <v>1863</v>
      </c>
      <c r="BX3041" s="2" t="s">
        <v>9852</v>
      </c>
      <c r="BY3041" s="2" t="s">
        <v>113</v>
      </c>
      <c r="BZ3041" s="2" t="s">
        <v>100</v>
      </c>
    </row>
    <row r="3042">
      <c r="A3042" s="2" t="s">
        <v>9853</v>
      </c>
      <c r="B3042" s="2" t="s">
        <v>9668</v>
      </c>
      <c r="C3042" s="2" t="s">
        <v>4861</v>
      </c>
      <c r="D3042" s="2" t="s">
        <v>9669</v>
      </c>
      <c r="E3042" s="2" t="s">
        <v>9670</v>
      </c>
      <c r="F3042" s="2" t="s">
        <v>9671</v>
      </c>
      <c r="G3042" s="2" t="s">
        <v>9671</v>
      </c>
      <c r="H3042" s="2" t="s">
        <v>9671</v>
      </c>
      <c r="I3042" s="2" t="s">
        <v>9672</v>
      </c>
      <c r="J3042" s="2" t="s">
        <v>1936</v>
      </c>
      <c r="K3042" s="2" t="s">
        <v>9854</v>
      </c>
      <c r="L3042" s="3">
        <v>14.89</v>
      </c>
      <c r="M3042" s="3">
        <v>15.63</v>
      </c>
      <c r="N3042" s="3">
        <v>31.99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9855</v>
      </c>
      <c r="T3042" s="2" t="s">
        <v>9675</v>
      </c>
      <c r="U3042" s="2" t="s">
        <v>100</v>
      </c>
      <c r="V3042" s="2" t="s">
        <v>3937</v>
      </c>
      <c r="W3042" s="2" t="s">
        <v>183</v>
      </c>
      <c r="X3042" s="2" t="s">
        <v>100</v>
      </c>
      <c r="Y3042" s="2" t="s">
        <v>2045</v>
      </c>
      <c r="Z3042" s="4">
        <v>571</v>
      </c>
      <c r="AA3042" s="4">
        <f>=ROUNDDOWN(11.42,0)</f>
      </c>
      <c r="AB3042" s="5">
        <v>50</v>
      </c>
      <c r="AC3042" s="2" t="s">
        <v>241</v>
      </c>
      <c r="AD3042" s="4">
        <v>192</v>
      </c>
      <c r="AE3042" s="4">
        <v>17422</v>
      </c>
      <c r="AF3042" s="6">
        <v>65</v>
      </c>
      <c r="AG3042" s="6"/>
      <c r="AH3042" s="7">
        <v>0.6578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>
        <v>29</v>
      </c>
      <c r="AQ3042" s="8">
        <v>473.57</v>
      </c>
      <c r="AR3042" s="4"/>
      <c r="AS3042" s="8"/>
      <c r="AT3042" s="7"/>
      <c r="AU3042" s="7"/>
      <c r="AV3042" s="4">
        <v>29</v>
      </c>
      <c r="AW3042" s="8">
        <v>473.57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>
        <v>1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0.0219</v>
      </c>
      <c r="BJ3042" s="4">
        <v>1504</v>
      </c>
      <c r="BK3042" s="8">
        <v>23883.13</v>
      </c>
      <c r="BL3042" s="2" t="s">
        <v>9856</v>
      </c>
      <c r="BM3042" s="7">
        <v>0.0193</v>
      </c>
      <c r="BN3042" s="7">
        <v>0.0198</v>
      </c>
      <c r="BO3042" s="4">
        <v>29</v>
      </c>
      <c r="BP3042" s="8">
        <v>473.57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1863</v>
      </c>
      <c r="BX3042" s="2" t="s">
        <v>9845</v>
      </c>
      <c r="BY3042" s="2" t="s">
        <v>113</v>
      </c>
      <c r="BZ3042" s="2" t="s">
        <v>245</v>
      </c>
    </row>
    <row r="3043">
      <c r="A3043" s="2" t="s">
        <v>9857</v>
      </c>
      <c r="B3043" s="2" t="s">
        <v>9668</v>
      </c>
      <c r="C3043" s="2" t="s">
        <v>4861</v>
      </c>
      <c r="D3043" s="2" t="s">
        <v>9669</v>
      </c>
      <c r="E3043" s="2" t="s">
        <v>9670</v>
      </c>
      <c r="F3043" s="2" t="s">
        <v>9671</v>
      </c>
      <c r="G3043" s="2" t="s">
        <v>9671</v>
      </c>
      <c r="H3043" s="2" t="s">
        <v>9671</v>
      </c>
      <c r="I3043" s="2" t="s">
        <v>9672</v>
      </c>
      <c r="J3043" s="2" t="s">
        <v>2072</v>
      </c>
      <c r="K3043" s="2" t="s">
        <v>9854</v>
      </c>
      <c r="L3043" s="3">
        <v>16.16</v>
      </c>
      <c r="M3043" s="3">
        <v>16.97</v>
      </c>
      <c r="N3043" s="3">
        <v>34.99</v>
      </c>
      <c r="O3043" s="2" t="s">
        <v>97</v>
      </c>
      <c r="P3043" s="2" t="s">
        <v>119</v>
      </c>
      <c r="Q3043" s="2" t="s">
        <v>99</v>
      </c>
      <c r="R3043" s="2" t="s">
        <v>100</v>
      </c>
      <c r="S3043" s="2" t="s">
        <v>9855</v>
      </c>
      <c r="T3043" s="2" t="s">
        <v>9675</v>
      </c>
      <c r="U3043" s="2" t="s">
        <v>100</v>
      </c>
      <c r="V3043" s="2" t="s">
        <v>3937</v>
      </c>
      <c r="W3043" s="2" t="s">
        <v>183</v>
      </c>
      <c r="X3043" s="2" t="s">
        <v>100</v>
      </c>
      <c r="Y3043" s="2" t="s">
        <v>2045</v>
      </c>
      <c r="Z3043" s="4">
        <v>792</v>
      </c>
      <c r="AA3043" s="4">
        <f>=ROUNDDOWN(36,0)</f>
      </c>
      <c r="AB3043" s="5">
        <v>22</v>
      </c>
      <c r="AC3043" s="2" t="s">
        <v>356</v>
      </c>
      <c r="AD3043" s="4">
        <v>9600</v>
      </c>
      <c r="AE3043" s="4">
        <v>9620</v>
      </c>
      <c r="AF3043" s="6">
        <v>65</v>
      </c>
      <c r="AG3043" s="6"/>
      <c r="AH3043" s="7">
        <v>0.6952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 t="s">
        <v>100</v>
      </c>
      <c r="BJ3043" s="4">
        <v>287</v>
      </c>
      <c r="BK3043" s="8">
        <v>5299.08</v>
      </c>
      <c r="BL3043" s="2" t="s">
        <v>9858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1863</v>
      </c>
      <c r="BX3043" s="2" t="s">
        <v>9845</v>
      </c>
      <c r="BY3043" s="2" t="s">
        <v>113</v>
      </c>
      <c r="BZ3043" s="2" t="s">
        <v>245</v>
      </c>
    </row>
    <row r="3044">
      <c r="A3044" s="2" t="s">
        <v>9859</v>
      </c>
      <c r="B3044" s="2" t="s">
        <v>9668</v>
      </c>
      <c r="C3044" s="2" t="s">
        <v>4861</v>
      </c>
      <c r="D3044" s="2" t="s">
        <v>9669</v>
      </c>
      <c r="E3044" s="2" t="s">
        <v>9670</v>
      </c>
      <c r="F3044" s="2" t="s">
        <v>9671</v>
      </c>
      <c r="G3044" s="2" t="s">
        <v>9671</v>
      </c>
      <c r="H3044" s="2" t="s">
        <v>9671</v>
      </c>
      <c r="I3044" s="2" t="s">
        <v>9672</v>
      </c>
      <c r="J3044" s="2" t="s">
        <v>706</v>
      </c>
      <c r="K3044" s="2" t="s">
        <v>9854</v>
      </c>
      <c r="L3044" s="3">
        <v>22.21</v>
      </c>
      <c r="M3044" s="3">
        <v>23.32</v>
      </c>
      <c r="N3044" s="3">
        <v>47.99</v>
      </c>
      <c r="O3044" s="2" t="s">
        <v>97</v>
      </c>
      <c r="P3044" s="2" t="s">
        <v>950</v>
      </c>
      <c r="Q3044" s="2" t="s">
        <v>99</v>
      </c>
      <c r="R3044" s="2" t="s">
        <v>100</v>
      </c>
      <c r="S3044" s="2" t="s">
        <v>9855</v>
      </c>
      <c r="T3044" s="2" t="s">
        <v>9675</v>
      </c>
      <c r="U3044" s="2" t="s">
        <v>100</v>
      </c>
      <c r="V3044" s="2" t="s">
        <v>3937</v>
      </c>
      <c r="W3044" s="2" t="s">
        <v>183</v>
      </c>
      <c r="X3044" s="2" t="s">
        <v>100</v>
      </c>
      <c r="Y3044" s="2" t="s">
        <v>2045</v>
      </c>
      <c r="Z3044" s="4">
        <v>768</v>
      </c>
      <c r="AA3044" s="4">
        <f>=ROUNDDOWN(25.6,0)</f>
      </c>
      <c r="AB3044" s="5">
        <v>30</v>
      </c>
      <c r="AC3044" s="2" t="s">
        <v>356</v>
      </c>
      <c r="AD3044" s="4">
        <v>12288</v>
      </c>
      <c r="AE3044" s="4">
        <v>12323</v>
      </c>
      <c r="AF3044" s="6">
        <v>65</v>
      </c>
      <c r="AG3044" s="6"/>
      <c r="AH3044" s="7">
        <v>0.6952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 t="s">
        <v>100</v>
      </c>
      <c r="BJ3044" s="4">
        <v>524</v>
      </c>
      <c r="BK3044" s="8">
        <v>12634.33</v>
      </c>
      <c r="BL3044" s="2" t="s">
        <v>9860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1863</v>
      </c>
      <c r="BX3044" s="2" t="s">
        <v>9861</v>
      </c>
      <c r="BY3044" s="2" t="s">
        <v>113</v>
      </c>
      <c r="BZ3044" s="2" t="s">
        <v>245</v>
      </c>
    </row>
    <row r="3045">
      <c r="A3045" s="2" t="s">
        <v>9862</v>
      </c>
      <c r="B3045" s="2" t="s">
        <v>9668</v>
      </c>
      <c r="C3045" s="2" t="s">
        <v>4861</v>
      </c>
      <c r="D3045" s="2" t="s">
        <v>9669</v>
      </c>
      <c r="E3045" s="2" t="s">
        <v>9670</v>
      </c>
      <c r="F3045" s="2" t="s">
        <v>9671</v>
      </c>
      <c r="G3045" s="2" t="s">
        <v>9671</v>
      </c>
      <c r="H3045" s="2" t="s">
        <v>9671</v>
      </c>
      <c r="I3045" s="2" t="s">
        <v>9672</v>
      </c>
      <c r="J3045" s="2" t="s">
        <v>714</v>
      </c>
      <c r="K3045" s="2" t="s">
        <v>9854</v>
      </c>
      <c r="L3045" s="3">
        <v>27.39</v>
      </c>
      <c r="M3045" s="3">
        <v>28.76</v>
      </c>
      <c r="N3045" s="3">
        <v>62.99</v>
      </c>
      <c r="O3045" s="2" t="s">
        <v>97</v>
      </c>
      <c r="P3045" s="2" t="s">
        <v>119</v>
      </c>
      <c r="Q3045" s="2" t="s">
        <v>99</v>
      </c>
      <c r="R3045" s="2" t="s">
        <v>100</v>
      </c>
      <c r="S3045" s="2" t="s">
        <v>9855</v>
      </c>
      <c r="T3045" s="2" t="s">
        <v>9675</v>
      </c>
      <c r="U3045" s="2" t="s">
        <v>100</v>
      </c>
      <c r="V3045" s="2" t="s">
        <v>3937</v>
      </c>
      <c r="W3045" s="2" t="s">
        <v>183</v>
      </c>
      <c r="X3045" s="2" t="s">
        <v>100</v>
      </c>
      <c r="Y3045" s="2" t="s">
        <v>2045</v>
      </c>
      <c r="Z3045" s="4">
        <v>302</v>
      </c>
      <c r="AA3045" s="4">
        <f>=ROUNDDOWN(2.32307692307692,0)</f>
      </c>
      <c r="AB3045" s="5">
        <v>130</v>
      </c>
      <c r="AC3045" s="2" t="s">
        <v>356</v>
      </c>
      <c r="AD3045" s="4">
        <v>6336</v>
      </c>
      <c r="AE3045" s="4">
        <v>6342</v>
      </c>
      <c r="AF3045" s="6">
        <v>65</v>
      </c>
      <c r="AG3045" s="6"/>
      <c r="AH3045" s="7">
        <v>0.6898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 t="s">
        <v>100</v>
      </c>
      <c r="BJ3045" s="4">
        <v>364</v>
      </c>
      <c r="BK3045" s="8">
        <v>10703.63</v>
      </c>
      <c r="BL3045" s="2" t="s">
        <v>9863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1863</v>
      </c>
      <c r="BX3045" s="2" t="s">
        <v>9724</v>
      </c>
      <c r="BY3045" s="2" t="s">
        <v>113</v>
      </c>
      <c r="BZ3045" s="2" t="s">
        <v>100</v>
      </c>
    </row>
    <row r="3046">
      <c r="A3046" s="2" t="s">
        <v>9864</v>
      </c>
      <c r="B3046" s="2" t="s">
        <v>9668</v>
      </c>
      <c r="C3046" s="2" t="s">
        <v>4861</v>
      </c>
      <c r="D3046" s="2" t="s">
        <v>9669</v>
      </c>
      <c r="E3046" s="2" t="s">
        <v>9670</v>
      </c>
      <c r="F3046" s="2" t="s">
        <v>9671</v>
      </c>
      <c r="G3046" s="2" t="s">
        <v>9671</v>
      </c>
      <c r="H3046" s="2" t="s">
        <v>9671</v>
      </c>
      <c r="I3046" s="2" t="s">
        <v>9672</v>
      </c>
      <c r="J3046" s="2" t="s">
        <v>1936</v>
      </c>
      <c r="K3046" s="2" t="s">
        <v>9865</v>
      </c>
      <c r="L3046" s="3">
        <v>14.89</v>
      </c>
      <c r="M3046" s="3">
        <v>15.63</v>
      </c>
      <c r="N3046" s="3">
        <v>31.99</v>
      </c>
      <c r="O3046" s="2" t="s">
        <v>97</v>
      </c>
      <c r="P3046" s="2" t="s">
        <v>950</v>
      </c>
      <c r="Q3046" s="2" t="s">
        <v>99</v>
      </c>
      <c r="R3046" s="2" t="s">
        <v>100</v>
      </c>
      <c r="S3046" s="2" t="s">
        <v>9866</v>
      </c>
      <c r="T3046" s="2" t="s">
        <v>9675</v>
      </c>
      <c r="U3046" s="2" t="s">
        <v>480</v>
      </c>
      <c r="V3046" s="2" t="s">
        <v>5245</v>
      </c>
      <c r="W3046" s="2" t="s">
        <v>183</v>
      </c>
      <c r="X3046" s="2" t="s">
        <v>202</v>
      </c>
      <c r="Y3046" s="2" t="s">
        <v>9701</v>
      </c>
      <c r="Z3046" s="4">
        <v>777</v>
      </c>
      <c r="AA3046" s="4">
        <f>=ROUNDDOWN(18.0697674418605,0)</f>
      </c>
      <c r="AB3046" s="5">
        <v>43</v>
      </c>
      <c r="AC3046" s="2" t="s">
        <v>222</v>
      </c>
      <c r="AD3046" s="4">
        <v>539</v>
      </c>
      <c r="AE3046" s="4">
        <v>539</v>
      </c>
      <c r="AF3046" s="6">
        <v>65</v>
      </c>
      <c r="AG3046" s="6"/>
      <c r="AH3046" s="7">
        <v>0.3957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>
        <v>16</v>
      </c>
      <c r="AQ3046" s="8">
        <v>261.28</v>
      </c>
      <c r="AR3046" s="4"/>
      <c r="AS3046" s="8"/>
      <c r="AT3046" s="7"/>
      <c r="AU3046" s="7"/>
      <c r="AV3046" s="4">
        <v>23</v>
      </c>
      <c r="AW3046" s="8">
        <v>470.86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>
        <v>0.5549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0.0217</v>
      </c>
      <c r="BJ3046" s="4">
        <v>653</v>
      </c>
      <c r="BK3046" s="8">
        <v>10779.43</v>
      </c>
      <c r="BL3046" s="2" t="s">
        <v>4464</v>
      </c>
      <c r="BM3046" s="7">
        <v>0.0245</v>
      </c>
      <c r="BN3046" s="7">
        <v>0.0242</v>
      </c>
      <c r="BO3046" s="4">
        <v>16</v>
      </c>
      <c r="BP3046" s="8">
        <v>261.28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9704</v>
      </c>
      <c r="BX3046" s="2" t="s">
        <v>9867</v>
      </c>
      <c r="BY3046" s="2" t="s">
        <v>113</v>
      </c>
      <c r="BZ3046" s="2" t="s">
        <v>100</v>
      </c>
    </row>
    <row r="3047">
      <c r="A3047" s="2" t="s">
        <v>9868</v>
      </c>
      <c r="B3047" s="2" t="s">
        <v>9668</v>
      </c>
      <c r="C3047" s="2" t="s">
        <v>4861</v>
      </c>
      <c r="D3047" s="2" t="s">
        <v>9669</v>
      </c>
      <c r="E3047" s="2" t="s">
        <v>9670</v>
      </c>
      <c r="F3047" s="2" t="s">
        <v>9671</v>
      </c>
      <c r="G3047" s="2" t="s">
        <v>9671</v>
      </c>
      <c r="H3047" s="2" t="s">
        <v>9671</v>
      </c>
      <c r="I3047" s="2" t="s">
        <v>9672</v>
      </c>
      <c r="J3047" s="2" t="s">
        <v>714</v>
      </c>
      <c r="K3047" s="2" t="s">
        <v>9865</v>
      </c>
      <c r="L3047" s="3">
        <v>27.39</v>
      </c>
      <c r="M3047" s="3">
        <v>28.76</v>
      </c>
      <c r="N3047" s="3">
        <v>62.99</v>
      </c>
      <c r="O3047" s="2" t="s">
        <v>97</v>
      </c>
      <c r="P3047" s="2" t="s">
        <v>119</v>
      </c>
      <c r="Q3047" s="2" t="s">
        <v>99</v>
      </c>
      <c r="R3047" s="2" t="s">
        <v>100</v>
      </c>
      <c r="S3047" s="2" t="s">
        <v>9866</v>
      </c>
      <c r="T3047" s="2" t="s">
        <v>9675</v>
      </c>
      <c r="U3047" s="2" t="s">
        <v>402</v>
      </c>
      <c r="V3047" s="2" t="s">
        <v>5245</v>
      </c>
      <c r="W3047" s="2" t="s">
        <v>183</v>
      </c>
      <c r="X3047" s="2" t="s">
        <v>202</v>
      </c>
      <c r="Y3047" s="2" t="s">
        <v>9701</v>
      </c>
      <c r="Z3047" s="4">
        <v>554</v>
      </c>
      <c r="AA3047" s="4">
        <f>=ROUNDDOWN(27.7,0)</f>
      </c>
      <c r="AB3047" s="5">
        <v>20</v>
      </c>
      <c r="AC3047" s="2" t="s">
        <v>222</v>
      </c>
      <c r="AD3047" s="4">
        <v>285</v>
      </c>
      <c r="AE3047" s="4">
        <v>285</v>
      </c>
      <c r="AF3047" s="6">
        <v>65</v>
      </c>
      <c r="AG3047" s="6"/>
      <c r="AH3047" s="7">
        <v>0.6952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>
        <v>7</v>
      </c>
      <c r="AQ3047" s="8">
        <v>209.58</v>
      </c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>
        <v>0.4451</v>
      </c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 t="s">
        <v>100</v>
      </c>
      <c r="BJ3047" s="4">
        <v>247</v>
      </c>
      <c r="BK3047" s="8">
        <v>7281.98</v>
      </c>
      <c r="BL3047" s="2" t="s">
        <v>161</v>
      </c>
      <c r="BM3047" s="7">
        <v>0.0283</v>
      </c>
      <c r="BN3047" s="7">
        <v>0.0288</v>
      </c>
      <c r="BO3047" s="4">
        <v>7</v>
      </c>
      <c r="BP3047" s="8">
        <v>209.58</v>
      </c>
      <c r="BQ3047" s="4"/>
      <c r="BR3047" s="8"/>
      <c r="BS3047" s="7"/>
      <c r="BT3047" s="7"/>
      <c r="BU3047" s="2" t="s">
        <v>109</v>
      </c>
      <c r="BV3047" s="2" t="s">
        <v>110</v>
      </c>
      <c r="BW3047" s="2" t="s">
        <v>9704</v>
      </c>
      <c r="BX3047" s="2" t="s">
        <v>5525</v>
      </c>
      <c r="BY3047" s="2" t="s">
        <v>113</v>
      </c>
      <c r="BZ3047" s="2" t="s">
        <v>100</v>
      </c>
    </row>
    <row r="3048">
      <c r="A3048" s="2" t="s">
        <v>9869</v>
      </c>
      <c r="B3048" s="2" t="s">
        <v>9668</v>
      </c>
      <c r="C3048" s="2" t="s">
        <v>4861</v>
      </c>
      <c r="D3048" s="2" t="s">
        <v>9669</v>
      </c>
      <c r="E3048" s="2" t="s">
        <v>9670</v>
      </c>
      <c r="F3048" s="2" t="s">
        <v>9671</v>
      </c>
      <c r="G3048" s="2" t="s">
        <v>9671</v>
      </c>
      <c r="H3048" s="2" t="s">
        <v>9671</v>
      </c>
      <c r="I3048" s="2" t="s">
        <v>9672</v>
      </c>
      <c r="J3048" s="2" t="s">
        <v>2072</v>
      </c>
      <c r="K3048" s="2" t="s">
        <v>7365</v>
      </c>
      <c r="L3048" s="3">
        <v>16.16</v>
      </c>
      <c r="M3048" s="3">
        <v>16.97</v>
      </c>
      <c r="N3048" s="3">
        <v>34.99</v>
      </c>
      <c r="O3048" s="2" t="s">
        <v>97</v>
      </c>
      <c r="P3048" s="2" t="s">
        <v>950</v>
      </c>
      <c r="Q3048" s="2" t="s">
        <v>99</v>
      </c>
      <c r="R3048" s="2" t="s">
        <v>100</v>
      </c>
      <c r="S3048" s="2" t="s">
        <v>9870</v>
      </c>
      <c r="T3048" s="2" t="s">
        <v>9675</v>
      </c>
      <c r="U3048" s="2" t="s">
        <v>100</v>
      </c>
      <c r="V3048" s="2" t="s">
        <v>201</v>
      </c>
      <c r="W3048" s="2" t="s">
        <v>183</v>
      </c>
      <c r="X3048" s="2" t="s">
        <v>100</v>
      </c>
      <c r="Y3048" s="2" t="s">
        <v>6293</v>
      </c>
      <c r="Z3048" s="4">
        <v>413</v>
      </c>
      <c r="AA3048" s="4">
        <f>=ROUNDDOWN(13.3225806451613,0)</f>
      </c>
      <c r="AB3048" s="5">
        <v>31</v>
      </c>
      <c r="AC3048" s="2" t="s">
        <v>562</v>
      </c>
      <c r="AD3048" s="4">
        <v>388</v>
      </c>
      <c r="AE3048" s="4">
        <v>401</v>
      </c>
      <c r="AF3048" s="6">
        <v>65</v>
      </c>
      <c r="AG3048" s="6"/>
      <c r="AH3048" s="7">
        <v>0.5668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>
        <v>19</v>
      </c>
      <c r="AQ3048" s="8">
        <v>341.24</v>
      </c>
      <c r="AR3048" s="4"/>
      <c r="AS3048" s="8"/>
      <c r="AT3048" s="7"/>
      <c r="AU3048" s="7"/>
      <c r="AV3048" s="4">
        <v>22</v>
      </c>
      <c r="AW3048" s="8">
        <v>431.06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>
        <v>0.7916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0.0199</v>
      </c>
      <c r="BJ3048" s="4">
        <v>696</v>
      </c>
      <c r="BK3048" s="8">
        <v>12164</v>
      </c>
      <c r="BL3048" s="2" t="s">
        <v>9871</v>
      </c>
      <c r="BM3048" s="7">
        <v>0.0273</v>
      </c>
      <c r="BN3048" s="7">
        <v>0.0281</v>
      </c>
      <c r="BO3048" s="4">
        <v>19</v>
      </c>
      <c r="BP3048" s="8">
        <v>341.24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750</v>
      </c>
      <c r="BX3048" s="2" t="s">
        <v>6658</v>
      </c>
      <c r="BY3048" s="2" t="s">
        <v>113</v>
      </c>
      <c r="BZ3048" s="2" t="s">
        <v>100</v>
      </c>
    </row>
    <row r="3049">
      <c r="A3049" s="2" t="s">
        <v>9872</v>
      </c>
      <c r="B3049" s="2" t="s">
        <v>9668</v>
      </c>
      <c r="C3049" s="2" t="s">
        <v>4861</v>
      </c>
      <c r="D3049" s="2" t="s">
        <v>9669</v>
      </c>
      <c r="E3049" s="2" t="s">
        <v>9670</v>
      </c>
      <c r="F3049" s="2" t="s">
        <v>9671</v>
      </c>
      <c r="G3049" s="2" t="s">
        <v>9671</v>
      </c>
      <c r="H3049" s="2" t="s">
        <v>9671</v>
      </c>
      <c r="I3049" s="2" t="s">
        <v>9672</v>
      </c>
      <c r="J3049" s="2" t="s">
        <v>714</v>
      </c>
      <c r="K3049" s="2" t="s">
        <v>7365</v>
      </c>
      <c r="L3049" s="3">
        <v>27.39</v>
      </c>
      <c r="M3049" s="3">
        <v>28.76</v>
      </c>
      <c r="N3049" s="3">
        <v>62.99</v>
      </c>
      <c r="O3049" s="2" t="s">
        <v>97</v>
      </c>
      <c r="P3049" s="2" t="s">
        <v>950</v>
      </c>
      <c r="Q3049" s="2" t="s">
        <v>99</v>
      </c>
      <c r="R3049" s="2" t="s">
        <v>100</v>
      </c>
      <c r="S3049" s="2" t="s">
        <v>9870</v>
      </c>
      <c r="T3049" s="2" t="s">
        <v>9675</v>
      </c>
      <c r="U3049" s="2" t="s">
        <v>100</v>
      </c>
      <c r="V3049" s="2" t="s">
        <v>201</v>
      </c>
      <c r="W3049" s="2" t="s">
        <v>183</v>
      </c>
      <c r="X3049" s="2" t="s">
        <v>100</v>
      </c>
      <c r="Y3049" s="2" t="s">
        <v>6293</v>
      </c>
      <c r="Z3049" s="4">
        <v>570</v>
      </c>
      <c r="AA3049" s="4">
        <f>=ROUNDDOWN(35.625,0)</f>
      </c>
      <c r="AB3049" s="5">
        <v>16</v>
      </c>
      <c r="AC3049" s="2" t="s">
        <v>562</v>
      </c>
      <c r="AD3049" s="4">
        <v>263</v>
      </c>
      <c r="AE3049" s="4">
        <v>274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>
        <v>2</v>
      </c>
      <c r="AQ3049" s="8">
        <v>59.88</v>
      </c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>
        <v>0.1389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>
        <v>173</v>
      </c>
      <c r="BK3049" s="8">
        <v>5160.53</v>
      </c>
      <c r="BL3049" s="2" t="s">
        <v>7157</v>
      </c>
      <c r="BM3049" s="7">
        <v>0.0116</v>
      </c>
      <c r="BN3049" s="7">
        <v>0.0116</v>
      </c>
      <c r="BO3049" s="4">
        <v>2</v>
      </c>
      <c r="BP3049" s="8">
        <v>59.88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1863</v>
      </c>
      <c r="BX3049" s="2" t="s">
        <v>8326</v>
      </c>
      <c r="BY3049" s="2" t="s">
        <v>113</v>
      </c>
      <c r="BZ3049" s="2" t="s">
        <v>100</v>
      </c>
    </row>
    <row r="3050">
      <c r="A3050" s="2" t="s">
        <v>9873</v>
      </c>
      <c r="B3050" s="2" t="s">
        <v>9668</v>
      </c>
      <c r="C3050" s="2" t="s">
        <v>4861</v>
      </c>
      <c r="D3050" s="2" t="s">
        <v>9669</v>
      </c>
      <c r="E3050" s="2" t="s">
        <v>9670</v>
      </c>
      <c r="F3050" s="2" t="s">
        <v>9671</v>
      </c>
      <c r="G3050" s="2" t="s">
        <v>9671</v>
      </c>
      <c r="H3050" s="2" t="s">
        <v>9671</v>
      </c>
      <c r="I3050" s="2" t="s">
        <v>9672</v>
      </c>
      <c r="J3050" s="2" t="s">
        <v>817</v>
      </c>
      <c r="K3050" s="2" t="s">
        <v>7365</v>
      </c>
      <c r="L3050" s="3">
        <v>27.39</v>
      </c>
      <c r="M3050" s="3">
        <v>28.76</v>
      </c>
      <c r="N3050" s="3">
        <v>62.99</v>
      </c>
      <c r="O3050" s="2" t="s">
        <v>97</v>
      </c>
      <c r="P3050" s="2" t="s">
        <v>950</v>
      </c>
      <c r="Q3050" s="2" t="s">
        <v>99</v>
      </c>
      <c r="R3050" s="2" t="s">
        <v>100</v>
      </c>
      <c r="S3050" s="2" t="s">
        <v>9870</v>
      </c>
      <c r="T3050" s="2" t="s">
        <v>9675</v>
      </c>
      <c r="U3050" s="2" t="s">
        <v>100</v>
      </c>
      <c r="V3050" s="2" t="s">
        <v>201</v>
      </c>
      <c r="W3050" s="2" t="s">
        <v>183</v>
      </c>
      <c r="X3050" s="2" t="s">
        <v>100</v>
      </c>
      <c r="Y3050" s="2" t="s">
        <v>9874</v>
      </c>
      <c r="Z3050" s="4">
        <v>641</v>
      </c>
      <c r="AA3050" s="4">
        <f>=ROUNDDOWN(37.7058823529412,0)</f>
      </c>
      <c r="AB3050" s="5">
        <v>17</v>
      </c>
      <c r="AC3050" s="2" t="s">
        <v>562</v>
      </c>
      <c r="AD3050" s="4">
        <v>214</v>
      </c>
      <c r="AE3050" s="4">
        <v>214</v>
      </c>
      <c r="AF3050" s="6">
        <v>65</v>
      </c>
      <c r="AG3050" s="6"/>
      <c r="AH3050" s="7">
        <v>0.6952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>
        <v>1</v>
      </c>
      <c r="AQ3050" s="8">
        <v>29.94</v>
      </c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>
        <v>0.0695</v>
      </c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 t="s">
        <v>100</v>
      </c>
      <c r="BJ3050" s="4">
        <v>169</v>
      </c>
      <c r="BK3050" s="8">
        <v>4916.01</v>
      </c>
      <c r="BL3050" s="2" t="s">
        <v>9875</v>
      </c>
      <c r="BM3050" s="7">
        <v>0.0059</v>
      </c>
      <c r="BN3050" s="7">
        <v>0.0061</v>
      </c>
      <c r="BO3050" s="4">
        <v>1</v>
      </c>
      <c r="BP3050" s="8">
        <v>29.94</v>
      </c>
      <c r="BQ3050" s="4"/>
      <c r="BR3050" s="8"/>
      <c r="BS3050" s="7"/>
      <c r="BT3050" s="7"/>
      <c r="BU3050" s="2" t="s">
        <v>109</v>
      </c>
      <c r="BV3050" s="2" t="s">
        <v>110</v>
      </c>
      <c r="BW3050" s="2" t="s">
        <v>1863</v>
      </c>
      <c r="BX3050" s="2" t="s">
        <v>500</v>
      </c>
      <c r="BY3050" s="2" t="s">
        <v>113</v>
      </c>
      <c r="BZ3050" s="2" t="s">
        <v>245</v>
      </c>
    </row>
    <row r="3051">
      <c r="A3051" s="2" t="s">
        <v>9876</v>
      </c>
      <c r="B3051" s="2" t="s">
        <v>9668</v>
      </c>
      <c r="C3051" s="2" t="s">
        <v>4861</v>
      </c>
      <c r="D3051" s="2" t="s">
        <v>9669</v>
      </c>
      <c r="E3051" s="2" t="s">
        <v>9670</v>
      </c>
      <c r="F3051" s="2" t="s">
        <v>9671</v>
      </c>
      <c r="G3051" s="2" t="s">
        <v>9671</v>
      </c>
      <c r="H3051" s="2" t="s">
        <v>9671</v>
      </c>
      <c r="I3051" s="2" t="s">
        <v>9672</v>
      </c>
      <c r="J3051" s="2" t="s">
        <v>1936</v>
      </c>
      <c r="K3051" s="2" t="s">
        <v>7348</v>
      </c>
      <c r="L3051" s="3">
        <v>14.89</v>
      </c>
      <c r="M3051" s="3">
        <v>15.63</v>
      </c>
      <c r="N3051" s="3">
        <v>31.99</v>
      </c>
      <c r="O3051" s="2" t="s">
        <v>97</v>
      </c>
      <c r="P3051" s="2" t="s">
        <v>119</v>
      </c>
      <c r="Q3051" s="2" t="s">
        <v>99</v>
      </c>
      <c r="R3051" s="2" t="s">
        <v>100</v>
      </c>
      <c r="S3051" s="2" t="s">
        <v>9877</v>
      </c>
      <c r="T3051" s="2" t="s">
        <v>9675</v>
      </c>
      <c r="U3051" s="2" t="s">
        <v>100</v>
      </c>
      <c r="V3051" s="2" t="s">
        <v>201</v>
      </c>
      <c r="W3051" s="2" t="s">
        <v>183</v>
      </c>
      <c r="X3051" s="2" t="s">
        <v>100</v>
      </c>
      <c r="Y3051" s="2" t="s">
        <v>240</v>
      </c>
      <c r="Z3051" s="4">
        <v>889</v>
      </c>
      <c r="AA3051" s="4">
        <f>=ROUNDDOWN(24.6944444444444,0)</f>
      </c>
      <c r="AB3051" s="5">
        <v>36</v>
      </c>
      <c r="AC3051" s="2" t="s">
        <v>562</v>
      </c>
      <c r="AD3051" s="4">
        <v>464</v>
      </c>
      <c r="AE3051" s="4">
        <v>464</v>
      </c>
      <c r="AF3051" s="6">
        <v>65</v>
      </c>
      <c r="AG3051" s="6"/>
      <c r="AH3051" s="7">
        <v>0.6952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>
        <v>6</v>
      </c>
      <c r="AQ3051" s="8">
        <v>97.98</v>
      </c>
      <c r="AR3051" s="4"/>
      <c r="AS3051" s="8"/>
      <c r="AT3051" s="7"/>
      <c r="AU3051" s="7"/>
      <c r="AV3051" s="4">
        <v>17</v>
      </c>
      <c r="AW3051" s="8">
        <v>343.46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>
        <v>0.2853</v>
      </c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>
        <v>0.0159</v>
      </c>
      <c r="BJ3051" s="4">
        <v>398</v>
      </c>
      <c r="BK3051" s="8">
        <v>6388.02</v>
      </c>
      <c r="BL3051" s="2" t="s">
        <v>9778</v>
      </c>
      <c r="BM3051" s="7">
        <v>0.0151</v>
      </c>
      <c r="BN3051" s="7">
        <v>0.0153</v>
      </c>
      <c r="BO3051" s="4">
        <v>6</v>
      </c>
      <c r="BP3051" s="8">
        <v>97.98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1863</v>
      </c>
      <c r="BX3051" s="2" t="s">
        <v>7398</v>
      </c>
      <c r="BY3051" s="2" t="s">
        <v>113</v>
      </c>
      <c r="BZ3051" s="2" t="s">
        <v>100</v>
      </c>
    </row>
    <row r="3052">
      <c r="A3052" s="2" t="s">
        <v>9878</v>
      </c>
      <c r="B3052" s="2" t="s">
        <v>9668</v>
      </c>
      <c r="C3052" s="2" t="s">
        <v>4861</v>
      </c>
      <c r="D3052" s="2" t="s">
        <v>9669</v>
      </c>
      <c r="E3052" s="2" t="s">
        <v>9670</v>
      </c>
      <c r="F3052" s="2" t="s">
        <v>9671</v>
      </c>
      <c r="G3052" s="2" t="s">
        <v>9671</v>
      </c>
      <c r="H3052" s="2" t="s">
        <v>9671</v>
      </c>
      <c r="I3052" s="2" t="s">
        <v>9672</v>
      </c>
      <c r="J3052" s="2" t="s">
        <v>2072</v>
      </c>
      <c r="K3052" s="2" t="s">
        <v>7348</v>
      </c>
      <c r="L3052" s="3">
        <v>16.16</v>
      </c>
      <c r="M3052" s="3">
        <v>16.97</v>
      </c>
      <c r="N3052" s="3">
        <v>34.99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9877</v>
      </c>
      <c r="T3052" s="2" t="s">
        <v>9675</v>
      </c>
      <c r="U3052" s="2" t="s">
        <v>100</v>
      </c>
      <c r="V3052" s="2" t="s">
        <v>201</v>
      </c>
      <c r="W3052" s="2" t="s">
        <v>183</v>
      </c>
      <c r="X3052" s="2" t="s">
        <v>100</v>
      </c>
      <c r="Y3052" s="2" t="s">
        <v>6293</v>
      </c>
      <c r="Z3052" s="4">
        <v>699</v>
      </c>
      <c r="AA3052" s="4">
        <f>=ROUNDDOWN(14.5625,0)</f>
      </c>
      <c r="AB3052" s="5">
        <v>48</v>
      </c>
      <c r="AC3052" s="2" t="s">
        <v>356</v>
      </c>
      <c r="AD3052" s="4">
        <v>95</v>
      </c>
      <c r="AE3052" s="4">
        <v>743</v>
      </c>
      <c r="AF3052" s="6">
        <v>65</v>
      </c>
      <c r="AG3052" s="6"/>
      <c r="AH3052" s="7">
        <v>0.5882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>
        <v>7</v>
      </c>
      <c r="AQ3052" s="8">
        <v>125.72</v>
      </c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>
        <v>0.366</v>
      </c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983</v>
      </c>
      <c r="BK3052" s="8">
        <v>17463.65</v>
      </c>
      <c r="BL3052" s="2" t="s">
        <v>9871</v>
      </c>
      <c r="BM3052" s="7">
        <v>0.0071</v>
      </c>
      <c r="BN3052" s="7">
        <v>0.0072</v>
      </c>
      <c r="BO3052" s="4">
        <v>7</v>
      </c>
      <c r="BP3052" s="8">
        <v>125.72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750</v>
      </c>
      <c r="BX3052" s="2" t="s">
        <v>9719</v>
      </c>
      <c r="BY3052" s="2" t="s">
        <v>113</v>
      </c>
      <c r="BZ3052" s="2" t="s">
        <v>100</v>
      </c>
    </row>
    <row r="3053">
      <c r="A3053" s="2" t="s">
        <v>9879</v>
      </c>
      <c r="B3053" s="2" t="s">
        <v>9668</v>
      </c>
      <c r="C3053" s="2" t="s">
        <v>4861</v>
      </c>
      <c r="D3053" s="2" t="s">
        <v>9669</v>
      </c>
      <c r="E3053" s="2" t="s">
        <v>9670</v>
      </c>
      <c r="F3053" s="2" t="s">
        <v>9671</v>
      </c>
      <c r="G3053" s="2" t="s">
        <v>9671</v>
      </c>
      <c r="H3053" s="2" t="s">
        <v>9671</v>
      </c>
      <c r="I3053" s="2" t="s">
        <v>9672</v>
      </c>
      <c r="J3053" s="2" t="s">
        <v>714</v>
      </c>
      <c r="K3053" s="2" t="s">
        <v>7348</v>
      </c>
      <c r="L3053" s="3">
        <v>27.39</v>
      </c>
      <c r="M3053" s="3">
        <v>28.76</v>
      </c>
      <c r="N3053" s="3">
        <v>62.99</v>
      </c>
      <c r="O3053" s="2" t="s">
        <v>97</v>
      </c>
      <c r="P3053" s="2" t="s">
        <v>119</v>
      </c>
      <c r="Q3053" s="2" t="s">
        <v>99</v>
      </c>
      <c r="R3053" s="2" t="s">
        <v>100</v>
      </c>
      <c r="S3053" s="2" t="s">
        <v>9877</v>
      </c>
      <c r="T3053" s="2" t="s">
        <v>9675</v>
      </c>
      <c r="U3053" s="2" t="s">
        <v>100</v>
      </c>
      <c r="V3053" s="2" t="s">
        <v>201</v>
      </c>
      <c r="W3053" s="2" t="s">
        <v>183</v>
      </c>
      <c r="X3053" s="2" t="s">
        <v>100</v>
      </c>
      <c r="Y3053" s="2" t="s">
        <v>240</v>
      </c>
      <c r="Z3053" s="4">
        <v>602</v>
      </c>
      <c r="AA3053" s="4">
        <f>=ROUNDDOWN(28.6666666666667,0)</f>
      </c>
      <c r="AB3053" s="5">
        <v>21</v>
      </c>
      <c r="AC3053" s="2" t="s">
        <v>562</v>
      </c>
      <c r="AD3053" s="4">
        <v>257</v>
      </c>
      <c r="AE3053" s="4">
        <v>272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>
        <v>1</v>
      </c>
      <c r="AQ3053" s="8">
        <v>29.94</v>
      </c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>
        <v>0.0872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 t="s">
        <v>100</v>
      </c>
      <c r="BJ3053" s="4">
        <v>152</v>
      </c>
      <c r="BK3053" s="8">
        <v>4542.29</v>
      </c>
      <c r="BL3053" s="2" t="s">
        <v>9880</v>
      </c>
      <c r="BM3053" s="7">
        <v>0.0066</v>
      </c>
      <c r="BN3053" s="7">
        <v>0.0066</v>
      </c>
      <c r="BO3053" s="4">
        <v>1</v>
      </c>
      <c r="BP3053" s="8">
        <v>29.94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1863</v>
      </c>
      <c r="BX3053" s="2" t="s">
        <v>2628</v>
      </c>
      <c r="BY3053" s="2" t="s">
        <v>113</v>
      </c>
      <c r="BZ3053" s="2" t="s">
        <v>100</v>
      </c>
    </row>
    <row r="3054">
      <c r="A3054" s="2" t="s">
        <v>9881</v>
      </c>
      <c r="B3054" s="2" t="s">
        <v>9668</v>
      </c>
      <c r="C3054" s="2" t="s">
        <v>4861</v>
      </c>
      <c r="D3054" s="2" t="s">
        <v>9669</v>
      </c>
      <c r="E3054" s="2" t="s">
        <v>9670</v>
      </c>
      <c r="F3054" s="2" t="s">
        <v>9671</v>
      </c>
      <c r="G3054" s="2" t="s">
        <v>9671</v>
      </c>
      <c r="H3054" s="2" t="s">
        <v>9671</v>
      </c>
      <c r="I3054" s="2" t="s">
        <v>9672</v>
      </c>
      <c r="J3054" s="2" t="s">
        <v>817</v>
      </c>
      <c r="K3054" s="2" t="s">
        <v>7348</v>
      </c>
      <c r="L3054" s="3">
        <v>27.39</v>
      </c>
      <c r="M3054" s="3">
        <v>28.76</v>
      </c>
      <c r="N3054" s="3">
        <v>62.99</v>
      </c>
      <c r="O3054" s="2" t="s">
        <v>97</v>
      </c>
      <c r="P3054" s="2" t="s">
        <v>119</v>
      </c>
      <c r="Q3054" s="2" t="s">
        <v>99</v>
      </c>
      <c r="R3054" s="2" t="s">
        <v>100</v>
      </c>
      <c r="S3054" s="2" t="s">
        <v>9877</v>
      </c>
      <c r="T3054" s="2" t="s">
        <v>9675</v>
      </c>
      <c r="U3054" s="2" t="s">
        <v>100</v>
      </c>
      <c r="V3054" s="2" t="s">
        <v>201</v>
      </c>
      <c r="W3054" s="2" t="s">
        <v>183</v>
      </c>
      <c r="X3054" s="2" t="s">
        <v>100</v>
      </c>
      <c r="Y3054" s="2" t="s">
        <v>6293</v>
      </c>
      <c r="Z3054" s="4">
        <v>392</v>
      </c>
      <c r="AA3054" s="4">
        <f>=ROUNDDOWN(30.1538461538462,0)</f>
      </c>
      <c r="AB3054" s="5">
        <v>13</v>
      </c>
      <c r="AC3054" s="2" t="s">
        <v>562</v>
      </c>
      <c r="AD3054" s="4">
        <v>140</v>
      </c>
      <c r="AE3054" s="4">
        <v>140</v>
      </c>
      <c r="AF3054" s="6">
        <v>65</v>
      </c>
      <c r="AG3054" s="6"/>
      <c r="AH3054" s="7">
        <v>0.6952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>
        <v>3</v>
      </c>
      <c r="AQ3054" s="8">
        <v>89.82</v>
      </c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>
        <v>0.2615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 t="s">
        <v>100</v>
      </c>
      <c r="BJ3054" s="4">
        <v>114</v>
      </c>
      <c r="BK3054" s="8">
        <v>3392.35</v>
      </c>
      <c r="BL3054" s="2" t="s">
        <v>9882</v>
      </c>
      <c r="BM3054" s="7">
        <v>0.0263</v>
      </c>
      <c r="BN3054" s="7">
        <v>0.0265</v>
      </c>
      <c r="BO3054" s="4">
        <v>3</v>
      </c>
      <c r="BP3054" s="8">
        <v>89.82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1863</v>
      </c>
      <c r="BX3054" s="2" t="s">
        <v>9883</v>
      </c>
      <c r="BY3054" s="2" t="s">
        <v>113</v>
      </c>
      <c r="BZ3054" s="2" t="s">
        <v>100</v>
      </c>
    </row>
    <row r="3055">
      <c r="A3055" s="2" t="s">
        <v>9884</v>
      </c>
      <c r="B3055" s="2" t="s">
        <v>9668</v>
      </c>
      <c r="C3055" s="2" t="s">
        <v>4861</v>
      </c>
      <c r="D3055" s="2" t="s">
        <v>9669</v>
      </c>
      <c r="E3055" s="2" t="s">
        <v>9670</v>
      </c>
      <c r="F3055" s="2" t="s">
        <v>9671</v>
      </c>
      <c r="G3055" s="2" t="s">
        <v>9671</v>
      </c>
      <c r="H3055" s="2" t="s">
        <v>9671</v>
      </c>
      <c r="I3055" s="2" t="s">
        <v>9672</v>
      </c>
      <c r="J3055" s="2" t="s">
        <v>2072</v>
      </c>
      <c r="K3055" s="2" t="s">
        <v>9885</v>
      </c>
      <c r="L3055" s="3">
        <v>16.16</v>
      </c>
      <c r="M3055" s="3">
        <v>16.97</v>
      </c>
      <c r="N3055" s="3">
        <v>34.99</v>
      </c>
      <c r="O3055" s="2" t="s">
        <v>97</v>
      </c>
      <c r="P3055" s="2" t="s">
        <v>119</v>
      </c>
      <c r="Q3055" s="2" t="s">
        <v>99</v>
      </c>
      <c r="R3055" s="2" t="s">
        <v>100</v>
      </c>
      <c r="S3055" s="2" t="s">
        <v>9886</v>
      </c>
      <c r="T3055" s="2" t="s">
        <v>9675</v>
      </c>
      <c r="U3055" s="2" t="s">
        <v>100</v>
      </c>
      <c r="V3055" s="2" t="s">
        <v>3937</v>
      </c>
      <c r="W3055" s="2" t="s">
        <v>183</v>
      </c>
      <c r="X3055" s="2" t="s">
        <v>100</v>
      </c>
      <c r="Y3055" s="2" t="s">
        <v>2045</v>
      </c>
      <c r="Z3055" s="4">
        <v>399</v>
      </c>
      <c r="AA3055" s="4">
        <f>=ROUNDDOWN(24.9375,0)</f>
      </c>
      <c r="AB3055" s="5">
        <v>16</v>
      </c>
      <c r="AC3055" s="2" t="s">
        <v>241</v>
      </c>
      <c r="AD3055" s="4">
        <v>128</v>
      </c>
      <c r="AE3055" s="4">
        <v>5802</v>
      </c>
      <c r="AF3055" s="6">
        <v>65</v>
      </c>
      <c r="AG3055" s="6"/>
      <c r="AH3055" s="7">
        <v>0.7273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>
        <v>13</v>
      </c>
      <c r="AW3055" s="8">
        <v>334.72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0.0155</v>
      </c>
      <c r="BJ3055" s="4">
        <v>301</v>
      </c>
      <c r="BK3055" s="8">
        <v>5615.38</v>
      </c>
      <c r="BL3055" s="2" t="s">
        <v>9887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1863</v>
      </c>
      <c r="BX3055" s="2" t="s">
        <v>9888</v>
      </c>
      <c r="BY3055" s="2" t="s">
        <v>113</v>
      </c>
      <c r="BZ3055" s="2" t="s">
        <v>245</v>
      </c>
    </row>
    <row r="3056">
      <c r="A3056" s="2" t="s">
        <v>9889</v>
      </c>
      <c r="B3056" s="2" t="s">
        <v>9668</v>
      </c>
      <c r="C3056" s="2" t="s">
        <v>4861</v>
      </c>
      <c r="D3056" s="2" t="s">
        <v>9669</v>
      </c>
      <c r="E3056" s="2" t="s">
        <v>9670</v>
      </c>
      <c r="F3056" s="2" t="s">
        <v>9671</v>
      </c>
      <c r="G3056" s="2" t="s">
        <v>9671</v>
      </c>
      <c r="H3056" s="2" t="s">
        <v>9671</v>
      </c>
      <c r="I3056" s="2" t="s">
        <v>9672</v>
      </c>
      <c r="J3056" s="2" t="s">
        <v>717</v>
      </c>
      <c r="K3056" s="2" t="s">
        <v>9885</v>
      </c>
      <c r="L3056" s="3">
        <v>19.57</v>
      </c>
      <c r="M3056" s="3">
        <v>20.55</v>
      </c>
      <c r="N3056" s="3">
        <v>42.99</v>
      </c>
      <c r="O3056" s="2" t="s">
        <v>97</v>
      </c>
      <c r="P3056" s="2" t="s">
        <v>119</v>
      </c>
      <c r="Q3056" s="2" t="s">
        <v>99</v>
      </c>
      <c r="R3056" s="2" t="s">
        <v>100</v>
      </c>
      <c r="S3056" s="2" t="s">
        <v>9886</v>
      </c>
      <c r="T3056" s="2" t="s">
        <v>9675</v>
      </c>
      <c r="U3056" s="2" t="s">
        <v>402</v>
      </c>
      <c r="V3056" s="2" t="s">
        <v>3937</v>
      </c>
      <c r="W3056" s="2" t="s">
        <v>183</v>
      </c>
      <c r="X3056" s="2" t="s">
        <v>100</v>
      </c>
      <c r="Y3056" s="2" t="s">
        <v>2045</v>
      </c>
      <c r="Z3056" s="4">
        <v>515</v>
      </c>
      <c r="AA3056" s="4">
        <f>=ROUNDDOWN(24.5238095238095,0)</f>
      </c>
      <c r="AB3056" s="5">
        <v>21</v>
      </c>
      <c r="AC3056" s="2" t="s">
        <v>241</v>
      </c>
      <c r="AD3056" s="4">
        <v>9184</v>
      </c>
      <c r="AE3056" s="4">
        <v>9208</v>
      </c>
      <c r="AF3056" s="6">
        <v>65</v>
      </c>
      <c r="AG3056" s="6"/>
      <c r="AH3056" s="7">
        <v>0.6952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 t="s">
        <v>100</v>
      </c>
      <c r="BJ3056" s="4">
        <v>459</v>
      </c>
      <c r="BK3056" s="8">
        <v>9682.59</v>
      </c>
      <c r="BL3056" s="2" t="s">
        <v>9890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1863</v>
      </c>
      <c r="BX3056" s="2" t="s">
        <v>9719</v>
      </c>
      <c r="BY3056" s="2" t="s">
        <v>113</v>
      </c>
      <c r="BZ3056" s="2" t="s">
        <v>245</v>
      </c>
    </row>
    <row r="3057">
      <c r="A3057" s="2" t="s">
        <v>9891</v>
      </c>
      <c r="B3057" s="2" t="s">
        <v>9668</v>
      </c>
      <c r="C3057" s="2" t="s">
        <v>4861</v>
      </c>
      <c r="D3057" s="2" t="s">
        <v>9669</v>
      </c>
      <c r="E3057" s="2" t="s">
        <v>9670</v>
      </c>
      <c r="F3057" s="2" t="s">
        <v>9671</v>
      </c>
      <c r="G3057" s="2" t="s">
        <v>9671</v>
      </c>
      <c r="H3057" s="2" t="s">
        <v>9671</v>
      </c>
      <c r="I3057" s="2" t="s">
        <v>9672</v>
      </c>
      <c r="J3057" s="2" t="s">
        <v>706</v>
      </c>
      <c r="K3057" s="2" t="s">
        <v>9885</v>
      </c>
      <c r="L3057" s="3">
        <v>22.21</v>
      </c>
      <c r="M3057" s="3">
        <v>23.32</v>
      </c>
      <c r="N3057" s="3">
        <v>47.99</v>
      </c>
      <c r="O3057" s="2" t="s">
        <v>97</v>
      </c>
      <c r="P3057" s="2" t="s">
        <v>950</v>
      </c>
      <c r="Q3057" s="2" t="s">
        <v>99</v>
      </c>
      <c r="R3057" s="2" t="s">
        <v>100</v>
      </c>
      <c r="S3057" s="2" t="s">
        <v>9886</v>
      </c>
      <c r="T3057" s="2" t="s">
        <v>9675</v>
      </c>
      <c r="U3057" s="2" t="s">
        <v>402</v>
      </c>
      <c r="V3057" s="2" t="s">
        <v>3937</v>
      </c>
      <c r="W3057" s="2" t="s">
        <v>183</v>
      </c>
      <c r="X3057" s="2" t="s">
        <v>100</v>
      </c>
      <c r="Y3057" s="2" t="s">
        <v>2045</v>
      </c>
      <c r="Z3057" s="4">
        <v>674</v>
      </c>
      <c r="AA3057" s="4">
        <f>=ROUNDDOWN(16.85,0)</f>
      </c>
      <c r="AB3057" s="5">
        <v>40</v>
      </c>
      <c r="AC3057" s="2" t="s">
        <v>241</v>
      </c>
      <c r="AD3057" s="4">
        <v>16960</v>
      </c>
      <c r="AE3057" s="4">
        <v>17305</v>
      </c>
      <c r="AF3057" s="6">
        <v>65</v>
      </c>
      <c r="AG3057" s="6"/>
      <c r="AH3057" s="7">
        <v>0.6417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>
        <v>10</v>
      </c>
      <c r="AQ3057" s="8">
        <v>244.9</v>
      </c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>
        <v>0.7317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 t="s">
        <v>100</v>
      </c>
      <c r="BJ3057" s="4">
        <v>619</v>
      </c>
      <c r="BK3057" s="8">
        <v>14752.02</v>
      </c>
      <c r="BL3057" s="2" t="s">
        <v>9892</v>
      </c>
      <c r="BM3057" s="7">
        <v>0.0162</v>
      </c>
      <c r="BN3057" s="7">
        <v>0.0166</v>
      </c>
      <c r="BO3057" s="4">
        <v>10</v>
      </c>
      <c r="BP3057" s="8">
        <v>244.9</v>
      </c>
      <c r="BQ3057" s="4"/>
      <c r="BR3057" s="8"/>
      <c r="BS3057" s="7"/>
      <c r="BT3057" s="7"/>
      <c r="BU3057" s="2" t="s">
        <v>109</v>
      </c>
      <c r="BV3057" s="2" t="s">
        <v>110</v>
      </c>
      <c r="BW3057" s="2" t="s">
        <v>1863</v>
      </c>
      <c r="BX3057" s="2" t="s">
        <v>7982</v>
      </c>
      <c r="BY3057" s="2" t="s">
        <v>113</v>
      </c>
      <c r="BZ3057" s="2" t="s">
        <v>245</v>
      </c>
    </row>
    <row r="3058">
      <c r="A3058" s="2" t="s">
        <v>9893</v>
      </c>
      <c r="B3058" s="2" t="s">
        <v>9668</v>
      </c>
      <c r="C3058" s="2" t="s">
        <v>4861</v>
      </c>
      <c r="D3058" s="2" t="s">
        <v>9669</v>
      </c>
      <c r="E3058" s="2" t="s">
        <v>9670</v>
      </c>
      <c r="F3058" s="2" t="s">
        <v>9671</v>
      </c>
      <c r="G3058" s="2" t="s">
        <v>9671</v>
      </c>
      <c r="H3058" s="2" t="s">
        <v>9671</v>
      </c>
      <c r="I3058" s="2" t="s">
        <v>9672</v>
      </c>
      <c r="J3058" s="2" t="s">
        <v>714</v>
      </c>
      <c r="K3058" s="2" t="s">
        <v>9885</v>
      </c>
      <c r="L3058" s="3">
        <v>27.39</v>
      </c>
      <c r="M3058" s="3">
        <v>28.76</v>
      </c>
      <c r="N3058" s="3">
        <v>62.99</v>
      </c>
      <c r="O3058" s="2" t="s">
        <v>97</v>
      </c>
      <c r="P3058" s="2" t="s">
        <v>119</v>
      </c>
      <c r="Q3058" s="2" t="s">
        <v>99</v>
      </c>
      <c r="R3058" s="2" t="s">
        <v>100</v>
      </c>
      <c r="S3058" s="2" t="s">
        <v>9886</v>
      </c>
      <c r="T3058" s="2" t="s">
        <v>9675</v>
      </c>
      <c r="U3058" s="2" t="s">
        <v>402</v>
      </c>
      <c r="V3058" s="2" t="s">
        <v>3937</v>
      </c>
      <c r="W3058" s="2" t="s">
        <v>183</v>
      </c>
      <c r="X3058" s="2" t="s">
        <v>100</v>
      </c>
      <c r="Y3058" s="2" t="s">
        <v>2045</v>
      </c>
      <c r="Z3058" s="4">
        <v>241</v>
      </c>
      <c r="AA3058" s="4">
        <f>=ROUNDDOWN(14.1764705882353,0)</f>
      </c>
      <c r="AB3058" s="5">
        <v>17</v>
      </c>
      <c r="AC3058" s="2" t="s">
        <v>241</v>
      </c>
      <c r="AD3058" s="4">
        <v>3232</v>
      </c>
      <c r="AE3058" s="4">
        <v>3287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 t="s">
        <v>100</v>
      </c>
      <c r="BJ3058" s="4">
        <v>380</v>
      </c>
      <c r="BK3058" s="8">
        <v>11787.46</v>
      </c>
      <c r="BL3058" s="2" t="s">
        <v>9894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1863</v>
      </c>
      <c r="BX3058" s="2" t="s">
        <v>800</v>
      </c>
      <c r="BY3058" s="2" t="s">
        <v>113</v>
      </c>
      <c r="BZ3058" s="2" t="s">
        <v>245</v>
      </c>
    </row>
    <row r="3059">
      <c r="A3059" s="2" t="s">
        <v>9895</v>
      </c>
      <c r="B3059" s="2" t="s">
        <v>9668</v>
      </c>
      <c r="C3059" s="2" t="s">
        <v>4861</v>
      </c>
      <c r="D3059" s="2" t="s">
        <v>9669</v>
      </c>
      <c r="E3059" s="2" t="s">
        <v>9670</v>
      </c>
      <c r="F3059" s="2" t="s">
        <v>9671</v>
      </c>
      <c r="G3059" s="2" t="s">
        <v>9671</v>
      </c>
      <c r="H3059" s="2" t="s">
        <v>9671</v>
      </c>
      <c r="I3059" s="2" t="s">
        <v>9672</v>
      </c>
      <c r="J3059" s="2" t="s">
        <v>817</v>
      </c>
      <c r="K3059" s="2" t="s">
        <v>9885</v>
      </c>
      <c r="L3059" s="3">
        <v>27.39</v>
      </c>
      <c r="M3059" s="3">
        <v>28.76</v>
      </c>
      <c r="N3059" s="3">
        <v>62.99</v>
      </c>
      <c r="O3059" s="2" t="s">
        <v>97</v>
      </c>
      <c r="P3059" s="2" t="s">
        <v>119</v>
      </c>
      <c r="Q3059" s="2" t="s">
        <v>99</v>
      </c>
      <c r="R3059" s="2" t="s">
        <v>100</v>
      </c>
      <c r="S3059" s="2" t="s">
        <v>9886</v>
      </c>
      <c r="T3059" s="2" t="s">
        <v>9675</v>
      </c>
      <c r="U3059" s="2" t="s">
        <v>100</v>
      </c>
      <c r="V3059" s="2" t="s">
        <v>3937</v>
      </c>
      <c r="W3059" s="2" t="s">
        <v>183</v>
      </c>
      <c r="X3059" s="2" t="s">
        <v>100</v>
      </c>
      <c r="Y3059" s="2" t="s">
        <v>2045</v>
      </c>
      <c r="Z3059" s="4">
        <v>288</v>
      </c>
      <c r="AA3059" s="4">
        <f>=ROUNDDOWN(32,0)</f>
      </c>
      <c r="AB3059" s="5">
        <v>9</v>
      </c>
      <c r="AC3059" s="2" t="s">
        <v>241</v>
      </c>
      <c r="AD3059" s="4">
        <v>2208</v>
      </c>
      <c r="AE3059" s="4">
        <v>2222</v>
      </c>
      <c r="AF3059" s="6">
        <v>65</v>
      </c>
      <c r="AG3059" s="6"/>
      <c r="AH3059" s="7">
        <v>0.6898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>
        <v>3</v>
      </c>
      <c r="AQ3059" s="8">
        <v>89.82</v>
      </c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>
        <v>0.2683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 t="s">
        <v>100</v>
      </c>
      <c r="BJ3059" s="4">
        <v>117</v>
      </c>
      <c r="BK3059" s="8">
        <v>3442.46</v>
      </c>
      <c r="BL3059" s="2" t="s">
        <v>9896</v>
      </c>
      <c r="BM3059" s="7">
        <v>0.0256</v>
      </c>
      <c r="BN3059" s="7">
        <v>0.0261</v>
      </c>
      <c r="BO3059" s="4">
        <v>3</v>
      </c>
      <c r="BP3059" s="8">
        <v>89.82</v>
      </c>
      <c r="BQ3059" s="4"/>
      <c r="BR3059" s="8"/>
      <c r="BS3059" s="7"/>
      <c r="BT3059" s="7"/>
      <c r="BU3059" s="2" t="s">
        <v>109</v>
      </c>
      <c r="BV3059" s="2" t="s">
        <v>110</v>
      </c>
      <c r="BW3059" s="2" t="s">
        <v>1863</v>
      </c>
      <c r="BX3059" s="2" t="s">
        <v>9737</v>
      </c>
      <c r="BY3059" s="2" t="s">
        <v>113</v>
      </c>
      <c r="BZ3059" s="2" t="s">
        <v>100</v>
      </c>
    </row>
    <row r="3060">
      <c r="A3060" s="2" t="s">
        <v>9897</v>
      </c>
      <c r="B3060" s="2" t="s">
        <v>9668</v>
      </c>
      <c r="C3060" s="2" t="s">
        <v>4861</v>
      </c>
      <c r="D3060" s="2" t="s">
        <v>9669</v>
      </c>
      <c r="E3060" s="2" t="s">
        <v>9670</v>
      </c>
      <c r="F3060" s="2" t="s">
        <v>9671</v>
      </c>
      <c r="G3060" s="2" t="s">
        <v>9671</v>
      </c>
      <c r="H3060" s="2" t="s">
        <v>9671</v>
      </c>
      <c r="I3060" s="2" t="s">
        <v>9672</v>
      </c>
      <c r="J3060" s="2" t="s">
        <v>1936</v>
      </c>
      <c r="K3060" s="2" t="s">
        <v>9898</v>
      </c>
      <c r="L3060" s="3">
        <v>14.89</v>
      </c>
      <c r="M3060" s="3">
        <v>15.63</v>
      </c>
      <c r="N3060" s="3">
        <v>31.99</v>
      </c>
      <c r="O3060" s="2" t="s">
        <v>97</v>
      </c>
      <c r="P3060" s="2" t="s">
        <v>372</v>
      </c>
      <c r="Q3060" s="2" t="s">
        <v>99</v>
      </c>
      <c r="R3060" s="2" t="s">
        <v>100</v>
      </c>
      <c r="S3060" s="2" t="s">
        <v>9899</v>
      </c>
      <c r="T3060" s="2" t="s">
        <v>9675</v>
      </c>
      <c r="U3060" s="2" t="s">
        <v>480</v>
      </c>
      <c r="V3060" s="2" t="s">
        <v>2661</v>
      </c>
      <c r="W3060" s="2" t="s">
        <v>183</v>
      </c>
      <c r="X3060" s="2" t="s">
        <v>104</v>
      </c>
      <c r="Y3060" s="2" t="s">
        <v>5457</v>
      </c>
      <c r="Z3060" s="4">
        <v>387</v>
      </c>
      <c r="AA3060" s="4">
        <f>=ROUNDDOWN(5.52857142857143,0)</f>
      </c>
      <c r="AB3060" s="5">
        <v>70</v>
      </c>
      <c r="AC3060" s="2" t="s">
        <v>222</v>
      </c>
      <c r="AD3060" s="4">
        <v>850</v>
      </c>
      <c r="AE3060" s="4">
        <v>914</v>
      </c>
      <c r="AF3060" s="6">
        <v>65</v>
      </c>
      <c r="AG3060" s="6"/>
      <c r="AH3060" s="7">
        <v>0.4278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>
        <v>10</v>
      </c>
      <c r="AQ3060" s="8">
        <v>163.3</v>
      </c>
      <c r="AR3060" s="4"/>
      <c r="AS3060" s="8"/>
      <c r="AT3060" s="7"/>
      <c r="AU3060" s="7"/>
      <c r="AV3060" s="4">
        <v>17</v>
      </c>
      <c r="AW3060" s="8">
        <v>329.3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>
        <v>0.4959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0.0152</v>
      </c>
      <c r="BJ3060" s="4">
        <v>2045</v>
      </c>
      <c r="BK3060" s="8">
        <v>35069.87</v>
      </c>
      <c r="BL3060" s="2" t="s">
        <v>259</v>
      </c>
      <c r="BM3060" s="7">
        <v>0.0049</v>
      </c>
      <c r="BN3060" s="7">
        <v>0.0047</v>
      </c>
      <c r="BO3060" s="4">
        <v>10</v>
      </c>
      <c r="BP3060" s="8">
        <v>163.3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9900</v>
      </c>
      <c r="BX3060" s="2" t="s">
        <v>5375</v>
      </c>
      <c r="BY3060" s="2" t="s">
        <v>113</v>
      </c>
      <c r="BZ3060" s="2" t="s">
        <v>100</v>
      </c>
    </row>
    <row r="3061">
      <c r="A3061" s="2" t="s">
        <v>9901</v>
      </c>
      <c r="B3061" s="2" t="s">
        <v>9668</v>
      </c>
      <c r="C3061" s="2" t="s">
        <v>4861</v>
      </c>
      <c r="D3061" s="2" t="s">
        <v>9669</v>
      </c>
      <c r="E3061" s="2" t="s">
        <v>9670</v>
      </c>
      <c r="F3061" s="2" t="s">
        <v>9671</v>
      </c>
      <c r="G3061" s="2" t="s">
        <v>9671</v>
      </c>
      <c r="H3061" s="2" t="s">
        <v>9671</v>
      </c>
      <c r="I3061" s="2" t="s">
        <v>9672</v>
      </c>
      <c r="J3061" s="2" t="s">
        <v>717</v>
      </c>
      <c r="K3061" s="2" t="s">
        <v>9898</v>
      </c>
      <c r="L3061" s="3">
        <v>19.57</v>
      </c>
      <c r="M3061" s="3">
        <v>20.55</v>
      </c>
      <c r="N3061" s="3">
        <v>42.99</v>
      </c>
      <c r="O3061" s="2" t="s">
        <v>97</v>
      </c>
      <c r="P3061" s="2" t="s">
        <v>307</v>
      </c>
      <c r="Q3061" s="2" t="s">
        <v>99</v>
      </c>
      <c r="R3061" s="2" t="s">
        <v>100</v>
      </c>
      <c r="S3061" s="2" t="s">
        <v>9899</v>
      </c>
      <c r="T3061" s="2" t="s">
        <v>9675</v>
      </c>
      <c r="U3061" s="2" t="s">
        <v>402</v>
      </c>
      <c r="V3061" s="2" t="s">
        <v>2661</v>
      </c>
      <c r="W3061" s="2" t="s">
        <v>183</v>
      </c>
      <c r="X3061" s="2" t="s">
        <v>104</v>
      </c>
      <c r="Y3061" s="2" t="s">
        <v>5457</v>
      </c>
      <c r="Z3061" s="4">
        <v>971</v>
      </c>
      <c r="AA3061" s="4">
        <f>=ROUNDDOWN(15.4126984126984,0)</f>
      </c>
      <c r="AB3061" s="5">
        <v>63</v>
      </c>
      <c r="AC3061" s="2" t="s">
        <v>222</v>
      </c>
      <c r="AD3061" s="4">
        <v>801</v>
      </c>
      <c r="AE3061" s="4">
        <v>801</v>
      </c>
      <c r="AF3061" s="6">
        <v>65</v>
      </c>
      <c r="AG3061" s="6"/>
      <c r="AH3061" s="7">
        <v>0.4278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>
        <v>4</v>
      </c>
      <c r="AQ3061" s="8">
        <v>87.08</v>
      </c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>
        <v>0.2644</v>
      </c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 t="s">
        <v>100</v>
      </c>
      <c r="BJ3061" s="4">
        <v>1250</v>
      </c>
      <c r="BK3061" s="8">
        <v>28162.89</v>
      </c>
      <c r="BL3061" s="2" t="s">
        <v>1886</v>
      </c>
      <c r="BM3061" s="7">
        <v>0.0032</v>
      </c>
      <c r="BN3061" s="7">
        <v>0.0031</v>
      </c>
      <c r="BO3061" s="4">
        <v>4</v>
      </c>
      <c r="BP3061" s="8">
        <v>87.08</v>
      </c>
      <c r="BQ3061" s="4"/>
      <c r="BR3061" s="8"/>
      <c r="BS3061" s="7"/>
      <c r="BT3061" s="7"/>
      <c r="BU3061" s="2" t="s">
        <v>109</v>
      </c>
      <c r="BV3061" s="2" t="s">
        <v>110</v>
      </c>
      <c r="BW3061" s="2" t="s">
        <v>5525</v>
      </c>
      <c r="BX3061" s="2" t="s">
        <v>9902</v>
      </c>
      <c r="BY3061" s="2" t="s">
        <v>113</v>
      </c>
      <c r="BZ3061" s="2" t="s">
        <v>100</v>
      </c>
    </row>
    <row r="3062">
      <c r="A3062" s="2" t="s">
        <v>9903</v>
      </c>
      <c r="B3062" s="2" t="s">
        <v>9668</v>
      </c>
      <c r="C3062" s="2" t="s">
        <v>4861</v>
      </c>
      <c r="D3062" s="2" t="s">
        <v>9669</v>
      </c>
      <c r="E3062" s="2" t="s">
        <v>9670</v>
      </c>
      <c r="F3062" s="2" t="s">
        <v>9671</v>
      </c>
      <c r="G3062" s="2" t="s">
        <v>9671</v>
      </c>
      <c r="H3062" s="2" t="s">
        <v>9671</v>
      </c>
      <c r="I3062" s="2" t="s">
        <v>9672</v>
      </c>
      <c r="J3062" s="2" t="s">
        <v>706</v>
      </c>
      <c r="K3062" s="2" t="s">
        <v>9898</v>
      </c>
      <c r="L3062" s="3">
        <v>22.21</v>
      </c>
      <c r="M3062" s="3">
        <v>23.32</v>
      </c>
      <c r="N3062" s="3">
        <v>47.99</v>
      </c>
      <c r="O3062" s="2" t="s">
        <v>97</v>
      </c>
      <c r="P3062" s="2" t="s">
        <v>372</v>
      </c>
      <c r="Q3062" s="2" t="s">
        <v>99</v>
      </c>
      <c r="R3062" s="2" t="s">
        <v>100</v>
      </c>
      <c r="S3062" s="2" t="s">
        <v>9899</v>
      </c>
      <c r="T3062" s="2" t="s">
        <v>9675</v>
      </c>
      <c r="U3062" s="2" t="s">
        <v>402</v>
      </c>
      <c r="V3062" s="2" t="s">
        <v>2661</v>
      </c>
      <c r="W3062" s="2" t="s">
        <v>183</v>
      </c>
      <c r="X3062" s="2" t="s">
        <v>104</v>
      </c>
      <c r="Y3062" s="2" t="s">
        <v>5457</v>
      </c>
      <c r="Z3062" s="4">
        <v>995</v>
      </c>
      <c r="AA3062" s="4">
        <f>=ROUNDDOWN(16.864406779661,0)</f>
      </c>
      <c r="AB3062" s="5">
        <v>59</v>
      </c>
      <c r="AC3062" s="2" t="s">
        <v>768</v>
      </c>
      <c r="AD3062" s="4">
        <v>806</v>
      </c>
      <c r="AE3062" s="4">
        <v>806</v>
      </c>
      <c r="AF3062" s="6">
        <v>65</v>
      </c>
      <c r="AG3062" s="6"/>
      <c r="AH3062" s="7">
        <v>0.3904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>
        <v>2</v>
      </c>
      <c r="AQ3062" s="8">
        <v>48.98</v>
      </c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>
        <v>0.1487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 t="s">
        <v>100</v>
      </c>
      <c r="BJ3062" s="4">
        <v>1009</v>
      </c>
      <c r="BK3062" s="8">
        <v>25382.59</v>
      </c>
      <c r="BL3062" s="2" t="s">
        <v>749</v>
      </c>
      <c r="BM3062" s="7">
        <v>0.002</v>
      </c>
      <c r="BN3062" s="7">
        <v>0.0019</v>
      </c>
      <c r="BO3062" s="4">
        <v>2</v>
      </c>
      <c r="BP3062" s="8">
        <v>48.98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1029</v>
      </c>
      <c r="BX3062" s="2" t="s">
        <v>1543</v>
      </c>
      <c r="BY3062" s="2" t="s">
        <v>113</v>
      </c>
      <c r="BZ3062" s="2" t="s">
        <v>100</v>
      </c>
    </row>
    <row r="3063">
      <c r="A3063" s="2" t="s">
        <v>9904</v>
      </c>
      <c r="B3063" s="2" t="s">
        <v>9668</v>
      </c>
      <c r="C3063" s="2" t="s">
        <v>4861</v>
      </c>
      <c r="D3063" s="2" t="s">
        <v>9669</v>
      </c>
      <c r="E3063" s="2" t="s">
        <v>9670</v>
      </c>
      <c r="F3063" s="2" t="s">
        <v>9671</v>
      </c>
      <c r="G3063" s="2" t="s">
        <v>9671</v>
      </c>
      <c r="H3063" s="2" t="s">
        <v>9671</v>
      </c>
      <c r="I3063" s="2" t="s">
        <v>9672</v>
      </c>
      <c r="J3063" s="2" t="s">
        <v>714</v>
      </c>
      <c r="K3063" s="2" t="s">
        <v>9898</v>
      </c>
      <c r="L3063" s="3">
        <v>27.39</v>
      </c>
      <c r="M3063" s="3">
        <v>28.76</v>
      </c>
      <c r="N3063" s="3">
        <v>62.99</v>
      </c>
      <c r="O3063" s="2" t="s">
        <v>97</v>
      </c>
      <c r="P3063" s="2" t="s">
        <v>950</v>
      </c>
      <c r="Q3063" s="2" t="s">
        <v>99</v>
      </c>
      <c r="R3063" s="2" t="s">
        <v>100</v>
      </c>
      <c r="S3063" s="2" t="s">
        <v>9899</v>
      </c>
      <c r="T3063" s="2" t="s">
        <v>9675</v>
      </c>
      <c r="U3063" s="2" t="s">
        <v>402</v>
      </c>
      <c r="V3063" s="2" t="s">
        <v>2661</v>
      </c>
      <c r="W3063" s="2" t="s">
        <v>183</v>
      </c>
      <c r="X3063" s="2" t="s">
        <v>104</v>
      </c>
      <c r="Y3063" s="2" t="s">
        <v>5457</v>
      </c>
      <c r="Z3063" s="4">
        <v>756</v>
      </c>
      <c r="AA3063" s="4">
        <f>=ROUNDDOWN(32.8695652173913,0)</f>
      </c>
      <c r="AB3063" s="5">
        <v>23</v>
      </c>
      <c r="AC3063" s="2" t="s">
        <v>222</v>
      </c>
      <c r="AD3063" s="4">
        <v>333</v>
      </c>
      <c r="AE3063" s="4">
        <v>333</v>
      </c>
      <c r="AF3063" s="6">
        <v>65</v>
      </c>
      <c r="AG3063" s="6"/>
      <c r="AH3063" s="7">
        <v>0.385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>
        <v>1</v>
      </c>
      <c r="AQ3063" s="8">
        <v>29.94</v>
      </c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>
        <v>0.0909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 t="s">
        <v>100</v>
      </c>
      <c r="BJ3063" s="4">
        <v>171</v>
      </c>
      <c r="BK3063" s="8">
        <v>5183.37</v>
      </c>
      <c r="BL3063" s="2" t="s">
        <v>9905</v>
      </c>
      <c r="BM3063" s="7">
        <v>0.0058</v>
      </c>
      <c r="BN3063" s="7">
        <v>0.0058</v>
      </c>
      <c r="BO3063" s="4">
        <v>1</v>
      </c>
      <c r="BP3063" s="8">
        <v>29.94</v>
      </c>
      <c r="BQ3063" s="4"/>
      <c r="BR3063" s="8"/>
      <c r="BS3063" s="7"/>
      <c r="BT3063" s="7"/>
      <c r="BU3063" s="2" t="s">
        <v>109</v>
      </c>
      <c r="BV3063" s="2" t="s">
        <v>110</v>
      </c>
      <c r="BW3063" s="2" t="s">
        <v>9704</v>
      </c>
      <c r="BX3063" s="2" t="s">
        <v>2013</v>
      </c>
      <c r="BY3063" s="2" t="s">
        <v>113</v>
      </c>
      <c r="BZ3063" s="2" t="s">
        <v>100</v>
      </c>
    </row>
    <row r="3064">
      <c r="A3064" s="2" t="s">
        <v>9906</v>
      </c>
      <c r="B3064" s="2" t="s">
        <v>9668</v>
      </c>
      <c r="C3064" s="2" t="s">
        <v>4861</v>
      </c>
      <c r="D3064" s="2" t="s">
        <v>9669</v>
      </c>
      <c r="E3064" s="2" t="s">
        <v>9670</v>
      </c>
      <c r="F3064" s="2" t="s">
        <v>9671</v>
      </c>
      <c r="G3064" s="2" t="s">
        <v>9671</v>
      </c>
      <c r="H3064" s="2" t="s">
        <v>9671</v>
      </c>
      <c r="I3064" s="2" t="s">
        <v>9672</v>
      </c>
      <c r="J3064" s="2" t="s">
        <v>1936</v>
      </c>
      <c r="K3064" s="2" t="s">
        <v>9907</v>
      </c>
      <c r="L3064" s="3">
        <v>14.89</v>
      </c>
      <c r="M3064" s="3">
        <v>15.63</v>
      </c>
      <c r="N3064" s="3">
        <v>31.99</v>
      </c>
      <c r="O3064" s="2" t="s">
        <v>97</v>
      </c>
      <c r="P3064" s="2" t="s">
        <v>950</v>
      </c>
      <c r="Q3064" s="2" t="s">
        <v>99</v>
      </c>
      <c r="R3064" s="2" t="s">
        <v>100</v>
      </c>
      <c r="S3064" s="2" t="s">
        <v>9908</v>
      </c>
      <c r="T3064" s="2" t="s">
        <v>9675</v>
      </c>
      <c r="U3064" s="2" t="s">
        <v>100</v>
      </c>
      <c r="V3064" s="2" t="s">
        <v>3937</v>
      </c>
      <c r="W3064" s="2" t="s">
        <v>183</v>
      </c>
      <c r="X3064" s="2" t="s">
        <v>100</v>
      </c>
      <c r="Y3064" s="2" t="s">
        <v>2045</v>
      </c>
      <c r="Z3064" s="4">
        <v>1097</v>
      </c>
      <c r="AA3064" s="4">
        <f>=ROUNDDOWN(32.2647058823529,0)</f>
      </c>
      <c r="AB3064" s="5">
        <v>34</v>
      </c>
      <c r="AC3064" s="2" t="s">
        <v>356</v>
      </c>
      <c r="AD3064" s="4">
        <v>11712</v>
      </c>
      <c r="AE3064" s="4">
        <v>11745</v>
      </c>
      <c r="AF3064" s="6">
        <v>65</v>
      </c>
      <c r="AG3064" s="6"/>
      <c r="AH3064" s="7">
        <v>0.6952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>
        <v>15</v>
      </c>
      <c r="AW3064" s="8">
        <v>326.55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0.0151</v>
      </c>
      <c r="BJ3064" s="4">
        <v>490</v>
      </c>
      <c r="BK3064" s="8">
        <v>8341.19</v>
      </c>
      <c r="BL3064" s="2" t="s">
        <v>9894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1863</v>
      </c>
      <c r="BX3064" s="2" t="s">
        <v>4495</v>
      </c>
      <c r="BY3064" s="2" t="s">
        <v>113</v>
      </c>
      <c r="BZ3064" s="2" t="s">
        <v>245</v>
      </c>
    </row>
    <row r="3065">
      <c r="A3065" s="2" t="s">
        <v>9909</v>
      </c>
      <c r="B3065" s="2" t="s">
        <v>9668</v>
      </c>
      <c r="C3065" s="2" t="s">
        <v>4861</v>
      </c>
      <c r="D3065" s="2" t="s">
        <v>9669</v>
      </c>
      <c r="E3065" s="2" t="s">
        <v>9670</v>
      </c>
      <c r="F3065" s="2" t="s">
        <v>9671</v>
      </c>
      <c r="G3065" s="2" t="s">
        <v>9671</v>
      </c>
      <c r="H3065" s="2" t="s">
        <v>9671</v>
      </c>
      <c r="I3065" s="2" t="s">
        <v>9672</v>
      </c>
      <c r="J3065" s="2" t="s">
        <v>2072</v>
      </c>
      <c r="K3065" s="2" t="s">
        <v>9907</v>
      </c>
      <c r="L3065" s="3">
        <v>16.16</v>
      </c>
      <c r="M3065" s="3">
        <v>16.97</v>
      </c>
      <c r="N3065" s="3">
        <v>34.99</v>
      </c>
      <c r="O3065" s="2" t="s">
        <v>97</v>
      </c>
      <c r="P3065" s="2" t="s">
        <v>119</v>
      </c>
      <c r="Q3065" s="2" t="s">
        <v>99</v>
      </c>
      <c r="R3065" s="2" t="s">
        <v>100</v>
      </c>
      <c r="S3065" s="2" t="s">
        <v>9908</v>
      </c>
      <c r="T3065" s="2" t="s">
        <v>9675</v>
      </c>
      <c r="U3065" s="2" t="s">
        <v>100</v>
      </c>
      <c r="V3065" s="2" t="s">
        <v>3937</v>
      </c>
      <c r="W3065" s="2" t="s">
        <v>183</v>
      </c>
      <c r="X3065" s="2" t="s">
        <v>100</v>
      </c>
      <c r="Y3065" s="2" t="s">
        <v>2045</v>
      </c>
      <c r="Z3065" s="4">
        <v>375</v>
      </c>
      <c r="AA3065" s="4">
        <f>=ROUNDDOWN(37.5,0)</f>
      </c>
      <c r="AB3065" s="5">
        <v>10</v>
      </c>
      <c r="AC3065" s="2" t="s">
        <v>356</v>
      </c>
      <c r="AD3065" s="4">
        <v>5184</v>
      </c>
      <c r="AE3065" s="4">
        <v>5186</v>
      </c>
      <c r="AF3065" s="6">
        <v>65</v>
      </c>
      <c r="AG3065" s="6"/>
      <c r="AH3065" s="7">
        <v>0.6952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 t="s">
        <v>100</v>
      </c>
      <c r="BJ3065" s="4">
        <v>143</v>
      </c>
      <c r="BK3065" s="8">
        <v>2655.66</v>
      </c>
      <c r="BL3065" s="2" t="s">
        <v>9910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1863</v>
      </c>
      <c r="BX3065" s="2" t="s">
        <v>9737</v>
      </c>
      <c r="BY3065" s="2" t="s">
        <v>113</v>
      </c>
      <c r="BZ3065" s="2" t="s">
        <v>245</v>
      </c>
    </row>
    <row r="3066">
      <c r="A3066" s="2" t="s">
        <v>9911</v>
      </c>
      <c r="B3066" s="2" t="s">
        <v>9668</v>
      </c>
      <c r="C3066" s="2" t="s">
        <v>4861</v>
      </c>
      <c r="D3066" s="2" t="s">
        <v>9669</v>
      </c>
      <c r="E3066" s="2" t="s">
        <v>9670</v>
      </c>
      <c r="F3066" s="2" t="s">
        <v>9671</v>
      </c>
      <c r="G3066" s="2" t="s">
        <v>9671</v>
      </c>
      <c r="H3066" s="2" t="s">
        <v>9671</v>
      </c>
      <c r="I3066" s="2" t="s">
        <v>9672</v>
      </c>
      <c r="J3066" s="2" t="s">
        <v>717</v>
      </c>
      <c r="K3066" s="2" t="s">
        <v>9907</v>
      </c>
      <c r="L3066" s="3">
        <v>19.57</v>
      </c>
      <c r="M3066" s="3">
        <v>20.55</v>
      </c>
      <c r="N3066" s="3">
        <v>42.99</v>
      </c>
      <c r="O3066" s="2" t="s">
        <v>97</v>
      </c>
      <c r="P3066" s="2" t="s">
        <v>119</v>
      </c>
      <c r="Q3066" s="2" t="s">
        <v>99</v>
      </c>
      <c r="R3066" s="2" t="s">
        <v>100</v>
      </c>
      <c r="S3066" s="2" t="s">
        <v>9908</v>
      </c>
      <c r="T3066" s="2" t="s">
        <v>9675</v>
      </c>
      <c r="U3066" s="2" t="s">
        <v>100</v>
      </c>
      <c r="V3066" s="2" t="s">
        <v>3937</v>
      </c>
      <c r="W3066" s="2" t="s">
        <v>183</v>
      </c>
      <c r="X3066" s="2" t="s">
        <v>100</v>
      </c>
      <c r="Y3066" s="2" t="s">
        <v>2045</v>
      </c>
      <c r="Z3066" s="4">
        <v>396</v>
      </c>
      <c r="AA3066" s="4">
        <f>=ROUNDDOWN(19.8,0)</f>
      </c>
      <c r="AB3066" s="5">
        <v>20</v>
      </c>
      <c r="AC3066" s="2" t="s">
        <v>356</v>
      </c>
      <c r="AD3066" s="4">
        <v>7424</v>
      </c>
      <c r="AE3066" s="4">
        <v>7445</v>
      </c>
      <c r="AF3066" s="6">
        <v>65</v>
      </c>
      <c r="AG3066" s="6"/>
      <c r="AH3066" s="7">
        <v>0.6952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>
        <v>15</v>
      </c>
      <c r="AQ3066" s="8">
        <v>326.55</v>
      </c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 t="s">
        <v>100</v>
      </c>
      <c r="BJ3066" s="4">
        <v>490</v>
      </c>
      <c r="BK3066" s="8">
        <v>10350.1</v>
      </c>
      <c r="BL3066" s="2" t="s">
        <v>9912</v>
      </c>
      <c r="BM3066" s="7">
        <v>0.0306</v>
      </c>
      <c r="BN3066" s="7">
        <v>0.0316</v>
      </c>
      <c r="BO3066" s="4">
        <v>15</v>
      </c>
      <c r="BP3066" s="8">
        <v>326.55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1863</v>
      </c>
      <c r="BX3066" s="2" t="s">
        <v>4495</v>
      </c>
      <c r="BY3066" s="2" t="s">
        <v>113</v>
      </c>
      <c r="BZ3066" s="2" t="s">
        <v>100</v>
      </c>
    </row>
    <row r="3067">
      <c r="A3067" s="2" t="s">
        <v>9913</v>
      </c>
      <c r="B3067" s="2" t="s">
        <v>9668</v>
      </c>
      <c r="C3067" s="2" t="s">
        <v>4861</v>
      </c>
      <c r="D3067" s="2" t="s">
        <v>9669</v>
      </c>
      <c r="E3067" s="2" t="s">
        <v>9670</v>
      </c>
      <c r="F3067" s="2" t="s">
        <v>9671</v>
      </c>
      <c r="G3067" s="2" t="s">
        <v>9671</v>
      </c>
      <c r="H3067" s="2" t="s">
        <v>9671</v>
      </c>
      <c r="I3067" s="2" t="s">
        <v>9672</v>
      </c>
      <c r="J3067" s="2" t="s">
        <v>714</v>
      </c>
      <c r="K3067" s="2" t="s">
        <v>9907</v>
      </c>
      <c r="L3067" s="3">
        <v>27.39</v>
      </c>
      <c r="M3067" s="3">
        <v>28.76</v>
      </c>
      <c r="N3067" s="3">
        <v>62.99</v>
      </c>
      <c r="O3067" s="2" t="s">
        <v>97</v>
      </c>
      <c r="P3067" s="2" t="s">
        <v>119</v>
      </c>
      <c r="Q3067" s="2" t="s">
        <v>99</v>
      </c>
      <c r="R3067" s="2" t="s">
        <v>100</v>
      </c>
      <c r="S3067" s="2" t="s">
        <v>9908</v>
      </c>
      <c r="T3067" s="2" t="s">
        <v>9675</v>
      </c>
      <c r="U3067" s="2" t="s">
        <v>100</v>
      </c>
      <c r="V3067" s="2" t="s">
        <v>3937</v>
      </c>
      <c r="W3067" s="2" t="s">
        <v>183</v>
      </c>
      <c r="X3067" s="2" t="s">
        <v>100</v>
      </c>
      <c r="Y3067" s="2" t="s">
        <v>2045</v>
      </c>
      <c r="Z3067" s="4">
        <v>647</v>
      </c>
      <c r="AA3067" s="4">
        <f>=ROUNDDOWN(58.8181818181818,0)</f>
      </c>
      <c r="AB3067" s="5">
        <v>11</v>
      </c>
      <c r="AC3067" s="2" t="s">
        <v>356</v>
      </c>
      <c r="AD3067" s="4">
        <v>5632</v>
      </c>
      <c r="AE3067" s="4">
        <v>5644</v>
      </c>
      <c r="AF3067" s="6">
        <v>65</v>
      </c>
      <c r="AG3067" s="6"/>
      <c r="AH3067" s="7">
        <v>0.6898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 t="s">
        <v>100</v>
      </c>
      <c r="BJ3067" s="4">
        <v>92</v>
      </c>
      <c r="BK3067" s="8">
        <v>2840.27</v>
      </c>
      <c r="BL3067" s="2" t="s">
        <v>9914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1863</v>
      </c>
      <c r="BX3067" s="2" t="s">
        <v>9850</v>
      </c>
      <c r="BY3067" s="2" t="s">
        <v>113</v>
      </c>
      <c r="BZ3067" s="2" t="s">
        <v>245</v>
      </c>
    </row>
    <row r="3068">
      <c r="A3068" s="2" t="s">
        <v>9915</v>
      </c>
      <c r="B3068" s="2" t="s">
        <v>9668</v>
      </c>
      <c r="C3068" s="2" t="s">
        <v>4861</v>
      </c>
      <c r="D3068" s="2" t="s">
        <v>9669</v>
      </c>
      <c r="E3068" s="2" t="s">
        <v>9670</v>
      </c>
      <c r="F3068" s="2" t="s">
        <v>9671</v>
      </c>
      <c r="G3068" s="2" t="s">
        <v>9671</v>
      </c>
      <c r="H3068" s="2" t="s">
        <v>9671</v>
      </c>
      <c r="I3068" s="2" t="s">
        <v>9672</v>
      </c>
      <c r="J3068" s="2" t="s">
        <v>1936</v>
      </c>
      <c r="K3068" s="2" t="s">
        <v>9916</v>
      </c>
      <c r="L3068" s="3">
        <v>14.89</v>
      </c>
      <c r="M3068" s="3">
        <v>15.63</v>
      </c>
      <c r="N3068" s="3">
        <v>31.99</v>
      </c>
      <c r="O3068" s="2" t="s">
        <v>97</v>
      </c>
      <c r="P3068" s="2" t="s">
        <v>119</v>
      </c>
      <c r="Q3068" s="2" t="s">
        <v>99</v>
      </c>
      <c r="R3068" s="2" t="s">
        <v>100</v>
      </c>
      <c r="S3068" s="2" t="s">
        <v>9917</v>
      </c>
      <c r="T3068" s="2" t="s">
        <v>9675</v>
      </c>
      <c r="U3068" s="2" t="s">
        <v>100</v>
      </c>
      <c r="V3068" s="2" t="s">
        <v>3937</v>
      </c>
      <c r="W3068" s="2" t="s">
        <v>183</v>
      </c>
      <c r="X3068" s="2" t="s">
        <v>100</v>
      </c>
      <c r="Y3068" s="2" t="s">
        <v>2045</v>
      </c>
      <c r="Z3068" s="4">
        <v>595</v>
      </c>
      <c r="AA3068" s="4">
        <f>=ROUNDDOWN(12.1428571428571,0)</f>
      </c>
      <c r="AB3068" s="5">
        <v>49</v>
      </c>
      <c r="AC3068" s="2" t="s">
        <v>356</v>
      </c>
      <c r="AD3068" s="4">
        <v>15936</v>
      </c>
      <c r="AE3068" s="4">
        <v>16325</v>
      </c>
      <c r="AF3068" s="6">
        <v>65</v>
      </c>
      <c r="AG3068" s="6"/>
      <c r="AH3068" s="7">
        <v>0.5722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>
        <v>8</v>
      </c>
      <c r="AQ3068" s="8">
        <v>130.64</v>
      </c>
      <c r="AR3068" s="4"/>
      <c r="AS3068" s="8"/>
      <c r="AT3068" s="7"/>
      <c r="AU3068" s="7"/>
      <c r="AV3068" s="4">
        <v>16</v>
      </c>
      <c r="AW3068" s="8">
        <v>308.06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>
        <v>0.4241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0.0142</v>
      </c>
      <c r="BJ3068" s="4">
        <v>1537</v>
      </c>
      <c r="BK3068" s="8">
        <v>25491.85</v>
      </c>
      <c r="BL3068" s="2" t="s">
        <v>9757</v>
      </c>
      <c r="BM3068" s="7">
        <v>0.0052</v>
      </c>
      <c r="BN3068" s="7">
        <v>0.0051</v>
      </c>
      <c r="BO3068" s="4">
        <v>8</v>
      </c>
      <c r="BP3068" s="8">
        <v>130.64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1863</v>
      </c>
      <c r="BX3068" s="2" t="s">
        <v>3030</v>
      </c>
      <c r="BY3068" s="2" t="s">
        <v>113</v>
      </c>
      <c r="BZ3068" s="2" t="s">
        <v>100</v>
      </c>
    </row>
    <row r="3069">
      <c r="A3069" s="2" t="s">
        <v>9918</v>
      </c>
      <c r="B3069" s="2" t="s">
        <v>9668</v>
      </c>
      <c r="C3069" s="2" t="s">
        <v>4861</v>
      </c>
      <c r="D3069" s="2" t="s">
        <v>9669</v>
      </c>
      <c r="E3069" s="2" t="s">
        <v>9670</v>
      </c>
      <c r="F3069" s="2" t="s">
        <v>9671</v>
      </c>
      <c r="G3069" s="2" t="s">
        <v>9671</v>
      </c>
      <c r="H3069" s="2" t="s">
        <v>9671</v>
      </c>
      <c r="I3069" s="2" t="s">
        <v>9672</v>
      </c>
      <c r="J3069" s="2" t="s">
        <v>2072</v>
      </c>
      <c r="K3069" s="2" t="s">
        <v>9916</v>
      </c>
      <c r="L3069" s="3">
        <v>16.16</v>
      </c>
      <c r="M3069" s="3">
        <v>16.97</v>
      </c>
      <c r="N3069" s="3">
        <v>34.99</v>
      </c>
      <c r="O3069" s="2" t="s">
        <v>97</v>
      </c>
      <c r="P3069" s="2" t="s">
        <v>119</v>
      </c>
      <c r="Q3069" s="2" t="s">
        <v>99</v>
      </c>
      <c r="R3069" s="2" t="s">
        <v>100</v>
      </c>
      <c r="S3069" s="2" t="s">
        <v>9917</v>
      </c>
      <c r="T3069" s="2" t="s">
        <v>9675</v>
      </c>
      <c r="U3069" s="2" t="s">
        <v>100</v>
      </c>
      <c r="V3069" s="2" t="s">
        <v>3937</v>
      </c>
      <c r="W3069" s="2" t="s">
        <v>183</v>
      </c>
      <c r="X3069" s="2" t="s">
        <v>100</v>
      </c>
      <c r="Y3069" s="2" t="s">
        <v>2045</v>
      </c>
      <c r="Z3069" s="4">
        <v>820</v>
      </c>
      <c r="AA3069" s="4">
        <f>=ROUNDDOWN(31.5384615384615,0)</f>
      </c>
      <c r="AB3069" s="5">
        <v>26</v>
      </c>
      <c r="AC3069" s="2" t="s">
        <v>241</v>
      </c>
      <c r="AD3069" s="4">
        <v>32</v>
      </c>
      <c r="AE3069" s="4">
        <v>10118</v>
      </c>
      <c r="AF3069" s="6">
        <v>65</v>
      </c>
      <c r="AG3069" s="6"/>
      <c r="AH3069" s="7">
        <v>0.6524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>
        <v>2</v>
      </c>
      <c r="AQ3069" s="8">
        <v>35.92</v>
      </c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>
        <v>0.1166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 t="s">
        <v>100</v>
      </c>
      <c r="BJ3069" s="4">
        <v>462</v>
      </c>
      <c r="BK3069" s="8">
        <v>8466.61</v>
      </c>
      <c r="BL3069" s="2" t="s">
        <v>9919</v>
      </c>
      <c r="BM3069" s="7">
        <v>0.0043</v>
      </c>
      <c r="BN3069" s="7">
        <v>0.0042</v>
      </c>
      <c r="BO3069" s="4">
        <v>2</v>
      </c>
      <c r="BP3069" s="8">
        <v>35.92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1863</v>
      </c>
      <c r="BX3069" s="2" t="s">
        <v>9701</v>
      </c>
      <c r="BY3069" s="2" t="s">
        <v>113</v>
      </c>
      <c r="BZ3069" s="2" t="s">
        <v>100</v>
      </c>
    </row>
    <row r="3070">
      <c r="A3070" s="2" t="s">
        <v>9920</v>
      </c>
      <c r="B3070" s="2" t="s">
        <v>9668</v>
      </c>
      <c r="C3070" s="2" t="s">
        <v>4861</v>
      </c>
      <c r="D3070" s="2" t="s">
        <v>9669</v>
      </c>
      <c r="E3070" s="2" t="s">
        <v>9670</v>
      </c>
      <c r="F3070" s="2" t="s">
        <v>9671</v>
      </c>
      <c r="G3070" s="2" t="s">
        <v>9671</v>
      </c>
      <c r="H3070" s="2" t="s">
        <v>9671</v>
      </c>
      <c r="I3070" s="2" t="s">
        <v>9672</v>
      </c>
      <c r="J3070" s="2" t="s">
        <v>717</v>
      </c>
      <c r="K3070" s="2" t="s">
        <v>9916</v>
      </c>
      <c r="L3070" s="3">
        <v>19.57</v>
      </c>
      <c r="M3070" s="3">
        <v>20.55</v>
      </c>
      <c r="N3070" s="3">
        <v>42.99</v>
      </c>
      <c r="O3070" s="2" t="s">
        <v>97</v>
      </c>
      <c r="P3070" s="2" t="s">
        <v>119</v>
      </c>
      <c r="Q3070" s="2" t="s">
        <v>99</v>
      </c>
      <c r="R3070" s="2" t="s">
        <v>100</v>
      </c>
      <c r="S3070" s="2" t="s">
        <v>9917</v>
      </c>
      <c r="T3070" s="2" t="s">
        <v>9675</v>
      </c>
      <c r="U3070" s="2" t="s">
        <v>100</v>
      </c>
      <c r="V3070" s="2" t="s">
        <v>3937</v>
      </c>
      <c r="W3070" s="2" t="s">
        <v>183</v>
      </c>
      <c r="X3070" s="2" t="s">
        <v>100</v>
      </c>
      <c r="Y3070" s="2" t="s">
        <v>2045</v>
      </c>
      <c r="Z3070" s="4">
        <v>329</v>
      </c>
      <c r="AA3070" s="4">
        <f>=ROUNDDOWN(11.75,0)</f>
      </c>
      <c r="AB3070" s="5">
        <v>28</v>
      </c>
      <c r="AC3070" s="2" t="s">
        <v>356</v>
      </c>
      <c r="AD3070" s="4">
        <v>8288</v>
      </c>
      <c r="AE3070" s="4">
        <v>8444</v>
      </c>
      <c r="AF3070" s="6">
        <v>65</v>
      </c>
      <c r="AG3070" s="6"/>
      <c r="AH3070" s="7">
        <v>0.5348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>
        <v>2</v>
      </c>
      <c r="AQ3070" s="8">
        <v>43.54</v>
      </c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>
        <v>0.1413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749</v>
      </c>
      <c r="BK3070" s="8">
        <v>16767.99</v>
      </c>
      <c r="BL3070" s="2" t="s">
        <v>9716</v>
      </c>
      <c r="BM3070" s="7">
        <v>0.0027</v>
      </c>
      <c r="BN3070" s="7">
        <v>0.0026</v>
      </c>
      <c r="BO3070" s="4">
        <v>2</v>
      </c>
      <c r="BP3070" s="8">
        <v>43.54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137</v>
      </c>
      <c r="BX3070" s="2" t="s">
        <v>9724</v>
      </c>
      <c r="BY3070" s="2" t="s">
        <v>113</v>
      </c>
      <c r="BZ3070" s="2" t="s">
        <v>100</v>
      </c>
    </row>
    <row r="3071">
      <c r="A3071" s="2" t="s">
        <v>9921</v>
      </c>
      <c r="B3071" s="2" t="s">
        <v>9668</v>
      </c>
      <c r="C3071" s="2" t="s">
        <v>4861</v>
      </c>
      <c r="D3071" s="2" t="s">
        <v>9669</v>
      </c>
      <c r="E3071" s="2" t="s">
        <v>9670</v>
      </c>
      <c r="F3071" s="2" t="s">
        <v>9671</v>
      </c>
      <c r="G3071" s="2" t="s">
        <v>9671</v>
      </c>
      <c r="H3071" s="2" t="s">
        <v>9671</v>
      </c>
      <c r="I3071" s="2" t="s">
        <v>9672</v>
      </c>
      <c r="J3071" s="2" t="s">
        <v>706</v>
      </c>
      <c r="K3071" s="2" t="s">
        <v>9916</v>
      </c>
      <c r="L3071" s="3">
        <v>22.21</v>
      </c>
      <c r="M3071" s="3">
        <v>23.32</v>
      </c>
      <c r="N3071" s="3">
        <v>47.99</v>
      </c>
      <c r="O3071" s="2" t="s">
        <v>97</v>
      </c>
      <c r="P3071" s="2" t="s">
        <v>372</v>
      </c>
      <c r="Q3071" s="2" t="s">
        <v>99</v>
      </c>
      <c r="R3071" s="2" t="s">
        <v>100</v>
      </c>
      <c r="S3071" s="2" t="s">
        <v>9917</v>
      </c>
      <c r="T3071" s="2" t="s">
        <v>9675</v>
      </c>
      <c r="U3071" s="2" t="s">
        <v>100</v>
      </c>
      <c r="V3071" s="2" t="s">
        <v>3937</v>
      </c>
      <c r="W3071" s="2" t="s">
        <v>183</v>
      </c>
      <c r="X3071" s="2" t="s">
        <v>100</v>
      </c>
      <c r="Y3071" s="2" t="s">
        <v>2045</v>
      </c>
      <c r="Z3071" s="4">
        <v>472</v>
      </c>
      <c r="AA3071" s="4">
        <f>=ROUNDDOWN(9.83333333333333,0)</f>
      </c>
      <c r="AB3071" s="5">
        <v>48</v>
      </c>
      <c r="AC3071" s="2" t="s">
        <v>356</v>
      </c>
      <c r="AD3071" s="4">
        <v>14784</v>
      </c>
      <c r="AE3071" s="4">
        <v>15046</v>
      </c>
      <c r="AF3071" s="6">
        <v>65</v>
      </c>
      <c r="AG3071" s="6"/>
      <c r="AH3071" s="7">
        <v>0.5936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>
        <v>4</v>
      </c>
      <c r="AQ3071" s="8">
        <v>97.96</v>
      </c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>
        <v>0.318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 t="s">
        <v>100</v>
      </c>
      <c r="BJ3071" s="4">
        <v>1465</v>
      </c>
      <c r="BK3071" s="8">
        <v>36736.88</v>
      </c>
      <c r="BL3071" s="2" t="s">
        <v>9922</v>
      </c>
      <c r="BM3071" s="7">
        <v>0.0027</v>
      </c>
      <c r="BN3071" s="7">
        <v>0.0027</v>
      </c>
      <c r="BO3071" s="4">
        <v>4</v>
      </c>
      <c r="BP3071" s="8">
        <v>97.96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1863</v>
      </c>
      <c r="BX3071" s="2" t="s">
        <v>173</v>
      </c>
      <c r="BY3071" s="2" t="s">
        <v>113</v>
      </c>
      <c r="BZ3071" s="2" t="s">
        <v>100</v>
      </c>
    </row>
    <row r="3072">
      <c r="A3072" s="2" t="s">
        <v>9923</v>
      </c>
      <c r="B3072" s="2" t="s">
        <v>9668</v>
      </c>
      <c r="C3072" s="2" t="s">
        <v>4861</v>
      </c>
      <c r="D3072" s="2" t="s">
        <v>9669</v>
      </c>
      <c r="E3072" s="2" t="s">
        <v>9670</v>
      </c>
      <c r="F3072" s="2" t="s">
        <v>9671</v>
      </c>
      <c r="G3072" s="2" t="s">
        <v>9671</v>
      </c>
      <c r="H3072" s="2" t="s">
        <v>9671</v>
      </c>
      <c r="I3072" s="2" t="s">
        <v>9672</v>
      </c>
      <c r="J3072" s="2" t="s">
        <v>714</v>
      </c>
      <c r="K3072" s="2" t="s">
        <v>9916</v>
      </c>
      <c r="L3072" s="3">
        <v>27.39</v>
      </c>
      <c r="M3072" s="3">
        <v>28.76</v>
      </c>
      <c r="N3072" s="3">
        <v>62.99</v>
      </c>
      <c r="O3072" s="2" t="s">
        <v>97</v>
      </c>
      <c r="P3072" s="2" t="s">
        <v>119</v>
      </c>
      <c r="Q3072" s="2" t="s">
        <v>99</v>
      </c>
      <c r="R3072" s="2" t="s">
        <v>100</v>
      </c>
      <c r="S3072" s="2" t="s">
        <v>9917</v>
      </c>
      <c r="T3072" s="2" t="s">
        <v>9675</v>
      </c>
      <c r="U3072" s="2" t="s">
        <v>100</v>
      </c>
      <c r="V3072" s="2" t="s">
        <v>3937</v>
      </c>
      <c r="W3072" s="2" t="s">
        <v>183</v>
      </c>
      <c r="X3072" s="2" t="s">
        <v>100</v>
      </c>
      <c r="Y3072" s="2" t="s">
        <v>2045</v>
      </c>
      <c r="Z3072" s="4">
        <v>479</v>
      </c>
      <c r="AA3072" s="4">
        <f>=ROUNDDOWN(26.6111111111111,0)</f>
      </c>
      <c r="AB3072" s="5">
        <v>18</v>
      </c>
      <c r="AC3072" s="2" t="s">
        <v>356</v>
      </c>
      <c r="AD3072" s="4">
        <v>6688</v>
      </c>
      <c r="AE3072" s="4">
        <v>6786</v>
      </c>
      <c r="AF3072" s="6">
        <v>65</v>
      </c>
      <c r="AG3072" s="6"/>
      <c r="AH3072" s="7">
        <v>0.5401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>
        <v>284</v>
      </c>
      <c r="BK3072" s="8">
        <v>8668.96</v>
      </c>
      <c r="BL3072" s="2" t="s">
        <v>9924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1863</v>
      </c>
      <c r="BX3072" s="2" t="s">
        <v>9724</v>
      </c>
      <c r="BY3072" s="2" t="s">
        <v>113</v>
      </c>
      <c r="BZ3072" s="2" t="s">
        <v>100</v>
      </c>
    </row>
    <row r="3073">
      <c r="A3073" s="2" t="s">
        <v>9925</v>
      </c>
      <c r="B3073" s="2" t="s">
        <v>9668</v>
      </c>
      <c r="C3073" s="2" t="s">
        <v>4861</v>
      </c>
      <c r="D3073" s="2" t="s">
        <v>9669</v>
      </c>
      <c r="E3073" s="2" t="s">
        <v>9670</v>
      </c>
      <c r="F3073" s="2" t="s">
        <v>9671</v>
      </c>
      <c r="G3073" s="2" t="s">
        <v>9671</v>
      </c>
      <c r="H3073" s="2" t="s">
        <v>9671</v>
      </c>
      <c r="I3073" s="2" t="s">
        <v>9672</v>
      </c>
      <c r="J3073" s="2" t="s">
        <v>2072</v>
      </c>
      <c r="K3073" s="2" t="s">
        <v>2505</v>
      </c>
      <c r="L3073" s="3">
        <v>16.16</v>
      </c>
      <c r="M3073" s="3">
        <v>16.97</v>
      </c>
      <c r="N3073" s="3">
        <v>34.99</v>
      </c>
      <c r="O3073" s="2" t="s">
        <v>97</v>
      </c>
      <c r="P3073" s="2" t="s">
        <v>119</v>
      </c>
      <c r="Q3073" s="2" t="s">
        <v>99</v>
      </c>
      <c r="R3073" s="2" t="s">
        <v>100</v>
      </c>
      <c r="S3073" s="2" t="s">
        <v>9926</v>
      </c>
      <c r="T3073" s="2" t="s">
        <v>9675</v>
      </c>
      <c r="U3073" s="2" t="s">
        <v>480</v>
      </c>
      <c r="V3073" s="2" t="s">
        <v>2661</v>
      </c>
      <c r="W3073" s="2" t="s">
        <v>183</v>
      </c>
      <c r="X3073" s="2" t="s">
        <v>104</v>
      </c>
      <c r="Y3073" s="2" t="s">
        <v>9753</v>
      </c>
      <c r="Z3073" s="4">
        <v>542</v>
      </c>
      <c r="AA3073" s="4">
        <f>=ROUNDDOWN(22.5833333333333,0)</f>
      </c>
      <c r="AB3073" s="5">
        <v>24</v>
      </c>
      <c r="AC3073" s="2" t="s">
        <v>356</v>
      </c>
      <c r="AD3073" s="4">
        <v>10976</v>
      </c>
      <c r="AE3073" s="4">
        <v>11077</v>
      </c>
      <c r="AF3073" s="6">
        <v>65</v>
      </c>
      <c r="AG3073" s="6"/>
      <c r="AH3073" s="7">
        <v>0.5615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>
        <v>9</v>
      </c>
      <c r="AW3073" s="8">
        <v>234.04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0.0108</v>
      </c>
      <c r="BJ3073" s="4">
        <v>355</v>
      </c>
      <c r="BK3073" s="8">
        <v>6453.14</v>
      </c>
      <c r="BL3073" s="2" t="s">
        <v>9927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641</v>
      </c>
      <c r="BX3073" s="2" t="s">
        <v>9928</v>
      </c>
      <c r="BY3073" s="2" t="s">
        <v>113</v>
      </c>
      <c r="BZ3073" s="2" t="s">
        <v>100</v>
      </c>
    </row>
    <row r="3074">
      <c r="A3074" s="2" t="s">
        <v>9929</v>
      </c>
      <c r="B3074" s="2" t="s">
        <v>9668</v>
      </c>
      <c r="C3074" s="2" t="s">
        <v>4861</v>
      </c>
      <c r="D3074" s="2" t="s">
        <v>9669</v>
      </c>
      <c r="E3074" s="2" t="s">
        <v>9670</v>
      </c>
      <c r="F3074" s="2" t="s">
        <v>9671</v>
      </c>
      <c r="G3074" s="2" t="s">
        <v>9671</v>
      </c>
      <c r="H3074" s="2" t="s">
        <v>9671</v>
      </c>
      <c r="I3074" s="2" t="s">
        <v>9672</v>
      </c>
      <c r="J3074" s="2" t="s">
        <v>717</v>
      </c>
      <c r="K3074" s="2" t="s">
        <v>2505</v>
      </c>
      <c r="L3074" s="3">
        <v>19.57</v>
      </c>
      <c r="M3074" s="3">
        <v>20.55</v>
      </c>
      <c r="N3074" s="3">
        <v>42.99</v>
      </c>
      <c r="O3074" s="2" t="s">
        <v>97</v>
      </c>
      <c r="P3074" s="2" t="s">
        <v>950</v>
      </c>
      <c r="Q3074" s="2" t="s">
        <v>99</v>
      </c>
      <c r="R3074" s="2" t="s">
        <v>100</v>
      </c>
      <c r="S3074" s="2" t="s">
        <v>9926</v>
      </c>
      <c r="T3074" s="2" t="s">
        <v>9675</v>
      </c>
      <c r="U3074" s="2" t="s">
        <v>402</v>
      </c>
      <c r="V3074" s="2" t="s">
        <v>2661</v>
      </c>
      <c r="W3074" s="2" t="s">
        <v>183</v>
      </c>
      <c r="X3074" s="2" t="s">
        <v>104</v>
      </c>
      <c r="Y3074" s="2" t="s">
        <v>9753</v>
      </c>
      <c r="Z3074" s="4">
        <v>1097</v>
      </c>
      <c r="AA3074" s="4">
        <f>=ROUNDDOWN(29.6486486486486,0)</f>
      </c>
      <c r="AB3074" s="5">
        <v>37</v>
      </c>
      <c r="AC3074" s="2" t="s">
        <v>241</v>
      </c>
      <c r="AD3074" s="4">
        <v>96</v>
      </c>
      <c r="AE3074" s="4">
        <v>12118</v>
      </c>
      <c r="AF3074" s="6">
        <v>65</v>
      </c>
      <c r="AG3074" s="6"/>
      <c r="AH3074" s="7">
        <v>0.6952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>
        <v>1</v>
      </c>
      <c r="AQ3074" s="8">
        <v>21.77</v>
      </c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>
        <v>0.093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 t="s">
        <v>100</v>
      </c>
      <c r="BJ3074" s="4">
        <v>517</v>
      </c>
      <c r="BK3074" s="8">
        <v>11021.05</v>
      </c>
      <c r="BL3074" s="2" t="s">
        <v>9930</v>
      </c>
      <c r="BM3074" s="7">
        <v>0.0019</v>
      </c>
      <c r="BN3074" s="7">
        <v>0.002</v>
      </c>
      <c r="BO3074" s="4">
        <v>1</v>
      </c>
      <c r="BP3074" s="8">
        <v>21.77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9755</v>
      </c>
      <c r="BX3074" s="2" t="s">
        <v>9931</v>
      </c>
      <c r="BY3074" s="2" t="s">
        <v>113</v>
      </c>
      <c r="BZ3074" s="2" t="s">
        <v>100</v>
      </c>
    </row>
    <row r="3075">
      <c r="A3075" s="2" t="s">
        <v>9932</v>
      </c>
      <c r="B3075" s="2" t="s">
        <v>9668</v>
      </c>
      <c r="C3075" s="2" t="s">
        <v>4861</v>
      </c>
      <c r="D3075" s="2" t="s">
        <v>9669</v>
      </c>
      <c r="E3075" s="2" t="s">
        <v>9670</v>
      </c>
      <c r="F3075" s="2" t="s">
        <v>9671</v>
      </c>
      <c r="G3075" s="2" t="s">
        <v>9671</v>
      </c>
      <c r="H3075" s="2" t="s">
        <v>9671</v>
      </c>
      <c r="I3075" s="2" t="s">
        <v>9672</v>
      </c>
      <c r="J3075" s="2" t="s">
        <v>706</v>
      </c>
      <c r="K3075" s="2" t="s">
        <v>2505</v>
      </c>
      <c r="L3075" s="3">
        <v>22.21</v>
      </c>
      <c r="M3075" s="3">
        <v>23.32</v>
      </c>
      <c r="N3075" s="3">
        <v>47.99</v>
      </c>
      <c r="O3075" s="2" t="s">
        <v>97</v>
      </c>
      <c r="P3075" s="2" t="s">
        <v>950</v>
      </c>
      <c r="Q3075" s="2" t="s">
        <v>99</v>
      </c>
      <c r="R3075" s="2" t="s">
        <v>100</v>
      </c>
      <c r="S3075" s="2" t="s">
        <v>9926</v>
      </c>
      <c r="T3075" s="2" t="s">
        <v>9675</v>
      </c>
      <c r="U3075" s="2" t="s">
        <v>402</v>
      </c>
      <c r="V3075" s="2" t="s">
        <v>2661</v>
      </c>
      <c r="W3075" s="2" t="s">
        <v>183</v>
      </c>
      <c r="X3075" s="2" t="s">
        <v>104</v>
      </c>
      <c r="Y3075" s="2" t="s">
        <v>9753</v>
      </c>
      <c r="Z3075" s="4">
        <v>908</v>
      </c>
      <c r="AA3075" s="4">
        <f>=ROUNDDOWN(22.7,0)</f>
      </c>
      <c r="AB3075" s="5">
        <v>40</v>
      </c>
      <c r="AC3075" s="2" t="s">
        <v>241</v>
      </c>
      <c r="AD3075" s="4">
        <v>15040</v>
      </c>
      <c r="AE3075" s="4">
        <v>15079</v>
      </c>
      <c r="AF3075" s="6">
        <v>65</v>
      </c>
      <c r="AG3075" s="6"/>
      <c r="AH3075" s="7">
        <v>0.6952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>
        <v>5</v>
      </c>
      <c r="AQ3075" s="8">
        <v>122.45</v>
      </c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>
        <v>0.5232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 t="s">
        <v>100</v>
      </c>
      <c r="BJ3075" s="4">
        <v>335</v>
      </c>
      <c r="BK3075" s="8">
        <v>8003.41</v>
      </c>
      <c r="BL3075" s="2" t="s">
        <v>9933</v>
      </c>
      <c r="BM3075" s="7">
        <v>0.0149</v>
      </c>
      <c r="BN3075" s="7">
        <v>0.0153</v>
      </c>
      <c r="BO3075" s="4">
        <v>5</v>
      </c>
      <c r="BP3075" s="8">
        <v>122.45</v>
      </c>
      <c r="BQ3075" s="4"/>
      <c r="BR3075" s="8"/>
      <c r="BS3075" s="7"/>
      <c r="BT3075" s="7"/>
      <c r="BU3075" s="2" t="s">
        <v>109</v>
      </c>
      <c r="BV3075" s="2" t="s">
        <v>110</v>
      </c>
      <c r="BW3075" s="2" t="s">
        <v>9704</v>
      </c>
      <c r="BX3075" s="2" t="s">
        <v>9934</v>
      </c>
      <c r="BY3075" s="2" t="s">
        <v>113</v>
      </c>
      <c r="BZ3075" s="2" t="s">
        <v>100</v>
      </c>
    </row>
    <row r="3076">
      <c r="A3076" s="2" t="s">
        <v>9935</v>
      </c>
      <c r="B3076" s="2" t="s">
        <v>9668</v>
      </c>
      <c r="C3076" s="2" t="s">
        <v>4861</v>
      </c>
      <c r="D3076" s="2" t="s">
        <v>9669</v>
      </c>
      <c r="E3076" s="2" t="s">
        <v>9670</v>
      </c>
      <c r="F3076" s="2" t="s">
        <v>9671</v>
      </c>
      <c r="G3076" s="2" t="s">
        <v>9671</v>
      </c>
      <c r="H3076" s="2" t="s">
        <v>9671</v>
      </c>
      <c r="I3076" s="2" t="s">
        <v>9672</v>
      </c>
      <c r="J3076" s="2" t="s">
        <v>714</v>
      </c>
      <c r="K3076" s="2" t="s">
        <v>2505</v>
      </c>
      <c r="L3076" s="3">
        <v>27.39</v>
      </c>
      <c r="M3076" s="3">
        <v>28.76</v>
      </c>
      <c r="N3076" s="3">
        <v>62.99</v>
      </c>
      <c r="O3076" s="2" t="s">
        <v>97</v>
      </c>
      <c r="P3076" s="2" t="s">
        <v>119</v>
      </c>
      <c r="Q3076" s="2" t="s">
        <v>99</v>
      </c>
      <c r="R3076" s="2" t="s">
        <v>100</v>
      </c>
      <c r="S3076" s="2" t="s">
        <v>9926</v>
      </c>
      <c r="T3076" s="2" t="s">
        <v>9675</v>
      </c>
      <c r="U3076" s="2" t="s">
        <v>402</v>
      </c>
      <c r="V3076" s="2" t="s">
        <v>2661</v>
      </c>
      <c r="W3076" s="2" t="s">
        <v>183</v>
      </c>
      <c r="X3076" s="2" t="s">
        <v>104</v>
      </c>
      <c r="Y3076" s="2" t="s">
        <v>9753</v>
      </c>
      <c r="Z3076" s="4">
        <v>614</v>
      </c>
      <c r="AA3076" s="4">
        <f>=ROUNDDOWN(61.4,0)</f>
      </c>
      <c r="AB3076" s="5">
        <v>10</v>
      </c>
      <c r="AC3076" s="2" t="s">
        <v>356</v>
      </c>
      <c r="AD3076" s="4">
        <v>6880</v>
      </c>
      <c r="AE3076" s="4">
        <v>6887</v>
      </c>
      <c r="AF3076" s="6">
        <v>65</v>
      </c>
      <c r="AG3076" s="6"/>
      <c r="AH3076" s="7">
        <v>0.6898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>
        <v>3</v>
      </c>
      <c r="AQ3076" s="8">
        <v>89.82</v>
      </c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>
        <v>0.3838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 t="s">
        <v>100</v>
      </c>
      <c r="BJ3076" s="4">
        <v>92</v>
      </c>
      <c r="BK3076" s="8">
        <v>2702.21</v>
      </c>
      <c r="BL3076" s="2" t="s">
        <v>9936</v>
      </c>
      <c r="BM3076" s="7">
        <v>0.0326</v>
      </c>
      <c r="BN3076" s="7">
        <v>0.0332</v>
      </c>
      <c r="BO3076" s="4">
        <v>3</v>
      </c>
      <c r="BP3076" s="8">
        <v>89.82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9704</v>
      </c>
      <c r="BX3076" s="2" t="s">
        <v>9937</v>
      </c>
      <c r="BY3076" s="2" t="s">
        <v>113</v>
      </c>
      <c r="BZ3076" s="2" t="s">
        <v>100</v>
      </c>
    </row>
    <row r="3077">
      <c r="A3077" s="2" t="s">
        <v>9938</v>
      </c>
      <c r="B3077" s="2" t="s">
        <v>9668</v>
      </c>
      <c r="C3077" s="2" t="s">
        <v>4861</v>
      </c>
      <c r="D3077" s="2" t="s">
        <v>9669</v>
      </c>
      <c r="E3077" s="2" t="s">
        <v>9670</v>
      </c>
      <c r="F3077" s="2" t="s">
        <v>9671</v>
      </c>
      <c r="G3077" s="2" t="s">
        <v>9671</v>
      </c>
      <c r="H3077" s="2" t="s">
        <v>9671</v>
      </c>
      <c r="I3077" s="2" t="s">
        <v>9672</v>
      </c>
      <c r="J3077" s="2" t="s">
        <v>717</v>
      </c>
      <c r="K3077" s="2" t="s">
        <v>9939</v>
      </c>
      <c r="L3077" s="3">
        <v>19.57</v>
      </c>
      <c r="M3077" s="3">
        <v>20.55</v>
      </c>
      <c r="N3077" s="3">
        <v>42.99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9940</v>
      </c>
      <c r="T3077" s="2" t="s">
        <v>9675</v>
      </c>
      <c r="U3077" s="2" t="s">
        <v>402</v>
      </c>
      <c r="V3077" s="2" t="s">
        <v>5245</v>
      </c>
      <c r="W3077" s="2" t="s">
        <v>183</v>
      </c>
      <c r="X3077" s="2" t="s">
        <v>202</v>
      </c>
      <c r="Y3077" s="2" t="s">
        <v>9701</v>
      </c>
      <c r="Z3077" s="4">
        <v>888</v>
      </c>
      <c r="AA3077" s="4">
        <f>=ROUNDDOWN(30.6206896551724,0)</f>
      </c>
      <c r="AB3077" s="5">
        <v>29</v>
      </c>
      <c r="AC3077" s="2" t="s">
        <v>222</v>
      </c>
      <c r="AD3077" s="4">
        <v>513</v>
      </c>
      <c r="AE3077" s="4">
        <v>513</v>
      </c>
      <c r="AF3077" s="6">
        <v>65</v>
      </c>
      <c r="AG3077" s="6"/>
      <c r="AH3077" s="7">
        <v>0.5829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>
        <v>1</v>
      </c>
      <c r="AQ3077" s="8">
        <v>21.77</v>
      </c>
      <c r="AR3077" s="4"/>
      <c r="AS3077" s="8"/>
      <c r="AT3077" s="7"/>
      <c r="AU3077" s="7"/>
      <c r="AV3077" s="4">
        <v>4</v>
      </c>
      <c r="AW3077" s="8">
        <v>100.69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>
        <v>0.2162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0.0046</v>
      </c>
      <c r="BJ3077" s="4">
        <v>792</v>
      </c>
      <c r="BK3077" s="8">
        <v>16755.92</v>
      </c>
      <c r="BL3077" s="2" t="s">
        <v>259</v>
      </c>
      <c r="BM3077" s="7">
        <v>0.0013</v>
      </c>
      <c r="BN3077" s="7">
        <v>0.0013</v>
      </c>
      <c r="BO3077" s="4">
        <v>1</v>
      </c>
      <c r="BP3077" s="8">
        <v>21.77</v>
      </c>
      <c r="BQ3077" s="4"/>
      <c r="BR3077" s="8"/>
      <c r="BS3077" s="7"/>
      <c r="BT3077" s="7"/>
      <c r="BU3077" s="2" t="s">
        <v>109</v>
      </c>
      <c r="BV3077" s="2" t="s">
        <v>110</v>
      </c>
      <c r="BW3077" s="2" t="s">
        <v>9704</v>
      </c>
      <c r="BX3077" s="2" t="s">
        <v>1730</v>
      </c>
      <c r="BY3077" s="2" t="s">
        <v>113</v>
      </c>
      <c r="BZ3077" s="2" t="s">
        <v>100</v>
      </c>
    </row>
    <row r="3078">
      <c r="A3078" s="2" t="s">
        <v>9941</v>
      </c>
      <c r="B3078" s="2" t="s">
        <v>9668</v>
      </c>
      <c r="C3078" s="2" t="s">
        <v>4861</v>
      </c>
      <c r="D3078" s="2" t="s">
        <v>9669</v>
      </c>
      <c r="E3078" s="2" t="s">
        <v>9670</v>
      </c>
      <c r="F3078" s="2" t="s">
        <v>9671</v>
      </c>
      <c r="G3078" s="2" t="s">
        <v>9671</v>
      </c>
      <c r="H3078" s="2" t="s">
        <v>9671</v>
      </c>
      <c r="I3078" s="2" t="s">
        <v>9672</v>
      </c>
      <c r="J3078" s="2" t="s">
        <v>706</v>
      </c>
      <c r="K3078" s="2" t="s">
        <v>9939</v>
      </c>
      <c r="L3078" s="3">
        <v>22.21</v>
      </c>
      <c r="M3078" s="3">
        <v>23.32</v>
      </c>
      <c r="N3078" s="3">
        <v>47.99</v>
      </c>
      <c r="O3078" s="2" t="s">
        <v>97</v>
      </c>
      <c r="P3078" s="2" t="s">
        <v>372</v>
      </c>
      <c r="Q3078" s="2" t="s">
        <v>99</v>
      </c>
      <c r="R3078" s="2" t="s">
        <v>100</v>
      </c>
      <c r="S3078" s="2" t="s">
        <v>9940</v>
      </c>
      <c r="T3078" s="2" t="s">
        <v>9675</v>
      </c>
      <c r="U3078" s="2" t="s">
        <v>402</v>
      </c>
      <c r="V3078" s="2" t="s">
        <v>5245</v>
      </c>
      <c r="W3078" s="2" t="s">
        <v>183</v>
      </c>
      <c r="X3078" s="2" t="s">
        <v>202</v>
      </c>
      <c r="Y3078" s="2" t="s">
        <v>9701</v>
      </c>
      <c r="Z3078" s="4">
        <v>812</v>
      </c>
      <c r="AA3078" s="4">
        <f>=ROUNDDOWN(10.8266666666667,0)</f>
      </c>
      <c r="AB3078" s="5">
        <v>75</v>
      </c>
      <c r="AC3078" s="2" t="s">
        <v>768</v>
      </c>
      <c r="AD3078" s="4">
        <v>526</v>
      </c>
      <c r="AE3078" s="4">
        <v>1478</v>
      </c>
      <c r="AF3078" s="6">
        <v>65</v>
      </c>
      <c r="AG3078" s="6"/>
      <c r="AH3078" s="7">
        <v>0.4225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>
        <v>2</v>
      </c>
      <c r="AQ3078" s="8">
        <v>48.98</v>
      </c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>
        <v>0.4864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 t="s">
        <v>100</v>
      </c>
      <c r="BJ3078" s="4">
        <v>1985</v>
      </c>
      <c r="BK3078" s="8">
        <v>49339.96</v>
      </c>
      <c r="BL3078" s="2" t="s">
        <v>749</v>
      </c>
      <c r="BM3078" s="7">
        <v>0.001</v>
      </c>
      <c r="BN3078" s="7">
        <v>0.001</v>
      </c>
      <c r="BO3078" s="4">
        <v>2</v>
      </c>
      <c r="BP3078" s="8">
        <v>48.98</v>
      </c>
      <c r="BQ3078" s="4"/>
      <c r="BR3078" s="8"/>
      <c r="BS3078" s="7"/>
      <c r="BT3078" s="7"/>
      <c r="BU3078" s="2" t="s">
        <v>109</v>
      </c>
      <c r="BV3078" s="2" t="s">
        <v>110</v>
      </c>
      <c r="BW3078" s="2" t="s">
        <v>9704</v>
      </c>
      <c r="BX3078" s="2" t="s">
        <v>790</v>
      </c>
      <c r="BY3078" s="2" t="s">
        <v>113</v>
      </c>
      <c r="BZ3078" s="2" t="s">
        <v>100</v>
      </c>
    </row>
    <row r="3079">
      <c r="A3079" s="2" t="s">
        <v>9942</v>
      </c>
      <c r="B3079" s="2" t="s">
        <v>9668</v>
      </c>
      <c r="C3079" s="2" t="s">
        <v>4861</v>
      </c>
      <c r="D3079" s="2" t="s">
        <v>9669</v>
      </c>
      <c r="E3079" s="2" t="s">
        <v>9670</v>
      </c>
      <c r="F3079" s="2" t="s">
        <v>9671</v>
      </c>
      <c r="G3079" s="2" t="s">
        <v>9671</v>
      </c>
      <c r="H3079" s="2" t="s">
        <v>9671</v>
      </c>
      <c r="I3079" s="2" t="s">
        <v>9672</v>
      </c>
      <c r="J3079" s="2" t="s">
        <v>714</v>
      </c>
      <c r="K3079" s="2" t="s">
        <v>9939</v>
      </c>
      <c r="L3079" s="3">
        <v>27.39</v>
      </c>
      <c r="M3079" s="3">
        <v>28.76</v>
      </c>
      <c r="N3079" s="3">
        <v>62.99</v>
      </c>
      <c r="O3079" s="2" t="s">
        <v>97</v>
      </c>
      <c r="P3079" s="2" t="s">
        <v>119</v>
      </c>
      <c r="Q3079" s="2" t="s">
        <v>99</v>
      </c>
      <c r="R3079" s="2" t="s">
        <v>100</v>
      </c>
      <c r="S3079" s="2" t="s">
        <v>9940</v>
      </c>
      <c r="T3079" s="2" t="s">
        <v>9675</v>
      </c>
      <c r="U3079" s="2" t="s">
        <v>402</v>
      </c>
      <c r="V3079" s="2" t="s">
        <v>5245</v>
      </c>
      <c r="W3079" s="2" t="s">
        <v>183</v>
      </c>
      <c r="X3079" s="2" t="s">
        <v>202</v>
      </c>
      <c r="Y3079" s="2" t="s">
        <v>9701</v>
      </c>
      <c r="Z3079" s="4">
        <v>815</v>
      </c>
      <c r="AA3079" s="4">
        <f>=ROUNDDOWN(37.0454545454545,0)</f>
      </c>
      <c r="AB3079" s="5">
        <v>22</v>
      </c>
      <c r="AC3079" s="2" t="s">
        <v>222</v>
      </c>
      <c r="AD3079" s="4">
        <v>361</v>
      </c>
      <c r="AE3079" s="4">
        <v>361</v>
      </c>
      <c r="AF3079" s="6">
        <v>65</v>
      </c>
      <c r="AG3079" s="6"/>
      <c r="AH3079" s="7">
        <v>0.385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>
        <v>1</v>
      </c>
      <c r="AQ3079" s="8">
        <v>29.94</v>
      </c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>
        <v>0.2973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 t="s">
        <v>100</v>
      </c>
      <c r="BJ3079" s="4">
        <v>190</v>
      </c>
      <c r="BK3079" s="8">
        <v>5544.09</v>
      </c>
      <c r="BL3079" s="2" t="s">
        <v>9943</v>
      </c>
      <c r="BM3079" s="7">
        <v>0.0053</v>
      </c>
      <c r="BN3079" s="7">
        <v>0.0054</v>
      </c>
      <c r="BO3079" s="4">
        <v>1</v>
      </c>
      <c r="BP3079" s="8">
        <v>29.94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9704</v>
      </c>
      <c r="BX3079" s="2" t="s">
        <v>9807</v>
      </c>
      <c r="BY3079" s="2" t="s">
        <v>113</v>
      </c>
      <c r="BZ3079" s="2" t="s">
        <v>100</v>
      </c>
    </row>
    <row r="3080">
      <c r="A3080" s="2" t="s">
        <v>9944</v>
      </c>
      <c r="B3080" s="2" t="s">
        <v>9668</v>
      </c>
      <c r="C3080" s="2" t="s">
        <v>4861</v>
      </c>
      <c r="D3080" s="2" t="s">
        <v>9669</v>
      </c>
      <c r="E3080" s="2" t="s">
        <v>9670</v>
      </c>
      <c r="F3080" s="2" t="s">
        <v>9671</v>
      </c>
      <c r="G3080" s="2" t="s">
        <v>9671</v>
      </c>
      <c r="H3080" s="2" t="s">
        <v>9671</v>
      </c>
      <c r="I3080" s="2" t="s">
        <v>9672</v>
      </c>
      <c r="J3080" s="2" t="s">
        <v>1936</v>
      </c>
      <c r="K3080" s="2" t="s">
        <v>9945</v>
      </c>
      <c r="L3080" s="3">
        <v>14.89</v>
      </c>
      <c r="M3080" s="3">
        <v>15.63</v>
      </c>
      <c r="N3080" s="3">
        <v>31.99</v>
      </c>
      <c r="O3080" s="2" t="s">
        <v>97</v>
      </c>
      <c r="P3080" s="2" t="s">
        <v>119</v>
      </c>
      <c r="Q3080" s="2" t="s">
        <v>99</v>
      </c>
      <c r="R3080" s="2" t="s">
        <v>100</v>
      </c>
      <c r="S3080" s="2" t="s">
        <v>9946</v>
      </c>
      <c r="T3080" s="2" t="s">
        <v>9675</v>
      </c>
      <c r="U3080" s="2" t="s">
        <v>100</v>
      </c>
      <c r="V3080" s="2" t="s">
        <v>146</v>
      </c>
      <c r="W3080" s="2" t="s">
        <v>183</v>
      </c>
      <c r="X3080" s="2" t="s">
        <v>100</v>
      </c>
      <c r="Y3080" s="2" t="s">
        <v>240</v>
      </c>
      <c r="Z3080" s="4">
        <v>913</v>
      </c>
      <c r="AA3080" s="4">
        <f>=ROUNDDOWN(36.52,0)</f>
      </c>
      <c r="AB3080" s="5">
        <v>25</v>
      </c>
      <c r="AC3080" s="2" t="s">
        <v>1102</v>
      </c>
      <c r="AD3080" s="4">
        <v>7200</v>
      </c>
      <c r="AE3080" s="4">
        <v>7200</v>
      </c>
      <c r="AF3080" s="6">
        <v>65</v>
      </c>
      <c r="AG3080" s="6"/>
      <c r="AH3080" s="7">
        <v>0.6631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>
        <v>2</v>
      </c>
      <c r="AQ3080" s="8">
        <v>32.66</v>
      </c>
      <c r="AR3080" s="4"/>
      <c r="AS3080" s="8"/>
      <c r="AT3080" s="7"/>
      <c r="AU3080" s="7"/>
      <c r="AV3080" s="4">
        <v>3</v>
      </c>
      <c r="AW3080" s="8">
        <v>57.15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>
        <v>0.5715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>
        <v>0.0026</v>
      </c>
      <c r="BJ3080" s="4">
        <v>308</v>
      </c>
      <c r="BK3080" s="8">
        <v>4955.88</v>
      </c>
      <c r="BL3080" s="2" t="s">
        <v>9947</v>
      </c>
      <c r="BM3080" s="7">
        <v>0.0065</v>
      </c>
      <c r="BN3080" s="7">
        <v>0.0066</v>
      </c>
      <c r="BO3080" s="4">
        <v>2</v>
      </c>
      <c r="BP3080" s="8">
        <v>32.66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1863</v>
      </c>
      <c r="BX3080" s="2" t="s">
        <v>964</v>
      </c>
      <c r="BY3080" s="2" t="s">
        <v>113</v>
      </c>
      <c r="BZ3080" s="2" t="s">
        <v>100</v>
      </c>
    </row>
    <row r="3081">
      <c r="A3081" s="2" t="s">
        <v>9948</v>
      </c>
      <c r="B3081" s="2" t="s">
        <v>9668</v>
      </c>
      <c r="C3081" s="2" t="s">
        <v>4861</v>
      </c>
      <c r="D3081" s="2" t="s">
        <v>9669</v>
      </c>
      <c r="E3081" s="2" t="s">
        <v>9670</v>
      </c>
      <c r="F3081" s="2" t="s">
        <v>9671</v>
      </c>
      <c r="G3081" s="2" t="s">
        <v>9671</v>
      </c>
      <c r="H3081" s="2" t="s">
        <v>9671</v>
      </c>
      <c r="I3081" s="2" t="s">
        <v>9672</v>
      </c>
      <c r="J3081" s="2" t="s">
        <v>717</v>
      </c>
      <c r="K3081" s="2" t="s">
        <v>9945</v>
      </c>
      <c r="L3081" s="3">
        <v>19.57</v>
      </c>
      <c r="M3081" s="3">
        <v>20.55</v>
      </c>
      <c r="N3081" s="3">
        <v>42.99</v>
      </c>
      <c r="O3081" s="2" t="s">
        <v>97</v>
      </c>
      <c r="P3081" s="2" t="s">
        <v>119</v>
      </c>
      <c r="Q3081" s="2" t="s">
        <v>99</v>
      </c>
      <c r="R3081" s="2" t="s">
        <v>100</v>
      </c>
      <c r="S3081" s="2" t="s">
        <v>9946</v>
      </c>
      <c r="T3081" s="2" t="s">
        <v>9675</v>
      </c>
      <c r="U3081" s="2" t="s">
        <v>100</v>
      </c>
      <c r="V3081" s="2" t="s">
        <v>146</v>
      </c>
      <c r="W3081" s="2" t="s">
        <v>183</v>
      </c>
      <c r="X3081" s="2" t="s">
        <v>100</v>
      </c>
      <c r="Y3081" s="2" t="s">
        <v>240</v>
      </c>
      <c r="Z3081" s="4">
        <v>531</v>
      </c>
      <c r="AA3081" s="4">
        <f>=ROUNDDOWN(53.1,0)</f>
      </c>
      <c r="AB3081" s="5">
        <v>10</v>
      </c>
      <c r="AC3081" s="2" t="s">
        <v>1102</v>
      </c>
      <c r="AD3081" s="4">
        <v>3630</v>
      </c>
      <c r="AE3081" s="4">
        <v>3630</v>
      </c>
      <c r="AF3081" s="6">
        <v>65</v>
      </c>
      <c r="AG3081" s="6"/>
      <c r="AH3081" s="7">
        <v>0.6631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 t="s">
        <v>100</v>
      </c>
      <c r="BJ3081" s="4">
        <v>103</v>
      </c>
      <c r="BK3081" s="8">
        <v>2246</v>
      </c>
      <c r="BL3081" s="2" t="s">
        <v>1617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1863</v>
      </c>
      <c r="BX3081" s="2" t="s">
        <v>2247</v>
      </c>
      <c r="BY3081" s="2" t="s">
        <v>113</v>
      </c>
      <c r="BZ3081" s="2" t="s">
        <v>245</v>
      </c>
    </row>
    <row r="3082">
      <c r="A3082" s="2" t="s">
        <v>9949</v>
      </c>
      <c r="B3082" s="2" t="s">
        <v>9668</v>
      </c>
      <c r="C3082" s="2" t="s">
        <v>4861</v>
      </c>
      <c r="D3082" s="2" t="s">
        <v>9669</v>
      </c>
      <c r="E3082" s="2" t="s">
        <v>9670</v>
      </c>
      <c r="F3082" s="2" t="s">
        <v>9671</v>
      </c>
      <c r="G3082" s="2" t="s">
        <v>9671</v>
      </c>
      <c r="H3082" s="2" t="s">
        <v>9671</v>
      </c>
      <c r="I3082" s="2" t="s">
        <v>9672</v>
      </c>
      <c r="J3082" s="2" t="s">
        <v>706</v>
      </c>
      <c r="K3082" s="2" t="s">
        <v>9945</v>
      </c>
      <c r="L3082" s="3">
        <v>22.21</v>
      </c>
      <c r="M3082" s="3">
        <v>23.32</v>
      </c>
      <c r="N3082" s="3">
        <v>47.99</v>
      </c>
      <c r="O3082" s="2" t="s">
        <v>97</v>
      </c>
      <c r="P3082" s="2" t="s">
        <v>119</v>
      </c>
      <c r="Q3082" s="2" t="s">
        <v>99</v>
      </c>
      <c r="R3082" s="2" t="s">
        <v>100</v>
      </c>
      <c r="S3082" s="2" t="s">
        <v>9946</v>
      </c>
      <c r="T3082" s="2" t="s">
        <v>9675</v>
      </c>
      <c r="U3082" s="2" t="s">
        <v>100</v>
      </c>
      <c r="V3082" s="2" t="s">
        <v>146</v>
      </c>
      <c r="W3082" s="2" t="s">
        <v>183</v>
      </c>
      <c r="X3082" s="2" t="s">
        <v>100</v>
      </c>
      <c r="Y3082" s="2" t="s">
        <v>5079</v>
      </c>
      <c r="Z3082" s="4">
        <v>607</v>
      </c>
      <c r="AA3082" s="4">
        <f>=ROUNDDOWN(24.28,0)</f>
      </c>
      <c r="AB3082" s="5">
        <v>25</v>
      </c>
      <c r="AC3082" s="2" t="s">
        <v>1102</v>
      </c>
      <c r="AD3082" s="4">
        <v>6105</v>
      </c>
      <c r="AE3082" s="4">
        <v>6105</v>
      </c>
      <c r="AF3082" s="6">
        <v>65</v>
      </c>
      <c r="AG3082" s="6"/>
      <c r="AH3082" s="7">
        <v>0.6631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>
        <v>1</v>
      </c>
      <c r="AQ3082" s="8">
        <v>24.49</v>
      </c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>
        <v>0.4285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 t="s">
        <v>100</v>
      </c>
      <c r="BJ3082" s="4">
        <v>369</v>
      </c>
      <c r="BK3082" s="8">
        <v>8947.58</v>
      </c>
      <c r="BL3082" s="2" t="s">
        <v>9950</v>
      </c>
      <c r="BM3082" s="7">
        <v>0.0027</v>
      </c>
      <c r="BN3082" s="7">
        <v>0.0027</v>
      </c>
      <c r="BO3082" s="4">
        <v>1</v>
      </c>
      <c r="BP3082" s="8">
        <v>24.49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1863</v>
      </c>
      <c r="BX3082" s="2" t="s">
        <v>4495</v>
      </c>
      <c r="BY3082" s="2" t="s">
        <v>113</v>
      </c>
      <c r="BZ3082" s="2" t="s">
        <v>245</v>
      </c>
    </row>
    <row r="3083">
      <c r="A3083" s="2" t="s">
        <v>9951</v>
      </c>
      <c r="B3083" s="2" t="s">
        <v>9668</v>
      </c>
      <c r="C3083" s="2" t="s">
        <v>4861</v>
      </c>
      <c r="D3083" s="2" t="s">
        <v>9669</v>
      </c>
      <c r="E3083" s="2" t="s">
        <v>9670</v>
      </c>
      <c r="F3083" s="2" t="s">
        <v>9671</v>
      </c>
      <c r="G3083" s="2" t="s">
        <v>9671</v>
      </c>
      <c r="H3083" s="2" t="s">
        <v>9671</v>
      </c>
      <c r="I3083" s="2" t="s">
        <v>9672</v>
      </c>
      <c r="J3083" s="2" t="s">
        <v>714</v>
      </c>
      <c r="K3083" s="2" t="s">
        <v>9945</v>
      </c>
      <c r="L3083" s="3">
        <v>27.39</v>
      </c>
      <c r="M3083" s="3">
        <v>28.76</v>
      </c>
      <c r="N3083" s="3">
        <v>62.99</v>
      </c>
      <c r="O3083" s="2" t="s">
        <v>97</v>
      </c>
      <c r="P3083" s="2" t="s">
        <v>119</v>
      </c>
      <c r="Q3083" s="2" t="s">
        <v>99</v>
      </c>
      <c r="R3083" s="2" t="s">
        <v>100</v>
      </c>
      <c r="S3083" s="2" t="s">
        <v>9946</v>
      </c>
      <c r="T3083" s="2" t="s">
        <v>9675</v>
      </c>
      <c r="U3083" s="2" t="s">
        <v>100</v>
      </c>
      <c r="V3083" s="2" t="s">
        <v>146</v>
      </c>
      <c r="W3083" s="2" t="s">
        <v>183</v>
      </c>
      <c r="X3083" s="2" t="s">
        <v>100</v>
      </c>
      <c r="Y3083" s="2" t="s">
        <v>240</v>
      </c>
      <c r="Z3083" s="4">
        <v>479</v>
      </c>
      <c r="AA3083" s="4">
        <f>=ROUNDDOWN(47.9,0)</f>
      </c>
      <c r="AB3083" s="5">
        <v>10</v>
      </c>
      <c r="AC3083" s="2" t="s">
        <v>1102</v>
      </c>
      <c r="AD3083" s="4">
        <v>2730</v>
      </c>
      <c r="AE3083" s="4">
        <v>2730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 t="s">
        <v>100</v>
      </c>
      <c r="BJ3083" s="4">
        <v>68</v>
      </c>
      <c r="BK3083" s="8">
        <v>2067.09</v>
      </c>
      <c r="BL3083" s="2" t="s">
        <v>9952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1863</v>
      </c>
      <c r="BX3083" s="2" t="s">
        <v>800</v>
      </c>
      <c r="BY3083" s="2" t="s">
        <v>113</v>
      </c>
      <c r="BZ3083" s="2" t="s">
        <v>245</v>
      </c>
    </row>
    <row r="3084">
      <c r="A3084" s="2" t="s">
        <v>9953</v>
      </c>
      <c r="B3084" s="2" t="s">
        <v>9668</v>
      </c>
      <c r="C3084" s="2" t="s">
        <v>4861</v>
      </c>
      <c r="D3084" s="2" t="s">
        <v>9669</v>
      </c>
      <c r="E3084" s="2" t="s">
        <v>9670</v>
      </c>
      <c r="F3084" s="2" t="s">
        <v>9671</v>
      </c>
      <c r="G3084" s="2" t="s">
        <v>9671</v>
      </c>
      <c r="H3084" s="2" t="s">
        <v>9671</v>
      </c>
      <c r="I3084" s="2" t="s">
        <v>9672</v>
      </c>
      <c r="J3084" s="2" t="s">
        <v>817</v>
      </c>
      <c r="K3084" s="2" t="s">
        <v>9945</v>
      </c>
      <c r="L3084" s="3">
        <v>27.39</v>
      </c>
      <c r="M3084" s="3">
        <v>28.76</v>
      </c>
      <c r="N3084" s="3">
        <v>62.99</v>
      </c>
      <c r="O3084" s="2" t="s">
        <v>97</v>
      </c>
      <c r="P3084" s="2" t="s">
        <v>119</v>
      </c>
      <c r="Q3084" s="2" t="s">
        <v>99</v>
      </c>
      <c r="R3084" s="2" t="s">
        <v>100</v>
      </c>
      <c r="S3084" s="2" t="s">
        <v>9946</v>
      </c>
      <c r="T3084" s="2" t="s">
        <v>9675</v>
      </c>
      <c r="U3084" s="2" t="s">
        <v>100</v>
      </c>
      <c r="V3084" s="2" t="s">
        <v>146</v>
      </c>
      <c r="W3084" s="2" t="s">
        <v>183</v>
      </c>
      <c r="X3084" s="2" t="s">
        <v>100</v>
      </c>
      <c r="Y3084" s="2" t="s">
        <v>240</v>
      </c>
      <c r="Z3084" s="4">
        <v>233</v>
      </c>
      <c r="AA3084" s="4">
        <f>=ROUNDDOWN(38.8333333333333,0)</f>
      </c>
      <c r="AB3084" s="5">
        <v>6</v>
      </c>
      <c r="AC3084" s="2" t="s">
        <v>1102</v>
      </c>
      <c r="AD3084" s="4">
        <v>1680</v>
      </c>
      <c r="AE3084" s="4">
        <v>1680</v>
      </c>
      <c r="AF3084" s="6">
        <v>65</v>
      </c>
      <c r="AG3084" s="6"/>
      <c r="AH3084" s="7">
        <v>0.6631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 t="s">
        <v>100</v>
      </c>
      <c r="BJ3084" s="4">
        <v>45</v>
      </c>
      <c r="BK3084" s="8">
        <v>1309.99</v>
      </c>
      <c r="BL3084" s="2" t="s">
        <v>9838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1863</v>
      </c>
      <c r="BX3084" s="2" t="s">
        <v>1044</v>
      </c>
      <c r="BY3084" s="2" t="s">
        <v>113</v>
      </c>
      <c r="BZ3084" s="2" t="s">
        <v>100</v>
      </c>
    </row>
    <row r="3085">
      <c r="A3085" s="2" t="s">
        <v>9954</v>
      </c>
      <c r="B3085" s="2" t="s">
        <v>9668</v>
      </c>
      <c r="C3085" s="2" t="s">
        <v>4861</v>
      </c>
      <c r="D3085" s="2" t="s">
        <v>9669</v>
      </c>
      <c r="E3085" s="2" t="s">
        <v>9670</v>
      </c>
      <c r="F3085" s="2" t="s">
        <v>9671</v>
      </c>
      <c r="G3085" s="2" t="s">
        <v>9671</v>
      </c>
      <c r="H3085" s="2" t="s">
        <v>9671</v>
      </c>
      <c r="I3085" s="2" t="s">
        <v>9672</v>
      </c>
      <c r="J3085" s="2" t="s">
        <v>1936</v>
      </c>
      <c r="K3085" s="2" t="s">
        <v>9955</v>
      </c>
      <c r="L3085" s="3">
        <v>14.89</v>
      </c>
      <c r="M3085" s="3">
        <v>15.63</v>
      </c>
      <c r="N3085" s="3">
        <v>36.99</v>
      </c>
      <c r="O3085" s="2" t="s">
        <v>97</v>
      </c>
      <c r="P3085" s="2" t="s">
        <v>225</v>
      </c>
      <c r="Q3085" s="2" t="s">
        <v>99</v>
      </c>
      <c r="R3085" s="2" t="s">
        <v>100</v>
      </c>
      <c r="S3085" s="2" t="s">
        <v>9956</v>
      </c>
      <c r="T3085" s="2" t="s">
        <v>9675</v>
      </c>
      <c r="U3085" s="2" t="s">
        <v>480</v>
      </c>
      <c r="V3085" s="2" t="s">
        <v>9957</v>
      </c>
      <c r="W3085" s="2" t="s">
        <v>183</v>
      </c>
      <c r="X3085" s="2" t="s">
        <v>202</v>
      </c>
      <c r="Y3085" s="2" t="s">
        <v>3643</v>
      </c>
      <c r="Z3085" s="4">
        <v>1</v>
      </c>
      <c r="AA3085" s="4">
        <f>=ROUNDDOWN(0.0188679245283019,0)</f>
      </c>
      <c r="AB3085" s="5">
        <v>53</v>
      </c>
      <c r="AC3085" s="2" t="s">
        <v>266</v>
      </c>
      <c r="AD3085" s="4">
        <v>767</v>
      </c>
      <c r="AE3085" s="4">
        <v>1300</v>
      </c>
      <c r="AF3085" s="6">
        <v>69</v>
      </c>
      <c r="AG3085" s="6"/>
      <c r="AH3085" s="7">
        <v>0.1042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 t="s">
        <v>100</v>
      </c>
      <c r="BJ3085" s="4"/>
      <c r="BK3085" s="8"/>
      <c r="BL3085" s="2" t="s">
        <v>100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207</v>
      </c>
      <c r="BV3085" s="2" t="s">
        <v>97</v>
      </c>
      <c r="BW3085" s="2" t="s">
        <v>100</v>
      </c>
      <c r="BX3085" s="2" t="s">
        <v>100</v>
      </c>
      <c r="BY3085" s="2" t="s">
        <v>113</v>
      </c>
      <c r="BZ3085" s="2" t="s">
        <v>100</v>
      </c>
    </row>
    <row r="3086">
      <c r="A3086" s="2" t="s">
        <v>9958</v>
      </c>
      <c r="B3086" s="2" t="s">
        <v>9668</v>
      </c>
      <c r="C3086" s="2" t="s">
        <v>4861</v>
      </c>
      <c r="D3086" s="2" t="s">
        <v>9669</v>
      </c>
      <c r="E3086" s="2" t="s">
        <v>9670</v>
      </c>
      <c r="F3086" s="2" t="s">
        <v>9671</v>
      </c>
      <c r="G3086" s="2" t="s">
        <v>9671</v>
      </c>
      <c r="H3086" s="2" t="s">
        <v>9671</v>
      </c>
      <c r="I3086" s="2" t="s">
        <v>9672</v>
      </c>
      <c r="J3086" s="2" t="s">
        <v>2072</v>
      </c>
      <c r="K3086" s="2" t="s">
        <v>9955</v>
      </c>
      <c r="L3086" s="3">
        <v>16.16</v>
      </c>
      <c r="M3086" s="3">
        <v>16.97</v>
      </c>
      <c r="N3086" s="3">
        <v>39.99</v>
      </c>
      <c r="O3086" s="2" t="s">
        <v>97</v>
      </c>
      <c r="P3086" s="2" t="s">
        <v>225</v>
      </c>
      <c r="Q3086" s="2" t="s">
        <v>99</v>
      </c>
      <c r="R3086" s="2" t="s">
        <v>100</v>
      </c>
      <c r="S3086" s="2" t="s">
        <v>9956</v>
      </c>
      <c r="T3086" s="2" t="s">
        <v>9675</v>
      </c>
      <c r="U3086" s="2" t="s">
        <v>480</v>
      </c>
      <c r="V3086" s="2" t="s">
        <v>9957</v>
      </c>
      <c r="W3086" s="2" t="s">
        <v>183</v>
      </c>
      <c r="X3086" s="2" t="s">
        <v>202</v>
      </c>
      <c r="Y3086" s="2" t="s">
        <v>3643</v>
      </c>
      <c r="Z3086" s="4">
        <v>1</v>
      </c>
      <c r="AA3086" s="4">
        <f>=ROUNDDOWN(0.0222222222222222,0)</f>
      </c>
      <c r="AB3086" s="5">
        <v>45</v>
      </c>
      <c r="AC3086" s="2" t="s">
        <v>266</v>
      </c>
      <c r="AD3086" s="4">
        <v>752</v>
      </c>
      <c r="AE3086" s="4">
        <v>1257</v>
      </c>
      <c r="AF3086" s="6">
        <v>69</v>
      </c>
      <c r="AG3086" s="6"/>
      <c r="AH3086" s="7">
        <v>0.1042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 t="s">
        <v>100</v>
      </c>
      <c r="BJ3086" s="4"/>
      <c r="BK3086" s="8"/>
      <c r="BL3086" s="2" t="s">
        <v>100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207</v>
      </c>
      <c r="BV3086" s="2" t="s">
        <v>97</v>
      </c>
      <c r="BW3086" s="2" t="s">
        <v>100</v>
      </c>
      <c r="BX3086" s="2" t="s">
        <v>100</v>
      </c>
      <c r="BY3086" s="2" t="s">
        <v>113</v>
      </c>
      <c r="BZ3086" s="2" t="s">
        <v>100</v>
      </c>
    </row>
    <row r="3087">
      <c r="A3087" s="2" t="s">
        <v>9959</v>
      </c>
      <c r="B3087" s="2" t="s">
        <v>9668</v>
      </c>
      <c r="C3087" s="2" t="s">
        <v>4861</v>
      </c>
      <c r="D3087" s="2" t="s">
        <v>9669</v>
      </c>
      <c r="E3087" s="2" t="s">
        <v>9670</v>
      </c>
      <c r="F3087" s="2" t="s">
        <v>9671</v>
      </c>
      <c r="G3087" s="2" t="s">
        <v>9671</v>
      </c>
      <c r="H3087" s="2" t="s">
        <v>9671</v>
      </c>
      <c r="I3087" s="2" t="s">
        <v>9672</v>
      </c>
      <c r="J3087" s="2" t="s">
        <v>717</v>
      </c>
      <c r="K3087" s="2" t="s">
        <v>9955</v>
      </c>
      <c r="L3087" s="3">
        <v>19.57</v>
      </c>
      <c r="M3087" s="3">
        <v>20.55</v>
      </c>
      <c r="N3087" s="3">
        <v>47.99</v>
      </c>
      <c r="O3087" s="2" t="s">
        <v>97</v>
      </c>
      <c r="P3087" s="2" t="s">
        <v>225</v>
      </c>
      <c r="Q3087" s="2" t="s">
        <v>99</v>
      </c>
      <c r="R3087" s="2" t="s">
        <v>100</v>
      </c>
      <c r="S3087" s="2" t="s">
        <v>9956</v>
      </c>
      <c r="T3087" s="2" t="s">
        <v>9675</v>
      </c>
      <c r="U3087" s="2" t="s">
        <v>402</v>
      </c>
      <c r="V3087" s="2" t="s">
        <v>9957</v>
      </c>
      <c r="W3087" s="2" t="s">
        <v>183</v>
      </c>
      <c r="X3087" s="2" t="s">
        <v>202</v>
      </c>
      <c r="Y3087" s="2" t="s">
        <v>3643</v>
      </c>
      <c r="Z3087" s="4"/>
      <c r="AA3087" s="4">
        <f>=ROUNDDOWN({0},0)</f>
      </c>
      <c r="AB3087" s="5">
        <v>44</v>
      </c>
      <c r="AC3087" s="2" t="s">
        <v>266</v>
      </c>
      <c r="AD3087" s="4">
        <v>637</v>
      </c>
      <c r="AE3087" s="4">
        <v>1070</v>
      </c>
      <c r="AF3087" s="6">
        <v>69</v>
      </c>
      <c r="AG3087" s="6"/>
      <c r="AH3087" s="7">
        <v>0.7083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 t="s">
        <v>100</v>
      </c>
      <c r="BJ3087" s="4">
        <v>174</v>
      </c>
      <c r="BK3087" s="8">
        <v>3885.16</v>
      </c>
      <c r="BL3087" s="2" t="s">
        <v>9960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207</v>
      </c>
      <c r="BV3087" s="2" t="s">
        <v>97</v>
      </c>
      <c r="BW3087" s="2" t="s">
        <v>100</v>
      </c>
      <c r="BX3087" s="2" t="s">
        <v>100</v>
      </c>
      <c r="BY3087" s="2" t="s">
        <v>113</v>
      </c>
      <c r="BZ3087" s="2" t="s">
        <v>100</v>
      </c>
    </row>
    <row r="3088">
      <c r="A3088" s="2" t="s">
        <v>9961</v>
      </c>
      <c r="B3088" s="2" t="s">
        <v>9668</v>
      </c>
      <c r="C3088" s="2" t="s">
        <v>4861</v>
      </c>
      <c r="D3088" s="2" t="s">
        <v>9669</v>
      </c>
      <c r="E3088" s="2" t="s">
        <v>9670</v>
      </c>
      <c r="F3088" s="2" t="s">
        <v>9671</v>
      </c>
      <c r="G3088" s="2" t="s">
        <v>9671</v>
      </c>
      <c r="H3088" s="2" t="s">
        <v>9671</v>
      </c>
      <c r="I3088" s="2" t="s">
        <v>9672</v>
      </c>
      <c r="J3088" s="2" t="s">
        <v>706</v>
      </c>
      <c r="K3088" s="2" t="s">
        <v>9955</v>
      </c>
      <c r="L3088" s="3">
        <v>22.21</v>
      </c>
      <c r="M3088" s="3">
        <v>23.32</v>
      </c>
      <c r="N3088" s="3">
        <v>52.99</v>
      </c>
      <c r="O3088" s="2" t="s">
        <v>97</v>
      </c>
      <c r="P3088" s="2" t="s">
        <v>225</v>
      </c>
      <c r="Q3088" s="2" t="s">
        <v>99</v>
      </c>
      <c r="R3088" s="2" t="s">
        <v>100</v>
      </c>
      <c r="S3088" s="2" t="s">
        <v>9956</v>
      </c>
      <c r="T3088" s="2" t="s">
        <v>9675</v>
      </c>
      <c r="U3088" s="2" t="s">
        <v>402</v>
      </c>
      <c r="V3088" s="2" t="s">
        <v>9957</v>
      </c>
      <c r="W3088" s="2" t="s">
        <v>183</v>
      </c>
      <c r="X3088" s="2" t="s">
        <v>202</v>
      </c>
      <c r="Y3088" s="2" t="s">
        <v>1229</v>
      </c>
      <c r="Z3088" s="4"/>
      <c r="AA3088" s="4">
        <f>=ROUNDDOWN({0},0)</f>
      </c>
      <c r="AB3088" s="5">
        <v>61</v>
      </c>
      <c r="AC3088" s="2" t="s">
        <v>266</v>
      </c>
      <c r="AD3088" s="4">
        <v>884</v>
      </c>
      <c r="AE3088" s="4">
        <v>1532</v>
      </c>
      <c r="AF3088" s="6">
        <v>69</v>
      </c>
      <c r="AG3088" s="6"/>
      <c r="AH3088" s="7">
        <v>0.58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 t="s">
        <v>100</v>
      </c>
      <c r="BJ3088" s="4">
        <v>111</v>
      </c>
      <c r="BK3088" s="8">
        <v>2751.36</v>
      </c>
      <c r="BL3088" s="2" t="s">
        <v>9962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207</v>
      </c>
      <c r="BV3088" s="2" t="s">
        <v>97</v>
      </c>
      <c r="BW3088" s="2" t="s">
        <v>100</v>
      </c>
      <c r="BX3088" s="2" t="s">
        <v>100</v>
      </c>
      <c r="BY3088" s="2" t="s">
        <v>113</v>
      </c>
      <c r="BZ3088" s="2" t="s">
        <v>100</v>
      </c>
    </row>
    <row r="3089">
      <c r="A3089" s="2" t="s">
        <v>9963</v>
      </c>
      <c r="B3089" s="2" t="s">
        <v>9668</v>
      </c>
      <c r="C3089" s="2" t="s">
        <v>4861</v>
      </c>
      <c r="D3089" s="2" t="s">
        <v>9669</v>
      </c>
      <c r="E3089" s="2" t="s">
        <v>9670</v>
      </c>
      <c r="F3089" s="2" t="s">
        <v>9671</v>
      </c>
      <c r="G3089" s="2" t="s">
        <v>9671</v>
      </c>
      <c r="H3089" s="2" t="s">
        <v>9671</v>
      </c>
      <c r="I3089" s="2" t="s">
        <v>9672</v>
      </c>
      <c r="J3089" s="2" t="s">
        <v>714</v>
      </c>
      <c r="K3089" s="2" t="s">
        <v>9955</v>
      </c>
      <c r="L3089" s="3">
        <v>27.39</v>
      </c>
      <c r="M3089" s="3">
        <v>28.76</v>
      </c>
      <c r="N3089" s="3">
        <v>67.99</v>
      </c>
      <c r="O3089" s="2" t="s">
        <v>97</v>
      </c>
      <c r="P3089" s="2" t="s">
        <v>225</v>
      </c>
      <c r="Q3089" s="2" t="s">
        <v>99</v>
      </c>
      <c r="R3089" s="2" t="s">
        <v>100</v>
      </c>
      <c r="S3089" s="2" t="s">
        <v>9956</v>
      </c>
      <c r="T3089" s="2" t="s">
        <v>9675</v>
      </c>
      <c r="U3089" s="2" t="s">
        <v>402</v>
      </c>
      <c r="V3089" s="2" t="s">
        <v>9957</v>
      </c>
      <c r="W3089" s="2" t="s">
        <v>183</v>
      </c>
      <c r="X3089" s="2" t="s">
        <v>202</v>
      </c>
      <c r="Y3089" s="2" t="s">
        <v>3643</v>
      </c>
      <c r="Z3089" s="4">
        <v>4</v>
      </c>
      <c r="AA3089" s="4">
        <f>=ROUNDDOWN(0.121212121212121,0)</f>
      </c>
      <c r="AB3089" s="5">
        <v>33</v>
      </c>
      <c r="AC3089" s="2" t="s">
        <v>266</v>
      </c>
      <c r="AD3089" s="4">
        <v>482</v>
      </c>
      <c r="AE3089" s="4">
        <v>812</v>
      </c>
      <c r="AF3089" s="6">
        <v>69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 t="s">
        <v>100</v>
      </c>
      <c r="BJ3089" s="4">
        <v>137</v>
      </c>
      <c r="BK3089" s="8">
        <v>4274.64</v>
      </c>
      <c r="BL3089" s="2" t="s">
        <v>9962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207</v>
      </c>
      <c r="BV3089" s="2" t="s">
        <v>97</v>
      </c>
      <c r="BW3089" s="2" t="s">
        <v>100</v>
      </c>
      <c r="BX3089" s="2" t="s">
        <v>100</v>
      </c>
      <c r="BY3089" s="2" t="s">
        <v>113</v>
      </c>
      <c r="BZ3089" s="2" t="s">
        <v>100</v>
      </c>
    </row>
    <row r="3090">
      <c r="A3090" s="2" t="s">
        <v>9964</v>
      </c>
      <c r="B3090" s="2" t="s">
        <v>9668</v>
      </c>
      <c r="C3090" s="2" t="s">
        <v>4861</v>
      </c>
      <c r="D3090" s="2" t="s">
        <v>9669</v>
      </c>
      <c r="E3090" s="2" t="s">
        <v>9670</v>
      </c>
      <c r="F3090" s="2" t="s">
        <v>9671</v>
      </c>
      <c r="G3090" s="2" t="s">
        <v>9671</v>
      </c>
      <c r="H3090" s="2" t="s">
        <v>9671</v>
      </c>
      <c r="I3090" s="2" t="s">
        <v>9672</v>
      </c>
      <c r="J3090" s="2" t="s">
        <v>817</v>
      </c>
      <c r="K3090" s="2" t="s">
        <v>9955</v>
      </c>
      <c r="L3090" s="3">
        <v>27.39</v>
      </c>
      <c r="M3090" s="3">
        <v>28.76</v>
      </c>
      <c r="N3090" s="3">
        <v>67.99</v>
      </c>
      <c r="O3090" s="2" t="s">
        <v>97</v>
      </c>
      <c r="P3090" s="2" t="s">
        <v>225</v>
      </c>
      <c r="Q3090" s="2" t="s">
        <v>99</v>
      </c>
      <c r="R3090" s="2" t="s">
        <v>100</v>
      </c>
      <c r="S3090" s="2" t="s">
        <v>9956</v>
      </c>
      <c r="T3090" s="2" t="s">
        <v>9675</v>
      </c>
      <c r="U3090" s="2" t="s">
        <v>402</v>
      </c>
      <c r="V3090" s="2" t="s">
        <v>9957</v>
      </c>
      <c r="W3090" s="2" t="s">
        <v>183</v>
      </c>
      <c r="X3090" s="2" t="s">
        <v>202</v>
      </c>
      <c r="Y3090" s="2" t="s">
        <v>3643</v>
      </c>
      <c r="Z3090" s="4"/>
      <c r="AA3090" s="4">
        <f>=ROUNDDOWN({0},0)</f>
      </c>
      <c r="AB3090" s="5">
        <v>18</v>
      </c>
      <c r="AC3090" s="2" t="s">
        <v>266</v>
      </c>
      <c r="AD3090" s="4">
        <v>258</v>
      </c>
      <c r="AE3090" s="4">
        <v>434</v>
      </c>
      <c r="AF3090" s="6">
        <v>69</v>
      </c>
      <c r="AG3090" s="6"/>
      <c r="AH3090" s="7">
        <v>0.0417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 t="s">
        <v>100</v>
      </c>
      <c r="BJ3090" s="4"/>
      <c r="BK3090" s="8"/>
      <c r="BL3090" s="2" t="s">
        <v>100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207</v>
      </c>
      <c r="BV3090" s="2" t="s">
        <v>97</v>
      </c>
      <c r="BW3090" s="2" t="s">
        <v>100</v>
      </c>
      <c r="BX3090" s="2" t="s">
        <v>100</v>
      </c>
      <c r="BY3090" s="2" t="s">
        <v>113</v>
      </c>
      <c r="BZ3090" s="2" t="s">
        <v>100</v>
      </c>
    </row>
    <row r="3091">
      <c r="A3091" s="2" t="s">
        <v>9965</v>
      </c>
      <c r="B3091" s="2" t="s">
        <v>9668</v>
      </c>
      <c r="C3091" s="2" t="s">
        <v>4861</v>
      </c>
      <c r="D3091" s="2" t="s">
        <v>9669</v>
      </c>
      <c r="E3091" s="2" t="s">
        <v>9670</v>
      </c>
      <c r="F3091" s="2" t="s">
        <v>9671</v>
      </c>
      <c r="G3091" s="2" t="s">
        <v>9671</v>
      </c>
      <c r="H3091" s="2" t="s">
        <v>9671</v>
      </c>
      <c r="I3091" s="2" t="s">
        <v>9672</v>
      </c>
      <c r="J3091" s="2" t="s">
        <v>1936</v>
      </c>
      <c r="K3091" s="2" t="s">
        <v>9966</v>
      </c>
      <c r="L3091" s="3">
        <v>14.89</v>
      </c>
      <c r="M3091" s="3">
        <v>15.63</v>
      </c>
      <c r="N3091" s="3">
        <v>31.99</v>
      </c>
      <c r="O3091" s="2" t="s">
        <v>97</v>
      </c>
      <c r="P3091" s="2" t="s">
        <v>119</v>
      </c>
      <c r="Q3091" s="2" t="s">
        <v>99</v>
      </c>
      <c r="R3091" s="2" t="s">
        <v>100</v>
      </c>
      <c r="S3091" s="2" t="s">
        <v>9967</v>
      </c>
      <c r="T3091" s="2" t="s">
        <v>9675</v>
      </c>
      <c r="U3091" s="2" t="s">
        <v>480</v>
      </c>
      <c r="V3091" s="2" t="s">
        <v>3937</v>
      </c>
      <c r="W3091" s="2" t="s">
        <v>202</v>
      </c>
      <c r="X3091" s="2" t="s">
        <v>183</v>
      </c>
      <c r="Y3091" s="2" t="s">
        <v>9968</v>
      </c>
      <c r="Z3091" s="4">
        <v>283</v>
      </c>
      <c r="AA3091" s="4">
        <f>=ROUNDDOWN(23.5833333333333,0)</f>
      </c>
      <c r="AB3091" s="5">
        <v>12</v>
      </c>
      <c r="AC3091" s="2" t="s">
        <v>100</v>
      </c>
      <c r="AD3091" s="4"/>
      <c r="AE3091" s="4"/>
      <c r="AF3091" s="6">
        <v>74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 t="s">
        <v>100</v>
      </c>
      <c r="BJ3091" s="4">
        <v>227</v>
      </c>
      <c r="BK3091" s="8">
        <v>3867.68</v>
      </c>
      <c r="BL3091" s="2" t="s">
        <v>9969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207</v>
      </c>
      <c r="BV3091" s="2" t="s">
        <v>97</v>
      </c>
      <c r="BW3091" s="2" t="s">
        <v>100</v>
      </c>
      <c r="BX3091" s="2" t="s">
        <v>100</v>
      </c>
      <c r="BY3091" s="2" t="s">
        <v>113</v>
      </c>
      <c r="BZ3091" s="2" t="s">
        <v>245</v>
      </c>
    </row>
    <row r="3092">
      <c r="A3092" s="2" t="s">
        <v>9970</v>
      </c>
      <c r="B3092" s="2" t="s">
        <v>9668</v>
      </c>
      <c r="C3092" s="2" t="s">
        <v>4861</v>
      </c>
      <c r="D3092" s="2" t="s">
        <v>9669</v>
      </c>
      <c r="E3092" s="2" t="s">
        <v>9670</v>
      </c>
      <c r="F3092" s="2" t="s">
        <v>9671</v>
      </c>
      <c r="G3092" s="2" t="s">
        <v>9671</v>
      </c>
      <c r="H3092" s="2" t="s">
        <v>9671</v>
      </c>
      <c r="I3092" s="2" t="s">
        <v>9672</v>
      </c>
      <c r="J3092" s="2" t="s">
        <v>2072</v>
      </c>
      <c r="K3092" s="2" t="s">
        <v>9966</v>
      </c>
      <c r="L3092" s="3">
        <v>16.16</v>
      </c>
      <c r="M3092" s="3">
        <v>16.97</v>
      </c>
      <c r="N3092" s="3">
        <v>34.99</v>
      </c>
      <c r="O3092" s="2" t="s">
        <v>97</v>
      </c>
      <c r="P3092" s="2" t="s">
        <v>119</v>
      </c>
      <c r="Q3092" s="2" t="s">
        <v>99</v>
      </c>
      <c r="R3092" s="2" t="s">
        <v>100</v>
      </c>
      <c r="S3092" s="2" t="s">
        <v>9967</v>
      </c>
      <c r="T3092" s="2" t="s">
        <v>9675</v>
      </c>
      <c r="U3092" s="2" t="s">
        <v>480</v>
      </c>
      <c r="V3092" s="2" t="s">
        <v>3937</v>
      </c>
      <c r="W3092" s="2" t="s">
        <v>202</v>
      </c>
      <c r="X3092" s="2" t="s">
        <v>183</v>
      </c>
      <c r="Y3092" s="2" t="s">
        <v>9968</v>
      </c>
      <c r="Z3092" s="4">
        <v>281</v>
      </c>
      <c r="AA3092" s="4">
        <f>=ROUNDDOWN(35.125,0)</f>
      </c>
      <c r="AB3092" s="5">
        <v>8</v>
      </c>
      <c r="AC3092" s="2" t="s">
        <v>100</v>
      </c>
      <c r="AD3092" s="4"/>
      <c r="AE3092" s="4"/>
      <c r="AF3092" s="6">
        <v>74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 t="s">
        <v>100</v>
      </c>
      <c r="BJ3092" s="4">
        <v>205</v>
      </c>
      <c r="BK3092" s="8">
        <v>3863.39</v>
      </c>
      <c r="BL3092" s="2" t="s">
        <v>9971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207</v>
      </c>
      <c r="BV3092" s="2" t="s">
        <v>97</v>
      </c>
      <c r="BW3092" s="2" t="s">
        <v>100</v>
      </c>
      <c r="BX3092" s="2" t="s">
        <v>100</v>
      </c>
      <c r="BY3092" s="2" t="s">
        <v>113</v>
      </c>
      <c r="BZ3092" s="2" t="s">
        <v>245</v>
      </c>
    </row>
    <row r="3093">
      <c r="A3093" s="2" t="s">
        <v>9972</v>
      </c>
      <c r="B3093" s="2" t="s">
        <v>9668</v>
      </c>
      <c r="C3093" s="2" t="s">
        <v>4861</v>
      </c>
      <c r="D3093" s="2" t="s">
        <v>9669</v>
      </c>
      <c r="E3093" s="2" t="s">
        <v>9670</v>
      </c>
      <c r="F3093" s="2" t="s">
        <v>9671</v>
      </c>
      <c r="G3093" s="2" t="s">
        <v>9671</v>
      </c>
      <c r="H3093" s="2" t="s">
        <v>9671</v>
      </c>
      <c r="I3093" s="2" t="s">
        <v>9672</v>
      </c>
      <c r="J3093" s="2" t="s">
        <v>717</v>
      </c>
      <c r="K3093" s="2" t="s">
        <v>9966</v>
      </c>
      <c r="L3093" s="3">
        <v>19.57</v>
      </c>
      <c r="M3093" s="3">
        <v>20.55</v>
      </c>
      <c r="N3093" s="3">
        <v>42.99</v>
      </c>
      <c r="O3093" s="2" t="s">
        <v>97</v>
      </c>
      <c r="P3093" s="2" t="s">
        <v>119</v>
      </c>
      <c r="Q3093" s="2" t="s">
        <v>99</v>
      </c>
      <c r="R3093" s="2" t="s">
        <v>100</v>
      </c>
      <c r="S3093" s="2" t="s">
        <v>9967</v>
      </c>
      <c r="T3093" s="2" t="s">
        <v>9675</v>
      </c>
      <c r="U3093" s="2" t="s">
        <v>402</v>
      </c>
      <c r="V3093" s="2" t="s">
        <v>3937</v>
      </c>
      <c r="W3093" s="2" t="s">
        <v>202</v>
      </c>
      <c r="X3093" s="2" t="s">
        <v>183</v>
      </c>
      <c r="Y3093" s="2" t="s">
        <v>9968</v>
      </c>
      <c r="Z3093" s="4">
        <v>406</v>
      </c>
      <c r="AA3093" s="4">
        <f>=ROUNDDOWN(40.6,0)</f>
      </c>
      <c r="AB3093" s="5">
        <v>10</v>
      </c>
      <c r="AC3093" s="2" t="s">
        <v>100</v>
      </c>
      <c r="AD3093" s="4"/>
      <c r="AE3093" s="4"/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 t="s">
        <v>100</v>
      </c>
      <c r="BJ3093" s="4">
        <v>158</v>
      </c>
      <c r="BK3093" s="8">
        <v>3562.06</v>
      </c>
      <c r="BL3093" s="2" t="s">
        <v>9973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207</v>
      </c>
      <c r="BV3093" s="2" t="s">
        <v>97</v>
      </c>
      <c r="BW3093" s="2" t="s">
        <v>100</v>
      </c>
      <c r="BX3093" s="2" t="s">
        <v>100</v>
      </c>
      <c r="BY3093" s="2" t="s">
        <v>113</v>
      </c>
      <c r="BZ3093" s="2" t="s">
        <v>245</v>
      </c>
    </row>
    <row r="3094">
      <c r="A3094" s="2" t="s">
        <v>9974</v>
      </c>
      <c r="B3094" s="2" t="s">
        <v>9668</v>
      </c>
      <c r="C3094" s="2" t="s">
        <v>4861</v>
      </c>
      <c r="D3094" s="2" t="s">
        <v>9669</v>
      </c>
      <c r="E3094" s="2" t="s">
        <v>9670</v>
      </c>
      <c r="F3094" s="2" t="s">
        <v>9671</v>
      </c>
      <c r="G3094" s="2" t="s">
        <v>9671</v>
      </c>
      <c r="H3094" s="2" t="s">
        <v>9671</v>
      </c>
      <c r="I3094" s="2" t="s">
        <v>9672</v>
      </c>
      <c r="J3094" s="2" t="s">
        <v>706</v>
      </c>
      <c r="K3094" s="2" t="s">
        <v>9966</v>
      </c>
      <c r="L3094" s="3">
        <v>22.21</v>
      </c>
      <c r="M3094" s="3">
        <v>23.32</v>
      </c>
      <c r="N3094" s="3">
        <v>47.99</v>
      </c>
      <c r="O3094" s="2" t="s">
        <v>97</v>
      </c>
      <c r="P3094" s="2" t="s">
        <v>950</v>
      </c>
      <c r="Q3094" s="2" t="s">
        <v>99</v>
      </c>
      <c r="R3094" s="2" t="s">
        <v>100</v>
      </c>
      <c r="S3094" s="2" t="s">
        <v>9967</v>
      </c>
      <c r="T3094" s="2" t="s">
        <v>9675</v>
      </c>
      <c r="U3094" s="2" t="s">
        <v>402</v>
      </c>
      <c r="V3094" s="2" t="s">
        <v>3937</v>
      </c>
      <c r="W3094" s="2" t="s">
        <v>202</v>
      </c>
      <c r="X3094" s="2" t="s">
        <v>183</v>
      </c>
      <c r="Y3094" s="2" t="s">
        <v>9968</v>
      </c>
      <c r="Z3094" s="4">
        <v>702</v>
      </c>
      <c r="AA3094" s="4">
        <f>=ROUNDDOWN(43.875,0)</f>
      </c>
      <c r="AB3094" s="5">
        <v>16</v>
      </c>
      <c r="AC3094" s="2" t="s">
        <v>100</v>
      </c>
      <c r="AD3094" s="4"/>
      <c r="AE3094" s="4"/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 t="s">
        <v>100</v>
      </c>
      <c r="BJ3094" s="4">
        <v>139</v>
      </c>
      <c r="BK3094" s="8">
        <v>3463.51</v>
      </c>
      <c r="BL3094" s="2" t="s">
        <v>7709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207</v>
      </c>
      <c r="BV3094" s="2" t="s">
        <v>97</v>
      </c>
      <c r="BW3094" s="2" t="s">
        <v>100</v>
      </c>
      <c r="BX3094" s="2" t="s">
        <v>100</v>
      </c>
      <c r="BY3094" s="2" t="s">
        <v>113</v>
      </c>
      <c r="BZ3094" s="2" t="s">
        <v>245</v>
      </c>
    </row>
    <row r="3095">
      <c r="A3095" s="2" t="s">
        <v>9975</v>
      </c>
      <c r="B3095" s="2" t="s">
        <v>9668</v>
      </c>
      <c r="C3095" s="2" t="s">
        <v>4861</v>
      </c>
      <c r="D3095" s="2" t="s">
        <v>9669</v>
      </c>
      <c r="E3095" s="2" t="s">
        <v>9670</v>
      </c>
      <c r="F3095" s="2" t="s">
        <v>9671</v>
      </c>
      <c r="G3095" s="2" t="s">
        <v>9671</v>
      </c>
      <c r="H3095" s="2" t="s">
        <v>9671</v>
      </c>
      <c r="I3095" s="2" t="s">
        <v>9672</v>
      </c>
      <c r="J3095" s="2" t="s">
        <v>714</v>
      </c>
      <c r="K3095" s="2" t="s">
        <v>9966</v>
      </c>
      <c r="L3095" s="3">
        <v>27.39</v>
      </c>
      <c r="M3095" s="3">
        <v>28.76</v>
      </c>
      <c r="N3095" s="3">
        <v>62.99</v>
      </c>
      <c r="O3095" s="2" t="s">
        <v>97</v>
      </c>
      <c r="P3095" s="2" t="s">
        <v>119</v>
      </c>
      <c r="Q3095" s="2" t="s">
        <v>99</v>
      </c>
      <c r="R3095" s="2" t="s">
        <v>100</v>
      </c>
      <c r="S3095" s="2" t="s">
        <v>9967</v>
      </c>
      <c r="T3095" s="2" t="s">
        <v>9675</v>
      </c>
      <c r="U3095" s="2" t="s">
        <v>402</v>
      </c>
      <c r="V3095" s="2" t="s">
        <v>3937</v>
      </c>
      <c r="W3095" s="2" t="s">
        <v>202</v>
      </c>
      <c r="X3095" s="2" t="s">
        <v>183</v>
      </c>
      <c r="Y3095" s="2" t="s">
        <v>9968</v>
      </c>
      <c r="Z3095" s="4">
        <v>266</v>
      </c>
      <c r="AA3095" s="4">
        <f>=ROUNDDOWN(44.3333333333333,0)</f>
      </c>
      <c r="AB3095" s="5">
        <v>6</v>
      </c>
      <c r="AC3095" s="2" t="s">
        <v>100</v>
      </c>
      <c r="AD3095" s="4"/>
      <c r="AE3095" s="4"/>
      <c r="AF3095" s="6">
        <v>74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>
        <v>88</v>
      </c>
      <c r="BK3095" s="8">
        <v>2827.82</v>
      </c>
      <c r="BL3095" s="2" t="s">
        <v>9976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207</v>
      </c>
      <c r="BV3095" s="2" t="s">
        <v>97</v>
      </c>
      <c r="BW3095" s="2" t="s">
        <v>100</v>
      </c>
      <c r="BX3095" s="2" t="s">
        <v>100</v>
      </c>
      <c r="BY3095" s="2" t="s">
        <v>113</v>
      </c>
      <c r="BZ3095" s="2" t="s">
        <v>245</v>
      </c>
    </row>
    <row r="3096">
      <c r="A3096" s="2" t="s">
        <v>9977</v>
      </c>
      <c r="B3096" s="2" t="s">
        <v>9668</v>
      </c>
      <c r="C3096" s="2" t="s">
        <v>4861</v>
      </c>
      <c r="D3096" s="2" t="s">
        <v>9669</v>
      </c>
      <c r="E3096" s="2" t="s">
        <v>9670</v>
      </c>
      <c r="F3096" s="2" t="s">
        <v>9671</v>
      </c>
      <c r="G3096" s="2" t="s">
        <v>9671</v>
      </c>
      <c r="H3096" s="2" t="s">
        <v>9671</v>
      </c>
      <c r="I3096" s="2" t="s">
        <v>9672</v>
      </c>
      <c r="J3096" s="2" t="s">
        <v>817</v>
      </c>
      <c r="K3096" s="2" t="s">
        <v>9966</v>
      </c>
      <c r="L3096" s="3">
        <v>27.39</v>
      </c>
      <c r="M3096" s="3">
        <v>28.76</v>
      </c>
      <c r="N3096" s="3">
        <v>62.99</v>
      </c>
      <c r="O3096" s="2" t="s">
        <v>97</v>
      </c>
      <c r="P3096" s="2" t="s">
        <v>119</v>
      </c>
      <c r="Q3096" s="2" t="s">
        <v>99</v>
      </c>
      <c r="R3096" s="2" t="s">
        <v>100</v>
      </c>
      <c r="S3096" s="2" t="s">
        <v>9967</v>
      </c>
      <c r="T3096" s="2" t="s">
        <v>9675</v>
      </c>
      <c r="U3096" s="2" t="s">
        <v>402</v>
      </c>
      <c r="V3096" s="2" t="s">
        <v>3937</v>
      </c>
      <c r="W3096" s="2" t="s">
        <v>202</v>
      </c>
      <c r="X3096" s="2" t="s">
        <v>183</v>
      </c>
      <c r="Y3096" s="2" t="s">
        <v>9968</v>
      </c>
      <c r="Z3096" s="4">
        <v>262</v>
      </c>
      <c r="AA3096" s="4">
        <f>=ROUNDDOWN(43.6666666666667,0)</f>
      </c>
      <c r="AB3096" s="5">
        <v>6</v>
      </c>
      <c r="AC3096" s="2" t="s">
        <v>100</v>
      </c>
      <c r="AD3096" s="4"/>
      <c r="AE3096" s="4"/>
      <c r="AF3096" s="6">
        <v>74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 t="s">
        <v>100</v>
      </c>
      <c r="BJ3096" s="4">
        <v>58</v>
      </c>
      <c r="BK3096" s="8">
        <v>1819.53</v>
      </c>
      <c r="BL3096" s="2" t="s">
        <v>3806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207</v>
      </c>
      <c r="BV3096" s="2" t="s">
        <v>97</v>
      </c>
      <c r="BW3096" s="2" t="s">
        <v>100</v>
      </c>
      <c r="BX3096" s="2" t="s">
        <v>100</v>
      </c>
      <c r="BY3096" s="2" t="s">
        <v>113</v>
      </c>
      <c r="BZ3096" s="2" t="s">
        <v>245</v>
      </c>
    </row>
    <row r="3097">
      <c r="A3097" s="2" t="s">
        <v>9978</v>
      </c>
      <c r="B3097" s="2" t="s">
        <v>9668</v>
      </c>
      <c r="C3097" s="2" t="s">
        <v>4861</v>
      </c>
      <c r="D3097" s="2" t="s">
        <v>9669</v>
      </c>
      <c r="E3097" s="2" t="s">
        <v>9670</v>
      </c>
      <c r="F3097" s="2" t="s">
        <v>9671</v>
      </c>
      <c r="G3097" s="2" t="s">
        <v>9671</v>
      </c>
      <c r="H3097" s="2" t="s">
        <v>9671</v>
      </c>
      <c r="I3097" s="2" t="s">
        <v>9672</v>
      </c>
      <c r="J3097" s="2" t="s">
        <v>1936</v>
      </c>
      <c r="K3097" s="2" t="s">
        <v>9979</v>
      </c>
      <c r="L3097" s="3">
        <v>14.89</v>
      </c>
      <c r="M3097" s="3">
        <v>15.63</v>
      </c>
      <c r="N3097" s="3">
        <v>31.99</v>
      </c>
      <c r="O3097" s="2" t="s">
        <v>97</v>
      </c>
      <c r="P3097" s="2" t="s">
        <v>119</v>
      </c>
      <c r="Q3097" s="2" t="s">
        <v>99</v>
      </c>
      <c r="R3097" s="2" t="s">
        <v>100</v>
      </c>
      <c r="S3097" s="2" t="s">
        <v>9980</v>
      </c>
      <c r="T3097" s="2" t="s">
        <v>9675</v>
      </c>
      <c r="U3097" s="2" t="s">
        <v>480</v>
      </c>
      <c r="V3097" s="2" t="s">
        <v>3937</v>
      </c>
      <c r="W3097" s="2" t="s">
        <v>202</v>
      </c>
      <c r="X3097" s="2" t="s">
        <v>183</v>
      </c>
      <c r="Y3097" s="2" t="s">
        <v>9981</v>
      </c>
      <c r="Z3097" s="4">
        <v>490</v>
      </c>
      <c r="AA3097" s="4">
        <f>=ROUNDDOWN(23.3333333333333,0)</f>
      </c>
      <c r="AB3097" s="5">
        <v>21</v>
      </c>
      <c r="AC3097" s="2" t="s">
        <v>3031</v>
      </c>
      <c r="AD3097" s="4">
        <v>90</v>
      </c>
      <c r="AE3097" s="4">
        <v>90</v>
      </c>
      <c r="AF3097" s="6">
        <v>74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 t="s">
        <v>100</v>
      </c>
      <c r="BJ3097" s="4">
        <v>366</v>
      </c>
      <c r="BK3097" s="8">
        <v>6333.7</v>
      </c>
      <c r="BL3097" s="2" t="s">
        <v>9982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207</v>
      </c>
      <c r="BV3097" s="2" t="s">
        <v>97</v>
      </c>
      <c r="BW3097" s="2" t="s">
        <v>100</v>
      </c>
      <c r="BX3097" s="2" t="s">
        <v>100</v>
      </c>
      <c r="BY3097" s="2" t="s">
        <v>113</v>
      </c>
      <c r="BZ3097" s="2" t="s">
        <v>100</v>
      </c>
    </row>
    <row r="3098">
      <c r="A3098" s="2" t="s">
        <v>9983</v>
      </c>
      <c r="B3098" s="2" t="s">
        <v>9668</v>
      </c>
      <c r="C3098" s="2" t="s">
        <v>4861</v>
      </c>
      <c r="D3098" s="2" t="s">
        <v>9669</v>
      </c>
      <c r="E3098" s="2" t="s">
        <v>9670</v>
      </c>
      <c r="F3098" s="2" t="s">
        <v>9671</v>
      </c>
      <c r="G3098" s="2" t="s">
        <v>9671</v>
      </c>
      <c r="H3098" s="2" t="s">
        <v>9671</v>
      </c>
      <c r="I3098" s="2" t="s">
        <v>9672</v>
      </c>
      <c r="J3098" s="2" t="s">
        <v>2072</v>
      </c>
      <c r="K3098" s="2" t="s">
        <v>9979</v>
      </c>
      <c r="L3098" s="3">
        <v>16.16</v>
      </c>
      <c r="M3098" s="3">
        <v>16.97</v>
      </c>
      <c r="N3098" s="3">
        <v>34.99</v>
      </c>
      <c r="O3098" s="2" t="s">
        <v>97</v>
      </c>
      <c r="P3098" s="2" t="s">
        <v>119</v>
      </c>
      <c r="Q3098" s="2" t="s">
        <v>99</v>
      </c>
      <c r="R3098" s="2" t="s">
        <v>100</v>
      </c>
      <c r="S3098" s="2" t="s">
        <v>9980</v>
      </c>
      <c r="T3098" s="2" t="s">
        <v>9675</v>
      </c>
      <c r="U3098" s="2" t="s">
        <v>480</v>
      </c>
      <c r="V3098" s="2" t="s">
        <v>3937</v>
      </c>
      <c r="W3098" s="2" t="s">
        <v>202</v>
      </c>
      <c r="X3098" s="2" t="s">
        <v>183</v>
      </c>
      <c r="Y3098" s="2" t="s">
        <v>9981</v>
      </c>
      <c r="Z3098" s="4"/>
      <c r="AA3098" s="4">
        <f>=ROUNDDOWN({0},0)</f>
      </c>
      <c r="AB3098" s="5">
        <v>15</v>
      </c>
      <c r="AC3098" s="2" t="s">
        <v>9702</v>
      </c>
      <c r="AD3098" s="4">
        <v>250</v>
      </c>
      <c r="AE3098" s="4">
        <v>350</v>
      </c>
      <c r="AF3098" s="6">
        <v>74</v>
      </c>
      <c r="AG3098" s="6"/>
      <c r="AH3098" s="7">
        <v>0.7914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 t="s">
        <v>100</v>
      </c>
      <c r="BJ3098" s="4">
        <v>395</v>
      </c>
      <c r="BK3098" s="8">
        <v>7357.38</v>
      </c>
      <c r="BL3098" s="2" t="s">
        <v>9984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207</v>
      </c>
      <c r="BV3098" s="2" t="s">
        <v>97</v>
      </c>
      <c r="BW3098" s="2" t="s">
        <v>100</v>
      </c>
      <c r="BX3098" s="2" t="s">
        <v>100</v>
      </c>
      <c r="BY3098" s="2" t="s">
        <v>113</v>
      </c>
      <c r="BZ3098" s="2" t="s">
        <v>100</v>
      </c>
    </row>
    <row r="3099">
      <c r="A3099" s="2" t="s">
        <v>9985</v>
      </c>
      <c r="B3099" s="2" t="s">
        <v>9668</v>
      </c>
      <c r="C3099" s="2" t="s">
        <v>4861</v>
      </c>
      <c r="D3099" s="2" t="s">
        <v>9669</v>
      </c>
      <c r="E3099" s="2" t="s">
        <v>9670</v>
      </c>
      <c r="F3099" s="2" t="s">
        <v>9671</v>
      </c>
      <c r="G3099" s="2" t="s">
        <v>9671</v>
      </c>
      <c r="H3099" s="2" t="s">
        <v>9671</v>
      </c>
      <c r="I3099" s="2" t="s">
        <v>9672</v>
      </c>
      <c r="J3099" s="2" t="s">
        <v>717</v>
      </c>
      <c r="K3099" s="2" t="s">
        <v>9979</v>
      </c>
      <c r="L3099" s="3">
        <v>19.57</v>
      </c>
      <c r="M3099" s="3">
        <v>20.55</v>
      </c>
      <c r="N3099" s="3">
        <v>42.99</v>
      </c>
      <c r="O3099" s="2" t="s">
        <v>97</v>
      </c>
      <c r="P3099" s="2" t="s">
        <v>119</v>
      </c>
      <c r="Q3099" s="2" t="s">
        <v>99</v>
      </c>
      <c r="R3099" s="2" t="s">
        <v>100</v>
      </c>
      <c r="S3099" s="2" t="s">
        <v>9980</v>
      </c>
      <c r="T3099" s="2" t="s">
        <v>9675</v>
      </c>
      <c r="U3099" s="2" t="s">
        <v>402</v>
      </c>
      <c r="V3099" s="2" t="s">
        <v>3937</v>
      </c>
      <c r="W3099" s="2" t="s">
        <v>202</v>
      </c>
      <c r="X3099" s="2" t="s">
        <v>183</v>
      </c>
      <c r="Y3099" s="2" t="s">
        <v>9981</v>
      </c>
      <c r="Z3099" s="4">
        <v>324</v>
      </c>
      <c r="AA3099" s="4">
        <f>=ROUNDDOWN(9,0)</f>
      </c>
      <c r="AB3099" s="5">
        <v>36</v>
      </c>
      <c r="AC3099" s="2" t="s">
        <v>9702</v>
      </c>
      <c r="AD3099" s="4">
        <v>290</v>
      </c>
      <c r="AE3099" s="4">
        <v>390</v>
      </c>
      <c r="AF3099" s="6">
        <v>74</v>
      </c>
      <c r="AG3099" s="6"/>
      <c r="AH3099" s="7">
        <v>0.7005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 t="s">
        <v>100</v>
      </c>
      <c r="BJ3099" s="4">
        <v>491</v>
      </c>
      <c r="BK3099" s="8">
        <v>11083.26</v>
      </c>
      <c r="BL3099" s="2" t="s">
        <v>537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207</v>
      </c>
      <c r="BV3099" s="2" t="s">
        <v>97</v>
      </c>
      <c r="BW3099" s="2" t="s">
        <v>100</v>
      </c>
      <c r="BX3099" s="2" t="s">
        <v>100</v>
      </c>
      <c r="BY3099" s="2" t="s">
        <v>113</v>
      </c>
      <c r="BZ3099" s="2" t="s">
        <v>100</v>
      </c>
    </row>
    <row r="3100">
      <c r="A3100" s="2" t="s">
        <v>9986</v>
      </c>
      <c r="B3100" s="2" t="s">
        <v>9668</v>
      </c>
      <c r="C3100" s="2" t="s">
        <v>4861</v>
      </c>
      <c r="D3100" s="2" t="s">
        <v>9669</v>
      </c>
      <c r="E3100" s="2" t="s">
        <v>9670</v>
      </c>
      <c r="F3100" s="2" t="s">
        <v>9671</v>
      </c>
      <c r="G3100" s="2" t="s">
        <v>9671</v>
      </c>
      <c r="H3100" s="2" t="s">
        <v>9671</v>
      </c>
      <c r="I3100" s="2" t="s">
        <v>9672</v>
      </c>
      <c r="J3100" s="2" t="s">
        <v>706</v>
      </c>
      <c r="K3100" s="2" t="s">
        <v>9979</v>
      </c>
      <c r="L3100" s="3">
        <v>22.21</v>
      </c>
      <c r="M3100" s="3">
        <v>23.32</v>
      </c>
      <c r="N3100" s="3">
        <v>47.99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9980</v>
      </c>
      <c r="T3100" s="2" t="s">
        <v>9675</v>
      </c>
      <c r="U3100" s="2" t="s">
        <v>402</v>
      </c>
      <c r="V3100" s="2" t="s">
        <v>3937</v>
      </c>
      <c r="W3100" s="2" t="s">
        <v>202</v>
      </c>
      <c r="X3100" s="2" t="s">
        <v>183</v>
      </c>
      <c r="Y3100" s="2" t="s">
        <v>9987</v>
      </c>
      <c r="Z3100" s="4"/>
      <c r="AA3100" s="4">
        <f>=ROUNDDOWN({0},0)</f>
      </c>
      <c r="AB3100" s="5">
        <v>72</v>
      </c>
      <c r="AC3100" s="2" t="s">
        <v>9702</v>
      </c>
      <c r="AD3100" s="4">
        <v>360</v>
      </c>
      <c r="AE3100" s="4">
        <v>760</v>
      </c>
      <c r="AF3100" s="6">
        <v>74</v>
      </c>
      <c r="AG3100" s="6"/>
      <c r="AH3100" s="7">
        <v>0.3529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 t="s">
        <v>100</v>
      </c>
      <c r="BJ3100" s="4">
        <v>1058</v>
      </c>
      <c r="BK3100" s="8">
        <v>26916.38</v>
      </c>
      <c r="BL3100" s="2" t="s">
        <v>9988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207</v>
      </c>
      <c r="BV3100" s="2" t="s">
        <v>97</v>
      </c>
      <c r="BW3100" s="2" t="s">
        <v>100</v>
      </c>
      <c r="BX3100" s="2" t="s">
        <v>100</v>
      </c>
      <c r="BY3100" s="2" t="s">
        <v>113</v>
      </c>
      <c r="BZ3100" s="2" t="s">
        <v>100</v>
      </c>
    </row>
    <row r="3101">
      <c r="A3101" s="2" t="s">
        <v>9989</v>
      </c>
      <c r="B3101" s="2" t="s">
        <v>9668</v>
      </c>
      <c r="C3101" s="2" t="s">
        <v>4861</v>
      </c>
      <c r="D3101" s="2" t="s">
        <v>9669</v>
      </c>
      <c r="E3101" s="2" t="s">
        <v>9670</v>
      </c>
      <c r="F3101" s="2" t="s">
        <v>9671</v>
      </c>
      <c r="G3101" s="2" t="s">
        <v>9671</v>
      </c>
      <c r="H3101" s="2" t="s">
        <v>9671</v>
      </c>
      <c r="I3101" s="2" t="s">
        <v>9672</v>
      </c>
      <c r="J3101" s="2" t="s">
        <v>714</v>
      </c>
      <c r="K3101" s="2" t="s">
        <v>9979</v>
      </c>
      <c r="L3101" s="3">
        <v>27.39</v>
      </c>
      <c r="M3101" s="3">
        <v>28.76</v>
      </c>
      <c r="N3101" s="3">
        <v>62.99</v>
      </c>
      <c r="O3101" s="2" t="s">
        <v>97</v>
      </c>
      <c r="P3101" s="2" t="s">
        <v>119</v>
      </c>
      <c r="Q3101" s="2" t="s">
        <v>99</v>
      </c>
      <c r="R3101" s="2" t="s">
        <v>100</v>
      </c>
      <c r="S3101" s="2" t="s">
        <v>9980</v>
      </c>
      <c r="T3101" s="2" t="s">
        <v>9675</v>
      </c>
      <c r="U3101" s="2" t="s">
        <v>402</v>
      </c>
      <c r="V3101" s="2" t="s">
        <v>3937</v>
      </c>
      <c r="W3101" s="2" t="s">
        <v>202</v>
      </c>
      <c r="X3101" s="2" t="s">
        <v>183</v>
      </c>
      <c r="Y3101" s="2" t="s">
        <v>9981</v>
      </c>
      <c r="Z3101" s="4">
        <v>240</v>
      </c>
      <c r="AA3101" s="4">
        <f>=ROUNDDOWN(12,0)</f>
      </c>
      <c r="AB3101" s="5">
        <v>20</v>
      </c>
      <c r="AC3101" s="2" t="s">
        <v>9702</v>
      </c>
      <c r="AD3101" s="4">
        <v>60</v>
      </c>
      <c r="AE3101" s="4">
        <v>160</v>
      </c>
      <c r="AF3101" s="6">
        <v>74</v>
      </c>
      <c r="AG3101" s="6"/>
      <c r="AH3101" s="7">
        <v>0.7005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 t="s">
        <v>100</v>
      </c>
      <c r="BJ3101" s="4">
        <v>157</v>
      </c>
      <c r="BK3101" s="8">
        <v>5054.21</v>
      </c>
      <c r="BL3101" s="2" t="s">
        <v>9990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207</v>
      </c>
      <c r="BV3101" s="2" t="s">
        <v>97</v>
      </c>
      <c r="BW3101" s="2" t="s">
        <v>100</v>
      </c>
      <c r="BX3101" s="2" t="s">
        <v>100</v>
      </c>
      <c r="BY3101" s="2" t="s">
        <v>113</v>
      </c>
      <c r="BZ3101" s="2" t="s">
        <v>245</v>
      </c>
    </row>
    <row r="3102">
      <c r="A3102" s="2" t="s">
        <v>9991</v>
      </c>
      <c r="B3102" s="2" t="s">
        <v>9668</v>
      </c>
      <c r="C3102" s="2" t="s">
        <v>4861</v>
      </c>
      <c r="D3102" s="2" t="s">
        <v>9669</v>
      </c>
      <c r="E3102" s="2" t="s">
        <v>9670</v>
      </c>
      <c r="F3102" s="2" t="s">
        <v>9671</v>
      </c>
      <c r="G3102" s="2" t="s">
        <v>9671</v>
      </c>
      <c r="H3102" s="2" t="s">
        <v>9671</v>
      </c>
      <c r="I3102" s="2" t="s">
        <v>9672</v>
      </c>
      <c r="J3102" s="2" t="s">
        <v>817</v>
      </c>
      <c r="K3102" s="2" t="s">
        <v>9979</v>
      </c>
      <c r="L3102" s="3">
        <v>27.39</v>
      </c>
      <c r="M3102" s="3">
        <v>28.76</v>
      </c>
      <c r="N3102" s="3">
        <v>62.99</v>
      </c>
      <c r="O3102" s="2" t="s">
        <v>97</v>
      </c>
      <c r="P3102" s="2" t="s">
        <v>119</v>
      </c>
      <c r="Q3102" s="2" t="s">
        <v>99</v>
      </c>
      <c r="R3102" s="2" t="s">
        <v>100</v>
      </c>
      <c r="S3102" s="2" t="s">
        <v>9980</v>
      </c>
      <c r="T3102" s="2" t="s">
        <v>9675</v>
      </c>
      <c r="U3102" s="2" t="s">
        <v>402</v>
      </c>
      <c r="V3102" s="2" t="s">
        <v>3937</v>
      </c>
      <c r="W3102" s="2" t="s">
        <v>202</v>
      </c>
      <c r="X3102" s="2" t="s">
        <v>183</v>
      </c>
      <c r="Y3102" s="2" t="s">
        <v>9981</v>
      </c>
      <c r="Z3102" s="4">
        <v>172</v>
      </c>
      <c r="AA3102" s="4">
        <f>=ROUNDDOWN(19.1111111111111,0)</f>
      </c>
      <c r="AB3102" s="5">
        <v>9</v>
      </c>
      <c r="AC3102" s="2" t="s">
        <v>3031</v>
      </c>
      <c r="AD3102" s="4">
        <v>60</v>
      </c>
      <c r="AE3102" s="4">
        <v>60</v>
      </c>
      <c r="AF3102" s="6">
        <v>74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 t="s">
        <v>100</v>
      </c>
      <c r="BJ3102" s="4">
        <v>36</v>
      </c>
      <c r="BK3102" s="8">
        <v>1138.2</v>
      </c>
      <c r="BL3102" s="2" t="s">
        <v>9992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207</v>
      </c>
      <c r="BV3102" s="2" t="s">
        <v>97</v>
      </c>
      <c r="BW3102" s="2" t="s">
        <v>100</v>
      </c>
      <c r="BX3102" s="2" t="s">
        <v>100</v>
      </c>
      <c r="BY3102" s="2" t="s">
        <v>113</v>
      </c>
      <c r="BZ3102" s="2" t="s">
        <v>245</v>
      </c>
    </row>
    <row r="3103">
      <c r="A3103" s="2" t="s">
        <v>9993</v>
      </c>
      <c r="B3103" s="2" t="s">
        <v>9668</v>
      </c>
      <c r="C3103" s="2" t="s">
        <v>4861</v>
      </c>
      <c r="D3103" s="2" t="s">
        <v>9669</v>
      </c>
      <c r="E3103" s="2" t="s">
        <v>9670</v>
      </c>
      <c r="F3103" s="2" t="s">
        <v>9671</v>
      </c>
      <c r="G3103" s="2" t="s">
        <v>9671</v>
      </c>
      <c r="H3103" s="2" t="s">
        <v>9671</v>
      </c>
      <c r="I3103" s="2" t="s">
        <v>9672</v>
      </c>
      <c r="J3103" s="2" t="s">
        <v>1936</v>
      </c>
      <c r="K3103" s="2" t="s">
        <v>9994</v>
      </c>
      <c r="L3103" s="3">
        <v>14.89</v>
      </c>
      <c r="M3103" s="3">
        <v>15.63</v>
      </c>
      <c r="N3103" s="3">
        <v>36.99</v>
      </c>
      <c r="O3103" s="2" t="s">
        <v>97</v>
      </c>
      <c r="P3103" s="2" t="s">
        <v>225</v>
      </c>
      <c r="Q3103" s="2" t="s">
        <v>99</v>
      </c>
      <c r="R3103" s="2" t="s">
        <v>100</v>
      </c>
      <c r="S3103" s="2" t="s">
        <v>9995</v>
      </c>
      <c r="T3103" s="2" t="s">
        <v>9675</v>
      </c>
      <c r="U3103" s="2" t="s">
        <v>480</v>
      </c>
      <c r="V3103" s="2" t="s">
        <v>2508</v>
      </c>
      <c r="W3103" s="2" t="s">
        <v>183</v>
      </c>
      <c r="X3103" s="2" t="s">
        <v>202</v>
      </c>
      <c r="Y3103" s="2" t="s">
        <v>3609</v>
      </c>
      <c r="Z3103" s="4">
        <v>446</v>
      </c>
      <c r="AA3103" s="4">
        <f>=ROUNDDOWN(10.3720930232558,0)</f>
      </c>
      <c r="AB3103" s="5">
        <v>43</v>
      </c>
      <c r="AC3103" s="2" t="s">
        <v>266</v>
      </c>
      <c r="AD3103" s="4">
        <v>620</v>
      </c>
      <c r="AE3103" s="4">
        <v>1050</v>
      </c>
      <c r="AF3103" s="6">
        <v>69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 t="s">
        <v>100</v>
      </c>
      <c r="BJ3103" s="4">
        <v>470</v>
      </c>
      <c r="BK3103" s="8">
        <v>8082.06</v>
      </c>
      <c r="BL3103" s="2" t="s">
        <v>1803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207</v>
      </c>
      <c r="BV3103" s="2" t="s">
        <v>97</v>
      </c>
      <c r="BW3103" s="2" t="s">
        <v>100</v>
      </c>
      <c r="BX3103" s="2" t="s">
        <v>100</v>
      </c>
      <c r="BY3103" s="2" t="s">
        <v>113</v>
      </c>
      <c r="BZ3103" s="2" t="s">
        <v>100</v>
      </c>
    </row>
    <row r="3104">
      <c r="A3104" s="2" t="s">
        <v>9996</v>
      </c>
      <c r="B3104" s="2" t="s">
        <v>9668</v>
      </c>
      <c r="C3104" s="2" t="s">
        <v>4861</v>
      </c>
      <c r="D3104" s="2" t="s">
        <v>9669</v>
      </c>
      <c r="E3104" s="2" t="s">
        <v>9670</v>
      </c>
      <c r="F3104" s="2" t="s">
        <v>9671</v>
      </c>
      <c r="G3104" s="2" t="s">
        <v>9671</v>
      </c>
      <c r="H3104" s="2" t="s">
        <v>9671</v>
      </c>
      <c r="I3104" s="2" t="s">
        <v>9672</v>
      </c>
      <c r="J3104" s="2" t="s">
        <v>2072</v>
      </c>
      <c r="K3104" s="2" t="s">
        <v>9994</v>
      </c>
      <c r="L3104" s="3">
        <v>16.16</v>
      </c>
      <c r="M3104" s="3">
        <v>16.97</v>
      </c>
      <c r="N3104" s="3">
        <v>39.99</v>
      </c>
      <c r="O3104" s="2" t="s">
        <v>97</v>
      </c>
      <c r="P3104" s="2" t="s">
        <v>225</v>
      </c>
      <c r="Q3104" s="2" t="s">
        <v>99</v>
      </c>
      <c r="R3104" s="2" t="s">
        <v>100</v>
      </c>
      <c r="S3104" s="2" t="s">
        <v>9995</v>
      </c>
      <c r="T3104" s="2" t="s">
        <v>9675</v>
      </c>
      <c r="U3104" s="2" t="s">
        <v>480</v>
      </c>
      <c r="V3104" s="2" t="s">
        <v>2508</v>
      </c>
      <c r="W3104" s="2" t="s">
        <v>183</v>
      </c>
      <c r="X3104" s="2" t="s">
        <v>202</v>
      </c>
      <c r="Y3104" s="2" t="s">
        <v>3749</v>
      </c>
      <c r="Z3104" s="4">
        <v>50</v>
      </c>
      <c r="AA3104" s="4">
        <f>=ROUNDDOWN(2.27272727272727,0)</f>
      </c>
      <c r="AB3104" s="5">
        <v>22</v>
      </c>
      <c r="AC3104" s="2" t="s">
        <v>266</v>
      </c>
      <c r="AD3104" s="4">
        <v>313</v>
      </c>
      <c r="AE3104" s="4">
        <v>533</v>
      </c>
      <c r="AF3104" s="6">
        <v>69</v>
      </c>
      <c r="AG3104" s="6"/>
      <c r="AH3104" s="7">
        <v>0.9565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 t="s">
        <v>100</v>
      </c>
      <c r="BJ3104" s="4">
        <v>326</v>
      </c>
      <c r="BK3104" s="8">
        <v>6054.44</v>
      </c>
      <c r="BL3104" s="2" t="s">
        <v>537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207</v>
      </c>
      <c r="BV3104" s="2" t="s">
        <v>97</v>
      </c>
      <c r="BW3104" s="2" t="s">
        <v>100</v>
      </c>
      <c r="BX3104" s="2" t="s">
        <v>100</v>
      </c>
      <c r="BY3104" s="2" t="s">
        <v>113</v>
      </c>
      <c r="BZ3104" s="2" t="s">
        <v>100</v>
      </c>
    </row>
    <row r="3105">
      <c r="A3105" s="2" t="s">
        <v>9997</v>
      </c>
      <c r="B3105" s="2" t="s">
        <v>9668</v>
      </c>
      <c r="C3105" s="2" t="s">
        <v>4861</v>
      </c>
      <c r="D3105" s="2" t="s">
        <v>9669</v>
      </c>
      <c r="E3105" s="2" t="s">
        <v>9670</v>
      </c>
      <c r="F3105" s="2" t="s">
        <v>9671</v>
      </c>
      <c r="G3105" s="2" t="s">
        <v>9671</v>
      </c>
      <c r="H3105" s="2" t="s">
        <v>9671</v>
      </c>
      <c r="I3105" s="2" t="s">
        <v>9672</v>
      </c>
      <c r="J3105" s="2" t="s">
        <v>717</v>
      </c>
      <c r="K3105" s="2" t="s">
        <v>9994</v>
      </c>
      <c r="L3105" s="3">
        <v>19.57</v>
      </c>
      <c r="M3105" s="3">
        <v>20.55</v>
      </c>
      <c r="N3105" s="3">
        <v>47.99</v>
      </c>
      <c r="O3105" s="2" t="s">
        <v>97</v>
      </c>
      <c r="P3105" s="2" t="s">
        <v>225</v>
      </c>
      <c r="Q3105" s="2" t="s">
        <v>99</v>
      </c>
      <c r="R3105" s="2" t="s">
        <v>100</v>
      </c>
      <c r="S3105" s="2" t="s">
        <v>9995</v>
      </c>
      <c r="T3105" s="2" t="s">
        <v>9675</v>
      </c>
      <c r="U3105" s="2" t="s">
        <v>402</v>
      </c>
      <c r="V3105" s="2" t="s">
        <v>2508</v>
      </c>
      <c r="W3105" s="2" t="s">
        <v>183</v>
      </c>
      <c r="X3105" s="2" t="s">
        <v>202</v>
      </c>
      <c r="Y3105" s="2" t="s">
        <v>3749</v>
      </c>
      <c r="Z3105" s="4">
        <v>11</v>
      </c>
      <c r="AA3105" s="4">
        <f>=ROUNDDOWN(0.5,0)</f>
      </c>
      <c r="AB3105" s="5">
        <v>22</v>
      </c>
      <c r="AC3105" s="2" t="s">
        <v>266</v>
      </c>
      <c r="AD3105" s="4">
        <v>313</v>
      </c>
      <c r="AE3105" s="4">
        <v>543</v>
      </c>
      <c r="AF3105" s="6">
        <v>69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353</v>
      </c>
      <c r="BK3105" s="8">
        <v>7913.57</v>
      </c>
      <c r="BL3105" s="2" t="s">
        <v>5066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207</v>
      </c>
      <c r="BV3105" s="2" t="s">
        <v>97</v>
      </c>
      <c r="BW3105" s="2" t="s">
        <v>100</v>
      </c>
      <c r="BX3105" s="2" t="s">
        <v>100</v>
      </c>
      <c r="BY3105" s="2" t="s">
        <v>113</v>
      </c>
      <c r="BZ3105" s="2" t="s">
        <v>100</v>
      </c>
    </row>
    <row r="3106">
      <c r="A3106" s="2" t="s">
        <v>9998</v>
      </c>
      <c r="B3106" s="2" t="s">
        <v>9668</v>
      </c>
      <c r="C3106" s="2" t="s">
        <v>4861</v>
      </c>
      <c r="D3106" s="2" t="s">
        <v>9669</v>
      </c>
      <c r="E3106" s="2" t="s">
        <v>9670</v>
      </c>
      <c r="F3106" s="2" t="s">
        <v>9671</v>
      </c>
      <c r="G3106" s="2" t="s">
        <v>9671</v>
      </c>
      <c r="H3106" s="2" t="s">
        <v>9671</v>
      </c>
      <c r="I3106" s="2" t="s">
        <v>9672</v>
      </c>
      <c r="J3106" s="2" t="s">
        <v>706</v>
      </c>
      <c r="K3106" s="2" t="s">
        <v>9994</v>
      </c>
      <c r="L3106" s="3">
        <v>22.21</v>
      </c>
      <c r="M3106" s="3">
        <v>23.32</v>
      </c>
      <c r="N3106" s="3">
        <v>52.99</v>
      </c>
      <c r="O3106" s="2" t="s">
        <v>97</v>
      </c>
      <c r="P3106" s="2" t="s">
        <v>225</v>
      </c>
      <c r="Q3106" s="2" t="s">
        <v>99</v>
      </c>
      <c r="R3106" s="2" t="s">
        <v>100</v>
      </c>
      <c r="S3106" s="2" t="s">
        <v>9995</v>
      </c>
      <c r="T3106" s="2" t="s">
        <v>9675</v>
      </c>
      <c r="U3106" s="2" t="s">
        <v>402</v>
      </c>
      <c r="V3106" s="2" t="s">
        <v>2508</v>
      </c>
      <c r="W3106" s="2" t="s">
        <v>183</v>
      </c>
      <c r="X3106" s="2" t="s">
        <v>202</v>
      </c>
      <c r="Y3106" s="2" t="s">
        <v>3749</v>
      </c>
      <c r="Z3106" s="4">
        <v>40</v>
      </c>
      <c r="AA3106" s="4">
        <f>=ROUNDDOWN(1.14285714285714,0)</f>
      </c>
      <c r="AB3106" s="5">
        <v>35</v>
      </c>
      <c r="AC3106" s="2" t="s">
        <v>266</v>
      </c>
      <c r="AD3106" s="4">
        <v>504</v>
      </c>
      <c r="AE3106" s="4">
        <v>874</v>
      </c>
      <c r="AF3106" s="6">
        <v>69</v>
      </c>
      <c r="AG3106" s="6"/>
      <c r="AH3106" s="7">
        <v>0.9783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>
        <v>494</v>
      </c>
      <c r="BK3106" s="8">
        <v>12633.01</v>
      </c>
      <c r="BL3106" s="2" t="s">
        <v>9999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207</v>
      </c>
      <c r="BV3106" s="2" t="s">
        <v>97</v>
      </c>
      <c r="BW3106" s="2" t="s">
        <v>100</v>
      </c>
      <c r="BX3106" s="2" t="s">
        <v>100</v>
      </c>
      <c r="BY3106" s="2" t="s">
        <v>113</v>
      </c>
      <c r="BZ3106" s="2" t="s">
        <v>100</v>
      </c>
    </row>
    <row r="3107">
      <c r="A3107" s="2" t="s">
        <v>10000</v>
      </c>
      <c r="B3107" s="2" t="s">
        <v>9668</v>
      </c>
      <c r="C3107" s="2" t="s">
        <v>4861</v>
      </c>
      <c r="D3107" s="2" t="s">
        <v>9669</v>
      </c>
      <c r="E3107" s="2" t="s">
        <v>9670</v>
      </c>
      <c r="F3107" s="2" t="s">
        <v>9671</v>
      </c>
      <c r="G3107" s="2" t="s">
        <v>9671</v>
      </c>
      <c r="H3107" s="2" t="s">
        <v>9671</v>
      </c>
      <c r="I3107" s="2" t="s">
        <v>9672</v>
      </c>
      <c r="J3107" s="2" t="s">
        <v>714</v>
      </c>
      <c r="K3107" s="2" t="s">
        <v>9994</v>
      </c>
      <c r="L3107" s="3">
        <v>27.39</v>
      </c>
      <c r="M3107" s="3">
        <v>28.76</v>
      </c>
      <c r="N3107" s="3">
        <v>67.99</v>
      </c>
      <c r="O3107" s="2" t="s">
        <v>97</v>
      </c>
      <c r="P3107" s="2" t="s">
        <v>225</v>
      </c>
      <c r="Q3107" s="2" t="s">
        <v>99</v>
      </c>
      <c r="R3107" s="2" t="s">
        <v>100</v>
      </c>
      <c r="S3107" s="2" t="s">
        <v>9995</v>
      </c>
      <c r="T3107" s="2" t="s">
        <v>9675</v>
      </c>
      <c r="U3107" s="2" t="s">
        <v>402</v>
      </c>
      <c r="V3107" s="2" t="s">
        <v>2508</v>
      </c>
      <c r="W3107" s="2" t="s">
        <v>183</v>
      </c>
      <c r="X3107" s="2" t="s">
        <v>202</v>
      </c>
      <c r="Y3107" s="2" t="s">
        <v>3749</v>
      </c>
      <c r="Z3107" s="4">
        <v>8</v>
      </c>
      <c r="AA3107" s="4">
        <f>=ROUNDDOWN(0.533333333333333,0)</f>
      </c>
      <c r="AB3107" s="5">
        <v>15</v>
      </c>
      <c r="AC3107" s="2" t="s">
        <v>266</v>
      </c>
      <c r="AD3107" s="4">
        <v>219</v>
      </c>
      <c r="AE3107" s="4">
        <v>380</v>
      </c>
      <c r="AF3107" s="6">
        <v>69</v>
      </c>
      <c r="AG3107" s="6"/>
      <c r="AH3107" s="7">
        <v>0.9565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 t="s">
        <v>100</v>
      </c>
      <c r="BJ3107" s="4">
        <v>241</v>
      </c>
      <c r="BK3107" s="8">
        <v>7560.71</v>
      </c>
      <c r="BL3107" s="2" t="s">
        <v>9999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207</v>
      </c>
      <c r="BV3107" s="2" t="s">
        <v>97</v>
      </c>
      <c r="BW3107" s="2" t="s">
        <v>100</v>
      </c>
      <c r="BX3107" s="2" t="s">
        <v>100</v>
      </c>
      <c r="BY3107" s="2" t="s">
        <v>113</v>
      </c>
      <c r="BZ3107" s="2" t="s">
        <v>100</v>
      </c>
    </row>
    <row r="3108">
      <c r="A3108" s="2" t="s">
        <v>10001</v>
      </c>
      <c r="B3108" s="2" t="s">
        <v>9668</v>
      </c>
      <c r="C3108" s="2" t="s">
        <v>4861</v>
      </c>
      <c r="D3108" s="2" t="s">
        <v>9669</v>
      </c>
      <c r="E3108" s="2" t="s">
        <v>9670</v>
      </c>
      <c r="F3108" s="2" t="s">
        <v>9671</v>
      </c>
      <c r="G3108" s="2" t="s">
        <v>9671</v>
      </c>
      <c r="H3108" s="2" t="s">
        <v>9671</v>
      </c>
      <c r="I3108" s="2" t="s">
        <v>9672</v>
      </c>
      <c r="J3108" s="2" t="s">
        <v>817</v>
      </c>
      <c r="K3108" s="2" t="s">
        <v>9994</v>
      </c>
      <c r="L3108" s="3">
        <v>27.39</v>
      </c>
      <c r="M3108" s="3">
        <v>28.76</v>
      </c>
      <c r="N3108" s="3">
        <v>67.99</v>
      </c>
      <c r="O3108" s="2" t="s">
        <v>97</v>
      </c>
      <c r="P3108" s="2" t="s">
        <v>225</v>
      </c>
      <c r="Q3108" s="2" t="s">
        <v>99</v>
      </c>
      <c r="R3108" s="2" t="s">
        <v>100</v>
      </c>
      <c r="S3108" s="2" t="s">
        <v>9995</v>
      </c>
      <c r="T3108" s="2" t="s">
        <v>9675</v>
      </c>
      <c r="U3108" s="2" t="s">
        <v>402</v>
      </c>
      <c r="V3108" s="2" t="s">
        <v>2508</v>
      </c>
      <c r="W3108" s="2" t="s">
        <v>183</v>
      </c>
      <c r="X3108" s="2" t="s">
        <v>202</v>
      </c>
      <c r="Y3108" s="2" t="s">
        <v>3749</v>
      </c>
      <c r="Z3108" s="4">
        <v>251</v>
      </c>
      <c r="AA3108" s="4">
        <f>=ROUNDDOWN(19.3076923076923,0)</f>
      </c>
      <c r="AB3108" s="5">
        <v>13</v>
      </c>
      <c r="AC3108" s="2" t="s">
        <v>266</v>
      </c>
      <c r="AD3108" s="4">
        <v>208</v>
      </c>
      <c r="AE3108" s="4">
        <v>348</v>
      </c>
      <c r="AF3108" s="6">
        <v>69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48</v>
      </c>
      <c r="BK3108" s="8">
        <v>1551.94</v>
      </c>
      <c r="BL3108" s="2" t="s">
        <v>10002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207</v>
      </c>
      <c r="BV3108" s="2" t="s">
        <v>97</v>
      </c>
      <c r="BW3108" s="2" t="s">
        <v>100</v>
      </c>
      <c r="BX3108" s="2" t="s">
        <v>100</v>
      </c>
      <c r="BY3108" s="2" t="s">
        <v>113</v>
      </c>
      <c r="BZ3108" s="2" t="s">
        <v>100</v>
      </c>
    </row>
    <row r="3109">
      <c r="A3109" s="2" t="s">
        <v>10003</v>
      </c>
      <c r="B3109" s="2" t="s">
        <v>9668</v>
      </c>
      <c r="C3109" s="2" t="s">
        <v>4861</v>
      </c>
      <c r="D3109" s="2" t="s">
        <v>9669</v>
      </c>
      <c r="E3109" s="2" t="s">
        <v>9670</v>
      </c>
      <c r="F3109" s="2" t="s">
        <v>9671</v>
      </c>
      <c r="G3109" s="2" t="s">
        <v>9671</v>
      </c>
      <c r="H3109" s="2" t="s">
        <v>9671</v>
      </c>
      <c r="I3109" s="2" t="s">
        <v>9672</v>
      </c>
      <c r="J3109" s="2" t="s">
        <v>1936</v>
      </c>
      <c r="K3109" s="2" t="s">
        <v>10004</v>
      </c>
      <c r="L3109" s="3">
        <v>14.89</v>
      </c>
      <c r="M3109" s="3">
        <v>15.63</v>
      </c>
      <c r="N3109" s="3">
        <v>36.99</v>
      </c>
      <c r="O3109" s="2" t="s">
        <v>97</v>
      </c>
      <c r="P3109" s="2" t="s">
        <v>225</v>
      </c>
      <c r="Q3109" s="2" t="s">
        <v>99</v>
      </c>
      <c r="R3109" s="2" t="s">
        <v>100</v>
      </c>
      <c r="S3109" s="2" t="s">
        <v>10005</v>
      </c>
      <c r="T3109" s="2" t="s">
        <v>9675</v>
      </c>
      <c r="U3109" s="2" t="s">
        <v>480</v>
      </c>
      <c r="V3109" s="2" t="s">
        <v>3937</v>
      </c>
      <c r="W3109" s="2" t="s">
        <v>183</v>
      </c>
      <c r="X3109" s="2" t="s">
        <v>202</v>
      </c>
      <c r="Y3109" s="2" t="s">
        <v>3609</v>
      </c>
      <c r="Z3109" s="4">
        <v>1214</v>
      </c>
      <c r="AA3109" s="4">
        <f>=ROUNDDOWN(31.9473684210526,0)</f>
      </c>
      <c r="AB3109" s="5">
        <v>38</v>
      </c>
      <c r="AC3109" s="2" t="s">
        <v>2746</v>
      </c>
      <c r="AD3109" s="4">
        <v>405</v>
      </c>
      <c r="AE3109" s="4">
        <v>405</v>
      </c>
      <c r="AF3109" s="6">
        <v>69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202</v>
      </c>
      <c r="BK3109" s="8">
        <v>3453.48</v>
      </c>
      <c r="BL3109" s="2" t="s">
        <v>3806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207</v>
      </c>
      <c r="BV3109" s="2" t="s">
        <v>97</v>
      </c>
      <c r="BW3109" s="2" t="s">
        <v>100</v>
      </c>
      <c r="BX3109" s="2" t="s">
        <v>100</v>
      </c>
      <c r="BY3109" s="2" t="s">
        <v>113</v>
      </c>
      <c r="BZ3109" s="2" t="s">
        <v>100</v>
      </c>
    </row>
    <row r="3110">
      <c r="A3110" s="2" t="s">
        <v>10006</v>
      </c>
      <c r="B3110" s="2" t="s">
        <v>9668</v>
      </c>
      <c r="C3110" s="2" t="s">
        <v>4861</v>
      </c>
      <c r="D3110" s="2" t="s">
        <v>9669</v>
      </c>
      <c r="E3110" s="2" t="s">
        <v>9670</v>
      </c>
      <c r="F3110" s="2" t="s">
        <v>9671</v>
      </c>
      <c r="G3110" s="2" t="s">
        <v>9671</v>
      </c>
      <c r="H3110" s="2" t="s">
        <v>9671</v>
      </c>
      <c r="I3110" s="2" t="s">
        <v>9672</v>
      </c>
      <c r="J3110" s="2" t="s">
        <v>2072</v>
      </c>
      <c r="K3110" s="2" t="s">
        <v>10004</v>
      </c>
      <c r="L3110" s="3">
        <v>16.16</v>
      </c>
      <c r="M3110" s="3">
        <v>16.97</v>
      </c>
      <c r="N3110" s="3">
        <v>39.99</v>
      </c>
      <c r="O3110" s="2" t="s">
        <v>97</v>
      </c>
      <c r="P3110" s="2" t="s">
        <v>225</v>
      </c>
      <c r="Q3110" s="2" t="s">
        <v>99</v>
      </c>
      <c r="R3110" s="2" t="s">
        <v>100</v>
      </c>
      <c r="S3110" s="2" t="s">
        <v>10005</v>
      </c>
      <c r="T3110" s="2" t="s">
        <v>9675</v>
      </c>
      <c r="U3110" s="2" t="s">
        <v>480</v>
      </c>
      <c r="V3110" s="2" t="s">
        <v>3937</v>
      </c>
      <c r="W3110" s="2" t="s">
        <v>183</v>
      </c>
      <c r="X3110" s="2" t="s">
        <v>202</v>
      </c>
      <c r="Y3110" s="2" t="s">
        <v>3609</v>
      </c>
      <c r="Z3110" s="4">
        <v>1322</v>
      </c>
      <c r="AA3110" s="4">
        <f>=ROUNDDOWN(33.8974358974359,0)</f>
      </c>
      <c r="AB3110" s="5">
        <v>39</v>
      </c>
      <c r="AC3110" s="2" t="s">
        <v>2746</v>
      </c>
      <c r="AD3110" s="4">
        <v>388</v>
      </c>
      <c r="AE3110" s="4">
        <v>388</v>
      </c>
      <c r="AF3110" s="6">
        <v>69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 t="s">
        <v>100</v>
      </c>
      <c r="BJ3110" s="4">
        <v>167</v>
      </c>
      <c r="BK3110" s="8">
        <v>3143.59</v>
      </c>
      <c r="BL3110" s="2" t="s">
        <v>10007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207</v>
      </c>
      <c r="BV3110" s="2" t="s">
        <v>97</v>
      </c>
      <c r="BW3110" s="2" t="s">
        <v>100</v>
      </c>
      <c r="BX3110" s="2" t="s">
        <v>100</v>
      </c>
      <c r="BY3110" s="2" t="s">
        <v>113</v>
      </c>
      <c r="BZ3110" s="2" t="s">
        <v>100</v>
      </c>
    </row>
    <row r="3111">
      <c r="A3111" s="2" t="s">
        <v>10008</v>
      </c>
      <c r="B3111" s="2" t="s">
        <v>9668</v>
      </c>
      <c r="C3111" s="2" t="s">
        <v>4861</v>
      </c>
      <c r="D3111" s="2" t="s">
        <v>9669</v>
      </c>
      <c r="E3111" s="2" t="s">
        <v>9670</v>
      </c>
      <c r="F3111" s="2" t="s">
        <v>9671</v>
      </c>
      <c r="G3111" s="2" t="s">
        <v>9671</v>
      </c>
      <c r="H3111" s="2" t="s">
        <v>9671</v>
      </c>
      <c r="I3111" s="2" t="s">
        <v>9672</v>
      </c>
      <c r="J3111" s="2" t="s">
        <v>717</v>
      </c>
      <c r="K3111" s="2" t="s">
        <v>10004</v>
      </c>
      <c r="L3111" s="3">
        <v>19.57</v>
      </c>
      <c r="M3111" s="3">
        <v>20.55</v>
      </c>
      <c r="N3111" s="3">
        <v>47.99</v>
      </c>
      <c r="O3111" s="2" t="s">
        <v>97</v>
      </c>
      <c r="P3111" s="2" t="s">
        <v>225</v>
      </c>
      <c r="Q3111" s="2" t="s">
        <v>99</v>
      </c>
      <c r="R3111" s="2" t="s">
        <v>100</v>
      </c>
      <c r="S3111" s="2" t="s">
        <v>10005</v>
      </c>
      <c r="T3111" s="2" t="s">
        <v>9675</v>
      </c>
      <c r="U3111" s="2" t="s">
        <v>402</v>
      </c>
      <c r="V3111" s="2" t="s">
        <v>3937</v>
      </c>
      <c r="W3111" s="2" t="s">
        <v>183</v>
      </c>
      <c r="X3111" s="2" t="s">
        <v>202</v>
      </c>
      <c r="Y3111" s="2" t="s">
        <v>3609</v>
      </c>
      <c r="Z3111" s="4">
        <v>1451</v>
      </c>
      <c r="AA3111" s="4">
        <f>=ROUNDDOWN(33.7441860465116,0)</f>
      </c>
      <c r="AB3111" s="5">
        <v>43</v>
      </c>
      <c r="AC3111" s="2" t="s">
        <v>2746</v>
      </c>
      <c r="AD3111" s="4">
        <v>463</v>
      </c>
      <c r="AE3111" s="4">
        <v>463</v>
      </c>
      <c r="AF3111" s="6">
        <v>69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 t="s">
        <v>100</v>
      </c>
      <c r="BJ3111" s="4">
        <v>165</v>
      </c>
      <c r="BK3111" s="8">
        <v>3749.31</v>
      </c>
      <c r="BL3111" s="2" t="s">
        <v>10009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207</v>
      </c>
      <c r="BV3111" s="2" t="s">
        <v>97</v>
      </c>
      <c r="BW3111" s="2" t="s">
        <v>100</v>
      </c>
      <c r="BX3111" s="2" t="s">
        <v>100</v>
      </c>
      <c r="BY3111" s="2" t="s">
        <v>113</v>
      </c>
      <c r="BZ3111" s="2" t="s">
        <v>100</v>
      </c>
    </row>
    <row r="3112">
      <c r="A3112" s="2" t="s">
        <v>10010</v>
      </c>
      <c r="B3112" s="2" t="s">
        <v>9668</v>
      </c>
      <c r="C3112" s="2" t="s">
        <v>4861</v>
      </c>
      <c r="D3112" s="2" t="s">
        <v>9669</v>
      </c>
      <c r="E3112" s="2" t="s">
        <v>9670</v>
      </c>
      <c r="F3112" s="2" t="s">
        <v>9671</v>
      </c>
      <c r="G3112" s="2" t="s">
        <v>9671</v>
      </c>
      <c r="H3112" s="2" t="s">
        <v>9671</v>
      </c>
      <c r="I3112" s="2" t="s">
        <v>9672</v>
      </c>
      <c r="J3112" s="2" t="s">
        <v>706</v>
      </c>
      <c r="K3112" s="2" t="s">
        <v>10004</v>
      </c>
      <c r="L3112" s="3">
        <v>22.21</v>
      </c>
      <c r="M3112" s="3">
        <v>23.32</v>
      </c>
      <c r="N3112" s="3">
        <v>52.99</v>
      </c>
      <c r="O3112" s="2" t="s">
        <v>97</v>
      </c>
      <c r="P3112" s="2" t="s">
        <v>225</v>
      </c>
      <c r="Q3112" s="2" t="s">
        <v>99</v>
      </c>
      <c r="R3112" s="2" t="s">
        <v>100</v>
      </c>
      <c r="S3112" s="2" t="s">
        <v>10005</v>
      </c>
      <c r="T3112" s="2" t="s">
        <v>9675</v>
      </c>
      <c r="U3112" s="2" t="s">
        <v>402</v>
      </c>
      <c r="V3112" s="2" t="s">
        <v>3937</v>
      </c>
      <c r="W3112" s="2" t="s">
        <v>183</v>
      </c>
      <c r="X3112" s="2" t="s">
        <v>202</v>
      </c>
      <c r="Y3112" s="2" t="s">
        <v>1229</v>
      </c>
      <c r="Z3112" s="4">
        <v>1589</v>
      </c>
      <c r="AA3112" s="4">
        <f>=ROUNDDOWN(15.1333333333333,0)</f>
      </c>
      <c r="AB3112" s="5">
        <v>105</v>
      </c>
      <c r="AC3112" s="2" t="s">
        <v>2746</v>
      </c>
      <c r="AD3112" s="4">
        <v>1058</v>
      </c>
      <c r="AE3112" s="4">
        <v>1058</v>
      </c>
      <c r="AF3112" s="6">
        <v>69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>
        <v>4</v>
      </c>
      <c r="BK3112" s="8">
        <v>102.97</v>
      </c>
      <c r="BL3112" s="2" t="s">
        <v>10011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207</v>
      </c>
      <c r="BV3112" s="2" t="s">
        <v>97</v>
      </c>
      <c r="BW3112" s="2" t="s">
        <v>100</v>
      </c>
      <c r="BX3112" s="2" t="s">
        <v>100</v>
      </c>
      <c r="BY3112" s="2" t="s">
        <v>113</v>
      </c>
      <c r="BZ3112" s="2" t="s">
        <v>100</v>
      </c>
    </row>
    <row r="3113">
      <c r="A3113" s="2" t="s">
        <v>10012</v>
      </c>
      <c r="B3113" s="2" t="s">
        <v>9668</v>
      </c>
      <c r="C3113" s="2" t="s">
        <v>4861</v>
      </c>
      <c r="D3113" s="2" t="s">
        <v>9669</v>
      </c>
      <c r="E3113" s="2" t="s">
        <v>9670</v>
      </c>
      <c r="F3113" s="2" t="s">
        <v>9671</v>
      </c>
      <c r="G3113" s="2" t="s">
        <v>9671</v>
      </c>
      <c r="H3113" s="2" t="s">
        <v>9671</v>
      </c>
      <c r="I3113" s="2" t="s">
        <v>9672</v>
      </c>
      <c r="J3113" s="2" t="s">
        <v>714</v>
      </c>
      <c r="K3113" s="2" t="s">
        <v>10004</v>
      </c>
      <c r="L3113" s="3">
        <v>27.39</v>
      </c>
      <c r="M3113" s="3">
        <v>28.76</v>
      </c>
      <c r="N3113" s="3">
        <v>67.99</v>
      </c>
      <c r="O3113" s="2" t="s">
        <v>97</v>
      </c>
      <c r="P3113" s="2" t="s">
        <v>225</v>
      </c>
      <c r="Q3113" s="2" t="s">
        <v>99</v>
      </c>
      <c r="R3113" s="2" t="s">
        <v>100</v>
      </c>
      <c r="S3113" s="2" t="s">
        <v>10005</v>
      </c>
      <c r="T3113" s="2" t="s">
        <v>9675</v>
      </c>
      <c r="U3113" s="2" t="s">
        <v>402</v>
      </c>
      <c r="V3113" s="2" t="s">
        <v>3937</v>
      </c>
      <c r="W3113" s="2" t="s">
        <v>183</v>
      </c>
      <c r="X3113" s="2" t="s">
        <v>202</v>
      </c>
      <c r="Y3113" s="2" t="s">
        <v>3609</v>
      </c>
      <c r="Z3113" s="4">
        <v>1154</v>
      </c>
      <c r="AA3113" s="4">
        <f>=ROUNDDOWN(32.9714285714286,0)</f>
      </c>
      <c r="AB3113" s="5">
        <v>35</v>
      </c>
      <c r="AC3113" s="2" t="s">
        <v>2746</v>
      </c>
      <c r="AD3113" s="4">
        <v>329</v>
      </c>
      <c r="AE3113" s="4">
        <v>329</v>
      </c>
      <c r="AF3113" s="6">
        <v>69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 t="s">
        <v>100</v>
      </c>
      <c r="BJ3113" s="4">
        <v>80</v>
      </c>
      <c r="BK3113" s="8">
        <v>2517.26</v>
      </c>
      <c r="BL3113" s="2" t="s">
        <v>9635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207</v>
      </c>
      <c r="BV3113" s="2" t="s">
        <v>97</v>
      </c>
      <c r="BW3113" s="2" t="s">
        <v>100</v>
      </c>
      <c r="BX3113" s="2" t="s">
        <v>100</v>
      </c>
      <c r="BY3113" s="2" t="s">
        <v>113</v>
      </c>
      <c r="BZ3113" s="2" t="s">
        <v>100</v>
      </c>
    </row>
    <row r="3114">
      <c r="A3114" s="2" t="s">
        <v>10013</v>
      </c>
      <c r="B3114" s="2" t="s">
        <v>9668</v>
      </c>
      <c r="C3114" s="2" t="s">
        <v>4861</v>
      </c>
      <c r="D3114" s="2" t="s">
        <v>9669</v>
      </c>
      <c r="E3114" s="2" t="s">
        <v>9670</v>
      </c>
      <c r="F3114" s="2" t="s">
        <v>9671</v>
      </c>
      <c r="G3114" s="2" t="s">
        <v>9671</v>
      </c>
      <c r="H3114" s="2" t="s">
        <v>9671</v>
      </c>
      <c r="I3114" s="2" t="s">
        <v>9672</v>
      </c>
      <c r="J3114" s="2" t="s">
        <v>817</v>
      </c>
      <c r="K3114" s="2" t="s">
        <v>10004</v>
      </c>
      <c r="L3114" s="3">
        <v>27.39</v>
      </c>
      <c r="M3114" s="3">
        <v>28.76</v>
      </c>
      <c r="N3114" s="3">
        <v>67.99</v>
      </c>
      <c r="O3114" s="2" t="s">
        <v>97</v>
      </c>
      <c r="P3114" s="2" t="s">
        <v>225</v>
      </c>
      <c r="Q3114" s="2" t="s">
        <v>99</v>
      </c>
      <c r="R3114" s="2" t="s">
        <v>100</v>
      </c>
      <c r="S3114" s="2" t="s">
        <v>10005</v>
      </c>
      <c r="T3114" s="2" t="s">
        <v>9675</v>
      </c>
      <c r="U3114" s="2" t="s">
        <v>402</v>
      </c>
      <c r="V3114" s="2" t="s">
        <v>3937</v>
      </c>
      <c r="W3114" s="2" t="s">
        <v>183</v>
      </c>
      <c r="X3114" s="2" t="s">
        <v>202</v>
      </c>
      <c r="Y3114" s="2" t="s">
        <v>3749</v>
      </c>
      <c r="Z3114" s="4">
        <v>732</v>
      </c>
      <c r="AA3114" s="4">
        <f>=ROUNDDOWN(36.6,0)</f>
      </c>
      <c r="AB3114" s="5">
        <v>20</v>
      </c>
      <c r="AC3114" s="2" t="s">
        <v>2746</v>
      </c>
      <c r="AD3114" s="4">
        <v>190</v>
      </c>
      <c r="AE3114" s="4">
        <v>190</v>
      </c>
      <c r="AF3114" s="6">
        <v>69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>
        <v>19</v>
      </c>
      <c r="BK3114" s="8">
        <v>598.5</v>
      </c>
      <c r="BL3114" s="2" t="s">
        <v>9565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207</v>
      </c>
      <c r="BV3114" s="2" t="s">
        <v>97</v>
      </c>
      <c r="BW3114" s="2" t="s">
        <v>100</v>
      </c>
      <c r="BX3114" s="2" t="s">
        <v>100</v>
      </c>
      <c r="BY3114" s="2" t="s">
        <v>113</v>
      </c>
      <c r="BZ3114" s="2" t="s">
        <v>100</v>
      </c>
    </row>
    <row r="3115">
      <c r="A3115" s="2" t="s">
        <v>10014</v>
      </c>
      <c r="B3115" s="2" t="s">
        <v>9668</v>
      </c>
      <c r="C3115" s="2" t="s">
        <v>4861</v>
      </c>
      <c r="D3115" s="2" t="s">
        <v>9669</v>
      </c>
      <c r="E3115" s="2" t="s">
        <v>9670</v>
      </c>
      <c r="F3115" s="2" t="s">
        <v>10015</v>
      </c>
      <c r="G3115" s="2" t="s">
        <v>10015</v>
      </c>
      <c r="H3115" s="2" t="s">
        <v>10015</v>
      </c>
      <c r="I3115" s="2" t="s">
        <v>10016</v>
      </c>
      <c r="J3115" s="2" t="s">
        <v>1936</v>
      </c>
      <c r="K3115" s="2" t="s">
        <v>10017</v>
      </c>
      <c r="L3115" s="3">
        <v>24</v>
      </c>
      <c r="M3115" s="3">
        <v>25.2</v>
      </c>
      <c r="N3115" s="3">
        <v>49.99</v>
      </c>
      <c r="O3115" s="2" t="s">
        <v>97</v>
      </c>
      <c r="P3115" s="2" t="s">
        <v>119</v>
      </c>
      <c r="Q3115" s="2" t="s">
        <v>99</v>
      </c>
      <c r="R3115" s="2" t="s">
        <v>100</v>
      </c>
      <c r="S3115" s="2" t="s">
        <v>10018</v>
      </c>
      <c r="T3115" s="2" t="s">
        <v>5869</v>
      </c>
      <c r="U3115" s="2" t="s">
        <v>480</v>
      </c>
      <c r="V3115" s="2" t="s">
        <v>201</v>
      </c>
      <c r="W3115" s="2" t="s">
        <v>183</v>
      </c>
      <c r="X3115" s="2" t="s">
        <v>561</v>
      </c>
      <c r="Y3115" s="2" t="s">
        <v>240</v>
      </c>
      <c r="Z3115" s="4">
        <v>98</v>
      </c>
      <c r="AA3115" s="4">
        <f>=ROUNDDOWN(5.44444444444444,0)</f>
      </c>
      <c r="AB3115" s="5">
        <v>18</v>
      </c>
      <c r="AC3115" s="2" t="s">
        <v>100</v>
      </c>
      <c r="AD3115" s="4"/>
      <c r="AE3115" s="4"/>
      <c r="AF3115" s="6">
        <v>65</v>
      </c>
      <c r="AG3115" s="6"/>
      <c r="AH3115" s="7">
        <v>0.6578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>
        <v>11</v>
      </c>
      <c r="AQ3115" s="8">
        <v>266.42</v>
      </c>
      <c r="AR3115" s="4"/>
      <c r="AS3115" s="8"/>
      <c r="AT3115" s="7"/>
      <c r="AU3115" s="7"/>
      <c r="AV3115" s="4">
        <v>12</v>
      </c>
      <c r="AW3115" s="8">
        <v>297.89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>
        <v>0.8944</v>
      </c>
      <c r="BC3115" s="4">
        <v>52</v>
      </c>
      <c r="BD3115" s="8">
        <v>1330.92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0.2238</v>
      </c>
      <c r="BJ3115" s="4">
        <v>182</v>
      </c>
      <c r="BK3115" s="8">
        <v>4699.5</v>
      </c>
      <c r="BL3115" s="2" t="s">
        <v>10019</v>
      </c>
      <c r="BM3115" s="7">
        <v>0.0604</v>
      </c>
      <c r="BN3115" s="7">
        <v>0.0567</v>
      </c>
      <c r="BO3115" s="4">
        <v>11</v>
      </c>
      <c r="BP3115" s="8">
        <v>266.42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4675</v>
      </c>
      <c r="BX3115" s="2" t="s">
        <v>9850</v>
      </c>
      <c r="BY3115" s="2" t="s">
        <v>113</v>
      </c>
      <c r="BZ3115" s="2" t="s">
        <v>100</v>
      </c>
    </row>
    <row r="3116">
      <c r="A3116" s="2" t="s">
        <v>10020</v>
      </c>
      <c r="B3116" s="2" t="s">
        <v>9668</v>
      </c>
      <c r="C3116" s="2" t="s">
        <v>4861</v>
      </c>
      <c r="D3116" s="2" t="s">
        <v>9669</v>
      </c>
      <c r="E3116" s="2" t="s">
        <v>9670</v>
      </c>
      <c r="F3116" s="2" t="s">
        <v>10015</v>
      </c>
      <c r="G3116" s="2" t="s">
        <v>10015</v>
      </c>
      <c r="H3116" s="2" t="s">
        <v>10015</v>
      </c>
      <c r="I3116" s="2" t="s">
        <v>10016</v>
      </c>
      <c r="J3116" s="2" t="s">
        <v>717</v>
      </c>
      <c r="K3116" s="2" t="s">
        <v>10017</v>
      </c>
      <c r="L3116" s="3">
        <v>28.2</v>
      </c>
      <c r="M3116" s="3">
        <v>29.61</v>
      </c>
      <c r="N3116" s="3">
        <v>59.99</v>
      </c>
      <c r="O3116" s="2" t="s">
        <v>97</v>
      </c>
      <c r="P3116" s="2" t="s">
        <v>119</v>
      </c>
      <c r="Q3116" s="2" t="s">
        <v>99</v>
      </c>
      <c r="R3116" s="2" t="s">
        <v>100</v>
      </c>
      <c r="S3116" s="2" t="s">
        <v>10018</v>
      </c>
      <c r="T3116" s="2" t="s">
        <v>5869</v>
      </c>
      <c r="U3116" s="2" t="s">
        <v>402</v>
      </c>
      <c r="V3116" s="2" t="s">
        <v>201</v>
      </c>
      <c r="W3116" s="2" t="s">
        <v>183</v>
      </c>
      <c r="X3116" s="2" t="s">
        <v>561</v>
      </c>
      <c r="Y3116" s="2" t="s">
        <v>240</v>
      </c>
      <c r="Z3116" s="4">
        <v>55</v>
      </c>
      <c r="AA3116" s="4">
        <f>=ROUNDDOWN(4.23076923076923,0)</f>
      </c>
      <c r="AB3116" s="5">
        <v>13</v>
      </c>
      <c r="AC3116" s="2" t="s">
        <v>100</v>
      </c>
      <c r="AD3116" s="4"/>
      <c r="AE3116" s="4"/>
      <c r="AF3116" s="6">
        <v>65</v>
      </c>
      <c r="AG3116" s="6"/>
      <c r="AH3116" s="7">
        <v>0.6524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>
        <v>246</v>
      </c>
      <c r="BK3116" s="8">
        <v>7417.71</v>
      </c>
      <c r="BL3116" s="2" t="s">
        <v>10021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4675</v>
      </c>
      <c r="BX3116" s="2" t="s">
        <v>8658</v>
      </c>
      <c r="BY3116" s="2" t="s">
        <v>113</v>
      </c>
      <c r="BZ3116" s="2" t="s">
        <v>100</v>
      </c>
    </row>
    <row r="3117">
      <c r="A3117" s="2" t="s">
        <v>10022</v>
      </c>
      <c r="B3117" s="2" t="s">
        <v>9668</v>
      </c>
      <c r="C3117" s="2" t="s">
        <v>4861</v>
      </c>
      <c r="D3117" s="2" t="s">
        <v>9669</v>
      </c>
      <c r="E3117" s="2" t="s">
        <v>9670</v>
      </c>
      <c r="F3117" s="2" t="s">
        <v>10015</v>
      </c>
      <c r="G3117" s="2" t="s">
        <v>10015</v>
      </c>
      <c r="H3117" s="2" t="s">
        <v>10015</v>
      </c>
      <c r="I3117" s="2" t="s">
        <v>10016</v>
      </c>
      <c r="J3117" s="2" t="s">
        <v>706</v>
      </c>
      <c r="K3117" s="2" t="s">
        <v>10017</v>
      </c>
      <c r="L3117" s="3">
        <v>31.85</v>
      </c>
      <c r="M3117" s="3">
        <v>33.44</v>
      </c>
      <c r="N3117" s="3">
        <v>64.99</v>
      </c>
      <c r="O3117" s="2" t="s">
        <v>97</v>
      </c>
      <c r="P3117" s="2" t="s">
        <v>98</v>
      </c>
      <c r="Q3117" s="2" t="s">
        <v>99</v>
      </c>
      <c r="R3117" s="2" t="s">
        <v>100</v>
      </c>
      <c r="S3117" s="2" t="s">
        <v>10018</v>
      </c>
      <c r="T3117" s="2" t="s">
        <v>5869</v>
      </c>
      <c r="U3117" s="2" t="s">
        <v>402</v>
      </c>
      <c r="V3117" s="2" t="s">
        <v>201</v>
      </c>
      <c r="W3117" s="2" t="s">
        <v>183</v>
      </c>
      <c r="X3117" s="2" t="s">
        <v>561</v>
      </c>
      <c r="Y3117" s="2" t="s">
        <v>240</v>
      </c>
      <c r="Z3117" s="4">
        <v>789</v>
      </c>
      <c r="AA3117" s="4">
        <f>=ROUNDDOWN(24.65625,0)</f>
      </c>
      <c r="AB3117" s="5">
        <v>32</v>
      </c>
      <c r="AC3117" s="2" t="s">
        <v>100</v>
      </c>
      <c r="AD3117" s="4"/>
      <c r="AE3117" s="4"/>
      <c r="AF3117" s="6">
        <v>65</v>
      </c>
      <c r="AG3117" s="6"/>
      <c r="AH3117" s="7">
        <v>0.6578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>
        <v>1</v>
      </c>
      <c r="AQ3117" s="8">
        <v>31.47</v>
      </c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>
        <v>0.1056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 t="s">
        <v>100</v>
      </c>
      <c r="BJ3117" s="4">
        <v>419</v>
      </c>
      <c r="BK3117" s="8">
        <v>13586.5</v>
      </c>
      <c r="BL3117" s="2" t="s">
        <v>10023</v>
      </c>
      <c r="BM3117" s="7">
        <v>0.0024</v>
      </c>
      <c r="BN3117" s="7">
        <v>0.0023</v>
      </c>
      <c r="BO3117" s="4">
        <v>1</v>
      </c>
      <c r="BP3117" s="8">
        <v>31.47</v>
      </c>
      <c r="BQ3117" s="4"/>
      <c r="BR3117" s="8"/>
      <c r="BS3117" s="7"/>
      <c r="BT3117" s="7"/>
      <c r="BU3117" s="2" t="s">
        <v>109</v>
      </c>
      <c r="BV3117" s="2" t="s">
        <v>110</v>
      </c>
      <c r="BW3117" s="2" t="s">
        <v>4675</v>
      </c>
      <c r="BX3117" s="2" t="s">
        <v>1798</v>
      </c>
      <c r="BY3117" s="2" t="s">
        <v>113</v>
      </c>
      <c r="BZ3117" s="2" t="s">
        <v>100</v>
      </c>
    </row>
    <row r="3118">
      <c r="A3118" s="2" t="s">
        <v>10024</v>
      </c>
      <c r="B3118" s="2" t="s">
        <v>9668</v>
      </c>
      <c r="C3118" s="2" t="s">
        <v>4861</v>
      </c>
      <c r="D3118" s="2" t="s">
        <v>9669</v>
      </c>
      <c r="E3118" s="2" t="s">
        <v>9670</v>
      </c>
      <c r="F3118" s="2" t="s">
        <v>10015</v>
      </c>
      <c r="G3118" s="2" t="s">
        <v>10015</v>
      </c>
      <c r="H3118" s="2" t="s">
        <v>10015</v>
      </c>
      <c r="I3118" s="2" t="s">
        <v>10016</v>
      </c>
      <c r="J3118" s="2" t="s">
        <v>1936</v>
      </c>
      <c r="K3118" s="2" t="s">
        <v>1614</v>
      </c>
      <c r="L3118" s="3">
        <v>21.62</v>
      </c>
      <c r="M3118" s="3">
        <v>22.7</v>
      </c>
      <c r="N3118" s="3">
        <v>46.99</v>
      </c>
      <c r="O3118" s="2" t="s">
        <v>97</v>
      </c>
      <c r="P3118" s="2" t="s">
        <v>119</v>
      </c>
      <c r="Q3118" s="2" t="s">
        <v>99</v>
      </c>
      <c r="R3118" s="2" t="s">
        <v>100</v>
      </c>
      <c r="S3118" s="2" t="s">
        <v>10025</v>
      </c>
      <c r="T3118" s="2" t="s">
        <v>5869</v>
      </c>
      <c r="U3118" s="2" t="s">
        <v>480</v>
      </c>
      <c r="V3118" s="2" t="s">
        <v>146</v>
      </c>
      <c r="W3118" s="2" t="s">
        <v>183</v>
      </c>
      <c r="X3118" s="2" t="s">
        <v>561</v>
      </c>
      <c r="Y3118" s="2" t="s">
        <v>240</v>
      </c>
      <c r="Z3118" s="4">
        <v>286</v>
      </c>
      <c r="AA3118" s="4">
        <f>=ROUNDDOWN(16.8235294117647,0)</f>
      </c>
      <c r="AB3118" s="5">
        <v>17</v>
      </c>
      <c r="AC3118" s="2" t="s">
        <v>100</v>
      </c>
      <c r="AD3118" s="4"/>
      <c r="AE3118" s="4"/>
      <c r="AF3118" s="6">
        <v>65</v>
      </c>
      <c r="AG3118" s="6"/>
      <c r="AH3118" s="7">
        <v>0.6524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>
        <v>7</v>
      </c>
      <c r="AQ3118" s="8">
        <v>152.81</v>
      </c>
      <c r="AR3118" s="4"/>
      <c r="AS3118" s="8"/>
      <c r="AT3118" s="7"/>
      <c r="AU3118" s="7"/>
      <c r="AV3118" s="4">
        <v>11</v>
      </c>
      <c r="AW3118" s="8">
        <v>269.58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>
        <v>0.5668</v>
      </c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0.2026</v>
      </c>
      <c r="BJ3118" s="4">
        <v>215</v>
      </c>
      <c r="BK3118" s="8">
        <v>5058.54</v>
      </c>
      <c r="BL3118" s="2" t="s">
        <v>10026</v>
      </c>
      <c r="BM3118" s="7">
        <v>0.0326</v>
      </c>
      <c r="BN3118" s="7">
        <v>0.0302</v>
      </c>
      <c r="BO3118" s="4">
        <v>7</v>
      </c>
      <c r="BP3118" s="8">
        <v>152.81</v>
      </c>
      <c r="BQ3118" s="4"/>
      <c r="BR3118" s="8"/>
      <c r="BS3118" s="7"/>
      <c r="BT3118" s="7"/>
      <c r="BU3118" s="2" t="s">
        <v>109</v>
      </c>
      <c r="BV3118" s="2" t="s">
        <v>110</v>
      </c>
      <c r="BW3118" s="2" t="s">
        <v>1085</v>
      </c>
      <c r="BX3118" s="2" t="s">
        <v>10027</v>
      </c>
      <c r="BY3118" s="2" t="s">
        <v>113</v>
      </c>
      <c r="BZ3118" s="2" t="s">
        <v>100</v>
      </c>
    </row>
    <row r="3119">
      <c r="A3119" s="2" t="s">
        <v>10028</v>
      </c>
      <c r="B3119" s="2" t="s">
        <v>9668</v>
      </c>
      <c r="C3119" s="2" t="s">
        <v>4861</v>
      </c>
      <c r="D3119" s="2" t="s">
        <v>9669</v>
      </c>
      <c r="E3119" s="2" t="s">
        <v>9670</v>
      </c>
      <c r="F3119" s="2" t="s">
        <v>10015</v>
      </c>
      <c r="G3119" s="2" t="s">
        <v>10015</v>
      </c>
      <c r="H3119" s="2" t="s">
        <v>10015</v>
      </c>
      <c r="I3119" s="2" t="s">
        <v>10016</v>
      </c>
      <c r="J3119" s="2" t="s">
        <v>2072</v>
      </c>
      <c r="K3119" s="2" t="s">
        <v>1614</v>
      </c>
      <c r="L3119" s="3">
        <v>23.04</v>
      </c>
      <c r="M3119" s="3">
        <v>24.19</v>
      </c>
      <c r="N3119" s="3">
        <v>47.99</v>
      </c>
      <c r="O3119" s="2" t="s">
        <v>97</v>
      </c>
      <c r="P3119" s="2" t="s">
        <v>119</v>
      </c>
      <c r="Q3119" s="2" t="s">
        <v>99</v>
      </c>
      <c r="R3119" s="2" t="s">
        <v>100</v>
      </c>
      <c r="S3119" s="2" t="s">
        <v>10025</v>
      </c>
      <c r="T3119" s="2" t="s">
        <v>5869</v>
      </c>
      <c r="U3119" s="2" t="s">
        <v>480</v>
      </c>
      <c r="V3119" s="2" t="s">
        <v>146</v>
      </c>
      <c r="W3119" s="2" t="s">
        <v>183</v>
      </c>
      <c r="X3119" s="2" t="s">
        <v>561</v>
      </c>
      <c r="Y3119" s="2" t="s">
        <v>240</v>
      </c>
      <c r="Z3119" s="4">
        <v>139</v>
      </c>
      <c r="AA3119" s="4">
        <f>=ROUNDDOWN(19.8571428571429,0)</f>
      </c>
      <c r="AB3119" s="5">
        <v>7</v>
      </c>
      <c r="AC3119" s="2" t="s">
        <v>100</v>
      </c>
      <c r="AD3119" s="4"/>
      <c r="AE3119" s="4"/>
      <c r="AF3119" s="6">
        <v>65</v>
      </c>
      <c r="AG3119" s="6"/>
      <c r="AH3119" s="7">
        <v>0.7059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 t="s">
        <v>100</v>
      </c>
      <c r="BJ3119" s="4">
        <v>129</v>
      </c>
      <c r="BK3119" s="8">
        <v>3230.02</v>
      </c>
      <c r="BL3119" s="2" t="s">
        <v>10029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1085</v>
      </c>
      <c r="BX3119" s="2" t="s">
        <v>2001</v>
      </c>
      <c r="BY3119" s="2" t="s">
        <v>113</v>
      </c>
      <c r="BZ3119" s="2" t="s">
        <v>100</v>
      </c>
    </row>
    <row r="3120">
      <c r="A3120" s="2" t="s">
        <v>10030</v>
      </c>
      <c r="B3120" s="2" t="s">
        <v>9668</v>
      </c>
      <c r="C3120" s="2" t="s">
        <v>4861</v>
      </c>
      <c r="D3120" s="2" t="s">
        <v>9669</v>
      </c>
      <c r="E3120" s="2" t="s">
        <v>9670</v>
      </c>
      <c r="F3120" s="2" t="s">
        <v>10015</v>
      </c>
      <c r="G3120" s="2" t="s">
        <v>10015</v>
      </c>
      <c r="H3120" s="2" t="s">
        <v>10015</v>
      </c>
      <c r="I3120" s="2" t="s">
        <v>10016</v>
      </c>
      <c r="J3120" s="2" t="s">
        <v>717</v>
      </c>
      <c r="K3120" s="2" t="s">
        <v>1614</v>
      </c>
      <c r="L3120" s="3">
        <v>25.3</v>
      </c>
      <c r="M3120" s="3">
        <v>26.56</v>
      </c>
      <c r="N3120" s="3">
        <v>54.99</v>
      </c>
      <c r="O3120" s="2" t="s">
        <v>97</v>
      </c>
      <c r="P3120" s="2" t="s">
        <v>119</v>
      </c>
      <c r="Q3120" s="2" t="s">
        <v>99</v>
      </c>
      <c r="R3120" s="2" t="s">
        <v>100</v>
      </c>
      <c r="S3120" s="2" t="s">
        <v>10025</v>
      </c>
      <c r="T3120" s="2" t="s">
        <v>5869</v>
      </c>
      <c r="U3120" s="2" t="s">
        <v>402</v>
      </c>
      <c r="V3120" s="2" t="s">
        <v>146</v>
      </c>
      <c r="W3120" s="2" t="s">
        <v>183</v>
      </c>
      <c r="X3120" s="2" t="s">
        <v>561</v>
      </c>
      <c r="Y3120" s="2" t="s">
        <v>240</v>
      </c>
      <c r="Z3120" s="4">
        <v>341</v>
      </c>
      <c r="AA3120" s="4">
        <f>=ROUNDDOWN(28.4166666666667,0)</f>
      </c>
      <c r="AB3120" s="5">
        <v>12</v>
      </c>
      <c r="AC3120" s="2" t="s">
        <v>100</v>
      </c>
      <c r="AD3120" s="4"/>
      <c r="AE3120" s="4"/>
      <c r="AF3120" s="6">
        <v>65</v>
      </c>
      <c r="AG3120" s="6"/>
      <c r="AH3120" s="7">
        <v>0.6524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110</v>
      </c>
      <c r="BK3120" s="8">
        <v>3062.46</v>
      </c>
      <c r="BL3120" s="2" t="s">
        <v>10031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1085</v>
      </c>
      <c r="BX3120" s="2" t="s">
        <v>1526</v>
      </c>
      <c r="BY3120" s="2" t="s">
        <v>113</v>
      </c>
      <c r="BZ3120" s="2" t="s">
        <v>100</v>
      </c>
    </row>
    <row r="3121">
      <c r="A3121" s="2" t="s">
        <v>10032</v>
      </c>
      <c r="B3121" s="2" t="s">
        <v>9668</v>
      </c>
      <c r="C3121" s="2" t="s">
        <v>4861</v>
      </c>
      <c r="D3121" s="2" t="s">
        <v>9669</v>
      </c>
      <c r="E3121" s="2" t="s">
        <v>9670</v>
      </c>
      <c r="F3121" s="2" t="s">
        <v>10015</v>
      </c>
      <c r="G3121" s="2" t="s">
        <v>10015</v>
      </c>
      <c r="H3121" s="2" t="s">
        <v>10015</v>
      </c>
      <c r="I3121" s="2" t="s">
        <v>10016</v>
      </c>
      <c r="J3121" s="2" t="s">
        <v>706</v>
      </c>
      <c r="K3121" s="2" t="s">
        <v>1614</v>
      </c>
      <c r="L3121" s="3">
        <v>28.2</v>
      </c>
      <c r="M3121" s="3">
        <v>29.61</v>
      </c>
      <c r="N3121" s="3">
        <v>59.99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10025</v>
      </c>
      <c r="T3121" s="2" t="s">
        <v>5869</v>
      </c>
      <c r="U3121" s="2" t="s">
        <v>402</v>
      </c>
      <c r="V3121" s="2" t="s">
        <v>146</v>
      </c>
      <c r="W3121" s="2" t="s">
        <v>183</v>
      </c>
      <c r="X3121" s="2" t="s">
        <v>561</v>
      </c>
      <c r="Y3121" s="2" t="s">
        <v>240</v>
      </c>
      <c r="Z3121" s="4">
        <v>731</v>
      </c>
      <c r="AA3121" s="4">
        <f>=ROUNDDOWN(24.3666666666667,0)</f>
      </c>
      <c r="AB3121" s="5">
        <v>30</v>
      </c>
      <c r="AC3121" s="2" t="s">
        <v>100</v>
      </c>
      <c r="AD3121" s="4"/>
      <c r="AE3121" s="4"/>
      <c r="AF3121" s="6">
        <v>65</v>
      </c>
      <c r="AG3121" s="6"/>
      <c r="AH3121" s="7">
        <v>0.631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>
        <v>3</v>
      </c>
      <c r="AQ3121" s="8">
        <v>85.02</v>
      </c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>
        <v>0.3154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 t="s">
        <v>100</v>
      </c>
      <c r="BJ3121" s="4">
        <v>419</v>
      </c>
      <c r="BK3121" s="8">
        <v>12926.54</v>
      </c>
      <c r="BL3121" s="2" t="s">
        <v>10033</v>
      </c>
      <c r="BM3121" s="7">
        <v>0.0072</v>
      </c>
      <c r="BN3121" s="7">
        <v>0.0066</v>
      </c>
      <c r="BO3121" s="4">
        <v>3</v>
      </c>
      <c r="BP3121" s="8">
        <v>85.02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1085</v>
      </c>
      <c r="BX3121" s="2" t="s">
        <v>4715</v>
      </c>
      <c r="BY3121" s="2" t="s">
        <v>113</v>
      </c>
      <c r="BZ3121" s="2" t="s">
        <v>100</v>
      </c>
    </row>
    <row r="3122">
      <c r="A3122" s="2" t="s">
        <v>10034</v>
      </c>
      <c r="B3122" s="2" t="s">
        <v>9668</v>
      </c>
      <c r="C3122" s="2" t="s">
        <v>4861</v>
      </c>
      <c r="D3122" s="2" t="s">
        <v>9669</v>
      </c>
      <c r="E3122" s="2" t="s">
        <v>9670</v>
      </c>
      <c r="F3122" s="2" t="s">
        <v>10015</v>
      </c>
      <c r="G3122" s="2" t="s">
        <v>10015</v>
      </c>
      <c r="H3122" s="2" t="s">
        <v>10015</v>
      </c>
      <c r="I3122" s="2" t="s">
        <v>10016</v>
      </c>
      <c r="J3122" s="2" t="s">
        <v>817</v>
      </c>
      <c r="K3122" s="2" t="s">
        <v>1614</v>
      </c>
      <c r="L3122" s="3">
        <v>31.85</v>
      </c>
      <c r="M3122" s="3">
        <v>33.44</v>
      </c>
      <c r="N3122" s="3">
        <v>64.99</v>
      </c>
      <c r="O3122" s="2" t="s">
        <v>97</v>
      </c>
      <c r="P3122" s="2" t="s">
        <v>119</v>
      </c>
      <c r="Q3122" s="2" t="s">
        <v>99</v>
      </c>
      <c r="R3122" s="2" t="s">
        <v>100</v>
      </c>
      <c r="S3122" s="2" t="s">
        <v>10025</v>
      </c>
      <c r="T3122" s="2" t="s">
        <v>5869</v>
      </c>
      <c r="U3122" s="2" t="s">
        <v>402</v>
      </c>
      <c r="V3122" s="2" t="s">
        <v>146</v>
      </c>
      <c r="W3122" s="2" t="s">
        <v>183</v>
      </c>
      <c r="X3122" s="2" t="s">
        <v>561</v>
      </c>
      <c r="Y3122" s="2" t="s">
        <v>240</v>
      </c>
      <c r="Z3122" s="4">
        <v>356</v>
      </c>
      <c r="AA3122" s="4">
        <f>=ROUNDDOWN(32.3636363636364,0)</f>
      </c>
      <c r="AB3122" s="5">
        <v>11</v>
      </c>
      <c r="AC3122" s="2" t="s">
        <v>100</v>
      </c>
      <c r="AD3122" s="4"/>
      <c r="AE3122" s="4"/>
      <c r="AF3122" s="6">
        <v>65</v>
      </c>
      <c r="AG3122" s="6"/>
      <c r="AH3122" s="7">
        <v>0.6471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>
        <v>1</v>
      </c>
      <c r="AQ3122" s="8">
        <v>31.75</v>
      </c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>
        <v>0.1178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>
        <v>45</v>
      </c>
      <c r="BK3122" s="8">
        <v>1567.57</v>
      </c>
      <c r="BL3122" s="2" t="s">
        <v>9821</v>
      </c>
      <c r="BM3122" s="7">
        <v>0.0222</v>
      </c>
      <c r="BN3122" s="7">
        <v>0.0203</v>
      </c>
      <c r="BO3122" s="4">
        <v>1</v>
      </c>
      <c r="BP3122" s="8">
        <v>31.75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1085</v>
      </c>
      <c r="BX3122" s="2" t="s">
        <v>1526</v>
      </c>
      <c r="BY3122" s="2" t="s">
        <v>113</v>
      </c>
      <c r="BZ3122" s="2" t="s">
        <v>100</v>
      </c>
    </row>
    <row r="3123">
      <c r="A3123" s="2" t="s">
        <v>10035</v>
      </c>
      <c r="B3123" s="2" t="s">
        <v>9668</v>
      </c>
      <c r="C3123" s="2" t="s">
        <v>4861</v>
      </c>
      <c r="D3123" s="2" t="s">
        <v>9669</v>
      </c>
      <c r="E3123" s="2" t="s">
        <v>9670</v>
      </c>
      <c r="F3123" s="2" t="s">
        <v>10015</v>
      </c>
      <c r="G3123" s="2" t="s">
        <v>10015</v>
      </c>
      <c r="H3123" s="2" t="s">
        <v>10015</v>
      </c>
      <c r="I3123" s="2" t="s">
        <v>10016</v>
      </c>
      <c r="J3123" s="2" t="s">
        <v>1936</v>
      </c>
      <c r="K3123" s="2" t="s">
        <v>278</v>
      </c>
      <c r="L3123" s="3">
        <v>21.62</v>
      </c>
      <c r="M3123" s="3">
        <v>22.7</v>
      </c>
      <c r="N3123" s="3">
        <v>46.99</v>
      </c>
      <c r="O3123" s="2" t="s">
        <v>97</v>
      </c>
      <c r="P3123" s="2" t="s">
        <v>119</v>
      </c>
      <c r="Q3123" s="2" t="s">
        <v>99</v>
      </c>
      <c r="R3123" s="2" t="s">
        <v>100</v>
      </c>
      <c r="S3123" s="2" t="s">
        <v>10036</v>
      </c>
      <c r="T3123" s="2" t="s">
        <v>5869</v>
      </c>
      <c r="U3123" s="2" t="s">
        <v>480</v>
      </c>
      <c r="V3123" s="2" t="s">
        <v>146</v>
      </c>
      <c r="W3123" s="2" t="s">
        <v>183</v>
      </c>
      <c r="X3123" s="2" t="s">
        <v>561</v>
      </c>
      <c r="Y3123" s="2" t="s">
        <v>240</v>
      </c>
      <c r="Z3123" s="4">
        <v>227</v>
      </c>
      <c r="AA3123" s="4">
        <f>=ROUNDDOWN(20.6363636363636,0)</f>
      </c>
      <c r="AB3123" s="5">
        <v>11</v>
      </c>
      <c r="AC3123" s="2" t="s">
        <v>100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>
        <v>4</v>
      </c>
      <c r="AQ3123" s="8">
        <v>87.32</v>
      </c>
      <c r="AR3123" s="4"/>
      <c r="AS3123" s="8"/>
      <c r="AT3123" s="7"/>
      <c r="AU3123" s="7"/>
      <c r="AV3123" s="4">
        <v>10</v>
      </c>
      <c r="AW3123" s="8">
        <v>235.28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>
        <v>0.3711</v>
      </c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0.1768</v>
      </c>
      <c r="BJ3123" s="4">
        <v>127</v>
      </c>
      <c r="BK3123" s="8">
        <v>3013.73</v>
      </c>
      <c r="BL3123" s="2" t="s">
        <v>10037</v>
      </c>
      <c r="BM3123" s="7">
        <v>0.0315</v>
      </c>
      <c r="BN3123" s="7">
        <v>0.029</v>
      </c>
      <c r="BO3123" s="4">
        <v>4</v>
      </c>
      <c r="BP3123" s="8">
        <v>87.32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1085</v>
      </c>
      <c r="BX3123" s="2" t="s">
        <v>6724</v>
      </c>
      <c r="BY3123" s="2" t="s">
        <v>113</v>
      </c>
      <c r="BZ3123" s="2" t="s">
        <v>100</v>
      </c>
    </row>
    <row r="3124">
      <c r="A3124" s="2" t="s">
        <v>10038</v>
      </c>
      <c r="B3124" s="2" t="s">
        <v>9668</v>
      </c>
      <c r="C3124" s="2" t="s">
        <v>4861</v>
      </c>
      <c r="D3124" s="2" t="s">
        <v>9669</v>
      </c>
      <c r="E3124" s="2" t="s">
        <v>9670</v>
      </c>
      <c r="F3124" s="2" t="s">
        <v>10015</v>
      </c>
      <c r="G3124" s="2" t="s">
        <v>10015</v>
      </c>
      <c r="H3124" s="2" t="s">
        <v>10015</v>
      </c>
      <c r="I3124" s="2" t="s">
        <v>10016</v>
      </c>
      <c r="J3124" s="2" t="s">
        <v>2072</v>
      </c>
      <c r="K3124" s="2" t="s">
        <v>278</v>
      </c>
      <c r="L3124" s="3">
        <v>23.04</v>
      </c>
      <c r="M3124" s="3">
        <v>24.19</v>
      </c>
      <c r="N3124" s="3">
        <v>47.99</v>
      </c>
      <c r="O3124" s="2" t="s">
        <v>97</v>
      </c>
      <c r="P3124" s="2" t="s">
        <v>119</v>
      </c>
      <c r="Q3124" s="2" t="s">
        <v>99</v>
      </c>
      <c r="R3124" s="2" t="s">
        <v>100</v>
      </c>
      <c r="S3124" s="2" t="s">
        <v>10036</v>
      </c>
      <c r="T3124" s="2" t="s">
        <v>5869</v>
      </c>
      <c r="U3124" s="2" t="s">
        <v>480</v>
      </c>
      <c r="V3124" s="2" t="s">
        <v>146</v>
      </c>
      <c r="W3124" s="2" t="s">
        <v>183</v>
      </c>
      <c r="X3124" s="2" t="s">
        <v>561</v>
      </c>
      <c r="Y3124" s="2" t="s">
        <v>240</v>
      </c>
      <c r="Z3124" s="4">
        <v>261</v>
      </c>
      <c r="AA3124" s="4">
        <f>=ROUNDDOWN(20.0769230769231,0)</f>
      </c>
      <c r="AB3124" s="5">
        <v>13</v>
      </c>
      <c r="AC3124" s="2" t="s">
        <v>100</v>
      </c>
      <c r="AD3124" s="4"/>
      <c r="AE3124" s="4"/>
      <c r="AF3124" s="6">
        <v>65</v>
      </c>
      <c r="AG3124" s="6"/>
      <c r="AH3124" s="7">
        <v>0.6578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>
        <v>2</v>
      </c>
      <c r="AQ3124" s="8">
        <v>45.92</v>
      </c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>
        <v>0.1952</v>
      </c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 t="s">
        <v>100</v>
      </c>
      <c r="BJ3124" s="4">
        <v>153</v>
      </c>
      <c r="BK3124" s="8">
        <v>3735.89</v>
      </c>
      <c r="BL3124" s="2" t="s">
        <v>10039</v>
      </c>
      <c r="BM3124" s="7">
        <v>0.0131</v>
      </c>
      <c r="BN3124" s="7">
        <v>0.0123</v>
      </c>
      <c r="BO3124" s="4">
        <v>2</v>
      </c>
      <c r="BP3124" s="8">
        <v>45.92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1085</v>
      </c>
      <c r="BX3124" s="2" t="s">
        <v>6724</v>
      </c>
      <c r="BY3124" s="2" t="s">
        <v>113</v>
      </c>
      <c r="BZ3124" s="2" t="s">
        <v>100</v>
      </c>
    </row>
    <row r="3125">
      <c r="A3125" s="2" t="s">
        <v>10040</v>
      </c>
      <c r="B3125" s="2" t="s">
        <v>9668</v>
      </c>
      <c r="C3125" s="2" t="s">
        <v>4861</v>
      </c>
      <c r="D3125" s="2" t="s">
        <v>9669</v>
      </c>
      <c r="E3125" s="2" t="s">
        <v>9670</v>
      </c>
      <c r="F3125" s="2" t="s">
        <v>10015</v>
      </c>
      <c r="G3125" s="2" t="s">
        <v>10015</v>
      </c>
      <c r="H3125" s="2" t="s">
        <v>10015</v>
      </c>
      <c r="I3125" s="2" t="s">
        <v>10016</v>
      </c>
      <c r="J3125" s="2" t="s">
        <v>717</v>
      </c>
      <c r="K3125" s="2" t="s">
        <v>278</v>
      </c>
      <c r="L3125" s="3">
        <v>25.3</v>
      </c>
      <c r="M3125" s="3">
        <v>26.56</v>
      </c>
      <c r="N3125" s="3">
        <v>54.99</v>
      </c>
      <c r="O3125" s="2" t="s">
        <v>97</v>
      </c>
      <c r="P3125" s="2" t="s">
        <v>119</v>
      </c>
      <c r="Q3125" s="2" t="s">
        <v>99</v>
      </c>
      <c r="R3125" s="2" t="s">
        <v>100</v>
      </c>
      <c r="S3125" s="2" t="s">
        <v>10036</v>
      </c>
      <c r="T3125" s="2" t="s">
        <v>5869</v>
      </c>
      <c r="U3125" s="2" t="s">
        <v>402</v>
      </c>
      <c r="V3125" s="2" t="s">
        <v>146</v>
      </c>
      <c r="W3125" s="2" t="s">
        <v>183</v>
      </c>
      <c r="X3125" s="2" t="s">
        <v>561</v>
      </c>
      <c r="Y3125" s="2" t="s">
        <v>240</v>
      </c>
      <c r="Z3125" s="4">
        <v>77</v>
      </c>
      <c r="AA3125" s="4">
        <f>=ROUNDDOWN(7,0)</f>
      </c>
      <c r="AB3125" s="5">
        <v>11</v>
      </c>
      <c r="AC3125" s="2" t="s">
        <v>100</v>
      </c>
      <c r="AD3125" s="4"/>
      <c r="AE3125" s="4"/>
      <c r="AF3125" s="6">
        <v>65</v>
      </c>
      <c r="AG3125" s="6"/>
      <c r="AH3125" s="7">
        <v>0.6631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>
        <v>4</v>
      </c>
      <c r="AQ3125" s="8">
        <v>102.04</v>
      </c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>
        <v>0.4337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 t="s">
        <v>100</v>
      </c>
      <c r="BJ3125" s="4">
        <v>227</v>
      </c>
      <c r="BK3125" s="8">
        <v>6293.74</v>
      </c>
      <c r="BL3125" s="2" t="s">
        <v>10041</v>
      </c>
      <c r="BM3125" s="7">
        <v>0.0176</v>
      </c>
      <c r="BN3125" s="7">
        <v>0.0162</v>
      </c>
      <c r="BO3125" s="4">
        <v>4</v>
      </c>
      <c r="BP3125" s="8">
        <v>102.04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1085</v>
      </c>
      <c r="BX3125" s="2" t="s">
        <v>4718</v>
      </c>
      <c r="BY3125" s="2" t="s">
        <v>113</v>
      </c>
      <c r="BZ3125" s="2" t="s">
        <v>100</v>
      </c>
    </row>
    <row r="3126">
      <c r="A3126" s="2" t="s">
        <v>10042</v>
      </c>
      <c r="B3126" s="2" t="s">
        <v>9668</v>
      </c>
      <c r="C3126" s="2" t="s">
        <v>4861</v>
      </c>
      <c r="D3126" s="2" t="s">
        <v>9669</v>
      </c>
      <c r="E3126" s="2" t="s">
        <v>9670</v>
      </c>
      <c r="F3126" s="2" t="s">
        <v>10015</v>
      </c>
      <c r="G3126" s="2" t="s">
        <v>10015</v>
      </c>
      <c r="H3126" s="2" t="s">
        <v>10015</v>
      </c>
      <c r="I3126" s="2" t="s">
        <v>10016</v>
      </c>
      <c r="J3126" s="2" t="s">
        <v>706</v>
      </c>
      <c r="K3126" s="2" t="s">
        <v>278</v>
      </c>
      <c r="L3126" s="3">
        <v>28.2</v>
      </c>
      <c r="M3126" s="3">
        <v>29.61</v>
      </c>
      <c r="N3126" s="3">
        <v>59.99</v>
      </c>
      <c r="O3126" s="2" t="s">
        <v>97</v>
      </c>
      <c r="P3126" s="2" t="s">
        <v>950</v>
      </c>
      <c r="Q3126" s="2" t="s">
        <v>99</v>
      </c>
      <c r="R3126" s="2" t="s">
        <v>100</v>
      </c>
      <c r="S3126" s="2" t="s">
        <v>10036</v>
      </c>
      <c r="T3126" s="2" t="s">
        <v>5869</v>
      </c>
      <c r="U3126" s="2" t="s">
        <v>402</v>
      </c>
      <c r="V3126" s="2" t="s">
        <v>146</v>
      </c>
      <c r="W3126" s="2" t="s">
        <v>183</v>
      </c>
      <c r="X3126" s="2" t="s">
        <v>561</v>
      </c>
      <c r="Y3126" s="2" t="s">
        <v>240</v>
      </c>
      <c r="Z3126" s="4">
        <v>769</v>
      </c>
      <c r="AA3126" s="4">
        <f>=ROUNDDOWN(27.4642857142857,0)</f>
      </c>
      <c r="AB3126" s="5">
        <v>28</v>
      </c>
      <c r="AC3126" s="2" t="s">
        <v>100</v>
      </c>
      <c r="AD3126" s="4"/>
      <c r="AE3126" s="4"/>
      <c r="AF3126" s="6">
        <v>65</v>
      </c>
      <c r="AG3126" s="6"/>
      <c r="AH3126" s="7">
        <v>0.6631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 t="s">
        <v>100</v>
      </c>
      <c r="BJ3126" s="4">
        <v>238</v>
      </c>
      <c r="BK3126" s="8">
        <v>7345.87</v>
      </c>
      <c r="BL3126" s="2" t="s">
        <v>10043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1085</v>
      </c>
      <c r="BX3126" s="2" t="s">
        <v>10044</v>
      </c>
      <c r="BY3126" s="2" t="s">
        <v>113</v>
      </c>
      <c r="BZ3126" s="2" t="s">
        <v>100</v>
      </c>
    </row>
    <row r="3127">
      <c r="A3127" s="2" t="s">
        <v>10045</v>
      </c>
      <c r="B3127" s="2" t="s">
        <v>9668</v>
      </c>
      <c r="C3127" s="2" t="s">
        <v>4861</v>
      </c>
      <c r="D3127" s="2" t="s">
        <v>9669</v>
      </c>
      <c r="E3127" s="2" t="s">
        <v>9670</v>
      </c>
      <c r="F3127" s="2" t="s">
        <v>10015</v>
      </c>
      <c r="G3127" s="2" t="s">
        <v>10015</v>
      </c>
      <c r="H3127" s="2" t="s">
        <v>10015</v>
      </c>
      <c r="I3127" s="2" t="s">
        <v>10016</v>
      </c>
      <c r="J3127" s="2" t="s">
        <v>714</v>
      </c>
      <c r="K3127" s="2" t="s">
        <v>278</v>
      </c>
      <c r="L3127" s="3">
        <v>31.2</v>
      </c>
      <c r="M3127" s="3">
        <v>32.76</v>
      </c>
      <c r="N3127" s="3">
        <v>64.99</v>
      </c>
      <c r="O3127" s="2" t="s">
        <v>97</v>
      </c>
      <c r="P3127" s="2" t="s">
        <v>119</v>
      </c>
      <c r="Q3127" s="2" t="s">
        <v>99</v>
      </c>
      <c r="R3127" s="2" t="s">
        <v>100</v>
      </c>
      <c r="S3127" s="2" t="s">
        <v>10036</v>
      </c>
      <c r="T3127" s="2" t="s">
        <v>5869</v>
      </c>
      <c r="U3127" s="2" t="s">
        <v>402</v>
      </c>
      <c r="V3127" s="2" t="s">
        <v>146</v>
      </c>
      <c r="W3127" s="2" t="s">
        <v>183</v>
      </c>
      <c r="X3127" s="2" t="s">
        <v>561</v>
      </c>
      <c r="Y3127" s="2" t="s">
        <v>240</v>
      </c>
      <c r="Z3127" s="4">
        <v>296</v>
      </c>
      <c r="AA3127" s="4">
        <f>=ROUNDDOWN(21.1428571428571,0)</f>
      </c>
      <c r="AB3127" s="5">
        <v>14</v>
      </c>
      <c r="AC3127" s="2" t="s">
        <v>100</v>
      </c>
      <c r="AD3127" s="4"/>
      <c r="AE3127" s="4"/>
      <c r="AF3127" s="6">
        <v>65</v>
      </c>
      <c r="AG3127" s="6"/>
      <c r="AH3127" s="7">
        <v>0.6578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 t="s">
        <v>100</v>
      </c>
      <c r="BJ3127" s="4">
        <v>138</v>
      </c>
      <c r="BK3127" s="8">
        <v>4645.82</v>
      </c>
      <c r="BL3127" s="2" t="s">
        <v>3404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1085</v>
      </c>
      <c r="BX3127" s="2" t="s">
        <v>1526</v>
      </c>
      <c r="BY3127" s="2" t="s">
        <v>113</v>
      </c>
      <c r="BZ3127" s="2" t="s">
        <v>100</v>
      </c>
    </row>
    <row r="3128">
      <c r="A3128" s="2" t="s">
        <v>10046</v>
      </c>
      <c r="B3128" s="2" t="s">
        <v>9668</v>
      </c>
      <c r="C3128" s="2" t="s">
        <v>4861</v>
      </c>
      <c r="D3128" s="2" t="s">
        <v>9669</v>
      </c>
      <c r="E3128" s="2" t="s">
        <v>9670</v>
      </c>
      <c r="F3128" s="2" t="s">
        <v>10015</v>
      </c>
      <c r="G3128" s="2" t="s">
        <v>10015</v>
      </c>
      <c r="H3128" s="2" t="s">
        <v>10015</v>
      </c>
      <c r="I3128" s="2" t="s">
        <v>10016</v>
      </c>
      <c r="J3128" s="2" t="s">
        <v>817</v>
      </c>
      <c r="K3128" s="2" t="s">
        <v>278</v>
      </c>
      <c r="L3128" s="3">
        <v>31.85</v>
      </c>
      <c r="M3128" s="3">
        <v>33.44</v>
      </c>
      <c r="N3128" s="3">
        <v>64.99</v>
      </c>
      <c r="O3128" s="2" t="s">
        <v>97</v>
      </c>
      <c r="P3128" s="2" t="s">
        <v>119</v>
      </c>
      <c r="Q3128" s="2" t="s">
        <v>99</v>
      </c>
      <c r="R3128" s="2" t="s">
        <v>100</v>
      </c>
      <c r="S3128" s="2" t="s">
        <v>10036</v>
      </c>
      <c r="T3128" s="2" t="s">
        <v>5869</v>
      </c>
      <c r="U3128" s="2" t="s">
        <v>402</v>
      </c>
      <c r="V3128" s="2" t="s">
        <v>146</v>
      </c>
      <c r="W3128" s="2" t="s">
        <v>183</v>
      </c>
      <c r="X3128" s="2" t="s">
        <v>561</v>
      </c>
      <c r="Y3128" s="2" t="s">
        <v>240</v>
      </c>
      <c r="Z3128" s="4">
        <v>184</v>
      </c>
      <c r="AA3128" s="4">
        <f>=ROUNDDOWN(26.2857142857143,0)</f>
      </c>
      <c r="AB3128" s="5">
        <v>7</v>
      </c>
      <c r="AC3128" s="2" t="s">
        <v>100</v>
      </c>
      <c r="AD3128" s="4"/>
      <c r="AE3128" s="4"/>
      <c r="AF3128" s="6">
        <v>65</v>
      </c>
      <c r="AG3128" s="6"/>
      <c r="AH3128" s="7">
        <v>0.6578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 t="s">
        <v>100</v>
      </c>
      <c r="BJ3128" s="4">
        <v>42</v>
      </c>
      <c r="BK3128" s="8">
        <v>1459.97</v>
      </c>
      <c r="BL3128" s="2" t="s">
        <v>3713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1085</v>
      </c>
      <c r="BX3128" s="2" t="s">
        <v>1526</v>
      </c>
      <c r="BY3128" s="2" t="s">
        <v>113</v>
      </c>
      <c r="BZ3128" s="2" t="s">
        <v>100</v>
      </c>
    </row>
    <row r="3129">
      <c r="A3129" s="2" t="s">
        <v>10047</v>
      </c>
      <c r="B3129" s="2" t="s">
        <v>9668</v>
      </c>
      <c r="C3129" s="2" t="s">
        <v>4861</v>
      </c>
      <c r="D3129" s="2" t="s">
        <v>9669</v>
      </c>
      <c r="E3129" s="2" t="s">
        <v>9670</v>
      </c>
      <c r="F3129" s="2" t="s">
        <v>10015</v>
      </c>
      <c r="G3129" s="2" t="s">
        <v>10015</v>
      </c>
      <c r="H3129" s="2" t="s">
        <v>10015</v>
      </c>
      <c r="I3129" s="2" t="s">
        <v>10016</v>
      </c>
      <c r="J3129" s="2" t="s">
        <v>1936</v>
      </c>
      <c r="K3129" s="2" t="s">
        <v>198</v>
      </c>
      <c r="L3129" s="3">
        <v>21.62</v>
      </c>
      <c r="M3129" s="3">
        <v>22.7</v>
      </c>
      <c r="N3129" s="3">
        <v>46.99</v>
      </c>
      <c r="O3129" s="2" t="s">
        <v>97</v>
      </c>
      <c r="P3129" s="2" t="s">
        <v>119</v>
      </c>
      <c r="Q3129" s="2" t="s">
        <v>99</v>
      </c>
      <c r="R3129" s="2" t="s">
        <v>100</v>
      </c>
      <c r="S3129" s="2" t="s">
        <v>10048</v>
      </c>
      <c r="T3129" s="2" t="s">
        <v>5869</v>
      </c>
      <c r="U3129" s="2" t="s">
        <v>480</v>
      </c>
      <c r="V3129" s="2" t="s">
        <v>146</v>
      </c>
      <c r="W3129" s="2" t="s">
        <v>183</v>
      </c>
      <c r="X3129" s="2" t="s">
        <v>561</v>
      </c>
      <c r="Y3129" s="2" t="s">
        <v>240</v>
      </c>
      <c r="Z3129" s="4">
        <v>538</v>
      </c>
      <c r="AA3129" s="4">
        <f>=ROUNDDOWN(23.3913043478261,0)</f>
      </c>
      <c r="AB3129" s="5">
        <v>23</v>
      </c>
      <c r="AC3129" s="2" t="s">
        <v>100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>
        <v>5</v>
      </c>
      <c r="AW3129" s="8">
        <v>147.43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>
        <v>0.1108</v>
      </c>
      <c r="BJ3129" s="4">
        <v>210</v>
      </c>
      <c r="BK3129" s="8">
        <v>4961.59</v>
      </c>
      <c r="BL3129" s="2" t="s">
        <v>734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1085</v>
      </c>
      <c r="BX3129" s="2" t="s">
        <v>1526</v>
      </c>
      <c r="BY3129" s="2" t="s">
        <v>113</v>
      </c>
      <c r="BZ3129" s="2" t="s">
        <v>100</v>
      </c>
    </row>
    <row r="3130">
      <c r="A3130" s="2" t="s">
        <v>10049</v>
      </c>
      <c r="B3130" s="2" t="s">
        <v>9668</v>
      </c>
      <c r="C3130" s="2" t="s">
        <v>4861</v>
      </c>
      <c r="D3130" s="2" t="s">
        <v>9669</v>
      </c>
      <c r="E3130" s="2" t="s">
        <v>9670</v>
      </c>
      <c r="F3130" s="2" t="s">
        <v>10015</v>
      </c>
      <c r="G3130" s="2" t="s">
        <v>10015</v>
      </c>
      <c r="H3130" s="2" t="s">
        <v>10015</v>
      </c>
      <c r="I3130" s="2" t="s">
        <v>10016</v>
      </c>
      <c r="J3130" s="2" t="s">
        <v>2072</v>
      </c>
      <c r="K3130" s="2" t="s">
        <v>198</v>
      </c>
      <c r="L3130" s="3">
        <v>23.04</v>
      </c>
      <c r="M3130" s="3">
        <v>24.19</v>
      </c>
      <c r="N3130" s="3">
        <v>47.99</v>
      </c>
      <c r="O3130" s="2" t="s">
        <v>97</v>
      </c>
      <c r="P3130" s="2" t="s">
        <v>119</v>
      </c>
      <c r="Q3130" s="2" t="s">
        <v>99</v>
      </c>
      <c r="R3130" s="2" t="s">
        <v>100</v>
      </c>
      <c r="S3130" s="2" t="s">
        <v>10048</v>
      </c>
      <c r="T3130" s="2" t="s">
        <v>5869</v>
      </c>
      <c r="U3130" s="2" t="s">
        <v>480</v>
      </c>
      <c r="V3130" s="2" t="s">
        <v>146</v>
      </c>
      <c r="W3130" s="2" t="s">
        <v>183</v>
      </c>
      <c r="X3130" s="2" t="s">
        <v>561</v>
      </c>
      <c r="Y3130" s="2" t="s">
        <v>240</v>
      </c>
      <c r="Z3130" s="4">
        <v>368</v>
      </c>
      <c r="AA3130" s="4">
        <f>=ROUNDDOWN(18.4,0)</f>
      </c>
      <c r="AB3130" s="5">
        <v>20</v>
      </c>
      <c r="AC3130" s="2" t="s">
        <v>100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 t="s">
        <v>100</v>
      </c>
      <c r="BJ3130" s="4">
        <v>384</v>
      </c>
      <c r="BK3130" s="8">
        <v>9585.95</v>
      </c>
      <c r="BL3130" s="2" t="s">
        <v>9924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1085</v>
      </c>
      <c r="BX3130" s="2" t="s">
        <v>6517</v>
      </c>
      <c r="BY3130" s="2" t="s">
        <v>113</v>
      </c>
      <c r="BZ3130" s="2" t="s">
        <v>100</v>
      </c>
    </row>
    <row r="3131">
      <c r="A3131" s="2" t="s">
        <v>10050</v>
      </c>
      <c r="B3131" s="2" t="s">
        <v>9668</v>
      </c>
      <c r="C3131" s="2" t="s">
        <v>4861</v>
      </c>
      <c r="D3131" s="2" t="s">
        <v>9669</v>
      </c>
      <c r="E3131" s="2" t="s">
        <v>9670</v>
      </c>
      <c r="F3131" s="2" t="s">
        <v>10015</v>
      </c>
      <c r="G3131" s="2" t="s">
        <v>10015</v>
      </c>
      <c r="H3131" s="2" t="s">
        <v>10015</v>
      </c>
      <c r="I3131" s="2" t="s">
        <v>10016</v>
      </c>
      <c r="J3131" s="2" t="s">
        <v>717</v>
      </c>
      <c r="K3131" s="2" t="s">
        <v>198</v>
      </c>
      <c r="L3131" s="3">
        <v>25.3</v>
      </c>
      <c r="M3131" s="3">
        <v>26.56</v>
      </c>
      <c r="N3131" s="3">
        <v>54.99</v>
      </c>
      <c r="O3131" s="2" t="s">
        <v>97</v>
      </c>
      <c r="P3131" s="2" t="s">
        <v>119</v>
      </c>
      <c r="Q3131" s="2" t="s">
        <v>99</v>
      </c>
      <c r="R3131" s="2" t="s">
        <v>100</v>
      </c>
      <c r="S3131" s="2" t="s">
        <v>10048</v>
      </c>
      <c r="T3131" s="2" t="s">
        <v>5869</v>
      </c>
      <c r="U3131" s="2" t="s">
        <v>402</v>
      </c>
      <c r="V3131" s="2" t="s">
        <v>146</v>
      </c>
      <c r="W3131" s="2" t="s">
        <v>183</v>
      </c>
      <c r="X3131" s="2" t="s">
        <v>561</v>
      </c>
      <c r="Y3131" s="2" t="s">
        <v>240</v>
      </c>
      <c r="Z3131" s="4">
        <v>442</v>
      </c>
      <c r="AA3131" s="4">
        <f>=ROUNDDOWN(21.047619047619,0)</f>
      </c>
      <c r="AB3131" s="5">
        <v>21</v>
      </c>
      <c r="AC3131" s="2" t="s">
        <v>100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 t="s">
        <v>100</v>
      </c>
      <c r="BJ3131" s="4">
        <v>311</v>
      </c>
      <c r="BK3131" s="8">
        <v>8605.96</v>
      </c>
      <c r="BL3131" s="2" t="s">
        <v>10051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1085</v>
      </c>
      <c r="BX3131" s="2" t="s">
        <v>6034</v>
      </c>
      <c r="BY3131" s="2" t="s">
        <v>113</v>
      </c>
      <c r="BZ3131" s="2" t="s">
        <v>100</v>
      </c>
    </row>
    <row r="3132">
      <c r="A3132" s="2" t="s">
        <v>10052</v>
      </c>
      <c r="B3132" s="2" t="s">
        <v>9668</v>
      </c>
      <c r="C3132" s="2" t="s">
        <v>4861</v>
      </c>
      <c r="D3132" s="2" t="s">
        <v>9669</v>
      </c>
      <c r="E3132" s="2" t="s">
        <v>9670</v>
      </c>
      <c r="F3132" s="2" t="s">
        <v>10015</v>
      </c>
      <c r="G3132" s="2" t="s">
        <v>10015</v>
      </c>
      <c r="H3132" s="2" t="s">
        <v>10015</v>
      </c>
      <c r="I3132" s="2" t="s">
        <v>10016</v>
      </c>
      <c r="J3132" s="2" t="s">
        <v>706</v>
      </c>
      <c r="K3132" s="2" t="s">
        <v>198</v>
      </c>
      <c r="L3132" s="3">
        <v>28.2</v>
      </c>
      <c r="M3132" s="3">
        <v>29.61</v>
      </c>
      <c r="N3132" s="3">
        <v>59.99</v>
      </c>
      <c r="O3132" s="2" t="s">
        <v>97</v>
      </c>
      <c r="P3132" s="2" t="s">
        <v>307</v>
      </c>
      <c r="Q3132" s="2" t="s">
        <v>99</v>
      </c>
      <c r="R3132" s="2" t="s">
        <v>100</v>
      </c>
      <c r="S3132" s="2" t="s">
        <v>10048</v>
      </c>
      <c r="T3132" s="2" t="s">
        <v>5869</v>
      </c>
      <c r="U3132" s="2" t="s">
        <v>402</v>
      </c>
      <c r="V3132" s="2" t="s">
        <v>146</v>
      </c>
      <c r="W3132" s="2" t="s">
        <v>183</v>
      </c>
      <c r="X3132" s="2" t="s">
        <v>561</v>
      </c>
      <c r="Y3132" s="2" t="s">
        <v>240</v>
      </c>
      <c r="Z3132" s="4">
        <v>1861</v>
      </c>
      <c r="AA3132" s="4">
        <f>=ROUNDDOWN(33.2321428571429,0)</f>
      </c>
      <c r="AB3132" s="5">
        <v>56</v>
      </c>
      <c r="AC3132" s="2" t="s">
        <v>1035</v>
      </c>
      <c r="AD3132" s="4">
        <v>340</v>
      </c>
      <c r="AE3132" s="4">
        <v>340</v>
      </c>
      <c r="AF3132" s="6">
        <v>65</v>
      </c>
      <c r="AG3132" s="6"/>
      <c r="AH3132" s="7">
        <v>0.6578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3</v>
      </c>
      <c r="AQ3132" s="8">
        <v>85.05</v>
      </c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>
        <v>0.5769</v>
      </c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 t="s">
        <v>100</v>
      </c>
      <c r="BJ3132" s="4">
        <v>314</v>
      </c>
      <c r="BK3132" s="8">
        <v>9637.24</v>
      </c>
      <c r="BL3132" s="2" t="s">
        <v>10053</v>
      </c>
      <c r="BM3132" s="7">
        <v>0.0096</v>
      </c>
      <c r="BN3132" s="7">
        <v>0.0088</v>
      </c>
      <c r="BO3132" s="4">
        <v>3</v>
      </c>
      <c r="BP3132" s="8">
        <v>85.05</v>
      </c>
      <c r="BQ3132" s="4"/>
      <c r="BR3132" s="8"/>
      <c r="BS3132" s="7"/>
      <c r="BT3132" s="7"/>
      <c r="BU3132" s="2" t="s">
        <v>109</v>
      </c>
      <c r="BV3132" s="2" t="s">
        <v>110</v>
      </c>
      <c r="BW3132" s="2" t="s">
        <v>1085</v>
      </c>
      <c r="BX3132" s="2" t="s">
        <v>6550</v>
      </c>
      <c r="BY3132" s="2" t="s">
        <v>113</v>
      </c>
      <c r="BZ3132" s="2" t="s">
        <v>100</v>
      </c>
    </row>
    <row r="3133">
      <c r="A3133" s="2" t="s">
        <v>10054</v>
      </c>
      <c r="B3133" s="2" t="s">
        <v>9668</v>
      </c>
      <c r="C3133" s="2" t="s">
        <v>4861</v>
      </c>
      <c r="D3133" s="2" t="s">
        <v>9669</v>
      </c>
      <c r="E3133" s="2" t="s">
        <v>9670</v>
      </c>
      <c r="F3133" s="2" t="s">
        <v>10015</v>
      </c>
      <c r="G3133" s="2" t="s">
        <v>10015</v>
      </c>
      <c r="H3133" s="2" t="s">
        <v>10015</v>
      </c>
      <c r="I3133" s="2" t="s">
        <v>10016</v>
      </c>
      <c r="J3133" s="2" t="s">
        <v>714</v>
      </c>
      <c r="K3133" s="2" t="s">
        <v>198</v>
      </c>
      <c r="L3133" s="3">
        <v>31.2</v>
      </c>
      <c r="M3133" s="3">
        <v>32.76</v>
      </c>
      <c r="N3133" s="3">
        <v>64.99</v>
      </c>
      <c r="O3133" s="2" t="s">
        <v>97</v>
      </c>
      <c r="P3133" s="2" t="s">
        <v>98</v>
      </c>
      <c r="Q3133" s="2" t="s">
        <v>99</v>
      </c>
      <c r="R3133" s="2" t="s">
        <v>100</v>
      </c>
      <c r="S3133" s="2" t="s">
        <v>10048</v>
      </c>
      <c r="T3133" s="2" t="s">
        <v>5869</v>
      </c>
      <c r="U3133" s="2" t="s">
        <v>402</v>
      </c>
      <c r="V3133" s="2" t="s">
        <v>146</v>
      </c>
      <c r="W3133" s="2" t="s">
        <v>183</v>
      </c>
      <c r="X3133" s="2" t="s">
        <v>561</v>
      </c>
      <c r="Y3133" s="2" t="s">
        <v>240</v>
      </c>
      <c r="Z3133" s="4">
        <v>753</v>
      </c>
      <c r="AA3133" s="4">
        <f>=ROUNDDOWN(22.8181818181818,0)</f>
      </c>
      <c r="AB3133" s="5">
        <v>33</v>
      </c>
      <c r="AC3133" s="2" t="s">
        <v>1035</v>
      </c>
      <c r="AD3133" s="4">
        <v>230</v>
      </c>
      <c r="AE3133" s="4">
        <v>230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>
        <v>2</v>
      </c>
      <c r="AQ3133" s="8">
        <v>62.38</v>
      </c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>
        <v>0.4231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 t="s">
        <v>100</v>
      </c>
      <c r="BJ3133" s="4">
        <v>464</v>
      </c>
      <c r="BK3133" s="8">
        <v>15648.65</v>
      </c>
      <c r="BL3133" s="2" t="s">
        <v>10055</v>
      </c>
      <c r="BM3133" s="7">
        <v>0.0043</v>
      </c>
      <c r="BN3133" s="7">
        <v>0.004</v>
      </c>
      <c r="BO3133" s="4">
        <v>2</v>
      </c>
      <c r="BP3133" s="8">
        <v>62.38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1085</v>
      </c>
      <c r="BX3133" s="2" t="s">
        <v>6228</v>
      </c>
      <c r="BY3133" s="2" t="s">
        <v>113</v>
      </c>
      <c r="BZ3133" s="2" t="s">
        <v>100</v>
      </c>
    </row>
    <row r="3134">
      <c r="A3134" s="2" t="s">
        <v>10056</v>
      </c>
      <c r="B3134" s="2" t="s">
        <v>9668</v>
      </c>
      <c r="C3134" s="2" t="s">
        <v>4861</v>
      </c>
      <c r="D3134" s="2" t="s">
        <v>9669</v>
      </c>
      <c r="E3134" s="2" t="s">
        <v>9670</v>
      </c>
      <c r="F3134" s="2" t="s">
        <v>10015</v>
      </c>
      <c r="G3134" s="2" t="s">
        <v>10015</v>
      </c>
      <c r="H3134" s="2" t="s">
        <v>10015</v>
      </c>
      <c r="I3134" s="2" t="s">
        <v>10016</v>
      </c>
      <c r="J3134" s="2" t="s">
        <v>817</v>
      </c>
      <c r="K3134" s="2" t="s">
        <v>198</v>
      </c>
      <c r="L3134" s="3">
        <v>31.85</v>
      </c>
      <c r="M3134" s="3">
        <v>33.44</v>
      </c>
      <c r="N3134" s="3">
        <v>64.99</v>
      </c>
      <c r="O3134" s="2" t="s">
        <v>97</v>
      </c>
      <c r="P3134" s="2" t="s">
        <v>950</v>
      </c>
      <c r="Q3134" s="2" t="s">
        <v>99</v>
      </c>
      <c r="R3134" s="2" t="s">
        <v>100</v>
      </c>
      <c r="S3134" s="2" t="s">
        <v>10048</v>
      </c>
      <c r="T3134" s="2" t="s">
        <v>5869</v>
      </c>
      <c r="U3134" s="2" t="s">
        <v>402</v>
      </c>
      <c r="V3134" s="2" t="s">
        <v>146</v>
      </c>
      <c r="W3134" s="2" t="s">
        <v>183</v>
      </c>
      <c r="X3134" s="2" t="s">
        <v>561</v>
      </c>
      <c r="Y3134" s="2" t="s">
        <v>240</v>
      </c>
      <c r="Z3134" s="4">
        <v>511</v>
      </c>
      <c r="AA3134" s="4">
        <f>=ROUNDDOWN(25.55,0)</f>
      </c>
      <c r="AB3134" s="5">
        <v>20</v>
      </c>
      <c r="AC3134" s="2" t="s">
        <v>100</v>
      </c>
      <c r="AD3134" s="4"/>
      <c r="AE3134" s="4"/>
      <c r="AF3134" s="6">
        <v>65</v>
      </c>
      <c r="AG3134" s="6"/>
      <c r="AH3134" s="7">
        <v>0.6524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 t="s">
        <v>100</v>
      </c>
      <c r="BJ3134" s="4">
        <v>159</v>
      </c>
      <c r="BK3134" s="8">
        <v>5477.56</v>
      </c>
      <c r="BL3134" s="2" t="s">
        <v>10057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1085</v>
      </c>
      <c r="BX3134" s="2" t="s">
        <v>1993</v>
      </c>
      <c r="BY3134" s="2" t="s">
        <v>113</v>
      </c>
      <c r="BZ3134" s="2" t="s">
        <v>100</v>
      </c>
    </row>
    <row r="3135">
      <c r="A3135" s="2" t="s">
        <v>10058</v>
      </c>
      <c r="B3135" s="2" t="s">
        <v>9668</v>
      </c>
      <c r="C3135" s="2" t="s">
        <v>4861</v>
      </c>
      <c r="D3135" s="2" t="s">
        <v>9669</v>
      </c>
      <c r="E3135" s="2" t="s">
        <v>9670</v>
      </c>
      <c r="F3135" s="2" t="s">
        <v>10015</v>
      </c>
      <c r="G3135" s="2" t="s">
        <v>10015</v>
      </c>
      <c r="H3135" s="2" t="s">
        <v>10015</v>
      </c>
      <c r="I3135" s="2" t="s">
        <v>10016</v>
      </c>
      <c r="J3135" s="2" t="s">
        <v>1936</v>
      </c>
      <c r="K3135" s="2" t="s">
        <v>118</v>
      </c>
      <c r="L3135" s="3">
        <v>21.62</v>
      </c>
      <c r="M3135" s="3">
        <v>22.7</v>
      </c>
      <c r="N3135" s="3">
        <v>46.99</v>
      </c>
      <c r="O3135" s="2" t="s">
        <v>97</v>
      </c>
      <c r="P3135" s="2" t="s">
        <v>119</v>
      </c>
      <c r="Q3135" s="2" t="s">
        <v>99</v>
      </c>
      <c r="R3135" s="2" t="s">
        <v>100</v>
      </c>
      <c r="S3135" s="2" t="s">
        <v>10059</v>
      </c>
      <c r="T3135" s="2" t="s">
        <v>5869</v>
      </c>
      <c r="U3135" s="2" t="s">
        <v>480</v>
      </c>
      <c r="V3135" s="2" t="s">
        <v>146</v>
      </c>
      <c r="W3135" s="2" t="s">
        <v>183</v>
      </c>
      <c r="X3135" s="2" t="s">
        <v>561</v>
      </c>
      <c r="Y3135" s="2" t="s">
        <v>240</v>
      </c>
      <c r="Z3135" s="4">
        <v>324</v>
      </c>
      <c r="AA3135" s="4">
        <f>=ROUNDDOWN(19.0588235294118,0)</f>
      </c>
      <c r="AB3135" s="5">
        <v>17</v>
      </c>
      <c r="AC3135" s="2" t="s">
        <v>100</v>
      </c>
      <c r="AD3135" s="4"/>
      <c r="AE3135" s="4"/>
      <c r="AF3135" s="6">
        <v>65</v>
      </c>
      <c r="AG3135" s="6"/>
      <c r="AH3135" s="7">
        <v>0.9412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>
        <v>4</v>
      </c>
      <c r="AW3135" s="8">
        <v>94.39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0.0709</v>
      </c>
      <c r="BJ3135" s="4">
        <v>192</v>
      </c>
      <c r="BK3135" s="8">
        <v>4542.01</v>
      </c>
      <c r="BL3135" s="2" t="s">
        <v>2640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1085</v>
      </c>
      <c r="BX3135" s="2" t="s">
        <v>1003</v>
      </c>
      <c r="BY3135" s="2" t="s">
        <v>113</v>
      </c>
      <c r="BZ3135" s="2" t="s">
        <v>100</v>
      </c>
    </row>
    <row r="3136">
      <c r="A3136" s="2" t="s">
        <v>10060</v>
      </c>
      <c r="B3136" s="2" t="s">
        <v>9668</v>
      </c>
      <c r="C3136" s="2" t="s">
        <v>4861</v>
      </c>
      <c r="D3136" s="2" t="s">
        <v>9669</v>
      </c>
      <c r="E3136" s="2" t="s">
        <v>9670</v>
      </c>
      <c r="F3136" s="2" t="s">
        <v>10015</v>
      </c>
      <c r="G3136" s="2" t="s">
        <v>10015</v>
      </c>
      <c r="H3136" s="2" t="s">
        <v>10015</v>
      </c>
      <c r="I3136" s="2" t="s">
        <v>10016</v>
      </c>
      <c r="J3136" s="2" t="s">
        <v>2072</v>
      </c>
      <c r="K3136" s="2" t="s">
        <v>118</v>
      </c>
      <c r="L3136" s="3">
        <v>23.04</v>
      </c>
      <c r="M3136" s="3">
        <v>24.19</v>
      </c>
      <c r="N3136" s="3">
        <v>47.99</v>
      </c>
      <c r="O3136" s="2" t="s">
        <v>97</v>
      </c>
      <c r="P3136" s="2" t="s">
        <v>119</v>
      </c>
      <c r="Q3136" s="2" t="s">
        <v>99</v>
      </c>
      <c r="R3136" s="2" t="s">
        <v>100</v>
      </c>
      <c r="S3136" s="2" t="s">
        <v>10059</v>
      </c>
      <c r="T3136" s="2" t="s">
        <v>5869</v>
      </c>
      <c r="U3136" s="2" t="s">
        <v>480</v>
      </c>
      <c r="V3136" s="2" t="s">
        <v>146</v>
      </c>
      <c r="W3136" s="2" t="s">
        <v>183</v>
      </c>
      <c r="X3136" s="2" t="s">
        <v>561</v>
      </c>
      <c r="Y3136" s="2" t="s">
        <v>240</v>
      </c>
      <c r="Z3136" s="4">
        <v>280</v>
      </c>
      <c r="AA3136" s="4">
        <f>=ROUNDDOWN(15.5555555555556,0)</f>
      </c>
      <c r="AB3136" s="5">
        <v>18</v>
      </c>
      <c r="AC3136" s="2" t="s">
        <v>100</v>
      </c>
      <c r="AD3136" s="4"/>
      <c r="AE3136" s="4"/>
      <c r="AF3136" s="6">
        <v>65</v>
      </c>
      <c r="AG3136" s="6"/>
      <c r="AH3136" s="7">
        <v>0.6524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>
        <v>3</v>
      </c>
      <c r="AQ3136" s="8">
        <v>68.88</v>
      </c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>
        <v>0.7297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>
        <v>310</v>
      </c>
      <c r="BK3136" s="8">
        <v>7702.58</v>
      </c>
      <c r="BL3136" s="2" t="s">
        <v>9718</v>
      </c>
      <c r="BM3136" s="7">
        <v>0.0097</v>
      </c>
      <c r="BN3136" s="7">
        <v>0.0089</v>
      </c>
      <c r="BO3136" s="4">
        <v>3</v>
      </c>
      <c r="BP3136" s="8">
        <v>68.88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1085</v>
      </c>
      <c r="BX3136" s="2" t="s">
        <v>1526</v>
      </c>
      <c r="BY3136" s="2" t="s">
        <v>113</v>
      </c>
      <c r="BZ3136" s="2" t="s">
        <v>100</v>
      </c>
    </row>
    <row r="3137">
      <c r="A3137" s="2" t="s">
        <v>10061</v>
      </c>
      <c r="B3137" s="2" t="s">
        <v>9668</v>
      </c>
      <c r="C3137" s="2" t="s">
        <v>4861</v>
      </c>
      <c r="D3137" s="2" t="s">
        <v>9669</v>
      </c>
      <c r="E3137" s="2" t="s">
        <v>9670</v>
      </c>
      <c r="F3137" s="2" t="s">
        <v>10015</v>
      </c>
      <c r="G3137" s="2" t="s">
        <v>10015</v>
      </c>
      <c r="H3137" s="2" t="s">
        <v>10015</v>
      </c>
      <c r="I3137" s="2" t="s">
        <v>10016</v>
      </c>
      <c r="J3137" s="2" t="s">
        <v>717</v>
      </c>
      <c r="K3137" s="2" t="s">
        <v>118</v>
      </c>
      <c r="L3137" s="3">
        <v>25.3</v>
      </c>
      <c r="M3137" s="3">
        <v>26.56</v>
      </c>
      <c r="N3137" s="3">
        <v>54.99</v>
      </c>
      <c r="O3137" s="2" t="s">
        <v>97</v>
      </c>
      <c r="P3137" s="2" t="s">
        <v>950</v>
      </c>
      <c r="Q3137" s="2" t="s">
        <v>99</v>
      </c>
      <c r="R3137" s="2" t="s">
        <v>100</v>
      </c>
      <c r="S3137" s="2" t="s">
        <v>10059</v>
      </c>
      <c r="T3137" s="2" t="s">
        <v>5869</v>
      </c>
      <c r="U3137" s="2" t="s">
        <v>402</v>
      </c>
      <c r="V3137" s="2" t="s">
        <v>146</v>
      </c>
      <c r="W3137" s="2" t="s">
        <v>183</v>
      </c>
      <c r="X3137" s="2" t="s">
        <v>561</v>
      </c>
      <c r="Y3137" s="2" t="s">
        <v>240</v>
      </c>
      <c r="Z3137" s="4">
        <v>543</v>
      </c>
      <c r="AA3137" s="4">
        <f>=ROUNDDOWN(24.6818181818182,0)</f>
      </c>
      <c r="AB3137" s="5">
        <v>22</v>
      </c>
      <c r="AC3137" s="2" t="s">
        <v>100</v>
      </c>
      <c r="AD3137" s="4"/>
      <c r="AE3137" s="4"/>
      <c r="AF3137" s="6">
        <v>65</v>
      </c>
      <c r="AG3137" s="6"/>
      <c r="AH3137" s="7">
        <v>0.631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>
        <v>1</v>
      </c>
      <c r="AQ3137" s="8">
        <v>25.51</v>
      </c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>
        <v>0.2703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 t="s">
        <v>100</v>
      </c>
      <c r="BJ3137" s="4">
        <v>172</v>
      </c>
      <c r="BK3137" s="8">
        <v>4763.74</v>
      </c>
      <c r="BL3137" s="2" t="s">
        <v>10062</v>
      </c>
      <c r="BM3137" s="7">
        <v>0.0058</v>
      </c>
      <c r="BN3137" s="7">
        <v>0.0054</v>
      </c>
      <c r="BO3137" s="4">
        <v>1</v>
      </c>
      <c r="BP3137" s="8">
        <v>25.51</v>
      </c>
      <c r="BQ3137" s="4"/>
      <c r="BR3137" s="8"/>
      <c r="BS3137" s="7"/>
      <c r="BT3137" s="7"/>
      <c r="BU3137" s="2" t="s">
        <v>109</v>
      </c>
      <c r="BV3137" s="2" t="s">
        <v>110</v>
      </c>
      <c r="BW3137" s="2" t="s">
        <v>1085</v>
      </c>
      <c r="BX3137" s="2" t="s">
        <v>4779</v>
      </c>
      <c r="BY3137" s="2" t="s">
        <v>113</v>
      </c>
      <c r="BZ3137" s="2" t="s">
        <v>100</v>
      </c>
    </row>
    <row r="3138">
      <c r="A3138" s="2" t="s">
        <v>10063</v>
      </c>
      <c r="B3138" s="2" t="s">
        <v>9668</v>
      </c>
      <c r="C3138" s="2" t="s">
        <v>4861</v>
      </c>
      <c r="D3138" s="2" t="s">
        <v>9669</v>
      </c>
      <c r="E3138" s="2" t="s">
        <v>9670</v>
      </c>
      <c r="F3138" s="2" t="s">
        <v>10015</v>
      </c>
      <c r="G3138" s="2" t="s">
        <v>10015</v>
      </c>
      <c r="H3138" s="2" t="s">
        <v>10015</v>
      </c>
      <c r="I3138" s="2" t="s">
        <v>10016</v>
      </c>
      <c r="J3138" s="2" t="s">
        <v>706</v>
      </c>
      <c r="K3138" s="2" t="s">
        <v>118</v>
      </c>
      <c r="L3138" s="3">
        <v>28.2</v>
      </c>
      <c r="M3138" s="3">
        <v>29.61</v>
      </c>
      <c r="N3138" s="3">
        <v>59.99</v>
      </c>
      <c r="O3138" s="2" t="s">
        <v>97</v>
      </c>
      <c r="P3138" s="2" t="s">
        <v>372</v>
      </c>
      <c r="Q3138" s="2" t="s">
        <v>99</v>
      </c>
      <c r="R3138" s="2" t="s">
        <v>100</v>
      </c>
      <c r="S3138" s="2" t="s">
        <v>10059</v>
      </c>
      <c r="T3138" s="2" t="s">
        <v>5869</v>
      </c>
      <c r="U3138" s="2" t="s">
        <v>402</v>
      </c>
      <c r="V3138" s="2" t="s">
        <v>146</v>
      </c>
      <c r="W3138" s="2" t="s">
        <v>183</v>
      </c>
      <c r="X3138" s="2" t="s">
        <v>561</v>
      </c>
      <c r="Y3138" s="2" t="s">
        <v>240</v>
      </c>
      <c r="Z3138" s="4">
        <v>796</v>
      </c>
      <c r="AA3138" s="4">
        <f>=ROUNDDOWN(18.5116279069767,0)</f>
      </c>
      <c r="AB3138" s="5">
        <v>43</v>
      </c>
      <c r="AC3138" s="2" t="s">
        <v>100</v>
      </c>
      <c r="AD3138" s="4"/>
      <c r="AE3138" s="4"/>
      <c r="AF3138" s="6">
        <v>65</v>
      </c>
      <c r="AG3138" s="6"/>
      <c r="AH3138" s="7">
        <v>0.631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 t="s">
        <v>100</v>
      </c>
      <c r="BJ3138" s="4">
        <v>592</v>
      </c>
      <c r="BK3138" s="8">
        <v>18169.03</v>
      </c>
      <c r="BL3138" s="2" t="s">
        <v>2673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1085</v>
      </c>
      <c r="BX3138" s="2" t="s">
        <v>6251</v>
      </c>
      <c r="BY3138" s="2" t="s">
        <v>113</v>
      </c>
      <c r="BZ3138" s="2" t="s">
        <v>100</v>
      </c>
    </row>
    <row r="3139">
      <c r="A3139" s="2" t="s">
        <v>10064</v>
      </c>
      <c r="B3139" s="2" t="s">
        <v>9668</v>
      </c>
      <c r="C3139" s="2" t="s">
        <v>4861</v>
      </c>
      <c r="D3139" s="2" t="s">
        <v>9669</v>
      </c>
      <c r="E3139" s="2" t="s">
        <v>9670</v>
      </c>
      <c r="F3139" s="2" t="s">
        <v>10015</v>
      </c>
      <c r="G3139" s="2" t="s">
        <v>10015</v>
      </c>
      <c r="H3139" s="2" t="s">
        <v>10015</v>
      </c>
      <c r="I3139" s="2" t="s">
        <v>10016</v>
      </c>
      <c r="J3139" s="2" t="s">
        <v>714</v>
      </c>
      <c r="K3139" s="2" t="s">
        <v>118</v>
      </c>
      <c r="L3139" s="3">
        <v>31.2</v>
      </c>
      <c r="M3139" s="3">
        <v>32.76</v>
      </c>
      <c r="N3139" s="3">
        <v>64.99</v>
      </c>
      <c r="O3139" s="2" t="s">
        <v>97</v>
      </c>
      <c r="P3139" s="2" t="s">
        <v>119</v>
      </c>
      <c r="Q3139" s="2" t="s">
        <v>99</v>
      </c>
      <c r="R3139" s="2" t="s">
        <v>100</v>
      </c>
      <c r="S3139" s="2" t="s">
        <v>10059</v>
      </c>
      <c r="T3139" s="2" t="s">
        <v>5869</v>
      </c>
      <c r="U3139" s="2" t="s">
        <v>402</v>
      </c>
      <c r="V3139" s="2" t="s">
        <v>146</v>
      </c>
      <c r="W3139" s="2" t="s">
        <v>183</v>
      </c>
      <c r="X3139" s="2" t="s">
        <v>561</v>
      </c>
      <c r="Y3139" s="2" t="s">
        <v>240</v>
      </c>
      <c r="Z3139" s="4">
        <v>437</v>
      </c>
      <c r="AA3139" s="4">
        <f>=ROUNDDOWN(21.85,0)</f>
      </c>
      <c r="AB3139" s="5">
        <v>20</v>
      </c>
      <c r="AC3139" s="2" t="s">
        <v>100</v>
      </c>
      <c r="AD3139" s="4"/>
      <c r="AE3139" s="4"/>
      <c r="AF3139" s="6">
        <v>65</v>
      </c>
      <c r="AG3139" s="6"/>
      <c r="AH3139" s="7">
        <v>0.6524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>
        <v>184</v>
      </c>
      <c r="BK3139" s="8">
        <v>6196.95</v>
      </c>
      <c r="BL3139" s="2" t="s">
        <v>2675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1085</v>
      </c>
      <c r="BX3139" s="2" t="s">
        <v>4779</v>
      </c>
      <c r="BY3139" s="2" t="s">
        <v>113</v>
      </c>
      <c r="BZ3139" s="2" t="s">
        <v>100</v>
      </c>
    </row>
    <row r="3140">
      <c r="A3140" s="2" t="s">
        <v>10065</v>
      </c>
      <c r="B3140" s="2" t="s">
        <v>9668</v>
      </c>
      <c r="C3140" s="2" t="s">
        <v>4861</v>
      </c>
      <c r="D3140" s="2" t="s">
        <v>9669</v>
      </c>
      <c r="E3140" s="2" t="s">
        <v>9670</v>
      </c>
      <c r="F3140" s="2" t="s">
        <v>10015</v>
      </c>
      <c r="G3140" s="2" t="s">
        <v>10015</v>
      </c>
      <c r="H3140" s="2" t="s">
        <v>10015</v>
      </c>
      <c r="I3140" s="2" t="s">
        <v>10016</v>
      </c>
      <c r="J3140" s="2" t="s">
        <v>817</v>
      </c>
      <c r="K3140" s="2" t="s">
        <v>118</v>
      </c>
      <c r="L3140" s="3">
        <v>31.85</v>
      </c>
      <c r="M3140" s="3">
        <v>33.44</v>
      </c>
      <c r="N3140" s="3">
        <v>64.99</v>
      </c>
      <c r="O3140" s="2" t="s">
        <v>97</v>
      </c>
      <c r="P3140" s="2" t="s">
        <v>119</v>
      </c>
      <c r="Q3140" s="2" t="s">
        <v>99</v>
      </c>
      <c r="R3140" s="2" t="s">
        <v>100</v>
      </c>
      <c r="S3140" s="2" t="s">
        <v>10059</v>
      </c>
      <c r="T3140" s="2" t="s">
        <v>5869</v>
      </c>
      <c r="U3140" s="2" t="s">
        <v>402</v>
      </c>
      <c r="V3140" s="2" t="s">
        <v>146</v>
      </c>
      <c r="W3140" s="2" t="s">
        <v>183</v>
      </c>
      <c r="X3140" s="2" t="s">
        <v>561</v>
      </c>
      <c r="Y3140" s="2" t="s">
        <v>240</v>
      </c>
      <c r="Z3140" s="4">
        <v>213</v>
      </c>
      <c r="AA3140" s="4">
        <f>=ROUNDDOWN(26.625,0)</f>
      </c>
      <c r="AB3140" s="5">
        <v>8</v>
      </c>
      <c r="AC3140" s="2" t="s">
        <v>100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 t="s">
        <v>100</v>
      </c>
      <c r="BJ3140" s="4">
        <v>52</v>
      </c>
      <c r="BK3140" s="8">
        <v>1790.87</v>
      </c>
      <c r="BL3140" s="2" t="s">
        <v>2714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1085</v>
      </c>
      <c r="BX3140" s="2" t="s">
        <v>4667</v>
      </c>
      <c r="BY3140" s="2" t="s">
        <v>113</v>
      </c>
      <c r="BZ3140" s="2" t="s">
        <v>100</v>
      </c>
    </row>
    <row r="3141">
      <c r="A3141" s="2" t="s">
        <v>10066</v>
      </c>
      <c r="B3141" s="2" t="s">
        <v>9668</v>
      </c>
      <c r="C3141" s="2" t="s">
        <v>4861</v>
      </c>
      <c r="D3141" s="2" t="s">
        <v>9669</v>
      </c>
      <c r="E3141" s="2" t="s">
        <v>9670</v>
      </c>
      <c r="F3141" s="2" t="s">
        <v>10015</v>
      </c>
      <c r="G3141" s="2" t="s">
        <v>10015</v>
      </c>
      <c r="H3141" s="2" t="s">
        <v>10015</v>
      </c>
      <c r="I3141" s="2" t="s">
        <v>10016</v>
      </c>
      <c r="J3141" s="2" t="s">
        <v>2072</v>
      </c>
      <c r="K3141" s="2" t="s">
        <v>144</v>
      </c>
      <c r="L3141" s="3">
        <v>23.04</v>
      </c>
      <c r="M3141" s="3">
        <v>24.19</v>
      </c>
      <c r="N3141" s="3">
        <v>47.99</v>
      </c>
      <c r="O3141" s="2" t="s">
        <v>97</v>
      </c>
      <c r="P3141" s="2" t="s">
        <v>119</v>
      </c>
      <c r="Q3141" s="2" t="s">
        <v>99</v>
      </c>
      <c r="R3141" s="2" t="s">
        <v>100</v>
      </c>
      <c r="S3141" s="2" t="s">
        <v>10067</v>
      </c>
      <c r="T3141" s="2" t="s">
        <v>5869</v>
      </c>
      <c r="U3141" s="2" t="s">
        <v>480</v>
      </c>
      <c r="V3141" s="2" t="s">
        <v>146</v>
      </c>
      <c r="W3141" s="2" t="s">
        <v>183</v>
      </c>
      <c r="X3141" s="2" t="s">
        <v>561</v>
      </c>
      <c r="Y3141" s="2" t="s">
        <v>240</v>
      </c>
      <c r="Z3141" s="4">
        <v>159</v>
      </c>
      <c r="AA3141" s="4">
        <f>=ROUNDDOWN(19.875,0)</f>
      </c>
      <c r="AB3141" s="5">
        <v>8</v>
      </c>
      <c r="AC3141" s="2" t="s">
        <v>100</v>
      </c>
      <c r="AD3141" s="4"/>
      <c r="AE3141" s="4"/>
      <c r="AF3141" s="6">
        <v>65</v>
      </c>
      <c r="AG3141" s="6"/>
      <c r="AH3141" s="7">
        <v>0.6578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>
        <v>3</v>
      </c>
      <c r="AW3141" s="8">
        <v>82.2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0.0618</v>
      </c>
      <c r="BJ3141" s="4">
        <v>95</v>
      </c>
      <c r="BK3141" s="8">
        <v>2370.67</v>
      </c>
      <c r="BL3141" s="2" t="s">
        <v>1358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1085</v>
      </c>
      <c r="BX3141" s="2" t="s">
        <v>4794</v>
      </c>
      <c r="BY3141" s="2" t="s">
        <v>113</v>
      </c>
      <c r="BZ3141" s="2" t="s">
        <v>100</v>
      </c>
    </row>
    <row r="3142">
      <c r="A3142" s="2" t="s">
        <v>10068</v>
      </c>
      <c r="B3142" s="2" t="s">
        <v>9668</v>
      </c>
      <c r="C3142" s="2" t="s">
        <v>4861</v>
      </c>
      <c r="D3142" s="2" t="s">
        <v>9669</v>
      </c>
      <c r="E3142" s="2" t="s">
        <v>9670</v>
      </c>
      <c r="F3142" s="2" t="s">
        <v>10015</v>
      </c>
      <c r="G3142" s="2" t="s">
        <v>10015</v>
      </c>
      <c r="H3142" s="2" t="s">
        <v>10015</v>
      </c>
      <c r="I3142" s="2" t="s">
        <v>10016</v>
      </c>
      <c r="J3142" s="2" t="s">
        <v>717</v>
      </c>
      <c r="K3142" s="2" t="s">
        <v>144</v>
      </c>
      <c r="L3142" s="3">
        <v>25.3</v>
      </c>
      <c r="M3142" s="3">
        <v>26.56</v>
      </c>
      <c r="N3142" s="3">
        <v>54.99</v>
      </c>
      <c r="O3142" s="2" t="s">
        <v>97</v>
      </c>
      <c r="P3142" s="2" t="s">
        <v>119</v>
      </c>
      <c r="Q3142" s="2" t="s">
        <v>99</v>
      </c>
      <c r="R3142" s="2" t="s">
        <v>100</v>
      </c>
      <c r="S3142" s="2" t="s">
        <v>10067</v>
      </c>
      <c r="T3142" s="2" t="s">
        <v>5869</v>
      </c>
      <c r="U3142" s="2" t="s">
        <v>402</v>
      </c>
      <c r="V3142" s="2" t="s">
        <v>146</v>
      </c>
      <c r="W3142" s="2" t="s">
        <v>183</v>
      </c>
      <c r="X3142" s="2" t="s">
        <v>561</v>
      </c>
      <c r="Y3142" s="2" t="s">
        <v>240</v>
      </c>
      <c r="Z3142" s="4">
        <v>167</v>
      </c>
      <c r="AA3142" s="4">
        <f>=ROUNDDOWN(18.5555555555556,0)</f>
      </c>
      <c r="AB3142" s="5">
        <v>9</v>
      </c>
      <c r="AC3142" s="2" t="s">
        <v>100</v>
      </c>
      <c r="AD3142" s="4"/>
      <c r="AE3142" s="4"/>
      <c r="AF3142" s="6">
        <v>65</v>
      </c>
      <c r="AG3142" s="6"/>
      <c r="AH3142" s="7">
        <v>0.631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>
        <v>2</v>
      </c>
      <c r="AQ3142" s="8">
        <v>51.02</v>
      </c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>
        <v>0.6207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 t="s">
        <v>100</v>
      </c>
      <c r="BJ3142" s="4">
        <v>141</v>
      </c>
      <c r="BK3142" s="8">
        <v>3884.92</v>
      </c>
      <c r="BL3142" s="2" t="s">
        <v>10069</v>
      </c>
      <c r="BM3142" s="7">
        <v>0.0142</v>
      </c>
      <c r="BN3142" s="7">
        <v>0.0131</v>
      </c>
      <c r="BO3142" s="4">
        <v>2</v>
      </c>
      <c r="BP3142" s="8">
        <v>51.02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1085</v>
      </c>
      <c r="BX3142" s="2" t="s">
        <v>4840</v>
      </c>
      <c r="BY3142" s="2" t="s">
        <v>113</v>
      </c>
      <c r="BZ3142" s="2" t="s">
        <v>100</v>
      </c>
    </row>
    <row r="3143">
      <c r="A3143" s="2" t="s">
        <v>10070</v>
      </c>
      <c r="B3143" s="2" t="s">
        <v>9668</v>
      </c>
      <c r="C3143" s="2" t="s">
        <v>4861</v>
      </c>
      <c r="D3143" s="2" t="s">
        <v>9669</v>
      </c>
      <c r="E3143" s="2" t="s">
        <v>9670</v>
      </c>
      <c r="F3143" s="2" t="s">
        <v>10015</v>
      </c>
      <c r="G3143" s="2" t="s">
        <v>10015</v>
      </c>
      <c r="H3143" s="2" t="s">
        <v>10015</v>
      </c>
      <c r="I3143" s="2" t="s">
        <v>10016</v>
      </c>
      <c r="J3143" s="2" t="s">
        <v>706</v>
      </c>
      <c r="K3143" s="2" t="s">
        <v>144</v>
      </c>
      <c r="L3143" s="3">
        <v>28.2</v>
      </c>
      <c r="M3143" s="3">
        <v>29.61</v>
      </c>
      <c r="N3143" s="3">
        <v>59.99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10067</v>
      </c>
      <c r="T3143" s="2" t="s">
        <v>5869</v>
      </c>
      <c r="U3143" s="2" t="s">
        <v>402</v>
      </c>
      <c r="V3143" s="2" t="s">
        <v>146</v>
      </c>
      <c r="W3143" s="2" t="s">
        <v>183</v>
      </c>
      <c r="X3143" s="2" t="s">
        <v>561</v>
      </c>
      <c r="Y3143" s="2" t="s">
        <v>240</v>
      </c>
      <c r="Z3143" s="4">
        <v>667</v>
      </c>
      <c r="AA3143" s="4">
        <f>=ROUNDDOWN(24.7037037037037,0)</f>
      </c>
      <c r="AB3143" s="5">
        <v>27</v>
      </c>
      <c r="AC3143" s="2" t="s">
        <v>100</v>
      </c>
      <c r="AD3143" s="4"/>
      <c r="AE3143" s="4"/>
      <c r="AF3143" s="6">
        <v>65</v>
      </c>
      <c r="AG3143" s="6"/>
      <c r="AH3143" s="7">
        <v>0.6524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 t="s">
        <v>100</v>
      </c>
      <c r="BJ3143" s="4">
        <v>303</v>
      </c>
      <c r="BK3143" s="8">
        <v>9335.85</v>
      </c>
      <c r="BL3143" s="2" t="s">
        <v>10071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1085</v>
      </c>
      <c r="BX3143" s="2" t="s">
        <v>1526</v>
      </c>
      <c r="BY3143" s="2" t="s">
        <v>113</v>
      </c>
      <c r="BZ3143" s="2" t="s">
        <v>100</v>
      </c>
    </row>
    <row r="3144">
      <c r="A3144" s="2" t="s">
        <v>10072</v>
      </c>
      <c r="B3144" s="2" t="s">
        <v>9668</v>
      </c>
      <c r="C3144" s="2" t="s">
        <v>4861</v>
      </c>
      <c r="D3144" s="2" t="s">
        <v>9669</v>
      </c>
      <c r="E3144" s="2" t="s">
        <v>9670</v>
      </c>
      <c r="F3144" s="2" t="s">
        <v>10015</v>
      </c>
      <c r="G3144" s="2" t="s">
        <v>10015</v>
      </c>
      <c r="H3144" s="2" t="s">
        <v>10015</v>
      </c>
      <c r="I3144" s="2" t="s">
        <v>10016</v>
      </c>
      <c r="J3144" s="2" t="s">
        <v>714</v>
      </c>
      <c r="K3144" s="2" t="s">
        <v>144</v>
      </c>
      <c r="L3144" s="3">
        <v>31.2</v>
      </c>
      <c r="M3144" s="3">
        <v>32.76</v>
      </c>
      <c r="N3144" s="3">
        <v>64.99</v>
      </c>
      <c r="O3144" s="2" t="s">
        <v>97</v>
      </c>
      <c r="P3144" s="2" t="s">
        <v>950</v>
      </c>
      <c r="Q3144" s="2" t="s">
        <v>99</v>
      </c>
      <c r="R3144" s="2" t="s">
        <v>100</v>
      </c>
      <c r="S3144" s="2" t="s">
        <v>10067</v>
      </c>
      <c r="T3144" s="2" t="s">
        <v>5869</v>
      </c>
      <c r="U3144" s="2" t="s">
        <v>402</v>
      </c>
      <c r="V3144" s="2" t="s">
        <v>146</v>
      </c>
      <c r="W3144" s="2" t="s">
        <v>183</v>
      </c>
      <c r="X3144" s="2" t="s">
        <v>561</v>
      </c>
      <c r="Y3144" s="2" t="s">
        <v>240</v>
      </c>
      <c r="Z3144" s="4">
        <v>485</v>
      </c>
      <c r="AA3144" s="4">
        <f>=ROUNDDOWN(24.25,0)</f>
      </c>
      <c r="AB3144" s="5">
        <v>20</v>
      </c>
      <c r="AC3144" s="2" t="s">
        <v>100</v>
      </c>
      <c r="AD3144" s="4"/>
      <c r="AE3144" s="4"/>
      <c r="AF3144" s="6">
        <v>65</v>
      </c>
      <c r="AG3144" s="6"/>
      <c r="AH3144" s="7">
        <v>0.631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>
        <v>1</v>
      </c>
      <c r="AQ3144" s="8">
        <v>31.18</v>
      </c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>
        <v>0.3793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 t="s">
        <v>100</v>
      </c>
      <c r="BJ3144" s="4">
        <v>231</v>
      </c>
      <c r="BK3144" s="8">
        <v>7827.43</v>
      </c>
      <c r="BL3144" s="2" t="s">
        <v>9936</v>
      </c>
      <c r="BM3144" s="7">
        <v>0.0043</v>
      </c>
      <c r="BN3144" s="7">
        <v>0.004</v>
      </c>
      <c r="BO3144" s="4">
        <v>1</v>
      </c>
      <c r="BP3144" s="8">
        <v>31.18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1085</v>
      </c>
      <c r="BX3144" s="2" t="s">
        <v>4840</v>
      </c>
      <c r="BY3144" s="2" t="s">
        <v>113</v>
      </c>
      <c r="BZ3144" s="2" t="s">
        <v>100</v>
      </c>
    </row>
    <row r="3145">
      <c r="A3145" s="2" t="s">
        <v>10073</v>
      </c>
      <c r="B3145" s="2" t="s">
        <v>9668</v>
      </c>
      <c r="C3145" s="2" t="s">
        <v>4861</v>
      </c>
      <c r="D3145" s="2" t="s">
        <v>9669</v>
      </c>
      <c r="E3145" s="2" t="s">
        <v>9670</v>
      </c>
      <c r="F3145" s="2" t="s">
        <v>10015</v>
      </c>
      <c r="G3145" s="2" t="s">
        <v>10015</v>
      </c>
      <c r="H3145" s="2" t="s">
        <v>10015</v>
      </c>
      <c r="I3145" s="2" t="s">
        <v>10016</v>
      </c>
      <c r="J3145" s="2" t="s">
        <v>817</v>
      </c>
      <c r="K3145" s="2" t="s">
        <v>144</v>
      </c>
      <c r="L3145" s="3">
        <v>31.85</v>
      </c>
      <c r="M3145" s="3">
        <v>33.44</v>
      </c>
      <c r="N3145" s="3">
        <v>64.99</v>
      </c>
      <c r="O3145" s="2" t="s">
        <v>97</v>
      </c>
      <c r="P3145" s="2" t="s">
        <v>119</v>
      </c>
      <c r="Q3145" s="2" t="s">
        <v>99</v>
      </c>
      <c r="R3145" s="2" t="s">
        <v>100</v>
      </c>
      <c r="S3145" s="2" t="s">
        <v>10067</v>
      </c>
      <c r="T3145" s="2" t="s">
        <v>5869</v>
      </c>
      <c r="U3145" s="2" t="s">
        <v>402</v>
      </c>
      <c r="V3145" s="2" t="s">
        <v>146</v>
      </c>
      <c r="W3145" s="2" t="s">
        <v>183</v>
      </c>
      <c r="X3145" s="2" t="s">
        <v>561</v>
      </c>
      <c r="Y3145" s="2" t="s">
        <v>240</v>
      </c>
      <c r="Z3145" s="4">
        <v>183</v>
      </c>
      <c r="AA3145" s="4">
        <f>=ROUNDDOWN(18.3,0)</f>
      </c>
      <c r="AB3145" s="5">
        <v>10</v>
      </c>
      <c r="AC3145" s="2" t="s">
        <v>100</v>
      </c>
      <c r="AD3145" s="4"/>
      <c r="AE3145" s="4"/>
      <c r="AF3145" s="6">
        <v>65</v>
      </c>
      <c r="AG3145" s="6"/>
      <c r="AH3145" s="7">
        <v>0.6524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 t="s">
        <v>100</v>
      </c>
      <c r="BJ3145" s="4">
        <v>107</v>
      </c>
      <c r="BK3145" s="8">
        <v>3635.69</v>
      </c>
      <c r="BL3145" s="2" t="s">
        <v>10074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1085</v>
      </c>
      <c r="BX3145" s="2" t="s">
        <v>395</v>
      </c>
      <c r="BY3145" s="2" t="s">
        <v>113</v>
      </c>
      <c r="BZ3145" s="2" t="s">
        <v>100</v>
      </c>
    </row>
    <row r="3146">
      <c r="A3146" s="2" t="s">
        <v>10075</v>
      </c>
      <c r="B3146" s="2" t="s">
        <v>9668</v>
      </c>
      <c r="C3146" s="2" t="s">
        <v>4861</v>
      </c>
      <c r="D3146" s="2" t="s">
        <v>9669</v>
      </c>
      <c r="E3146" s="2" t="s">
        <v>9670</v>
      </c>
      <c r="F3146" s="2" t="s">
        <v>10015</v>
      </c>
      <c r="G3146" s="2" t="s">
        <v>10015</v>
      </c>
      <c r="H3146" s="2" t="s">
        <v>10015</v>
      </c>
      <c r="I3146" s="2" t="s">
        <v>10016</v>
      </c>
      <c r="J3146" s="2" t="s">
        <v>2072</v>
      </c>
      <c r="K3146" s="2" t="s">
        <v>5794</v>
      </c>
      <c r="L3146" s="3">
        <v>23.04</v>
      </c>
      <c r="M3146" s="3">
        <v>24.19</v>
      </c>
      <c r="N3146" s="3">
        <v>47.99</v>
      </c>
      <c r="O3146" s="2" t="s">
        <v>97</v>
      </c>
      <c r="P3146" s="2" t="s">
        <v>119</v>
      </c>
      <c r="Q3146" s="2" t="s">
        <v>99</v>
      </c>
      <c r="R3146" s="2" t="s">
        <v>100</v>
      </c>
      <c r="S3146" s="2" t="s">
        <v>10076</v>
      </c>
      <c r="T3146" s="2" t="s">
        <v>5869</v>
      </c>
      <c r="U3146" s="2" t="s">
        <v>480</v>
      </c>
      <c r="V3146" s="2" t="s">
        <v>146</v>
      </c>
      <c r="W3146" s="2" t="s">
        <v>183</v>
      </c>
      <c r="X3146" s="2" t="s">
        <v>561</v>
      </c>
      <c r="Y3146" s="2" t="s">
        <v>240</v>
      </c>
      <c r="Z3146" s="4">
        <v>508</v>
      </c>
      <c r="AA3146" s="4">
        <f>=ROUNDDOWN(28.2222222222222,0)</f>
      </c>
      <c r="AB3146" s="5">
        <v>18</v>
      </c>
      <c r="AC3146" s="2" t="s">
        <v>100</v>
      </c>
      <c r="AD3146" s="4"/>
      <c r="AE3146" s="4"/>
      <c r="AF3146" s="6">
        <v>65</v>
      </c>
      <c r="AG3146" s="6"/>
      <c r="AH3146" s="7">
        <v>0.6524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>
        <v>3</v>
      </c>
      <c r="AW3146" s="8">
        <v>79.39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0.0597</v>
      </c>
      <c r="BJ3146" s="4">
        <v>134</v>
      </c>
      <c r="BK3146" s="8">
        <v>3381.75</v>
      </c>
      <c r="BL3146" s="2" t="s">
        <v>10077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1085</v>
      </c>
      <c r="BX3146" s="2" t="s">
        <v>10078</v>
      </c>
      <c r="BY3146" s="2" t="s">
        <v>113</v>
      </c>
      <c r="BZ3146" s="2" t="s">
        <v>100</v>
      </c>
    </row>
    <row r="3147">
      <c r="A3147" s="2" t="s">
        <v>10079</v>
      </c>
      <c r="B3147" s="2" t="s">
        <v>9668</v>
      </c>
      <c r="C3147" s="2" t="s">
        <v>4861</v>
      </c>
      <c r="D3147" s="2" t="s">
        <v>9669</v>
      </c>
      <c r="E3147" s="2" t="s">
        <v>9670</v>
      </c>
      <c r="F3147" s="2" t="s">
        <v>10015</v>
      </c>
      <c r="G3147" s="2" t="s">
        <v>10015</v>
      </c>
      <c r="H3147" s="2" t="s">
        <v>10015</v>
      </c>
      <c r="I3147" s="2" t="s">
        <v>10016</v>
      </c>
      <c r="J3147" s="2" t="s">
        <v>717</v>
      </c>
      <c r="K3147" s="2" t="s">
        <v>5794</v>
      </c>
      <c r="L3147" s="3">
        <v>25.3</v>
      </c>
      <c r="M3147" s="3">
        <v>26.56</v>
      </c>
      <c r="N3147" s="3">
        <v>54.99</v>
      </c>
      <c r="O3147" s="2" t="s">
        <v>97</v>
      </c>
      <c r="P3147" s="2" t="s">
        <v>372</v>
      </c>
      <c r="Q3147" s="2" t="s">
        <v>99</v>
      </c>
      <c r="R3147" s="2" t="s">
        <v>100</v>
      </c>
      <c r="S3147" s="2" t="s">
        <v>10076</v>
      </c>
      <c r="T3147" s="2" t="s">
        <v>5869</v>
      </c>
      <c r="U3147" s="2" t="s">
        <v>402</v>
      </c>
      <c r="V3147" s="2" t="s">
        <v>146</v>
      </c>
      <c r="W3147" s="2" t="s">
        <v>183</v>
      </c>
      <c r="X3147" s="2" t="s">
        <v>561</v>
      </c>
      <c r="Y3147" s="2" t="s">
        <v>240</v>
      </c>
      <c r="Z3147" s="4">
        <v>793</v>
      </c>
      <c r="AA3147" s="4">
        <f>=ROUNDDOWN(19.3414634146341,0)</f>
      </c>
      <c r="AB3147" s="5">
        <v>41</v>
      </c>
      <c r="AC3147" s="2" t="s">
        <v>100</v>
      </c>
      <c r="AD3147" s="4"/>
      <c r="AE3147" s="4"/>
      <c r="AF3147" s="6">
        <v>65</v>
      </c>
      <c r="AG3147" s="6"/>
      <c r="AH3147" s="7">
        <v>0.631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>
        <v>2</v>
      </c>
      <c r="AQ3147" s="8">
        <v>51.04</v>
      </c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>
        <v>0.6429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 t="s">
        <v>100</v>
      </c>
      <c r="BJ3147" s="4">
        <v>430</v>
      </c>
      <c r="BK3147" s="8">
        <v>11906.07</v>
      </c>
      <c r="BL3147" s="2" t="s">
        <v>10080</v>
      </c>
      <c r="BM3147" s="7">
        <v>0.0047</v>
      </c>
      <c r="BN3147" s="7">
        <v>0.0043</v>
      </c>
      <c r="BO3147" s="4">
        <v>2</v>
      </c>
      <c r="BP3147" s="8">
        <v>51.04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1085</v>
      </c>
      <c r="BX3147" s="2" t="s">
        <v>1995</v>
      </c>
      <c r="BY3147" s="2" t="s">
        <v>113</v>
      </c>
      <c r="BZ3147" s="2" t="s">
        <v>100</v>
      </c>
    </row>
    <row r="3148">
      <c r="A3148" s="2" t="s">
        <v>10081</v>
      </c>
      <c r="B3148" s="2" t="s">
        <v>9668</v>
      </c>
      <c r="C3148" s="2" t="s">
        <v>4861</v>
      </c>
      <c r="D3148" s="2" t="s">
        <v>9669</v>
      </c>
      <c r="E3148" s="2" t="s">
        <v>9670</v>
      </c>
      <c r="F3148" s="2" t="s">
        <v>10015</v>
      </c>
      <c r="G3148" s="2" t="s">
        <v>10015</v>
      </c>
      <c r="H3148" s="2" t="s">
        <v>10015</v>
      </c>
      <c r="I3148" s="2" t="s">
        <v>10016</v>
      </c>
      <c r="J3148" s="2" t="s">
        <v>706</v>
      </c>
      <c r="K3148" s="2" t="s">
        <v>5794</v>
      </c>
      <c r="L3148" s="3">
        <v>28.2</v>
      </c>
      <c r="M3148" s="3">
        <v>29.61</v>
      </c>
      <c r="N3148" s="3">
        <v>59.99</v>
      </c>
      <c r="O3148" s="2" t="s">
        <v>97</v>
      </c>
      <c r="P3148" s="2" t="s">
        <v>307</v>
      </c>
      <c r="Q3148" s="2" t="s">
        <v>99</v>
      </c>
      <c r="R3148" s="2" t="s">
        <v>100</v>
      </c>
      <c r="S3148" s="2" t="s">
        <v>10076</v>
      </c>
      <c r="T3148" s="2" t="s">
        <v>5869</v>
      </c>
      <c r="U3148" s="2" t="s">
        <v>402</v>
      </c>
      <c r="V3148" s="2" t="s">
        <v>146</v>
      </c>
      <c r="W3148" s="2" t="s">
        <v>183</v>
      </c>
      <c r="X3148" s="2" t="s">
        <v>561</v>
      </c>
      <c r="Y3148" s="2" t="s">
        <v>240</v>
      </c>
      <c r="Z3148" s="4">
        <v>1510</v>
      </c>
      <c r="AA3148" s="4">
        <f>=ROUNDDOWN(23.59375,0)</f>
      </c>
      <c r="AB3148" s="5">
        <v>64</v>
      </c>
      <c r="AC3148" s="2" t="s">
        <v>100</v>
      </c>
      <c r="AD3148" s="4"/>
      <c r="AE3148" s="4"/>
      <c r="AF3148" s="6">
        <v>65</v>
      </c>
      <c r="AG3148" s="6"/>
      <c r="AH3148" s="7">
        <v>0.631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>
        <v>1</v>
      </c>
      <c r="AQ3148" s="8">
        <v>28.35</v>
      </c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>
        <v>0.3571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 t="s">
        <v>100</v>
      </c>
      <c r="BJ3148" s="4">
        <v>773</v>
      </c>
      <c r="BK3148" s="8">
        <v>23778.94</v>
      </c>
      <c r="BL3148" s="2" t="s">
        <v>9871</v>
      </c>
      <c r="BM3148" s="7">
        <v>0.0013</v>
      </c>
      <c r="BN3148" s="7">
        <v>0.0012</v>
      </c>
      <c r="BO3148" s="4">
        <v>1</v>
      </c>
      <c r="BP3148" s="8">
        <v>28.35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1085</v>
      </c>
      <c r="BX3148" s="2" t="s">
        <v>1125</v>
      </c>
      <c r="BY3148" s="2" t="s">
        <v>113</v>
      </c>
      <c r="BZ3148" s="2" t="s">
        <v>100</v>
      </c>
    </row>
    <row r="3149">
      <c r="A3149" s="2" t="s">
        <v>10082</v>
      </c>
      <c r="B3149" s="2" t="s">
        <v>9668</v>
      </c>
      <c r="C3149" s="2" t="s">
        <v>4861</v>
      </c>
      <c r="D3149" s="2" t="s">
        <v>9669</v>
      </c>
      <c r="E3149" s="2" t="s">
        <v>9670</v>
      </c>
      <c r="F3149" s="2" t="s">
        <v>10015</v>
      </c>
      <c r="G3149" s="2" t="s">
        <v>10015</v>
      </c>
      <c r="H3149" s="2" t="s">
        <v>10015</v>
      </c>
      <c r="I3149" s="2" t="s">
        <v>10016</v>
      </c>
      <c r="J3149" s="2" t="s">
        <v>817</v>
      </c>
      <c r="K3149" s="2" t="s">
        <v>5794</v>
      </c>
      <c r="L3149" s="3">
        <v>31.85</v>
      </c>
      <c r="M3149" s="3">
        <v>33.44</v>
      </c>
      <c r="N3149" s="3">
        <v>64.99</v>
      </c>
      <c r="O3149" s="2" t="s">
        <v>97</v>
      </c>
      <c r="P3149" s="2" t="s">
        <v>119</v>
      </c>
      <c r="Q3149" s="2" t="s">
        <v>99</v>
      </c>
      <c r="R3149" s="2" t="s">
        <v>100</v>
      </c>
      <c r="S3149" s="2" t="s">
        <v>10076</v>
      </c>
      <c r="T3149" s="2" t="s">
        <v>5869</v>
      </c>
      <c r="U3149" s="2" t="s">
        <v>402</v>
      </c>
      <c r="V3149" s="2" t="s">
        <v>146</v>
      </c>
      <c r="W3149" s="2" t="s">
        <v>183</v>
      </c>
      <c r="X3149" s="2" t="s">
        <v>561</v>
      </c>
      <c r="Y3149" s="2" t="s">
        <v>240</v>
      </c>
      <c r="Z3149" s="4">
        <v>193</v>
      </c>
      <c r="AA3149" s="4">
        <f>=ROUNDDOWN(24.125,0)</f>
      </c>
      <c r="AB3149" s="5">
        <v>8</v>
      </c>
      <c r="AC3149" s="2" t="s">
        <v>100</v>
      </c>
      <c r="AD3149" s="4"/>
      <c r="AE3149" s="4"/>
      <c r="AF3149" s="6">
        <v>65</v>
      </c>
      <c r="AG3149" s="6"/>
      <c r="AH3149" s="7">
        <v>0.6738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 t="s">
        <v>100</v>
      </c>
      <c r="BJ3149" s="4">
        <v>62</v>
      </c>
      <c r="BK3149" s="8">
        <v>2116.77</v>
      </c>
      <c r="BL3149" s="2" t="s">
        <v>10083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1085</v>
      </c>
      <c r="BX3149" s="2" t="s">
        <v>6057</v>
      </c>
      <c r="BY3149" s="2" t="s">
        <v>113</v>
      </c>
      <c r="BZ3149" s="2" t="s">
        <v>100</v>
      </c>
    </row>
    <row r="3150">
      <c r="A3150" s="2" t="s">
        <v>10084</v>
      </c>
      <c r="B3150" s="2" t="s">
        <v>9668</v>
      </c>
      <c r="C3150" s="2" t="s">
        <v>4861</v>
      </c>
      <c r="D3150" s="2" t="s">
        <v>9669</v>
      </c>
      <c r="E3150" s="2" t="s">
        <v>9670</v>
      </c>
      <c r="F3150" s="2" t="s">
        <v>10015</v>
      </c>
      <c r="G3150" s="2" t="s">
        <v>10015</v>
      </c>
      <c r="H3150" s="2" t="s">
        <v>10015</v>
      </c>
      <c r="I3150" s="2" t="s">
        <v>10016</v>
      </c>
      <c r="J3150" s="2" t="s">
        <v>1936</v>
      </c>
      <c r="K3150" s="2" t="s">
        <v>913</v>
      </c>
      <c r="L3150" s="3">
        <v>21.62</v>
      </c>
      <c r="M3150" s="3">
        <v>22.7</v>
      </c>
      <c r="N3150" s="3">
        <v>46.99</v>
      </c>
      <c r="O3150" s="2" t="s">
        <v>97</v>
      </c>
      <c r="P3150" s="2" t="s">
        <v>119</v>
      </c>
      <c r="Q3150" s="2" t="s">
        <v>99</v>
      </c>
      <c r="R3150" s="2" t="s">
        <v>100</v>
      </c>
      <c r="S3150" s="2" t="s">
        <v>10085</v>
      </c>
      <c r="T3150" s="2" t="s">
        <v>5869</v>
      </c>
      <c r="U3150" s="2" t="s">
        <v>480</v>
      </c>
      <c r="V3150" s="2" t="s">
        <v>146</v>
      </c>
      <c r="W3150" s="2" t="s">
        <v>183</v>
      </c>
      <c r="X3150" s="2" t="s">
        <v>561</v>
      </c>
      <c r="Y3150" s="2" t="s">
        <v>240</v>
      </c>
      <c r="Z3150" s="4">
        <v>150</v>
      </c>
      <c r="AA3150" s="4">
        <f>=ROUNDDOWN(25,0)</f>
      </c>
      <c r="AB3150" s="5">
        <v>6</v>
      </c>
      <c r="AC3150" s="2" t="s">
        <v>100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>
        <v>2</v>
      </c>
      <c r="AW3150" s="8">
        <v>62.38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0.0469</v>
      </c>
      <c r="BJ3150" s="4">
        <v>76</v>
      </c>
      <c r="BK3150" s="8">
        <v>1778.52</v>
      </c>
      <c r="BL3150" s="2" t="s">
        <v>6094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1085</v>
      </c>
      <c r="BX3150" s="2" t="s">
        <v>10027</v>
      </c>
      <c r="BY3150" s="2" t="s">
        <v>113</v>
      </c>
      <c r="BZ3150" s="2" t="s">
        <v>100</v>
      </c>
    </row>
    <row r="3151">
      <c r="A3151" s="2" t="s">
        <v>10086</v>
      </c>
      <c r="B3151" s="2" t="s">
        <v>9668</v>
      </c>
      <c r="C3151" s="2" t="s">
        <v>4861</v>
      </c>
      <c r="D3151" s="2" t="s">
        <v>9669</v>
      </c>
      <c r="E3151" s="2" t="s">
        <v>9670</v>
      </c>
      <c r="F3151" s="2" t="s">
        <v>10015</v>
      </c>
      <c r="G3151" s="2" t="s">
        <v>10015</v>
      </c>
      <c r="H3151" s="2" t="s">
        <v>10015</v>
      </c>
      <c r="I3151" s="2" t="s">
        <v>10016</v>
      </c>
      <c r="J3151" s="2" t="s">
        <v>2072</v>
      </c>
      <c r="K3151" s="2" t="s">
        <v>913</v>
      </c>
      <c r="L3151" s="3">
        <v>23.04</v>
      </c>
      <c r="M3151" s="3">
        <v>24.19</v>
      </c>
      <c r="N3151" s="3">
        <v>47.99</v>
      </c>
      <c r="O3151" s="2" t="s">
        <v>97</v>
      </c>
      <c r="P3151" s="2" t="s">
        <v>119</v>
      </c>
      <c r="Q3151" s="2" t="s">
        <v>99</v>
      </c>
      <c r="R3151" s="2" t="s">
        <v>100</v>
      </c>
      <c r="S3151" s="2" t="s">
        <v>10085</v>
      </c>
      <c r="T3151" s="2" t="s">
        <v>5869</v>
      </c>
      <c r="U3151" s="2" t="s">
        <v>480</v>
      </c>
      <c r="V3151" s="2" t="s">
        <v>146</v>
      </c>
      <c r="W3151" s="2" t="s">
        <v>183</v>
      </c>
      <c r="X3151" s="2" t="s">
        <v>561</v>
      </c>
      <c r="Y3151" s="2" t="s">
        <v>240</v>
      </c>
      <c r="Z3151" s="4">
        <v>230</v>
      </c>
      <c r="AA3151" s="4">
        <f>=ROUNDDOWN(32.8571428571429,0)</f>
      </c>
      <c r="AB3151" s="5">
        <v>7</v>
      </c>
      <c r="AC3151" s="2" t="s">
        <v>100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 t="s">
        <v>100</v>
      </c>
      <c r="BJ3151" s="4">
        <v>103</v>
      </c>
      <c r="BK3151" s="8">
        <v>2564.21</v>
      </c>
      <c r="BL3151" s="2" t="s">
        <v>10087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1085</v>
      </c>
      <c r="BX3151" s="2" t="s">
        <v>1995</v>
      </c>
      <c r="BY3151" s="2" t="s">
        <v>113</v>
      </c>
      <c r="BZ3151" s="2" t="s">
        <v>100</v>
      </c>
    </row>
    <row r="3152">
      <c r="A3152" s="2" t="s">
        <v>10088</v>
      </c>
      <c r="B3152" s="2" t="s">
        <v>9668</v>
      </c>
      <c r="C3152" s="2" t="s">
        <v>4861</v>
      </c>
      <c r="D3152" s="2" t="s">
        <v>9669</v>
      </c>
      <c r="E3152" s="2" t="s">
        <v>9670</v>
      </c>
      <c r="F3152" s="2" t="s">
        <v>10015</v>
      </c>
      <c r="G3152" s="2" t="s">
        <v>10015</v>
      </c>
      <c r="H3152" s="2" t="s">
        <v>10015</v>
      </c>
      <c r="I3152" s="2" t="s">
        <v>10016</v>
      </c>
      <c r="J3152" s="2" t="s">
        <v>714</v>
      </c>
      <c r="K3152" s="2" t="s">
        <v>913</v>
      </c>
      <c r="L3152" s="3">
        <v>31.2</v>
      </c>
      <c r="M3152" s="3">
        <v>32.76</v>
      </c>
      <c r="N3152" s="3">
        <v>64.99</v>
      </c>
      <c r="O3152" s="2" t="s">
        <v>97</v>
      </c>
      <c r="P3152" s="2" t="s">
        <v>950</v>
      </c>
      <c r="Q3152" s="2" t="s">
        <v>99</v>
      </c>
      <c r="R3152" s="2" t="s">
        <v>100</v>
      </c>
      <c r="S3152" s="2" t="s">
        <v>10085</v>
      </c>
      <c r="T3152" s="2" t="s">
        <v>5869</v>
      </c>
      <c r="U3152" s="2" t="s">
        <v>402</v>
      </c>
      <c r="V3152" s="2" t="s">
        <v>146</v>
      </c>
      <c r="W3152" s="2" t="s">
        <v>183</v>
      </c>
      <c r="X3152" s="2" t="s">
        <v>561</v>
      </c>
      <c r="Y3152" s="2" t="s">
        <v>240</v>
      </c>
      <c r="Z3152" s="4">
        <v>484</v>
      </c>
      <c r="AA3152" s="4">
        <f>=ROUNDDOWN(23.0476190476191,0)</f>
      </c>
      <c r="AB3152" s="5">
        <v>21</v>
      </c>
      <c r="AC3152" s="2" t="s">
        <v>100</v>
      </c>
      <c r="AD3152" s="4"/>
      <c r="AE3152" s="4"/>
      <c r="AF3152" s="6">
        <v>65</v>
      </c>
      <c r="AG3152" s="6"/>
      <c r="AH3152" s="7">
        <v>0.631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>
        <v>2</v>
      </c>
      <c r="AQ3152" s="8">
        <v>62.38</v>
      </c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 t="s">
        <v>100</v>
      </c>
      <c r="BJ3152" s="4">
        <v>215</v>
      </c>
      <c r="BK3152" s="8">
        <v>7269.39</v>
      </c>
      <c r="BL3152" s="2" t="s">
        <v>10089</v>
      </c>
      <c r="BM3152" s="7">
        <v>0.0093</v>
      </c>
      <c r="BN3152" s="7">
        <v>0.0086</v>
      </c>
      <c r="BO3152" s="4">
        <v>2</v>
      </c>
      <c r="BP3152" s="8">
        <v>62.38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1085</v>
      </c>
      <c r="BX3152" s="2" t="s">
        <v>6234</v>
      </c>
      <c r="BY3152" s="2" t="s">
        <v>113</v>
      </c>
      <c r="BZ3152" s="2" t="s">
        <v>100</v>
      </c>
    </row>
    <row r="3153">
      <c r="A3153" s="2" t="s">
        <v>10090</v>
      </c>
      <c r="B3153" s="2" t="s">
        <v>9668</v>
      </c>
      <c r="C3153" s="2" t="s">
        <v>4861</v>
      </c>
      <c r="D3153" s="2" t="s">
        <v>9669</v>
      </c>
      <c r="E3153" s="2" t="s">
        <v>9670</v>
      </c>
      <c r="F3153" s="2" t="s">
        <v>10015</v>
      </c>
      <c r="G3153" s="2" t="s">
        <v>10015</v>
      </c>
      <c r="H3153" s="2" t="s">
        <v>10015</v>
      </c>
      <c r="I3153" s="2" t="s">
        <v>10016</v>
      </c>
      <c r="J3153" s="2" t="s">
        <v>817</v>
      </c>
      <c r="K3153" s="2" t="s">
        <v>913</v>
      </c>
      <c r="L3153" s="3">
        <v>31.85</v>
      </c>
      <c r="M3153" s="3">
        <v>33.44</v>
      </c>
      <c r="N3153" s="3">
        <v>64.99</v>
      </c>
      <c r="O3153" s="2" t="s">
        <v>97</v>
      </c>
      <c r="P3153" s="2" t="s">
        <v>119</v>
      </c>
      <c r="Q3153" s="2" t="s">
        <v>99</v>
      </c>
      <c r="R3153" s="2" t="s">
        <v>100</v>
      </c>
      <c r="S3153" s="2" t="s">
        <v>10085</v>
      </c>
      <c r="T3153" s="2" t="s">
        <v>5869</v>
      </c>
      <c r="U3153" s="2" t="s">
        <v>402</v>
      </c>
      <c r="V3153" s="2" t="s">
        <v>146</v>
      </c>
      <c r="W3153" s="2" t="s">
        <v>183</v>
      </c>
      <c r="X3153" s="2" t="s">
        <v>561</v>
      </c>
      <c r="Y3153" s="2" t="s">
        <v>240</v>
      </c>
      <c r="Z3153" s="4">
        <v>365</v>
      </c>
      <c r="AA3153" s="4">
        <f>=ROUNDDOWN(28.0769230769231,0)</f>
      </c>
      <c r="AB3153" s="5">
        <v>13</v>
      </c>
      <c r="AC3153" s="2" t="s">
        <v>100</v>
      </c>
      <c r="AD3153" s="4"/>
      <c r="AE3153" s="4"/>
      <c r="AF3153" s="6">
        <v>65</v>
      </c>
      <c r="AG3153" s="6"/>
      <c r="AH3153" s="7">
        <v>0.631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 t="s">
        <v>100</v>
      </c>
      <c r="BJ3153" s="4">
        <v>62</v>
      </c>
      <c r="BK3153" s="8">
        <v>2130.53</v>
      </c>
      <c r="BL3153" s="2" t="s">
        <v>10091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1085</v>
      </c>
      <c r="BX3153" s="2" t="s">
        <v>523</v>
      </c>
      <c r="BY3153" s="2" t="s">
        <v>113</v>
      </c>
      <c r="BZ3153" s="2" t="s">
        <v>100</v>
      </c>
    </row>
    <row r="3154">
      <c r="A3154" s="2" t="s">
        <v>10092</v>
      </c>
      <c r="B3154" s="2" t="s">
        <v>9668</v>
      </c>
      <c r="C3154" s="2" t="s">
        <v>4861</v>
      </c>
      <c r="D3154" s="2" t="s">
        <v>9669</v>
      </c>
      <c r="E3154" s="2" t="s">
        <v>9670</v>
      </c>
      <c r="F3154" s="2" t="s">
        <v>10015</v>
      </c>
      <c r="G3154" s="2" t="s">
        <v>10015</v>
      </c>
      <c r="H3154" s="2" t="s">
        <v>10015</v>
      </c>
      <c r="I3154" s="2" t="s">
        <v>10016</v>
      </c>
      <c r="J3154" s="2" t="s">
        <v>1936</v>
      </c>
      <c r="K3154" s="2" t="s">
        <v>469</v>
      </c>
      <c r="L3154" s="3">
        <v>21.62</v>
      </c>
      <c r="M3154" s="3">
        <v>22.7</v>
      </c>
      <c r="N3154" s="3">
        <v>46.99</v>
      </c>
      <c r="O3154" s="2" t="s">
        <v>97</v>
      </c>
      <c r="P3154" s="2" t="s">
        <v>119</v>
      </c>
      <c r="Q3154" s="2" t="s">
        <v>99</v>
      </c>
      <c r="R3154" s="2" t="s">
        <v>100</v>
      </c>
      <c r="S3154" s="2" t="s">
        <v>10093</v>
      </c>
      <c r="T3154" s="2" t="s">
        <v>5869</v>
      </c>
      <c r="U3154" s="2" t="s">
        <v>480</v>
      </c>
      <c r="V3154" s="2" t="s">
        <v>146</v>
      </c>
      <c r="W3154" s="2" t="s">
        <v>183</v>
      </c>
      <c r="X3154" s="2" t="s">
        <v>561</v>
      </c>
      <c r="Y3154" s="2" t="s">
        <v>240</v>
      </c>
      <c r="Z3154" s="4">
        <v>276</v>
      </c>
      <c r="AA3154" s="4">
        <f>=ROUNDDOWN(21.2307692307692,0)</f>
      </c>
      <c r="AB3154" s="5">
        <v>13</v>
      </c>
      <c r="AC3154" s="2" t="s">
        <v>100</v>
      </c>
      <c r="AD3154" s="4"/>
      <c r="AE3154" s="4"/>
      <c r="AF3154" s="6">
        <v>65</v>
      </c>
      <c r="AG3154" s="6"/>
      <c r="AH3154" s="7">
        <v>0.6631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>
        <v>2</v>
      </c>
      <c r="AW3154" s="8">
        <v>62.38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>
        <v>0.0469</v>
      </c>
      <c r="BJ3154" s="4">
        <v>92</v>
      </c>
      <c r="BK3154" s="8">
        <v>2170.48</v>
      </c>
      <c r="BL3154" s="2" t="s">
        <v>7682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1085</v>
      </c>
      <c r="BX3154" s="2" t="s">
        <v>1526</v>
      </c>
      <c r="BY3154" s="2" t="s">
        <v>113</v>
      </c>
      <c r="BZ3154" s="2" t="s">
        <v>100</v>
      </c>
    </row>
    <row r="3155">
      <c r="A3155" s="2" t="s">
        <v>10094</v>
      </c>
      <c r="B3155" s="2" t="s">
        <v>9668</v>
      </c>
      <c r="C3155" s="2" t="s">
        <v>4861</v>
      </c>
      <c r="D3155" s="2" t="s">
        <v>9669</v>
      </c>
      <c r="E3155" s="2" t="s">
        <v>9670</v>
      </c>
      <c r="F3155" s="2" t="s">
        <v>10015</v>
      </c>
      <c r="G3155" s="2" t="s">
        <v>10015</v>
      </c>
      <c r="H3155" s="2" t="s">
        <v>10015</v>
      </c>
      <c r="I3155" s="2" t="s">
        <v>10016</v>
      </c>
      <c r="J3155" s="2" t="s">
        <v>2072</v>
      </c>
      <c r="K3155" s="2" t="s">
        <v>469</v>
      </c>
      <c r="L3155" s="3">
        <v>23.04</v>
      </c>
      <c r="M3155" s="3">
        <v>24.19</v>
      </c>
      <c r="N3155" s="3">
        <v>47.99</v>
      </c>
      <c r="O3155" s="2" t="s">
        <v>97</v>
      </c>
      <c r="P3155" s="2" t="s">
        <v>119</v>
      </c>
      <c r="Q3155" s="2" t="s">
        <v>99</v>
      </c>
      <c r="R3155" s="2" t="s">
        <v>100</v>
      </c>
      <c r="S3155" s="2" t="s">
        <v>10093</v>
      </c>
      <c r="T3155" s="2" t="s">
        <v>5869</v>
      </c>
      <c r="U3155" s="2" t="s">
        <v>480</v>
      </c>
      <c r="V3155" s="2" t="s">
        <v>146</v>
      </c>
      <c r="W3155" s="2" t="s">
        <v>183</v>
      </c>
      <c r="X3155" s="2" t="s">
        <v>561</v>
      </c>
      <c r="Y3155" s="2" t="s">
        <v>240</v>
      </c>
      <c r="Z3155" s="4">
        <v>137</v>
      </c>
      <c r="AA3155" s="4">
        <f>=ROUNDDOWN(34.25,0)</f>
      </c>
      <c r="AB3155" s="5">
        <v>4</v>
      </c>
      <c r="AC3155" s="2" t="s">
        <v>100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 t="s">
        <v>100</v>
      </c>
      <c r="BJ3155" s="4">
        <v>21</v>
      </c>
      <c r="BK3155" s="8">
        <v>528.03</v>
      </c>
      <c r="BL3155" s="2" t="s">
        <v>2714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1085</v>
      </c>
      <c r="BX3155" s="2" t="s">
        <v>1998</v>
      </c>
      <c r="BY3155" s="2" t="s">
        <v>113</v>
      </c>
      <c r="BZ3155" s="2" t="s">
        <v>100</v>
      </c>
    </row>
    <row r="3156">
      <c r="A3156" s="2" t="s">
        <v>10095</v>
      </c>
      <c r="B3156" s="2" t="s">
        <v>9668</v>
      </c>
      <c r="C3156" s="2" t="s">
        <v>4861</v>
      </c>
      <c r="D3156" s="2" t="s">
        <v>9669</v>
      </c>
      <c r="E3156" s="2" t="s">
        <v>9670</v>
      </c>
      <c r="F3156" s="2" t="s">
        <v>10015</v>
      </c>
      <c r="G3156" s="2" t="s">
        <v>10015</v>
      </c>
      <c r="H3156" s="2" t="s">
        <v>10015</v>
      </c>
      <c r="I3156" s="2" t="s">
        <v>10016</v>
      </c>
      <c r="J3156" s="2" t="s">
        <v>717</v>
      </c>
      <c r="K3156" s="2" t="s">
        <v>469</v>
      </c>
      <c r="L3156" s="3">
        <v>25.3</v>
      </c>
      <c r="M3156" s="3">
        <v>26.56</v>
      </c>
      <c r="N3156" s="3">
        <v>54.99</v>
      </c>
      <c r="O3156" s="2" t="s">
        <v>97</v>
      </c>
      <c r="P3156" s="2" t="s">
        <v>119</v>
      </c>
      <c r="Q3156" s="2" t="s">
        <v>99</v>
      </c>
      <c r="R3156" s="2" t="s">
        <v>100</v>
      </c>
      <c r="S3156" s="2" t="s">
        <v>10093</v>
      </c>
      <c r="T3156" s="2" t="s">
        <v>5869</v>
      </c>
      <c r="U3156" s="2" t="s">
        <v>402</v>
      </c>
      <c r="V3156" s="2" t="s">
        <v>146</v>
      </c>
      <c r="W3156" s="2" t="s">
        <v>183</v>
      </c>
      <c r="X3156" s="2" t="s">
        <v>561</v>
      </c>
      <c r="Y3156" s="2" t="s">
        <v>240</v>
      </c>
      <c r="Z3156" s="4">
        <v>208</v>
      </c>
      <c r="AA3156" s="4">
        <f>=ROUNDDOWN(34.6666666666667,0)</f>
      </c>
      <c r="AB3156" s="5">
        <v>6</v>
      </c>
      <c r="AC3156" s="2" t="s">
        <v>100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 t="s">
        <v>100</v>
      </c>
      <c r="BJ3156" s="4">
        <v>52</v>
      </c>
      <c r="BK3156" s="8">
        <v>1439.53</v>
      </c>
      <c r="BL3156" s="2" t="s">
        <v>10096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1085</v>
      </c>
      <c r="BX3156" s="2" t="s">
        <v>2001</v>
      </c>
      <c r="BY3156" s="2" t="s">
        <v>113</v>
      </c>
      <c r="BZ3156" s="2" t="s">
        <v>100</v>
      </c>
    </row>
    <row r="3157">
      <c r="A3157" s="2" t="s">
        <v>10097</v>
      </c>
      <c r="B3157" s="2" t="s">
        <v>9668</v>
      </c>
      <c r="C3157" s="2" t="s">
        <v>4861</v>
      </c>
      <c r="D3157" s="2" t="s">
        <v>9669</v>
      </c>
      <c r="E3157" s="2" t="s">
        <v>9670</v>
      </c>
      <c r="F3157" s="2" t="s">
        <v>10015</v>
      </c>
      <c r="G3157" s="2" t="s">
        <v>10015</v>
      </c>
      <c r="H3157" s="2" t="s">
        <v>10015</v>
      </c>
      <c r="I3157" s="2" t="s">
        <v>10016</v>
      </c>
      <c r="J3157" s="2" t="s">
        <v>706</v>
      </c>
      <c r="K3157" s="2" t="s">
        <v>469</v>
      </c>
      <c r="L3157" s="3">
        <v>28.2</v>
      </c>
      <c r="M3157" s="3">
        <v>29.61</v>
      </c>
      <c r="N3157" s="3">
        <v>59.99</v>
      </c>
      <c r="O3157" s="2" t="s">
        <v>97</v>
      </c>
      <c r="P3157" s="2" t="s">
        <v>119</v>
      </c>
      <c r="Q3157" s="2" t="s">
        <v>99</v>
      </c>
      <c r="R3157" s="2" t="s">
        <v>100</v>
      </c>
      <c r="S3157" s="2" t="s">
        <v>10093</v>
      </c>
      <c r="T3157" s="2" t="s">
        <v>5869</v>
      </c>
      <c r="U3157" s="2" t="s">
        <v>402</v>
      </c>
      <c r="V3157" s="2" t="s">
        <v>146</v>
      </c>
      <c r="W3157" s="2" t="s">
        <v>183</v>
      </c>
      <c r="X3157" s="2" t="s">
        <v>561</v>
      </c>
      <c r="Y3157" s="2" t="s">
        <v>240</v>
      </c>
      <c r="Z3157" s="4">
        <v>497</v>
      </c>
      <c r="AA3157" s="4">
        <f>=ROUNDDOWN(24.85,0)</f>
      </c>
      <c r="AB3157" s="5">
        <v>20</v>
      </c>
      <c r="AC3157" s="2" t="s">
        <v>100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 t="s">
        <v>100</v>
      </c>
      <c r="BJ3157" s="4">
        <v>188</v>
      </c>
      <c r="BK3157" s="8">
        <v>5733.37</v>
      </c>
      <c r="BL3157" s="2" t="s">
        <v>1358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1085</v>
      </c>
      <c r="BX3157" s="2" t="s">
        <v>1526</v>
      </c>
      <c r="BY3157" s="2" t="s">
        <v>113</v>
      </c>
      <c r="BZ3157" s="2" t="s">
        <v>100</v>
      </c>
    </row>
    <row r="3158">
      <c r="A3158" s="2" t="s">
        <v>10098</v>
      </c>
      <c r="B3158" s="2" t="s">
        <v>9668</v>
      </c>
      <c r="C3158" s="2" t="s">
        <v>4861</v>
      </c>
      <c r="D3158" s="2" t="s">
        <v>9669</v>
      </c>
      <c r="E3158" s="2" t="s">
        <v>9670</v>
      </c>
      <c r="F3158" s="2" t="s">
        <v>10015</v>
      </c>
      <c r="G3158" s="2" t="s">
        <v>10015</v>
      </c>
      <c r="H3158" s="2" t="s">
        <v>10015</v>
      </c>
      <c r="I3158" s="2" t="s">
        <v>10016</v>
      </c>
      <c r="J3158" s="2" t="s">
        <v>714</v>
      </c>
      <c r="K3158" s="2" t="s">
        <v>469</v>
      </c>
      <c r="L3158" s="3">
        <v>31.2</v>
      </c>
      <c r="M3158" s="3">
        <v>32.76</v>
      </c>
      <c r="N3158" s="3">
        <v>64.99</v>
      </c>
      <c r="O3158" s="2" t="s">
        <v>97</v>
      </c>
      <c r="P3158" s="2" t="s">
        <v>119</v>
      </c>
      <c r="Q3158" s="2" t="s">
        <v>99</v>
      </c>
      <c r="R3158" s="2" t="s">
        <v>100</v>
      </c>
      <c r="S3158" s="2" t="s">
        <v>10093</v>
      </c>
      <c r="T3158" s="2" t="s">
        <v>5869</v>
      </c>
      <c r="U3158" s="2" t="s">
        <v>402</v>
      </c>
      <c r="V3158" s="2" t="s">
        <v>146</v>
      </c>
      <c r="W3158" s="2" t="s">
        <v>183</v>
      </c>
      <c r="X3158" s="2" t="s">
        <v>561</v>
      </c>
      <c r="Y3158" s="2" t="s">
        <v>240</v>
      </c>
      <c r="Z3158" s="4">
        <v>386</v>
      </c>
      <c r="AA3158" s="4">
        <f>=ROUNDDOWN(35.0909090909091,0)</f>
      </c>
      <c r="AB3158" s="5">
        <v>11</v>
      </c>
      <c r="AC3158" s="2" t="s">
        <v>100</v>
      </c>
      <c r="AD3158" s="4"/>
      <c r="AE3158" s="4"/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>
        <v>2</v>
      </c>
      <c r="AQ3158" s="8">
        <v>62.38</v>
      </c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>
        <v>1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 t="s">
        <v>100</v>
      </c>
      <c r="BJ3158" s="4">
        <v>82</v>
      </c>
      <c r="BK3158" s="8">
        <v>2774.42</v>
      </c>
      <c r="BL3158" s="2" t="s">
        <v>786</v>
      </c>
      <c r="BM3158" s="7">
        <v>0.0244</v>
      </c>
      <c r="BN3158" s="7">
        <v>0.0225</v>
      </c>
      <c r="BO3158" s="4">
        <v>2</v>
      </c>
      <c r="BP3158" s="8">
        <v>62.38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1085</v>
      </c>
      <c r="BX3158" s="2" t="s">
        <v>4667</v>
      </c>
      <c r="BY3158" s="2" t="s">
        <v>113</v>
      </c>
      <c r="BZ3158" s="2" t="s">
        <v>100</v>
      </c>
    </row>
    <row r="3159">
      <c r="A3159" s="2" t="s">
        <v>10099</v>
      </c>
      <c r="B3159" s="2" t="s">
        <v>9668</v>
      </c>
      <c r="C3159" s="2" t="s">
        <v>4861</v>
      </c>
      <c r="D3159" s="2" t="s">
        <v>9669</v>
      </c>
      <c r="E3159" s="2" t="s">
        <v>9670</v>
      </c>
      <c r="F3159" s="2" t="s">
        <v>10015</v>
      </c>
      <c r="G3159" s="2" t="s">
        <v>10015</v>
      </c>
      <c r="H3159" s="2" t="s">
        <v>10015</v>
      </c>
      <c r="I3159" s="2" t="s">
        <v>10016</v>
      </c>
      <c r="J3159" s="2" t="s">
        <v>817</v>
      </c>
      <c r="K3159" s="2" t="s">
        <v>469</v>
      </c>
      <c r="L3159" s="3">
        <v>31.85</v>
      </c>
      <c r="M3159" s="3">
        <v>33.44</v>
      </c>
      <c r="N3159" s="3">
        <v>64.99</v>
      </c>
      <c r="O3159" s="2" t="s">
        <v>97</v>
      </c>
      <c r="P3159" s="2" t="s">
        <v>119</v>
      </c>
      <c r="Q3159" s="2" t="s">
        <v>99</v>
      </c>
      <c r="R3159" s="2" t="s">
        <v>100</v>
      </c>
      <c r="S3159" s="2" t="s">
        <v>10093</v>
      </c>
      <c r="T3159" s="2" t="s">
        <v>5869</v>
      </c>
      <c r="U3159" s="2" t="s">
        <v>402</v>
      </c>
      <c r="V3159" s="2" t="s">
        <v>146</v>
      </c>
      <c r="W3159" s="2" t="s">
        <v>183</v>
      </c>
      <c r="X3159" s="2" t="s">
        <v>561</v>
      </c>
      <c r="Y3159" s="2" t="s">
        <v>240</v>
      </c>
      <c r="Z3159" s="4">
        <v>168</v>
      </c>
      <c r="AA3159" s="4">
        <f>=ROUNDDOWN(33.6,0)</f>
      </c>
      <c r="AB3159" s="5">
        <v>5</v>
      </c>
      <c r="AC3159" s="2" t="s">
        <v>100</v>
      </c>
      <c r="AD3159" s="4"/>
      <c r="AE3159" s="4"/>
      <c r="AF3159" s="6">
        <v>65</v>
      </c>
      <c r="AG3159" s="6"/>
      <c r="AH3159" s="7">
        <v>0.6578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 t="s">
        <v>100</v>
      </c>
      <c r="BJ3159" s="4">
        <v>35</v>
      </c>
      <c r="BK3159" s="8">
        <v>1207.73</v>
      </c>
      <c r="BL3159" s="2" t="s">
        <v>10100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1085</v>
      </c>
      <c r="BX3159" s="2" t="s">
        <v>523</v>
      </c>
      <c r="BY3159" s="2" t="s">
        <v>113</v>
      </c>
      <c r="BZ3159" s="2" t="s">
        <v>100</v>
      </c>
    </row>
    <row r="3160">
      <c r="A3160" s="2" t="s">
        <v>10101</v>
      </c>
      <c r="B3160" s="2" t="s">
        <v>9668</v>
      </c>
      <c r="C3160" s="2" t="s">
        <v>4861</v>
      </c>
      <c r="D3160" s="2" t="s">
        <v>9669</v>
      </c>
      <c r="E3160" s="2" t="s">
        <v>9670</v>
      </c>
      <c r="F3160" s="2" t="s">
        <v>10015</v>
      </c>
      <c r="G3160" s="2" t="s">
        <v>10015</v>
      </c>
      <c r="H3160" s="2" t="s">
        <v>10015</v>
      </c>
      <c r="I3160" s="2" t="s">
        <v>10016</v>
      </c>
      <c r="J3160" s="2" t="s">
        <v>1936</v>
      </c>
      <c r="K3160" s="2" t="s">
        <v>96</v>
      </c>
      <c r="L3160" s="3">
        <v>21.62</v>
      </c>
      <c r="M3160" s="3">
        <v>22.7</v>
      </c>
      <c r="N3160" s="3">
        <v>46.99</v>
      </c>
      <c r="O3160" s="2" t="s">
        <v>97</v>
      </c>
      <c r="P3160" s="2" t="s">
        <v>225</v>
      </c>
      <c r="Q3160" s="2" t="s">
        <v>99</v>
      </c>
      <c r="R3160" s="2" t="s">
        <v>100</v>
      </c>
      <c r="S3160" s="2" t="s">
        <v>10102</v>
      </c>
      <c r="T3160" s="2" t="s">
        <v>5869</v>
      </c>
      <c r="U3160" s="2" t="s">
        <v>480</v>
      </c>
      <c r="V3160" s="2" t="s">
        <v>146</v>
      </c>
      <c r="W3160" s="2" t="s">
        <v>183</v>
      </c>
      <c r="X3160" s="2" t="s">
        <v>561</v>
      </c>
      <c r="Y3160" s="2" t="s">
        <v>10103</v>
      </c>
      <c r="Z3160" s="4">
        <v>307</v>
      </c>
      <c r="AA3160" s="4">
        <f>=ROUNDDOWN({0},0)</f>
      </c>
      <c r="AB3160" s="5"/>
      <c r="AC3160" s="2" t="s">
        <v>184</v>
      </c>
      <c r="AD3160" s="4">
        <v>70</v>
      </c>
      <c r="AE3160" s="4">
        <v>70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 t="s">
        <v>100</v>
      </c>
      <c r="BJ3160" s="4">
        <v>28</v>
      </c>
      <c r="BK3160" s="8">
        <v>680.79</v>
      </c>
      <c r="BL3160" s="2" t="s">
        <v>6929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207</v>
      </c>
      <c r="BV3160" s="2" t="s">
        <v>97</v>
      </c>
      <c r="BW3160" s="2" t="s">
        <v>100</v>
      </c>
      <c r="BX3160" s="2" t="s">
        <v>100</v>
      </c>
      <c r="BY3160" s="2" t="s">
        <v>113</v>
      </c>
      <c r="BZ3160" s="2" t="s">
        <v>100</v>
      </c>
    </row>
    <row r="3161">
      <c r="A3161" s="2" t="s">
        <v>10104</v>
      </c>
      <c r="B3161" s="2" t="s">
        <v>9668</v>
      </c>
      <c r="C3161" s="2" t="s">
        <v>4861</v>
      </c>
      <c r="D3161" s="2" t="s">
        <v>9669</v>
      </c>
      <c r="E3161" s="2" t="s">
        <v>9670</v>
      </c>
      <c r="F3161" s="2" t="s">
        <v>10015</v>
      </c>
      <c r="G3161" s="2" t="s">
        <v>10015</v>
      </c>
      <c r="H3161" s="2" t="s">
        <v>10015</v>
      </c>
      <c r="I3161" s="2" t="s">
        <v>10016</v>
      </c>
      <c r="J3161" s="2" t="s">
        <v>2072</v>
      </c>
      <c r="K3161" s="2" t="s">
        <v>96</v>
      </c>
      <c r="L3161" s="3">
        <v>23.04</v>
      </c>
      <c r="M3161" s="3">
        <v>24.19</v>
      </c>
      <c r="N3161" s="3">
        <v>47.99</v>
      </c>
      <c r="O3161" s="2" t="s">
        <v>97</v>
      </c>
      <c r="P3161" s="2" t="s">
        <v>225</v>
      </c>
      <c r="Q3161" s="2" t="s">
        <v>99</v>
      </c>
      <c r="R3161" s="2" t="s">
        <v>100</v>
      </c>
      <c r="S3161" s="2" t="s">
        <v>10102</v>
      </c>
      <c r="T3161" s="2" t="s">
        <v>5869</v>
      </c>
      <c r="U3161" s="2" t="s">
        <v>480</v>
      </c>
      <c r="V3161" s="2" t="s">
        <v>146</v>
      </c>
      <c r="W3161" s="2" t="s">
        <v>183</v>
      </c>
      <c r="X3161" s="2" t="s">
        <v>561</v>
      </c>
      <c r="Y3161" s="2" t="s">
        <v>10103</v>
      </c>
      <c r="Z3161" s="4">
        <v>466</v>
      </c>
      <c r="AA3161" s="4">
        <f>=ROUNDDOWN(141.212121212121,0)</f>
      </c>
      <c r="AB3161" s="5">
        <v>3.3</v>
      </c>
      <c r="AC3161" s="2" t="s">
        <v>184</v>
      </c>
      <c r="AD3161" s="4">
        <v>120</v>
      </c>
      <c r="AE3161" s="4">
        <v>120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 t="s">
        <v>100</v>
      </c>
      <c r="BJ3161" s="4">
        <v>12</v>
      </c>
      <c r="BK3161" s="8">
        <v>305.54</v>
      </c>
      <c r="BL3161" s="2" t="s">
        <v>10105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207</v>
      </c>
      <c r="BV3161" s="2" t="s">
        <v>97</v>
      </c>
      <c r="BW3161" s="2" t="s">
        <v>100</v>
      </c>
      <c r="BX3161" s="2" t="s">
        <v>100</v>
      </c>
      <c r="BY3161" s="2" t="s">
        <v>113</v>
      </c>
      <c r="BZ3161" s="2" t="s">
        <v>100</v>
      </c>
    </row>
    <row r="3162">
      <c r="A3162" s="2" t="s">
        <v>10106</v>
      </c>
      <c r="B3162" s="2" t="s">
        <v>9668</v>
      </c>
      <c r="C3162" s="2" t="s">
        <v>4861</v>
      </c>
      <c r="D3162" s="2" t="s">
        <v>9669</v>
      </c>
      <c r="E3162" s="2" t="s">
        <v>9670</v>
      </c>
      <c r="F3162" s="2" t="s">
        <v>10015</v>
      </c>
      <c r="G3162" s="2" t="s">
        <v>10015</v>
      </c>
      <c r="H3162" s="2" t="s">
        <v>10015</v>
      </c>
      <c r="I3162" s="2" t="s">
        <v>10016</v>
      </c>
      <c r="J3162" s="2" t="s">
        <v>717</v>
      </c>
      <c r="K3162" s="2" t="s">
        <v>96</v>
      </c>
      <c r="L3162" s="3">
        <v>25.3</v>
      </c>
      <c r="M3162" s="3">
        <v>26.57</v>
      </c>
      <c r="N3162" s="3">
        <v>54.99</v>
      </c>
      <c r="O3162" s="2" t="s">
        <v>97</v>
      </c>
      <c r="P3162" s="2" t="s">
        <v>225</v>
      </c>
      <c r="Q3162" s="2" t="s">
        <v>99</v>
      </c>
      <c r="R3162" s="2" t="s">
        <v>100</v>
      </c>
      <c r="S3162" s="2" t="s">
        <v>10102</v>
      </c>
      <c r="T3162" s="2" t="s">
        <v>5869</v>
      </c>
      <c r="U3162" s="2" t="s">
        <v>402</v>
      </c>
      <c r="V3162" s="2" t="s">
        <v>146</v>
      </c>
      <c r="W3162" s="2" t="s">
        <v>183</v>
      </c>
      <c r="X3162" s="2" t="s">
        <v>561</v>
      </c>
      <c r="Y3162" s="2" t="s">
        <v>10103</v>
      </c>
      <c r="Z3162" s="4">
        <v>563</v>
      </c>
      <c r="AA3162" s="4">
        <f>=ROUNDDOWN({0},0)</f>
      </c>
      <c r="AB3162" s="5"/>
      <c r="AC3162" s="2" t="s">
        <v>184</v>
      </c>
      <c r="AD3162" s="4">
        <v>140</v>
      </c>
      <c r="AE3162" s="4">
        <v>140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 t="s">
        <v>100</v>
      </c>
      <c r="BJ3162" s="4">
        <v>11</v>
      </c>
      <c r="BK3162" s="8">
        <v>314.49</v>
      </c>
      <c r="BL3162" s="2" t="s">
        <v>6926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207</v>
      </c>
      <c r="BV3162" s="2" t="s">
        <v>97</v>
      </c>
      <c r="BW3162" s="2" t="s">
        <v>100</v>
      </c>
      <c r="BX3162" s="2" t="s">
        <v>100</v>
      </c>
      <c r="BY3162" s="2" t="s">
        <v>113</v>
      </c>
      <c r="BZ3162" s="2" t="s">
        <v>100</v>
      </c>
    </row>
    <row r="3163">
      <c r="A3163" s="2" t="s">
        <v>10107</v>
      </c>
      <c r="B3163" s="2" t="s">
        <v>9668</v>
      </c>
      <c r="C3163" s="2" t="s">
        <v>4861</v>
      </c>
      <c r="D3163" s="2" t="s">
        <v>9669</v>
      </c>
      <c r="E3163" s="2" t="s">
        <v>9670</v>
      </c>
      <c r="F3163" s="2" t="s">
        <v>10015</v>
      </c>
      <c r="G3163" s="2" t="s">
        <v>10015</v>
      </c>
      <c r="H3163" s="2" t="s">
        <v>10015</v>
      </c>
      <c r="I3163" s="2" t="s">
        <v>10016</v>
      </c>
      <c r="J3163" s="2" t="s">
        <v>706</v>
      </c>
      <c r="K3163" s="2" t="s">
        <v>96</v>
      </c>
      <c r="L3163" s="3">
        <v>28.2</v>
      </c>
      <c r="M3163" s="3">
        <v>29.61</v>
      </c>
      <c r="N3163" s="3">
        <v>59.99</v>
      </c>
      <c r="O3163" s="2" t="s">
        <v>97</v>
      </c>
      <c r="P3163" s="2" t="s">
        <v>225</v>
      </c>
      <c r="Q3163" s="2" t="s">
        <v>99</v>
      </c>
      <c r="R3163" s="2" t="s">
        <v>100</v>
      </c>
      <c r="S3163" s="2" t="s">
        <v>10102</v>
      </c>
      <c r="T3163" s="2" t="s">
        <v>5869</v>
      </c>
      <c r="U3163" s="2" t="s">
        <v>402</v>
      </c>
      <c r="V3163" s="2" t="s">
        <v>146</v>
      </c>
      <c r="W3163" s="2" t="s">
        <v>183</v>
      </c>
      <c r="X3163" s="2" t="s">
        <v>561</v>
      </c>
      <c r="Y3163" s="2" t="s">
        <v>10103</v>
      </c>
      <c r="Z3163" s="4">
        <v>1017</v>
      </c>
      <c r="AA3163" s="4">
        <f>=ROUNDDOWN(339,0)</f>
      </c>
      <c r="AB3163" s="5">
        <v>3</v>
      </c>
      <c r="AC3163" s="2" t="s">
        <v>184</v>
      </c>
      <c r="AD3163" s="4">
        <v>260</v>
      </c>
      <c r="AE3163" s="4">
        <v>260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 t="s">
        <v>100</v>
      </c>
      <c r="BJ3163" s="4">
        <v>63</v>
      </c>
      <c r="BK3163" s="8">
        <v>1976.93</v>
      </c>
      <c r="BL3163" s="2" t="s">
        <v>10108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207</v>
      </c>
      <c r="BV3163" s="2" t="s">
        <v>97</v>
      </c>
      <c r="BW3163" s="2" t="s">
        <v>100</v>
      </c>
      <c r="BX3163" s="2" t="s">
        <v>100</v>
      </c>
      <c r="BY3163" s="2" t="s">
        <v>113</v>
      </c>
      <c r="BZ3163" s="2" t="s">
        <v>100</v>
      </c>
    </row>
    <row r="3164">
      <c r="A3164" s="2" t="s">
        <v>10109</v>
      </c>
      <c r="B3164" s="2" t="s">
        <v>9668</v>
      </c>
      <c r="C3164" s="2" t="s">
        <v>4861</v>
      </c>
      <c r="D3164" s="2" t="s">
        <v>9669</v>
      </c>
      <c r="E3164" s="2" t="s">
        <v>9670</v>
      </c>
      <c r="F3164" s="2" t="s">
        <v>10015</v>
      </c>
      <c r="G3164" s="2" t="s">
        <v>10015</v>
      </c>
      <c r="H3164" s="2" t="s">
        <v>10015</v>
      </c>
      <c r="I3164" s="2" t="s">
        <v>10016</v>
      </c>
      <c r="J3164" s="2" t="s">
        <v>714</v>
      </c>
      <c r="K3164" s="2" t="s">
        <v>96</v>
      </c>
      <c r="L3164" s="3">
        <v>31.2</v>
      </c>
      <c r="M3164" s="3">
        <v>32.76</v>
      </c>
      <c r="N3164" s="3">
        <v>64.99</v>
      </c>
      <c r="O3164" s="2" t="s">
        <v>97</v>
      </c>
      <c r="P3164" s="2" t="s">
        <v>225</v>
      </c>
      <c r="Q3164" s="2" t="s">
        <v>99</v>
      </c>
      <c r="R3164" s="2" t="s">
        <v>100</v>
      </c>
      <c r="S3164" s="2" t="s">
        <v>10102</v>
      </c>
      <c r="T3164" s="2" t="s">
        <v>5869</v>
      </c>
      <c r="U3164" s="2" t="s">
        <v>402</v>
      </c>
      <c r="V3164" s="2" t="s">
        <v>146</v>
      </c>
      <c r="W3164" s="2" t="s">
        <v>183</v>
      </c>
      <c r="X3164" s="2" t="s">
        <v>561</v>
      </c>
      <c r="Y3164" s="2" t="s">
        <v>10103</v>
      </c>
      <c r="Z3164" s="4">
        <v>464</v>
      </c>
      <c r="AA3164" s="4">
        <f>=ROUNDDOWN(160,0)</f>
      </c>
      <c r="AB3164" s="5">
        <v>2.9</v>
      </c>
      <c r="AC3164" s="2" t="s">
        <v>184</v>
      </c>
      <c r="AD3164" s="4">
        <v>110</v>
      </c>
      <c r="AE3164" s="4">
        <v>110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 t="s">
        <v>100</v>
      </c>
      <c r="BJ3164" s="4">
        <v>29</v>
      </c>
      <c r="BK3164" s="8">
        <v>1002.38</v>
      </c>
      <c r="BL3164" s="2" t="s">
        <v>3861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207</v>
      </c>
      <c r="BV3164" s="2" t="s">
        <v>97</v>
      </c>
      <c r="BW3164" s="2" t="s">
        <v>100</v>
      </c>
      <c r="BX3164" s="2" t="s">
        <v>100</v>
      </c>
      <c r="BY3164" s="2" t="s">
        <v>113</v>
      </c>
      <c r="BZ3164" s="2" t="s">
        <v>100</v>
      </c>
    </row>
    <row r="3165">
      <c r="A3165" s="2" t="s">
        <v>10110</v>
      </c>
      <c r="B3165" s="2" t="s">
        <v>9668</v>
      </c>
      <c r="C3165" s="2" t="s">
        <v>4861</v>
      </c>
      <c r="D3165" s="2" t="s">
        <v>9669</v>
      </c>
      <c r="E3165" s="2" t="s">
        <v>9670</v>
      </c>
      <c r="F3165" s="2" t="s">
        <v>10015</v>
      </c>
      <c r="G3165" s="2" t="s">
        <v>10015</v>
      </c>
      <c r="H3165" s="2" t="s">
        <v>10015</v>
      </c>
      <c r="I3165" s="2" t="s">
        <v>10016</v>
      </c>
      <c r="J3165" s="2" t="s">
        <v>817</v>
      </c>
      <c r="K3165" s="2" t="s">
        <v>96</v>
      </c>
      <c r="L3165" s="3">
        <v>31.85</v>
      </c>
      <c r="M3165" s="3">
        <v>33.44</v>
      </c>
      <c r="N3165" s="3">
        <v>64.99</v>
      </c>
      <c r="O3165" s="2" t="s">
        <v>97</v>
      </c>
      <c r="P3165" s="2" t="s">
        <v>225</v>
      </c>
      <c r="Q3165" s="2" t="s">
        <v>99</v>
      </c>
      <c r="R3165" s="2" t="s">
        <v>100</v>
      </c>
      <c r="S3165" s="2" t="s">
        <v>10102</v>
      </c>
      <c r="T3165" s="2" t="s">
        <v>5869</v>
      </c>
      <c r="U3165" s="2" t="s">
        <v>402</v>
      </c>
      <c r="V3165" s="2" t="s">
        <v>146</v>
      </c>
      <c r="W3165" s="2" t="s">
        <v>183</v>
      </c>
      <c r="X3165" s="2" t="s">
        <v>561</v>
      </c>
      <c r="Y3165" s="2" t="s">
        <v>10103</v>
      </c>
      <c r="Z3165" s="4">
        <v>171</v>
      </c>
      <c r="AA3165" s="4">
        <f>=ROUNDDOWN(142.5,0)</f>
      </c>
      <c r="AB3165" s="5">
        <v>1.2</v>
      </c>
      <c r="AC3165" s="2" t="s">
        <v>184</v>
      </c>
      <c r="AD3165" s="4">
        <v>40</v>
      </c>
      <c r="AE3165" s="4">
        <v>40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 t="s">
        <v>100</v>
      </c>
      <c r="BJ3165" s="4">
        <v>4</v>
      </c>
      <c r="BK3165" s="8">
        <v>138.63</v>
      </c>
      <c r="BL3165" s="2" t="s">
        <v>10111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207</v>
      </c>
      <c r="BV3165" s="2" t="s">
        <v>97</v>
      </c>
      <c r="BW3165" s="2" t="s">
        <v>100</v>
      </c>
      <c r="BX3165" s="2" t="s">
        <v>100</v>
      </c>
      <c r="BY3165" s="2" t="s">
        <v>113</v>
      </c>
      <c r="BZ3165" s="2" t="s">
        <v>100</v>
      </c>
    </row>
    <row r="3166">
      <c r="A3166" s="2" t="s">
        <v>10112</v>
      </c>
      <c r="B3166" s="2" t="s">
        <v>9668</v>
      </c>
      <c r="C3166" s="2" t="s">
        <v>4861</v>
      </c>
      <c r="D3166" s="2" t="s">
        <v>9669</v>
      </c>
      <c r="E3166" s="2" t="s">
        <v>9670</v>
      </c>
      <c r="F3166" s="2" t="s">
        <v>10015</v>
      </c>
      <c r="G3166" s="2" t="s">
        <v>10015</v>
      </c>
      <c r="H3166" s="2" t="s">
        <v>10015</v>
      </c>
      <c r="I3166" s="2" t="s">
        <v>10016</v>
      </c>
      <c r="J3166" s="2" t="s">
        <v>1936</v>
      </c>
      <c r="K3166" s="2" t="s">
        <v>335</v>
      </c>
      <c r="L3166" s="3">
        <v>21.62</v>
      </c>
      <c r="M3166" s="3">
        <v>22.7</v>
      </c>
      <c r="N3166" s="3">
        <v>46.99</v>
      </c>
      <c r="O3166" s="2" t="s">
        <v>97</v>
      </c>
      <c r="P3166" s="2" t="s">
        <v>119</v>
      </c>
      <c r="Q3166" s="2" t="s">
        <v>99</v>
      </c>
      <c r="R3166" s="2" t="s">
        <v>100</v>
      </c>
      <c r="S3166" s="2" t="s">
        <v>10113</v>
      </c>
      <c r="T3166" s="2" t="s">
        <v>5869</v>
      </c>
      <c r="U3166" s="2" t="s">
        <v>480</v>
      </c>
      <c r="V3166" s="2" t="s">
        <v>146</v>
      </c>
      <c r="W3166" s="2" t="s">
        <v>183</v>
      </c>
      <c r="X3166" s="2" t="s">
        <v>561</v>
      </c>
      <c r="Y3166" s="2" t="s">
        <v>10114</v>
      </c>
      <c r="Z3166" s="4">
        <v>189</v>
      </c>
      <c r="AA3166" s="4">
        <f>=ROUNDDOWN(21,0)</f>
      </c>
      <c r="AB3166" s="5">
        <v>9</v>
      </c>
      <c r="AC3166" s="2" t="s">
        <v>100</v>
      </c>
      <c r="AD3166" s="4"/>
      <c r="AE3166" s="4"/>
      <c r="AF3166" s="6">
        <v>65</v>
      </c>
      <c r="AG3166" s="6"/>
      <c r="AH3166" s="7">
        <v>0.6578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 t="s">
        <v>100</v>
      </c>
      <c r="BJ3166" s="4">
        <v>46</v>
      </c>
      <c r="BK3166" s="8">
        <v>1089.25</v>
      </c>
      <c r="BL3166" s="2" t="s">
        <v>2302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207</v>
      </c>
      <c r="BV3166" s="2" t="s">
        <v>97</v>
      </c>
      <c r="BW3166" s="2" t="s">
        <v>100</v>
      </c>
      <c r="BX3166" s="2" t="s">
        <v>100</v>
      </c>
      <c r="BY3166" s="2" t="s">
        <v>113</v>
      </c>
      <c r="BZ3166" s="2" t="s">
        <v>100</v>
      </c>
    </row>
    <row r="3167">
      <c r="A3167" s="2" t="s">
        <v>10115</v>
      </c>
      <c r="B3167" s="2" t="s">
        <v>9668</v>
      </c>
      <c r="C3167" s="2" t="s">
        <v>4861</v>
      </c>
      <c r="D3167" s="2" t="s">
        <v>9669</v>
      </c>
      <c r="E3167" s="2" t="s">
        <v>9670</v>
      </c>
      <c r="F3167" s="2" t="s">
        <v>10015</v>
      </c>
      <c r="G3167" s="2" t="s">
        <v>10015</v>
      </c>
      <c r="H3167" s="2" t="s">
        <v>10015</v>
      </c>
      <c r="I3167" s="2" t="s">
        <v>10016</v>
      </c>
      <c r="J3167" s="2" t="s">
        <v>2072</v>
      </c>
      <c r="K3167" s="2" t="s">
        <v>335</v>
      </c>
      <c r="L3167" s="3">
        <v>23.04</v>
      </c>
      <c r="M3167" s="3">
        <v>24.19</v>
      </c>
      <c r="N3167" s="3">
        <v>47.99</v>
      </c>
      <c r="O3167" s="2" t="s">
        <v>97</v>
      </c>
      <c r="P3167" s="2" t="s">
        <v>119</v>
      </c>
      <c r="Q3167" s="2" t="s">
        <v>99</v>
      </c>
      <c r="R3167" s="2" t="s">
        <v>100</v>
      </c>
      <c r="S3167" s="2" t="s">
        <v>10113</v>
      </c>
      <c r="T3167" s="2" t="s">
        <v>5869</v>
      </c>
      <c r="U3167" s="2" t="s">
        <v>480</v>
      </c>
      <c r="V3167" s="2" t="s">
        <v>146</v>
      </c>
      <c r="W3167" s="2" t="s">
        <v>183</v>
      </c>
      <c r="X3167" s="2" t="s">
        <v>561</v>
      </c>
      <c r="Y3167" s="2" t="s">
        <v>10114</v>
      </c>
      <c r="Z3167" s="4">
        <v>97</v>
      </c>
      <c r="AA3167" s="4">
        <f>=ROUNDDOWN(16.1666666666667,0)</f>
      </c>
      <c r="AB3167" s="5">
        <v>6</v>
      </c>
      <c r="AC3167" s="2" t="s">
        <v>100</v>
      </c>
      <c r="AD3167" s="4"/>
      <c r="AE3167" s="4"/>
      <c r="AF3167" s="6">
        <v>65</v>
      </c>
      <c r="AG3167" s="6"/>
      <c r="AH3167" s="7">
        <v>0.6738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 t="s">
        <v>100</v>
      </c>
      <c r="BJ3167" s="4">
        <v>49</v>
      </c>
      <c r="BK3167" s="8">
        <v>1246.03</v>
      </c>
      <c r="BL3167" s="2" t="s">
        <v>9696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207</v>
      </c>
      <c r="BV3167" s="2" t="s">
        <v>97</v>
      </c>
      <c r="BW3167" s="2" t="s">
        <v>100</v>
      </c>
      <c r="BX3167" s="2" t="s">
        <v>100</v>
      </c>
      <c r="BY3167" s="2" t="s">
        <v>113</v>
      </c>
      <c r="BZ3167" s="2" t="s">
        <v>100</v>
      </c>
    </row>
    <row r="3168">
      <c r="A3168" s="2" t="s">
        <v>10116</v>
      </c>
      <c r="B3168" s="2" t="s">
        <v>9668</v>
      </c>
      <c r="C3168" s="2" t="s">
        <v>4861</v>
      </c>
      <c r="D3168" s="2" t="s">
        <v>9669</v>
      </c>
      <c r="E3168" s="2" t="s">
        <v>9670</v>
      </c>
      <c r="F3168" s="2" t="s">
        <v>10015</v>
      </c>
      <c r="G3168" s="2" t="s">
        <v>10015</v>
      </c>
      <c r="H3168" s="2" t="s">
        <v>10015</v>
      </c>
      <c r="I3168" s="2" t="s">
        <v>10016</v>
      </c>
      <c r="J3168" s="2" t="s">
        <v>717</v>
      </c>
      <c r="K3168" s="2" t="s">
        <v>335</v>
      </c>
      <c r="L3168" s="3">
        <v>25.3</v>
      </c>
      <c r="M3168" s="3">
        <v>26.56</v>
      </c>
      <c r="N3168" s="3">
        <v>54.99</v>
      </c>
      <c r="O3168" s="2" t="s">
        <v>97</v>
      </c>
      <c r="P3168" s="2" t="s">
        <v>119</v>
      </c>
      <c r="Q3168" s="2" t="s">
        <v>99</v>
      </c>
      <c r="R3168" s="2" t="s">
        <v>100</v>
      </c>
      <c r="S3168" s="2" t="s">
        <v>10113</v>
      </c>
      <c r="T3168" s="2" t="s">
        <v>5869</v>
      </c>
      <c r="U3168" s="2" t="s">
        <v>402</v>
      </c>
      <c r="V3168" s="2" t="s">
        <v>146</v>
      </c>
      <c r="W3168" s="2" t="s">
        <v>183</v>
      </c>
      <c r="X3168" s="2" t="s">
        <v>561</v>
      </c>
      <c r="Y3168" s="2" t="s">
        <v>10114</v>
      </c>
      <c r="Z3168" s="4">
        <v>241</v>
      </c>
      <c r="AA3168" s="4">
        <f>=ROUNDDOWN(34.4285714285714,0)</f>
      </c>
      <c r="AB3168" s="5">
        <v>7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 t="s">
        <v>100</v>
      </c>
      <c r="BJ3168" s="4">
        <v>63</v>
      </c>
      <c r="BK3168" s="8">
        <v>1756.75</v>
      </c>
      <c r="BL3168" s="2" t="s">
        <v>6376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207</v>
      </c>
      <c r="BV3168" s="2" t="s">
        <v>97</v>
      </c>
      <c r="BW3168" s="2" t="s">
        <v>100</v>
      </c>
      <c r="BX3168" s="2" t="s">
        <v>100</v>
      </c>
      <c r="BY3168" s="2" t="s">
        <v>113</v>
      </c>
      <c r="BZ3168" s="2" t="s">
        <v>100</v>
      </c>
    </row>
    <row r="3169">
      <c r="A3169" s="2" t="s">
        <v>10117</v>
      </c>
      <c r="B3169" s="2" t="s">
        <v>9668</v>
      </c>
      <c r="C3169" s="2" t="s">
        <v>4861</v>
      </c>
      <c r="D3169" s="2" t="s">
        <v>9669</v>
      </c>
      <c r="E3169" s="2" t="s">
        <v>9670</v>
      </c>
      <c r="F3169" s="2" t="s">
        <v>10015</v>
      </c>
      <c r="G3169" s="2" t="s">
        <v>10015</v>
      </c>
      <c r="H3169" s="2" t="s">
        <v>10015</v>
      </c>
      <c r="I3169" s="2" t="s">
        <v>10016</v>
      </c>
      <c r="J3169" s="2" t="s">
        <v>706</v>
      </c>
      <c r="K3169" s="2" t="s">
        <v>335</v>
      </c>
      <c r="L3169" s="3">
        <v>28.2</v>
      </c>
      <c r="M3169" s="3">
        <v>29.61</v>
      </c>
      <c r="N3169" s="3">
        <v>59.99</v>
      </c>
      <c r="O3169" s="2" t="s">
        <v>97</v>
      </c>
      <c r="P3169" s="2" t="s">
        <v>950</v>
      </c>
      <c r="Q3169" s="2" t="s">
        <v>99</v>
      </c>
      <c r="R3169" s="2" t="s">
        <v>100</v>
      </c>
      <c r="S3169" s="2" t="s">
        <v>10113</v>
      </c>
      <c r="T3169" s="2" t="s">
        <v>5869</v>
      </c>
      <c r="U3169" s="2" t="s">
        <v>402</v>
      </c>
      <c r="V3169" s="2" t="s">
        <v>146</v>
      </c>
      <c r="W3169" s="2" t="s">
        <v>183</v>
      </c>
      <c r="X3169" s="2" t="s">
        <v>561</v>
      </c>
      <c r="Y3169" s="2" t="s">
        <v>10114</v>
      </c>
      <c r="Z3169" s="4">
        <v>708</v>
      </c>
      <c r="AA3169" s="4">
        <f>=ROUNDDOWN(33.7142857142857,0)</f>
      </c>
      <c r="AB3169" s="5">
        <v>21</v>
      </c>
      <c r="AC3169" s="2" t="s">
        <v>100</v>
      </c>
      <c r="AD3169" s="4"/>
      <c r="AE3169" s="4"/>
      <c r="AF3169" s="6">
        <v>65</v>
      </c>
      <c r="AG3169" s="6"/>
      <c r="AH3169" s="7">
        <v>0.6578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 t="s">
        <v>100</v>
      </c>
      <c r="BJ3169" s="4">
        <v>134</v>
      </c>
      <c r="BK3169" s="8">
        <v>4172.65</v>
      </c>
      <c r="BL3169" s="2" t="s">
        <v>7257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207</v>
      </c>
      <c r="BV3169" s="2" t="s">
        <v>97</v>
      </c>
      <c r="BW3169" s="2" t="s">
        <v>100</v>
      </c>
      <c r="BX3169" s="2" t="s">
        <v>100</v>
      </c>
      <c r="BY3169" s="2" t="s">
        <v>113</v>
      </c>
      <c r="BZ3169" s="2" t="s">
        <v>100</v>
      </c>
    </row>
    <row r="3170">
      <c r="A3170" s="2" t="s">
        <v>10118</v>
      </c>
      <c r="B3170" s="2" t="s">
        <v>9668</v>
      </c>
      <c r="C3170" s="2" t="s">
        <v>4861</v>
      </c>
      <c r="D3170" s="2" t="s">
        <v>9669</v>
      </c>
      <c r="E3170" s="2" t="s">
        <v>9670</v>
      </c>
      <c r="F3170" s="2" t="s">
        <v>10015</v>
      </c>
      <c r="G3170" s="2" t="s">
        <v>10015</v>
      </c>
      <c r="H3170" s="2" t="s">
        <v>10015</v>
      </c>
      <c r="I3170" s="2" t="s">
        <v>10016</v>
      </c>
      <c r="J3170" s="2" t="s">
        <v>714</v>
      </c>
      <c r="K3170" s="2" t="s">
        <v>335</v>
      </c>
      <c r="L3170" s="3">
        <v>31.2</v>
      </c>
      <c r="M3170" s="3">
        <v>32.76</v>
      </c>
      <c r="N3170" s="3">
        <v>64.99</v>
      </c>
      <c r="O3170" s="2" t="s">
        <v>97</v>
      </c>
      <c r="P3170" s="2" t="s">
        <v>119</v>
      </c>
      <c r="Q3170" s="2" t="s">
        <v>99</v>
      </c>
      <c r="R3170" s="2" t="s">
        <v>100</v>
      </c>
      <c r="S3170" s="2" t="s">
        <v>10113</v>
      </c>
      <c r="T3170" s="2" t="s">
        <v>5869</v>
      </c>
      <c r="U3170" s="2" t="s">
        <v>402</v>
      </c>
      <c r="V3170" s="2" t="s">
        <v>146</v>
      </c>
      <c r="W3170" s="2" t="s">
        <v>183</v>
      </c>
      <c r="X3170" s="2" t="s">
        <v>561</v>
      </c>
      <c r="Y3170" s="2" t="s">
        <v>10114</v>
      </c>
      <c r="Z3170" s="4">
        <v>392</v>
      </c>
      <c r="AA3170" s="4">
        <f>=ROUNDDOWN(32.6666666666667,0)</f>
      </c>
      <c r="AB3170" s="5">
        <v>12</v>
      </c>
      <c r="AC3170" s="2" t="s">
        <v>100</v>
      </c>
      <c r="AD3170" s="4"/>
      <c r="AE3170" s="4"/>
      <c r="AF3170" s="6">
        <v>65</v>
      </c>
      <c r="AG3170" s="6"/>
      <c r="AH3170" s="7">
        <v>0.6631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>
        <v>72</v>
      </c>
      <c r="BK3170" s="8">
        <v>2471.47</v>
      </c>
      <c r="BL3170" s="2" t="s">
        <v>10119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207</v>
      </c>
      <c r="BV3170" s="2" t="s">
        <v>97</v>
      </c>
      <c r="BW3170" s="2" t="s">
        <v>100</v>
      </c>
      <c r="BX3170" s="2" t="s">
        <v>100</v>
      </c>
      <c r="BY3170" s="2" t="s">
        <v>113</v>
      </c>
      <c r="BZ3170" s="2" t="s">
        <v>100</v>
      </c>
    </row>
    <row r="3171">
      <c r="A3171" s="2" t="s">
        <v>10120</v>
      </c>
      <c r="B3171" s="2" t="s">
        <v>9668</v>
      </c>
      <c r="C3171" s="2" t="s">
        <v>4861</v>
      </c>
      <c r="D3171" s="2" t="s">
        <v>9669</v>
      </c>
      <c r="E3171" s="2" t="s">
        <v>9670</v>
      </c>
      <c r="F3171" s="2" t="s">
        <v>10015</v>
      </c>
      <c r="G3171" s="2" t="s">
        <v>10015</v>
      </c>
      <c r="H3171" s="2" t="s">
        <v>10015</v>
      </c>
      <c r="I3171" s="2" t="s">
        <v>10016</v>
      </c>
      <c r="J3171" s="2" t="s">
        <v>817</v>
      </c>
      <c r="K3171" s="2" t="s">
        <v>335</v>
      </c>
      <c r="L3171" s="3">
        <v>31.85</v>
      </c>
      <c r="M3171" s="3">
        <v>33.44</v>
      </c>
      <c r="N3171" s="3">
        <v>64.99</v>
      </c>
      <c r="O3171" s="2" t="s">
        <v>97</v>
      </c>
      <c r="P3171" s="2" t="s">
        <v>119</v>
      </c>
      <c r="Q3171" s="2" t="s">
        <v>99</v>
      </c>
      <c r="R3171" s="2" t="s">
        <v>100</v>
      </c>
      <c r="S3171" s="2" t="s">
        <v>10113</v>
      </c>
      <c r="T3171" s="2" t="s">
        <v>5869</v>
      </c>
      <c r="U3171" s="2" t="s">
        <v>402</v>
      </c>
      <c r="V3171" s="2" t="s">
        <v>146</v>
      </c>
      <c r="W3171" s="2" t="s">
        <v>183</v>
      </c>
      <c r="X3171" s="2" t="s">
        <v>561</v>
      </c>
      <c r="Y3171" s="2" t="s">
        <v>10114</v>
      </c>
      <c r="Z3171" s="4">
        <v>156</v>
      </c>
      <c r="AA3171" s="4">
        <f>=ROUNDDOWN(26,0)</f>
      </c>
      <c r="AB3171" s="5">
        <v>6</v>
      </c>
      <c r="AC3171" s="2" t="s">
        <v>100</v>
      </c>
      <c r="AD3171" s="4"/>
      <c r="AE3171" s="4"/>
      <c r="AF3171" s="6">
        <v>65</v>
      </c>
      <c r="AG3171" s="6"/>
      <c r="AH3171" s="7">
        <v>0.6631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 t="s">
        <v>100</v>
      </c>
      <c r="BJ3171" s="4">
        <v>27</v>
      </c>
      <c r="BK3171" s="8">
        <v>945.56</v>
      </c>
      <c r="BL3171" s="2" t="s">
        <v>10121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207</v>
      </c>
      <c r="BV3171" s="2" t="s">
        <v>97</v>
      </c>
      <c r="BW3171" s="2" t="s">
        <v>100</v>
      </c>
      <c r="BX3171" s="2" t="s">
        <v>100</v>
      </c>
      <c r="BY3171" s="2" t="s">
        <v>113</v>
      </c>
      <c r="BZ3171" s="2" t="s">
        <v>100</v>
      </c>
    </row>
    <row r="3172">
      <c r="A3172" s="2" t="s">
        <v>10122</v>
      </c>
      <c r="B3172" s="2" t="s">
        <v>9668</v>
      </c>
      <c r="C3172" s="2" t="s">
        <v>4861</v>
      </c>
      <c r="D3172" s="2" t="s">
        <v>9669</v>
      </c>
      <c r="E3172" s="2" t="s">
        <v>9670</v>
      </c>
      <c r="F3172" s="2" t="s">
        <v>10015</v>
      </c>
      <c r="G3172" s="2" t="s">
        <v>10015</v>
      </c>
      <c r="H3172" s="2" t="s">
        <v>10015</v>
      </c>
      <c r="I3172" s="2" t="s">
        <v>10016</v>
      </c>
      <c r="J3172" s="2" t="s">
        <v>1936</v>
      </c>
      <c r="K3172" s="2" t="s">
        <v>432</v>
      </c>
      <c r="L3172" s="3">
        <v>21.62</v>
      </c>
      <c r="M3172" s="3">
        <v>22.7</v>
      </c>
      <c r="N3172" s="3">
        <v>46.99</v>
      </c>
      <c r="O3172" s="2" t="s">
        <v>97</v>
      </c>
      <c r="P3172" s="2" t="s">
        <v>119</v>
      </c>
      <c r="Q3172" s="2" t="s">
        <v>99</v>
      </c>
      <c r="R3172" s="2" t="s">
        <v>100</v>
      </c>
      <c r="S3172" s="2" t="s">
        <v>10123</v>
      </c>
      <c r="T3172" s="2" t="s">
        <v>5869</v>
      </c>
      <c r="U3172" s="2" t="s">
        <v>480</v>
      </c>
      <c r="V3172" s="2" t="s">
        <v>146</v>
      </c>
      <c r="W3172" s="2" t="s">
        <v>183</v>
      </c>
      <c r="X3172" s="2" t="s">
        <v>561</v>
      </c>
      <c r="Y3172" s="2" t="s">
        <v>10124</v>
      </c>
      <c r="Z3172" s="4"/>
      <c r="AA3172" s="4">
        <f>=ROUNDDOWN({0},0)</f>
      </c>
      <c r="AB3172" s="5">
        <v>8</v>
      </c>
      <c r="AC3172" s="2" t="s">
        <v>100</v>
      </c>
      <c r="AD3172" s="4"/>
      <c r="AE3172" s="4"/>
      <c r="AF3172" s="6">
        <v>65</v>
      </c>
      <c r="AG3172" s="6"/>
      <c r="AH3172" s="7">
        <v>0.6471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 t="s">
        <v>100</v>
      </c>
      <c r="BJ3172" s="4">
        <v>177</v>
      </c>
      <c r="BK3172" s="8">
        <v>4349.55</v>
      </c>
      <c r="BL3172" s="2" t="s">
        <v>7077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207</v>
      </c>
      <c r="BV3172" s="2" t="s">
        <v>97</v>
      </c>
      <c r="BW3172" s="2" t="s">
        <v>100</v>
      </c>
      <c r="BX3172" s="2" t="s">
        <v>100</v>
      </c>
      <c r="BY3172" s="2" t="s">
        <v>113</v>
      </c>
      <c r="BZ3172" s="2" t="s">
        <v>100</v>
      </c>
    </row>
    <row r="3173">
      <c r="A3173" s="2" t="s">
        <v>10125</v>
      </c>
      <c r="B3173" s="2" t="s">
        <v>9668</v>
      </c>
      <c r="C3173" s="2" t="s">
        <v>4861</v>
      </c>
      <c r="D3173" s="2" t="s">
        <v>9669</v>
      </c>
      <c r="E3173" s="2" t="s">
        <v>9670</v>
      </c>
      <c r="F3173" s="2" t="s">
        <v>10015</v>
      </c>
      <c r="G3173" s="2" t="s">
        <v>10015</v>
      </c>
      <c r="H3173" s="2" t="s">
        <v>10015</v>
      </c>
      <c r="I3173" s="2" t="s">
        <v>10016</v>
      </c>
      <c r="J3173" s="2" t="s">
        <v>2072</v>
      </c>
      <c r="K3173" s="2" t="s">
        <v>432</v>
      </c>
      <c r="L3173" s="3">
        <v>23.04</v>
      </c>
      <c r="M3173" s="3">
        <v>24.19</v>
      </c>
      <c r="N3173" s="3">
        <v>47.99</v>
      </c>
      <c r="O3173" s="2" t="s">
        <v>97</v>
      </c>
      <c r="P3173" s="2" t="s">
        <v>119</v>
      </c>
      <c r="Q3173" s="2" t="s">
        <v>99</v>
      </c>
      <c r="R3173" s="2" t="s">
        <v>100</v>
      </c>
      <c r="S3173" s="2" t="s">
        <v>10123</v>
      </c>
      <c r="T3173" s="2" t="s">
        <v>5869</v>
      </c>
      <c r="U3173" s="2" t="s">
        <v>480</v>
      </c>
      <c r="V3173" s="2" t="s">
        <v>146</v>
      </c>
      <c r="W3173" s="2" t="s">
        <v>183</v>
      </c>
      <c r="X3173" s="2" t="s">
        <v>561</v>
      </c>
      <c r="Y3173" s="2" t="s">
        <v>10124</v>
      </c>
      <c r="Z3173" s="4">
        <v>90</v>
      </c>
      <c r="AA3173" s="4">
        <f>=ROUNDDOWN(12.8571428571429,0)</f>
      </c>
      <c r="AB3173" s="5">
        <v>7</v>
      </c>
      <c r="AC3173" s="2" t="s">
        <v>100</v>
      </c>
      <c r="AD3173" s="4"/>
      <c r="AE3173" s="4"/>
      <c r="AF3173" s="6">
        <v>65</v>
      </c>
      <c r="AG3173" s="6"/>
      <c r="AH3173" s="7">
        <v>0.6578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 t="s">
        <v>100</v>
      </c>
      <c r="BJ3173" s="4">
        <v>143</v>
      </c>
      <c r="BK3173" s="8">
        <v>3737.91</v>
      </c>
      <c r="BL3173" s="2" t="s">
        <v>1255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207</v>
      </c>
      <c r="BV3173" s="2" t="s">
        <v>97</v>
      </c>
      <c r="BW3173" s="2" t="s">
        <v>100</v>
      </c>
      <c r="BX3173" s="2" t="s">
        <v>100</v>
      </c>
      <c r="BY3173" s="2" t="s">
        <v>113</v>
      </c>
      <c r="BZ3173" s="2" t="s">
        <v>100</v>
      </c>
    </row>
    <row r="3174">
      <c r="A3174" s="2" t="s">
        <v>10126</v>
      </c>
      <c r="B3174" s="2" t="s">
        <v>9668</v>
      </c>
      <c r="C3174" s="2" t="s">
        <v>4861</v>
      </c>
      <c r="D3174" s="2" t="s">
        <v>9669</v>
      </c>
      <c r="E3174" s="2" t="s">
        <v>9670</v>
      </c>
      <c r="F3174" s="2" t="s">
        <v>10015</v>
      </c>
      <c r="G3174" s="2" t="s">
        <v>10015</v>
      </c>
      <c r="H3174" s="2" t="s">
        <v>10015</v>
      </c>
      <c r="I3174" s="2" t="s">
        <v>10016</v>
      </c>
      <c r="J3174" s="2" t="s">
        <v>717</v>
      </c>
      <c r="K3174" s="2" t="s">
        <v>432</v>
      </c>
      <c r="L3174" s="3">
        <v>25.3</v>
      </c>
      <c r="M3174" s="3">
        <v>26.57</v>
      </c>
      <c r="N3174" s="3">
        <v>54.99</v>
      </c>
      <c r="O3174" s="2" t="s">
        <v>97</v>
      </c>
      <c r="P3174" s="2" t="s">
        <v>119</v>
      </c>
      <c r="Q3174" s="2" t="s">
        <v>99</v>
      </c>
      <c r="R3174" s="2" t="s">
        <v>100</v>
      </c>
      <c r="S3174" s="2" t="s">
        <v>10123</v>
      </c>
      <c r="T3174" s="2" t="s">
        <v>5869</v>
      </c>
      <c r="U3174" s="2" t="s">
        <v>402</v>
      </c>
      <c r="V3174" s="2" t="s">
        <v>146</v>
      </c>
      <c r="W3174" s="2" t="s">
        <v>183</v>
      </c>
      <c r="X3174" s="2" t="s">
        <v>561</v>
      </c>
      <c r="Y3174" s="2" t="s">
        <v>10124</v>
      </c>
      <c r="Z3174" s="4">
        <v>158</v>
      </c>
      <c r="AA3174" s="4">
        <f>=ROUNDDOWN(14.3636363636364,0)</f>
      </c>
      <c r="AB3174" s="5">
        <v>11</v>
      </c>
      <c r="AC3174" s="2" t="s">
        <v>100</v>
      </c>
      <c r="AD3174" s="4"/>
      <c r="AE3174" s="4"/>
      <c r="AF3174" s="6">
        <v>65</v>
      </c>
      <c r="AG3174" s="6"/>
      <c r="AH3174" s="7">
        <v>0.6364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191</v>
      </c>
      <c r="BK3174" s="8">
        <v>5454.85</v>
      </c>
      <c r="BL3174" s="2" t="s">
        <v>1255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207</v>
      </c>
      <c r="BV3174" s="2" t="s">
        <v>97</v>
      </c>
      <c r="BW3174" s="2" t="s">
        <v>100</v>
      </c>
      <c r="BX3174" s="2" t="s">
        <v>100</v>
      </c>
      <c r="BY3174" s="2" t="s">
        <v>113</v>
      </c>
      <c r="BZ3174" s="2" t="s">
        <v>100</v>
      </c>
    </row>
    <row r="3175">
      <c r="A3175" s="2" t="s">
        <v>10127</v>
      </c>
      <c r="B3175" s="2" t="s">
        <v>9668</v>
      </c>
      <c r="C3175" s="2" t="s">
        <v>4861</v>
      </c>
      <c r="D3175" s="2" t="s">
        <v>9669</v>
      </c>
      <c r="E3175" s="2" t="s">
        <v>9670</v>
      </c>
      <c r="F3175" s="2" t="s">
        <v>10015</v>
      </c>
      <c r="G3175" s="2" t="s">
        <v>10015</v>
      </c>
      <c r="H3175" s="2" t="s">
        <v>10015</v>
      </c>
      <c r="I3175" s="2" t="s">
        <v>10016</v>
      </c>
      <c r="J3175" s="2" t="s">
        <v>706</v>
      </c>
      <c r="K3175" s="2" t="s">
        <v>432</v>
      </c>
      <c r="L3175" s="3">
        <v>28.2</v>
      </c>
      <c r="M3175" s="3">
        <v>29.61</v>
      </c>
      <c r="N3175" s="3">
        <v>59.99</v>
      </c>
      <c r="O3175" s="2" t="s">
        <v>97</v>
      </c>
      <c r="P3175" s="2" t="s">
        <v>119</v>
      </c>
      <c r="Q3175" s="2" t="s">
        <v>99</v>
      </c>
      <c r="R3175" s="2" t="s">
        <v>100</v>
      </c>
      <c r="S3175" s="2" t="s">
        <v>10123</v>
      </c>
      <c r="T3175" s="2" t="s">
        <v>5869</v>
      </c>
      <c r="U3175" s="2" t="s">
        <v>402</v>
      </c>
      <c r="V3175" s="2" t="s">
        <v>146</v>
      </c>
      <c r="W3175" s="2" t="s">
        <v>183</v>
      </c>
      <c r="X3175" s="2" t="s">
        <v>561</v>
      </c>
      <c r="Y3175" s="2" t="s">
        <v>10124</v>
      </c>
      <c r="Z3175" s="4">
        <v>535</v>
      </c>
      <c r="AA3175" s="4">
        <f>=ROUNDDOWN(25.4761904761905,0)</f>
      </c>
      <c r="AB3175" s="5">
        <v>21</v>
      </c>
      <c r="AC3175" s="2" t="s">
        <v>100</v>
      </c>
      <c r="AD3175" s="4"/>
      <c r="AE3175" s="4"/>
      <c r="AF3175" s="6">
        <v>65</v>
      </c>
      <c r="AG3175" s="6"/>
      <c r="AH3175" s="7">
        <v>0.6631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248</v>
      </c>
      <c r="BK3175" s="8">
        <v>7914.57</v>
      </c>
      <c r="BL3175" s="2" t="s">
        <v>1255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207</v>
      </c>
      <c r="BV3175" s="2" t="s">
        <v>97</v>
      </c>
      <c r="BW3175" s="2" t="s">
        <v>100</v>
      </c>
      <c r="BX3175" s="2" t="s">
        <v>100</v>
      </c>
      <c r="BY3175" s="2" t="s">
        <v>113</v>
      </c>
      <c r="BZ3175" s="2" t="s">
        <v>100</v>
      </c>
    </row>
    <row r="3176">
      <c r="A3176" s="2" t="s">
        <v>10128</v>
      </c>
      <c r="B3176" s="2" t="s">
        <v>9668</v>
      </c>
      <c r="C3176" s="2" t="s">
        <v>4861</v>
      </c>
      <c r="D3176" s="2" t="s">
        <v>9669</v>
      </c>
      <c r="E3176" s="2" t="s">
        <v>9670</v>
      </c>
      <c r="F3176" s="2" t="s">
        <v>10015</v>
      </c>
      <c r="G3176" s="2" t="s">
        <v>10015</v>
      </c>
      <c r="H3176" s="2" t="s">
        <v>10015</v>
      </c>
      <c r="I3176" s="2" t="s">
        <v>10016</v>
      </c>
      <c r="J3176" s="2" t="s">
        <v>714</v>
      </c>
      <c r="K3176" s="2" t="s">
        <v>432</v>
      </c>
      <c r="L3176" s="3">
        <v>31.2</v>
      </c>
      <c r="M3176" s="3">
        <v>32.76</v>
      </c>
      <c r="N3176" s="3">
        <v>64.99</v>
      </c>
      <c r="O3176" s="2" t="s">
        <v>97</v>
      </c>
      <c r="P3176" s="2" t="s">
        <v>119</v>
      </c>
      <c r="Q3176" s="2" t="s">
        <v>99</v>
      </c>
      <c r="R3176" s="2" t="s">
        <v>100</v>
      </c>
      <c r="S3176" s="2" t="s">
        <v>10123</v>
      </c>
      <c r="T3176" s="2" t="s">
        <v>5869</v>
      </c>
      <c r="U3176" s="2" t="s">
        <v>402</v>
      </c>
      <c r="V3176" s="2" t="s">
        <v>146</v>
      </c>
      <c r="W3176" s="2" t="s">
        <v>183</v>
      </c>
      <c r="X3176" s="2" t="s">
        <v>561</v>
      </c>
      <c r="Y3176" s="2" t="s">
        <v>10124</v>
      </c>
      <c r="Z3176" s="4">
        <v>288</v>
      </c>
      <c r="AA3176" s="4">
        <f>=ROUNDDOWN(28.8,0)</f>
      </c>
      <c r="AB3176" s="5">
        <v>10</v>
      </c>
      <c r="AC3176" s="2" t="s">
        <v>100</v>
      </c>
      <c r="AD3176" s="4"/>
      <c r="AE3176" s="4"/>
      <c r="AF3176" s="6">
        <v>65</v>
      </c>
      <c r="AG3176" s="6"/>
      <c r="AH3176" s="7">
        <v>0.6578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 t="s">
        <v>100</v>
      </c>
      <c r="BJ3176" s="4">
        <v>83</v>
      </c>
      <c r="BK3176" s="8">
        <v>2892.41</v>
      </c>
      <c r="BL3176" s="2" t="s">
        <v>7499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207</v>
      </c>
      <c r="BV3176" s="2" t="s">
        <v>97</v>
      </c>
      <c r="BW3176" s="2" t="s">
        <v>100</v>
      </c>
      <c r="BX3176" s="2" t="s">
        <v>100</v>
      </c>
      <c r="BY3176" s="2" t="s">
        <v>113</v>
      </c>
      <c r="BZ3176" s="2" t="s">
        <v>100</v>
      </c>
    </row>
    <row r="3177">
      <c r="A3177" s="2" t="s">
        <v>10129</v>
      </c>
      <c r="B3177" s="2" t="s">
        <v>9668</v>
      </c>
      <c r="C3177" s="2" t="s">
        <v>4861</v>
      </c>
      <c r="D3177" s="2" t="s">
        <v>9669</v>
      </c>
      <c r="E3177" s="2" t="s">
        <v>9670</v>
      </c>
      <c r="F3177" s="2" t="s">
        <v>10015</v>
      </c>
      <c r="G3177" s="2" t="s">
        <v>10015</v>
      </c>
      <c r="H3177" s="2" t="s">
        <v>10015</v>
      </c>
      <c r="I3177" s="2" t="s">
        <v>10016</v>
      </c>
      <c r="J3177" s="2" t="s">
        <v>817</v>
      </c>
      <c r="K3177" s="2" t="s">
        <v>432</v>
      </c>
      <c r="L3177" s="3">
        <v>31.85</v>
      </c>
      <c r="M3177" s="3">
        <v>33.44</v>
      </c>
      <c r="N3177" s="3">
        <v>64.99</v>
      </c>
      <c r="O3177" s="2" t="s">
        <v>97</v>
      </c>
      <c r="P3177" s="2" t="s">
        <v>119</v>
      </c>
      <c r="Q3177" s="2" t="s">
        <v>99</v>
      </c>
      <c r="R3177" s="2" t="s">
        <v>100</v>
      </c>
      <c r="S3177" s="2" t="s">
        <v>10123</v>
      </c>
      <c r="T3177" s="2" t="s">
        <v>5869</v>
      </c>
      <c r="U3177" s="2" t="s">
        <v>402</v>
      </c>
      <c r="V3177" s="2" t="s">
        <v>146</v>
      </c>
      <c r="W3177" s="2" t="s">
        <v>183</v>
      </c>
      <c r="X3177" s="2" t="s">
        <v>561</v>
      </c>
      <c r="Y3177" s="2" t="s">
        <v>10124</v>
      </c>
      <c r="Z3177" s="4">
        <v>170</v>
      </c>
      <c r="AA3177" s="4">
        <f>=ROUNDDOWN(34,0)</f>
      </c>
      <c r="AB3177" s="5">
        <v>5</v>
      </c>
      <c r="AC3177" s="2" t="s">
        <v>100</v>
      </c>
      <c r="AD3177" s="4"/>
      <c r="AE3177" s="4"/>
      <c r="AF3177" s="6">
        <v>65</v>
      </c>
      <c r="AG3177" s="6"/>
      <c r="AH3177" s="7">
        <v>0.6631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 t="s">
        <v>100</v>
      </c>
      <c r="BJ3177" s="4">
        <v>10</v>
      </c>
      <c r="BK3177" s="8">
        <v>358.42</v>
      </c>
      <c r="BL3177" s="2" t="s">
        <v>10130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207</v>
      </c>
      <c r="BV3177" s="2" t="s">
        <v>97</v>
      </c>
      <c r="BW3177" s="2" t="s">
        <v>100</v>
      </c>
      <c r="BX3177" s="2" t="s">
        <v>100</v>
      </c>
      <c r="BY3177" s="2" t="s">
        <v>113</v>
      </c>
      <c r="BZ3177" s="2" t="s">
        <v>100</v>
      </c>
    </row>
    <row r="3178">
      <c r="A3178" s="2" t="s">
        <v>10131</v>
      </c>
      <c r="B3178" s="2" t="s">
        <v>9668</v>
      </c>
      <c r="C3178" s="2" t="s">
        <v>4861</v>
      </c>
      <c r="D3178" s="2" t="s">
        <v>9669</v>
      </c>
      <c r="E3178" s="2" t="s">
        <v>9670</v>
      </c>
      <c r="F3178" s="2" t="s">
        <v>10015</v>
      </c>
      <c r="G3178" s="2" t="s">
        <v>10015</v>
      </c>
      <c r="H3178" s="2" t="s">
        <v>10015</v>
      </c>
      <c r="I3178" s="2" t="s">
        <v>10016</v>
      </c>
      <c r="J3178" s="2" t="s">
        <v>1936</v>
      </c>
      <c r="K3178" s="2" t="s">
        <v>7561</v>
      </c>
      <c r="L3178" s="3">
        <v>24</v>
      </c>
      <c r="M3178" s="3">
        <v>25.2</v>
      </c>
      <c r="N3178" s="3">
        <v>49.99</v>
      </c>
      <c r="O3178" s="2" t="s">
        <v>97</v>
      </c>
      <c r="P3178" s="2" t="s">
        <v>119</v>
      </c>
      <c r="Q3178" s="2" t="s">
        <v>99</v>
      </c>
      <c r="R3178" s="2" t="s">
        <v>100</v>
      </c>
      <c r="S3178" s="2" t="s">
        <v>10132</v>
      </c>
      <c r="T3178" s="2" t="s">
        <v>5869</v>
      </c>
      <c r="U3178" s="2" t="s">
        <v>480</v>
      </c>
      <c r="V3178" s="2" t="s">
        <v>403</v>
      </c>
      <c r="W3178" s="2" t="s">
        <v>183</v>
      </c>
      <c r="X3178" s="2" t="s">
        <v>561</v>
      </c>
      <c r="Y3178" s="2" t="s">
        <v>10133</v>
      </c>
      <c r="Z3178" s="4">
        <v>211</v>
      </c>
      <c r="AA3178" s="4">
        <f>=ROUNDDOWN(42.2,0)</f>
      </c>
      <c r="AB3178" s="5">
        <v>5</v>
      </c>
      <c r="AC3178" s="2" t="s">
        <v>100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 t="s">
        <v>100</v>
      </c>
      <c r="BJ3178" s="4">
        <v>15</v>
      </c>
      <c r="BK3178" s="8">
        <v>391.48</v>
      </c>
      <c r="BL3178" s="2" t="s">
        <v>4916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207</v>
      </c>
      <c r="BV3178" s="2" t="s">
        <v>97</v>
      </c>
      <c r="BW3178" s="2" t="s">
        <v>100</v>
      </c>
      <c r="BX3178" s="2" t="s">
        <v>100</v>
      </c>
      <c r="BY3178" s="2" t="s">
        <v>113</v>
      </c>
      <c r="BZ3178" s="2" t="s">
        <v>100</v>
      </c>
    </row>
    <row r="3179">
      <c r="A3179" s="2" t="s">
        <v>10134</v>
      </c>
      <c r="B3179" s="2" t="s">
        <v>9668</v>
      </c>
      <c r="C3179" s="2" t="s">
        <v>4861</v>
      </c>
      <c r="D3179" s="2" t="s">
        <v>9669</v>
      </c>
      <c r="E3179" s="2" t="s">
        <v>9670</v>
      </c>
      <c r="F3179" s="2" t="s">
        <v>10015</v>
      </c>
      <c r="G3179" s="2" t="s">
        <v>10015</v>
      </c>
      <c r="H3179" s="2" t="s">
        <v>10015</v>
      </c>
      <c r="I3179" s="2" t="s">
        <v>10016</v>
      </c>
      <c r="J3179" s="2" t="s">
        <v>717</v>
      </c>
      <c r="K3179" s="2" t="s">
        <v>7561</v>
      </c>
      <c r="L3179" s="3">
        <v>28.2</v>
      </c>
      <c r="M3179" s="3">
        <v>29.61</v>
      </c>
      <c r="N3179" s="3">
        <v>59.99</v>
      </c>
      <c r="O3179" s="2" t="s">
        <v>97</v>
      </c>
      <c r="P3179" s="2" t="s">
        <v>119</v>
      </c>
      <c r="Q3179" s="2" t="s">
        <v>99</v>
      </c>
      <c r="R3179" s="2" t="s">
        <v>100</v>
      </c>
      <c r="S3179" s="2" t="s">
        <v>10132</v>
      </c>
      <c r="T3179" s="2" t="s">
        <v>5869</v>
      </c>
      <c r="U3179" s="2" t="s">
        <v>402</v>
      </c>
      <c r="V3179" s="2" t="s">
        <v>403</v>
      </c>
      <c r="W3179" s="2" t="s">
        <v>183</v>
      </c>
      <c r="X3179" s="2" t="s">
        <v>561</v>
      </c>
      <c r="Y3179" s="2" t="s">
        <v>10133</v>
      </c>
      <c r="Z3179" s="4">
        <v>297</v>
      </c>
      <c r="AA3179" s="4">
        <f>=ROUNDDOWN(42.4285714285714,0)</f>
      </c>
      <c r="AB3179" s="5">
        <v>7</v>
      </c>
      <c r="AC3179" s="2" t="s">
        <v>100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41</v>
      </c>
      <c r="BK3179" s="8">
        <v>1150.76</v>
      </c>
      <c r="BL3179" s="2" t="s">
        <v>10135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207</v>
      </c>
      <c r="BV3179" s="2" t="s">
        <v>97</v>
      </c>
      <c r="BW3179" s="2" t="s">
        <v>100</v>
      </c>
      <c r="BX3179" s="2" t="s">
        <v>100</v>
      </c>
      <c r="BY3179" s="2" t="s">
        <v>113</v>
      </c>
      <c r="BZ3179" s="2" t="s">
        <v>100</v>
      </c>
    </row>
    <row r="3180">
      <c r="A3180" s="2" t="s">
        <v>10136</v>
      </c>
      <c r="B3180" s="2" t="s">
        <v>9668</v>
      </c>
      <c r="C3180" s="2" t="s">
        <v>4861</v>
      </c>
      <c r="D3180" s="2" t="s">
        <v>9669</v>
      </c>
      <c r="E3180" s="2" t="s">
        <v>9670</v>
      </c>
      <c r="F3180" s="2" t="s">
        <v>10015</v>
      </c>
      <c r="G3180" s="2" t="s">
        <v>10015</v>
      </c>
      <c r="H3180" s="2" t="s">
        <v>10015</v>
      </c>
      <c r="I3180" s="2" t="s">
        <v>10016</v>
      </c>
      <c r="J3180" s="2" t="s">
        <v>706</v>
      </c>
      <c r="K3180" s="2" t="s">
        <v>7561</v>
      </c>
      <c r="L3180" s="3">
        <v>31.85</v>
      </c>
      <c r="M3180" s="3">
        <v>33.44</v>
      </c>
      <c r="N3180" s="3">
        <v>64.99</v>
      </c>
      <c r="O3180" s="2" t="s">
        <v>97</v>
      </c>
      <c r="P3180" s="2" t="s">
        <v>119</v>
      </c>
      <c r="Q3180" s="2" t="s">
        <v>99</v>
      </c>
      <c r="R3180" s="2" t="s">
        <v>100</v>
      </c>
      <c r="S3180" s="2" t="s">
        <v>10132</v>
      </c>
      <c r="T3180" s="2" t="s">
        <v>5869</v>
      </c>
      <c r="U3180" s="2" t="s">
        <v>402</v>
      </c>
      <c r="V3180" s="2" t="s">
        <v>403</v>
      </c>
      <c r="W3180" s="2" t="s">
        <v>183</v>
      </c>
      <c r="X3180" s="2" t="s">
        <v>561</v>
      </c>
      <c r="Y3180" s="2" t="s">
        <v>10133</v>
      </c>
      <c r="Z3180" s="4">
        <v>653</v>
      </c>
      <c r="AA3180" s="4">
        <f>=ROUNDDOWN(36.2777777777778,0)</f>
      </c>
      <c r="AB3180" s="5">
        <v>18</v>
      </c>
      <c r="AC3180" s="2" t="s">
        <v>100</v>
      </c>
      <c r="AD3180" s="4"/>
      <c r="AE3180" s="4"/>
      <c r="AF3180" s="6">
        <v>65</v>
      </c>
      <c r="AG3180" s="6"/>
      <c r="AH3180" s="7">
        <v>0.6845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89</v>
      </c>
      <c r="BK3180" s="8">
        <v>2918.76</v>
      </c>
      <c r="BL3180" s="2" t="s">
        <v>1255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207</v>
      </c>
      <c r="BV3180" s="2" t="s">
        <v>97</v>
      </c>
      <c r="BW3180" s="2" t="s">
        <v>100</v>
      </c>
      <c r="BX3180" s="2" t="s">
        <v>100</v>
      </c>
      <c r="BY3180" s="2" t="s">
        <v>113</v>
      </c>
      <c r="BZ3180" s="2" t="s">
        <v>100</v>
      </c>
    </row>
    <row r="3181">
      <c r="A3181" s="2" t="s">
        <v>10137</v>
      </c>
      <c r="B3181" s="2" t="s">
        <v>9668</v>
      </c>
      <c r="C3181" s="2" t="s">
        <v>4861</v>
      </c>
      <c r="D3181" s="2" t="s">
        <v>9669</v>
      </c>
      <c r="E3181" s="2" t="s">
        <v>9670</v>
      </c>
      <c r="F3181" s="2" t="s">
        <v>10015</v>
      </c>
      <c r="G3181" s="2" t="s">
        <v>10015</v>
      </c>
      <c r="H3181" s="2" t="s">
        <v>10015</v>
      </c>
      <c r="I3181" s="2" t="s">
        <v>10016</v>
      </c>
      <c r="J3181" s="2" t="s">
        <v>714</v>
      </c>
      <c r="K3181" s="2" t="s">
        <v>7561</v>
      </c>
      <c r="L3181" s="3">
        <v>34.5</v>
      </c>
      <c r="M3181" s="3">
        <v>36.23</v>
      </c>
      <c r="N3181" s="3">
        <v>74.99</v>
      </c>
      <c r="O3181" s="2" t="s">
        <v>97</v>
      </c>
      <c r="P3181" s="2" t="s">
        <v>119</v>
      </c>
      <c r="Q3181" s="2" t="s">
        <v>99</v>
      </c>
      <c r="R3181" s="2" t="s">
        <v>100</v>
      </c>
      <c r="S3181" s="2" t="s">
        <v>10132</v>
      </c>
      <c r="T3181" s="2" t="s">
        <v>5869</v>
      </c>
      <c r="U3181" s="2" t="s">
        <v>402</v>
      </c>
      <c r="V3181" s="2" t="s">
        <v>403</v>
      </c>
      <c r="W3181" s="2" t="s">
        <v>183</v>
      </c>
      <c r="X3181" s="2" t="s">
        <v>561</v>
      </c>
      <c r="Y3181" s="2" t="s">
        <v>10133</v>
      </c>
      <c r="Z3181" s="4">
        <v>361</v>
      </c>
      <c r="AA3181" s="4">
        <f>=ROUNDDOWN(36.1,0)</f>
      </c>
      <c r="AB3181" s="5">
        <v>10</v>
      </c>
      <c r="AC3181" s="2" t="s">
        <v>100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>
        <v>53</v>
      </c>
      <c r="BK3181" s="8">
        <v>1888.96</v>
      </c>
      <c r="BL3181" s="2" t="s">
        <v>10138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207</v>
      </c>
      <c r="BV3181" s="2" t="s">
        <v>97</v>
      </c>
      <c r="BW3181" s="2" t="s">
        <v>100</v>
      </c>
      <c r="BX3181" s="2" t="s">
        <v>100</v>
      </c>
      <c r="BY3181" s="2" t="s">
        <v>113</v>
      </c>
      <c r="BZ3181" s="2" t="s">
        <v>100</v>
      </c>
    </row>
    <row r="3182">
      <c r="A3182" s="2" t="s">
        <v>10139</v>
      </c>
      <c r="B3182" s="2" t="s">
        <v>9668</v>
      </c>
      <c r="C3182" s="2" t="s">
        <v>4861</v>
      </c>
      <c r="D3182" s="2" t="s">
        <v>9669</v>
      </c>
      <c r="E3182" s="2" t="s">
        <v>9670</v>
      </c>
      <c r="F3182" s="2" t="s">
        <v>10015</v>
      </c>
      <c r="G3182" s="2" t="s">
        <v>10015</v>
      </c>
      <c r="H3182" s="2" t="s">
        <v>10015</v>
      </c>
      <c r="I3182" s="2" t="s">
        <v>10016</v>
      </c>
      <c r="J3182" s="2" t="s">
        <v>1936</v>
      </c>
      <c r="K3182" s="2" t="s">
        <v>10140</v>
      </c>
      <c r="L3182" s="3">
        <v>24</v>
      </c>
      <c r="M3182" s="3">
        <v>25.2</v>
      </c>
      <c r="N3182" s="3">
        <v>49.99</v>
      </c>
      <c r="O3182" s="2" t="s">
        <v>97</v>
      </c>
      <c r="P3182" s="2" t="s">
        <v>119</v>
      </c>
      <c r="Q3182" s="2" t="s">
        <v>99</v>
      </c>
      <c r="R3182" s="2" t="s">
        <v>100</v>
      </c>
      <c r="S3182" s="2" t="s">
        <v>10141</v>
      </c>
      <c r="T3182" s="2" t="s">
        <v>5869</v>
      </c>
      <c r="U3182" s="2" t="s">
        <v>480</v>
      </c>
      <c r="V3182" s="2" t="s">
        <v>3937</v>
      </c>
      <c r="W3182" s="2" t="s">
        <v>183</v>
      </c>
      <c r="X3182" s="2" t="s">
        <v>561</v>
      </c>
      <c r="Y3182" s="2" t="s">
        <v>10133</v>
      </c>
      <c r="Z3182" s="4">
        <v>316</v>
      </c>
      <c r="AA3182" s="4">
        <f>=ROUNDDOWN(31.6,0)</f>
      </c>
      <c r="AB3182" s="5">
        <v>10</v>
      </c>
      <c r="AC3182" s="2" t="s">
        <v>100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>
        <v>36</v>
      </c>
      <c r="BK3182" s="8">
        <v>899.63</v>
      </c>
      <c r="BL3182" s="2" t="s">
        <v>1596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207</v>
      </c>
      <c r="BV3182" s="2" t="s">
        <v>97</v>
      </c>
      <c r="BW3182" s="2" t="s">
        <v>100</v>
      </c>
      <c r="BX3182" s="2" t="s">
        <v>100</v>
      </c>
      <c r="BY3182" s="2" t="s">
        <v>113</v>
      </c>
      <c r="BZ3182" s="2" t="s">
        <v>100</v>
      </c>
    </row>
    <row r="3183">
      <c r="A3183" s="2" t="s">
        <v>10142</v>
      </c>
      <c r="B3183" s="2" t="s">
        <v>9668</v>
      </c>
      <c r="C3183" s="2" t="s">
        <v>4861</v>
      </c>
      <c r="D3183" s="2" t="s">
        <v>9669</v>
      </c>
      <c r="E3183" s="2" t="s">
        <v>9670</v>
      </c>
      <c r="F3183" s="2" t="s">
        <v>10015</v>
      </c>
      <c r="G3183" s="2" t="s">
        <v>10015</v>
      </c>
      <c r="H3183" s="2" t="s">
        <v>10015</v>
      </c>
      <c r="I3183" s="2" t="s">
        <v>10016</v>
      </c>
      <c r="J3183" s="2" t="s">
        <v>717</v>
      </c>
      <c r="K3183" s="2" t="s">
        <v>10140</v>
      </c>
      <c r="L3183" s="3">
        <v>28.2</v>
      </c>
      <c r="M3183" s="3">
        <v>29.61</v>
      </c>
      <c r="N3183" s="3">
        <v>59.99</v>
      </c>
      <c r="O3183" s="2" t="s">
        <v>97</v>
      </c>
      <c r="P3183" s="2" t="s">
        <v>119</v>
      </c>
      <c r="Q3183" s="2" t="s">
        <v>99</v>
      </c>
      <c r="R3183" s="2" t="s">
        <v>100</v>
      </c>
      <c r="S3183" s="2" t="s">
        <v>10141</v>
      </c>
      <c r="T3183" s="2" t="s">
        <v>5869</v>
      </c>
      <c r="U3183" s="2" t="s">
        <v>402</v>
      </c>
      <c r="V3183" s="2" t="s">
        <v>3937</v>
      </c>
      <c r="W3183" s="2" t="s">
        <v>183</v>
      </c>
      <c r="X3183" s="2" t="s">
        <v>561</v>
      </c>
      <c r="Y3183" s="2" t="s">
        <v>10133</v>
      </c>
      <c r="Z3183" s="4">
        <v>324</v>
      </c>
      <c r="AA3183" s="4">
        <f>=ROUNDDOWN(36,0)</f>
      </c>
      <c r="AB3183" s="5">
        <v>9</v>
      </c>
      <c r="AC3183" s="2" t="s">
        <v>100</v>
      </c>
      <c r="AD3183" s="4"/>
      <c r="AE3183" s="4"/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>
        <v>69</v>
      </c>
      <c r="BK3183" s="8">
        <v>2002.23</v>
      </c>
      <c r="BL3183" s="2" t="s">
        <v>7077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207</v>
      </c>
      <c r="BV3183" s="2" t="s">
        <v>97</v>
      </c>
      <c r="BW3183" s="2" t="s">
        <v>100</v>
      </c>
      <c r="BX3183" s="2" t="s">
        <v>100</v>
      </c>
      <c r="BY3183" s="2" t="s">
        <v>113</v>
      </c>
      <c r="BZ3183" s="2" t="s">
        <v>100</v>
      </c>
    </row>
    <row r="3184">
      <c r="A3184" s="2" t="s">
        <v>10143</v>
      </c>
      <c r="B3184" s="2" t="s">
        <v>9668</v>
      </c>
      <c r="C3184" s="2" t="s">
        <v>4861</v>
      </c>
      <c r="D3184" s="2" t="s">
        <v>9669</v>
      </c>
      <c r="E3184" s="2" t="s">
        <v>9670</v>
      </c>
      <c r="F3184" s="2" t="s">
        <v>10015</v>
      </c>
      <c r="G3184" s="2" t="s">
        <v>10015</v>
      </c>
      <c r="H3184" s="2" t="s">
        <v>10015</v>
      </c>
      <c r="I3184" s="2" t="s">
        <v>10016</v>
      </c>
      <c r="J3184" s="2" t="s">
        <v>706</v>
      </c>
      <c r="K3184" s="2" t="s">
        <v>10140</v>
      </c>
      <c r="L3184" s="3">
        <v>31.85</v>
      </c>
      <c r="M3184" s="3">
        <v>33.44</v>
      </c>
      <c r="N3184" s="3">
        <v>64.99</v>
      </c>
      <c r="O3184" s="2" t="s">
        <v>97</v>
      </c>
      <c r="P3184" s="2" t="s">
        <v>119</v>
      </c>
      <c r="Q3184" s="2" t="s">
        <v>99</v>
      </c>
      <c r="R3184" s="2" t="s">
        <v>100</v>
      </c>
      <c r="S3184" s="2" t="s">
        <v>10141</v>
      </c>
      <c r="T3184" s="2" t="s">
        <v>5869</v>
      </c>
      <c r="U3184" s="2" t="s">
        <v>402</v>
      </c>
      <c r="V3184" s="2" t="s">
        <v>3937</v>
      </c>
      <c r="W3184" s="2" t="s">
        <v>183</v>
      </c>
      <c r="X3184" s="2" t="s">
        <v>561</v>
      </c>
      <c r="Y3184" s="2" t="s">
        <v>10133</v>
      </c>
      <c r="Z3184" s="4">
        <v>672</v>
      </c>
      <c r="AA3184" s="4">
        <f>=ROUNDDOWN(25.8461538461538,0)</f>
      </c>
      <c r="AB3184" s="5">
        <v>26</v>
      </c>
      <c r="AC3184" s="2" t="s">
        <v>100</v>
      </c>
      <c r="AD3184" s="4"/>
      <c r="AE3184" s="4"/>
      <c r="AF3184" s="6">
        <v>65</v>
      </c>
      <c r="AG3184" s="6"/>
      <c r="AH3184" s="7">
        <v>0.6631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344</v>
      </c>
      <c r="BK3184" s="8">
        <v>11923.46</v>
      </c>
      <c r="BL3184" s="2" t="s">
        <v>2197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207</v>
      </c>
      <c r="BV3184" s="2" t="s">
        <v>97</v>
      </c>
      <c r="BW3184" s="2" t="s">
        <v>100</v>
      </c>
      <c r="BX3184" s="2" t="s">
        <v>100</v>
      </c>
      <c r="BY3184" s="2" t="s">
        <v>113</v>
      </c>
      <c r="BZ3184" s="2" t="s">
        <v>100</v>
      </c>
    </row>
    <row r="3185">
      <c r="A3185" s="2" t="s">
        <v>10144</v>
      </c>
      <c r="B3185" s="2" t="s">
        <v>9668</v>
      </c>
      <c r="C3185" s="2" t="s">
        <v>4861</v>
      </c>
      <c r="D3185" s="2" t="s">
        <v>9669</v>
      </c>
      <c r="E3185" s="2" t="s">
        <v>9670</v>
      </c>
      <c r="F3185" s="2" t="s">
        <v>10015</v>
      </c>
      <c r="G3185" s="2" t="s">
        <v>10015</v>
      </c>
      <c r="H3185" s="2" t="s">
        <v>10015</v>
      </c>
      <c r="I3185" s="2" t="s">
        <v>10016</v>
      </c>
      <c r="J3185" s="2" t="s">
        <v>714</v>
      </c>
      <c r="K3185" s="2" t="s">
        <v>10140</v>
      </c>
      <c r="L3185" s="3">
        <v>34.5</v>
      </c>
      <c r="M3185" s="3">
        <v>36.23</v>
      </c>
      <c r="N3185" s="3">
        <v>74.99</v>
      </c>
      <c r="O3185" s="2" t="s">
        <v>97</v>
      </c>
      <c r="P3185" s="2" t="s">
        <v>119</v>
      </c>
      <c r="Q3185" s="2" t="s">
        <v>99</v>
      </c>
      <c r="R3185" s="2" t="s">
        <v>100</v>
      </c>
      <c r="S3185" s="2" t="s">
        <v>10141</v>
      </c>
      <c r="T3185" s="2" t="s">
        <v>5869</v>
      </c>
      <c r="U3185" s="2" t="s">
        <v>402</v>
      </c>
      <c r="V3185" s="2" t="s">
        <v>3937</v>
      </c>
      <c r="W3185" s="2" t="s">
        <v>183</v>
      </c>
      <c r="X3185" s="2" t="s">
        <v>561</v>
      </c>
      <c r="Y3185" s="2" t="s">
        <v>10133</v>
      </c>
      <c r="Z3185" s="4">
        <v>497</v>
      </c>
      <c r="AA3185" s="4">
        <f>=ROUNDDOWN(35.5,0)</f>
      </c>
      <c r="AB3185" s="5">
        <v>14</v>
      </c>
      <c r="AC3185" s="2" t="s">
        <v>100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>
        <v>131</v>
      </c>
      <c r="BK3185" s="8">
        <v>4749.19</v>
      </c>
      <c r="BL3185" s="2" t="s">
        <v>1255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207</v>
      </c>
      <c r="BV3185" s="2" t="s">
        <v>97</v>
      </c>
      <c r="BW3185" s="2" t="s">
        <v>100</v>
      </c>
      <c r="BX3185" s="2" t="s">
        <v>100</v>
      </c>
      <c r="BY3185" s="2" t="s">
        <v>113</v>
      </c>
      <c r="BZ3185" s="2" t="s">
        <v>100</v>
      </c>
    </row>
    <row r="3186">
      <c r="A3186" s="2" t="s">
        <v>10145</v>
      </c>
      <c r="B3186" s="2" t="s">
        <v>9668</v>
      </c>
      <c r="C3186" s="2" t="s">
        <v>4861</v>
      </c>
      <c r="D3186" s="2" t="s">
        <v>9669</v>
      </c>
      <c r="E3186" s="2" t="s">
        <v>9670</v>
      </c>
      <c r="F3186" s="2" t="s">
        <v>10015</v>
      </c>
      <c r="G3186" s="2" t="s">
        <v>10015</v>
      </c>
      <c r="H3186" s="2" t="s">
        <v>10015</v>
      </c>
      <c r="I3186" s="2" t="s">
        <v>10016</v>
      </c>
      <c r="J3186" s="2" t="s">
        <v>1936</v>
      </c>
      <c r="K3186" s="2" t="s">
        <v>360</v>
      </c>
      <c r="L3186" s="3">
        <v>21.62</v>
      </c>
      <c r="M3186" s="3">
        <v>22.7</v>
      </c>
      <c r="N3186" s="3">
        <v>46.99</v>
      </c>
      <c r="O3186" s="2" t="s">
        <v>97</v>
      </c>
      <c r="P3186" s="2" t="s">
        <v>119</v>
      </c>
      <c r="Q3186" s="2" t="s">
        <v>99</v>
      </c>
      <c r="R3186" s="2" t="s">
        <v>100</v>
      </c>
      <c r="S3186" s="2" t="s">
        <v>10146</v>
      </c>
      <c r="T3186" s="2" t="s">
        <v>5869</v>
      </c>
      <c r="U3186" s="2" t="s">
        <v>480</v>
      </c>
      <c r="V3186" s="2" t="s">
        <v>146</v>
      </c>
      <c r="W3186" s="2" t="s">
        <v>183</v>
      </c>
      <c r="X3186" s="2" t="s">
        <v>561</v>
      </c>
      <c r="Y3186" s="2" t="s">
        <v>10114</v>
      </c>
      <c r="Z3186" s="4">
        <v>375</v>
      </c>
      <c r="AA3186" s="4">
        <f>=ROUNDDOWN(22.0588235294118,0)</f>
      </c>
      <c r="AB3186" s="5">
        <v>17</v>
      </c>
      <c r="AC3186" s="2" t="s">
        <v>100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 t="s">
        <v>100</v>
      </c>
      <c r="BJ3186" s="4">
        <v>153</v>
      </c>
      <c r="BK3186" s="8">
        <v>3625.33</v>
      </c>
      <c r="BL3186" s="2" t="s">
        <v>10147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207</v>
      </c>
      <c r="BV3186" s="2" t="s">
        <v>97</v>
      </c>
      <c r="BW3186" s="2" t="s">
        <v>100</v>
      </c>
      <c r="BX3186" s="2" t="s">
        <v>100</v>
      </c>
      <c r="BY3186" s="2" t="s">
        <v>113</v>
      </c>
      <c r="BZ3186" s="2" t="s">
        <v>100</v>
      </c>
    </row>
    <row r="3187">
      <c r="A3187" s="2" t="s">
        <v>10148</v>
      </c>
      <c r="B3187" s="2" t="s">
        <v>9668</v>
      </c>
      <c r="C3187" s="2" t="s">
        <v>4861</v>
      </c>
      <c r="D3187" s="2" t="s">
        <v>9669</v>
      </c>
      <c r="E3187" s="2" t="s">
        <v>9670</v>
      </c>
      <c r="F3187" s="2" t="s">
        <v>10015</v>
      </c>
      <c r="G3187" s="2" t="s">
        <v>10015</v>
      </c>
      <c r="H3187" s="2" t="s">
        <v>10015</v>
      </c>
      <c r="I3187" s="2" t="s">
        <v>10016</v>
      </c>
      <c r="J3187" s="2" t="s">
        <v>2072</v>
      </c>
      <c r="K3187" s="2" t="s">
        <v>360</v>
      </c>
      <c r="L3187" s="3">
        <v>23.04</v>
      </c>
      <c r="M3187" s="3">
        <v>24.19</v>
      </c>
      <c r="N3187" s="3">
        <v>47.99</v>
      </c>
      <c r="O3187" s="2" t="s">
        <v>97</v>
      </c>
      <c r="P3187" s="2" t="s">
        <v>119</v>
      </c>
      <c r="Q3187" s="2" t="s">
        <v>99</v>
      </c>
      <c r="R3187" s="2" t="s">
        <v>100</v>
      </c>
      <c r="S3187" s="2" t="s">
        <v>10146</v>
      </c>
      <c r="T3187" s="2" t="s">
        <v>5869</v>
      </c>
      <c r="U3187" s="2" t="s">
        <v>480</v>
      </c>
      <c r="V3187" s="2" t="s">
        <v>146</v>
      </c>
      <c r="W3187" s="2" t="s">
        <v>183</v>
      </c>
      <c r="X3187" s="2" t="s">
        <v>561</v>
      </c>
      <c r="Y3187" s="2" t="s">
        <v>10114</v>
      </c>
      <c r="Z3187" s="4">
        <v>345</v>
      </c>
      <c r="AA3187" s="4">
        <f>=ROUNDDOWN(28.75,0)</f>
      </c>
      <c r="AB3187" s="5">
        <v>12</v>
      </c>
      <c r="AC3187" s="2" t="s">
        <v>100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124</v>
      </c>
      <c r="BK3187" s="8">
        <v>3147.99</v>
      </c>
      <c r="BL3187" s="2" t="s">
        <v>10149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207</v>
      </c>
      <c r="BV3187" s="2" t="s">
        <v>97</v>
      </c>
      <c r="BW3187" s="2" t="s">
        <v>100</v>
      </c>
      <c r="BX3187" s="2" t="s">
        <v>100</v>
      </c>
      <c r="BY3187" s="2" t="s">
        <v>113</v>
      </c>
      <c r="BZ3187" s="2" t="s">
        <v>100</v>
      </c>
    </row>
    <row r="3188">
      <c r="A3188" s="2" t="s">
        <v>10150</v>
      </c>
      <c r="B3188" s="2" t="s">
        <v>9668</v>
      </c>
      <c r="C3188" s="2" t="s">
        <v>4861</v>
      </c>
      <c r="D3188" s="2" t="s">
        <v>9669</v>
      </c>
      <c r="E3188" s="2" t="s">
        <v>9670</v>
      </c>
      <c r="F3188" s="2" t="s">
        <v>10015</v>
      </c>
      <c r="G3188" s="2" t="s">
        <v>10015</v>
      </c>
      <c r="H3188" s="2" t="s">
        <v>10015</v>
      </c>
      <c r="I3188" s="2" t="s">
        <v>10016</v>
      </c>
      <c r="J3188" s="2" t="s">
        <v>717</v>
      </c>
      <c r="K3188" s="2" t="s">
        <v>360</v>
      </c>
      <c r="L3188" s="3">
        <v>25.3</v>
      </c>
      <c r="M3188" s="3">
        <v>26.56</v>
      </c>
      <c r="N3188" s="3">
        <v>54.99</v>
      </c>
      <c r="O3188" s="2" t="s">
        <v>97</v>
      </c>
      <c r="P3188" s="2" t="s">
        <v>950</v>
      </c>
      <c r="Q3188" s="2" t="s">
        <v>99</v>
      </c>
      <c r="R3188" s="2" t="s">
        <v>100</v>
      </c>
      <c r="S3188" s="2" t="s">
        <v>10146</v>
      </c>
      <c r="T3188" s="2" t="s">
        <v>5869</v>
      </c>
      <c r="U3188" s="2" t="s">
        <v>402</v>
      </c>
      <c r="V3188" s="2" t="s">
        <v>146</v>
      </c>
      <c r="W3188" s="2" t="s">
        <v>183</v>
      </c>
      <c r="X3188" s="2" t="s">
        <v>561</v>
      </c>
      <c r="Y3188" s="2" t="s">
        <v>10151</v>
      </c>
      <c r="Z3188" s="4">
        <v>431</v>
      </c>
      <c r="AA3188" s="4">
        <f>=ROUNDDOWN(25.3529411764706,0)</f>
      </c>
      <c r="AB3188" s="5">
        <v>17</v>
      </c>
      <c r="AC3188" s="2" t="s">
        <v>100</v>
      </c>
      <c r="AD3188" s="4"/>
      <c r="AE3188" s="4"/>
      <c r="AF3188" s="6">
        <v>65</v>
      </c>
      <c r="AG3188" s="6"/>
      <c r="AH3188" s="7">
        <v>0.9037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>
        <v>161</v>
      </c>
      <c r="BK3188" s="8">
        <v>4472.98</v>
      </c>
      <c r="BL3188" s="2" t="s">
        <v>553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207</v>
      </c>
      <c r="BV3188" s="2" t="s">
        <v>97</v>
      </c>
      <c r="BW3188" s="2" t="s">
        <v>100</v>
      </c>
      <c r="BX3188" s="2" t="s">
        <v>100</v>
      </c>
      <c r="BY3188" s="2" t="s">
        <v>113</v>
      </c>
      <c r="BZ3188" s="2" t="s">
        <v>100</v>
      </c>
    </row>
    <row r="3189">
      <c r="A3189" s="2" t="s">
        <v>10152</v>
      </c>
      <c r="B3189" s="2" t="s">
        <v>9668</v>
      </c>
      <c r="C3189" s="2" t="s">
        <v>4861</v>
      </c>
      <c r="D3189" s="2" t="s">
        <v>9669</v>
      </c>
      <c r="E3189" s="2" t="s">
        <v>9670</v>
      </c>
      <c r="F3189" s="2" t="s">
        <v>10015</v>
      </c>
      <c r="G3189" s="2" t="s">
        <v>10015</v>
      </c>
      <c r="H3189" s="2" t="s">
        <v>10015</v>
      </c>
      <c r="I3189" s="2" t="s">
        <v>10016</v>
      </c>
      <c r="J3189" s="2" t="s">
        <v>706</v>
      </c>
      <c r="K3189" s="2" t="s">
        <v>360</v>
      </c>
      <c r="L3189" s="3">
        <v>28.2</v>
      </c>
      <c r="M3189" s="3">
        <v>29.61</v>
      </c>
      <c r="N3189" s="3">
        <v>59.99</v>
      </c>
      <c r="O3189" s="2" t="s">
        <v>97</v>
      </c>
      <c r="P3189" s="2" t="s">
        <v>98</v>
      </c>
      <c r="Q3189" s="2" t="s">
        <v>99</v>
      </c>
      <c r="R3189" s="2" t="s">
        <v>100</v>
      </c>
      <c r="S3189" s="2" t="s">
        <v>10146</v>
      </c>
      <c r="T3189" s="2" t="s">
        <v>5869</v>
      </c>
      <c r="U3189" s="2" t="s">
        <v>402</v>
      </c>
      <c r="V3189" s="2" t="s">
        <v>146</v>
      </c>
      <c r="W3189" s="2" t="s">
        <v>183</v>
      </c>
      <c r="X3189" s="2" t="s">
        <v>561</v>
      </c>
      <c r="Y3189" s="2" t="s">
        <v>10151</v>
      </c>
      <c r="Z3189" s="4">
        <v>804</v>
      </c>
      <c r="AA3189" s="4">
        <f>=ROUNDDOWN(26.8,0)</f>
      </c>
      <c r="AB3189" s="5">
        <v>30</v>
      </c>
      <c r="AC3189" s="2" t="s">
        <v>100</v>
      </c>
      <c r="AD3189" s="4"/>
      <c r="AE3189" s="4"/>
      <c r="AF3189" s="6">
        <v>65</v>
      </c>
      <c r="AG3189" s="6"/>
      <c r="AH3189" s="7">
        <v>0.6631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>
        <v>229</v>
      </c>
      <c r="BK3189" s="8">
        <v>7194.27</v>
      </c>
      <c r="BL3189" s="2" t="s">
        <v>10153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207</v>
      </c>
      <c r="BV3189" s="2" t="s">
        <v>97</v>
      </c>
      <c r="BW3189" s="2" t="s">
        <v>100</v>
      </c>
      <c r="BX3189" s="2" t="s">
        <v>100</v>
      </c>
      <c r="BY3189" s="2" t="s">
        <v>113</v>
      </c>
      <c r="BZ3189" s="2" t="s">
        <v>100</v>
      </c>
    </row>
    <row r="3190">
      <c r="A3190" s="2" t="s">
        <v>10154</v>
      </c>
      <c r="B3190" s="2" t="s">
        <v>9668</v>
      </c>
      <c r="C3190" s="2" t="s">
        <v>4861</v>
      </c>
      <c r="D3190" s="2" t="s">
        <v>9669</v>
      </c>
      <c r="E3190" s="2" t="s">
        <v>9670</v>
      </c>
      <c r="F3190" s="2" t="s">
        <v>10015</v>
      </c>
      <c r="G3190" s="2" t="s">
        <v>10015</v>
      </c>
      <c r="H3190" s="2" t="s">
        <v>10015</v>
      </c>
      <c r="I3190" s="2" t="s">
        <v>10016</v>
      </c>
      <c r="J3190" s="2" t="s">
        <v>714</v>
      </c>
      <c r="K3190" s="2" t="s">
        <v>360</v>
      </c>
      <c r="L3190" s="3">
        <v>31.2</v>
      </c>
      <c r="M3190" s="3">
        <v>32.76</v>
      </c>
      <c r="N3190" s="3">
        <v>64.99</v>
      </c>
      <c r="O3190" s="2" t="s">
        <v>97</v>
      </c>
      <c r="P3190" s="2" t="s">
        <v>119</v>
      </c>
      <c r="Q3190" s="2" t="s">
        <v>99</v>
      </c>
      <c r="R3190" s="2" t="s">
        <v>100</v>
      </c>
      <c r="S3190" s="2" t="s">
        <v>10146</v>
      </c>
      <c r="T3190" s="2" t="s">
        <v>5869</v>
      </c>
      <c r="U3190" s="2" t="s">
        <v>402</v>
      </c>
      <c r="V3190" s="2" t="s">
        <v>146</v>
      </c>
      <c r="W3190" s="2" t="s">
        <v>183</v>
      </c>
      <c r="X3190" s="2" t="s">
        <v>561</v>
      </c>
      <c r="Y3190" s="2" t="s">
        <v>10114</v>
      </c>
      <c r="Z3190" s="4">
        <v>434</v>
      </c>
      <c r="AA3190" s="4">
        <f>=ROUNDDOWN(28.9333333333333,0)</f>
      </c>
      <c r="AB3190" s="5">
        <v>15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>
        <v>125</v>
      </c>
      <c r="BK3190" s="8">
        <v>4308.78</v>
      </c>
      <c r="BL3190" s="2" t="s">
        <v>10155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207</v>
      </c>
      <c r="BV3190" s="2" t="s">
        <v>97</v>
      </c>
      <c r="BW3190" s="2" t="s">
        <v>100</v>
      </c>
      <c r="BX3190" s="2" t="s">
        <v>100</v>
      </c>
      <c r="BY3190" s="2" t="s">
        <v>113</v>
      </c>
      <c r="BZ3190" s="2" t="s">
        <v>100</v>
      </c>
    </row>
    <row r="3191">
      <c r="A3191" s="2" t="s">
        <v>10156</v>
      </c>
      <c r="B3191" s="2" t="s">
        <v>9668</v>
      </c>
      <c r="C3191" s="2" t="s">
        <v>4861</v>
      </c>
      <c r="D3191" s="2" t="s">
        <v>9669</v>
      </c>
      <c r="E3191" s="2" t="s">
        <v>9670</v>
      </c>
      <c r="F3191" s="2" t="s">
        <v>10015</v>
      </c>
      <c r="G3191" s="2" t="s">
        <v>10015</v>
      </c>
      <c r="H3191" s="2" t="s">
        <v>10015</v>
      </c>
      <c r="I3191" s="2" t="s">
        <v>10016</v>
      </c>
      <c r="J3191" s="2" t="s">
        <v>817</v>
      </c>
      <c r="K3191" s="2" t="s">
        <v>360</v>
      </c>
      <c r="L3191" s="3">
        <v>31.85</v>
      </c>
      <c r="M3191" s="3">
        <v>33.44</v>
      </c>
      <c r="N3191" s="3">
        <v>64.99</v>
      </c>
      <c r="O3191" s="2" t="s">
        <v>97</v>
      </c>
      <c r="P3191" s="2" t="s">
        <v>119</v>
      </c>
      <c r="Q3191" s="2" t="s">
        <v>99</v>
      </c>
      <c r="R3191" s="2" t="s">
        <v>100</v>
      </c>
      <c r="S3191" s="2" t="s">
        <v>10146</v>
      </c>
      <c r="T3191" s="2" t="s">
        <v>5869</v>
      </c>
      <c r="U3191" s="2" t="s">
        <v>402</v>
      </c>
      <c r="V3191" s="2" t="s">
        <v>146</v>
      </c>
      <c r="W3191" s="2" t="s">
        <v>183</v>
      </c>
      <c r="X3191" s="2" t="s">
        <v>561</v>
      </c>
      <c r="Y3191" s="2" t="s">
        <v>10114</v>
      </c>
      <c r="Z3191" s="4">
        <v>198</v>
      </c>
      <c r="AA3191" s="4">
        <f>=ROUNDDOWN(24.75,0)</f>
      </c>
      <c r="AB3191" s="5">
        <v>8</v>
      </c>
      <c r="AC3191" s="2" t="s">
        <v>100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>
        <v>59</v>
      </c>
      <c r="BK3191" s="8">
        <v>2050.94</v>
      </c>
      <c r="BL3191" s="2" t="s">
        <v>10157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207</v>
      </c>
      <c r="BV3191" s="2" t="s">
        <v>97</v>
      </c>
      <c r="BW3191" s="2" t="s">
        <v>100</v>
      </c>
      <c r="BX3191" s="2" t="s">
        <v>100</v>
      </c>
      <c r="BY3191" s="2" t="s">
        <v>113</v>
      </c>
      <c r="BZ3191" s="2" t="s">
        <v>100</v>
      </c>
    </row>
    <row r="3192">
      <c r="A3192" s="2" t="s">
        <v>10158</v>
      </c>
      <c r="B3192" s="2" t="s">
        <v>9668</v>
      </c>
      <c r="C3192" s="2" t="s">
        <v>4861</v>
      </c>
      <c r="D3192" s="2" t="s">
        <v>9669</v>
      </c>
      <c r="E3192" s="2" t="s">
        <v>9670</v>
      </c>
      <c r="F3192" s="2" t="s">
        <v>10159</v>
      </c>
      <c r="G3192" s="2" t="s">
        <v>10159</v>
      </c>
      <c r="H3192" s="2" t="s">
        <v>10159</v>
      </c>
      <c r="I3192" s="2" t="s">
        <v>10160</v>
      </c>
      <c r="J3192" s="2" t="s">
        <v>1936</v>
      </c>
      <c r="K3192" s="2" t="s">
        <v>1614</v>
      </c>
      <c r="L3192" s="3">
        <v>19.78</v>
      </c>
      <c r="M3192" s="3">
        <v>20.77</v>
      </c>
      <c r="N3192" s="3">
        <v>42.99</v>
      </c>
      <c r="O3192" s="2" t="s">
        <v>97</v>
      </c>
      <c r="P3192" s="2" t="s">
        <v>950</v>
      </c>
      <c r="Q3192" s="2" t="s">
        <v>99</v>
      </c>
      <c r="R3192" s="2" t="s">
        <v>100</v>
      </c>
      <c r="S3192" s="2" t="s">
        <v>10161</v>
      </c>
      <c r="T3192" s="2" t="s">
        <v>4441</v>
      </c>
      <c r="U3192" s="2" t="s">
        <v>480</v>
      </c>
      <c r="V3192" s="2" t="s">
        <v>146</v>
      </c>
      <c r="W3192" s="2" t="s">
        <v>183</v>
      </c>
      <c r="X3192" s="2" t="s">
        <v>100</v>
      </c>
      <c r="Y3192" s="2" t="s">
        <v>240</v>
      </c>
      <c r="Z3192" s="4">
        <v>832</v>
      </c>
      <c r="AA3192" s="4">
        <f>=ROUNDDOWN(29.7142857142857,0)</f>
      </c>
      <c r="AB3192" s="5">
        <v>28</v>
      </c>
      <c r="AC3192" s="2" t="s">
        <v>100</v>
      </c>
      <c r="AD3192" s="4"/>
      <c r="AE3192" s="4"/>
      <c r="AF3192" s="6">
        <v>65</v>
      </c>
      <c r="AG3192" s="6"/>
      <c r="AH3192" s="7">
        <v>0.6471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>
        <v>1</v>
      </c>
      <c r="AQ3192" s="8">
        <v>22.67</v>
      </c>
      <c r="AR3192" s="4"/>
      <c r="AS3192" s="8"/>
      <c r="AT3192" s="7"/>
      <c r="AU3192" s="7"/>
      <c r="AV3192" s="4">
        <v>3</v>
      </c>
      <c r="AW3192" s="8">
        <v>79.35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>
        <v>0.2857</v>
      </c>
      <c r="BC3192" s="4">
        <v>5</v>
      </c>
      <c r="BD3192" s="8">
        <v>136.04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0.5833</v>
      </c>
      <c r="BJ3192" s="4">
        <v>182</v>
      </c>
      <c r="BK3192" s="8">
        <v>4018.79</v>
      </c>
      <c r="BL3192" s="2" t="s">
        <v>10162</v>
      </c>
      <c r="BM3192" s="7">
        <v>0.0055</v>
      </c>
      <c r="BN3192" s="7">
        <v>0.0056</v>
      </c>
      <c r="BO3192" s="4">
        <v>1</v>
      </c>
      <c r="BP3192" s="8">
        <v>22.67</v>
      </c>
      <c r="BQ3192" s="4"/>
      <c r="BR3192" s="8"/>
      <c r="BS3192" s="7"/>
      <c r="BT3192" s="7"/>
      <c r="BU3192" s="2" t="s">
        <v>109</v>
      </c>
      <c r="BV3192" s="2" t="s">
        <v>110</v>
      </c>
      <c r="BW3192" s="2" t="s">
        <v>5872</v>
      </c>
      <c r="BX3192" s="2" t="s">
        <v>999</v>
      </c>
      <c r="BY3192" s="2" t="s">
        <v>113</v>
      </c>
      <c r="BZ3192" s="2" t="s">
        <v>100</v>
      </c>
    </row>
    <row r="3193">
      <c r="A3193" s="2" t="s">
        <v>10163</v>
      </c>
      <c r="B3193" s="2" t="s">
        <v>9668</v>
      </c>
      <c r="C3193" s="2" t="s">
        <v>4861</v>
      </c>
      <c r="D3193" s="2" t="s">
        <v>9669</v>
      </c>
      <c r="E3193" s="2" t="s">
        <v>9670</v>
      </c>
      <c r="F3193" s="2" t="s">
        <v>10159</v>
      </c>
      <c r="G3193" s="2" t="s">
        <v>10159</v>
      </c>
      <c r="H3193" s="2" t="s">
        <v>10159</v>
      </c>
      <c r="I3193" s="2" t="s">
        <v>10160</v>
      </c>
      <c r="J3193" s="2" t="s">
        <v>717</v>
      </c>
      <c r="K3193" s="2" t="s">
        <v>1614</v>
      </c>
      <c r="L3193" s="3">
        <v>25.3</v>
      </c>
      <c r="M3193" s="3">
        <v>26.56</v>
      </c>
      <c r="N3193" s="3">
        <v>54.99</v>
      </c>
      <c r="O3193" s="2" t="s">
        <v>97</v>
      </c>
      <c r="P3193" s="2" t="s">
        <v>950</v>
      </c>
      <c r="Q3193" s="2" t="s">
        <v>99</v>
      </c>
      <c r="R3193" s="2" t="s">
        <v>100</v>
      </c>
      <c r="S3193" s="2" t="s">
        <v>10161</v>
      </c>
      <c r="T3193" s="2" t="s">
        <v>4441</v>
      </c>
      <c r="U3193" s="2" t="s">
        <v>402</v>
      </c>
      <c r="V3193" s="2" t="s">
        <v>146</v>
      </c>
      <c r="W3193" s="2" t="s">
        <v>183</v>
      </c>
      <c r="X3193" s="2" t="s">
        <v>100</v>
      </c>
      <c r="Y3193" s="2" t="s">
        <v>240</v>
      </c>
      <c r="Z3193" s="4">
        <v>454</v>
      </c>
      <c r="AA3193" s="4">
        <f>=ROUNDDOWN(15.6551724137931,0)</f>
      </c>
      <c r="AB3193" s="5">
        <v>29</v>
      </c>
      <c r="AC3193" s="2" t="s">
        <v>356</v>
      </c>
      <c r="AD3193" s="4">
        <v>1530</v>
      </c>
      <c r="AE3193" s="4">
        <v>1530</v>
      </c>
      <c r="AF3193" s="6">
        <v>65</v>
      </c>
      <c r="AG3193" s="6"/>
      <c r="AH3193" s="7">
        <v>0.6471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>
        <v>2</v>
      </c>
      <c r="AQ3193" s="8">
        <v>56.68</v>
      </c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>
        <v>0.7143</v>
      </c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>
        <v>375</v>
      </c>
      <c r="BK3193" s="8">
        <v>10431.26</v>
      </c>
      <c r="BL3193" s="2" t="s">
        <v>10164</v>
      </c>
      <c r="BM3193" s="7">
        <v>0.0053</v>
      </c>
      <c r="BN3193" s="7">
        <v>0.0054</v>
      </c>
      <c r="BO3193" s="4">
        <v>2</v>
      </c>
      <c r="BP3193" s="8">
        <v>56.68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5872</v>
      </c>
      <c r="BX3193" s="2" t="s">
        <v>244</v>
      </c>
      <c r="BY3193" s="2" t="s">
        <v>113</v>
      </c>
      <c r="BZ3193" s="2" t="s">
        <v>100</v>
      </c>
    </row>
    <row r="3194">
      <c r="A3194" s="2" t="s">
        <v>10165</v>
      </c>
      <c r="B3194" s="2" t="s">
        <v>9668</v>
      </c>
      <c r="C3194" s="2" t="s">
        <v>4861</v>
      </c>
      <c r="D3194" s="2" t="s">
        <v>9669</v>
      </c>
      <c r="E3194" s="2" t="s">
        <v>9670</v>
      </c>
      <c r="F3194" s="2" t="s">
        <v>10159</v>
      </c>
      <c r="G3194" s="2" t="s">
        <v>10159</v>
      </c>
      <c r="H3194" s="2" t="s">
        <v>10159</v>
      </c>
      <c r="I3194" s="2" t="s">
        <v>10160</v>
      </c>
      <c r="J3194" s="2" t="s">
        <v>706</v>
      </c>
      <c r="K3194" s="2" t="s">
        <v>1614</v>
      </c>
      <c r="L3194" s="3">
        <v>28.35</v>
      </c>
      <c r="M3194" s="3">
        <v>29.77</v>
      </c>
      <c r="N3194" s="3">
        <v>62.99</v>
      </c>
      <c r="O3194" s="2" t="s">
        <v>97</v>
      </c>
      <c r="P3194" s="2" t="s">
        <v>307</v>
      </c>
      <c r="Q3194" s="2" t="s">
        <v>99</v>
      </c>
      <c r="R3194" s="2" t="s">
        <v>100</v>
      </c>
      <c r="S3194" s="2" t="s">
        <v>10161</v>
      </c>
      <c r="T3194" s="2" t="s">
        <v>4441</v>
      </c>
      <c r="U3194" s="2" t="s">
        <v>402</v>
      </c>
      <c r="V3194" s="2" t="s">
        <v>146</v>
      </c>
      <c r="W3194" s="2" t="s">
        <v>183</v>
      </c>
      <c r="X3194" s="2" t="s">
        <v>100</v>
      </c>
      <c r="Y3194" s="2" t="s">
        <v>240</v>
      </c>
      <c r="Z3194" s="4">
        <v>2093</v>
      </c>
      <c r="AA3194" s="4">
        <f>=ROUNDDOWN(33.2222222222222,0)</f>
      </c>
      <c r="AB3194" s="5">
        <v>63</v>
      </c>
      <c r="AC3194" s="2" t="s">
        <v>100</v>
      </c>
      <c r="AD3194" s="4"/>
      <c r="AE3194" s="4"/>
      <c r="AF3194" s="6">
        <v>65</v>
      </c>
      <c r="AG3194" s="6"/>
      <c r="AH3194" s="7">
        <v>0.6471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>
        <v>398</v>
      </c>
      <c r="BK3194" s="8">
        <v>12368.08</v>
      </c>
      <c r="BL3194" s="2" t="s">
        <v>10166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5872</v>
      </c>
      <c r="BX3194" s="2" t="s">
        <v>4806</v>
      </c>
      <c r="BY3194" s="2" t="s">
        <v>113</v>
      </c>
      <c r="BZ3194" s="2" t="s">
        <v>100</v>
      </c>
    </row>
    <row r="3195">
      <c r="A3195" s="2" t="s">
        <v>10167</v>
      </c>
      <c r="B3195" s="2" t="s">
        <v>9668</v>
      </c>
      <c r="C3195" s="2" t="s">
        <v>4861</v>
      </c>
      <c r="D3195" s="2" t="s">
        <v>9669</v>
      </c>
      <c r="E3195" s="2" t="s">
        <v>9670</v>
      </c>
      <c r="F3195" s="2" t="s">
        <v>10159</v>
      </c>
      <c r="G3195" s="2" t="s">
        <v>10159</v>
      </c>
      <c r="H3195" s="2" t="s">
        <v>10159</v>
      </c>
      <c r="I3195" s="2" t="s">
        <v>10160</v>
      </c>
      <c r="J3195" s="2" t="s">
        <v>1936</v>
      </c>
      <c r="K3195" s="2" t="s">
        <v>198</v>
      </c>
      <c r="L3195" s="3">
        <v>19.78</v>
      </c>
      <c r="M3195" s="3">
        <v>20.77</v>
      </c>
      <c r="N3195" s="3">
        <v>42.99</v>
      </c>
      <c r="O3195" s="2" t="s">
        <v>97</v>
      </c>
      <c r="P3195" s="2" t="s">
        <v>372</v>
      </c>
      <c r="Q3195" s="2" t="s">
        <v>99</v>
      </c>
      <c r="R3195" s="2" t="s">
        <v>100</v>
      </c>
      <c r="S3195" s="2" t="s">
        <v>10168</v>
      </c>
      <c r="T3195" s="2" t="s">
        <v>4441</v>
      </c>
      <c r="U3195" s="2" t="s">
        <v>480</v>
      </c>
      <c r="V3195" s="2" t="s">
        <v>146</v>
      </c>
      <c r="W3195" s="2" t="s">
        <v>183</v>
      </c>
      <c r="X3195" s="2" t="s">
        <v>100</v>
      </c>
      <c r="Y3195" s="2" t="s">
        <v>240</v>
      </c>
      <c r="Z3195" s="4">
        <v>528</v>
      </c>
      <c r="AA3195" s="4">
        <f>=ROUNDDOWN(12.2790697674419,0)</f>
      </c>
      <c r="AB3195" s="5">
        <v>43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>
        <v>1</v>
      </c>
      <c r="AW3195" s="8">
        <v>28.35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0.2084</v>
      </c>
      <c r="BJ3195" s="4">
        <v>823</v>
      </c>
      <c r="BK3195" s="8">
        <v>17850.27</v>
      </c>
      <c r="BL3195" s="2" t="s">
        <v>10169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4675</v>
      </c>
      <c r="BX3195" s="2" t="s">
        <v>106</v>
      </c>
      <c r="BY3195" s="2" t="s">
        <v>113</v>
      </c>
      <c r="BZ3195" s="2" t="s">
        <v>100</v>
      </c>
    </row>
    <row r="3196">
      <c r="A3196" s="2" t="s">
        <v>10170</v>
      </c>
      <c r="B3196" s="2" t="s">
        <v>9668</v>
      </c>
      <c r="C3196" s="2" t="s">
        <v>4861</v>
      </c>
      <c r="D3196" s="2" t="s">
        <v>9669</v>
      </c>
      <c r="E3196" s="2" t="s">
        <v>9670</v>
      </c>
      <c r="F3196" s="2" t="s">
        <v>10159</v>
      </c>
      <c r="G3196" s="2" t="s">
        <v>10159</v>
      </c>
      <c r="H3196" s="2" t="s">
        <v>10159</v>
      </c>
      <c r="I3196" s="2" t="s">
        <v>10160</v>
      </c>
      <c r="J3196" s="2" t="s">
        <v>717</v>
      </c>
      <c r="K3196" s="2" t="s">
        <v>198</v>
      </c>
      <c r="L3196" s="3">
        <v>25.3</v>
      </c>
      <c r="M3196" s="3">
        <v>26.56</v>
      </c>
      <c r="N3196" s="3">
        <v>54.99</v>
      </c>
      <c r="O3196" s="2" t="s">
        <v>97</v>
      </c>
      <c r="P3196" s="2" t="s">
        <v>372</v>
      </c>
      <c r="Q3196" s="2" t="s">
        <v>99</v>
      </c>
      <c r="R3196" s="2" t="s">
        <v>100</v>
      </c>
      <c r="S3196" s="2" t="s">
        <v>10168</v>
      </c>
      <c r="T3196" s="2" t="s">
        <v>4441</v>
      </c>
      <c r="U3196" s="2" t="s">
        <v>402</v>
      </c>
      <c r="V3196" s="2" t="s">
        <v>146</v>
      </c>
      <c r="W3196" s="2" t="s">
        <v>183</v>
      </c>
      <c r="X3196" s="2" t="s">
        <v>100</v>
      </c>
      <c r="Y3196" s="2" t="s">
        <v>240</v>
      </c>
      <c r="Z3196" s="4">
        <v>438</v>
      </c>
      <c r="AA3196" s="4">
        <f>=ROUNDDOWN(9.52173913043478,0)</f>
      </c>
      <c r="AB3196" s="5">
        <v>46</v>
      </c>
      <c r="AC3196" s="2" t="s">
        <v>100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>
        <v>960</v>
      </c>
      <c r="BK3196" s="8">
        <v>26701.22</v>
      </c>
      <c r="BL3196" s="2" t="s">
        <v>2675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4675</v>
      </c>
      <c r="BX3196" s="2" t="s">
        <v>10171</v>
      </c>
      <c r="BY3196" s="2" t="s">
        <v>113</v>
      </c>
      <c r="BZ3196" s="2" t="s">
        <v>100</v>
      </c>
    </row>
    <row r="3197">
      <c r="A3197" s="2" t="s">
        <v>10172</v>
      </c>
      <c r="B3197" s="2" t="s">
        <v>9668</v>
      </c>
      <c r="C3197" s="2" t="s">
        <v>4861</v>
      </c>
      <c r="D3197" s="2" t="s">
        <v>9669</v>
      </c>
      <c r="E3197" s="2" t="s">
        <v>9670</v>
      </c>
      <c r="F3197" s="2" t="s">
        <v>10159</v>
      </c>
      <c r="G3197" s="2" t="s">
        <v>10159</v>
      </c>
      <c r="H3197" s="2" t="s">
        <v>10159</v>
      </c>
      <c r="I3197" s="2" t="s">
        <v>10160</v>
      </c>
      <c r="J3197" s="2" t="s">
        <v>706</v>
      </c>
      <c r="K3197" s="2" t="s">
        <v>198</v>
      </c>
      <c r="L3197" s="3">
        <v>28.35</v>
      </c>
      <c r="M3197" s="3">
        <v>29.77</v>
      </c>
      <c r="N3197" s="3">
        <v>62.99</v>
      </c>
      <c r="O3197" s="2" t="s">
        <v>97</v>
      </c>
      <c r="P3197" s="2" t="s">
        <v>307</v>
      </c>
      <c r="Q3197" s="2" t="s">
        <v>99</v>
      </c>
      <c r="R3197" s="2" t="s">
        <v>100</v>
      </c>
      <c r="S3197" s="2" t="s">
        <v>10168</v>
      </c>
      <c r="T3197" s="2" t="s">
        <v>4441</v>
      </c>
      <c r="U3197" s="2" t="s">
        <v>402</v>
      </c>
      <c r="V3197" s="2" t="s">
        <v>146</v>
      </c>
      <c r="W3197" s="2" t="s">
        <v>183</v>
      </c>
      <c r="X3197" s="2" t="s">
        <v>100</v>
      </c>
      <c r="Y3197" s="2" t="s">
        <v>240</v>
      </c>
      <c r="Z3197" s="4">
        <v>3220</v>
      </c>
      <c r="AA3197" s="4">
        <f>=ROUNDDOWN(23.6764705882353,0)</f>
      </c>
      <c r="AB3197" s="5">
        <v>136</v>
      </c>
      <c r="AC3197" s="2" t="s">
        <v>1035</v>
      </c>
      <c r="AD3197" s="4">
        <v>250</v>
      </c>
      <c r="AE3197" s="4">
        <v>490</v>
      </c>
      <c r="AF3197" s="6">
        <v>65</v>
      </c>
      <c r="AG3197" s="6"/>
      <c r="AH3197" s="7">
        <v>0.7594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>
        <v>1</v>
      </c>
      <c r="AQ3197" s="8">
        <v>28.35</v>
      </c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>
        <v>1</v>
      </c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>
        <v>1740</v>
      </c>
      <c r="BK3197" s="8">
        <v>55699.91</v>
      </c>
      <c r="BL3197" s="2" t="s">
        <v>9821</v>
      </c>
      <c r="BM3197" s="7">
        <v>0.0006</v>
      </c>
      <c r="BN3197" s="7">
        <v>0.0005</v>
      </c>
      <c r="BO3197" s="4">
        <v>1</v>
      </c>
      <c r="BP3197" s="8">
        <v>28.35</v>
      </c>
      <c r="BQ3197" s="4"/>
      <c r="BR3197" s="8"/>
      <c r="BS3197" s="7"/>
      <c r="BT3197" s="7"/>
      <c r="BU3197" s="2" t="s">
        <v>109</v>
      </c>
      <c r="BV3197" s="2" t="s">
        <v>110</v>
      </c>
      <c r="BW3197" s="2" t="s">
        <v>4675</v>
      </c>
      <c r="BX3197" s="2" t="s">
        <v>10173</v>
      </c>
      <c r="BY3197" s="2" t="s">
        <v>113</v>
      </c>
      <c r="BZ3197" s="2" t="s">
        <v>100</v>
      </c>
    </row>
    <row r="3198">
      <c r="A3198" s="2" t="s">
        <v>10174</v>
      </c>
      <c r="B3198" s="2" t="s">
        <v>9668</v>
      </c>
      <c r="C3198" s="2" t="s">
        <v>4861</v>
      </c>
      <c r="D3198" s="2" t="s">
        <v>9669</v>
      </c>
      <c r="E3198" s="2" t="s">
        <v>9670</v>
      </c>
      <c r="F3198" s="2" t="s">
        <v>10159</v>
      </c>
      <c r="G3198" s="2" t="s">
        <v>10159</v>
      </c>
      <c r="H3198" s="2" t="s">
        <v>10159</v>
      </c>
      <c r="I3198" s="2" t="s">
        <v>10160</v>
      </c>
      <c r="J3198" s="2" t="s">
        <v>714</v>
      </c>
      <c r="K3198" s="2" t="s">
        <v>198</v>
      </c>
      <c r="L3198" s="3">
        <v>34.5</v>
      </c>
      <c r="M3198" s="3">
        <v>36.22</v>
      </c>
      <c r="N3198" s="3">
        <v>74.99</v>
      </c>
      <c r="O3198" s="2" t="s">
        <v>97</v>
      </c>
      <c r="P3198" s="2" t="s">
        <v>307</v>
      </c>
      <c r="Q3198" s="2" t="s">
        <v>99</v>
      </c>
      <c r="R3198" s="2" t="s">
        <v>100</v>
      </c>
      <c r="S3198" s="2" t="s">
        <v>10168</v>
      </c>
      <c r="T3198" s="2" t="s">
        <v>4441</v>
      </c>
      <c r="U3198" s="2" t="s">
        <v>402</v>
      </c>
      <c r="V3198" s="2" t="s">
        <v>146</v>
      </c>
      <c r="W3198" s="2" t="s">
        <v>183</v>
      </c>
      <c r="X3198" s="2" t="s">
        <v>100</v>
      </c>
      <c r="Y3198" s="2" t="s">
        <v>240</v>
      </c>
      <c r="Z3198" s="4">
        <v>1482</v>
      </c>
      <c r="AA3198" s="4">
        <f>=ROUNDDOWN(17.6428571428571,0)</f>
      </c>
      <c r="AB3198" s="5">
        <v>84</v>
      </c>
      <c r="AC3198" s="2" t="s">
        <v>1035</v>
      </c>
      <c r="AD3198" s="4">
        <v>110</v>
      </c>
      <c r="AE3198" s="4">
        <v>210</v>
      </c>
      <c r="AF3198" s="6">
        <v>65</v>
      </c>
      <c r="AG3198" s="6"/>
      <c r="AH3198" s="7">
        <v>0.631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 t="s">
        <v>100</v>
      </c>
      <c r="BJ3198" s="4">
        <v>843</v>
      </c>
      <c r="BK3198" s="8">
        <v>31514.74</v>
      </c>
      <c r="BL3198" s="2" t="s">
        <v>10175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4675</v>
      </c>
      <c r="BX3198" s="2" t="s">
        <v>10176</v>
      </c>
      <c r="BY3198" s="2" t="s">
        <v>113</v>
      </c>
      <c r="BZ3198" s="2" t="s">
        <v>100</v>
      </c>
    </row>
    <row r="3199">
      <c r="A3199" s="2" t="s">
        <v>10177</v>
      </c>
      <c r="B3199" s="2" t="s">
        <v>9668</v>
      </c>
      <c r="C3199" s="2" t="s">
        <v>4861</v>
      </c>
      <c r="D3199" s="2" t="s">
        <v>9669</v>
      </c>
      <c r="E3199" s="2" t="s">
        <v>9670</v>
      </c>
      <c r="F3199" s="2" t="s">
        <v>10159</v>
      </c>
      <c r="G3199" s="2" t="s">
        <v>10159</v>
      </c>
      <c r="H3199" s="2" t="s">
        <v>10159</v>
      </c>
      <c r="I3199" s="2" t="s">
        <v>10160</v>
      </c>
      <c r="J3199" s="2" t="s">
        <v>1936</v>
      </c>
      <c r="K3199" s="2" t="s">
        <v>96</v>
      </c>
      <c r="L3199" s="3">
        <v>19.78</v>
      </c>
      <c r="M3199" s="3">
        <v>20.77</v>
      </c>
      <c r="N3199" s="3">
        <v>42.99</v>
      </c>
      <c r="O3199" s="2" t="s">
        <v>97</v>
      </c>
      <c r="P3199" s="2" t="s">
        <v>119</v>
      </c>
      <c r="Q3199" s="2" t="s">
        <v>99</v>
      </c>
      <c r="R3199" s="2" t="s">
        <v>100</v>
      </c>
      <c r="S3199" s="2" t="s">
        <v>10178</v>
      </c>
      <c r="T3199" s="2" t="s">
        <v>4441</v>
      </c>
      <c r="U3199" s="2" t="s">
        <v>480</v>
      </c>
      <c r="V3199" s="2" t="s">
        <v>146</v>
      </c>
      <c r="W3199" s="2" t="s">
        <v>183</v>
      </c>
      <c r="X3199" s="2" t="s">
        <v>100</v>
      </c>
      <c r="Y3199" s="2" t="s">
        <v>240</v>
      </c>
      <c r="Z3199" s="4">
        <v>353</v>
      </c>
      <c r="AA3199" s="4">
        <f>=ROUNDDOWN(19.6111111111111,0)</f>
      </c>
      <c r="AB3199" s="5">
        <v>18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>
        <v>1</v>
      </c>
      <c r="AW3199" s="8">
        <v>28.34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0.2083</v>
      </c>
      <c r="BJ3199" s="4">
        <v>199</v>
      </c>
      <c r="BK3199" s="8">
        <v>4824.46</v>
      </c>
      <c r="BL3199" s="2" t="s">
        <v>10179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243</v>
      </c>
      <c r="BX3199" s="2" t="s">
        <v>5879</v>
      </c>
      <c r="BY3199" s="2" t="s">
        <v>113</v>
      </c>
      <c r="BZ3199" s="2" t="s">
        <v>100</v>
      </c>
    </row>
    <row r="3200">
      <c r="A3200" s="2" t="s">
        <v>10180</v>
      </c>
      <c r="B3200" s="2" t="s">
        <v>9668</v>
      </c>
      <c r="C3200" s="2" t="s">
        <v>4861</v>
      </c>
      <c r="D3200" s="2" t="s">
        <v>9669</v>
      </c>
      <c r="E3200" s="2" t="s">
        <v>9670</v>
      </c>
      <c r="F3200" s="2" t="s">
        <v>10159</v>
      </c>
      <c r="G3200" s="2" t="s">
        <v>10159</v>
      </c>
      <c r="H3200" s="2" t="s">
        <v>10159</v>
      </c>
      <c r="I3200" s="2" t="s">
        <v>10160</v>
      </c>
      <c r="J3200" s="2" t="s">
        <v>717</v>
      </c>
      <c r="K3200" s="2" t="s">
        <v>96</v>
      </c>
      <c r="L3200" s="3">
        <v>25.3</v>
      </c>
      <c r="M3200" s="3">
        <v>26.56</v>
      </c>
      <c r="N3200" s="3">
        <v>54.99</v>
      </c>
      <c r="O3200" s="2" t="s">
        <v>97</v>
      </c>
      <c r="P3200" s="2" t="s">
        <v>119</v>
      </c>
      <c r="Q3200" s="2" t="s">
        <v>99</v>
      </c>
      <c r="R3200" s="2" t="s">
        <v>100</v>
      </c>
      <c r="S3200" s="2" t="s">
        <v>10178</v>
      </c>
      <c r="T3200" s="2" t="s">
        <v>4441</v>
      </c>
      <c r="U3200" s="2" t="s">
        <v>402</v>
      </c>
      <c r="V3200" s="2" t="s">
        <v>146</v>
      </c>
      <c r="W3200" s="2" t="s">
        <v>183</v>
      </c>
      <c r="X3200" s="2" t="s">
        <v>100</v>
      </c>
      <c r="Y3200" s="2" t="s">
        <v>240</v>
      </c>
      <c r="Z3200" s="4">
        <v>186</v>
      </c>
      <c r="AA3200" s="4">
        <f>=ROUNDDOWN(14.3076923076923,0)</f>
      </c>
      <c r="AB3200" s="5">
        <v>13</v>
      </c>
      <c r="AC3200" s="2" t="s">
        <v>356</v>
      </c>
      <c r="AD3200" s="4">
        <v>680</v>
      </c>
      <c r="AE3200" s="4">
        <v>680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>
        <v>1</v>
      </c>
      <c r="AQ3200" s="8">
        <v>28.34</v>
      </c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>
        <v>1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159</v>
      </c>
      <c r="BK3200" s="8">
        <v>4821.91</v>
      </c>
      <c r="BL3200" s="2" t="s">
        <v>10181</v>
      </c>
      <c r="BM3200" s="7">
        <v>0.0063</v>
      </c>
      <c r="BN3200" s="7">
        <v>0.0059</v>
      </c>
      <c r="BO3200" s="4">
        <v>1</v>
      </c>
      <c r="BP3200" s="8">
        <v>28.34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243</v>
      </c>
      <c r="BX3200" s="2" t="s">
        <v>10182</v>
      </c>
      <c r="BY3200" s="2" t="s">
        <v>113</v>
      </c>
      <c r="BZ3200" s="2" t="s">
        <v>100</v>
      </c>
    </row>
    <row r="3201">
      <c r="A3201" s="2" t="s">
        <v>10183</v>
      </c>
      <c r="B3201" s="2" t="s">
        <v>9668</v>
      </c>
      <c r="C3201" s="2" t="s">
        <v>4861</v>
      </c>
      <c r="D3201" s="2" t="s">
        <v>9669</v>
      </c>
      <c r="E3201" s="2" t="s">
        <v>9670</v>
      </c>
      <c r="F3201" s="2" t="s">
        <v>10159</v>
      </c>
      <c r="G3201" s="2" t="s">
        <v>10159</v>
      </c>
      <c r="H3201" s="2" t="s">
        <v>10159</v>
      </c>
      <c r="I3201" s="2" t="s">
        <v>10160</v>
      </c>
      <c r="J3201" s="2" t="s">
        <v>706</v>
      </c>
      <c r="K3201" s="2" t="s">
        <v>96</v>
      </c>
      <c r="L3201" s="3">
        <v>28.35</v>
      </c>
      <c r="M3201" s="3">
        <v>29.77</v>
      </c>
      <c r="N3201" s="3">
        <v>62.99</v>
      </c>
      <c r="O3201" s="2" t="s">
        <v>97</v>
      </c>
      <c r="P3201" s="2" t="s">
        <v>119</v>
      </c>
      <c r="Q3201" s="2" t="s">
        <v>99</v>
      </c>
      <c r="R3201" s="2" t="s">
        <v>100</v>
      </c>
      <c r="S3201" s="2" t="s">
        <v>10178</v>
      </c>
      <c r="T3201" s="2" t="s">
        <v>4441</v>
      </c>
      <c r="U3201" s="2" t="s">
        <v>402</v>
      </c>
      <c r="V3201" s="2" t="s">
        <v>146</v>
      </c>
      <c r="W3201" s="2" t="s">
        <v>183</v>
      </c>
      <c r="X3201" s="2" t="s">
        <v>100</v>
      </c>
      <c r="Y3201" s="2" t="s">
        <v>240</v>
      </c>
      <c r="Z3201" s="4">
        <v>1055</v>
      </c>
      <c r="AA3201" s="4">
        <f>=ROUNDDOWN(31.969696969697,0)</f>
      </c>
      <c r="AB3201" s="5">
        <v>33</v>
      </c>
      <c r="AC3201" s="2" t="s">
        <v>356</v>
      </c>
      <c r="AD3201" s="4">
        <v>2550</v>
      </c>
      <c r="AE3201" s="4">
        <v>2550</v>
      </c>
      <c r="AF3201" s="6">
        <v>65</v>
      </c>
      <c r="AG3201" s="6"/>
      <c r="AH3201" s="7">
        <v>0.9412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 t="s">
        <v>100</v>
      </c>
      <c r="BJ3201" s="4">
        <v>268</v>
      </c>
      <c r="BK3201" s="8">
        <v>8591.9</v>
      </c>
      <c r="BL3201" s="2" t="s">
        <v>10184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243</v>
      </c>
      <c r="BX3201" s="2" t="s">
        <v>4806</v>
      </c>
      <c r="BY3201" s="2" t="s">
        <v>113</v>
      </c>
      <c r="BZ3201" s="2" t="s">
        <v>100</v>
      </c>
    </row>
    <row r="3202">
      <c r="A3202" s="2" t="s">
        <v>10185</v>
      </c>
      <c r="B3202" s="2" t="s">
        <v>9668</v>
      </c>
      <c r="C3202" s="2" t="s">
        <v>4861</v>
      </c>
      <c r="D3202" s="2" t="s">
        <v>9669</v>
      </c>
      <c r="E3202" s="2" t="s">
        <v>9670</v>
      </c>
      <c r="F3202" s="2" t="s">
        <v>10159</v>
      </c>
      <c r="G3202" s="2" t="s">
        <v>10159</v>
      </c>
      <c r="H3202" s="2" t="s">
        <v>10159</v>
      </c>
      <c r="I3202" s="2" t="s">
        <v>10160</v>
      </c>
      <c r="J3202" s="2" t="s">
        <v>714</v>
      </c>
      <c r="K3202" s="2" t="s">
        <v>96</v>
      </c>
      <c r="L3202" s="3">
        <v>34.5</v>
      </c>
      <c r="M3202" s="3">
        <v>36.22</v>
      </c>
      <c r="N3202" s="3">
        <v>74.99</v>
      </c>
      <c r="O3202" s="2" t="s">
        <v>97</v>
      </c>
      <c r="P3202" s="2" t="s">
        <v>119</v>
      </c>
      <c r="Q3202" s="2" t="s">
        <v>99</v>
      </c>
      <c r="R3202" s="2" t="s">
        <v>100</v>
      </c>
      <c r="S3202" s="2" t="s">
        <v>10178</v>
      </c>
      <c r="T3202" s="2" t="s">
        <v>4441</v>
      </c>
      <c r="U3202" s="2" t="s">
        <v>402</v>
      </c>
      <c r="V3202" s="2" t="s">
        <v>146</v>
      </c>
      <c r="W3202" s="2" t="s">
        <v>183</v>
      </c>
      <c r="X3202" s="2" t="s">
        <v>100</v>
      </c>
      <c r="Y3202" s="2" t="s">
        <v>240</v>
      </c>
      <c r="Z3202" s="4">
        <v>623</v>
      </c>
      <c r="AA3202" s="4">
        <f>=ROUNDDOWN(17.8,0)</f>
      </c>
      <c r="AB3202" s="5">
        <v>35</v>
      </c>
      <c r="AC3202" s="2" t="s">
        <v>356</v>
      </c>
      <c r="AD3202" s="4">
        <v>1700</v>
      </c>
      <c r="AE3202" s="4">
        <v>1700</v>
      </c>
      <c r="AF3202" s="6">
        <v>65</v>
      </c>
      <c r="AG3202" s="6"/>
      <c r="AH3202" s="7">
        <v>0.6257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>
        <v>325</v>
      </c>
      <c r="BK3202" s="8">
        <v>12119.4</v>
      </c>
      <c r="BL3202" s="2" t="s">
        <v>10186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243</v>
      </c>
      <c r="BX3202" s="2" t="s">
        <v>10187</v>
      </c>
      <c r="BY3202" s="2" t="s">
        <v>113</v>
      </c>
      <c r="BZ3202" s="2" t="s">
        <v>100</v>
      </c>
    </row>
    <row r="3203">
      <c r="A3203" s="2" t="s">
        <v>10188</v>
      </c>
      <c r="B3203" s="2" t="s">
        <v>9668</v>
      </c>
      <c r="C3203" s="2" t="s">
        <v>4861</v>
      </c>
      <c r="D3203" s="2" t="s">
        <v>9669</v>
      </c>
      <c r="E3203" s="2" t="s">
        <v>9670</v>
      </c>
      <c r="F3203" s="2" t="s">
        <v>10159</v>
      </c>
      <c r="G3203" s="2" t="s">
        <v>10159</v>
      </c>
      <c r="H3203" s="2" t="s">
        <v>10159</v>
      </c>
      <c r="I3203" s="2" t="s">
        <v>10160</v>
      </c>
      <c r="J3203" s="2" t="s">
        <v>1936</v>
      </c>
      <c r="K3203" s="2" t="s">
        <v>118</v>
      </c>
      <c r="L3203" s="3">
        <v>19.78</v>
      </c>
      <c r="M3203" s="3">
        <v>20.77</v>
      </c>
      <c r="N3203" s="3">
        <v>42.99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10189</v>
      </c>
      <c r="T3203" s="2" t="s">
        <v>4441</v>
      </c>
      <c r="U3203" s="2" t="s">
        <v>480</v>
      </c>
      <c r="V3203" s="2" t="s">
        <v>146</v>
      </c>
      <c r="W3203" s="2" t="s">
        <v>183</v>
      </c>
      <c r="X3203" s="2" t="s">
        <v>100</v>
      </c>
      <c r="Y3203" s="2" t="s">
        <v>240</v>
      </c>
      <c r="Z3203" s="4">
        <v>753</v>
      </c>
      <c r="AA3203" s="4">
        <f>=ROUNDDOWN(16.7333333333333,0)</f>
      </c>
      <c r="AB3203" s="5">
        <v>45</v>
      </c>
      <c r="AC3203" s="2" t="s">
        <v>356</v>
      </c>
      <c r="AD3203" s="4">
        <v>986</v>
      </c>
      <c r="AE3203" s="4">
        <v>986</v>
      </c>
      <c r="AF3203" s="6">
        <v>65</v>
      </c>
      <c r="AG3203" s="6"/>
      <c r="AH3203" s="7">
        <v>0.6524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>
        <v>451</v>
      </c>
      <c r="BK3203" s="8">
        <v>9776.86</v>
      </c>
      <c r="BL3203" s="2" t="s">
        <v>10190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5872</v>
      </c>
      <c r="BX3203" s="2" t="s">
        <v>4774</v>
      </c>
      <c r="BY3203" s="2" t="s">
        <v>113</v>
      </c>
      <c r="BZ3203" s="2" t="s">
        <v>100</v>
      </c>
    </row>
    <row r="3204">
      <c r="A3204" s="2" t="s">
        <v>10191</v>
      </c>
      <c r="B3204" s="2" t="s">
        <v>9668</v>
      </c>
      <c r="C3204" s="2" t="s">
        <v>4861</v>
      </c>
      <c r="D3204" s="2" t="s">
        <v>9669</v>
      </c>
      <c r="E3204" s="2" t="s">
        <v>9670</v>
      </c>
      <c r="F3204" s="2" t="s">
        <v>10159</v>
      </c>
      <c r="G3204" s="2" t="s">
        <v>10159</v>
      </c>
      <c r="H3204" s="2" t="s">
        <v>10159</v>
      </c>
      <c r="I3204" s="2" t="s">
        <v>10160</v>
      </c>
      <c r="J3204" s="2" t="s">
        <v>717</v>
      </c>
      <c r="K3204" s="2" t="s">
        <v>118</v>
      </c>
      <c r="L3204" s="3">
        <v>25.3</v>
      </c>
      <c r="M3204" s="3">
        <v>26.56</v>
      </c>
      <c r="N3204" s="3">
        <v>54.99</v>
      </c>
      <c r="O3204" s="2" t="s">
        <v>97</v>
      </c>
      <c r="P3204" s="2" t="s">
        <v>950</v>
      </c>
      <c r="Q3204" s="2" t="s">
        <v>99</v>
      </c>
      <c r="R3204" s="2" t="s">
        <v>100</v>
      </c>
      <c r="S3204" s="2" t="s">
        <v>10189</v>
      </c>
      <c r="T3204" s="2" t="s">
        <v>4441</v>
      </c>
      <c r="U3204" s="2" t="s">
        <v>402</v>
      </c>
      <c r="V3204" s="2" t="s">
        <v>146</v>
      </c>
      <c r="W3204" s="2" t="s">
        <v>183</v>
      </c>
      <c r="X3204" s="2" t="s">
        <v>100</v>
      </c>
      <c r="Y3204" s="2" t="s">
        <v>240</v>
      </c>
      <c r="Z3204" s="4">
        <v>598</v>
      </c>
      <c r="AA3204" s="4">
        <f>=ROUNDDOWN(27.1818181818182,0)</f>
      </c>
      <c r="AB3204" s="5">
        <v>22</v>
      </c>
      <c r="AC3204" s="2" t="s">
        <v>356</v>
      </c>
      <c r="AD3204" s="4">
        <v>1360</v>
      </c>
      <c r="AE3204" s="4">
        <v>1360</v>
      </c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 t="s">
        <v>100</v>
      </c>
      <c r="BJ3204" s="4">
        <v>212</v>
      </c>
      <c r="BK3204" s="8">
        <v>5897.65</v>
      </c>
      <c r="BL3204" s="2" t="s">
        <v>7310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5872</v>
      </c>
      <c r="BX3204" s="2" t="s">
        <v>7425</v>
      </c>
      <c r="BY3204" s="2" t="s">
        <v>113</v>
      </c>
      <c r="BZ3204" s="2" t="s">
        <v>100</v>
      </c>
    </row>
    <row r="3205">
      <c r="A3205" s="2" t="s">
        <v>10192</v>
      </c>
      <c r="B3205" s="2" t="s">
        <v>9668</v>
      </c>
      <c r="C3205" s="2" t="s">
        <v>4861</v>
      </c>
      <c r="D3205" s="2" t="s">
        <v>9669</v>
      </c>
      <c r="E3205" s="2" t="s">
        <v>9670</v>
      </c>
      <c r="F3205" s="2" t="s">
        <v>10159</v>
      </c>
      <c r="G3205" s="2" t="s">
        <v>10159</v>
      </c>
      <c r="H3205" s="2" t="s">
        <v>10159</v>
      </c>
      <c r="I3205" s="2" t="s">
        <v>10160</v>
      </c>
      <c r="J3205" s="2" t="s">
        <v>706</v>
      </c>
      <c r="K3205" s="2" t="s">
        <v>118</v>
      </c>
      <c r="L3205" s="3">
        <v>28.35</v>
      </c>
      <c r="M3205" s="3">
        <v>29.77</v>
      </c>
      <c r="N3205" s="3">
        <v>62.99</v>
      </c>
      <c r="O3205" s="2" t="s">
        <v>97</v>
      </c>
      <c r="P3205" s="2" t="s">
        <v>307</v>
      </c>
      <c r="Q3205" s="2" t="s">
        <v>99</v>
      </c>
      <c r="R3205" s="2" t="s">
        <v>100</v>
      </c>
      <c r="S3205" s="2" t="s">
        <v>10189</v>
      </c>
      <c r="T3205" s="2" t="s">
        <v>4441</v>
      </c>
      <c r="U3205" s="2" t="s">
        <v>402</v>
      </c>
      <c r="V3205" s="2" t="s">
        <v>146</v>
      </c>
      <c r="W3205" s="2" t="s">
        <v>183</v>
      </c>
      <c r="X3205" s="2" t="s">
        <v>100</v>
      </c>
      <c r="Y3205" s="2" t="s">
        <v>240</v>
      </c>
      <c r="Z3205" s="4">
        <v>1713</v>
      </c>
      <c r="AA3205" s="4">
        <f>=ROUNDDOWN(31.1454545454545,0)</f>
      </c>
      <c r="AB3205" s="5">
        <v>55</v>
      </c>
      <c r="AC3205" s="2" t="s">
        <v>100</v>
      </c>
      <c r="AD3205" s="4"/>
      <c r="AE3205" s="4"/>
      <c r="AF3205" s="6">
        <v>65</v>
      </c>
      <c r="AG3205" s="6"/>
      <c r="AH3205" s="7">
        <v>0.631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>
        <v>444</v>
      </c>
      <c r="BK3205" s="8">
        <v>13862.84</v>
      </c>
      <c r="BL3205" s="2" t="s">
        <v>10193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5872</v>
      </c>
      <c r="BX3205" s="2" t="s">
        <v>312</v>
      </c>
      <c r="BY3205" s="2" t="s">
        <v>113</v>
      </c>
      <c r="BZ3205" s="2" t="s">
        <v>100</v>
      </c>
    </row>
    <row r="3206">
      <c r="A3206" s="2" t="s">
        <v>10194</v>
      </c>
      <c r="B3206" s="2" t="s">
        <v>9668</v>
      </c>
      <c r="C3206" s="2" t="s">
        <v>4861</v>
      </c>
      <c r="D3206" s="2" t="s">
        <v>9669</v>
      </c>
      <c r="E3206" s="2" t="s">
        <v>9670</v>
      </c>
      <c r="F3206" s="2" t="s">
        <v>10159</v>
      </c>
      <c r="G3206" s="2" t="s">
        <v>10159</v>
      </c>
      <c r="H3206" s="2" t="s">
        <v>10159</v>
      </c>
      <c r="I3206" s="2" t="s">
        <v>10160</v>
      </c>
      <c r="J3206" s="2" t="s">
        <v>714</v>
      </c>
      <c r="K3206" s="2" t="s">
        <v>118</v>
      </c>
      <c r="L3206" s="3">
        <v>34.5</v>
      </c>
      <c r="M3206" s="3">
        <v>36.22</v>
      </c>
      <c r="N3206" s="3">
        <v>74.99</v>
      </c>
      <c r="O3206" s="2" t="s">
        <v>97</v>
      </c>
      <c r="P3206" s="2" t="s">
        <v>372</v>
      </c>
      <c r="Q3206" s="2" t="s">
        <v>99</v>
      </c>
      <c r="R3206" s="2" t="s">
        <v>100</v>
      </c>
      <c r="S3206" s="2" t="s">
        <v>10189</v>
      </c>
      <c r="T3206" s="2" t="s">
        <v>4441</v>
      </c>
      <c r="U3206" s="2" t="s">
        <v>402</v>
      </c>
      <c r="V3206" s="2" t="s">
        <v>146</v>
      </c>
      <c r="W3206" s="2" t="s">
        <v>183</v>
      </c>
      <c r="X3206" s="2" t="s">
        <v>100</v>
      </c>
      <c r="Y3206" s="2" t="s">
        <v>240</v>
      </c>
      <c r="Z3206" s="4">
        <v>713</v>
      </c>
      <c r="AA3206" s="4">
        <f>=ROUNDDOWN(21.6060606060606,0)</f>
      </c>
      <c r="AB3206" s="5">
        <v>33</v>
      </c>
      <c r="AC3206" s="2" t="s">
        <v>100</v>
      </c>
      <c r="AD3206" s="4"/>
      <c r="AE3206" s="4"/>
      <c r="AF3206" s="6">
        <v>65</v>
      </c>
      <c r="AG3206" s="6"/>
      <c r="AH3206" s="7">
        <v>0.631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436</v>
      </c>
      <c r="BK3206" s="8">
        <v>16917.63</v>
      </c>
      <c r="BL3206" s="2" t="s">
        <v>10195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5872</v>
      </c>
      <c r="BX3206" s="2" t="s">
        <v>7428</v>
      </c>
      <c r="BY3206" s="2" t="s">
        <v>113</v>
      </c>
      <c r="BZ3206" s="2" t="s">
        <v>100</v>
      </c>
    </row>
    <row r="3207">
      <c r="A3207" s="2" t="s">
        <v>10196</v>
      </c>
      <c r="B3207" s="2" t="s">
        <v>9668</v>
      </c>
      <c r="C3207" s="2" t="s">
        <v>4861</v>
      </c>
      <c r="D3207" s="2" t="s">
        <v>9669</v>
      </c>
      <c r="E3207" s="2" t="s">
        <v>9670</v>
      </c>
      <c r="F3207" s="2" t="s">
        <v>10159</v>
      </c>
      <c r="G3207" s="2" t="s">
        <v>10159</v>
      </c>
      <c r="H3207" s="2" t="s">
        <v>10159</v>
      </c>
      <c r="I3207" s="2" t="s">
        <v>10160</v>
      </c>
      <c r="J3207" s="2" t="s">
        <v>1936</v>
      </c>
      <c r="K3207" s="2" t="s">
        <v>913</v>
      </c>
      <c r="L3207" s="3">
        <v>19.78</v>
      </c>
      <c r="M3207" s="3">
        <v>20.77</v>
      </c>
      <c r="N3207" s="3">
        <v>42.99</v>
      </c>
      <c r="O3207" s="2" t="s">
        <v>97</v>
      </c>
      <c r="P3207" s="2" t="s">
        <v>119</v>
      </c>
      <c r="Q3207" s="2" t="s">
        <v>99</v>
      </c>
      <c r="R3207" s="2" t="s">
        <v>100</v>
      </c>
      <c r="S3207" s="2" t="s">
        <v>10197</v>
      </c>
      <c r="T3207" s="2" t="s">
        <v>4441</v>
      </c>
      <c r="U3207" s="2" t="s">
        <v>480</v>
      </c>
      <c r="V3207" s="2" t="s">
        <v>146</v>
      </c>
      <c r="W3207" s="2" t="s">
        <v>183</v>
      </c>
      <c r="X3207" s="2" t="s">
        <v>100</v>
      </c>
      <c r="Y3207" s="2" t="s">
        <v>240</v>
      </c>
      <c r="Z3207" s="4">
        <v>228</v>
      </c>
      <c r="AA3207" s="4">
        <f>=ROUNDDOWN(17.5384615384615,0)</f>
      </c>
      <c r="AB3207" s="5">
        <v>13</v>
      </c>
      <c r="AC3207" s="2" t="s">
        <v>356</v>
      </c>
      <c r="AD3207" s="4">
        <v>17</v>
      </c>
      <c r="AE3207" s="4">
        <v>17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 t="s">
        <v>100</v>
      </c>
      <c r="BJ3207" s="4">
        <v>171</v>
      </c>
      <c r="BK3207" s="8">
        <v>3701.24</v>
      </c>
      <c r="BL3207" s="2" t="s">
        <v>10198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243</v>
      </c>
      <c r="BX3207" s="2" t="s">
        <v>926</v>
      </c>
      <c r="BY3207" s="2" t="s">
        <v>113</v>
      </c>
      <c r="BZ3207" s="2" t="s">
        <v>100</v>
      </c>
    </row>
    <row r="3208">
      <c r="A3208" s="2" t="s">
        <v>10199</v>
      </c>
      <c r="B3208" s="2" t="s">
        <v>9668</v>
      </c>
      <c r="C3208" s="2" t="s">
        <v>4861</v>
      </c>
      <c r="D3208" s="2" t="s">
        <v>9669</v>
      </c>
      <c r="E3208" s="2" t="s">
        <v>9670</v>
      </c>
      <c r="F3208" s="2" t="s">
        <v>10159</v>
      </c>
      <c r="G3208" s="2" t="s">
        <v>10159</v>
      </c>
      <c r="H3208" s="2" t="s">
        <v>10159</v>
      </c>
      <c r="I3208" s="2" t="s">
        <v>10160</v>
      </c>
      <c r="J3208" s="2" t="s">
        <v>717</v>
      </c>
      <c r="K3208" s="2" t="s">
        <v>913</v>
      </c>
      <c r="L3208" s="3">
        <v>25.3</v>
      </c>
      <c r="M3208" s="3">
        <v>26.56</v>
      </c>
      <c r="N3208" s="3">
        <v>54.99</v>
      </c>
      <c r="O3208" s="2" t="s">
        <v>97</v>
      </c>
      <c r="P3208" s="2" t="s">
        <v>119</v>
      </c>
      <c r="Q3208" s="2" t="s">
        <v>99</v>
      </c>
      <c r="R3208" s="2" t="s">
        <v>100</v>
      </c>
      <c r="S3208" s="2" t="s">
        <v>10197</v>
      </c>
      <c r="T3208" s="2" t="s">
        <v>4441</v>
      </c>
      <c r="U3208" s="2" t="s">
        <v>402</v>
      </c>
      <c r="V3208" s="2" t="s">
        <v>146</v>
      </c>
      <c r="W3208" s="2" t="s">
        <v>183</v>
      </c>
      <c r="X3208" s="2" t="s">
        <v>100</v>
      </c>
      <c r="Y3208" s="2" t="s">
        <v>4061</v>
      </c>
      <c r="Z3208" s="4">
        <v>262</v>
      </c>
      <c r="AA3208" s="4">
        <f>=ROUNDDOWN(20.1538461538462,0)</f>
      </c>
      <c r="AB3208" s="5">
        <v>13</v>
      </c>
      <c r="AC3208" s="2" t="s">
        <v>356</v>
      </c>
      <c r="AD3208" s="4">
        <v>680</v>
      </c>
      <c r="AE3208" s="4">
        <v>680</v>
      </c>
      <c r="AF3208" s="6">
        <v>65</v>
      </c>
      <c r="AG3208" s="6"/>
      <c r="AH3208" s="7">
        <v>0.6471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144</v>
      </c>
      <c r="BK3208" s="8">
        <v>4016.37</v>
      </c>
      <c r="BL3208" s="2" t="s">
        <v>10200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5872</v>
      </c>
      <c r="BX3208" s="2" t="s">
        <v>10201</v>
      </c>
      <c r="BY3208" s="2" t="s">
        <v>113</v>
      </c>
      <c r="BZ3208" s="2" t="s">
        <v>100</v>
      </c>
    </row>
    <row r="3209">
      <c r="A3209" s="2" t="s">
        <v>10202</v>
      </c>
      <c r="B3209" s="2" t="s">
        <v>9668</v>
      </c>
      <c r="C3209" s="2" t="s">
        <v>4861</v>
      </c>
      <c r="D3209" s="2" t="s">
        <v>9669</v>
      </c>
      <c r="E3209" s="2" t="s">
        <v>9670</v>
      </c>
      <c r="F3209" s="2" t="s">
        <v>10159</v>
      </c>
      <c r="G3209" s="2" t="s">
        <v>10159</v>
      </c>
      <c r="H3209" s="2" t="s">
        <v>10159</v>
      </c>
      <c r="I3209" s="2" t="s">
        <v>10160</v>
      </c>
      <c r="J3209" s="2" t="s">
        <v>714</v>
      </c>
      <c r="K3209" s="2" t="s">
        <v>913</v>
      </c>
      <c r="L3209" s="3">
        <v>34.5</v>
      </c>
      <c r="M3209" s="3">
        <v>36.22</v>
      </c>
      <c r="N3209" s="3">
        <v>74.99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10197</v>
      </c>
      <c r="T3209" s="2" t="s">
        <v>4441</v>
      </c>
      <c r="U3209" s="2" t="s">
        <v>402</v>
      </c>
      <c r="V3209" s="2" t="s">
        <v>146</v>
      </c>
      <c r="W3209" s="2" t="s">
        <v>183</v>
      </c>
      <c r="X3209" s="2" t="s">
        <v>100</v>
      </c>
      <c r="Y3209" s="2" t="s">
        <v>240</v>
      </c>
      <c r="Z3209" s="4">
        <v>488</v>
      </c>
      <c r="AA3209" s="4">
        <f>=ROUNDDOWN(16.8275862068966,0)</f>
      </c>
      <c r="AB3209" s="5">
        <v>29</v>
      </c>
      <c r="AC3209" s="2" t="s">
        <v>356</v>
      </c>
      <c r="AD3209" s="4">
        <v>2040</v>
      </c>
      <c r="AE3209" s="4">
        <v>2040</v>
      </c>
      <c r="AF3209" s="6">
        <v>65</v>
      </c>
      <c r="AG3209" s="6"/>
      <c r="AH3209" s="7">
        <v>0.6471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>
        <v>377</v>
      </c>
      <c r="BK3209" s="8">
        <v>13739.7</v>
      </c>
      <c r="BL3209" s="2" t="s">
        <v>10203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5872</v>
      </c>
      <c r="BX3209" s="2" t="s">
        <v>244</v>
      </c>
      <c r="BY3209" s="2" t="s">
        <v>113</v>
      </c>
      <c r="BZ3209" s="2" t="s">
        <v>100</v>
      </c>
    </row>
    <row r="3210">
      <c r="A3210" s="2" t="s">
        <v>10204</v>
      </c>
      <c r="B3210" s="2" t="s">
        <v>9668</v>
      </c>
      <c r="C3210" s="2" t="s">
        <v>4861</v>
      </c>
      <c r="D3210" s="2" t="s">
        <v>9669</v>
      </c>
      <c r="E3210" s="2" t="s">
        <v>9670</v>
      </c>
      <c r="F3210" s="2" t="s">
        <v>10159</v>
      </c>
      <c r="G3210" s="2" t="s">
        <v>10159</v>
      </c>
      <c r="H3210" s="2" t="s">
        <v>10159</v>
      </c>
      <c r="I3210" s="2" t="s">
        <v>10160</v>
      </c>
      <c r="J3210" s="2" t="s">
        <v>1936</v>
      </c>
      <c r="K3210" s="2" t="s">
        <v>765</v>
      </c>
      <c r="L3210" s="3">
        <v>19.78</v>
      </c>
      <c r="M3210" s="3">
        <v>20.77</v>
      </c>
      <c r="N3210" s="3">
        <v>42.99</v>
      </c>
      <c r="O3210" s="2" t="s">
        <v>97</v>
      </c>
      <c r="P3210" s="2" t="s">
        <v>225</v>
      </c>
      <c r="Q3210" s="2" t="s">
        <v>99</v>
      </c>
      <c r="R3210" s="2" t="s">
        <v>100</v>
      </c>
      <c r="S3210" s="2" t="s">
        <v>10205</v>
      </c>
      <c r="T3210" s="2" t="s">
        <v>4441</v>
      </c>
      <c r="U3210" s="2" t="s">
        <v>480</v>
      </c>
      <c r="V3210" s="2" t="s">
        <v>146</v>
      </c>
      <c r="W3210" s="2" t="s">
        <v>183</v>
      </c>
      <c r="X3210" s="2" t="s">
        <v>100</v>
      </c>
      <c r="Y3210" s="2" t="s">
        <v>1229</v>
      </c>
      <c r="Z3210" s="4">
        <v>1010</v>
      </c>
      <c r="AA3210" s="4">
        <f>=ROUNDDOWN({0},0)</f>
      </c>
      <c r="AB3210" s="5"/>
      <c r="AC3210" s="2" t="s">
        <v>356</v>
      </c>
      <c r="AD3210" s="4">
        <v>280</v>
      </c>
      <c r="AE3210" s="4">
        <v>530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 t="s">
        <v>100</v>
      </c>
      <c r="BJ3210" s="4">
        <v>13</v>
      </c>
      <c r="BK3210" s="8">
        <v>282.86</v>
      </c>
      <c r="BL3210" s="2" t="s">
        <v>10206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207</v>
      </c>
      <c r="BV3210" s="2" t="s">
        <v>97</v>
      </c>
      <c r="BW3210" s="2" t="s">
        <v>100</v>
      </c>
      <c r="BX3210" s="2" t="s">
        <v>100</v>
      </c>
      <c r="BY3210" s="2" t="s">
        <v>113</v>
      </c>
      <c r="BZ3210" s="2" t="s">
        <v>100</v>
      </c>
    </row>
    <row r="3211">
      <c r="A3211" s="2" t="s">
        <v>10207</v>
      </c>
      <c r="B3211" s="2" t="s">
        <v>9668</v>
      </c>
      <c r="C3211" s="2" t="s">
        <v>4861</v>
      </c>
      <c r="D3211" s="2" t="s">
        <v>9669</v>
      </c>
      <c r="E3211" s="2" t="s">
        <v>9670</v>
      </c>
      <c r="F3211" s="2" t="s">
        <v>10159</v>
      </c>
      <c r="G3211" s="2" t="s">
        <v>10159</v>
      </c>
      <c r="H3211" s="2" t="s">
        <v>10159</v>
      </c>
      <c r="I3211" s="2" t="s">
        <v>10160</v>
      </c>
      <c r="J3211" s="2" t="s">
        <v>717</v>
      </c>
      <c r="K3211" s="2" t="s">
        <v>765</v>
      </c>
      <c r="L3211" s="3">
        <v>25.3</v>
      </c>
      <c r="M3211" s="3">
        <v>26.57</v>
      </c>
      <c r="N3211" s="3">
        <v>54.99</v>
      </c>
      <c r="O3211" s="2" t="s">
        <v>97</v>
      </c>
      <c r="P3211" s="2" t="s">
        <v>225</v>
      </c>
      <c r="Q3211" s="2" t="s">
        <v>99</v>
      </c>
      <c r="R3211" s="2" t="s">
        <v>100</v>
      </c>
      <c r="S3211" s="2" t="s">
        <v>10205</v>
      </c>
      <c r="T3211" s="2" t="s">
        <v>4441</v>
      </c>
      <c r="U3211" s="2" t="s">
        <v>402</v>
      </c>
      <c r="V3211" s="2" t="s">
        <v>146</v>
      </c>
      <c r="W3211" s="2" t="s">
        <v>183</v>
      </c>
      <c r="X3211" s="2" t="s">
        <v>100</v>
      </c>
      <c r="Y3211" s="2" t="s">
        <v>1229</v>
      </c>
      <c r="Z3211" s="4">
        <v>495</v>
      </c>
      <c r="AA3211" s="4">
        <f>=ROUNDDOWN({0},0)</f>
      </c>
      <c r="AB3211" s="5"/>
      <c r="AC3211" s="2" t="s">
        <v>356</v>
      </c>
      <c r="AD3211" s="4">
        <v>1440</v>
      </c>
      <c r="AE3211" s="4">
        <v>1570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 t="s">
        <v>100</v>
      </c>
      <c r="BJ3211" s="4">
        <v>22</v>
      </c>
      <c r="BK3211" s="8">
        <v>613.83</v>
      </c>
      <c r="BL3211" s="2" t="s">
        <v>10208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207</v>
      </c>
      <c r="BV3211" s="2" t="s">
        <v>97</v>
      </c>
      <c r="BW3211" s="2" t="s">
        <v>100</v>
      </c>
      <c r="BX3211" s="2" t="s">
        <v>100</v>
      </c>
      <c r="BY3211" s="2" t="s">
        <v>113</v>
      </c>
      <c r="BZ3211" s="2" t="s">
        <v>100</v>
      </c>
    </row>
    <row r="3212">
      <c r="A3212" s="2" t="s">
        <v>10209</v>
      </c>
      <c r="B3212" s="2" t="s">
        <v>9668</v>
      </c>
      <c r="C3212" s="2" t="s">
        <v>4861</v>
      </c>
      <c r="D3212" s="2" t="s">
        <v>9669</v>
      </c>
      <c r="E3212" s="2" t="s">
        <v>9670</v>
      </c>
      <c r="F3212" s="2" t="s">
        <v>10159</v>
      </c>
      <c r="G3212" s="2" t="s">
        <v>10159</v>
      </c>
      <c r="H3212" s="2" t="s">
        <v>10159</v>
      </c>
      <c r="I3212" s="2" t="s">
        <v>10160</v>
      </c>
      <c r="J3212" s="2" t="s">
        <v>706</v>
      </c>
      <c r="K3212" s="2" t="s">
        <v>765</v>
      </c>
      <c r="L3212" s="3">
        <v>28.35</v>
      </c>
      <c r="M3212" s="3">
        <v>29.77</v>
      </c>
      <c r="N3212" s="3">
        <v>62.99</v>
      </c>
      <c r="O3212" s="2" t="s">
        <v>97</v>
      </c>
      <c r="P3212" s="2" t="s">
        <v>225</v>
      </c>
      <c r="Q3212" s="2" t="s">
        <v>99</v>
      </c>
      <c r="R3212" s="2" t="s">
        <v>100</v>
      </c>
      <c r="S3212" s="2" t="s">
        <v>10205</v>
      </c>
      <c r="T3212" s="2" t="s">
        <v>4441</v>
      </c>
      <c r="U3212" s="2" t="s">
        <v>402</v>
      </c>
      <c r="V3212" s="2" t="s">
        <v>146</v>
      </c>
      <c r="W3212" s="2" t="s">
        <v>183</v>
      </c>
      <c r="X3212" s="2" t="s">
        <v>100</v>
      </c>
      <c r="Y3212" s="2" t="s">
        <v>1229</v>
      </c>
      <c r="Z3212" s="4">
        <v>1571</v>
      </c>
      <c r="AA3212" s="4">
        <f>=ROUNDDOWN({0},0)</f>
      </c>
      <c r="AB3212" s="5"/>
      <c r="AC3212" s="2" t="s">
        <v>356</v>
      </c>
      <c r="AD3212" s="4">
        <v>4440</v>
      </c>
      <c r="AE3212" s="4">
        <v>4840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29</v>
      </c>
      <c r="BK3212" s="8">
        <v>878.93</v>
      </c>
      <c r="BL3212" s="2" t="s">
        <v>10206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207</v>
      </c>
      <c r="BV3212" s="2" t="s">
        <v>97</v>
      </c>
      <c r="BW3212" s="2" t="s">
        <v>100</v>
      </c>
      <c r="BX3212" s="2" t="s">
        <v>100</v>
      </c>
      <c r="BY3212" s="2" t="s">
        <v>113</v>
      </c>
      <c r="BZ3212" s="2" t="s">
        <v>100</v>
      </c>
    </row>
    <row r="3213">
      <c r="A3213" s="2" t="s">
        <v>10210</v>
      </c>
      <c r="B3213" s="2" t="s">
        <v>9668</v>
      </c>
      <c r="C3213" s="2" t="s">
        <v>4861</v>
      </c>
      <c r="D3213" s="2" t="s">
        <v>9669</v>
      </c>
      <c r="E3213" s="2" t="s">
        <v>9670</v>
      </c>
      <c r="F3213" s="2" t="s">
        <v>10159</v>
      </c>
      <c r="G3213" s="2" t="s">
        <v>10159</v>
      </c>
      <c r="H3213" s="2" t="s">
        <v>10159</v>
      </c>
      <c r="I3213" s="2" t="s">
        <v>10160</v>
      </c>
      <c r="J3213" s="2" t="s">
        <v>714</v>
      </c>
      <c r="K3213" s="2" t="s">
        <v>765</v>
      </c>
      <c r="L3213" s="3">
        <v>34.5</v>
      </c>
      <c r="M3213" s="3">
        <v>36.23</v>
      </c>
      <c r="N3213" s="3">
        <v>74.99</v>
      </c>
      <c r="O3213" s="2" t="s">
        <v>97</v>
      </c>
      <c r="P3213" s="2" t="s">
        <v>225</v>
      </c>
      <c r="Q3213" s="2" t="s">
        <v>99</v>
      </c>
      <c r="R3213" s="2" t="s">
        <v>100</v>
      </c>
      <c r="S3213" s="2" t="s">
        <v>10205</v>
      </c>
      <c r="T3213" s="2" t="s">
        <v>4441</v>
      </c>
      <c r="U3213" s="2" t="s">
        <v>402</v>
      </c>
      <c r="V3213" s="2" t="s">
        <v>146</v>
      </c>
      <c r="W3213" s="2" t="s">
        <v>183</v>
      </c>
      <c r="X3213" s="2" t="s">
        <v>100</v>
      </c>
      <c r="Y3213" s="2" t="s">
        <v>1229</v>
      </c>
      <c r="Z3213" s="4">
        <v>766</v>
      </c>
      <c r="AA3213" s="4">
        <f>=ROUNDDOWN({0},0)</f>
      </c>
      <c r="AB3213" s="5"/>
      <c r="AC3213" s="2" t="s">
        <v>356</v>
      </c>
      <c r="AD3213" s="4">
        <v>2180</v>
      </c>
      <c r="AE3213" s="4">
        <v>2380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 t="s">
        <v>100</v>
      </c>
      <c r="BJ3213" s="4">
        <v>18</v>
      </c>
      <c r="BK3213" s="8">
        <v>679.16</v>
      </c>
      <c r="BL3213" s="2" t="s">
        <v>10211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207</v>
      </c>
      <c r="BV3213" s="2" t="s">
        <v>97</v>
      </c>
      <c r="BW3213" s="2" t="s">
        <v>100</v>
      </c>
      <c r="BX3213" s="2" t="s">
        <v>100</v>
      </c>
      <c r="BY3213" s="2" t="s">
        <v>113</v>
      </c>
      <c r="BZ3213" s="2" t="s">
        <v>100</v>
      </c>
    </row>
    <row r="3214">
      <c r="A3214" s="2" t="s">
        <v>10212</v>
      </c>
      <c r="B3214" s="2" t="s">
        <v>9668</v>
      </c>
      <c r="C3214" s="2" t="s">
        <v>4861</v>
      </c>
      <c r="D3214" s="2" t="s">
        <v>9669</v>
      </c>
      <c r="E3214" s="2" t="s">
        <v>9670</v>
      </c>
      <c r="F3214" s="2" t="s">
        <v>10159</v>
      </c>
      <c r="G3214" s="2" t="s">
        <v>10159</v>
      </c>
      <c r="H3214" s="2" t="s">
        <v>10159</v>
      </c>
      <c r="I3214" s="2" t="s">
        <v>10160</v>
      </c>
      <c r="J3214" s="2" t="s">
        <v>1936</v>
      </c>
      <c r="K3214" s="2" t="s">
        <v>278</v>
      </c>
      <c r="L3214" s="3">
        <v>19.78</v>
      </c>
      <c r="M3214" s="3">
        <v>20.77</v>
      </c>
      <c r="N3214" s="3">
        <v>42.99</v>
      </c>
      <c r="O3214" s="2" t="s">
        <v>97</v>
      </c>
      <c r="P3214" s="2" t="s">
        <v>119</v>
      </c>
      <c r="Q3214" s="2" t="s">
        <v>99</v>
      </c>
      <c r="R3214" s="2" t="s">
        <v>100</v>
      </c>
      <c r="S3214" s="2" t="s">
        <v>10213</v>
      </c>
      <c r="T3214" s="2" t="s">
        <v>4441</v>
      </c>
      <c r="U3214" s="2" t="s">
        <v>480</v>
      </c>
      <c r="V3214" s="2" t="s">
        <v>146</v>
      </c>
      <c r="W3214" s="2" t="s">
        <v>183</v>
      </c>
      <c r="X3214" s="2" t="s">
        <v>100</v>
      </c>
      <c r="Y3214" s="2" t="s">
        <v>240</v>
      </c>
      <c r="Z3214" s="4">
        <v>223</v>
      </c>
      <c r="AA3214" s="4">
        <f>=ROUNDDOWN(20.2727272727273,0)</f>
      </c>
      <c r="AB3214" s="5">
        <v>11</v>
      </c>
      <c r="AC3214" s="2" t="s">
        <v>100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>
        <v>110</v>
      </c>
      <c r="BK3214" s="8">
        <v>2397.81</v>
      </c>
      <c r="BL3214" s="2" t="s">
        <v>10214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243</v>
      </c>
      <c r="BX3214" s="2" t="s">
        <v>610</v>
      </c>
      <c r="BY3214" s="2" t="s">
        <v>113</v>
      </c>
      <c r="BZ3214" s="2" t="s">
        <v>100</v>
      </c>
    </row>
    <row r="3215">
      <c r="A3215" s="2" t="s">
        <v>10215</v>
      </c>
      <c r="B3215" s="2" t="s">
        <v>9668</v>
      </c>
      <c r="C3215" s="2" t="s">
        <v>4861</v>
      </c>
      <c r="D3215" s="2" t="s">
        <v>9669</v>
      </c>
      <c r="E3215" s="2" t="s">
        <v>9670</v>
      </c>
      <c r="F3215" s="2" t="s">
        <v>10159</v>
      </c>
      <c r="G3215" s="2" t="s">
        <v>10159</v>
      </c>
      <c r="H3215" s="2" t="s">
        <v>10159</v>
      </c>
      <c r="I3215" s="2" t="s">
        <v>10160</v>
      </c>
      <c r="J3215" s="2" t="s">
        <v>717</v>
      </c>
      <c r="K3215" s="2" t="s">
        <v>278</v>
      </c>
      <c r="L3215" s="3">
        <v>25.3</v>
      </c>
      <c r="M3215" s="3">
        <v>26.56</v>
      </c>
      <c r="N3215" s="3">
        <v>54.99</v>
      </c>
      <c r="O3215" s="2" t="s">
        <v>97</v>
      </c>
      <c r="P3215" s="2" t="s">
        <v>119</v>
      </c>
      <c r="Q3215" s="2" t="s">
        <v>99</v>
      </c>
      <c r="R3215" s="2" t="s">
        <v>100</v>
      </c>
      <c r="S3215" s="2" t="s">
        <v>10213</v>
      </c>
      <c r="T3215" s="2" t="s">
        <v>4441</v>
      </c>
      <c r="U3215" s="2" t="s">
        <v>402</v>
      </c>
      <c r="V3215" s="2" t="s">
        <v>146</v>
      </c>
      <c r="W3215" s="2" t="s">
        <v>183</v>
      </c>
      <c r="X3215" s="2" t="s">
        <v>100</v>
      </c>
      <c r="Y3215" s="2" t="s">
        <v>240</v>
      </c>
      <c r="Z3215" s="4">
        <v>367</v>
      </c>
      <c r="AA3215" s="4">
        <f>=ROUNDDOWN(24.4666666666667,0)</f>
      </c>
      <c r="AB3215" s="5">
        <v>15</v>
      </c>
      <c r="AC3215" s="2" t="s">
        <v>356</v>
      </c>
      <c r="AD3215" s="4">
        <v>680</v>
      </c>
      <c r="AE3215" s="4">
        <v>680</v>
      </c>
      <c r="AF3215" s="6">
        <v>65</v>
      </c>
      <c r="AG3215" s="6"/>
      <c r="AH3215" s="7">
        <v>0.631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>
        <v>112</v>
      </c>
      <c r="BK3215" s="8">
        <v>3112.81</v>
      </c>
      <c r="BL3215" s="2" t="s">
        <v>10211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5872</v>
      </c>
      <c r="BX3215" s="2" t="s">
        <v>5995</v>
      </c>
      <c r="BY3215" s="2" t="s">
        <v>113</v>
      </c>
      <c r="BZ3215" s="2" t="s">
        <v>100</v>
      </c>
    </row>
    <row r="3216">
      <c r="A3216" s="2" t="s">
        <v>10216</v>
      </c>
      <c r="B3216" s="2" t="s">
        <v>9668</v>
      </c>
      <c r="C3216" s="2" t="s">
        <v>4861</v>
      </c>
      <c r="D3216" s="2" t="s">
        <v>9669</v>
      </c>
      <c r="E3216" s="2" t="s">
        <v>9670</v>
      </c>
      <c r="F3216" s="2" t="s">
        <v>10159</v>
      </c>
      <c r="G3216" s="2" t="s">
        <v>10159</v>
      </c>
      <c r="H3216" s="2" t="s">
        <v>10159</v>
      </c>
      <c r="I3216" s="2" t="s">
        <v>10160</v>
      </c>
      <c r="J3216" s="2" t="s">
        <v>714</v>
      </c>
      <c r="K3216" s="2" t="s">
        <v>278</v>
      </c>
      <c r="L3216" s="3">
        <v>34.5</v>
      </c>
      <c r="M3216" s="3">
        <v>36.22</v>
      </c>
      <c r="N3216" s="3">
        <v>74.99</v>
      </c>
      <c r="O3216" s="2" t="s">
        <v>97</v>
      </c>
      <c r="P3216" s="2" t="s">
        <v>119</v>
      </c>
      <c r="Q3216" s="2" t="s">
        <v>99</v>
      </c>
      <c r="R3216" s="2" t="s">
        <v>100</v>
      </c>
      <c r="S3216" s="2" t="s">
        <v>10213</v>
      </c>
      <c r="T3216" s="2" t="s">
        <v>4441</v>
      </c>
      <c r="U3216" s="2" t="s">
        <v>402</v>
      </c>
      <c r="V3216" s="2" t="s">
        <v>146</v>
      </c>
      <c r="W3216" s="2" t="s">
        <v>183</v>
      </c>
      <c r="X3216" s="2" t="s">
        <v>100</v>
      </c>
      <c r="Y3216" s="2" t="s">
        <v>4061</v>
      </c>
      <c r="Z3216" s="4">
        <v>355</v>
      </c>
      <c r="AA3216" s="4">
        <f>=ROUNDDOWN(27.3076923076923,0)</f>
      </c>
      <c r="AB3216" s="5">
        <v>13</v>
      </c>
      <c r="AC3216" s="2" t="s">
        <v>356</v>
      </c>
      <c r="AD3216" s="4">
        <v>850</v>
      </c>
      <c r="AE3216" s="4">
        <v>850</v>
      </c>
      <c r="AF3216" s="6">
        <v>65</v>
      </c>
      <c r="AG3216" s="6"/>
      <c r="AH3216" s="7">
        <v>0.631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 t="s">
        <v>100</v>
      </c>
      <c r="BJ3216" s="4">
        <v>127</v>
      </c>
      <c r="BK3216" s="8">
        <v>4781.9</v>
      </c>
      <c r="BL3216" s="2" t="s">
        <v>10217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5872</v>
      </c>
      <c r="BX3216" s="2" t="s">
        <v>5995</v>
      </c>
      <c r="BY3216" s="2" t="s">
        <v>113</v>
      </c>
      <c r="BZ3216" s="2" t="s">
        <v>100</v>
      </c>
    </row>
    <row r="3217">
      <c r="A3217" s="2" t="s">
        <v>10218</v>
      </c>
      <c r="B3217" s="2" t="s">
        <v>9668</v>
      </c>
      <c r="C3217" s="2" t="s">
        <v>4861</v>
      </c>
      <c r="D3217" s="2" t="s">
        <v>9669</v>
      </c>
      <c r="E3217" s="2" t="s">
        <v>9670</v>
      </c>
      <c r="F3217" s="2" t="s">
        <v>10159</v>
      </c>
      <c r="G3217" s="2" t="s">
        <v>10159</v>
      </c>
      <c r="H3217" s="2" t="s">
        <v>10159</v>
      </c>
      <c r="I3217" s="2" t="s">
        <v>10160</v>
      </c>
      <c r="J3217" s="2" t="s">
        <v>1936</v>
      </c>
      <c r="K3217" s="2" t="s">
        <v>629</v>
      </c>
      <c r="L3217" s="3">
        <v>19.78</v>
      </c>
      <c r="M3217" s="3">
        <v>20.77</v>
      </c>
      <c r="N3217" s="3">
        <v>42.99</v>
      </c>
      <c r="O3217" s="2" t="s">
        <v>97</v>
      </c>
      <c r="P3217" s="2" t="s">
        <v>225</v>
      </c>
      <c r="Q3217" s="2" t="s">
        <v>99</v>
      </c>
      <c r="R3217" s="2" t="s">
        <v>100</v>
      </c>
      <c r="S3217" s="2" t="s">
        <v>10219</v>
      </c>
      <c r="T3217" s="2" t="s">
        <v>4441</v>
      </c>
      <c r="U3217" s="2" t="s">
        <v>480</v>
      </c>
      <c r="V3217" s="2" t="s">
        <v>146</v>
      </c>
      <c r="W3217" s="2" t="s">
        <v>183</v>
      </c>
      <c r="X3217" s="2" t="s">
        <v>100</v>
      </c>
      <c r="Y3217" s="2" t="s">
        <v>1229</v>
      </c>
      <c r="Z3217" s="4">
        <v>179</v>
      </c>
      <c r="AA3217" s="4">
        <f>=ROUNDDOWN({0},0)</f>
      </c>
      <c r="AB3217" s="5"/>
      <c r="AC3217" s="2" t="s">
        <v>356</v>
      </c>
      <c r="AD3217" s="4">
        <v>560</v>
      </c>
      <c r="AE3217" s="4">
        <v>640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 t="s">
        <v>100</v>
      </c>
      <c r="BJ3217" s="4">
        <v>19</v>
      </c>
      <c r="BK3217" s="8">
        <v>417.57</v>
      </c>
      <c r="BL3217" s="2" t="s">
        <v>10206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207</v>
      </c>
      <c r="BV3217" s="2" t="s">
        <v>97</v>
      </c>
      <c r="BW3217" s="2" t="s">
        <v>100</v>
      </c>
      <c r="BX3217" s="2" t="s">
        <v>100</v>
      </c>
      <c r="BY3217" s="2" t="s">
        <v>113</v>
      </c>
      <c r="BZ3217" s="2" t="s">
        <v>100</v>
      </c>
    </row>
    <row r="3218">
      <c r="A3218" s="2" t="s">
        <v>10220</v>
      </c>
      <c r="B3218" s="2" t="s">
        <v>9668</v>
      </c>
      <c r="C3218" s="2" t="s">
        <v>4861</v>
      </c>
      <c r="D3218" s="2" t="s">
        <v>9669</v>
      </c>
      <c r="E3218" s="2" t="s">
        <v>9670</v>
      </c>
      <c r="F3218" s="2" t="s">
        <v>10159</v>
      </c>
      <c r="G3218" s="2" t="s">
        <v>10159</v>
      </c>
      <c r="H3218" s="2" t="s">
        <v>10159</v>
      </c>
      <c r="I3218" s="2" t="s">
        <v>10160</v>
      </c>
      <c r="J3218" s="2" t="s">
        <v>717</v>
      </c>
      <c r="K3218" s="2" t="s">
        <v>629</v>
      </c>
      <c r="L3218" s="3">
        <v>25.3</v>
      </c>
      <c r="M3218" s="3">
        <v>26.57</v>
      </c>
      <c r="N3218" s="3">
        <v>54.99</v>
      </c>
      <c r="O3218" s="2" t="s">
        <v>97</v>
      </c>
      <c r="P3218" s="2" t="s">
        <v>225</v>
      </c>
      <c r="Q3218" s="2" t="s">
        <v>99</v>
      </c>
      <c r="R3218" s="2" t="s">
        <v>100</v>
      </c>
      <c r="S3218" s="2" t="s">
        <v>10219</v>
      </c>
      <c r="T3218" s="2" t="s">
        <v>4441</v>
      </c>
      <c r="U3218" s="2" t="s">
        <v>402</v>
      </c>
      <c r="V3218" s="2" t="s">
        <v>146</v>
      </c>
      <c r="W3218" s="2" t="s">
        <v>183</v>
      </c>
      <c r="X3218" s="2" t="s">
        <v>100</v>
      </c>
      <c r="Y3218" s="2" t="s">
        <v>1229</v>
      </c>
      <c r="Z3218" s="4">
        <v>261</v>
      </c>
      <c r="AA3218" s="4">
        <f>=ROUNDDOWN({0},0)</f>
      </c>
      <c r="AB3218" s="5"/>
      <c r="AC3218" s="2" t="s">
        <v>356</v>
      </c>
      <c r="AD3218" s="4">
        <v>800</v>
      </c>
      <c r="AE3218" s="4">
        <v>890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>
        <v>16</v>
      </c>
      <c r="BK3218" s="8">
        <v>445.52</v>
      </c>
      <c r="BL3218" s="2" t="s">
        <v>1217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207</v>
      </c>
      <c r="BV3218" s="2" t="s">
        <v>97</v>
      </c>
      <c r="BW3218" s="2" t="s">
        <v>100</v>
      </c>
      <c r="BX3218" s="2" t="s">
        <v>100</v>
      </c>
      <c r="BY3218" s="2" t="s">
        <v>113</v>
      </c>
      <c r="BZ3218" s="2" t="s">
        <v>100</v>
      </c>
    </row>
    <row r="3219">
      <c r="A3219" s="2" t="s">
        <v>10221</v>
      </c>
      <c r="B3219" s="2" t="s">
        <v>9668</v>
      </c>
      <c r="C3219" s="2" t="s">
        <v>4861</v>
      </c>
      <c r="D3219" s="2" t="s">
        <v>9669</v>
      </c>
      <c r="E3219" s="2" t="s">
        <v>9670</v>
      </c>
      <c r="F3219" s="2" t="s">
        <v>10159</v>
      </c>
      <c r="G3219" s="2" t="s">
        <v>10159</v>
      </c>
      <c r="H3219" s="2" t="s">
        <v>10159</v>
      </c>
      <c r="I3219" s="2" t="s">
        <v>10160</v>
      </c>
      <c r="J3219" s="2" t="s">
        <v>706</v>
      </c>
      <c r="K3219" s="2" t="s">
        <v>629</v>
      </c>
      <c r="L3219" s="3">
        <v>28.35</v>
      </c>
      <c r="M3219" s="3">
        <v>29.77</v>
      </c>
      <c r="N3219" s="3">
        <v>62.99</v>
      </c>
      <c r="O3219" s="2" t="s">
        <v>97</v>
      </c>
      <c r="P3219" s="2" t="s">
        <v>225</v>
      </c>
      <c r="Q3219" s="2" t="s">
        <v>99</v>
      </c>
      <c r="R3219" s="2" t="s">
        <v>100</v>
      </c>
      <c r="S3219" s="2" t="s">
        <v>10219</v>
      </c>
      <c r="T3219" s="2" t="s">
        <v>4441</v>
      </c>
      <c r="U3219" s="2" t="s">
        <v>402</v>
      </c>
      <c r="V3219" s="2" t="s">
        <v>146</v>
      </c>
      <c r="W3219" s="2" t="s">
        <v>183</v>
      </c>
      <c r="X3219" s="2" t="s">
        <v>100</v>
      </c>
      <c r="Y3219" s="2" t="s">
        <v>1229</v>
      </c>
      <c r="Z3219" s="4">
        <v>1281</v>
      </c>
      <c r="AA3219" s="4">
        <f>=ROUNDDOWN(2135,0)</f>
      </c>
      <c r="AB3219" s="5">
        <v>0.6</v>
      </c>
      <c r="AC3219" s="2" t="s">
        <v>356</v>
      </c>
      <c r="AD3219" s="4">
        <v>3600</v>
      </c>
      <c r="AE3219" s="4">
        <v>4060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 t="s">
        <v>100</v>
      </c>
      <c r="BJ3219" s="4">
        <v>53</v>
      </c>
      <c r="BK3219" s="8">
        <v>1615.74</v>
      </c>
      <c r="BL3219" s="2" t="s">
        <v>10222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207</v>
      </c>
      <c r="BV3219" s="2" t="s">
        <v>97</v>
      </c>
      <c r="BW3219" s="2" t="s">
        <v>100</v>
      </c>
      <c r="BX3219" s="2" t="s">
        <v>100</v>
      </c>
      <c r="BY3219" s="2" t="s">
        <v>113</v>
      </c>
      <c r="BZ3219" s="2" t="s">
        <v>100</v>
      </c>
    </row>
    <row r="3220">
      <c r="A3220" s="2" t="s">
        <v>10223</v>
      </c>
      <c r="B3220" s="2" t="s">
        <v>9668</v>
      </c>
      <c r="C3220" s="2" t="s">
        <v>4861</v>
      </c>
      <c r="D3220" s="2" t="s">
        <v>9669</v>
      </c>
      <c r="E3220" s="2" t="s">
        <v>9670</v>
      </c>
      <c r="F3220" s="2" t="s">
        <v>10159</v>
      </c>
      <c r="G3220" s="2" t="s">
        <v>10159</v>
      </c>
      <c r="H3220" s="2" t="s">
        <v>10159</v>
      </c>
      <c r="I3220" s="2" t="s">
        <v>10160</v>
      </c>
      <c r="J3220" s="2" t="s">
        <v>714</v>
      </c>
      <c r="K3220" s="2" t="s">
        <v>629</v>
      </c>
      <c r="L3220" s="3">
        <v>34.5</v>
      </c>
      <c r="M3220" s="3">
        <v>36.23</v>
      </c>
      <c r="N3220" s="3">
        <v>74.99</v>
      </c>
      <c r="O3220" s="2" t="s">
        <v>97</v>
      </c>
      <c r="P3220" s="2" t="s">
        <v>225</v>
      </c>
      <c r="Q3220" s="2" t="s">
        <v>99</v>
      </c>
      <c r="R3220" s="2" t="s">
        <v>100</v>
      </c>
      <c r="S3220" s="2" t="s">
        <v>10219</v>
      </c>
      <c r="T3220" s="2" t="s">
        <v>4441</v>
      </c>
      <c r="U3220" s="2" t="s">
        <v>402</v>
      </c>
      <c r="V3220" s="2" t="s">
        <v>146</v>
      </c>
      <c r="W3220" s="2" t="s">
        <v>183</v>
      </c>
      <c r="X3220" s="2" t="s">
        <v>100</v>
      </c>
      <c r="Y3220" s="2" t="s">
        <v>1229</v>
      </c>
      <c r="Z3220" s="4">
        <v>585</v>
      </c>
      <c r="AA3220" s="4">
        <f>=ROUNDDOWN({0},0)</f>
      </c>
      <c r="AB3220" s="5"/>
      <c r="AC3220" s="2" t="s">
        <v>356</v>
      </c>
      <c r="AD3220" s="4">
        <v>1600</v>
      </c>
      <c r="AE3220" s="4">
        <v>1810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 t="s">
        <v>100</v>
      </c>
      <c r="BJ3220" s="4">
        <v>30</v>
      </c>
      <c r="BK3220" s="8">
        <v>1164.69</v>
      </c>
      <c r="BL3220" s="2" t="s">
        <v>10224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207</v>
      </c>
      <c r="BV3220" s="2" t="s">
        <v>97</v>
      </c>
      <c r="BW3220" s="2" t="s">
        <v>100</v>
      </c>
      <c r="BX3220" s="2" t="s">
        <v>100</v>
      </c>
      <c r="BY3220" s="2" t="s">
        <v>113</v>
      </c>
      <c r="BZ3220" s="2" t="s">
        <v>100</v>
      </c>
    </row>
    <row r="3221">
      <c r="A3221" s="2" t="s">
        <v>10225</v>
      </c>
      <c r="B3221" s="2" t="s">
        <v>9668</v>
      </c>
      <c r="C3221" s="2" t="s">
        <v>5702</v>
      </c>
      <c r="D3221" s="2" t="s">
        <v>9669</v>
      </c>
      <c r="E3221" s="2" t="s">
        <v>9670</v>
      </c>
      <c r="F3221" s="2" t="s">
        <v>10226</v>
      </c>
      <c r="G3221" s="2" t="s">
        <v>10226</v>
      </c>
      <c r="H3221" s="2" t="s">
        <v>10226</v>
      </c>
      <c r="I3221" s="2" t="s">
        <v>10227</v>
      </c>
      <c r="J3221" s="2" t="s">
        <v>717</v>
      </c>
      <c r="K3221" s="2" t="s">
        <v>189</v>
      </c>
      <c r="L3221" s="3">
        <v>27.72</v>
      </c>
      <c r="M3221" s="3">
        <v>29.11</v>
      </c>
      <c r="N3221" s="3">
        <v>59.99</v>
      </c>
      <c r="O3221" s="2" t="s">
        <v>97</v>
      </c>
      <c r="P3221" s="2" t="s">
        <v>119</v>
      </c>
      <c r="Q3221" s="2" t="s">
        <v>99</v>
      </c>
      <c r="R3221" s="2" t="s">
        <v>100</v>
      </c>
      <c r="S3221" s="2" t="s">
        <v>10228</v>
      </c>
      <c r="T3221" s="2" t="s">
        <v>4972</v>
      </c>
      <c r="U3221" s="2" t="s">
        <v>402</v>
      </c>
      <c r="V3221" s="2" t="s">
        <v>146</v>
      </c>
      <c r="W3221" s="2" t="s">
        <v>183</v>
      </c>
      <c r="X3221" s="2" t="s">
        <v>561</v>
      </c>
      <c r="Y3221" s="2" t="s">
        <v>10229</v>
      </c>
      <c r="Z3221" s="4">
        <v>585</v>
      </c>
      <c r="AA3221" s="4">
        <f>=ROUNDDOWN(23.4,0)</f>
      </c>
      <c r="AB3221" s="5">
        <v>25</v>
      </c>
      <c r="AC3221" s="2" t="s">
        <v>356</v>
      </c>
      <c r="AD3221" s="4">
        <v>5800</v>
      </c>
      <c r="AE3221" s="4">
        <v>6550</v>
      </c>
      <c r="AF3221" s="6">
        <v>65</v>
      </c>
      <c r="AG3221" s="6"/>
      <c r="AH3221" s="7">
        <v>0.9893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>
        <v>2</v>
      </c>
      <c r="AQ3221" s="8">
        <v>54.44</v>
      </c>
      <c r="AR3221" s="4"/>
      <c r="AS3221" s="8"/>
      <c r="AT3221" s="7"/>
      <c r="AU3221" s="7"/>
      <c r="AV3221" s="4">
        <v>115</v>
      </c>
      <c r="AW3221" s="8">
        <v>3511.1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>
        <v>0.0155</v>
      </c>
      <c r="BC3221" s="4">
        <v>239</v>
      </c>
      <c r="BD3221" s="8">
        <v>7310.14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0.4803</v>
      </c>
      <c r="BJ3221" s="4">
        <v>693</v>
      </c>
      <c r="BK3221" s="8">
        <v>20507.75</v>
      </c>
      <c r="BL3221" s="2" t="s">
        <v>10230</v>
      </c>
      <c r="BM3221" s="7">
        <v>0.0029</v>
      </c>
      <c r="BN3221" s="7">
        <v>0.0027</v>
      </c>
      <c r="BO3221" s="4">
        <v>2</v>
      </c>
      <c r="BP3221" s="8">
        <v>54.44</v>
      </c>
      <c r="BQ3221" s="4"/>
      <c r="BR3221" s="8"/>
      <c r="BS3221" s="7"/>
      <c r="BT3221" s="7"/>
      <c r="BU3221" s="2" t="s">
        <v>109</v>
      </c>
      <c r="BV3221" s="2" t="s">
        <v>110</v>
      </c>
      <c r="BW3221" s="2" t="s">
        <v>1539</v>
      </c>
      <c r="BX3221" s="2" t="s">
        <v>10231</v>
      </c>
      <c r="BY3221" s="2" t="s">
        <v>113</v>
      </c>
      <c r="BZ3221" s="2" t="s">
        <v>100</v>
      </c>
    </row>
    <row r="3222">
      <c r="A3222" s="2" t="s">
        <v>10232</v>
      </c>
      <c r="B3222" s="2" t="s">
        <v>9668</v>
      </c>
      <c r="C3222" s="2" t="s">
        <v>5702</v>
      </c>
      <c r="D3222" s="2" t="s">
        <v>9669</v>
      </c>
      <c r="E3222" s="2" t="s">
        <v>9670</v>
      </c>
      <c r="F3222" s="2" t="s">
        <v>10226</v>
      </c>
      <c r="G3222" s="2" t="s">
        <v>10226</v>
      </c>
      <c r="H3222" s="2" t="s">
        <v>10226</v>
      </c>
      <c r="I3222" s="2" t="s">
        <v>10227</v>
      </c>
      <c r="J3222" s="2" t="s">
        <v>706</v>
      </c>
      <c r="K3222" s="2" t="s">
        <v>189</v>
      </c>
      <c r="L3222" s="3">
        <v>30.71</v>
      </c>
      <c r="M3222" s="3">
        <v>32.25</v>
      </c>
      <c r="N3222" s="3">
        <v>64.99</v>
      </c>
      <c r="O3222" s="2" t="s">
        <v>97</v>
      </c>
      <c r="P3222" s="2" t="s">
        <v>307</v>
      </c>
      <c r="Q3222" s="2" t="s">
        <v>99</v>
      </c>
      <c r="R3222" s="2" t="s">
        <v>100</v>
      </c>
      <c r="S3222" s="2" t="s">
        <v>10228</v>
      </c>
      <c r="T3222" s="2" t="s">
        <v>4972</v>
      </c>
      <c r="U3222" s="2" t="s">
        <v>402</v>
      </c>
      <c r="V3222" s="2" t="s">
        <v>146</v>
      </c>
      <c r="W3222" s="2" t="s">
        <v>183</v>
      </c>
      <c r="X3222" s="2" t="s">
        <v>561</v>
      </c>
      <c r="Y3222" s="2" t="s">
        <v>10229</v>
      </c>
      <c r="Z3222" s="4">
        <v>1834</v>
      </c>
      <c r="AA3222" s="4">
        <f>=ROUNDDOWN(21.5764705882353,0)</f>
      </c>
      <c r="AB3222" s="5">
        <v>85</v>
      </c>
      <c r="AC3222" s="2" t="s">
        <v>356</v>
      </c>
      <c r="AD3222" s="4">
        <v>4775</v>
      </c>
      <c r="AE3222" s="4">
        <v>6315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>
        <v>86</v>
      </c>
      <c r="AQ3222" s="8">
        <v>2574.84</v>
      </c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>
        <v>0.7333</v>
      </c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 t="s">
        <v>100</v>
      </c>
      <c r="BJ3222" s="4">
        <v>2084</v>
      </c>
      <c r="BK3222" s="8">
        <v>69270.82</v>
      </c>
      <c r="BL3222" s="2" t="s">
        <v>10233</v>
      </c>
      <c r="BM3222" s="7">
        <v>0.0413</v>
      </c>
      <c r="BN3222" s="7">
        <v>0.0372</v>
      </c>
      <c r="BO3222" s="4">
        <v>86</v>
      </c>
      <c r="BP3222" s="8">
        <v>2574.84</v>
      </c>
      <c r="BQ3222" s="4"/>
      <c r="BR3222" s="8"/>
      <c r="BS3222" s="7"/>
      <c r="BT3222" s="7"/>
      <c r="BU3222" s="2" t="s">
        <v>109</v>
      </c>
      <c r="BV3222" s="2" t="s">
        <v>110</v>
      </c>
      <c r="BW3222" s="2" t="s">
        <v>1539</v>
      </c>
      <c r="BX3222" s="2" t="s">
        <v>5834</v>
      </c>
      <c r="BY3222" s="2" t="s">
        <v>113</v>
      </c>
      <c r="BZ3222" s="2" t="s">
        <v>100</v>
      </c>
    </row>
    <row r="3223">
      <c r="A3223" s="2" t="s">
        <v>10234</v>
      </c>
      <c r="B3223" s="2" t="s">
        <v>9668</v>
      </c>
      <c r="C3223" s="2" t="s">
        <v>5702</v>
      </c>
      <c r="D3223" s="2" t="s">
        <v>9669</v>
      </c>
      <c r="E3223" s="2" t="s">
        <v>9670</v>
      </c>
      <c r="F3223" s="2" t="s">
        <v>10226</v>
      </c>
      <c r="G3223" s="2" t="s">
        <v>10226</v>
      </c>
      <c r="H3223" s="2" t="s">
        <v>10226</v>
      </c>
      <c r="I3223" s="2" t="s">
        <v>10227</v>
      </c>
      <c r="J3223" s="2" t="s">
        <v>714</v>
      </c>
      <c r="K3223" s="2" t="s">
        <v>189</v>
      </c>
      <c r="L3223" s="3">
        <v>33.08</v>
      </c>
      <c r="M3223" s="3">
        <v>34.73</v>
      </c>
      <c r="N3223" s="3">
        <v>69.99</v>
      </c>
      <c r="O3223" s="2" t="s">
        <v>97</v>
      </c>
      <c r="P3223" s="2" t="s">
        <v>372</v>
      </c>
      <c r="Q3223" s="2" t="s">
        <v>99</v>
      </c>
      <c r="R3223" s="2" t="s">
        <v>100</v>
      </c>
      <c r="S3223" s="2" t="s">
        <v>10228</v>
      </c>
      <c r="T3223" s="2" t="s">
        <v>4972</v>
      </c>
      <c r="U3223" s="2" t="s">
        <v>402</v>
      </c>
      <c r="V3223" s="2" t="s">
        <v>146</v>
      </c>
      <c r="W3223" s="2" t="s">
        <v>183</v>
      </c>
      <c r="X3223" s="2" t="s">
        <v>561</v>
      </c>
      <c r="Y3223" s="2" t="s">
        <v>10229</v>
      </c>
      <c r="Z3223" s="4">
        <v>591</v>
      </c>
      <c r="AA3223" s="4">
        <f>=ROUNDDOWN(10.3684210526316,0)</f>
      </c>
      <c r="AB3223" s="5">
        <v>57</v>
      </c>
      <c r="AC3223" s="2" t="s">
        <v>356</v>
      </c>
      <c r="AD3223" s="4">
        <v>3400</v>
      </c>
      <c r="AE3223" s="4">
        <v>5024</v>
      </c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12</v>
      </c>
      <c r="AQ3223" s="8">
        <v>391.92</v>
      </c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>
        <v>0.1116</v>
      </c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 t="s">
        <v>100</v>
      </c>
      <c r="BJ3223" s="4">
        <v>1243</v>
      </c>
      <c r="BK3223" s="8">
        <v>44583.01</v>
      </c>
      <c r="BL3223" s="2" t="s">
        <v>10235</v>
      </c>
      <c r="BM3223" s="7">
        <v>0.0097</v>
      </c>
      <c r="BN3223" s="7">
        <v>0.0088</v>
      </c>
      <c r="BO3223" s="4">
        <v>12</v>
      </c>
      <c r="BP3223" s="8">
        <v>391.92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1539</v>
      </c>
      <c r="BX3223" s="2" t="s">
        <v>5873</v>
      </c>
      <c r="BY3223" s="2" t="s">
        <v>113</v>
      </c>
      <c r="BZ3223" s="2" t="s">
        <v>100</v>
      </c>
    </row>
    <row r="3224">
      <c r="A3224" s="2" t="s">
        <v>10236</v>
      </c>
      <c r="B3224" s="2" t="s">
        <v>9668</v>
      </c>
      <c r="C3224" s="2" t="s">
        <v>5702</v>
      </c>
      <c r="D3224" s="2" t="s">
        <v>9669</v>
      </c>
      <c r="E3224" s="2" t="s">
        <v>9670</v>
      </c>
      <c r="F3224" s="2" t="s">
        <v>10226</v>
      </c>
      <c r="G3224" s="2" t="s">
        <v>10226</v>
      </c>
      <c r="H3224" s="2" t="s">
        <v>10226</v>
      </c>
      <c r="I3224" s="2" t="s">
        <v>10227</v>
      </c>
      <c r="J3224" s="2" t="s">
        <v>817</v>
      </c>
      <c r="K3224" s="2" t="s">
        <v>189</v>
      </c>
      <c r="L3224" s="3">
        <v>33.08</v>
      </c>
      <c r="M3224" s="3">
        <v>34.73</v>
      </c>
      <c r="N3224" s="3">
        <v>69.99</v>
      </c>
      <c r="O3224" s="2" t="s">
        <v>97</v>
      </c>
      <c r="P3224" s="2" t="s">
        <v>119</v>
      </c>
      <c r="Q3224" s="2" t="s">
        <v>99</v>
      </c>
      <c r="R3224" s="2" t="s">
        <v>100</v>
      </c>
      <c r="S3224" s="2" t="s">
        <v>10228</v>
      </c>
      <c r="T3224" s="2" t="s">
        <v>4972</v>
      </c>
      <c r="U3224" s="2" t="s">
        <v>402</v>
      </c>
      <c r="V3224" s="2" t="s">
        <v>146</v>
      </c>
      <c r="W3224" s="2" t="s">
        <v>183</v>
      </c>
      <c r="X3224" s="2" t="s">
        <v>561</v>
      </c>
      <c r="Y3224" s="2" t="s">
        <v>10229</v>
      </c>
      <c r="Z3224" s="4">
        <v>384</v>
      </c>
      <c r="AA3224" s="4">
        <f>=ROUNDDOWN(21.3333333333333,0)</f>
      </c>
      <c r="AB3224" s="5">
        <v>18</v>
      </c>
      <c r="AC3224" s="2" t="s">
        <v>356</v>
      </c>
      <c r="AD3224" s="4">
        <v>6100</v>
      </c>
      <c r="AE3224" s="4">
        <v>6418</v>
      </c>
      <c r="AF3224" s="6">
        <v>65</v>
      </c>
      <c r="AG3224" s="6"/>
      <c r="AH3224" s="7">
        <v>0.9465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>
        <v>15</v>
      </c>
      <c r="AQ3224" s="8">
        <v>489.9</v>
      </c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>
        <v>0.1395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 t="s">
        <v>100</v>
      </c>
      <c r="BJ3224" s="4">
        <v>418</v>
      </c>
      <c r="BK3224" s="8">
        <v>14735.5</v>
      </c>
      <c r="BL3224" s="2" t="s">
        <v>10237</v>
      </c>
      <c r="BM3224" s="7">
        <v>0.0359</v>
      </c>
      <c r="BN3224" s="7">
        <v>0.0332</v>
      </c>
      <c r="BO3224" s="4">
        <v>15</v>
      </c>
      <c r="BP3224" s="8">
        <v>489.9</v>
      </c>
      <c r="BQ3224" s="4"/>
      <c r="BR3224" s="8"/>
      <c r="BS3224" s="7"/>
      <c r="BT3224" s="7"/>
      <c r="BU3224" s="2" t="s">
        <v>109</v>
      </c>
      <c r="BV3224" s="2" t="s">
        <v>110</v>
      </c>
      <c r="BW3224" s="2" t="s">
        <v>1539</v>
      </c>
      <c r="BX3224" s="2" t="s">
        <v>10238</v>
      </c>
      <c r="BY3224" s="2" t="s">
        <v>113</v>
      </c>
      <c r="BZ3224" s="2" t="s">
        <v>100</v>
      </c>
    </row>
    <row r="3225">
      <c r="A3225" s="2" t="s">
        <v>10239</v>
      </c>
      <c r="B3225" s="2" t="s">
        <v>9668</v>
      </c>
      <c r="C3225" s="2" t="s">
        <v>5702</v>
      </c>
      <c r="D3225" s="2" t="s">
        <v>9669</v>
      </c>
      <c r="E3225" s="2" t="s">
        <v>9670</v>
      </c>
      <c r="F3225" s="2" t="s">
        <v>10226</v>
      </c>
      <c r="G3225" s="2" t="s">
        <v>10226</v>
      </c>
      <c r="H3225" s="2" t="s">
        <v>10226</v>
      </c>
      <c r="I3225" s="2" t="s">
        <v>10227</v>
      </c>
      <c r="J3225" s="2" t="s">
        <v>717</v>
      </c>
      <c r="K3225" s="2" t="s">
        <v>118</v>
      </c>
      <c r="L3225" s="3">
        <v>27.72</v>
      </c>
      <c r="M3225" s="3">
        <v>29.11</v>
      </c>
      <c r="N3225" s="3">
        <v>59.99</v>
      </c>
      <c r="O3225" s="2" t="s">
        <v>97</v>
      </c>
      <c r="P3225" s="2" t="s">
        <v>119</v>
      </c>
      <c r="Q3225" s="2" t="s">
        <v>99</v>
      </c>
      <c r="R3225" s="2" t="s">
        <v>100</v>
      </c>
      <c r="S3225" s="2" t="s">
        <v>10240</v>
      </c>
      <c r="T3225" s="2" t="s">
        <v>4972</v>
      </c>
      <c r="U3225" s="2" t="s">
        <v>402</v>
      </c>
      <c r="V3225" s="2" t="s">
        <v>146</v>
      </c>
      <c r="W3225" s="2" t="s">
        <v>183</v>
      </c>
      <c r="X3225" s="2" t="s">
        <v>561</v>
      </c>
      <c r="Y3225" s="2" t="s">
        <v>10229</v>
      </c>
      <c r="Z3225" s="4">
        <v>340</v>
      </c>
      <c r="AA3225" s="4">
        <f>=ROUNDDOWN(28.3333333333333,0)</f>
      </c>
      <c r="AB3225" s="5">
        <v>12</v>
      </c>
      <c r="AC3225" s="2" t="s">
        <v>9084</v>
      </c>
      <c r="AD3225" s="4">
        <v>131</v>
      </c>
      <c r="AE3225" s="4">
        <v>251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>
        <v>7</v>
      </c>
      <c r="AQ3225" s="8">
        <v>190.54</v>
      </c>
      <c r="AR3225" s="4"/>
      <c r="AS3225" s="8"/>
      <c r="AT3225" s="7"/>
      <c r="AU3225" s="7"/>
      <c r="AV3225" s="4">
        <v>23</v>
      </c>
      <c r="AW3225" s="8">
        <v>688.62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>
        <v>0.2767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0.0942</v>
      </c>
      <c r="BJ3225" s="4">
        <v>355</v>
      </c>
      <c r="BK3225" s="8">
        <v>10437.39</v>
      </c>
      <c r="BL3225" s="2" t="s">
        <v>10241</v>
      </c>
      <c r="BM3225" s="7">
        <v>0.0197</v>
      </c>
      <c r="BN3225" s="7">
        <v>0.0183</v>
      </c>
      <c r="BO3225" s="4">
        <v>7</v>
      </c>
      <c r="BP3225" s="8">
        <v>190.54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1539</v>
      </c>
      <c r="BX3225" s="2" t="s">
        <v>5847</v>
      </c>
      <c r="BY3225" s="2" t="s">
        <v>113</v>
      </c>
      <c r="BZ3225" s="2" t="s">
        <v>100</v>
      </c>
    </row>
    <row r="3226">
      <c r="A3226" s="2" t="s">
        <v>10242</v>
      </c>
      <c r="B3226" s="2" t="s">
        <v>9668</v>
      </c>
      <c r="C3226" s="2" t="s">
        <v>5702</v>
      </c>
      <c r="D3226" s="2" t="s">
        <v>9669</v>
      </c>
      <c r="E3226" s="2" t="s">
        <v>9670</v>
      </c>
      <c r="F3226" s="2" t="s">
        <v>10226</v>
      </c>
      <c r="G3226" s="2" t="s">
        <v>10226</v>
      </c>
      <c r="H3226" s="2" t="s">
        <v>10226</v>
      </c>
      <c r="I3226" s="2" t="s">
        <v>10227</v>
      </c>
      <c r="J3226" s="2" t="s">
        <v>706</v>
      </c>
      <c r="K3226" s="2" t="s">
        <v>118</v>
      </c>
      <c r="L3226" s="3">
        <v>30.71</v>
      </c>
      <c r="M3226" s="3">
        <v>32.25</v>
      </c>
      <c r="N3226" s="3">
        <v>64.99</v>
      </c>
      <c r="O3226" s="2" t="s">
        <v>97</v>
      </c>
      <c r="P3226" s="2" t="s">
        <v>950</v>
      </c>
      <c r="Q3226" s="2" t="s">
        <v>99</v>
      </c>
      <c r="R3226" s="2" t="s">
        <v>100</v>
      </c>
      <c r="S3226" s="2" t="s">
        <v>10240</v>
      </c>
      <c r="T3226" s="2" t="s">
        <v>4972</v>
      </c>
      <c r="U3226" s="2" t="s">
        <v>402</v>
      </c>
      <c r="V3226" s="2" t="s">
        <v>146</v>
      </c>
      <c r="W3226" s="2" t="s">
        <v>183</v>
      </c>
      <c r="X3226" s="2" t="s">
        <v>561</v>
      </c>
      <c r="Y3226" s="2" t="s">
        <v>10229</v>
      </c>
      <c r="Z3226" s="4">
        <v>719</v>
      </c>
      <c r="AA3226" s="4">
        <f>=ROUNDDOWN(16.7209302325581,0)</f>
      </c>
      <c r="AB3226" s="5">
        <v>43</v>
      </c>
      <c r="AC3226" s="2" t="s">
        <v>356</v>
      </c>
      <c r="AD3226" s="4">
        <v>10725</v>
      </c>
      <c r="AE3226" s="4">
        <v>11861</v>
      </c>
      <c r="AF3226" s="6">
        <v>65</v>
      </c>
      <c r="AG3226" s="6"/>
      <c r="AH3226" s="7">
        <v>0.893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>
        <v>9</v>
      </c>
      <c r="AQ3226" s="8">
        <v>269.46</v>
      </c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>
        <v>0.3913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 t="s">
        <v>100</v>
      </c>
      <c r="BJ3226" s="4">
        <v>1068</v>
      </c>
      <c r="BK3226" s="8">
        <v>35158.53</v>
      </c>
      <c r="BL3226" s="2" t="s">
        <v>10243</v>
      </c>
      <c r="BM3226" s="7">
        <v>0.0084</v>
      </c>
      <c r="BN3226" s="7">
        <v>0.0077</v>
      </c>
      <c r="BO3226" s="4">
        <v>9</v>
      </c>
      <c r="BP3226" s="8">
        <v>269.46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1539</v>
      </c>
      <c r="BX3226" s="2" t="s">
        <v>5650</v>
      </c>
      <c r="BY3226" s="2" t="s">
        <v>113</v>
      </c>
      <c r="BZ3226" s="2" t="s">
        <v>100</v>
      </c>
    </row>
    <row r="3227">
      <c r="A3227" s="2" t="s">
        <v>10244</v>
      </c>
      <c r="B3227" s="2" t="s">
        <v>9668</v>
      </c>
      <c r="C3227" s="2" t="s">
        <v>5702</v>
      </c>
      <c r="D3227" s="2" t="s">
        <v>9669</v>
      </c>
      <c r="E3227" s="2" t="s">
        <v>9670</v>
      </c>
      <c r="F3227" s="2" t="s">
        <v>10226</v>
      </c>
      <c r="G3227" s="2" t="s">
        <v>10226</v>
      </c>
      <c r="H3227" s="2" t="s">
        <v>10226</v>
      </c>
      <c r="I3227" s="2" t="s">
        <v>10227</v>
      </c>
      <c r="J3227" s="2" t="s">
        <v>714</v>
      </c>
      <c r="K3227" s="2" t="s">
        <v>118</v>
      </c>
      <c r="L3227" s="3">
        <v>33.08</v>
      </c>
      <c r="M3227" s="3">
        <v>34.73</v>
      </c>
      <c r="N3227" s="3">
        <v>69.99</v>
      </c>
      <c r="O3227" s="2" t="s">
        <v>97</v>
      </c>
      <c r="P3227" s="2" t="s">
        <v>119</v>
      </c>
      <c r="Q3227" s="2" t="s">
        <v>99</v>
      </c>
      <c r="R3227" s="2" t="s">
        <v>100</v>
      </c>
      <c r="S3227" s="2" t="s">
        <v>10240</v>
      </c>
      <c r="T3227" s="2" t="s">
        <v>4972</v>
      </c>
      <c r="U3227" s="2" t="s">
        <v>402</v>
      </c>
      <c r="V3227" s="2" t="s">
        <v>146</v>
      </c>
      <c r="W3227" s="2" t="s">
        <v>183</v>
      </c>
      <c r="X3227" s="2" t="s">
        <v>561</v>
      </c>
      <c r="Y3227" s="2" t="s">
        <v>10229</v>
      </c>
      <c r="Z3227" s="4">
        <v>435</v>
      </c>
      <c r="AA3227" s="4">
        <f>=ROUNDDOWN(14.5,0)</f>
      </c>
      <c r="AB3227" s="5">
        <v>30</v>
      </c>
      <c r="AC3227" s="2" t="s">
        <v>9084</v>
      </c>
      <c r="AD3227" s="4">
        <v>675</v>
      </c>
      <c r="AE3227" s="4">
        <v>715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>
        <v>5</v>
      </c>
      <c r="AQ3227" s="8">
        <v>163.3</v>
      </c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>
        <v>0.2371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 t="s">
        <v>100</v>
      </c>
      <c r="BJ3227" s="4">
        <v>674</v>
      </c>
      <c r="BK3227" s="8">
        <v>23749.36</v>
      </c>
      <c r="BL3227" s="2" t="s">
        <v>10245</v>
      </c>
      <c r="BM3227" s="7">
        <v>0.0074</v>
      </c>
      <c r="BN3227" s="7">
        <v>0.0069</v>
      </c>
      <c r="BO3227" s="4">
        <v>5</v>
      </c>
      <c r="BP3227" s="8">
        <v>163.3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1539</v>
      </c>
      <c r="BX3227" s="2" t="s">
        <v>6413</v>
      </c>
      <c r="BY3227" s="2" t="s">
        <v>113</v>
      </c>
      <c r="BZ3227" s="2" t="s">
        <v>100</v>
      </c>
    </row>
    <row r="3228">
      <c r="A3228" s="2" t="s">
        <v>10246</v>
      </c>
      <c r="B3228" s="2" t="s">
        <v>9668</v>
      </c>
      <c r="C3228" s="2" t="s">
        <v>5702</v>
      </c>
      <c r="D3228" s="2" t="s">
        <v>9669</v>
      </c>
      <c r="E3228" s="2" t="s">
        <v>9670</v>
      </c>
      <c r="F3228" s="2" t="s">
        <v>10226</v>
      </c>
      <c r="G3228" s="2" t="s">
        <v>10226</v>
      </c>
      <c r="H3228" s="2" t="s">
        <v>10226</v>
      </c>
      <c r="I3228" s="2" t="s">
        <v>10227</v>
      </c>
      <c r="J3228" s="2" t="s">
        <v>817</v>
      </c>
      <c r="K3228" s="2" t="s">
        <v>118</v>
      </c>
      <c r="L3228" s="3">
        <v>33.08</v>
      </c>
      <c r="M3228" s="3">
        <v>34.73</v>
      </c>
      <c r="N3228" s="3">
        <v>69.99</v>
      </c>
      <c r="O3228" s="2" t="s">
        <v>97</v>
      </c>
      <c r="P3228" s="2" t="s">
        <v>119</v>
      </c>
      <c r="Q3228" s="2" t="s">
        <v>99</v>
      </c>
      <c r="R3228" s="2" t="s">
        <v>100</v>
      </c>
      <c r="S3228" s="2" t="s">
        <v>10240</v>
      </c>
      <c r="T3228" s="2" t="s">
        <v>4972</v>
      </c>
      <c r="U3228" s="2" t="s">
        <v>402</v>
      </c>
      <c r="V3228" s="2" t="s">
        <v>146</v>
      </c>
      <c r="W3228" s="2" t="s">
        <v>183</v>
      </c>
      <c r="X3228" s="2" t="s">
        <v>561</v>
      </c>
      <c r="Y3228" s="2" t="s">
        <v>10229</v>
      </c>
      <c r="Z3228" s="4">
        <v>170</v>
      </c>
      <c r="AA3228" s="4">
        <f>=ROUNDDOWN(15.4545454545455,0)</f>
      </c>
      <c r="AB3228" s="5">
        <v>11</v>
      </c>
      <c r="AC3228" s="2" t="s">
        <v>356</v>
      </c>
      <c r="AD3228" s="4">
        <v>1456</v>
      </c>
      <c r="AE3228" s="4">
        <v>1775</v>
      </c>
      <c r="AF3228" s="6">
        <v>65</v>
      </c>
      <c r="AG3228" s="6"/>
      <c r="AH3228" s="7">
        <v>0.6417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>
        <v>2</v>
      </c>
      <c r="AQ3228" s="8">
        <v>65.32</v>
      </c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>
        <v>0.0949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 t="s">
        <v>100</v>
      </c>
      <c r="BJ3228" s="4">
        <v>172</v>
      </c>
      <c r="BK3228" s="8">
        <v>6140.22</v>
      </c>
      <c r="BL3228" s="2" t="s">
        <v>10247</v>
      </c>
      <c r="BM3228" s="7">
        <v>0.0116</v>
      </c>
      <c r="BN3228" s="7">
        <v>0.0106</v>
      </c>
      <c r="BO3228" s="4">
        <v>2</v>
      </c>
      <c r="BP3228" s="8">
        <v>65.32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1539</v>
      </c>
      <c r="BX3228" s="2" t="s">
        <v>9133</v>
      </c>
      <c r="BY3228" s="2" t="s">
        <v>113</v>
      </c>
      <c r="BZ3228" s="2" t="s">
        <v>100</v>
      </c>
    </row>
    <row r="3229">
      <c r="A3229" s="2" t="s">
        <v>10248</v>
      </c>
      <c r="B3229" s="2" t="s">
        <v>9668</v>
      </c>
      <c r="C3229" s="2" t="s">
        <v>5702</v>
      </c>
      <c r="D3229" s="2" t="s">
        <v>9669</v>
      </c>
      <c r="E3229" s="2" t="s">
        <v>9670</v>
      </c>
      <c r="F3229" s="2" t="s">
        <v>10226</v>
      </c>
      <c r="G3229" s="2" t="s">
        <v>10226</v>
      </c>
      <c r="H3229" s="2" t="s">
        <v>10226</v>
      </c>
      <c r="I3229" s="2" t="s">
        <v>10227</v>
      </c>
      <c r="J3229" s="2" t="s">
        <v>717</v>
      </c>
      <c r="K3229" s="2" t="s">
        <v>512</v>
      </c>
      <c r="L3229" s="3">
        <v>27.72</v>
      </c>
      <c r="M3229" s="3">
        <v>29.11</v>
      </c>
      <c r="N3229" s="3">
        <v>59.99</v>
      </c>
      <c r="O3229" s="2" t="s">
        <v>97</v>
      </c>
      <c r="P3229" s="2" t="s">
        <v>119</v>
      </c>
      <c r="Q3229" s="2" t="s">
        <v>99</v>
      </c>
      <c r="R3229" s="2" t="s">
        <v>100</v>
      </c>
      <c r="S3229" s="2" t="s">
        <v>10249</v>
      </c>
      <c r="T3229" s="2" t="s">
        <v>4972</v>
      </c>
      <c r="U3229" s="2" t="s">
        <v>402</v>
      </c>
      <c r="V3229" s="2" t="s">
        <v>146</v>
      </c>
      <c r="W3229" s="2" t="s">
        <v>183</v>
      </c>
      <c r="X3229" s="2" t="s">
        <v>561</v>
      </c>
      <c r="Y3229" s="2" t="s">
        <v>10229</v>
      </c>
      <c r="Z3229" s="4">
        <v>364</v>
      </c>
      <c r="AA3229" s="4">
        <f>=ROUNDDOWN(26,0)</f>
      </c>
      <c r="AB3229" s="5">
        <v>14</v>
      </c>
      <c r="AC3229" s="2" t="s">
        <v>9084</v>
      </c>
      <c r="AD3229" s="4">
        <v>190</v>
      </c>
      <c r="AE3229" s="4">
        <v>400</v>
      </c>
      <c r="AF3229" s="6">
        <v>65</v>
      </c>
      <c r="AG3229" s="6"/>
      <c r="AH3229" s="7">
        <v>0.7487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>
        <v>3</v>
      </c>
      <c r="AQ3229" s="8">
        <v>81.66</v>
      </c>
      <c r="AR3229" s="4"/>
      <c r="AS3229" s="8"/>
      <c r="AT3229" s="7"/>
      <c r="AU3229" s="7"/>
      <c r="AV3229" s="4">
        <v>22</v>
      </c>
      <c r="AW3229" s="8">
        <v>688.6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>
        <v>0.1186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0.0942</v>
      </c>
      <c r="BJ3229" s="4">
        <v>291</v>
      </c>
      <c r="BK3229" s="8">
        <v>8679.78</v>
      </c>
      <c r="BL3229" s="2" t="s">
        <v>10250</v>
      </c>
      <c r="BM3229" s="7">
        <v>0.0103</v>
      </c>
      <c r="BN3229" s="7">
        <v>0.0094</v>
      </c>
      <c r="BO3229" s="4">
        <v>3</v>
      </c>
      <c r="BP3229" s="8">
        <v>81.66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1539</v>
      </c>
      <c r="BX3229" s="2" t="s">
        <v>4024</v>
      </c>
      <c r="BY3229" s="2" t="s">
        <v>113</v>
      </c>
      <c r="BZ3229" s="2" t="s">
        <v>100</v>
      </c>
    </row>
    <row r="3230">
      <c r="A3230" s="2" t="s">
        <v>10251</v>
      </c>
      <c r="B3230" s="2" t="s">
        <v>9668</v>
      </c>
      <c r="C3230" s="2" t="s">
        <v>5702</v>
      </c>
      <c r="D3230" s="2" t="s">
        <v>9669</v>
      </c>
      <c r="E3230" s="2" t="s">
        <v>9670</v>
      </c>
      <c r="F3230" s="2" t="s">
        <v>10226</v>
      </c>
      <c r="G3230" s="2" t="s">
        <v>10226</v>
      </c>
      <c r="H3230" s="2" t="s">
        <v>10226</v>
      </c>
      <c r="I3230" s="2" t="s">
        <v>10227</v>
      </c>
      <c r="J3230" s="2" t="s">
        <v>706</v>
      </c>
      <c r="K3230" s="2" t="s">
        <v>512</v>
      </c>
      <c r="L3230" s="3">
        <v>30.71</v>
      </c>
      <c r="M3230" s="3">
        <v>32.25</v>
      </c>
      <c r="N3230" s="3">
        <v>64.99</v>
      </c>
      <c r="O3230" s="2" t="s">
        <v>97</v>
      </c>
      <c r="P3230" s="2" t="s">
        <v>950</v>
      </c>
      <c r="Q3230" s="2" t="s">
        <v>99</v>
      </c>
      <c r="R3230" s="2" t="s">
        <v>100</v>
      </c>
      <c r="S3230" s="2" t="s">
        <v>10249</v>
      </c>
      <c r="T3230" s="2" t="s">
        <v>4972</v>
      </c>
      <c r="U3230" s="2" t="s">
        <v>402</v>
      </c>
      <c r="V3230" s="2" t="s">
        <v>146</v>
      </c>
      <c r="W3230" s="2" t="s">
        <v>183</v>
      </c>
      <c r="X3230" s="2" t="s">
        <v>561</v>
      </c>
      <c r="Y3230" s="2" t="s">
        <v>10229</v>
      </c>
      <c r="Z3230" s="4">
        <v>1088</v>
      </c>
      <c r="AA3230" s="4">
        <f>=ROUNDDOWN(20.1481481481481,0)</f>
      </c>
      <c r="AB3230" s="5">
        <v>54</v>
      </c>
      <c r="AC3230" s="2" t="s">
        <v>356</v>
      </c>
      <c r="AD3230" s="4">
        <v>8100</v>
      </c>
      <c r="AE3230" s="4">
        <v>9545</v>
      </c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>
        <v>5</v>
      </c>
      <c r="AQ3230" s="8">
        <v>149.7</v>
      </c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>
        <v>0.2174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 t="s">
        <v>100</v>
      </c>
      <c r="BJ3230" s="4">
        <v>1498</v>
      </c>
      <c r="BK3230" s="8">
        <v>48758.23</v>
      </c>
      <c r="BL3230" s="2" t="s">
        <v>10252</v>
      </c>
      <c r="BM3230" s="7">
        <v>0.0033</v>
      </c>
      <c r="BN3230" s="7">
        <v>0.0031</v>
      </c>
      <c r="BO3230" s="4">
        <v>5</v>
      </c>
      <c r="BP3230" s="8">
        <v>149.7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1539</v>
      </c>
      <c r="BX3230" s="2" t="s">
        <v>10253</v>
      </c>
      <c r="BY3230" s="2" t="s">
        <v>113</v>
      </c>
      <c r="BZ3230" s="2" t="s">
        <v>100</v>
      </c>
    </row>
    <row r="3231">
      <c r="A3231" s="2" t="s">
        <v>10254</v>
      </c>
      <c r="B3231" s="2" t="s">
        <v>9668</v>
      </c>
      <c r="C3231" s="2" t="s">
        <v>5702</v>
      </c>
      <c r="D3231" s="2" t="s">
        <v>9669</v>
      </c>
      <c r="E3231" s="2" t="s">
        <v>9670</v>
      </c>
      <c r="F3231" s="2" t="s">
        <v>10226</v>
      </c>
      <c r="G3231" s="2" t="s">
        <v>10226</v>
      </c>
      <c r="H3231" s="2" t="s">
        <v>10226</v>
      </c>
      <c r="I3231" s="2" t="s">
        <v>10227</v>
      </c>
      <c r="J3231" s="2" t="s">
        <v>714</v>
      </c>
      <c r="K3231" s="2" t="s">
        <v>512</v>
      </c>
      <c r="L3231" s="3">
        <v>33.08</v>
      </c>
      <c r="M3231" s="3">
        <v>34.73</v>
      </c>
      <c r="N3231" s="3">
        <v>69.99</v>
      </c>
      <c r="O3231" s="2" t="s">
        <v>97</v>
      </c>
      <c r="P3231" s="2" t="s">
        <v>119</v>
      </c>
      <c r="Q3231" s="2" t="s">
        <v>99</v>
      </c>
      <c r="R3231" s="2" t="s">
        <v>100</v>
      </c>
      <c r="S3231" s="2" t="s">
        <v>10249</v>
      </c>
      <c r="T3231" s="2" t="s">
        <v>4972</v>
      </c>
      <c r="U3231" s="2" t="s">
        <v>402</v>
      </c>
      <c r="V3231" s="2" t="s">
        <v>146</v>
      </c>
      <c r="W3231" s="2" t="s">
        <v>183</v>
      </c>
      <c r="X3231" s="2" t="s">
        <v>561</v>
      </c>
      <c r="Y3231" s="2" t="s">
        <v>10229</v>
      </c>
      <c r="Z3231" s="4">
        <v>687</v>
      </c>
      <c r="AA3231" s="4">
        <f>=ROUNDDOWN(18.5675675675676,0)</f>
      </c>
      <c r="AB3231" s="5">
        <v>37</v>
      </c>
      <c r="AC3231" s="2" t="s">
        <v>356</v>
      </c>
      <c r="AD3231" s="4">
        <v>2925</v>
      </c>
      <c r="AE3231" s="4">
        <v>3625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>
        <v>11</v>
      </c>
      <c r="AQ3231" s="8">
        <v>359.26</v>
      </c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>
        <v>0.5217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 t="s">
        <v>100</v>
      </c>
      <c r="BJ3231" s="4">
        <v>820</v>
      </c>
      <c r="BK3231" s="8">
        <v>28979.59</v>
      </c>
      <c r="BL3231" s="2" t="s">
        <v>10255</v>
      </c>
      <c r="BM3231" s="7">
        <v>0.0134</v>
      </c>
      <c r="BN3231" s="7">
        <v>0.0124</v>
      </c>
      <c r="BO3231" s="4">
        <v>11</v>
      </c>
      <c r="BP3231" s="8">
        <v>359.26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1539</v>
      </c>
      <c r="BX3231" s="2" t="s">
        <v>9039</v>
      </c>
      <c r="BY3231" s="2" t="s">
        <v>113</v>
      </c>
      <c r="BZ3231" s="2" t="s">
        <v>100</v>
      </c>
    </row>
    <row r="3232">
      <c r="A3232" s="2" t="s">
        <v>10256</v>
      </c>
      <c r="B3232" s="2" t="s">
        <v>9668</v>
      </c>
      <c r="C3232" s="2" t="s">
        <v>5702</v>
      </c>
      <c r="D3232" s="2" t="s">
        <v>9669</v>
      </c>
      <c r="E3232" s="2" t="s">
        <v>9670</v>
      </c>
      <c r="F3232" s="2" t="s">
        <v>10226</v>
      </c>
      <c r="G3232" s="2" t="s">
        <v>10226</v>
      </c>
      <c r="H3232" s="2" t="s">
        <v>10226</v>
      </c>
      <c r="I3232" s="2" t="s">
        <v>10227</v>
      </c>
      <c r="J3232" s="2" t="s">
        <v>817</v>
      </c>
      <c r="K3232" s="2" t="s">
        <v>512</v>
      </c>
      <c r="L3232" s="3">
        <v>33.08</v>
      </c>
      <c r="M3232" s="3">
        <v>34.73</v>
      </c>
      <c r="N3232" s="3">
        <v>69.99</v>
      </c>
      <c r="O3232" s="2" t="s">
        <v>97</v>
      </c>
      <c r="P3232" s="2" t="s">
        <v>119</v>
      </c>
      <c r="Q3232" s="2" t="s">
        <v>99</v>
      </c>
      <c r="R3232" s="2" t="s">
        <v>100</v>
      </c>
      <c r="S3232" s="2" t="s">
        <v>10249</v>
      </c>
      <c r="T3232" s="2" t="s">
        <v>4972</v>
      </c>
      <c r="U3232" s="2" t="s">
        <v>402</v>
      </c>
      <c r="V3232" s="2" t="s">
        <v>146</v>
      </c>
      <c r="W3232" s="2" t="s">
        <v>183</v>
      </c>
      <c r="X3232" s="2" t="s">
        <v>561</v>
      </c>
      <c r="Y3232" s="2" t="s">
        <v>10229</v>
      </c>
      <c r="Z3232" s="4">
        <v>241</v>
      </c>
      <c r="AA3232" s="4">
        <f>=ROUNDDOWN(24.1,0)</f>
      </c>
      <c r="AB3232" s="5">
        <v>10</v>
      </c>
      <c r="AC3232" s="2" t="s">
        <v>9084</v>
      </c>
      <c r="AD3232" s="4">
        <v>250</v>
      </c>
      <c r="AE3232" s="4">
        <v>340</v>
      </c>
      <c r="AF3232" s="6">
        <v>65</v>
      </c>
      <c r="AG3232" s="6"/>
      <c r="AH3232" s="7">
        <v>0.9572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>
        <v>3</v>
      </c>
      <c r="AQ3232" s="8">
        <v>97.98</v>
      </c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>
        <v>0.1423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 t="s">
        <v>100</v>
      </c>
      <c r="BJ3232" s="4">
        <v>307</v>
      </c>
      <c r="BK3232" s="8">
        <v>10976.09</v>
      </c>
      <c r="BL3232" s="2" t="s">
        <v>10257</v>
      </c>
      <c r="BM3232" s="7">
        <v>0.0098</v>
      </c>
      <c r="BN3232" s="7">
        <v>0.0089</v>
      </c>
      <c r="BO3232" s="4">
        <v>3</v>
      </c>
      <c r="BP3232" s="8">
        <v>97.98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1539</v>
      </c>
      <c r="BX3232" s="2" t="s">
        <v>9744</v>
      </c>
      <c r="BY3232" s="2" t="s">
        <v>113</v>
      </c>
      <c r="BZ3232" s="2" t="s">
        <v>100</v>
      </c>
    </row>
    <row r="3233">
      <c r="A3233" s="2" t="s">
        <v>10258</v>
      </c>
      <c r="B3233" s="2" t="s">
        <v>9668</v>
      </c>
      <c r="C3233" s="2" t="s">
        <v>5702</v>
      </c>
      <c r="D3233" s="2" t="s">
        <v>9669</v>
      </c>
      <c r="E3233" s="2" t="s">
        <v>9670</v>
      </c>
      <c r="F3233" s="2" t="s">
        <v>10226</v>
      </c>
      <c r="G3233" s="2" t="s">
        <v>10226</v>
      </c>
      <c r="H3233" s="2" t="s">
        <v>10226</v>
      </c>
      <c r="I3233" s="2" t="s">
        <v>10227</v>
      </c>
      <c r="J3233" s="2" t="s">
        <v>717</v>
      </c>
      <c r="K3233" s="2" t="s">
        <v>198</v>
      </c>
      <c r="L3233" s="3">
        <v>27.72</v>
      </c>
      <c r="M3233" s="3">
        <v>29.11</v>
      </c>
      <c r="N3233" s="3">
        <v>59.99</v>
      </c>
      <c r="O3233" s="2" t="s">
        <v>97</v>
      </c>
      <c r="P3233" s="2" t="s">
        <v>119</v>
      </c>
      <c r="Q3233" s="2" t="s">
        <v>99</v>
      </c>
      <c r="R3233" s="2" t="s">
        <v>100</v>
      </c>
      <c r="S3233" s="2" t="s">
        <v>10259</v>
      </c>
      <c r="T3233" s="2" t="s">
        <v>4972</v>
      </c>
      <c r="U3233" s="2" t="s">
        <v>402</v>
      </c>
      <c r="V3233" s="2" t="s">
        <v>146</v>
      </c>
      <c r="W3233" s="2" t="s">
        <v>183</v>
      </c>
      <c r="X3233" s="2" t="s">
        <v>561</v>
      </c>
      <c r="Y3233" s="2" t="s">
        <v>10229</v>
      </c>
      <c r="Z3233" s="4">
        <v>386</v>
      </c>
      <c r="AA3233" s="4">
        <f>=ROUNDDOWN(21.4444444444444,0)</f>
      </c>
      <c r="AB3233" s="5">
        <v>18</v>
      </c>
      <c r="AC3233" s="2" t="s">
        <v>356</v>
      </c>
      <c r="AD3233" s="4">
        <v>4800</v>
      </c>
      <c r="AE3233" s="4">
        <v>5287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>
        <v>9</v>
      </c>
      <c r="AQ3233" s="8">
        <v>244.98</v>
      </c>
      <c r="AR3233" s="4"/>
      <c r="AS3233" s="8"/>
      <c r="AT3233" s="7"/>
      <c r="AU3233" s="7"/>
      <c r="AV3233" s="4">
        <v>20</v>
      </c>
      <c r="AW3233" s="8">
        <v>585.2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>
        <v>0.4186</v>
      </c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0.0801</v>
      </c>
      <c r="BJ3233" s="4">
        <v>471</v>
      </c>
      <c r="BK3233" s="8">
        <v>13721.36</v>
      </c>
      <c r="BL3233" s="2" t="s">
        <v>10260</v>
      </c>
      <c r="BM3233" s="7">
        <v>0.0191</v>
      </c>
      <c r="BN3233" s="7">
        <v>0.0179</v>
      </c>
      <c r="BO3233" s="4">
        <v>9</v>
      </c>
      <c r="BP3233" s="8">
        <v>244.98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1539</v>
      </c>
      <c r="BX3233" s="2" t="s">
        <v>10261</v>
      </c>
      <c r="BY3233" s="2" t="s">
        <v>113</v>
      </c>
      <c r="BZ3233" s="2" t="s">
        <v>100</v>
      </c>
    </row>
    <row r="3234">
      <c r="A3234" s="2" t="s">
        <v>10262</v>
      </c>
      <c r="B3234" s="2" t="s">
        <v>9668</v>
      </c>
      <c r="C3234" s="2" t="s">
        <v>5702</v>
      </c>
      <c r="D3234" s="2" t="s">
        <v>9669</v>
      </c>
      <c r="E3234" s="2" t="s">
        <v>9670</v>
      </c>
      <c r="F3234" s="2" t="s">
        <v>10226</v>
      </c>
      <c r="G3234" s="2" t="s">
        <v>10226</v>
      </c>
      <c r="H3234" s="2" t="s">
        <v>10226</v>
      </c>
      <c r="I3234" s="2" t="s">
        <v>10227</v>
      </c>
      <c r="J3234" s="2" t="s">
        <v>706</v>
      </c>
      <c r="K3234" s="2" t="s">
        <v>198</v>
      </c>
      <c r="L3234" s="3">
        <v>30.71</v>
      </c>
      <c r="M3234" s="3">
        <v>32.25</v>
      </c>
      <c r="N3234" s="3">
        <v>64.99</v>
      </c>
      <c r="O3234" s="2" t="s">
        <v>97</v>
      </c>
      <c r="P3234" s="2" t="s">
        <v>950</v>
      </c>
      <c r="Q3234" s="2" t="s">
        <v>99</v>
      </c>
      <c r="R3234" s="2" t="s">
        <v>100</v>
      </c>
      <c r="S3234" s="2" t="s">
        <v>10259</v>
      </c>
      <c r="T3234" s="2" t="s">
        <v>4972</v>
      </c>
      <c r="U3234" s="2" t="s">
        <v>402</v>
      </c>
      <c r="V3234" s="2" t="s">
        <v>146</v>
      </c>
      <c r="W3234" s="2" t="s">
        <v>183</v>
      </c>
      <c r="X3234" s="2" t="s">
        <v>561</v>
      </c>
      <c r="Y3234" s="2" t="s">
        <v>10229</v>
      </c>
      <c r="Z3234" s="4">
        <v>691</v>
      </c>
      <c r="AA3234" s="4">
        <f>=ROUNDDOWN(14.7021276595745,0)</f>
      </c>
      <c r="AB3234" s="5">
        <v>47</v>
      </c>
      <c r="AC3234" s="2" t="s">
        <v>356</v>
      </c>
      <c r="AD3234" s="4">
        <v>50</v>
      </c>
      <c r="AE3234" s="4">
        <v>1575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>
        <v>7</v>
      </c>
      <c r="AQ3234" s="8">
        <v>209.58</v>
      </c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>
        <v>0.3581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 t="s">
        <v>100</v>
      </c>
      <c r="BJ3234" s="4">
        <v>1244</v>
      </c>
      <c r="BK3234" s="8">
        <v>40808.89</v>
      </c>
      <c r="BL3234" s="2" t="s">
        <v>10263</v>
      </c>
      <c r="BM3234" s="7">
        <v>0.0056</v>
      </c>
      <c r="BN3234" s="7">
        <v>0.0051</v>
      </c>
      <c r="BO3234" s="4">
        <v>7</v>
      </c>
      <c r="BP3234" s="8">
        <v>209.58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1539</v>
      </c>
      <c r="BX3234" s="2" t="s">
        <v>10264</v>
      </c>
      <c r="BY3234" s="2" t="s">
        <v>113</v>
      </c>
      <c r="BZ3234" s="2" t="s">
        <v>100</v>
      </c>
    </row>
    <row r="3235">
      <c r="A3235" s="2" t="s">
        <v>10265</v>
      </c>
      <c r="B3235" s="2" t="s">
        <v>9668</v>
      </c>
      <c r="C3235" s="2" t="s">
        <v>5702</v>
      </c>
      <c r="D3235" s="2" t="s">
        <v>9669</v>
      </c>
      <c r="E3235" s="2" t="s">
        <v>9670</v>
      </c>
      <c r="F3235" s="2" t="s">
        <v>10226</v>
      </c>
      <c r="G3235" s="2" t="s">
        <v>10226</v>
      </c>
      <c r="H3235" s="2" t="s">
        <v>10226</v>
      </c>
      <c r="I3235" s="2" t="s">
        <v>10227</v>
      </c>
      <c r="J3235" s="2" t="s">
        <v>714</v>
      </c>
      <c r="K3235" s="2" t="s">
        <v>198</v>
      </c>
      <c r="L3235" s="3">
        <v>33.08</v>
      </c>
      <c r="M3235" s="3">
        <v>34.73</v>
      </c>
      <c r="N3235" s="3">
        <v>69.99</v>
      </c>
      <c r="O3235" s="2" t="s">
        <v>97</v>
      </c>
      <c r="P3235" s="2" t="s">
        <v>950</v>
      </c>
      <c r="Q3235" s="2" t="s">
        <v>99</v>
      </c>
      <c r="R3235" s="2" t="s">
        <v>100</v>
      </c>
      <c r="S3235" s="2" t="s">
        <v>10259</v>
      </c>
      <c r="T3235" s="2" t="s">
        <v>4972</v>
      </c>
      <c r="U3235" s="2" t="s">
        <v>402</v>
      </c>
      <c r="V3235" s="2" t="s">
        <v>146</v>
      </c>
      <c r="W3235" s="2" t="s">
        <v>183</v>
      </c>
      <c r="X3235" s="2" t="s">
        <v>561</v>
      </c>
      <c r="Y3235" s="2" t="s">
        <v>10229</v>
      </c>
      <c r="Z3235" s="4">
        <v>540</v>
      </c>
      <c r="AA3235" s="4">
        <f>=ROUNDDOWN(15.4285714285714,0)</f>
      </c>
      <c r="AB3235" s="5">
        <v>35</v>
      </c>
      <c r="AC3235" s="2" t="s">
        <v>356</v>
      </c>
      <c r="AD3235" s="4">
        <v>2500</v>
      </c>
      <c r="AE3235" s="4">
        <v>3356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>
        <v>2</v>
      </c>
      <c r="AQ3235" s="8">
        <v>65.32</v>
      </c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>
        <v>0.1116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 t="s">
        <v>100</v>
      </c>
      <c r="BJ3235" s="4">
        <v>799</v>
      </c>
      <c r="BK3235" s="8">
        <v>28271.94</v>
      </c>
      <c r="BL3235" s="2" t="s">
        <v>10266</v>
      </c>
      <c r="BM3235" s="7">
        <v>0.0025</v>
      </c>
      <c r="BN3235" s="7">
        <v>0.0023</v>
      </c>
      <c r="BO3235" s="4">
        <v>2</v>
      </c>
      <c r="BP3235" s="8">
        <v>65.32</v>
      </c>
      <c r="BQ3235" s="4"/>
      <c r="BR3235" s="8"/>
      <c r="BS3235" s="7"/>
      <c r="BT3235" s="7"/>
      <c r="BU3235" s="2" t="s">
        <v>109</v>
      </c>
      <c r="BV3235" s="2" t="s">
        <v>110</v>
      </c>
      <c r="BW3235" s="2" t="s">
        <v>1539</v>
      </c>
      <c r="BX3235" s="2" t="s">
        <v>10267</v>
      </c>
      <c r="BY3235" s="2" t="s">
        <v>113</v>
      </c>
      <c r="BZ3235" s="2" t="s">
        <v>100</v>
      </c>
    </row>
    <row r="3236">
      <c r="A3236" s="2" t="s">
        <v>10268</v>
      </c>
      <c r="B3236" s="2" t="s">
        <v>9668</v>
      </c>
      <c r="C3236" s="2" t="s">
        <v>5702</v>
      </c>
      <c r="D3236" s="2" t="s">
        <v>9669</v>
      </c>
      <c r="E3236" s="2" t="s">
        <v>9670</v>
      </c>
      <c r="F3236" s="2" t="s">
        <v>10226</v>
      </c>
      <c r="G3236" s="2" t="s">
        <v>10226</v>
      </c>
      <c r="H3236" s="2" t="s">
        <v>10226</v>
      </c>
      <c r="I3236" s="2" t="s">
        <v>10227</v>
      </c>
      <c r="J3236" s="2" t="s">
        <v>817</v>
      </c>
      <c r="K3236" s="2" t="s">
        <v>198</v>
      </c>
      <c r="L3236" s="3">
        <v>33.08</v>
      </c>
      <c r="M3236" s="3">
        <v>34.73</v>
      </c>
      <c r="N3236" s="3">
        <v>69.99</v>
      </c>
      <c r="O3236" s="2" t="s">
        <v>97</v>
      </c>
      <c r="P3236" s="2" t="s">
        <v>119</v>
      </c>
      <c r="Q3236" s="2" t="s">
        <v>99</v>
      </c>
      <c r="R3236" s="2" t="s">
        <v>100</v>
      </c>
      <c r="S3236" s="2" t="s">
        <v>10259</v>
      </c>
      <c r="T3236" s="2" t="s">
        <v>4972</v>
      </c>
      <c r="U3236" s="2" t="s">
        <v>402</v>
      </c>
      <c r="V3236" s="2" t="s">
        <v>146</v>
      </c>
      <c r="W3236" s="2" t="s">
        <v>183</v>
      </c>
      <c r="X3236" s="2" t="s">
        <v>561</v>
      </c>
      <c r="Y3236" s="2" t="s">
        <v>10229</v>
      </c>
      <c r="Z3236" s="4">
        <v>402</v>
      </c>
      <c r="AA3236" s="4">
        <f>=ROUNDDOWN(28.7142857142857,0)</f>
      </c>
      <c r="AB3236" s="5">
        <v>14</v>
      </c>
      <c r="AC3236" s="2" t="s">
        <v>9084</v>
      </c>
      <c r="AD3236" s="4">
        <v>30</v>
      </c>
      <c r="AE3236" s="4">
        <v>320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>
        <v>2</v>
      </c>
      <c r="AQ3236" s="8">
        <v>65.32</v>
      </c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>
        <v>0.1116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 t="s">
        <v>100</v>
      </c>
      <c r="BJ3236" s="4">
        <v>317</v>
      </c>
      <c r="BK3236" s="8">
        <v>11355.49</v>
      </c>
      <c r="BL3236" s="2" t="s">
        <v>10269</v>
      </c>
      <c r="BM3236" s="7">
        <v>0.0063</v>
      </c>
      <c r="BN3236" s="7">
        <v>0.0058</v>
      </c>
      <c r="BO3236" s="4">
        <v>2</v>
      </c>
      <c r="BP3236" s="8">
        <v>65.32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1539</v>
      </c>
      <c r="BX3236" s="2" t="s">
        <v>2034</v>
      </c>
      <c r="BY3236" s="2" t="s">
        <v>113</v>
      </c>
      <c r="BZ3236" s="2" t="s">
        <v>100</v>
      </c>
    </row>
    <row r="3237">
      <c r="A3237" s="2" t="s">
        <v>10270</v>
      </c>
      <c r="B3237" s="2" t="s">
        <v>9668</v>
      </c>
      <c r="C3237" s="2" t="s">
        <v>5702</v>
      </c>
      <c r="D3237" s="2" t="s">
        <v>9669</v>
      </c>
      <c r="E3237" s="2" t="s">
        <v>9670</v>
      </c>
      <c r="F3237" s="2" t="s">
        <v>10226</v>
      </c>
      <c r="G3237" s="2" t="s">
        <v>10226</v>
      </c>
      <c r="H3237" s="2" t="s">
        <v>10226</v>
      </c>
      <c r="I3237" s="2" t="s">
        <v>10227</v>
      </c>
      <c r="J3237" s="2" t="s">
        <v>717</v>
      </c>
      <c r="K3237" s="2" t="s">
        <v>144</v>
      </c>
      <c r="L3237" s="3">
        <v>27.72</v>
      </c>
      <c r="M3237" s="3">
        <v>29.11</v>
      </c>
      <c r="N3237" s="3">
        <v>59.99</v>
      </c>
      <c r="O3237" s="2" t="s">
        <v>97</v>
      </c>
      <c r="P3237" s="2" t="s">
        <v>119</v>
      </c>
      <c r="Q3237" s="2" t="s">
        <v>99</v>
      </c>
      <c r="R3237" s="2" t="s">
        <v>100</v>
      </c>
      <c r="S3237" s="2" t="s">
        <v>10271</v>
      </c>
      <c r="T3237" s="2" t="s">
        <v>4972</v>
      </c>
      <c r="U3237" s="2" t="s">
        <v>402</v>
      </c>
      <c r="V3237" s="2" t="s">
        <v>146</v>
      </c>
      <c r="W3237" s="2" t="s">
        <v>183</v>
      </c>
      <c r="X3237" s="2" t="s">
        <v>561</v>
      </c>
      <c r="Y3237" s="2" t="s">
        <v>2378</v>
      </c>
      <c r="Z3237" s="4">
        <v>137</v>
      </c>
      <c r="AA3237" s="4">
        <f>=ROUNDDOWN(17.125,0)</f>
      </c>
      <c r="AB3237" s="5">
        <v>8</v>
      </c>
      <c r="AC3237" s="2" t="s">
        <v>9084</v>
      </c>
      <c r="AD3237" s="4">
        <v>148</v>
      </c>
      <c r="AE3237" s="4">
        <v>228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>
        <v>4</v>
      </c>
      <c r="AQ3237" s="8">
        <v>110.88</v>
      </c>
      <c r="AR3237" s="4"/>
      <c r="AS3237" s="8"/>
      <c r="AT3237" s="7"/>
      <c r="AU3237" s="7"/>
      <c r="AV3237" s="4">
        <v>16</v>
      </c>
      <c r="AW3237" s="8">
        <v>500.73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>
        <v>0.2214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0.0685</v>
      </c>
      <c r="BJ3237" s="4">
        <v>188</v>
      </c>
      <c r="BK3237" s="8">
        <v>5654.03</v>
      </c>
      <c r="BL3237" s="2" t="s">
        <v>10272</v>
      </c>
      <c r="BM3237" s="7">
        <v>0.0213</v>
      </c>
      <c r="BN3237" s="7">
        <v>0.0196</v>
      </c>
      <c r="BO3237" s="4">
        <v>4</v>
      </c>
      <c r="BP3237" s="8">
        <v>110.88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10273</v>
      </c>
      <c r="BX3237" s="2" t="s">
        <v>10274</v>
      </c>
      <c r="BY3237" s="2" t="s">
        <v>113</v>
      </c>
      <c r="BZ3237" s="2" t="s">
        <v>100</v>
      </c>
    </row>
    <row r="3238">
      <c r="A3238" s="2" t="s">
        <v>10275</v>
      </c>
      <c r="B3238" s="2" t="s">
        <v>9668</v>
      </c>
      <c r="C3238" s="2" t="s">
        <v>5702</v>
      </c>
      <c r="D3238" s="2" t="s">
        <v>9669</v>
      </c>
      <c r="E3238" s="2" t="s">
        <v>9670</v>
      </c>
      <c r="F3238" s="2" t="s">
        <v>10226</v>
      </c>
      <c r="G3238" s="2" t="s">
        <v>10226</v>
      </c>
      <c r="H3238" s="2" t="s">
        <v>10226</v>
      </c>
      <c r="I3238" s="2" t="s">
        <v>10227</v>
      </c>
      <c r="J3238" s="2" t="s">
        <v>706</v>
      </c>
      <c r="K3238" s="2" t="s">
        <v>144</v>
      </c>
      <c r="L3238" s="3">
        <v>30.71</v>
      </c>
      <c r="M3238" s="3">
        <v>32.25</v>
      </c>
      <c r="N3238" s="3">
        <v>64.99</v>
      </c>
      <c r="O3238" s="2" t="s">
        <v>97</v>
      </c>
      <c r="P3238" s="2" t="s">
        <v>950</v>
      </c>
      <c r="Q3238" s="2" t="s">
        <v>99</v>
      </c>
      <c r="R3238" s="2" t="s">
        <v>100</v>
      </c>
      <c r="S3238" s="2" t="s">
        <v>10271</v>
      </c>
      <c r="T3238" s="2" t="s">
        <v>4972</v>
      </c>
      <c r="U3238" s="2" t="s">
        <v>402</v>
      </c>
      <c r="V3238" s="2" t="s">
        <v>146</v>
      </c>
      <c r="W3238" s="2" t="s">
        <v>183</v>
      </c>
      <c r="X3238" s="2" t="s">
        <v>561</v>
      </c>
      <c r="Y3238" s="2" t="s">
        <v>2378</v>
      </c>
      <c r="Z3238" s="4">
        <v>653</v>
      </c>
      <c r="AA3238" s="4">
        <f>=ROUNDDOWN(17.1842105263158,0)</f>
      </c>
      <c r="AB3238" s="5">
        <v>38</v>
      </c>
      <c r="AC3238" s="2" t="s">
        <v>356</v>
      </c>
      <c r="AD3238" s="4">
        <v>5100</v>
      </c>
      <c r="AE3238" s="4">
        <v>6175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>
        <v>3</v>
      </c>
      <c r="AQ3238" s="8">
        <v>92.13</v>
      </c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>
        <v>0.184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 t="s">
        <v>100</v>
      </c>
      <c r="BJ3238" s="4">
        <v>888</v>
      </c>
      <c r="BK3238" s="8">
        <v>29237.73</v>
      </c>
      <c r="BL3238" s="2" t="s">
        <v>10276</v>
      </c>
      <c r="BM3238" s="7">
        <v>0.0034</v>
      </c>
      <c r="BN3238" s="7">
        <v>0.0032</v>
      </c>
      <c r="BO3238" s="4">
        <v>3</v>
      </c>
      <c r="BP3238" s="8">
        <v>92.13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10273</v>
      </c>
      <c r="BX3238" s="2" t="s">
        <v>7841</v>
      </c>
      <c r="BY3238" s="2" t="s">
        <v>113</v>
      </c>
      <c r="BZ3238" s="2" t="s">
        <v>100</v>
      </c>
    </row>
    <row r="3239">
      <c r="A3239" s="2" t="s">
        <v>10277</v>
      </c>
      <c r="B3239" s="2" t="s">
        <v>9668</v>
      </c>
      <c r="C3239" s="2" t="s">
        <v>5702</v>
      </c>
      <c r="D3239" s="2" t="s">
        <v>9669</v>
      </c>
      <c r="E3239" s="2" t="s">
        <v>9670</v>
      </c>
      <c r="F3239" s="2" t="s">
        <v>10226</v>
      </c>
      <c r="G3239" s="2" t="s">
        <v>10226</v>
      </c>
      <c r="H3239" s="2" t="s">
        <v>10226</v>
      </c>
      <c r="I3239" s="2" t="s">
        <v>10227</v>
      </c>
      <c r="J3239" s="2" t="s">
        <v>714</v>
      </c>
      <c r="K3239" s="2" t="s">
        <v>144</v>
      </c>
      <c r="L3239" s="3">
        <v>33.08</v>
      </c>
      <c r="M3239" s="3">
        <v>34.73</v>
      </c>
      <c r="N3239" s="3">
        <v>69.99</v>
      </c>
      <c r="O3239" s="2" t="s">
        <v>97</v>
      </c>
      <c r="P3239" s="2" t="s">
        <v>119</v>
      </c>
      <c r="Q3239" s="2" t="s">
        <v>99</v>
      </c>
      <c r="R3239" s="2" t="s">
        <v>100</v>
      </c>
      <c r="S3239" s="2" t="s">
        <v>10271</v>
      </c>
      <c r="T3239" s="2" t="s">
        <v>4972</v>
      </c>
      <c r="U3239" s="2" t="s">
        <v>402</v>
      </c>
      <c r="V3239" s="2" t="s">
        <v>146</v>
      </c>
      <c r="W3239" s="2" t="s">
        <v>183</v>
      </c>
      <c r="X3239" s="2" t="s">
        <v>561</v>
      </c>
      <c r="Y3239" s="2" t="s">
        <v>2378</v>
      </c>
      <c r="Z3239" s="4">
        <v>439</v>
      </c>
      <c r="AA3239" s="4">
        <f>=ROUNDDOWN(14.6333333333333,0)</f>
      </c>
      <c r="AB3239" s="5">
        <v>30</v>
      </c>
      <c r="AC3239" s="2" t="s">
        <v>9084</v>
      </c>
      <c r="AD3239" s="4">
        <v>303</v>
      </c>
      <c r="AE3239" s="4">
        <v>926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>
        <v>6</v>
      </c>
      <c r="AQ3239" s="8">
        <v>198.48</v>
      </c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>
        <v>0.3964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 t="s">
        <v>100</v>
      </c>
      <c r="BJ3239" s="4">
        <v>687</v>
      </c>
      <c r="BK3239" s="8">
        <v>24741.35</v>
      </c>
      <c r="BL3239" s="2" t="s">
        <v>10278</v>
      </c>
      <c r="BM3239" s="7">
        <v>0.0087</v>
      </c>
      <c r="BN3239" s="7">
        <v>0.008</v>
      </c>
      <c r="BO3239" s="4">
        <v>6</v>
      </c>
      <c r="BP3239" s="8">
        <v>198.48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10273</v>
      </c>
      <c r="BX3239" s="2" t="s">
        <v>7214</v>
      </c>
      <c r="BY3239" s="2" t="s">
        <v>113</v>
      </c>
      <c r="BZ3239" s="2" t="s">
        <v>100</v>
      </c>
    </row>
    <row r="3240">
      <c r="A3240" s="2" t="s">
        <v>10279</v>
      </c>
      <c r="B3240" s="2" t="s">
        <v>9668</v>
      </c>
      <c r="C3240" s="2" t="s">
        <v>5702</v>
      </c>
      <c r="D3240" s="2" t="s">
        <v>9669</v>
      </c>
      <c r="E3240" s="2" t="s">
        <v>9670</v>
      </c>
      <c r="F3240" s="2" t="s">
        <v>10226</v>
      </c>
      <c r="G3240" s="2" t="s">
        <v>10226</v>
      </c>
      <c r="H3240" s="2" t="s">
        <v>10226</v>
      </c>
      <c r="I3240" s="2" t="s">
        <v>10227</v>
      </c>
      <c r="J3240" s="2" t="s">
        <v>817</v>
      </c>
      <c r="K3240" s="2" t="s">
        <v>144</v>
      </c>
      <c r="L3240" s="3">
        <v>33.08</v>
      </c>
      <c r="M3240" s="3">
        <v>34.73</v>
      </c>
      <c r="N3240" s="3">
        <v>69.99</v>
      </c>
      <c r="O3240" s="2" t="s">
        <v>97</v>
      </c>
      <c r="P3240" s="2" t="s">
        <v>119</v>
      </c>
      <c r="Q3240" s="2" t="s">
        <v>99</v>
      </c>
      <c r="R3240" s="2" t="s">
        <v>100</v>
      </c>
      <c r="S3240" s="2" t="s">
        <v>10271</v>
      </c>
      <c r="T3240" s="2" t="s">
        <v>4972</v>
      </c>
      <c r="U3240" s="2" t="s">
        <v>402</v>
      </c>
      <c r="V3240" s="2" t="s">
        <v>146</v>
      </c>
      <c r="W3240" s="2" t="s">
        <v>183</v>
      </c>
      <c r="X3240" s="2" t="s">
        <v>561</v>
      </c>
      <c r="Y3240" s="2" t="s">
        <v>2378</v>
      </c>
      <c r="Z3240" s="4">
        <v>192</v>
      </c>
      <c r="AA3240" s="4">
        <f>=ROUNDDOWN(21.3333333333333,0)</f>
      </c>
      <c r="AB3240" s="5">
        <v>9</v>
      </c>
      <c r="AC3240" s="2" t="s">
        <v>9084</v>
      </c>
      <c r="AD3240" s="4">
        <v>190</v>
      </c>
      <c r="AE3240" s="4">
        <v>280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>
        <v>3</v>
      </c>
      <c r="AQ3240" s="8">
        <v>99.24</v>
      </c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>
        <v>0.1982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 t="s">
        <v>100</v>
      </c>
      <c r="BJ3240" s="4">
        <v>223</v>
      </c>
      <c r="BK3240" s="8">
        <v>8069.24</v>
      </c>
      <c r="BL3240" s="2" t="s">
        <v>10280</v>
      </c>
      <c r="BM3240" s="7">
        <v>0.0135</v>
      </c>
      <c r="BN3240" s="7">
        <v>0.0123</v>
      </c>
      <c r="BO3240" s="4">
        <v>3</v>
      </c>
      <c r="BP3240" s="8">
        <v>99.24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10273</v>
      </c>
      <c r="BX3240" s="2" t="s">
        <v>10281</v>
      </c>
      <c r="BY3240" s="2" t="s">
        <v>113</v>
      </c>
      <c r="BZ3240" s="2" t="s">
        <v>100</v>
      </c>
    </row>
    <row r="3241">
      <c r="A3241" s="2" t="s">
        <v>10282</v>
      </c>
      <c r="B3241" s="2" t="s">
        <v>9668</v>
      </c>
      <c r="C3241" s="2" t="s">
        <v>5702</v>
      </c>
      <c r="D3241" s="2" t="s">
        <v>9669</v>
      </c>
      <c r="E3241" s="2" t="s">
        <v>9670</v>
      </c>
      <c r="F3241" s="2" t="s">
        <v>10226</v>
      </c>
      <c r="G3241" s="2" t="s">
        <v>10226</v>
      </c>
      <c r="H3241" s="2" t="s">
        <v>10226</v>
      </c>
      <c r="I3241" s="2" t="s">
        <v>10227</v>
      </c>
      <c r="J3241" s="2" t="s">
        <v>706</v>
      </c>
      <c r="K3241" s="2" t="s">
        <v>2477</v>
      </c>
      <c r="L3241" s="3">
        <v>30.71</v>
      </c>
      <c r="M3241" s="3">
        <v>32.25</v>
      </c>
      <c r="N3241" s="3">
        <v>64.99</v>
      </c>
      <c r="O3241" s="2" t="s">
        <v>97</v>
      </c>
      <c r="P3241" s="2" t="s">
        <v>119</v>
      </c>
      <c r="Q3241" s="2" t="s">
        <v>99</v>
      </c>
      <c r="R3241" s="2" t="s">
        <v>100</v>
      </c>
      <c r="S3241" s="2" t="s">
        <v>10283</v>
      </c>
      <c r="T3241" s="2" t="s">
        <v>4972</v>
      </c>
      <c r="U3241" s="2" t="s">
        <v>402</v>
      </c>
      <c r="V3241" s="2" t="s">
        <v>146</v>
      </c>
      <c r="W3241" s="2" t="s">
        <v>183</v>
      </c>
      <c r="X3241" s="2" t="s">
        <v>561</v>
      </c>
      <c r="Y3241" s="2" t="s">
        <v>10229</v>
      </c>
      <c r="Z3241" s="4">
        <v>552</v>
      </c>
      <c r="AA3241" s="4">
        <f>=ROUNDDOWN(12.8372093023256,0)</f>
      </c>
      <c r="AB3241" s="5">
        <v>43</v>
      </c>
      <c r="AC3241" s="2" t="s">
        <v>356</v>
      </c>
      <c r="AD3241" s="4">
        <v>1700</v>
      </c>
      <c r="AE3241" s="4">
        <v>2650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>
        <v>9</v>
      </c>
      <c r="AQ3241" s="8">
        <v>269.46</v>
      </c>
      <c r="AR3241" s="4"/>
      <c r="AS3241" s="8"/>
      <c r="AT3241" s="7"/>
      <c r="AU3241" s="7"/>
      <c r="AV3241" s="4">
        <v>13</v>
      </c>
      <c r="AW3241" s="8">
        <v>400.1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>
        <v>0.6735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0.0547</v>
      </c>
      <c r="BJ3241" s="4">
        <v>844</v>
      </c>
      <c r="BK3241" s="8">
        <v>27974.19</v>
      </c>
      <c r="BL3241" s="2" t="s">
        <v>10284</v>
      </c>
      <c r="BM3241" s="7">
        <v>0.0107</v>
      </c>
      <c r="BN3241" s="7">
        <v>0.0096</v>
      </c>
      <c r="BO3241" s="4">
        <v>9</v>
      </c>
      <c r="BP3241" s="8">
        <v>269.46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1539</v>
      </c>
      <c r="BX3241" s="2" t="s">
        <v>709</v>
      </c>
      <c r="BY3241" s="2" t="s">
        <v>113</v>
      </c>
      <c r="BZ3241" s="2" t="s">
        <v>100</v>
      </c>
    </row>
    <row r="3242">
      <c r="A3242" s="2" t="s">
        <v>10285</v>
      </c>
      <c r="B3242" s="2" t="s">
        <v>9668</v>
      </c>
      <c r="C3242" s="2" t="s">
        <v>5702</v>
      </c>
      <c r="D3242" s="2" t="s">
        <v>9669</v>
      </c>
      <c r="E3242" s="2" t="s">
        <v>9670</v>
      </c>
      <c r="F3242" s="2" t="s">
        <v>10226</v>
      </c>
      <c r="G3242" s="2" t="s">
        <v>10226</v>
      </c>
      <c r="H3242" s="2" t="s">
        <v>10226</v>
      </c>
      <c r="I3242" s="2" t="s">
        <v>10227</v>
      </c>
      <c r="J3242" s="2" t="s">
        <v>714</v>
      </c>
      <c r="K3242" s="2" t="s">
        <v>2477</v>
      </c>
      <c r="L3242" s="3">
        <v>33.08</v>
      </c>
      <c r="M3242" s="3">
        <v>34.73</v>
      </c>
      <c r="N3242" s="3">
        <v>69.99</v>
      </c>
      <c r="O3242" s="2" t="s">
        <v>97</v>
      </c>
      <c r="P3242" s="2" t="s">
        <v>119</v>
      </c>
      <c r="Q3242" s="2" t="s">
        <v>99</v>
      </c>
      <c r="R3242" s="2" t="s">
        <v>100</v>
      </c>
      <c r="S3242" s="2" t="s">
        <v>10283</v>
      </c>
      <c r="T3242" s="2" t="s">
        <v>4972</v>
      </c>
      <c r="U3242" s="2" t="s">
        <v>402</v>
      </c>
      <c r="V3242" s="2" t="s">
        <v>146</v>
      </c>
      <c r="W3242" s="2" t="s">
        <v>183</v>
      </c>
      <c r="X3242" s="2" t="s">
        <v>561</v>
      </c>
      <c r="Y3242" s="2" t="s">
        <v>10229</v>
      </c>
      <c r="Z3242" s="4">
        <v>415</v>
      </c>
      <c r="AA3242" s="4">
        <f>=ROUNDDOWN(20.75,0)</f>
      </c>
      <c r="AB3242" s="5">
        <v>20</v>
      </c>
      <c r="AC3242" s="2" t="s">
        <v>356</v>
      </c>
      <c r="AD3242" s="4">
        <v>3725</v>
      </c>
      <c r="AE3242" s="4">
        <v>4115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>
        <v>3</v>
      </c>
      <c r="AQ3242" s="8">
        <v>97.98</v>
      </c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>
        <v>0.2449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 t="s">
        <v>100</v>
      </c>
      <c r="BJ3242" s="4">
        <v>495</v>
      </c>
      <c r="BK3242" s="8">
        <v>17636.37</v>
      </c>
      <c r="BL3242" s="2" t="s">
        <v>10286</v>
      </c>
      <c r="BM3242" s="7">
        <v>0.0061</v>
      </c>
      <c r="BN3242" s="7">
        <v>0.0056</v>
      </c>
      <c r="BO3242" s="4">
        <v>3</v>
      </c>
      <c r="BP3242" s="8">
        <v>97.98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1539</v>
      </c>
      <c r="BX3242" s="2" t="s">
        <v>2016</v>
      </c>
      <c r="BY3242" s="2" t="s">
        <v>113</v>
      </c>
      <c r="BZ3242" s="2" t="s">
        <v>100</v>
      </c>
    </row>
    <row r="3243">
      <c r="A3243" s="2" t="s">
        <v>10287</v>
      </c>
      <c r="B3243" s="2" t="s">
        <v>9668</v>
      </c>
      <c r="C3243" s="2" t="s">
        <v>5702</v>
      </c>
      <c r="D3243" s="2" t="s">
        <v>9669</v>
      </c>
      <c r="E3243" s="2" t="s">
        <v>9670</v>
      </c>
      <c r="F3243" s="2" t="s">
        <v>10226</v>
      </c>
      <c r="G3243" s="2" t="s">
        <v>10226</v>
      </c>
      <c r="H3243" s="2" t="s">
        <v>10226</v>
      </c>
      <c r="I3243" s="2" t="s">
        <v>10227</v>
      </c>
      <c r="J3243" s="2" t="s">
        <v>817</v>
      </c>
      <c r="K3243" s="2" t="s">
        <v>2477</v>
      </c>
      <c r="L3243" s="3">
        <v>33.08</v>
      </c>
      <c r="M3243" s="3">
        <v>34.73</v>
      </c>
      <c r="N3243" s="3">
        <v>69.99</v>
      </c>
      <c r="O3243" s="2" t="s">
        <v>97</v>
      </c>
      <c r="P3243" s="2" t="s">
        <v>119</v>
      </c>
      <c r="Q3243" s="2" t="s">
        <v>99</v>
      </c>
      <c r="R3243" s="2" t="s">
        <v>100</v>
      </c>
      <c r="S3243" s="2" t="s">
        <v>10283</v>
      </c>
      <c r="T3243" s="2" t="s">
        <v>4972</v>
      </c>
      <c r="U3243" s="2" t="s">
        <v>402</v>
      </c>
      <c r="V3243" s="2" t="s">
        <v>146</v>
      </c>
      <c r="W3243" s="2" t="s">
        <v>183</v>
      </c>
      <c r="X3243" s="2" t="s">
        <v>561</v>
      </c>
      <c r="Y3243" s="2" t="s">
        <v>10229</v>
      </c>
      <c r="Z3243" s="4">
        <v>262</v>
      </c>
      <c r="AA3243" s="4">
        <f>=ROUNDDOWN(32.75,0)</f>
      </c>
      <c r="AB3243" s="5">
        <v>8</v>
      </c>
      <c r="AC3243" s="2" t="s">
        <v>9084</v>
      </c>
      <c r="AD3243" s="4">
        <v>60</v>
      </c>
      <c r="AE3243" s="4">
        <v>160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>
        <v>1</v>
      </c>
      <c r="AQ3243" s="8">
        <v>32.66</v>
      </c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>
        <v>0.0816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 t="s">
        <v>100</v>
      </c>
      <c r="BJ3243" s="4">
        <v>182</v>
      </c>
      <c r="BK3243" s="8">
        <v>6570.86</v>
      </c>
      <c r="BL3243" s="2" t="s">
        <v>10288</v>
      </c>
      <c r="BM3243" s="7">
        <v>0.0055</v>
      </c>
      <c r="BN3243" s="7">
        <v>0.005</v>
      </c>
      <c r="BO3243" s="4">
        <v>1</v>
      </c>
      <c r="BP3243" s="8">
        <v>32.66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1539</v>
      </c>
      <c r="BX3243" s="2" t="s">
        <v>10289</v>
      </c>
      <c r="BY3243" s="2" t="s">
        <v>113</v>
      </c>
      <c r="BZ3243" s="2" t="s">
        <v>100</v>
      </c>
    </row>
    <row r="3244">
      <c r="A3244" s="2" t="s">
        <v>10290</v>
      </c>
      <c r="B3244" s="2" t="s">
        <v>9668</v>
      </c>
      <c r="C3244" s="2" t="s">
        <v>5702</v>
      </c>
      <c r="D3244" s="2" t="s">
        <v>9669</v>
      </c>
      <c r="E3244" s="2" t="s">
        <v>9670</v>
      </c>
      <c r="F3244" s="2" t="s">
        <v>10226</v>
      </c>
      <c r="G3244" s="2" t="s">
        <v>10226</v>
      </c>
      <c r="H3244" s="2" t="s">
        <v>10226</v>
      </c>
      <c r="I3244" s="2" t="s">
        <v>10227</v>
      </c>
      <c r="J3244" s="2" t="s">
        <v>717</v>
      </c>
      <c r="K3244" s="2" t="s">
        <v>878</v>
      </c>
      <c r="L3244" s="3">
        <v>27.72</v>
      </c>
      <c r="M3244" s="3">
        <v>29.11</v>
      </c>
      <c r="N3244" s="3">
        <v>59.99</v>
      </c>
      <c r="O3244" s="2" t="s">
        <v>97</v>
      </c>
      <c r="P3244" s="2" t="s">
        <v>119</v>
      </c>
      <c r="Q3244" s="2" t="s">
        <v>99</v>
      </c>
      <c r="R3244" s="2" t="s">
        <v>100</v>
      </c>
      <c r="S3244" s="2" t="s">
        <v>10291</v>
      </c>
      <c r="T3244" s="2" t="s">
        <v>4972</v>
      </c>
      <c r="U3244" s="2" t="s">
        <v>402</v>
      </c>
      <c r="V3244" s="2" t="s">
        <v>146</v>
      </c>
      <c r="W3244" s="2" t="s">
        <v>183</v>
      </c>
      <c r="X3244" s="2" t="s">
        <v>561</v>
      </c>
      <c r="Y3244" s="2" t="s">
        <v>2378</v>
      </c>
      <c r="Z3244" s="4">
        <v>414</v>
      </c>
      <c r="AA3244" s="4">
        <f>=ROUNDDOWN(37.6363636363636,0)</f>
      </c>
      <c r="AB3244" s="5">
        <v>11</v>
      </c>
      <c r="AC3244" s="2" t="s">
        <v>356</v>
      </c>
      <c r="AD3244" s="4">
        <v>5</v>
      </c>
      <c r="AE3244" s="4">
        <v>277</v>
      </c>
      <c r="AF3244" s="6">
        <v>65</v>
      </c>
      <c r="AG3244" s="6"/>
      <c r="AH3244" s="7">
        <v>0.8289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>
        <v>2</v>
      </c>
      <c r="AQ3244" s="8">
        <v>55.44</v>
      </c>
      <c r="AR3244" s="4"/>
      <c r="AS3244" s="8"/>
      <c r="AT3244" s="7"/>
      <c r="AU3244" s="7"/>
      <c r="AV3244" s="4">
        <v>11</v>
      </c>
      <c r="AW3244" s="8">
        <v>341.31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>
        <v>0.1624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>
        <v>0.0467</v>
      </c>
      <c r="BJ3244" s="4">
        <v>272</v>
      </c>
      <c r="BK3244" s="8">
        <v>8196.56</v>
      </c>
      <c r="BL3244" s="2" t="s">
        <v>10292</v>
      </c>
      <c r="BM3244" s="7">
        <v>0.0074</v>
      </c>
      <c r="BN3244" s="7">
        <v>0.0068</v>
      </c>
      <c r="BO3244" s="4">
        <v>2</v>
      </c>
      <c r="BP3244" s="8">
        <v>55.44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10273</v>
      </c>
      <c r="BX3244" s="2" t="s">
        <v>10293</v>
      </c>
      <c r="BY3244" s="2" t="s">
        <v>113</v>
      </c>
      <c r="BZ3244" s="2" t="s">
        <v>100</v>
      </c>
    </row>
    <row r="3245">
      <c r="A3245" s="2" t="s">
        <v>10294</v>
      </c>
      <c r="B3245" s="2" t="s">
        <v>9668</v>
      </c>
      <c r="C3245" s="2" t="s">
        <v>5702</v>
      </c>
      <c r="D3245" s="2" t="s">
        <v>9669</v>
      </c>
      <c r="E3245" s="2" t="s">
        <v>9670</v>
      </c>
      <c r="F3245" s="2" t="s">
        <v>10226</v>
      </c>
      <c r="G3245" s="2" t="s">
        <v>10226</v>
      </c>
      <c r="H3245" s="2" t="s">
        <v>10226</v>
      </c>
      <c r="I3245" s="2" t="s">
        <v>10227</v>
      </c>
      <c r="J3245" s="2" t="s">
        <v>706</v>
      </c>
      <c r="K3245" s="2" t="s">
        <v>878</v>
      </c>
      <c r="L3245" s="3">
        <v>30.71</v>
      </c>
      <c r="M3245" s="3">
        <v>32.25</v>
      </c>
      <c r="N3245" s="3">
        <v>64.99</v>
      </c>
      <c r="O3245" s="2" t="s">
        <v>97</v>
      </c>
      <c r="P3245" s="2" t="s">
        <v>950</v>
      </c>
      <c r="Q3245" s="2" t="s">
        <v>99</v>
      </c>
      <c r="R3245" s="2" t="s">
        <v>100</v>
      </c>
      <c r="S3245" s="2" t="s">
        <v>10291</v>
      </c>
      <c r="T3245" s="2" t="s">
        <v>4972</v>
      </c>
      <c r="U3245" s="2" t="s">
        <v>402</v>
      </c>
      <c r="V3245" s="2" t="s">
        <v>146</v>
      </c>
      <c r="W3245" s="2" t="s">
        <v>183</v>
      </c>
      <c r="X3245" s="2" t="s">
        <v>561</v>
      </c>
      <c r="Y3245" s="2" t="s">
        <v>2378</v>
      </c>
      <c r="Z3245" s="4">
        <v>809</v>
      </c>
      <c r="AA3245" s="4">
        <f>=ROUNDDOWN(17.9777777777778,0)</f>
      </c>
      <c r="AB3245" s="5">
        <v>45</v>
      </c>
      <c r="AC3245" s="2" t="s">
        <v>9084</v>
      </c>
      <c r="AD3245" s="4">
        <v>704</v>
      </c>
      <c r="AE3245" s="4">
        <v>1204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>
        <v>5</v>
      </c>
      <c r="AQ3245" s="8">
        <v>153.55</v>
      </c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>
        <v>0.4499</v>
      </c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 t="s">
        <v>100</v>
      </c>
      <c r="BJ3245" s="4">
        <v>1185</v>
      </c>
      <c r="BK3245" s="8">
        <v>38465.83</v>
      </c>
      <c r="BL3245" s="2" t="s">
        <v>10295</v>
      </c>
      <c r="BM3245" s="7">
        <v>0.0042</v>
      </c>
      <c r="BN3245" s="7">
        <v>0.004</v>
      </c>
      <c r="BO3245" s="4">
        <v>5</v>
      </c>
      <c r="BP3245" s="8">
        <v>153.55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10273</v>
      </c>
      <c r="BX3245" s="2" t="s">
        <v>5935</v>
      </c>
      <c r="BY3245" s="2" t="s">
        <v>113</v>
      </c>
      <c r="BZ3245" s="2" t="s">
        <v>100</v>
      </c>
    </row>
    <row r="3246">
      <c r="A3246" s="2" t="s">
        <v>10296</v>
      </c>
      <c r="B3246" s="2" t="s">
        <v>9668</v>
      </c>
      <c r="C3246" s="2" t="s">
        <v>5702</v>
      </c>
      <c r="D3246" s="2" t="s">
        <v>9669</v>
      </c>
      <c r="E3246" s="2" t="s">
        <v>9670</v>
      </c>
      <c r="F3246" s="2" t="s">
        <v>10226</v>
      </c>
      <c r="G3246" s="2" t="s">
        <v>10226</v>
      </c>
      <c r="H3246" s="2" t="s">
        <v>10226</v>
      </c>
      <c r="I3246" s="2" t="s">
        <v>10227</v>
      </c>
      <c r="J3246" s="2" t="s">
        <v>714</v>
      </c>
      <c r="K3246" s="2" t="s">
        <v>878</v>
      </c>
      <c r="L3246" s="3">
        <v>33.08</v>
      </c>
      <c r="M3246" s="3">
        <v>34.73</v>
      </c>
      <c r="N3246" s="3">
        <v>69.99</v>
      </c>
      <c r="O3246" s="2" t="s">
        <v>97</v>
      </c>
      <c r="P3246" s="2" t="s">
        <v>119</v>
      </c>
      <c r="Q3246" s="2" t="s">
        <v>99</v>
      </c>
      <c r="R3246" s="2" t="s">
        <v>100</v>
      </c>
      <c r="S3246" s="2" t="s">
        <v>10291</v>
      </c>
      <c r="T3246" s="2" t="s">
        <v>4972</v>
      </c>
      <c r="U3246" s="2" t="s">
        <v>402</v>
      </c>
      <c r="V3246" s="2" t="s">
        <v>146</v>
      </c>
      <c r="W3246" s="2" t="s">
        <v>183</v>
      </c>
      <c r="X3246" s="2" t="s">
        <v>561</v>
      </c>
      <c r="Y3246" s="2" t="s">
        <v>2378</v>
      </c>
      <c r="Z3246" s="4">
        <v>524</v>
      </c>
      <c r="AA3246" s="4">
        <f>=ROUNDDOWN(21.8333333333333,0)</f>
      </c>
      <c r="AB3246" s="5">
        <v>24</v>
      </c>
      <c r="AC3246" s="2" t="s">
        <v>9084</v>
      </c>
      <c r="AD3246" s="4">
        <v>420</v>
      </c>
      <c r="AE3246" s="4">
        <v>510</v>
      </c>
      <c r="AF3246" s="6">
        <v>65</v>
      </c>
      <c r="AG3246" s="6"/>
      <c r="AH3246" s="7">
        <v>0.9572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>
        <v>3</v>
      </c>
      <c r="AQ3246" s="8">
        <v>99.24</v>
      </c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>
        <v>0.2908</v>
      </c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 t="s">
        <v>100</v>
      </c>
      <c r="BJ3246" s="4">
        <v>530</v>
      </c>
      <c r="BK3246" s="8">
        <v>18683.93</v>
      </c>
      <c r="BL3246" s="2" t="s">
        <v>10297</v>
      </c>
      <c r="BM3246" s="7">
        <v>0.0057</v>
      </c>
      <c r="BN3246" s="7">
        <v>0.0053</v>
      </c>
      <c r="BO3246" s="4">
        <v>3</v>
      </c>
      <c r="BP3246" s="8">
        <v>99.24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10273</v>
      </c>
      <c r="BX3246" s="2" t="s">
        <v>4847</v>
      </c>
      <c r="BY3246" s="2" t="s">
        <v>113</v>
      </c>
      <c r="BZ3246" s="2" t="s">
        <v>100</v>
      </c>
    </row>
    <row r="3247">
      <c r="A3247" s="2" t="s">
        <v>10298</v>
      </c>
      <c r="B3247" s="2" t="s">
        <v>9668</v>
      </c>
      <c r="C3247" s="2" t="s">
        <v>5702</v>
      </c>
      <c r="D3247" s="2" t="s">
        <v>9669</v>
      </c>
      <c r="E3247" s="2" t="s">
        <v>9670</v>
      </c>
      <c r="F3247" s="2" t="s">
        <v>10226</v>
      </c>
      <c r="G3247" s="2" t="s">
        <v>10226</v>
      </c>
      <c r="H3247" s="2" t="s">
        <v>10226</v>
      </c>
      <c r="I3247" s="2" t="s">
        <v>10227</v>
      </c>
      <c r="J3247" s="2" t="s">
        <v>817</v>
      </c>
      <c r="K3247" s="2" t="s">
        <v>878</v>
      </c>
      <c r="L3247" s="3">
        <v>33.08</v>
      </c>
      <c r="M3247" s="3">
        <v>34.73</v>
      </c>
      <c r="N3247" s="3">
        <v>69.99</v>
      </c>
      <c r="O3247" s="2" t="s">
        <v>97</v>
      </c>
      <c r="P3247" s="2" t="s">
        <v>119</v>
      </c>
      <c r="Q3247" s="2" t="s">
        <v>99</v>
      </c>
      <c r="R3247" s="2" t="s">
        <v>100</v>
      </c>
      <c r="S3247" s="2" t="s">
        <v>10291</v>
      </c>
      <c r="T3247" s="2" t="s">
        <v>4972</v>
      </c>
      <c r="U3247" s="2" t="s">
        <v>402</v>
      </c>
      <c r="V3247" s="2" t="s">
        <v>146</v>
      </c>
      <c r="W3247" s="2" t="s">
        <v>183</v>
      </c>
      <c r="X3247" s="2" t="s">
        <v>561</v>
      </c>
      <c r="Y3247" s="2" t="s">
        <v>2378</v>
      </c>
      <c r="Z3247" s="4">
        <v>150</v>
      </c>
      <c r="AA3247" s="4">
        <f>=ROUNDDOWN(21.4285714285714,0)</f>
      </c>
      <c r="AB3247" s="5">
        <v>7</v>
      </c>
      <c r="AC3247" s="2" t="s">
        <v>9084</v>
      </c>
      <c r="AD3247" s="4">
        <v>100</v>
      </c>
      <c r="AE3247" s="4">
        <v>180</v>
      </c>
      <c r="AF3247" s="6">
        <v>65</v>
      </c>
      <c r="AG3247" s="6"/>
      <c r="AH3247" s="7">
        <v>0.7701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>
        <v>1</v>
      </c>
      <c r="AQ3247" s="8">
        <v>33.08</v>
      </c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>
        <v>0.0969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 t="s">
        <v>100</v>
      </c>
      <c r="BJ3247" s="4">
        <v>120</v>
      </c>
      <c r="BK3247" s="8">
        <v>4254.49</v>
      </c>
      <c r="BL3247" s="2" t="s">
        <v>10297</v>
      </c>
      <c r="BM3247" s="7">
        <v>0.0083</v>
      </c>
      <c r="BN3247" s="7">
        <v>0.0078</v>
      </c>
      <c r="BO3247" s="4">
        <v>1</v>
      </c>
      <c r="BP3247" s="8">
        <v>33.08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10273</v>
      </c>
      <c r="BX3247" s="2" t="s">
        <v>10299</v>
      </c>
      <c r="BY3247" s="2" t="s">
        <v>113</v>
      </c>
      <c r="BZ3247" s="2" t="s">
        <v>100</v>
      </c>
    </row>
    <row r="3248">
      <c r="A3248" s="2" t="s">
        <v>10300</v>
      </c>
      <c r="B3248" s="2" t="s">
        <v>9668</v>
      </c>
      <c r="C3248" s="2" t="s">
        <v>5702</v>
      </c>
      <c r="D3248" s="2" t="s">
        <v>9669</v>
      </c>
      <c r="E3248" s="2" t="s">
        <v>9670</v>
      </c>
      <c r="F3248" s="2" t="s">
        <v>10226</v>
      </c>
      <c r="G3248" s="2" t="s">
        <v>10226</v>
      </c>
      <c r="H3248" s="2" t="s">
        <v>10226</v>
      </c>
      <c r="I3248" s="2" t="s">
        <v>10227</v>
      </c>
      <c r="J3248" s="2" t="s">
        <v>717</v>
      </c>
      <c r="K3248" s="2" t="s">
        <v>1614</v>
      </c>
      <c r="L3248" s="3">
        <v>27.72</v>
      </c>
      <c r="M3248" s="3">
        <v>29.11</v>
      </c>
      <c r="N3248" s="3">
        <v>59.99</v>
      </c>
      <c r="O3248" s="2" t="s">
        <v>97</v>
      </c>
      <c r="P3248" s="2" t="s">
        <v>119</v>
      </c>
      <c r="Q3248" s="2" t="s">
        <v>99</v>
      </c>
      <c r="R3248" s="2" t="s">
        <v>100</v>
      </c>
      <c r="S3248" s="2" t="s">
        <v>10301</v>
      </c>
      <c r="T3248" s="2" t="s">
        <v>4972</v>
      </c>
      <c r="U3248" s="2" t="s">
        <v>402</v>
      </c>
      <c r="V3248" s="2" t="s">
        <v>146</v>
      </c>
      <c r="W3248" s="2" t="s">
        <v>183</v>
      </c>
      <c r="X3248" s="2" t="s">
        <v>561</v>
      </c>
      <c r="Y3248" s="2" t="s">
        <v>10229</v>
      </c>
      <c r="Z3248" s="4">
        <v>259</v>
      </c>
      <c r="AA3248" s="4">
        <f>=ROUNDDOWN(21.5833333333333,0)</f>
      </c>
      <c r="AB3248" s="5">
        <v>12</v>
      </c>
      <c r="AC3248" s="2" t="s">
        <v>9084</v>
      </c>
      <c r="AD3248" s="4">
        <v>170</v>
      </c>
      <c r="AE3248" s="4">
        <v>340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>
        <v>2</v>
      </c>
      <c r="AQ3248" s="8">
        <v>54.44</v>
      </c>
      <c r="AR3248" s="4"/>
      <c r="AS3248" s="8"/>
      <c r="AT3248" s="7"/>
      <c r="AU3248" s="7"/>
      <c r="AV3248" s="4">
        <v>10</v>
      </c>
      <c r="AW3248" s="8">
        <v>302.12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>
        <v>0.1802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0.0413</v>
      </c>
      <c r="BJ3248" s="4">
        <v>347</v>
      </c>
      <c r="BK3248" s="8">
        <v>10367.99</v>
      </c>
      <c r="BL3248" s="2" t="s">
        <v>10266</v>
      </c>
      <c r="BM3248" s="7">
        <v>0.0058</v>
      </c>
      <c r="BN3248" s="7">
        <v>0.0053</v>
      </c>
      <c r="BO3248" s="4">
        <v>2</v>
      </c>
      <c r="BP3248" s="8">
        <v>54.44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1539</v>
      </c>
      <c r="BX3248" s="2" t="s">
        <v>10302</v>
      </c>
      <c r="BY3248" s="2" t="s">
        <v>113</v>
      </c>
      <c r="BZ3248" s="2" t="s">
        <v>100</v>
      </c>
    </row>
    <row r="3249">
      <c r="A3249" s="2" t="s">
        <v>10303</v>
      </c>
      <c r="B3249" s="2" t="s">
        <v>9668</v>
      </c>
      <c r="C3249" s="2" t="s">
        <v>5702</v>
      </c>
      <c r="D3249" s="2" t="s">
        <v>9669</v>
      </c>
      <c r="E3249" s="2" t="s">
        <v>9670</v>
      </c>
      <c r="F3249" s="2" t="s">
        <v>10226</v>
      </c>
      <c r="G3249" s="2" t="s">
        <v>10226</v>
      </c>
      <c r="H3249" s="2" t="s">
        <v>10226</v>
      </c>
      <c r="I3249" s="2" t="s">
        <v>10227</v>
      </c>
      <c r="J3249" s="2" t="s">
        <v>706</v>
      </c>
      <c r="K3249" s="2" t="s">
        <v>1614</v>
      </c>
      <c r="L3249" s="3">
        <v>30.71</v>
      </c>
      <c r="M3249" s="3">
        <v>32.25</v>
      </c>
      <c r="N3249" s="3">
        <v>64.99</v>
      </c>
      <c r="O3249" s="2" t="s">
        <v>97</v>
      </c>
      <c r="P3249" s="2" t="s">
        <v>950</v>
      </c>
      <c r="Q3249" s="2" t="s">
        <v>99</v>
      </c>
      <c r="R3249" s="2" t="s">
        <v>100</v>
      </c>
      <c r="S3249" s="2" t="s">
        <v>10301</v>
      </c>
      <c r="T3249" s="2" t="s">
        <v>4972</v>
      </c>
      <c r="U3249" s="2" t="s">
        <v>402</v>
      </c>
      <c r="V3249" s="2" t="s">
        <v>146</v>
      </c>
      <c r="W3249" s="2" t="s">
        <v>183</v>
      </c>
      <c r="X3249" s="2" t="s">
        <v>561</v>
      </c>
      <c r="Y3249" s="2" t="s">
        <v>10229</v>
      </c>
      <c r="Z3249" s="4">
        <v>998</v>
      </c>
      <c r="AA3249" s="4">
        <f>=ROUNDDOWN(19.5686274509804,0)</f>
      </c>
      <c r="AB3249" s="5">
        <v>51</v>
      </c>
      <c r="AC3249" s="2" t="s">
        <v>356</v>
      </c>
      <c r="AD3249" s="4">
        <v>7900</v>
      </c>
      <c r="AE3249" s="4">
        <v>8916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>
        <v>5</v>
      </c>
      <c r="AQ3249" s="8">
        <v>149.7</v>
      </c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>
        <v>0.4955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 t="s">
        <v>100</v>
      </c>
      <c r="BJ3249" s="4">
        <v>1352</v>
      </c>
      <c r="BK3249" s="8">
        <v>44458.55</v>
      </c>
      <c r="BL3249" s="2" t="s">
        <v>10304</v>
      </c>
      <c r="BM3249" s="7">
        <v>0.0037</v>
      </c>
      <c r="BN3249" s="7">
        <v>0.0034</v>
      </c>
      <c r="BO3249" s="4">
        <v>5</v>
      </c>
      <c r="BP3249" s="8">
        <v>149.7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1539</v>
      </c>
      <c r="BX3249" s="2" t="s">
        <v>2034</v>
      </c>
      <c r="BY3249" s="2" t="s">
        <v>113</v>
      </c>
      <c r="BZ3249" s="2" t="s">
        <v>100</v>
      </c>
    </row>
    <row r="3250">
      <c r="A3250" s="2" t="s">
        <v>10305</v>
      </c>
      <c r="B3250" s="2" t="s">
        <v>9668</v>
      </c>
      <c r="C3250" s="2" t="s">
        <v>5702</v>
      </c>
      <c r="D3250" s="2" t="s">
        <v>9669</v>
      </c>
      <c r="E3250" s="2" t="s">
        <v>9670</v>
      </c>
      <c r="F3250" s="2" t="s">
        <v>10226</v>
      </c>
      <c r="G3250" s="2" t="s">
        <v>10226</v>
      </c>
      <c r="H3250" s="2" t="s">
        <v>10226</v>
      </c>
      <c r="I3250" s="2" t="s">
        <v>10227</v>
      </c>
      <c r="J3250" s="2" t="s">
        <v>714</v>
      </c>
      <c r="K3250" s="2" t="s">
        <v>1614</v>
      </c>
      <c r="L3250" s="3">
        <v>33.08</v>
      </c>
      <c r="M3250" s="3">
        <v>34.73</v>
      </c>
      <c r="N3250" s="3">
        <v>69.99</v>
      </c>
      <c r="O3250" s="2" t="s">
        <v>97</v>
      </c>
      <c r="P3250" s="2" t="s">
        <v>950</v>
      </c>
      <c r="Q3250" s="2" t="s">
        <v>99</v>
      </c>
      <c r="R3250" s="2" t="s">
        <v>100</v>
      </c>
      <c r="S3250" s="2" t="s">
        <v>10301</v>
      </c>
      <c r="T3250" s="2" t="s">
        <v>4972</v>
      </c>
      <c r="U3250" s="2" t="s">
        <v>402</v>
      </c>
      <c r="V3250" s="2" t="s">
        <v>146</v>
      </c>
      <c r="W3250" s="2" t="s">
        <v>183</v>
      </c>
      <c r="X3250" s="2" t="s">
        <v>561</v>
      </c>
      <c r="Y3250" s="2" t="s">
        <v>10229</v>
      </c>
      <c r="Z3250" s="4">
        <v>476</v>
      </c>
      <c r="AA3250" s="4">
        <f>=ROUNDDOWN(13.6,0)</f>
      </c>
      <c r="AB3250" s="5">
        <v>35</v>
      </c>
      <c r="AC3250" s="2" t="s">
        <v>356</v>
      </c>
      <c r="AD3250" s="4">
        <v>3850</v>
      </c>
      <c r="AE3250" s="4">
        <v>4958</v>
      </c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>
        <v>3</v>
      </c>
      <c r="AQ3250" s="8">
        <v>97.98</v>
      </c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>
        <v>0.3243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 t="s">
        <v>100</v>
      </c>
      <c r="BJ3250" s="4">
        <v>839</v>
      </c>
      <c r="BK3250" s="8">
        <v>29723.9</v>
      </c>
      <c r="BL3250" s="2" t="s">
        <v>10306</v>
      </c>
      <c r="BM3250" s="7">
        <v>0.0036</v>
      </c>
      <c r="BN3250" s="7">
        <v>0.0033</v>
      </c>
      <c r="BO3250" s="4">
        <v>3</v>
      </c>
      <c r="BP3250" s="8">
        <v>97.98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1539</v>
      </c>
      <c r="BX3250" s="2" t="s">
        <v>10267</v>
      </c>
      <c r="BY3250" s="2" t="s">
        <v>113</v>
      </c>
      <c r="BZ3250" s="2" t="s">
        <v>100</v>
      </c>
    </row>
    <row r="3251">
      <c r="A3251" s="2" t="s">
        <v>10307</v>
      </c>
      <c r="B3251" s="2" t="s">
        <v>9668</v>
      </c>
      <c r="C3251" s="2" t="s">
        <v>5702</v>
      </c>
      <c r="D3251" s="2" t="s">
        <v>9669</v>
      </c>
      <c r="E3251" s="2" t="s">
        <v>9670</v>
      </c>
      <c r="F3251" s="2" t="s">
        <v>10226</v>
      </c>
      <c r="G3251" s="2" t="s">
        <v>10226</v>
      </c>
      <c r="H3251" s="2" t="s">
        <v>10226</v>
      </c>
      <c r="I3251" s="2" t="s">
        <v>10227</v>
      </c>
      <c r="J3251" s="2" t="s">
        <v>817</v>
      </c>
      <c r="K3251" s="2" t="s">
        <v>1614</v>
      </c>
      <c r="L3251" s="3">
        <v>33.08</v>
      </c>
      <c r="M3251" s="3">
        <v>34.73</v>
      </c>
      <c r="N3251" s="3">
        <v>69.99</v>
      </c>
      <c r="O3251" s="2" t="s">
        <v>97</v>
      </c>
      <c r="P3251" s="2" t="s">
        <v>119</v>
      </c>
      <c r="Q3251" s="2" t="s">
        <v>99</v>
      </c>
      <c r="R3251" s="2" t="s">
        <v>100</v>
      </c>
      <c r="S3251" s="2" t="s">
        <v>10301</v>
      </c>
      <c r="T3251" s="2" t="s">
        <v>4972</v>
      </c>
      <c r="U3251" s="2" t="s">
        <v>402</v>
      </c>
      <c r="V3251" s="2" t="s">
        <v>146</v>
      </c>
      <c r="W3251" s="2" t="s">
        <v>183</v>
      </c>
      <c r="X3251" s="2" t="s">
        <v>561</v>
      </c>
      <c r="Y3251" s="2" t="s">
        <v>10229</v>
      </c>
      <c r="Z3251" s="4">
        <v>197</v>
      </c>
      <c r="AA3251" s="4">
        <f>=ROUNDDOWN(19.7,0)</f>
      </c>
      <c r="AB3251" s="5">
        <v>10</v>
      </c>
      <c r="AC3251" s="2" t="s">
        <v>9084</v>
      </c>
      <c r="AD3251" s="4">
        <v>200</v>
      </c>
      <c r="AE3251" s="4">
        <v>350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 t="s">
        <v>100</v>
      </c>
      <c r="BJ3251" s="4">
        <v>296</v>
      </c>
      <c r="BK3251" s="8">
        <v>10620.07</v>
      </c>
      <c r="BL3251" s="2" t="s">
        <v>10308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1539</v>
      </c>
      <c r="BX3251" s="2" t="s">
        <v>10309</v>
      </c>
      <c r="BY3251" s="2" t="s">
        <v>113</v>
      </c>
      <c r="BZ3251" s="2" t="s">
        <v>100</v>
      </c>
    </row>
    <row r="3252">
      <c r="A3252" s="2" t="s">
        <v>10310</v>
      </c>
      <c r="B3252" s="2" t="s">
        <v>9668</v>
      </c>
      <c r="C3252" s="2" t="s">
        <v>5702</v>
      </c>
      <c r="D3252" s="2" t="s">
        <v>9669</v>
      </c>
      <c r="E3252" s="2" t="s">
        <v>9670</v>
      </c>
      <c r="F3252" s="2" t="s">
        <v>10226</v>
      </c>
      <c r="G3252" s="2" t="s">
        <v>10226</v>
      </c>
      <c r="H3252" s="2" t="s">
        <v>10226</v>
      </c>
      <c r="I3252" s="2" t="s">
        <v>10227</v>
      </c>
      <c r="J3252" s="2" t="s">
        <v>717</v>
      </c>
      <c r="K3252" s="2" t="s">
        <v>578</v>
      </c>
      <c r="L3252" s="3">
        <v>27.72</v>
      </c>
      <c r="M3252" s="3">
        <v>29.11</v>
      </c>
      <c r="N3252" s="3">
        <v>59.99</v>
      </c>
      <c r="O3252" s="2" t="s">
        <v>97</v>
      </c>
      <c r="P3252" s="2" t="s">
        <v>119</v>
      </c>
      <c r="Q3252" s="2" t="s">
        <v>99</v>
      </c>
      <c r="R3252" s="2" t="s">
        <v>100</v>
      </c>
      <c r="S3252" s="2" t="s">
        <v>10311</v>
      </c>
      <c r="T3252" s="2" t="s">
        <v>4972</v>
      </c>
      <c r="U3252" s="2" t="s">
        <v>402</v>
      </c>
      <c r="V3252" s="2" t="s">
        <v>146</v>
      </c>
      <c r="W3252" s="2" t="s">
        <v>183</v>
      </c>
      <c r="X3252" s="2" t="s">
        <v>561</v>
      </c>
      <c r="Y3252" s="2" t="s">
        <v>2378</v>
      </c>
      <c r="Z3252" s="4">
        <v>148</v>
      </c>
      <c r="AA3252" s="4">
        <f>=ROUNDDOWN(21.1428571428571,0)</f>
      </c>
      <c r="AB3252" s="5">
        <v>7</v>
      </c>
      <c r="AC3252" s="2" t="s">
        <v>9084</v>
      </c>
      <c r="AD3252" s="4">
        <v>200</v>
      </c>
      <c r="AE3252" s="4">
        <v>200</v>
      </c>
      <c r="AF3252" s="6">
        <v>65</v>
      </c>
      <c r="AG3252" s="6"/>
      <c r="AH3252" s="7">
        <v>0.6791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>
        <v>1</v>
      </c>
      <c r="AQ3252" s="8">
        <v>27.72</v>
      </c>
      <c r="AR3252" s="4"/>
      <c r="AS3252" s="8"/>
      <c r="AT3252" s="7"/>
      <c r="AU3252" s="7"/>
      <c r="AV3252" s="4">
        <v>9</v>
      </c>
      <c r="AW3252" s="8">
        <v>292.36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>
        <v>0.0948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0.04</v>
      </c>
      <c r="BJ3252" s="4">
        <v>170</v>
      </c>
      <c r="BK3252" s="8">
        <v>5165.88</v>
      </c>
      <c r="BL3252" s="2" t="s">
        <v>10312</v>
      </c>
      <c r="BM3252" s="7">
        <v>0.0059</v>
      </c>
      <c r="BN3252" s="7">
        <v>0.0054</v>
      </c>
      <c r="BO3252" s="4">
        <v>1</v>
      </c>
      <c r="BP3252" s="8">
        <v>27.72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10273</v>
      </c>
      <c r="BX3252" s="2" t="s">
        <v>4528</v>
      </c>
      <c r="BY3252" s="2" t="s">
        <v>113</v>
      </c>
      <c r="BZ3252" s="2" t="s">
        <v>100</v>
      </c>
    </row>
    <row r="3253">
      <c r="A3253" s="2" t="s">
        <v>10313</v>
      </c>
      <c r="B3253" s="2" t="s">
        <v>9668</v>
      </c>
      <c r="C3253" s="2" t="s">
        <v>5702</v>
      </c>
      <c r="D3253" s="2" t="s">
        <v>9669</v>
      </c>
      <c r="E3253" s="2" t="s">
        <v>9670</v>
      </c>
      <c r="F3253" s="2" t="s">
        <v>10226</v>
      </c>
      <c r="G3253" s="2" t="s">
        <v>10226</v>
      </c>
      <c r="H3253" s="2" t="s">
        <v>10226</v>
      </c>
      <c r="I3253" s="2" t="s">
        <v>10227</v>
      </c>
      <c r="J3253" s="2" t="s">
        <v>706</v>
      </c>
      <c r="K3253" s="2" t="s">
        <v>578</v>
      </c>
      <c r="L3253" s="3">
        <v>30.71</v>
      </c>
      <c r="M3253" s="3">
        <v>32.25</v>
      </c>
      <c r="N3253" s="3">
        <v>64.99</v>
      </c>
      <c r="O3253" s="2" t="s">
        <v>97</v>
      </c>
      <c r="P3253" s="2" t="s">
        <v>119</v>
      </c>
      <c r="Q3253" s="2" t="s">
        <v>99</v>
      </c>
      <c r="R3253" s="2" t="s">
        <v>100</v>
      </c>
      <c r="S3253" s="2" t="s">
        <v>10311</v>
      </c>
      <c r="T3253" s="2" t="s">
        <v>4972</v>
      </c>
      <c r="U3253" s="2" t="s">
        <v>402</v>
      </c>
      <c r="V3253" s="2" t="s">
        <v>146</v>
      </c>
      <c r="W3253" s="2" t="s">
        <v>183</v>
      </c>
      <c r="X3253" s="2" t="s">
        <v>561</v>
      </c>
      <c r="Y3253" s="2" t="s">
        <v>2378</v>
      </c>
      <c r="Z3253" s="4">
        <v>476</v>
      </c>
      <c r="AA3253" s="4">
        <f>=ROUNDDOWN(14.875,0)</f>
      </c>
      <c r="AB3253" s="5">
        <v>32</v>
      </c>
      <c r="AC3253" s="2" t="s">
        <v>9084</v>
      </c>
      <c r="AD3253" s="4">
        <v>490</v>
      </c>
      <c r="AE3253" s="4">
        <v>1010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 t="s">
        <v>100</v>
      </c>
      <c r="BJ3253" s="4">
        <v>752</v>
      </c>
      <c r="BK3253" s="8">
        <v>24537.23</v>
      </c>
      <c r="BL3253" s="2" t="s">
        <v>10314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10273</v>
      </c>
      <c r="BX3253" s="2" t="s">
        <v>7841</v>
      </c>
      <c r="BY3253" s="2" t="s">
        <v>113</v>
      </c>
      <c r="BZ3253" s="2" t="s">
        <v>100</v>
      </c>
    </row>
    <row r="3254">
      <c r="A3254" s="2" t="s">
        <v>10315</v>
      </c>
      <c r="B3254" s="2" t="s">
        <v>9668</v>
      </c>
      <c r="C3254" s="2" t="s">
        <v>5702</v>
      </c>
      <c r="D3254" s="2" t="s">
        <v>9669</v>
      </c>
      <c r="E3254" s="2" t="s">
        <v>9670</v>
      </c>
      <c r="F3254" s="2" t="s">
        <v>10226</v>
      </c>
      <c r="G3254" s="2" t="s">
        <v>10226</v>
      </c>
      <c r="H3254" s="2" t="s">
        <v>10226</v>
      </c>
      <c r="I3254" s="2" t="s">
        <v>10227</v>
      </c>
      <c r="J3254" s="2" t="s">
        <v>714</v>
      </c>
      <c r="K3254" s="2" t="s">
        <v>578</v>
      </c>
      <c r="L3254" s="3">
        <v>33.08</v>
      </c>
      <c r="M3254" s="3">
        <v>34.73</v>
      </c>
      <c r="N3254" s="3">
        <v>69.99</v>
      </c>
      <c r="O3254" s="2" t="s">
        <v>97</v>
      </c>
      <c r="P3254" s="2" t="s">
        <v>119</v>
      </c>
      <c r="Q3254" s="2" t="s">
        <v>99</v>
      </c>
      <c r="R3254" s="2" t="s">
        <v>100</v>
      </c>
      <c r="S3254" s="2" t="s">
        <v>10311</v>
      </c>
      <c r="T3254" s="2" t="s">
        <v>4972</v>
      </c>
      <c r="U3254" s="2" t="s">
        <v>402</v>
      </c>
      <c r="V3254" s="2" t="s">
        <v>146</v>
      </c>
      <c r="W3254" s="2" t="s">
        <v>183</v>
      </c>
      <c r="X3254" s="2" t="s">
        <v>561</v>
      </c>
      <c r="Y3254" s="2" t="s">
        <v>2378</v>
      </c>
      <c r="Z3254" s="4">
        <v>445</v>
      </c>
      <c r="AA3254" s="4">
        <f>=ROUNDDOWN(22.25,0)</f>
      </c>
      <c r="AB3254" s="5">
        <v>20</v>
      </c>
      <c r="AC3254" s="2" t="s">
        <v>9084</v>
      </c>
      <c r="AD3254" s="4">
        <v>230</v>
      </c>
      <c r="AE3254" s="4">
        <v>800</v>
      </c>
      <c r="AF3254" s="6">
        <v>65</v>
      </c>
      <c r="AG3254" s="6"/>
      <c r="AH3254" s="7">
        <v>0.9786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>
        <v>5</v>
      </c>
      <c r="AQ3254" s="8">
        <v>165.4</v>
      </c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>
        <v>0.5657</v>
      </c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 t="s">
        <v>100</v>
      </c>
      <c r="BJ3254" s="4">
        <v>449</v>
      </c>
      <c r="BK3254" s="8">
        <v>16011.71</v>
      </c>
      <c r="BL3254" s="2" t="s">
        <v>10316</v>
      </c>
      <c r="BM3254" s="7">
        <v>0.0111</v>
      </c>
      <c r="BN3254" s="7">
        <v>0.0103</v>
      </c>
      <c r="BO3254" s="4">
        <v>5</v>
      </c>
      <c r="BP3254" s="8">
        <v>165.4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10273</v>
      </c>
      <c r="BX3254" s="2" t="s">
        <v>10317</v>
      </c>
      <c r="BY3254" s="2" t="s">
        <v>113</v>
      </c>
      <c r="BZ3254" s="2" t="s">
        <v>100</v>
      </c>
    </row>
    <row r="3255">
      <c r="A3255" s="2" t="s">
        <v>10318</v>
      </c>
      <c r="B3255" s="2" t="s">
        <v>9668</v>
      </c>
      <c r="C3255" s="2" t="s">
        <v>5702</v>
      </c>
      <c r="D3255" s="2" t="s">
        <v>9669</v>
      </c>
      <c r="E3255" s="2" t="s">
        <v>9670</v>
      </c>
      <c r="F3255" s="2" t="s">
        <v>10226</v>
      </c>
      <c r="G3255" s="2" t="s">
        <v>10226</v>
      </c>
      <c r="H3255" s="2" t="s">
        <v>10226</v>
      </c>
      <c r="I3255" s="2" t="s">
        <v>10227</v>
      </c>
      <c r="J3255" s="2" t="s">
        <v>817</v>
      </c>
      <c r="K3255" s="2" t="s">
        <v>578</v>
      </c>
      <c r="L3255" s="3">
        <v>33.08</v>
      </c>
      <c r="M3255" s="3">
        <v>34.73</v>
      </c>
      <c r="N3255" s="3">
        <v>69.99</v>
      </c>
      <c r="O3255" s="2" t="s">
        <v>97</v>
      </c>
      <c r="P3255" s="2" t="s">
        <v>119</v>
      </c>
      <c r="Q3255" s="2" t="s">
        <v>99</v>
      </c>
      <c r="R3255" s="2" t="s">
        <v>100</v>
      </c>
      <c r="S3255" s="2" t="s">
        <v>10311</v>
      </c>
      <c r="T3255" s="2" t="s">
        <v>4972</v>
      </c>
      <c r="U3255" s="2" t="s">
        <v>402</v>
      </c>
      <c r="V3255" s="2" t="s">
        <v>146</v>
      </c>
      <c r="W3255" s="2" t="s">
        <v>183</v>
      </c>
      <c r="X3255" s="2" t="s">
        <v>561</v>
      </c>
      <c r="Y3255" s="2" t="s">
        <v>2378</v>
      </c>
      <c r="Z3255" s="4">
        <v>201</v>
      </c>
      <c r="AA3255" s="4">
        <f>=ROUNDDOWN(28.7142857142857,0)</f>
      </c>
      <c r="AB3255" s="5">
        <v>7</v>
      </c>
      <c r="AC3255" s="2" t="s">
        <v>9084</v>
      </c>
      <c r="AD3255" s="4">
        <v>50</v>
      </c>
      <c r="AE3255" s="4">
        <v>120</v>
      </c>
      <c r="AF3255" s="6">
        <v>65</v>
      </c>
      <c r="AG3255" s="6"/>
      <c r="AH3255" s="7">
        <v>0.8824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>
        <v>3</v>
      </c>
      <c r="AQ3255" s="8">
        <v>99.24</v>
      </c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>
        <v>0.3394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 t="s">
        <v>100</v>
      </c>
      <c r="BJ3255" s="4">
        <v>142</v>
      </c>
      <c r="BK3255" s="8">
        <v>5038.62</v>
      </c>
      <c r="BL3255" s="2" t="s">
        <v>10319</v>
      </c>
      <c r="BM3255" s="7">
        <v>0.0211</v>
      </c>
      <c r="BN3255" s="7">
        <v>0.0197</v>
      </c>
      <c r="BO3255" s="4">
        <v>3</v>
      </c>
      <c r="BP3255" s="8">
        <v>99.24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10273</v>
      </c>
      <c r="BX3255" s="2" t="s">
        <v>6438</v>
      </c>
      <c r="BY3255" s="2" t="s">
        <v>113</v>
      </c>
      <c r="BZ3255" s="2" t="s">
        <v>100</v>
      </c>
    </row>
    <row r="3256">
      <c r="A3256" s="2" t="s">
        <v>10320</v>
      </c>
      <c r="B3256" s="2" t="s">
        <v>9668</v>
      </c>
      <c r="C3256" s="2" t="s">
        <v>5702</v>
      </c>
      <c r="D3256" s="2" t="s">
        <v>9669</v>
      </c>
      <c r="E3256" s="2" t="s">
        <v>9670</v>
      </c>
      <c r="F3256" s="2" t="s">
        <v>10226</v>
      </c>
      <c r="G3256" s="2" t="s">
        <v>10226</v>
      </c>
      <c r="H3256" s="2" t="s">
        <v>10226</v>
      </c>
      <c r="I3256" s="2" t="s">
        <v>10227</v>
      </c>
      <c r="J3256" s="2" t="s">
        <v>717</v>
      </c>
      <c r="K3256" s="2" t="s">
        <v>335</v>
      </c>
      <c r="L3256" s="3">
        <v>27.72</v>
      </c>
      <c r="M3256" s="3">
        <v>29.11</v>
      </c>
      <c r="N3256" s="3">
        <v>59.99</v>
      </c>
      <c r="O3256" s="2" t="s">
        <v>97</v>
      </c>
      <c r="P3256" s="2" t="s">
        <v>225</v>
      </c>
      <c r="Q3256" s="2" t="s">
        <v>99</v>
      </c>
      <c r="R3256" s="2" t="s">
        <v>100</v>
      </c>
      <c r="S3256" s="2" t="s">
        <v>10321</v>
      </c>
      <c r="T3256" s="2" t="s">
        <v>4972</v>
      </c>
      <c r="U3256" s="2" t="s">
        <v>402</v>
      </c>
      <c r="V3256" s="2" t="s">
        <v>146</v>
      </c>
      <c r="W3256" s="2" t="s">
        <v>183</v>
      </c>
      <c r="X3256" s="2" t="s">
        <v>561</v>
      </c>
      <c r="Y3256" s="2" t="s">
        <v>10322</v>
      </c>
      <c r="Z3256" s="4">
        <v>153</v>
      </c>
      <c r="AA3256" s="4">
        <f>=ROUNDDOWN({0},0)</f>
      </c>
      <c r="AB3256" s="5"/>
      <c r="AC3256" s="2" t="s">
        <v>100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 t="s">
        <v>100</v>
      </c>
      <c r="BJ3256" s="4"/>
      <c r="BK3256" s="8"/>
      <c r="BL3256" s="2" t="s">
        <v>100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207</v>
      </c>
      <c r="BV3256" s="2" t="s">
        <v>97</v>
      </c>
      <c r="BW3256" s="2" t="s">
        <v>100</v>
      </c>
      <c r="BX3256" s="2" t="s">
        <v>100</v>
      </c>
      <c r="BY3256" s="2" t="s">
        <v>113</v>
      </c>
      <c r="BZ3256" s="2" t="s">
        <v>100</v>
      </c>
    </row>
    <row r="3257">
      <c r="A3257" s="2" t="s">
        <v>10323</v>
      </c>
      <c r="B3257" s="2" t="s">
        <v>9668</v>
      </c>
      <c r="C3257" s="2" t="s">
        <v>5702</v>
      </c>
      <c r="D3257" s="2" t="s">
        <v>9669</v>
      </c>
      <c r="E3257" s="2" t="s">
        <v>9670</v>
      </c>
      <c r="F3257" s="2" t="s">
        <v>10226</v>
      </c>
      <c r="G3257" s="2" t="s">
        <v>10226</v>
      </c>
      <c r="H3257" s="2" t="s">
        <v>10226</v>
      </c>
      <c r="I3257" s="2" t="s">
        <v>10227</v>
      </c>
      <c r="J3257" s="2" t="s">
        <v>706</v>
      </c>
      <c r="K3257" s="2" t="s">
        <v>335</v>
      </c>
      <c r="L3257" s="3">
        <v>30.71</v>
      </c>
      <c r="M3257" s="3">
        <v>32.25</v>
      </c>
      <c r="N3257" s="3">
        <v>64.99</v>
      </c>
      <c r="O3257" s="2" t="s">
        <v>97</v>
      </c>
      <c r="P3257" s="2" t="s">
        <v>225</v>
      </c>
      <c r="Q3257" s="2" t="s">
        <v>99</v>
      </c>
      <c r="R3257" s="2" t="s">
        <v>100</v>
      </c>
      <c r="S3257" s="2" t="s">
        <v>10321</v>
      </c>
      <c r="T3257" s="2" t="s">
        <v>4972</v>
      </c>
      <c r="U3257" s="2" t="s">
        <v>402</v>
      </c>
      <c r="V3257" s="2" t="s">
        <v>146</v>
      </c>
      <c r="W3257" s="2" t="s">
        <v>183</v>
      </c>
      <c r="X3257" s="2" t="s">
        <v>561</v>
      </c>
      <c r="Y3257" s="2" t="s">
        <v>320</v>
      </c>
      <c r="Z3257" s="4">
        <v>604</v>
      </c>
      <c r="AA3257" s="4">
        <f>=ROUNDDOWN({0},0)</f>
      </c>
      <c r="AB3257" s="5"/>
      <c r="AC3257" s="2" t="s">
        <v>100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 t="s">
        <v>100</v>
      </c>
      <c r="BJ3257" s="4"/>
      <c r="BK3257" s="8"/>
      <c r="BL3257" s="2" t="s">
        <v>100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207</v>
      </c>
      <c r="BV3257" s="2" t="s">
        <v>97</v>
      </c>
      <c r="BW3257" s="2" t="s">
        <v>100</v>
      </c>
      <c r="BX3257" s="2" t="s">
        <v>100</v>
      </c>
      <c r="BY3257" s="2" t="s">
        <v>113</v>
      </c>
      <c r="BZ3257" s="2" t="s">
        <v>100</v>
      </c>
    </row>
    <row r="3258">
      <c r="A3258" s="2" t="s">
        <v>10324</v>
      </c>
      <c r="B3258" s="2" t="s">
        <v>9668</v>
      </c>
      <c r="C3258" s="2" t="s">
        <v>5702</v>
      </c>
      <c r="D3258" s="2" t="s">
        <v>9669</v>
      </c>
      <c r="E3258" s="2" t="s">
        <v>9670</v>
      </c>
      <c r="F3258" s="2" t="s">
        <v>10226</v>
      </c>
      <c r="G3258" s="2" t="s">
        <v>10226</v>
      </c>
      <c r="H3258" s="2" t="s">
        <v>10226</v>
      </c>
      <c r="I3258" s="2" t="s">
        <v>10227</v>
      </c>
      <c r="J3258" s="2" t="s">
        <v>714</v>
      </c>
      <c r="K3258" s="2" t="s">
        <v>335</v>
      </c>
      <c r="L3258" s="3">
        <v>33.08</v>
      </c>
      <c r="M3258" s="3">
        <v>34.73</v>
      </c>
      <c r="N3258" s="3">
        <v>69.99</v>
      </c>
      <c r="O3258" s="2" t="s">
        <v>97</v>
      </c>
      <c r="P3258" s="2" t="s">
        <v>225</v>
      </c>
      <c r="Q3258" s="2" t="s">
        <v>99</v>
      </c>
      <c r="R3258" s="2" t="s">
        <v>100</v>
      </c>
      <c r="S3258" s="2" t="s">
        <v>10321</v>
      </c>
      <c r="T3258" s="2" t="s">
        <v>4972</v>
      </c>
      <c r="U3258" s="2" t="s">
        <v>402</v>
      </c>
      <c r="V3258" s="2" t="s">
        <v>146</v>
      </c>
      <c r="W3258" s="2" t="s">
        <v>183</v>
      </c>
      <c r="X3258" s="2" t="s">
        <v>561</v>
      </c>
      <c r="Y3258" s="2" t="s">
        <v>320</v>
      </c>
      <c r="Z3258" s="4">
        <v>434</v>
      </c>
      <c r="AA3258" s="4">
        <f>=ROUNDDOWN({0},0)</f>
      </c>
      <c r="AB3258" s="5"/>
      <c r="AC3258" s="2" t="s">
        <v>356</v>
      </c>
      <c r="AD3258" s="4">
        <v>4</v>
      </c>
      <c r="AE3258" s="4">
        <v>4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 t="s">
        <v>100</v>
      </c>
      <c r="BJ3258" s="4"/>
      <c r="BK3258" s="8"/>
      <c r="BL3258" s="2" t="s">
        <v>100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207</v>
      </c>
      <c r="BV3258" s="2" t="s">
        <v>97</v>
      </c>
      <c r="BW3258" s="2" t="s">
        <v>100</v>
      </c>
      <c r="BX3258" s="2" t="s">
        <v>100</v>
      </c>
      <c r="BY3258" s="2" t="s">
        <v>113</v>
      </c>
      <c r="BZ3258" s="2" t="s">
        <v>100</v>
      </c>
    </row>
    <row r="3259">
      <c r="A3259" s="2" t="s">
        <v>10325</v>
      </c>
      <c r="B3259" s="2" t="s">
        <v>9668</v>
      </c>
      <c r="C3259" s="2" t="s">
        <v>5702</v>
      </c>
      <c r="D3259" s="2" t="s">
        <v>9669</v>
      </c>
      <c r="E3259" s="2" t="s">
        <v>9670</v>
      </c>
      <c r="F3259" s="2" t="s">
        <v>10226</v>
      </c>
      <c r="G3259" s="2" t="s">
        <v>10226</v>
      </c>
      <c r="H3259" s="2" t="s">
        <v>10226</v>
      </c>
      <c r="I3259" s="2" t="s">
        <v>10227</v>
      </c>
      <c r="J3259" s="2" t="s">
        <v>817</v>
      </c>
      <c r="K3259" s="2" t="s">
        <v>335</v>
      </c>
      <c r="L3259" s="3">
        <v>33.08</v>
      </c>
      <c r="M3259" s="3">
        <v>34.73</v>
      </c>
      <c r="N3259" s="3">
        <v>69.99</v>
      </c>
      <c r="O3259" s="2" t="s">
        <v>97</v>
      </c>
      <c r="P3259" s="2" t="s">
        <v>225</v>
      </c>
      <c r="Q3259" s="2" t="s">
        <v>99</v>
      </c>
      <c r="R3259" s="2" t="s">
        <v>100</v>
      </c>
      <c r="S3259" s="2" t="s">
        <v>10321</v>
      </c>
      <c r="T3259" s="2" t="s">
        <v>4972</v>
      </c>
      <c r="U3259" s="2" t="s">
        <v>402</v>
      </c>
      <c r="V3259" s="2" t="s">
        <v>146</v>
      </c>
      <c r="W3259" s="2" t="s">
        <v>183</v>
      </c>
      <c r="X3259" s="2" t="s">
        <v>561</v>
      </c>
      <c r="Y3259" s="2" t="s">
        <v>320</v>
      </c>
      <c r="Z3259" s="4">
        <v>180</v>
      </c>
      <c r="AA3259" s="4">
        <f>=ROUNDDOWN({0},0)</f>
      </c>
      <c r="AB3259" s="5"/>
      <c r="AC3259" s="2" t="s">
        <v>100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/>
      <c r="BK3259" s="8"/>
      <c r="BL3259" s="2" t="s">
        <v>100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207</v>
      </c>
      <c r="BV3259" s="2" t="s">
        <v>97</v>
      </c>
      <c r="BW3259" s="2" t="s">
        <v>100</v>
      </c>
      <c r="BX3259" s="2" t="s">
        <v>100</v>
      </c>
      <c r="BY3259" s="2" t="s">
        <v>113</v>
      </c>
      <c r="BZ3259" s="2" t="s">
        <v>100</v>
      </c>
    </row>
    <row r="3260">
      <c r="A3260" s="2" t="s">
        <v>10326</v>
      </c>
      <c r="B3260" s="2" t="s">
        <v>9668</v>
      </c>
      <c r="C3260" s="2" t="s">
        <v>5702</v>
      </c>
      <c r="D3260" s="2" t="s">
        <v>9669</v>
      </c>
      <c r="E3260" s="2" t="s">
        <v>9670</v>
      </c>
      <c r="F3260" s="2" t="s">
        <v>10327</v>
      </c>
      <c r="G3260" s="2" t="s">
        <v>10327</v>
      </c>
      <c r="H3260" s="2" t="s">
        <v>10327</v>
      </c>
      <c r="I3260" s="2" t="s">
        <v>10328</v>
      </c>
      <c r="J3260" s="2" t="s">
        <v>706</v>
      </c>
      <c r="K3260" s="2" t="s">
        <v>198</v>
      </c>
      <c r="L3260" s="3">
        <v>32.2</v>
      </c>
      <c r="M3260" s="3">
        <v>33.81</v>
      </c>
      <c r="N3260" s="3">
        <v>69.99</v>
      </c>
      <c r="O3260" s="2" t="s">
        <v>97</v>
      </c>
      <c r="P3260" s="2" t="s">
        <v>372</v>
      </c>
      <c r="Q3260" s="2" t="s">
        <v>99</v>
      </c>
      <c r="R3260" s="2" t="s">
        <v>100</v>
      </c>
      <c r="S3260" s="2" t="s">
        <v>10329</v>
      </c>
      <c r="T3260" s="2" t="s">
        <v>4972</v>
      </c>
      <c r="U3260" s="2" t="s">
        <v>402</v>
      </c>
      <c r="V3260" s="2" t="s">
        <v>146</v>
      </c>
      <c r="W3260" s="2" t="s">
        <v>183</v>
      </c>
      <c r="X3260" s="2" t="s">
        <v>561</v>
      </c>
      <c r="Y3260" s="2" t="s">
        <v>10330</v>
      </c>
      <c r="Z3260" s="4">
        <v>1423</v>
      </c>
      <c r="AA3260" s="4">
        <f>=ROUNDDOWN(30.2765957446809,0)</f>
      </c>
      <c r="AB3260" s="5">
        <v>47</v>
      </c>
      <c r="AC3260" s="2" t="s">
        <v>1546</v>
      </c>
      <c r="AD3260" s="4">
        <v>550</v>
      </c>
      <c r="AE3260" s="4">
        <v>1170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>
        <v>11</v>
      </c>
      <c r="AQ3260" s="8">
        <v>371.91</v>
      </c>
      <c r="AR3260" s="4"/>
      <c r="AS3260" s="8"/>
      <c r="AT3260" s="7"/>
      <c r="AU3260" s="7"/>
      <c r="AV3260" s="4">
        <v>22</v>
      </c>
      <c r="AW3260" s="8">
        <v>770.33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>
        <v>0.4828</v>
      </c>
      <c r="BC3260" s="4">
        <v>92</v>
      </c>
      <c r="BD3260" s="8">
        <v>3216.56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0.2395</v>
      </c>
      <c r="BJ3260" s="4">
        <v>1109</v>
      </c>
      <c r="BK3260" s="8">
        <v>40229.66</v>
      </c>
      <c r="BL3260" s="2" t="s">
        <v>10255</v>
      </c>
      <c r="BM3260" s="7">
        <v>0.0099</v>
      </c>
      <c r="BN3260" s="7">
        <v>0.0092</v>
      </c>
      <c r="BO3260" s="4">
        <v>11</v>
      </c>
      <c r="BP3260" s="8">
        <v>371.91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10273</v>
      </c>
      <c r="BX3260" s="2" t="s">
        <v>6076</v>
      </c>
      <c r="BY3260" s="2" t="s">
        <v>113</v>
      </c>
      <c r="BZ3260" s="2" t="s">
        <v>100</v>
      </c>
    </row>
    <row r="3261">
      <c r="A3261" s="2" t="s">
        <v>10331</v>
      </c>
      <c r="B3261" s="2" t="s">
        <v>9668</v>
      </c>
      <c r="C3261" s="2" t="s">
        <v>5702</v>
      </c>
      <c r="D3261" s="2" t="s">
        <v>9669</v>
      </c>
      <c r="E3261" s="2" t="s">
        <v>9670</v>
      </c>
      <c r="F3261" s="2" t="s">
        <v>10327</v>
      </c>
      <c r="G3261" s="2" t="s">
        <v>10327</v>
      </c>
      <c r="H3261" s="2" t="s">
        <v>10327</v>
      </c>
      <c r="I3261" s="2" t="s">
        <v>10328</v>
      </c>
      <c r="J3261" s="2" t="s">
        <v>714</v>
      </c>
      <c r="K3261" s="2" t="s">
        <v>198</v>
      </c>
      <c r="L3261" s="3">
        <v>34.5</v>
      </c>
      <c r="M3261" s="3">
        <v>36.22</v>
      </c>
      <c r="N3261" s="3">
        <v>74.99</v>
      </c>
      <c r="O3261" s="2" t="s">
        <v>97</v>
      </c>
      <c r="P3261" s="2" t="s">
        <v>372</v>
      </c>
      <c r="Q3261" s="2" t="s">
        <v>99</v>
      </c>
      <c r="R3261" s="2" t="s">
        <v>100</v>
      </c>
      <c r="S3261" s="2" t="s">
        <v>10329</v>
      </c>
      <c r="T3261" s="2" t="s">
        <v>4972</v>
      </c>
      <c r="U3261" s="2" t="s">
        <v>402</v>
      </c>
      <c r="V3261" s="2" t="s">
        <v>146</v>
      </c>
      <c r="W3261" s="2" t="s">
        <v>183</v>
      </c>
      <c r="X3261" s="2" t="s">
        <v>561</v>
      </c>
      <c r="Y3261" s="2" t="s">
        <v>10330</v>
      </c>
      <c r="Z3261" s="4">
        <v>1241</v>
      </c>
      <c r="AA3261" s="4">
        <f>=ROUNDDOWN(27.8251121076233,0)</f>
      </c>
      <c r="AB3261" s="5">
        <v>44.6</v>
      </c>
      <c r="AC3261" s="2" t="s">
        <v>1546</v>
      </c>
      <c r="AD3261" s="4">
        <v>700</v>
      </c>
      <c r="AE3261" s="4">
        <v>1170</v>
      </c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>
        <v>5</v>
      </c>
      <c r="AQ3261" s="8">
        <v>181.1</v>
      </c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>
        <v>0.2351</v>
      </c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1083</v>
      </c>
      <c r="BK3261" s="8">
        <v>42174.63</v>
      </c>
      <c r="BL3261" s="2" t="s">
        <v>10332</v>
      </c>
      <c r="BM3261" s="7">
        <v>0.0046</v>
      </c>
      <c r="BN3261" s="7">
        <v>0.0043</v>
      </c>
      <c r="BO3261" s="4">
        <v>5</v>
      </c>
      <c r="BP3261" s="8">
        <v>181.1</v>
      </c>
      <c r="BQ3261" s="4"/>
      <c r="BR3261" s="8"/>
      <c r="BS3261" s="7"/>
      <c r="BT3261" s="7"/>
      <c r="BU3261" s="2" t="s">
        <v>109</v>
      </c>
      <c r="BV3261" s="2" t="s">
        <v>110</v>
      </c>
      <c r="BW3261" s="2" t="s">
        <v>10273</v>
      </c>
      <c r="BX3261" s="2" t="s">
        <v>10333</v>
      </c>
      <c r="BY3261" s="2" t="s">
        <v>113</v>
      </c>
      <c r="BZ3261" s="2" t="s">
        <v>100</v>
      </c>
    </row>
    <row r="3262">
      <c r="A3262" s="2" t="s">
        <v>10334</v>
      </c>
      <c r="B3262" s="2" t="s">
        <v>9668</v>
      </c>
      <c r="C3262" s="2" t="s">
        <v>5702</v>
      </c>
      <c r="D3262" s="2" t="s">
        <v>9669</v>
      </c>
      <c r="E3262" s="2" t="s">
        <v>9670</v>
      </c>
      <c r="F3262" s="2" t="s">
        <v>10327</v>
      </c>
      <c r="G3262" s="2" t="s">
        <v>10327</v>
      </c>
      <c r="H3262" s="2" t="s">
        <v>10327</v>
      </c>
      <c r="I3262" s="2" t="s">
        <v>10328</v>
      </c>
      <c r="J3262" s="2" t="s">
        <v>817</v>
      </c>
      <c r="K3262" s="2" t="s">
        <v>198</v>
      </c>
      <c r="L3262" s="3">
        <v>34.5</v>
      </c>
      <c r="M3262" s="3">
        <v>36.22</v>
      </c>
      <c r="N3262" s="3">
        <v>74.99</v>
      </c>
      <c r="O3262" s="2" t="s">
        <v>97</v>
      </c>
      <c r="P3262" s="2" t="s">
        <v>119</v>
      </c>
      <c r="Q3262" s="2" t="s">
        <v>99</v>
      </c>
      <c r="R3262" s="2" t="s">
        <v>100</v>
      </c>
      <c r="S3262" s="2" t="s">
        <v>10329</v>
      </c>
      <c r="T3262" s="2" t="s">
        <v>4972</v>
      </c>
      <c r="U3262" s="2" t="s">
        <v>402</v>
      </c>
      <c r="V3262" s="2" t="s">
        <v>146</v>
      </c>
      <c r="W3262" s="2" t="s">
        <v>183</v>
      </c>
      <c r="X3262" s="2" t="s">
        <v>561</v>
      </c>
      <c r="Y3262" s="2" t="s">
        <v>10330</v>
      </c>
      <c r="Z3262" s="4">
        <v>356</v>
      </c>
      <c r="AA3262" s="4">
        <f>=ROUNDDOWN(26.1764705882353,0)</f>
      </c>
      <c r="AB3262" s="5">
        <v>13.6</v>
      </c>
      <c r="AC3262" s="2" t="s">
        <v>1546</v>
      </c>
      <c r="AD3262" s="4">
        <v>70</v>
      </c>
      <c r="AE3262" s="4">
        <v>130</v>
      </c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>
        <v>6</v>
      </c>
      <c r="AQ3262" s="8">
        <v>217.32</v>
      </c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>
        <v>0.2821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 t="s">
        <v>100</v>
      </c>
      <c r="BJ3262" s="4">
        <v>333</v>
      </c>
      <c r="BK3262" s="8">
        <v>13070.35</v>
      </c>
      <c r="BL3262" s="2" t="s">
        <v>10335</v>
      </c>
      <c r="BM3262" s="7">
        <v>0.018</v>
      </c>
      <c r="BN3262" s="7">
        <v>0.0166</v>
      </c>
      <c r="BO3262" s="4">
        <v>6</v>
      </c>
      <c r="BP3262" s="8">
        <v>217.32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10273</v>
      </c>
      <c r="BX3262" s="2" t="s">
        <v>5655</v>
      </c>
      <c r="BY3262" s="2" t="s">
        <v>113</v>
      </c>
      <c r="BZ3262" s="2" t="s">
        <v>100</v>
      </c>
    </row>
    <row r="3263">
      <c r="A3263" s="2" t="s">
        <v>10336</v>
      </c>
      <c r="B3263" s="2" t="s">
        <v>9668</v>
      </c>
      <c r="C3263" s="2" t="s">
        <v>5702</v>
      </c>
      <c r="D3263" s="2" t="s">
        <v>9669</v>
      </c>
      <c r="E3263" s="2" t="s">
        <v>9670</v>
      </c>
      <c r="F3263" s="2" t="s">
        <v>10327</v>
      </c>
      <c r="G3263" s="2" t="s">
        <v>10327</v>
      </c>
      <c r="H3263" s="2" t="s">
        <v>10327</v>
      </c>
      <c r="I3263" s="2" t="s">
        <v>10328</v>
      </c>
      <c r="J3263" s="2" t="s">
        <v>717</v>
      </c>
      <c r="K3263" s="2" t="s">
        <v>189</v>
      </c>
      <c r="L3263" s="3">
        <v>29.9</v>
      </c>
      <c r="M3263" s="3">
        <v>31.4</v>
      </c>
      <c r="N3263" s="3">
        <v>64.99</v>
      </c>
      <c r="O3263" s="2" t="s">
        <v>97</v>
      </c>
      <c r="P3263" s="2" t="s">
        <v>119</v>
      </c>
      <c r="Q3263" s="2" t="s">
        <v>99</v>
      </c>
      <c r="R3263" s="2" t="s">
        <v>100</v>
      </c>
      <c r="S3263" s="2" t="s">
        <v>10337</v>
      </c>
      <c r="T3263" s="2" t="s">
        <v>4972</v>
      </c>
      <c r="U3263" s="2" t="s">
        <v>402</v>
      </c>
      <c r="V3263" s="2" t="s">
        <v>146</v>
      </c>
      <c r="W3263" s="2" t="s">
        <v>183</v>
      </c>
      <c r="X3263" s="2" t="s">
        <v>561</v>
      </c>
      <c r="Y3263" s="2" t="s">
        <v>10330</v>
      </c>
      <c r="Z3263" s="4">
        <v>427</v>
      </c>
      <c r="AA3263" s="4">
        <f>=ROUNDDOWN(24.6820809248555,0)</f>
      </c>
      <c r="AB3263" s="5">
        <v>17.3</v>
      </c>
      <c r="AC3263" s="2" t="s">
        <v>9084</v>
      </c>
      <c r="AD3263" s="4">
        <v>60</v>
      </c>
      <c r="AE3263" s="4">
        <v>560</v>
      </c>
      <c r="AF3263" s="6">
        <v>65</v>
      </c>
      <c r="AG3263" s="6"/>
      <c r="AH3263" s="7">
        <v>0.9519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>
        <v>1</v>
      </c>
      <c r="AQ3263" s="8">
        <v>31.4</v>
      </c>
      <c r="AR3263" s="4"/>
      <c r="AS3263" s="8"/>
      <c r="AT3263" s="7"/>
      <c r="AU3263" s="7"/>
      <c r="AV3263" s="4">
        <v>20</v>
      </c>
      <c r="AW3263" s="8">
        <v>709.94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>
        <v>0.0442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0.2207</v>
      </c>
      <c r="BJ3263" s="4">
        <v>443</v>
      </c>
      <c r="BK3263" s="8">
        <v>15245.58</v>
      </c>
      <c r="BL3263" s="2" t="s">
        <v>10237</v>
      </c>
      <c r="BM3263" s="7">
        <v>0.0023</v>
      </c>
      <c r="BN3263" s="7">
        <v>0.0021</v>
      </c>
      <c r="BO3263" s="4">
        <v>1</v>
      </c>
      <c r="BP3263" s="8">
        <v>31.4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10273</v>
      </c>
      <c r="BX3263" s="2" t="s">
        <v>7276</v>
      </c>
      <c r="BY3263" s="2" t="s">
        <v>113</v>
      </c>
      <c r="BZ3263" s="2" t="s">
        <v>100</v>
      </c>
    </row>
    <row r="3264">
      <c r="A3264" s="2" t="s">
        <v>10338</v>
      </c>
      <c r="B3264" s="2" t="s">
        <v>9668</v>
      </c>
      <c r="C3264" s="2" t="s">
        <v>5702</v>
      </c>
      <c r="D3264" s="2" t="s">
        <v>9669</v>
      </c>
      <c r="E3264" s="2" t="s">
        <v>9670</v>
      </c>
      <c r="F3264" s="2" t="s">
        <v>10327</v>
      </c>
      <c r="G3264" s="2" t="s">
        <v>10327</v>
      </c>
      <c r="H3264" s="2" t="s">
        <v>10327</v>
      </c>
      <c r="I3264" s="2" t="s">
        <v>10328</v>
      </c>
      <c r="J3264" s="2" t="s">
        <v>706</v>
      </c>
      <c r="K3264" s="2" t="s">
        <v>189</v>
      </c>
      <c r="L3264" s="3">
        <v>32.2</v>
      </c>
      <c r="M3264" s="3">
        <v>33.81</v>
      </c>
      <c r="N3264" s="3">
        <v>69.99</v>
      </c>
      <c r="O3264" s="2" t="s">
        <v>97</v>
      </c>
      <c r="P3264" s="2" t="s">
        <v>307</v>
      </c>
      <c r="Q3264" s="2" t="s">
        <v>99</v>
      </c>
      <c r="R3264" s="2" t="s">
        <v>100</v>
      </c>
      <c r="S3264" s="2" t="s">
        <v>10337</v>
      </c>
      <c r="T3264" s="2" t="s">
        <v>4972</v>
      </c>
      <c r="U3264" s="2" t="s">
        <v>402</v>
      </c>
      <c r="V3264" s="2" t="s">
        <v>146</v>
      </c>
      <c r="W3264" s="2" t="s">
        <v>183</v>
      </c>
      <c r="X3264" s="2" t="s">
        <v>561</v>
      </c>
      <c r="Y3264" s="2" t="s">
        <v>10330</v>
      </c>
      <c r="Z3264" s="4">
        <v>1746</v>
      </c>
      <c r="AA3264" s="4">
        <f>=ROUNDDOWN(30.1034482758621,0)</f>
      </c>
      <c r="AB3264" s="5">
        <v>58</v>
      </c>
      <c r="AC3264" s="2" t="s">
        <v>9084</v>
      </c>
      <c r="AD3264" s="4">
        <v>850</v>
      </c>
      <c r="AE3264" s="4">
        <v>1780</v>
      </c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4</v>
      </c>
      <c r="AQ3264" s="8">
        <v>135.24</v>
      </c>
      <c r="AR3264" s="4"/>
      <c r="AS3264" s="8"/>
      <c r="AT3264" s="7"/>
      <c r="AU3264" s="7"/>
      <c r="AV3264" s="4" t="s">
        <v>100</v>
      </c>
      <c r="AW3264" s="8" t="s">
        <v>100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0.1905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 t="s">
        <v>100</v>
      </c>
      <c r="BJ3264" s="4">
        <v>1531</v>
      </c>
      <c r="BK3264" s="8">
        <v>56206.22</v>
      </c>
      <c r="BL3264" s="2" t="s">
        <v>10339</v>
      </c>
      <c r="BM3264" s="7">
        <v>0.0026</v>
      </c>
      <c r="BN3264" s="7">
        <v>0.0024</v>
      </c>
      <c r="BO3264" s="4">
        <v>4</v>
      </c>
      <c r="BP3264" s="8">
        <v>135.24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10273</v>
      </c>
      <c r="BX3264" s="2" t="s">
        <v>4528</v>
      </c>
      <c r="BY3264" s="2" t="s">
        <v>113</v>
      </c>
      <c r="BZ3264" s="2" t="s">
        <v>100</v>
      </c>
    </row>
    <row r="3265">
      <c r="A3265" s="2" t="s">
        <v>10340</v>
      </c>
      <c r="B3265" s="2" t="s">
        <v>9668</v>
      </c>
      <c r="C3265" s="2" t="s">
        <v>5702</v>
      </c>
      <c r="D3265" s="2" t="s">
        <v>9669</v>
      </c>
      <c r="E3265" s="2" t="s">
        <v>9670</v>
      </c>
      <c r="F3265" s="2" t="s">
        <v>10327</v>
      </c>
      <c r="G3265" s="2" t="s">
        <v>10327</v>
      </c>
      <c r="H3265" s="2" t="s">
        <v>10327</v>
      </c>
      <c r="I3265" s="2" t="s">
        <v>10328</v>
      </c>
      <c r="J3265" s="2" t="s">
        <v>714</v>
      </c>
      <c r="K3265" s="2" t="s">
        <v>189</v>
      </c>
      <c r="L3265" s="3">
        <v>34.5</v>
      </c>
      <c r="M3265" s="3">
        <v>36.22</v>
      </c>
      <c r="N3265" s="3">
        <v>74.99</v>
      </c>
      <c r="O3265" s="2" t="s">
        <v>97</v>
      </c>
      <c r="P3265" s="2" t="s">
        <v>307</v>
      </c>
      <c r="Q3265" s="2" t="s">
        <v>99</v>
      </c>
      <c r="R3265" s="2" t="s">
        <v>100</v>
      </c>
      <c r="S3265" s="2" t="s">
        <v>10337</v>
      </c>
      <c r="T3265" s="2" t="s">
        <v>4972</v>
      </c>
      <c r="U3265" s="2" t="s">
        <v>402</v>
      </c>
      <c r="V3265" s="2" t="s">
        <v>146</v>
      </c>
      <c r="W3265" s="2" t="s">
        <v>183</v>
      </c>
      <c r="X3265" s="2" t="s">
        <v>561</v>
      </c>
      <c r="Y3265" s="2" t="s">
        <v>10330</v>
      </c>
      <c r="Z3265" s="4">
        <v>1429</v>
      </c>
      <c r="AA3265" s="4">
        <f>=ROUNDDOWN(25.7014388489209,0)</f>
      </c>
      <c r="AB3265" s="5">
        <v>55.6</v>
      </c>
      <c r="AC3265" s="2" t="s">
        <v>9084</v>
      </c>
      <c r="AD3265" s="4">
        <v>270</v>
      </c>
      <c r="AE3265" s="4">
        <v>1570</v>
      </c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13</v>
      </c>
      <c r="AQ3265" s="8">
        <v>470.86</v>
      </c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>
        <v>0.6632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1367</v>
      </c>
      <c r="BK3265" s="8">
        <v>54170.51</v>
      </c>
      <c r="BL3265" s="2" t="s">
        <v>10341</v>
      </c>
      <c r="BM3265" s="7">
        <v>0.0095</v>
      </c>
      <c r="BN3265" s="7">
        <v>0.0087</v>
      </c>
      <c r="BO3265" s="4">
        <v>13</v>
      </c>
      <c r="BP3265" s="8">
        <v>470.86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10273</v>
      </c>
      <c r="BX3265" s="2" t="s">
        <v>4484</v>
      </c>
      <c r="BY3265" s="2" t="s">
        <v>113</v>
      </c>
      <c r="BZ3265" s="2" t="s">
        <v>100</v>
      </c>
    </row>
    <row r="3266">
      <c r="A3266" s="2" t="s">
        <v>10342</v>
      </c>
      <c r="B3266" s="2" t="s">
        <v>9668</v>
      </c>
      <c r="C3266" s="2" t="s">
        <v>5702</v>
      </c>
      <c r="D3266" s="2" t="s">
        <v>9669</v>
      </c>
      <c r="E3266" s="2" t="s">
        <v>9670</v>
      </c>
      <c r="F3266" s="2" t="s">
        <v>10327</v>
      </c>
      <c r="G3266" s="2" t="s">
        <v>10327</v>
      </c>
      <c r="H3266" s="2" t="s">
        <v>10327</v>
      </c>
      <c r="I3266" s="2" t="s">
        <v>10328</v>
      </c>
      <c r="J3266" s="2" t="s">
        <v>817</v>
      </c>
      <c r="K3266" s="2" t="s">
        <v>189</v>
      </c>
      <c r="L3266" s="3">
        <v>34.5</v>
      </c>
      <c r="M3266" s="3">
        <v>36.22</v>
      </c>
      <c r="N3266" s="3">
        <v>74.99</v>
      </c>
      <c r="O3266" s="2" t="s">
        <v>97</v>
      </c>
      <c r="P3266" s="2" t="s">
        <v>119</v>
      </c>
      <c r="Q3266" s="2" t="s">
        <v>99</v>
      </c>
      <c r="R3266" s="2" t="s">
        <v>100</v>
      </c>
      <c r="S3266" s="2" t="s">
        <v>10337</v>
      </c>
      <c r="T3266" s="2" t="s">
        <v>4972</v>
      </c>
      <c r="U3266" s="2" t="s">
        <v>402</v>
      </c>
      <c r="V3266" s="2" t="s">
        <v>146</v>
      </c>
      <c r="W3266" s="2" t="s">
        <v>183</v>
      </c>
      <c r="X3266" s="2" t="s">
        <v>561</v>
      </c>
      <c r="Y3266" s="2" t="s">
        <v>10330</v>
      </c>
      <c r="Z3266" s="4">
        <v>604</v>
      </c>
      <c r="AA3266" s="4">
        <f>=ROUNDDOWN(46.4615384615385,0)</f>
      </c>
      <c r="AB3266" s="5">
        <v>13</v>
      </c>
      <c r="AC3266" s="2" t="s">
        <v>9084</v>
      </c>
      <c r="AD3266" s="4">
        <v>80</v>
      </c>
      <c r="AE3266" s="4">
        <v>220</v>
      </c>
      <c r="AF3266" s="6">
        <v>65</v>
      </c>
      <c r="AG3266" s="6"/>
      <c r="AH3266" s="7">
        <v>0.8021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>
        <v>2</v>
      </c>
      <c r="AQ3266" s="8">
        <v>72.44</v>
      </c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>
        <v>0.102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 t="s">
        <v>100</v>
      </c>
      <c r="BJ3266" s="4">
        <v>279</v>
      </c>
      <c r="BK3266" s="8">
        <v>11566.54</v>
      </c>
      <c r="BL3266" s="2" t="s">
        <v>10343</v>
      </c>
      <c r="BM3266" s="7">
        <v>0.0072</v>
      </c>
      <c r="BN3266" s="7">
        <v>0.0063</v>
      </c>
      <c r="BO3266" s="4">
        <v>2</v>
      </c>
      <c r="BP3266" s="8">
        <v>72.44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10273</v>
      </c>
      <c r="BX3266" s="2" t="s">
        <v>10299</v>
      </c>
      <c r="BY3266" s="2" t="s">
        <v>113</v>
      </c>
      <c r="BZ3266" s="2" t="s">
        <v>100</v>
      </c>
    </row>
    <row r="3267">
      <c r="A3267" s="2" t="s">
        <v>10344</v>
      </c>
      <c r="B3267" s="2" t="s">
        <v>9668</v>
      </c>
      <c r="C3267" s="2" t="s">
        <v>5702</v>
      </c>
      <c r="D3267" s="2" t="s">
        <v>9669</v>
      </c>
      <c r="E3267" s="2" t="s">
        <v>9670</v>
      </c>
      <c r="F3267" s="2" t="s">
        <v>10327</v>
      </c>
      <c r="G3267" s="2" t="s">
        <v>10327</v>
      </c>
      <c r="H3267" s="2" t="s">
        <v>10327</v>
      </c>
      <c r="I3267" s="2" t="s">
        <v>10328</v>
      </c>
      <c r="J3267" s="2" t="s">
        <v>717</v>
      </c>
      <c r="K3267" s="2" t="s">
        <v>2477</v>
      </c>
      <c r="L3267" s="3">
        <v>29.9</v>
      </c>
      <c r="M3267" s="3">
        <v>31.4</v>
      </c>
      <c r="N3267" s="3">
        <v>64.99</v>
      </c>
      <c r="O3267" s="2" t="s">
        <v>97</v>
      </c>
      <c r="P3267" s="2" t="s">
        <v>119</v>
      </c>
      <c r="Q3267" s="2" t="s">
        <v>99</v>
      </c>
      <c r="R3267" s="2" t="s">
        <v>100</v>
      </c>
      <c r="S3267" s="2" t="s">
        <v>10345</v>
      </c>
      <c r="T3267" s="2" t="s">
        <v>4972</v>
      </c>
      <c r="U3267" s="2" t="s">
        <v>402</v>
      </c>
      <c r="V3267" s="2" t="s">
        <v>146</v>
      </c>
      <c r="W3267" s="2" t="s">
        <v>183</v>
      </c>
      <c r="X3267" s="2" t="s">
        <v>561</v>
      </c>
      <c r="Y3267" s="2" t="s">
        <v>10330</v>
      </c>
      <c r="Z3267" s="4">
        <v>156</v>
      </c>
      <c r="AA3267" s="4">
        <f>=ROUNDDOWN(15.6,0)</f>
      </c>
      <c r="AB3267" s="5">
        <v>10</v>
      </c>
      <c r="AC3267" s="2" t="s">
        <v>9084</v>
      </c>
      <c r="AD3267" s="4">
        <v>48</v>
      </c>
      <c r="AE3267" s="4">
        <v>238</v>
      </c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>
        <v>1</v>
      </c>
      <c r="AQ3267" s="8">
        <v>31.4</v>
      </c>
      <c r="AR3267" s="4"/>
      <c r="AS3267" s="8"/>
      <c r="AT3267" s="7"/>
      <c r="AU3267" s="7"/>
      <c r="AV3267" s="4">
        <v>19</v>
      </c>
      <c r="AW3267" s="8">
        <v>668.9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0.0469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0.208</v>
      </c>
      <c r="BJ3267" s="4">
        <v>229</v>
      </c>
      <c r="BK3267" s="8">
        <v>7773.81</v>
      </c>
      <c r="BL3267" s="2" t="s">
        <v>10346</v>
      </c>
      <c r="BM3267" s="7">
        <v>0.0044</v>
      </c>
      <c r="BN3267" s="7">
        <v>0.004</v>
      </c>
      <c r="BO3267" s="4">
        <v>1</v>
      </c>
      <c r="BP3267" s="8">
        <v>31.4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10273</v>
      </c>
      <c r="BX3267" s="2" t="s">
        <v>10347</v>
      </c>
      <c r="BY3267" s="2" t="s">
        <v>113</v>
      </c>
      <c r="BZ3267" s="2" t="s">
        <v>100</v>
      </c>
    </row>
    <row r="3268">
      <c r="A3268" s="2" t="s">
        <v>10348</v>
      </c>
      <c r="B3268" s="2" t="s">
        <v>9668</v>
      </c>
      <c r="C3268" s="2" t="s">
        <v>5702</v>
      </c>
      <c r="D3268" s="2" t="s">
        <v>9669</v>
      </c>
      <c r="E3268" s="2" t="s">
        <v>9670</v>
      </c>
      <c r="F3268" s="2" t="s">
        <v>10327</v>
      </c>
      <c r="G3268" s="2" t="s">
        <v>10327</v>
      </c>
      <c r="H3268" s="2" t="s">
        <v>10327</v>
      </c>
      <c r="I3268" s="2" t="s">
        <v>10328</v>
      </c>
      <c r="J3268" s="2" t="s">
        <v>706</v>
      </c>
      <c r="K3268" s="2" t="s">
        <v>2477</v>
      </c>
      <c r="L3268" s="3">
        <v>32.2</v>
      </c>
      <c r="M3268" s="3">
        <v>33.81</v>
      </c>
      <c r="N3268" s="3">
        <v>69.99</v>
      </c>
      <c r="O3268" s="2" t="s">
        <v>97</v>
      </c>
      <c r="P3268" s="2" t="s">
        <v>372</v>
      </c>
      <c r="Q3268" s="2" t="s">
        <v>99</v>
      </c>
      <c r="R3268" s="2" t="s">
        <v>100</v>
      </c>
      <c r="S3268" s="2" t="s">
        <v>10345</v>
      </c>
      <c r="T3268" s="2" t="s">
        <v>4972</v>
      </c>
      <c r="U3268" s="2" t="s">
        <v>402</v>
      </c>
      <c r="V3268" s="2" t="s">
        <v>146</v>
      </c>
      <c r="W3268" s="2" t="s">
        <v>183</v>
      </c>
      <c r="X3268" s="2" t="s">
        <v>561</v>
      </c>
      <c r="Y3268" s="2" t="s">
        <v>10330</v>
      </c>
      <c r="Z3268" s="4">
        <v>1092</v>
      </c>
      <c r="AA3268" s="4">
        <f>=ROUNDDOWN(24.2666666666667,0)</f>
      </c>
      <c r="AB3268" s="5">
        <v>45</v>
      </c>
      <c r="AC3268" s="2" t="s">
        <v>9084</v>
      </c>
      <c r="AD3268" s="4">
        <v>504</v>
      </c>
      <c r="AE3268" s="4">
        <v>1454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>
        <v>6</v>
      </c>
      <c r="AQ3268" s="8">
        <v>202.86</v>
      </c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>
        <v>0.3033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 t="s">
        <v>100</v>
      </c>
      <c r="BJ3268" s="4">
        <v>1173</v>
      </c>
      <c r="BK3268" s="8">
        <v>42904.51</v>
      </c>
      <c r="BL3268" s="2" t="s">
        <v>10230</v>
      </c>
      <c r="BM3268" s="7">
        <v>0.0051</v>
      </c>
      <c r="BN3268" s="7">
        <v>0.0047</v>
      </c>
      <c r="BO3268" s="4">
        <v>6</v>
      </c>
      <c r="BP3268" s="8">
        <v>202.86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10273</v>
      </c>
      <c r="BX3268" s="2" t="s">
        <v>4847</v>
      </c>
      <c r="BY3268" s="2" t="s">
        <v>113</v>
      </c>
      <c r="BZ3268" s="2" t="s">
        <v>100</v>
      </c>
    </row>
    <row r="3269">
      <c r="A3269" s="2" t="s">
        <v>10349</v>
      </c>
      <c r="B3269" s="2" t="s">
        <v>9668</v>
      </c>
      <c r="C3269" s="2" t="s">
        <v>5702</v>
      </c>
      <c r="D3269" s="2" t="s">
        <v>9669</v>
      </c>
      <c r="E3269" s="2" t="s">
        <v>9670</v>
      </c>
      <c r="F3269" s="2" t="s">
        <v>10327</v>
      </c>
      <c r="G3269" s="2" t="s">
        <v>10327</v>
      </c>
      <c r="H3269" s="2" t="s">
        <v>10327</v>
      </c>
      <c r="I3269" s="2" t="s">
        <v>10328</v>
      </c>
      <c r="J3269" s="2" t="s">
        <v>714</v>
      </c>
      <c r="K3269" s="2" t="s">
        <v>2477</v>
      </c>
      <c r="L3269" s="3">
        <v>34.5</v>
      </c>
      <c r="M3269" s="3">
        <v>36.22</v>
      </c>
      <c r="N3269" s="3">
        <v>74.99</v>
      </c>
      <c r="O3269" s="2" t="s">
        <v>97</v>
      </c>
      <c r="P3269" s="2" t="s">
        <v>372</v>
      </c>
      <c r="Q3269" s="2" t="s">
        <v>99</v>
      </c>
      <c r="R3269" s="2" t="s">
        <v>100</v>
      </c>
      <c r="S3269" s="2" t="s">
        <v>10345</v>
      </c>
      <c r="T3269" s="2" t="s">
        <v>4972</v>
      </c>
      <c r="U3269" s="2" t="s">
        <v>402</v>
      </c>
      <c r="V3269" s="2" t="s">
        <v>146</v>
      </c>
      <c r="W3269" s="2" t="s">
        <v>183</v>
      </c>
      <c r="X3269" s="2" t="s">
        <v>561</v>
      </c>
      <c r="Y3269" s="2" t="s">
        <v>10330</v>
      </c>
      <c r="Z3269" s="4">
        <v>812</v>
      </c>
      <c r="AA3269" s="4">
        <f>=ROUNDDOWN(16.3709677419355,0)</f>
      </c>
      <c r="AB3269" s="5">
        <v>49.6</v>
      </c>
      <c r="AC3269" s="2" t="s">
        <v>9084</v>
      </c>
      <c r="AD3269" s="4">
        <v>180</v>
      </c>
      <c r="AE3269" s="4">
        <v>1510</v>
      </c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>
        <v>9</v>
      </c>
      <c r="AQ3269" s="8">
        <v>325.98</v>
      </c>
      <c r="AR3269" s="4"/>
      <c r="AS3269" s="8"/>
      <c r="AT3269" s="7"/>
      <c r="AU3269" s="7"/>
      <c r="AV3269" s="4" t="s">
        <v>100</v>
      </c>
      <c r="AW3269" s="8" t="s">
        <v>100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>
        <v>0.4873</v>
      </c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 t="s">
        <v>100</v>
      </c>
      <c r="BJ3269" s="4">
        <v>1034</v>
      </c>
      <c r="BK3269" s="8">
        <v>40707.33</v>
      </c>
      <c r="BL3269" s="2" t="s">
        <v>10350</v>
      </c>
      <c r="BM3269" s="7">
        <v>0.0087</v>
      </c>
      <c r="BN3269" s="7">
        <v>0.008</v>
      </c>
      <c r="BO3269" s="4">
        <v>9</v>
      </c>
      <c r="BP3269" s="8">
        <v>325.98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10273</v>
      </c>
      <c r="BX3269" s="2" t="s">
        <v>6856</v>
      </c>
      <c r="BY3269" s="2" t="s">
        <v>113</v>
      </c>
      <c r="BZ3269" s="2" t="s">
        <v>100</v>
      </c>
    </row>
    <row r="3270">
      <c r="A3270" s="2" t="s">
        <v>10351</v>
      </c>
      <c r="B3270" s="2" t="s">
        <v>9668</v>
      </c>
      <c r="C3270" s="2" t="s">
        <v>5702</v>
      </c>
      <c r="D3270" s="2" t="s">
        <v>9669</v>
      </c>
      <c r="E3270" s="2" t="s">
        <v>9670</v>
      </c>
      <c r="F3270" s="2" t="s">
        <v>10327</v>
      </c>
      <c r="G3270" s="2" t="s">
        <v>10327</v>
      </c>
      <c r="H3270" s="2" t="s">
        <v>10327</v>
      </c>
      <c r="I3270" s="2" t="s">
        <v>10328</v>
      </c>
      <c r="J3270" s="2" t="s">
        <v>817</v>
      </c>
      <c r="K3270" s="2" t="s">
        <v>2477</v>
      </c>
      <c r="L3270" s="3">
        <v>34.5</v>
      </c>
      <c r="M3270" s="3">
        <v>36.22</v>
      </c>
      <c r="N3270" s="3">
        <v>74.99</v>
      </c>
      <c r="O3270" s="2" t="s">
        <v>97</v>
      </c>
      <c r="P3270" s="2" t="s">
        <v>119</v>
      </c>
      <c r="Q3270" s="2" t="s">
        <v>99</v>
      </c>
      <c r="R3270" s="2" t="s">
        <v>100</v>
      </c>
      <c r="S3270" s="2" t="s">
        <v>10345</v>
      </c>
      <c r="T3270" s="2" t="s">
        <v>4972</v>
      </c>
      <c r="U3270" s="2" t="s">
        <v>402</v>
      </c>
      <c r="V3270" s="2" t="s">
        <v>146</v>
      </c>
      <c r="W3270" s="2" t="s">
        <v>183</v>
      </c>
      <c r="X3270" s="2" t="s">
        <v>561</v>
      </c>
      <c r="Y3270" s="2" t="s">
        <v>10330</v>
      </c>
      <c r="Z3270" s="4">
        <v>280</v>
      </c>
      <c r="AA3270" s="4">
        <f>=ROUNDDOWN(20.7407407407407,0)</f>
      </c>
      <c r="AB3270" s="5">
        <v>13.5</v>
      </c>
      <c r="AC3270" s="2" t="s">
        <v>9084</v>
      </c>
      <c r="AD3270" s="4">
        <v>66</v>
      </c>
      <c r="AE3270" s="4">
        <v>476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>
        <v>3</v>
      </c>
      <c r="AQ3270" s="8">
        <v>108.66</v>
      </c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>
        <v>0.1624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 t="s">
        <v>100</v>
      </c>
      <c r="BJ3270" s="4">
        <v>346</v>
      </c>
      <c r="BK3270" s="8">
        <v>13481.85</v>
      </c>
      <c r="BL3270" s="2" t="s">
        <v>10352</v>
      </c>
      <c r="BM3270" s="7">
        <v>0.0087</v>
      </c>
      <c r="BN3270" s="7">
        <v>0.0081</v>
      </c>
      <c r="BO3270" s="4">
        <v>3</v>
      </c>
      <c r="BP3270" s="8">
        <v>108.66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10273</v>
      </c>
      <c r="BX3270" s="2" t="s">
        <v>4528</v>
      </c>
      <c r="BY3270" s="2" t="s">
        <v>113</v>
      </c>
      <c r="BZ3270" s="2" t="s">
        <v>100</v>
      </c>
    </row>
    <row r="3271">
      <c r="A3271" s="2" t="s">
        <v>10353</v>
      </c>
      <c r="B3271" s="2" t="s">
        <v>9668</v>
      </c>
      <c r="C3271" s="2" t="s">
        <v>5702</v>
      </c>
      <c r="D3271" s="2" t="s">
        <v>9669</v>
      </c>
      <c r="E3271" s="2" t="s">
        <v>9670</v>
      </c>
      <c r="F3271" s="2" t="s">
        <v>10327</v>
      </c>
      <c r="G3271" s="2" t="s">
        <v>10327</v>
      </c>
      <c r="H3271" s="2" t="s">
        <v>10327</v>
      </c>
      <c r="I3271" s="2" t="s">
        <v>10328</v>
      </c>
      <c r="J3271" s="2" t="s">
        <v>717</v>
      </c>
      <c r="K3271" s="2" t="s">
        <v>118</v>
      </c>
      <c r="L3271" s="3">
        <v>29.9</v>
      </c>
      <c r="M3271" s="3">
        <v>31.4</v>
      </c>
      <c r="N3271" s="3">
        <v>64.99</v>
      </c>
      <c r="O3271" s="2" t="s">
        <v>97</v>
      </c>
      <c r="P3271" s="2" t="s">
        <v>119</v>
      </c>
      <c r="Q3271" s="2" t="s">
        <v>99</v>
      </c>
      <c r="R3271" s="2" t="s">
        <v>100</v>
      </c>
      <c r="S3271" s="2" t="s">
        <v>10354</v>
      </c>
      <c r="T3271" s="2" t="s">
        <v>4972</v>
      </c>
      <c r="U3271" s="2" t="s">
        <v>402</v>
      </c>
      <c r="V3271" s="2" t="s">
        <v>146</v>
      </c>
      <c r="W3271" s="2" t="s">
        <v>183</v>
      </c>
      <c r="X3271" s="2" t="s">
        <v>561</v>
      </c>
      <c r="Y3271" s="2" t="s">
        <v>10330</v>
      </c>
      <c r="Z3271" s="4">
        <v>252</v>
      </c>
      <c r="AA3271" s="4">
        <f>=ROUNDDOWN(18.1294964028777,0)</f>
      </c>
      <c r="AB3271" s="5">
        <v>13.9</v>
      </c>
      <c r="AC3271" s="2" t="s">
        <v>9084</v>
      </c>
      <c r="AD3271" s="4">
        <v>80</v>
      </c>
      <c r="AE3271" s="4">
        <v>480</v>
      </c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>
        <v>3</v>
      </c>
      <c r="AQ3271" s="8">
        <v>94.2</v>
      </c>
      <c r="AR3271" s="4"/>
      <c r="AS3271" s="8"/>
      <c r="AT3271" s="7"/>
      <c r="AU3271" s="7"/>
      <c r="AV3271" s="4">
        <v>16</v>
      </c>
      <c r="AW3271" s="8">
        <v>543.37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>
        <v>0.1734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0.1689</v>
      </c>
      <c r="BJ3271" s="4">
        <v>361</v>
      </c>
      <c r="BK3271" s="8">
        <v>11871.47</v>
      </c>
      <c r="BL3271" s="2" t="s">
        <v>10355</v>
      </c>
      <c r="BM3271" s="7">
        <v>0.0083</v>
      </c>
      <c r="BN3271" s="7">
        <v>0.0079</v>
      </c>
      <c r="BO3271" s="4">
        <v>3</v>
      </c>
      <c r="BP3271" s="8">
        <v>94.2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10273</v>
      </c>
      <c r="BX3271" s="2" t="s">
        <v>10356</v>
      </c>
      <c r="BY3271" s="2" t="s">
        <v>113</v>
      </c>
      <c r="BZ3271" s="2" t="s">
        <v>100</v>
      </c>
    </row>
    <row r="3272">
      <c r="A3272" s="2" t="s">
        <v>10357</v>
      </c>
      <c r="B3272" s="2" t="s">
        <v>9668</v>
      </c>
      <c r="C3272" s="2" t="s">
        <v>5702</v>
      </c>
      <c r="D3272" s="2" t="s">
        <v>9669</v>
      </c>
      <c r="E3272" s="2" t="s">
        <v>9670</v>
      </c>
      <c r="F3272" s="2" t="s">
        <v>10327</v>
      </c>
      <c r="G3272" s="2" t="s">
        <v>10327</v>
      </c>
      <c r="H3272" s="2" t="s">
        <v>10327</v>
      </c>
      <c r="I3272" s="2" t="s">
        <v>10328</v>
      </c>
      <c r="J3272" s="2" t="s">
        <v>706</v>
      </c>
      <c r="K3272" s="2" t="s">
        <v>118</v>
      </c>
      <c r="L3272" s="3">
        <v>32.2</v>
      </c>
      <c r="M3272" s="3">
        <v>33.81</v>
      </c>
      <c r="N3272" s="3">
        <v>69.99</v>
      </c>
      <c r="O3272" s="2" t="s">
        <v>97</v>
      </c>
      <c r="P3272" s="2" t="s">
        <v>372</v>
      </c>
      <c r="Q3272" s="2" t="s">
        <v>99</v>
      </c>
      <c r="R3272" s="2" t="s">
        <v>100</v>
      </c>
      <c r="S3272" s="2" t="s">
        <v>10354</v>
      </c>
      <c r="T3272" s="2" t="s">
        <v>4972</v>
      </c>
      <c r="U3272" s="2" t="s">
        <v>402</v>
      </c>
      <c r="V3272" s="2" t="s">
        <v>146</v>
      </c>
      <c r="W3272" s="2" t="s">
        <v>183</v>
      </c>
      <c r="X3272" s="2" t="s">
        <v>561</v>
      </c>
      <c r="Y3272" s="2" t="s">
        <v>10330</v>
      </c>
      <c r="Z3272" s="4">
        <v>1031</v>
      </c>
      <c r="AA3272" s="4">
        <f>=ROUNDDOWN(20.3353057199211,0)</f>
      </c>
      <c r="AB3272" s="5">
        <v>50.7</v>
      </c>
      <c r="AC3272" s="2" t="s">
        <v>9084</v>
      </c>
      <c r="AD3272" s="4">
        <v>898</v>
      </c>
      <c r="AE3272" s="4">
        <v>1848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>
        <v>9</v>
      </c>
      <c r="AQ3272" s="8">
        <v>304.29</v>
      </c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>
        <v>0.56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 t="s">
        <v>100</v>
      </c>
      <c r="BJ3272" s="4">
        <v>1358</v>
      </c>
      <c r="BK3272" s="8">
        <v>48925.07</v>
      </c>
      <c r="BL3272" s="2" t="s">
        <v>10358</v>
      </c>
      <c r="BM3272" s="7">
        <v>0.0066</v>
      </c>
      <c r="BN3272" s="7">
        <v>0.0062</v>
      </c>
      <c r="BO3272" s="4">
        <v>9</v>
      </c>
      <c r="BP3272" s="8">
        <v>304.29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10273</v>
      </c>
      <c r="BX3272" s="2" t="s">
        <v>10359</v>
      </c>
      <c r="BY3272" s="2" t="s">
        <v>113</v>
      </c>
      <c r="BZ3272" s="2" t="s">
        <v>100</v>
      </c>
    </row>
    <row r="3273">
      <c r="A3273" s="2" t="s">
        <v>10360</v>
      </c>
      <c r="B3273" s="2" t="s">
        <v>9668</v>
      </c>
      <c r="C3273" s="2" t="s">
        <v>5702</v>
      </c>
      <c r="D3273" s="2" t="s">
        <v>9669</v>
      </c>
      <c r="E3273" s="2" t="s">
        <v>9670</v>
      </c>
      <c r="F3273" s="2" t="s">
        <v>10327</v>
      </c>
      <c r="G3273" s="2" t="s">
        <v>10327</v>
      </c>
      <c r="H3273" s="2" t="s">
        <v>10327</v>
      </c>
      <c r="I3273" s="2" t="s">
        <v>10328</v>
      </c>
      <c r="J3273" s="2" t="s">
        <v>714</v>
      </c>
      <c r="K3273" s="2" t="s">
        <v>118</v>
      </c>
      <c r="L3273" s="3">
        <v>34.5</v>
      </c>
      <c r="M3273" s="3">
        <v>36.22</v>
      </c>
      <c r="N3273" s="3">
        <v>74.99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10354</v>
      </c>
      <c r="T3273" s="2" t="s">
        <v>4972</v>
      </c>
      <c r="U3273" s="2" t="s">
        <v>402</v>
      </c>
      <c r="V3273" s="2" t="s">
        <v>146</v>
      </c>
      <c r="W3273" s="2" t="s">
        <v>183</v>
      </c>
      <c r="X3273" s="2" t="s">
        <v>561</v>
      </c>
      <c r="Y3273" s="2" t="s">
        <v>10330</v>
      </c>
      <c r="Z3273" s="4">
        <v>725</v>
      </c>
      <c r="AA3273" s="4">
        <f>=ROUNDDOWN(13.7051039697543,0)</f>
      </c>
      <c r="AB3273" s="5">
        <v>52.9</v>
      </c>
      <c r="AC3273" s="2" t="s">
        <v>9084</v>
      </c>
      <c r="AD3273" s="4">
        <v>520</v>
      </c>
      <c r="AE3273" s="4">
        <v>1770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2</v>
      </c>
      <c r="AQ3273" s="8">
        <v>72.44</v>
      </c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>
        <v>0.1333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 t="s">
        <v>100</v>
      </c>
      <c r="BJ3273" s="4">
        <v>1238</v>
      </c>
      <c r="BK3273" s="8">
        <v>47634.6</v>
      </c>
      <c r="BL3273" s="2" t="s">
        <v>10361</v>
      </c>
      <c r="BM3273" s="7">
        <v>0.0016</v>
      </c>
      <c r="BN3273" s="7">
        <v>0.0015</v>
      </c>
      <c r="BO3273" s="4">
        <v>2</v>
      </c>
      <c r="BP3273" s="8">
        <v>72.44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10273</v>
      </c>
      <c r="BX3273" s="2" t="s">
        <v>10362</v>
      </c>
      <c r="BY3273" s="2" t="s">
        <v>113</v>
      </c>
      <c r="BZ3273" s="2" t="s">
        <v>100</v>
      </c>
    </row>
    <row r="3274">
      <c r="A3274" s="2" t="s">
        <v>10363</v>
      </c>
      <c r="B3274" s="2" t="s">
        <v>9668</v>
      </c>
      <c r="C3274" s="2" t="s">
        <v>5702</v>
      </c>
      <c r="D3274" s="2" t="s">
        <v>9669</v>
      </c>
      <c r="E3274" s="2" t="s">
        <v>9670</v>
      </c>
      <c r="F3274" s="2" t="s">
        <v>10327</v>
      </c>
      <c r="G3274" s="2" t="s">
        <v>10327</v>
      </c>
      <c r="H3274" s="2" t="s">
        <v>10327</v>
      </c>
      <c r="I3274" s="2" t="s">
        <v>10328</v>
      </c>
      <c r="J3274" s="2" t="s">
        <v>817</v>
      </c>
      <c r="K3274" s="2" t="s">
        <v>118</v>
      </c>
      <c r="L3274" s="3">
        <v>34.5</v>
      </c>
      <c r="M3274" s="3">
        <v>36.22</v>
      </c>
      <c r="N3274" s="3">
        <v>74.99</v>
      </c>
      <c r="O3274" s="2" t="s">
        <v>97</v>
      </c>
      <c r="P3274" s="2" t="s">
        <v>119</v>
      </c>
      <c r="Q3274" s="2" t="s">
        <v>99</v>
      </c>
      <c r="R3274" s="2" t="s">
        <v>100</v>
      </c>
      <c r="S3274" s="2" t="s">
        <v>10354</v>
      </c>
      <c r="T3274" s="2" t="s">
        <v>4972</v>
      </c>
      <c r="U3274" s="2" t="s">
        <v>402</v>
      </c>
      <c r="V3274" s="2" t="s">
        <v>146</v>
      </c>
      <c r="W3274" s="2" t="s">
        <v>183</v>
      </c>
      <c r="X3274" s="2" t="s">
        <v>561</v>
      </c>
      <c r="Y3274" s="2" t="s">
        <v>10330</v>
      </c>
      <c r="Z3274" s="4">
        <v>279</v>
      </c>
      <c r="AA3274" s="4">
        <f>=ROUNDDOWN(21.4615384615385,0)</f>
      </c>
      <c r="AB3274" s="5">
        <v>13</v>
      </c>
      <c r="AC3274" s="2" t="s">
        <v>9084</v>
      </c>
      <c r="AD3274" s="4">
        <v>100</v>
      </c>
      <c r="AE3274" s="4">
        <v>560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>
        <v>2</v>
      </c>
      <c r="AQ3274" s="8">
        <v>72.44</v>
      </c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>
        <v>0.1333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396</v>
      </c>
      <c r="BK3274" s="8">
        <v>15159.53</v>
      </c>
      <c r="BL3274" s="2" t="s">
        <v>10335</v>
      </c>
      <c r="BM3274" s="7">
        <v>0.0051</v>
      </c>
      <c r="BN3274" s="7">
        <v>0.0048</v>
      </c>
      <c r="BO3274" s="4">
        <v>2</v>
      </c>
      <c r="BP3274" s="8">
        <v>72.44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10273</v>
      </c>
      <c r="BX3274" s="2" t="s">
        <v>6767</v>
      </c>
      <c r="BY3274" s="2" t="s">
        <v>113</v>
      </c>
      <c r="BZ3274" s="2" t="s">
        <v>100</v>
      </c>
    </row>
    <row r="3275">
      <c r="A3275" s="2" t="s">
        <v>10364</v>
      </c>
      <c r="B3275" s="2" t="s">
        <v>9668</v>
      </c>
      <c r="C3275" s="2" t="s">
        <v>5702</v>
      </c>
      <c r="D3275" s="2" t="s">
        <v>9669</v>
      </c>
      <c r="E3275" s="2" t="s">
        <v>9670</v>
      </c>
      <c r="F3275" s="2" t="s">
        <v>10327</v>
      </c>
      <c r="G3275" s="2" t="s">
        <v>10327</v>
      </c>
      <c r="H3275" s="2" t="s">
        <v>10327</v>
      </c>
      <c r="I3275" s="2" t="s">
        <v>10328</v>
      </c>
      <c r="J3275" s="2" t="s">
        <v>717</v>
      </c>
      <c r="K3275" s="2" t="s">
        <v>1614</v>
      </c>
      <c r="L3275" s="3">
        <v>29.9</v>
      </c>
      <c r="M3275" s="3">
        <v>31.4</v>
      </c>
      <c r="N3275" s="3">
        <v>64.99</v>
      </c>
      <c r="O3275" s="2" t="s">
        <v>97</v>
      </c>
      <c r="P3275" s="2" t="s">
        <v>119</v>
      </c>
      <c r="Q3275" s="2" t="s">
        <v>99</v>
      </c>
      <c r="R3275" s="2" t="s">
        <v>100</v>
      </c>
      <c r="S3275" s="2" t="s">
        <v>10365</v>
      </c>
      <c r="T3275" s="2" t="s">
        <v>4972</v>
      </c>
      <c r="U3275" s="2" t="s">
        <v>402</v>
      </c>
      <c r="V3275" s="2" t="s">
        <v>146</v>
      </c>
      <c r="W3275" s="2" t="s">
        <v>183</v>
      </c>
      <c r="X3275" s="2" t="s">
        <v>561</v>
      </c>
      <c r="Y3275" s="2" t="s">
        <v>10330</v>
      </c>
      <c r="Z3275" s="4">
        <v>373</v>
      </c>
      <c r="AA3275" s="4">
        <f>=ROUNDDOWN(31.0833333333333,0)</f>
      </c>
      <c r="AB3275" s="5">
        <v>12</v>
      </c>
      <c r="AC3275" s="2" t="s">
        <v>9084</v>
      </c>
      <c r="AD3275" s="4">
        <v>20</v>
      </c>
      <c r="AE3275" s="4">
        <v>300</v>
      </c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>
        <v>2</v>
      </c>
      <c r="AQ3275" s="8">
        <v>62.8</v>
      </c>
      <c r="AR3275" s="4"/>
      <c r="AS3275" s="8"/>
      <c r="AT3275" s="7"/>
      <c r="AU3275" s="7"/>
      <c r="AV3275" s="4">
        <v>9</v>
      </c>
      <c r="AW3275" s="8">
        <v>306.7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>
        <v>0.2048</v>
      </c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0.0954</v>
      </c>
      <c r="BJ3275" s="4">
        <v>300</v>
      </c>
      <c r="BK3275" s="8">
        <v>10257.16</v>
      </c>
      <c r="BL3275" s="2" t="s">
        <v>10366</v>
      </c>
      <c r="BM3275" s="7">
        <v>0.0067</v>
      </c>
      <c r="BN3275" s="7">
        <v>0.0061</v>
      </c>
      <c r="BO3275" s="4">
        <v>2</v>
      </c>
      <c r="BP3275" s="8">
        <v>62.8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10273</v>
      </c>
      <c r="BX3275" s="2" t="s">
        <v>8520</v>
      </c>
      <c r="BY3275" s="2" t="s">
        <v>113</v>
      </c>
      <c r="BZ3275" s="2" t="s">
        <v>100</v>
      </c>
    </row>
    <row r="3276">
      <c r="A3276" s="2" t="s">
        <v>10367</v>
      </c>
      <c r="B3276" s="2" t="s">
        <v>9668</v>
      </c>
      <c r="C3276" s="2" t="s">
        <v>5702</v>
      </c>
      <c r="D3276" s="2" t="s">
        <v>9669</v>
      </c>
      <c r="E3276" s="2" t="s">
        <v>9670</v>
      </c>
      <c r="F3276" s="2" t="s">
        <v>10327</v>
      </c>
      <c r="G3276" s="2" t="s">
        <v>10327</v>
      </c>
      <c r="H3276" s="2" t="s">
        <v>10327</v>
      </c>
      <c r="I3276" s="2" t="s">
        <v>10328</v>
      </c>
      <c r="J3276" s="2" t="s">
        <v>706</v>
      </c>
      <c r="K3276" s="2" t="s">
        <v>1614</v>
      </c>
      <c r="L3276" s="3">
        <v>32.2</v>
      </c>
      <c r="M3276" s="3">
        <v>33.81</v>
      </c>
      <c r="N3276" s="3">
        <v>69.99</v>
      </c>
      <c r="O3276" s="2" t="s">
        <v>97</v>
      </c>
      <c r="P3276" s="2" t="s">
        <v>372</v>
      </c>
      <c r="Q3276" s="2" t="s">
        <v>99</v>
      </c>
      <c r="R3276" s="2" t="s">
        <v>100</v>
      </c>
      <c r="S3276" s="2" t="s">
        <v>10365</v>
      </c>
      <c r="T3276" s="2" t="s">
        <v>4972</v>
      </c>
      <c r="U3276" s="2" t="s">
        <v>402</v>
      </c>
      <c r="V3276" s="2" t="s">
        <v>146</v>
      </c>
      <c r="W3276" s="2" t="s">
        <v>183</v>
      </c>
      <c r="X3276" s="2" t="s">
        <v>561</v>
      </c>
      <c r="Y3276" s="2" t="s">
        <v>10330</v>
      </c>
      <c r="Z3276" s="4">
        <v>1546</v>
      </c>
      <c r="AA3276" s="4">
        <f>=ROUNDDOWN(32.2755741127349,0)</f>
      </c>
      <c r="AB3276" s="5">
        <v>47.9</v>
      </c>
      <c r="AC3276" s="2" t="s">
        <v>9084</v>
      </c>
      <c r="AD3276" s="4">
        <v>519</v>
      </c>
      <c r="AE3276" s="4">
        <v>1619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>
        <v>4</v>
      </c>
      <c r="AQ3276" s="8">
        <v>135.24</v>
      </c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>
        <v>0.441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1372</v>
      </c>
      <c r="BK3276" s="8">
        <v>49626.18</v>
      </c>
      <c r="BL3276" s="2" t="s">
        <v>10230</v>
      </c>
      <c r="BM3276" s="7">
        <v>0.0029</v>
      </c>
      <c r="BN3276" s="7">
        <v>0.0027</v>
      </c>
      <c r="BO3276" s="4">
        <v>4</v>
      </c>
      <c r="BP3276" s="8">
        <v>135.24</v>
      </c>
      <c r="BQ3276" s="4"/>
      <c r="BR3276" s="8"/>
      <c r="BS3276" s="7"/>
      <c r="BT3276" s="7"/>
      <c r="BU3276" s="2" t="s">
        <v>109</v>
      </c>
      <c r="BV3276" s="2" t="s">
        <v>110</v>
      </c>
      <c r="BW3276" s="2" t="s">
        <v>10273</v>
      </c>
      <c r="BX3276" s="2" t="s">
        <v>6773</v>
      </c>
      <c r="BY3276" s="2" t="s">
        <v>113</v>
      </c>
      <c r="BZ3276" s="2" t="s">
        <v>100</v>
      </c>
    </row>
    <row r="3277">
      <c r="A3277" s="2" t="s">
        <v>10368</v>
      </c>
      <c r="B3277" s="2" t="s">
        <v>9668</v>
      </c>
      <c r="C3277" s="2" t="s">
        <v>5702</v>
      </c>
      <c r="D3277" s="2" t="s">
        <v>9669</v>
      </c>
      <c r="E3277" s="2" t="s">
        <v>9670</v>
      </c>
      <c r="F3277" s="2" t="s">
        <v>10327</v>
      </c>
      <c r="G3277" s="2" t="s">
        <v>10327</v>
      </c>
      <c r="H3277" s="2" t="s">
        <v>10327</v>
      </c>
      <c r="I3277" s="2" t="s">
        <v>10328</v>
      </c>
      <c r="J3277" s="2" t="s">
        <v>714</v>
      </c>
      <c r="K3277" s="2" t="s">
        <v>1614</v>
      </c>
      <c r="L3277" s="3">
        <v>34.5</v>
      </c>
      <c r="M3277" s="3">
        <v>36.22</v>
      </c>
      <c r="N3277" s="3">
        <v>74.99</v>
      </c>
      <c r="O3277" s="2" t="s">
        <v>97</v>
      </c>
      <c r="P3277" s="2" t="s">
        <v>372</v>
      </c>
      <c r="Q3277" s="2" t="s">
        <v>99</v>
      </c>
      <c r="R3277" s="2" t="s">
        <v>100</v>
      </c>
      <c r="S3277" s="2" t="s">
        <v>10365</v>
      </c>
      <c r="T3277" s="2" t="s">
        <v>4972</v>
      </c>
      <c r="U3277" s="2" t="s">
        <v>402</v>
      </c>
      <c r="V3277" s="2" t="s">
        <v>146</v>
      </c>
      <c r="W3277" s="2" t="s">
        <v>183</v>
      </c>
      <c r="X3277" s="2" t="s">
        <v>561</v>
      </c>
      <c r="Y3277" s="2" t="s">
        <v>10330</v>
      </c>
      <c r="Z3277" s="4">
        <v>1304</v>
      </c>
      <c r="AA3277" s="4">
        <f>=ROUNDDOWN(31.8048780487805,0)</f>
      </c>
      <c r="AB3277" s="5">
        <v>41</v>
      </c>
      <c r="AC3277" s="2" t="s">
        <v>1546</v>
      </c>
      <c r="AD3277" s="4">
        <v>350</v>
      </c>
      <c r="AE3277" s="4">
        <v>1200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>
        <v>2</v>
      </c>
      <c r="AQ3277" s="8">
        <v>72.44</v>
      </c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>
        <v>0.2362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 t="s">
        <v>100</v>
      </c>
      <c r="BJ3277" s="4">
        <v>1054</v>
      </c>
      <c r="BK3277" s="8">
        <v>41105.27</v>
      </c>
      <c r="BL3277" s="2" t="s">
        <v>10332</v>
      </c>
      <c r="BM3277" s="7">
        <v>0.0019</v>
      </c>
      <c r="BN3277" s="7">
        <v>0.0018</v>
      </c>
      <c r="BO3277" s="4">
        <v>2</v>
      </c>
      <c r="BP3277" s="8">
        <v>72.44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10273</v>
      </c>
      <c r="BX3277" s="2" t="s">
        <v>4484</v>
      </c>
      <c r="BY3277" s="2" t="s">
        <v>113</v>
      </c>
      <c r="BZ3277" s="2" t="s">
        <v>100</v>
      </c>
    </row>
    <row r="3278">
      <c r="A3278" s="2" t="s">
        <v>10369</v>
      </c>
      <c r="B3278" s="2" t="s">
        <v>9668</v>
      </c>
      <c r="C3278" s="2" t="s">
        <v>5702</v>
      </c>
      <c r="D3278" s="2" t="s">
        <v>9669</v>
      </c>
      <c r="E3278" s="2" t="s">
        <v>9670</v>
      </c>
      <c r="F3278" s="2" t="s">
        <v>10327</v>
      </c>
      <c r="G3278" s="2" t="s">
        <v>10327</v>
      </c>
      <c r="H3278" s="2" t="s">
        <v>10327</v>
      </c>
      <c r="I3278" s="2" t="s">
        <v>10328</v>
      </c>
      <c r="J3278" s="2" t="s">
        <v>817</v>
      </c>
      <c r="K3278" s="2" t="s">
        <v>1614</v>
      </c>
      <c r="L3278" s="3">
        <v>34.5</v>
      </c>
      <c r="M3278" s="3">
        <v>36.22</v>
      </c>
      <c r="N3278" s="3">
        <v>74.99</v>
      </c>
      <c r="O3278" s="2" t="s">
        <v>97</v>
      </c>
      <c r="P3278" s="2" t="s">
        <v>119</v>
      </c>
      <c r="Q3278" s="2" t="s">
        <v>99</v>
      </c>
      <c r="R3278" s="2" t="s">
        <v>100</v>
      </c>
      <c r="S3278" s="2" t="s">
        <v>10365</v>
      </c>
      <c r="T3278" s="2" t="s">
        <v>4972</v>
      </c>
      <c r="U3278" s="2" t="s">
        <v>402</v>
      </c>
      <c r="V3278" s="2" t="s">
        <v>146</v>
      </c>
      <c r="W3278" s="2" t="s">
        <v>183</v>
      </c>
      <c r="X3278" s="2" t="s">
        <v>561</v>
      </c>
      <c r="Y3278" s="2" t="s">
        <v>10330</v>
      </c>
      <c r="Z3278" s="4">
        <v>245</v>
      </c>
      <c r="AA3278" s="4">
        <f>=ROUNDDOWN(18.8461538461538,0)</f>
      </c>
      <c r="AB3278" s="5">
        <v>13</v>
      </c>
      <c r="AC3278" s="2" t="s">
        <v>9084</v>
      </c>
      <c r="AD3278" s="4">
        <v>159</v>
      </c>
      <c r="AE3278" s="4">
        <v>229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>
        <v>1</v>
      </c>
      <c r="AQ3278" s="8">
        <v>36.22</v>
      </c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>
        <v>0.1181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 t="s">
        <v>100</v>
      </c>
      <c r="BJ3278" s="4">
        <v>348</v>
      </c>
      <c r="BK3278" s="8">
        <v>13980.61</v>
      </c>
      <c r="BL3278" s="2" t="s">
        <v>10370</v>
      </c>
      <c r="BM3278" s="7">
        <v>0.0029</v>
      </c>
      <c r="BN3278" s="7">
        <v>0.0026</v>
      </c>
      <c r="BO3278" s="4">
        <v>1</v>
      </c>
      <c r="BP3278" s="8">
        <v>36.22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10273</v>
      </c>
      <c r="BX3278" s="2" t="s">
        <v>10362</v>
      </c>
      <c r="BY3278" s="2" t="s">
        <v>113</v>
      </c>
      <c r="BZ3278" s="2" t="s">
        <v>100</v>
      </c>
    </row>
    <row r="3279">
      <c r="A3279" s="2" t="s">
        <v>10371</v>
      </c>
      <c r="B3279" s="2" t="s">
        <v>9668</v>
      </c>
      <c r="C3279" s="2" t="s">
        <v>5702</v>
      </c>
      <c r="D3279" s="2" t="s">
        <v>9669</v>
      </c>
      <c r="E3279" s="2" t="s">
        <v>9670</v>
      </c>
      <c r="F3279" s="2" t="s">
        <v>10327</v>
      </c>
      <c r="G3279" s="2" t="s">
        <v>10327</v>
      </c>
      <c r="H3279" s="2" t="s">
        <v>10327</v>
      </c>
      <c r="I3279" s="2" t="s">
        <v>10328</v>
      </c>
      <c r="J3279" s="2" t="s">
        <v>717</v>
      </c>
      <c r="K3279" s="2" t="s">
        <v>512</v>
      </c>
      <c r="L3279" s="3">
        <v>29.9</v>
      </c>
      <c r="M3279" s="3">
        <v>31.4</v>
      </c>
      <c r="N3279" s="3">
        <v>64.99</v>
      </c>
      <c r="O3279" s="2" t="s">
        <v>97</v>
      </c>
      <c r="P3279" s="2" t="s">
        <v>119</v>
      </c>
      <c r="Q3279" s="2" t="s">
        <v>99</v>
      </c>
      <c r="R3279" s="2" t="s">
        <v>100</v>
      </c>
      <c r="S3279" s="2" t="s">
        <v>10372</v>
      </c>
      <c r="T3279" s="2" t="s">
        <v>4972</v>
      </c>
      <c r="U3279" s="2" t="s">
        <v>402</v>
      </c>
      <c r="V3279" s="2" t="s">
        <v>146</v>
      </c>
      <c r="W3279" s="2" t="s">
        <v>183</v>
      </c>
      <c r="X3279" s="2" t="s">
        <v>561</v>
      </c>
      <c r="Y3279" s="2" t="s">
        <v>10330</v>
      </c>
      <c r="Z3279" s="4">
        <v>409</v>
      </c>
      <c r="AA3279" s="4">
        <f>=ROUNDDOWN(32.4603174603175,0)</f>
      </c>
      <c r="AB3279" s="5">
        <v>12.6</v>
      </c>
      <c r="AC3279" s="2" t="s">
        <v>100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>
        <v>6</v>
      </c>
      <c r="AW3279" s="8">
        <v>217.32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0.0676</v>
      </c>
      <c r="BJ3279" s="4">
        <v>301</v>
      </c>
      <c r="BK3279" s="8">
        <v>10074.41</v>
      </c>
      <c r="BL3279" s="2" t="s">
        <v>10373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10273</v>
      </c>
      <c r="BX3279" s="2" t="s">
        <v>7038</v>
      </c>
      <c r="BY3279" s="2" t="s">
        <v>113</v>
      </c>
      <c r="BZ3279" s="2" t="s">
        <v>100</v>
      </c>
    </row>
    <row r="3280">
      <c r="A3280" s="2" t="s">
        <v>10374</v>
      </c>
      <c r="B3280" s="2" t="s">
        <v>9668</v>
      </c>
      <c r="C3280" s="2" t="s">
        <v>5702</v>
      </c>
      <c r="D3280" s="2" t="s">
        <v>9669</v>
      </c>
      <c r="E3280" s="2" t="s">
        <v>9670</v>
      </c>
      <c r="F3280" s="2" t="s">
        <v>10327</v>
      </c>
      <c r="G3280" s="2" t="s">
        <v>10327</v>
      </c>
      <c r="H3280" s="2" t="s">
        <v>10327</v>
      </c>
      <c r="I3280" s="2" t="s">
        <v>10328</v>
      </c>
      <c r="J3280" s="2" t="s">
        <v>706</v>
      </c>
      <c r="K3280" s="2" t="s">
        <v>512</v>
      </c>
      <c r="L3280" s="3">
        <v>32.2</v>
      </c>
      <c r="M3280" s="3">
        <v>33.81</v>
      </c>
      <c r="N3280" s="3">
        <v>69.99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10372</v>
      </c>
      <c r="T3280" s="2" t="s">
        <v>4972</v>
      </c>
      <c r="U3280" s="2" t="s">
        <v>402</v>
      </c>
      <c r="V3280" s="2" t="s">
        <v>146</v>
      </c>
      <c r="W3280" s="2" t="s">
        <v>183</v>
      </c>
      <c r="X3280" s="2" t="s">
        <v>561</v>
      </c>
      <c r="Y3280" s="2" t="s">
        <v>10330</v>
      </c>
      <c r="Z3280" s="4">
        <v>1320</v>
      </c>
      <c r="AA3280" s="4">
        <f>=ROUNDDOWN(31.4285714285714,0)</f>
      </c>
      <c r="AB3280" s="5">
        <v>42</v>
      </c>
      <c r="AC3280" s="2" t="s">
        <v>9084</v>
      </c>
      <c r="AD3280" s="4">
        <v>350</v>
      </c>
      <c r="AE3280" s="4">
        <v>1300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>
        <v>1223</v>
      </c>
      <c r="BK3280" s="8">
        <v>43431.8</v>
      </c>
      <c r="BL3280" s="2" t="s">
        <v>10375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10273</v>
      </c>
      <c r="BX3280" s="2" t="s">
        <v>10376</v>
      </c>
      <c r="BY3280" s="2" t="s">
        <v>113</v>
      </c>
      <c r="BZ3280" s="2" t="s">
        <v>100</v>
      </c>
    </row>
    <row r="3281">
      <c r="A3281" s="2" t="s">
        <v>10377</v>
      </c>
      <c r="B3281" s="2" t="s">
        <v>9668</v>
      </c>
      <c r="C3281" s="2" t="s">
        <v>5702</v>
      </c>
      <c r="D3281" s="2" t="s">
        <v>9669</v>
      </c>
      <c r="E3281" s="2" t="s">
        <v>9670</v>
      </c>
      <c r="F3281" s="2" t="s">
        <v>10327</v>
      </c>
      <c r="G3281" s="2" t="s">
        <v>10327</v>
      </c>
      <c r="H3281" s="2" t="s">
        <v>10327</v>
      </c>
      <c r="I3281" s="2" t="s">
        <v>10328</v>
      </c>
      <c r="J3281" s="2" t="s">
        <v>714</v>
      </c>
      <c r="K3281" s="2" t="s">
        <v>512</v>
      </c>
      <c r="L3281" s="3">
        <v>34.5</v>
      </c>
      <c r="M3281" s="3">
        <v>36.22</v>
      </c>
      <c r="N3281" s="3">
        <v>74.99</v>
      </c>
      <c r="O3281" s="2" t="s">
        <v>97</v>
      </c>
      <c r="P3281" s="2" t="s">
        <v>950</v>
      </c>
      <c r="Q3281" s="2" t="s">
        <v>99</v>
      </c>
      <c r="R3281" s="2" t="s">
        <v>100</v>
      </c>
      <c r="S3281" s="2" t="s">
        <v>10372</v>
      </c>
      <c r="T3281" s="2" t="s">
        <v>4972</v>
      </c>
      <c r="U3281" s="2" t="s">
        <v>402</v>
      </c>
      <c r="V3281" s="2" t="s">
        <v>146</v>
      </c>
      <c r="W3281" s="2" t="s">
        <v>183</v>
      </c>
      <c r="X3281" s="2" t="s">
        <v>561</v>
      </c>
      <c r="Y3281" s="2" t="s">
        <v>10330</v>
      </c>
      <c r="Z3281" s="4">
        <v>704</v>
      </c>
      <c r="AA3281" s="4">
        <f>=ROUNDDOWN(20.4057971014493,0)</f>
      </c>
      <c r="AB3281" s="5">
        <v>34.5</v>
      </c>
      <c r="AC3281" s="2" t="s">
        <v>9084</v>
      </c>
      <c r="AD3281" s="4">
        <v>450</v>
      </c>
      <c r="AE3281" s="4">
        <v>1450</v>
      </c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>
        <v>3</v>
      </c>
      <c r="AQ3281" s="8">
        <v>108.66</v>
      </c>
      <c r="AR3281" s="4"/>
      <c r="AS3281" s="8"/>
      <c r="AT3281" s="7"/>
      <c r="AU3281" s="7"/>
      <c r="AV3281" s="4" t="s">
        <v>100</v>
      </c>
      <c r="AW3281" s="8" t="s">
        <v>100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>
        <v>0.5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 t="s">
        <v>100</v>
      </c>
      <c r="BJ3281" s="4">
        <v>871</v>
      </c>
      <c r="BK3281" s="8">
        <v>33713.8</v>
      </c>
      <c r="BL3281" s="2" t="s">
        <v>10378</v>
      </c>
      <c r="BM3281" s="7">
        <v>0.0034</v>
      </c>
      <c r="BN3281" s="7">
        <v>0.0032</v>
      </c>
      <c r="BO3281" s="4">
        <v>3</v>
      </c>
      <c r="BP3281" s="8">
        <v>108.66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10273</v>
      </c>
      <c r="BX3281" s="2" t="s">
        <v>5655</v>
      </c>
      <c r="BY3281" s="2" t="s">
        <v>113</v>
      </c>
      <c r="BZ3281" s="2" t="s">
        <v>100</v>
      </c>
    </row>
    <row r="3282">
      <c r="A3282" s="2" t="s">
        <v>10379</v>
      </c>
      <c r="B3282" s="2" t="s">
        <v>9668</v>
      </c>
      <c r="C3282" s="2" t="s">
        <v>5702</v>
      </c>
      <c r="D3282" s="2" t="s">
        <v>9669</v>
      </c>
      <c r="E3282" s="2" t="s">
        <v>9670</v>
      </c>
      <c r="F3282" s="2" t="s">
        <v>10327</v>
      </c>
      <c r="G3282" s="2" t="s">
        <v>10327</v>
      </c>
      <c r="H3282" s="2" t="s">
        <v>10327</v>
      </c>
      <c r="I3282" s="2" t="s">
        <v>10328</v>
      </c>
      <c r="J3282" s="2" t="s">
        <v>817</v>
      </c>
      <c r="K3282" s="2" t="s">
        <v>512</v>
      </c>
      <c r="L3282" s="3">
        <v>34.5</v>
      </c>
      <c r="M3282" s="3">
        <v>36.22</v>
      </c>
      <c r="N3282" s="3">
        <v>74.99</v>
      </c>
      <c r="O3282" s="2" t="s">
        <v>97</v>
      </c>
      <c r="P3282" s="2" t="s">
        <v>119</v>
      </c>
      <c r="Q3282" s="2" t="s">
        <v>99</v>
      </c>
      <c r="R3282" s="2" t="s">
        <v>100</v>
      </c>
      <c r="S3282" s="2" t="s">
        <v>10372</v>
      </c>
      <c r="T3282" s="2" t="s">
        <v>4972</v>
      </c>
      <c r="U3282" s="2" t="s">
        <v>402</v>
      </c>
      <c r="V3282" s="2" t="s">
        <v>146</v>
      </c>
      <c r="W3282" s="2" t="s">
        <v>183</v>
      </c>
      <c r="X3282" s="2" t="s">
        <v>561</v>
      </c>
      <c r="Y3282" s="2" t="s">
        <v>10330</v>
      </c>
      <c r="Z3282" s="4">
        <v>333</v>
      </c>
      <c r="AA3282" s="4">
        <f>=ROUNDDOWN(27.75,0)</f>
      </c>
      <c r="AB3282" s="5">
        <v>12</v>
      </c>
      <c r="AC3282" s="2" t="s">
        <v>9084</v>
      </c>
      <c r="AD3282" s="4">
        <v>80</v>
      </c>
      <c r="AE3282" s="4">
        <v>180</v>
      </c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>
        <v>3</v>
      </c>
      <c r="AQ3282" s="8">
        <v>108.66</v>
      </c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>
        <v>0.5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 t="s">
        <v>100</v>
      </c>
      <c r="BJ3282" s="4">
        <v>285</v>
      </c>
      <c r="BK3282" s="8">
        <v>11008.84</v>
      </c>
      <c r="BL3282" s="2" t="s">
        <v>10352</v>
      </c>
      <c r="BM3282" s="7">
        <v>0.0105</v>
      </c>
      <c r="BN3282" s="7">
        <v>0.0099</v>
      </c>
      <c r="BO3282" s="4">
        <v>3</v>
      </c>
      <c r="BP3282" s="8">
        <v>108.66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10273</v>
      </c>
      <c r="BX3282" s="2" t="s">
        <v>10380</v>
      </c>
      <c r="BY3282" s="2" t="s">
        <v>113</v>
      </c>
      <c r="BZ3282" s="2" t="s">
        <v>100</v>
      </c>
    </row>
    <row r="3283">
      <c r="A3283" s="2" t="s">
        <v>10381</v>
      </c>
      <c r="B3283" s="2" t="s">
        <v>9668</v>
      </c>
      <c r="C3283" s="2" t="s">
        <v>5702</v>
      </c>
      <c r="D3283" s="2" t="s">
        <v>9669</v>
      </c>
      <c r="E3283" s="2" t="s">
        <v>9670</v>
      </c>
      <c r="F3283" s="2" t="s">
        <v>10382</v>
      </c>
      <c r="G3283" s="2" t="s">
        <v>10382</v>
      </c>
      <c r="H3283" s="2" t="s">
        <v>10382</v>
      </c>
      <c r="I3283" s="2" t="s">
        <v>10383</v>
      </c>
      <c r="J3283" s="2" t="s">
        <v>706</v>
      </c>
      <c r="K3283" s="2" t="s">
        <v>10384</v>
      </c>
      <c r="L3283" s="3">
        <v>25.85</v>
      </c>
      <c r="M3283" s="3">
        <v>27.14</v>
      </c>
      <c r="N3283" s="3">
        <v>55.99</v>
      </c>
      <c r="O3283" s="2" t="s">
        <v>97</v>
      </c>
      <c r="P3283" s="2" t="s">
        <v>372</v>
      </c>
      <c r="Q3283" s="2" t="s">
        <v>99</v>
      </c>
      <c r="R3283" s="2" t="s">
        <v>100</v>
      </c>
      <c r="S3283" s="2" t="s">
        <v>10385</v>
      </c>
      <c r="T3283" s="2" t="s">
        <v>9675</v>
      </c>
      <c r="U3283" s="2" t="s">
        <v>402</v>
      </c>
      <c r="V3283" s="2" t="s">
        <v>2661</v>
      </c>
      <c r="W3283" s="2" t="s">
        <v>183</v>
      </c>
      <c r="X3283" s="2" t="s">
        <v>561</v>
      </c>
      <c r="Y3283" s="2" t="s">
        <v>5205</v>
      </c>
      <c r="Z3283" s="4">
        <v>729</v>
      </c>
      <c r="AA3283" s="4">
        <f>=ROUNDDOWN(21.4411764705882,0)</f>
      </c>
      <c r="AB3283" s="5">
        <v>34</v>
      </c>
      <c r="AC3283" s="2" t="s">
        <v>266</v>
      </c>
      <c r="AD3283" s="4">
        <v>582</v>
      </c>
      <c r="AE3283" s="4">
        <v>732</v>
      </c>
      <c r="AF3283" s="6">
        <v>65</v>
      </c>
      <c r="AG3283" s="6"/>
      <c r="AH3283" s="7">
        <v>0.5936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>
        <v>177</v>
      </c>
      <c r="BK3283" s="8">
        <v>5208.72</v>
      </c>
      <c r="BL3283" s="2" t="s">
        <v>10386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207</v>
      </c>
      <c r="BV3283" s="2" t="s">
        <v>97</v>
      </c>
      <c r="BW3283" s="2" t="s">
        <v>100</v>
      </c>
      <c r="BX3283" s="2" t="s">
        <v>100</v>
      </c>
      <c r="BY3283" s="2" t="s">
        <v>113</v>
      </c>
      <c r="BZ3283" s="2" t="s">
        <v>245</v>
      </c>
    </row>
    <row r="3284">
      <c r="A3284" s="2" t="s">
        <v>10387</v>
      </c>
      <c r="B3284" s="2" t="s">
        <v>9668</v>
      </c>
      <c r="C3284" s="2" t="s">
        <v>5702</v>
      </c>
      <c r="D3284" s="2" t="s">
        <v>9669</v>
      </c>
      <c r="E3284" s="2" t="s">
        <v>9670</v>
      </c>
      <c r="F3284" s="2" t="s">
        <v>10382</v>
      </c>
      <c r="G3284" s="2" t="s">
        <v>10382</v>
      </c>
      <c r="H3284" s="2" t="s">
        <v>10382</v>
      </c>
      <c r="I3284" s="2" t="s">
        <v>10383</v>
      </c>
      <c r="J3284" s="2" t="s">
        <v>714</v>
      </c>
      <c r="K3284" s="2" t="s">
        <v>10384</v>
      </c>
      <c r="L3284" s="3">
        <v>28.68</v>
      </c>
      <c r="M3284" s="3">
        <v>30.11</v>
      </c>
      <c r="N3284" s="3">
        <v>62.99</v>
      </c>
      <c r="O3284" s="2" t="s">
        <v>97</v>
      </c>
      <c r="P3284" s="2" t="s">
        <v>950</v>
      </c>
      <c r="Q3284" s="2" t="s">
        <v>99</v>
      </c>
      <c r="R3284" s="2" t="s">
        <v>100</v>
      </c>
      <c r="S3284" s="2" t="s">
        <v>10385</v>
      </c>
      <c r="T3284" s="2" t="s">
        <v>9675</v>
      </c>
      <c r="U3284" s="2" t="s">
        <v>402</v>
      </c>
      <c r="V3284" s="2" t="s">
        <v>2661</v>
      </c>
      <c r="W3284" s="2" t="s">
        <v>183</v>
      </c>
      <c r="X3284" s="2" t="s">
        <v>561</v>
      </c>
      <c r="Y3284" s="2" t="s">
        <v>5205</v>
      </c>
      <c r="Z3284" s="4">
        <v>364</v>
      </c>
      <c r="AA3284" s="4">
        <f>=ROUNDDOWN(21.4117647058824,0)</f>
      </c>
      <c r="AB3284" s="5">
        <v>17</v>
      </c>
      <c r="AC3284" s="2" t="s">
        <v>266</v>
      </c>
      <c r="AD3284" s="4">
        <v>296</v>
      </c>
      <c r="AE3284" s="4">
        <v>388</v>
      </c>
      <c r="AF3284" s="6">
        <v>65</v>
      </c>
      <c r="AG3284" s="6"/>
      <c r="AH3284" s="7">
        <v>0.5936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>
        <v>93</v>
      </c>
      <c r="BK3284" s="8">
        <v>2982.44</v>
      </c>
      <c r="BL3284" s="2" t="s">
        <v>10386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207</v>
      </c>
      <c r="BV3284" s="2" t="s">
        <v>97</v>
      </c>
      <c r="BW3284" s="2" t="s">
        <v>100</v>
      </c>
      <c r="BX3284" s="2" t="s">
        <v>100</v>
      </c>
      <c r="BY3284" s="2" t="s">
        <v>113</v>
      </c>
      <c r="BZ3284" s="2" t="s">
        <v>245</v>
      </c>
    </row>
    <row r="3285">
      <c r="A3285" s="2" t="s">
        <v>10388</v>
      </c>
      <c r="B3285" s="2" t="s">
        <v>9668</v>
      </c>
      <c r="C3285" s="2" t="s">
        <v>5702</v>
      </c>
      <c r="D3285" s="2" t="s">
        <v>9669</v>
      </c>
      <c r="E3285" s="2" t="s">
        <v>9670</v>
      </c>
      <c r="F3285" s="2" t="s">
        <v>10382</v>
      </c>
      <c r="G3285" s="2" t="s">
        <v>10382</v>
      </c>
      <c r="H3285" s="2" t="s">
        <v>10382</v>
      </c>
      <c r="I3285" s="2" t="s">
        <v>10383</v>
      </c>
      <c r="J3285" s="2" t="s">
        <v>817</v>
      </c>
      <c r="K3285" s="2" t="s">
        <v>10384</v>
      </c>
      <c r="L3285" s="3">
        <v>28.68</v>
      </c>
      <c r="M3285" s="3">
        <v>30.11</v>
      </c>
      <c r="N3285" s="3">
        <v>62.99</v>
      </c>
      <c r="O3285" s="2" t="s">
        <v>97</v>
      </c>
      <c r="P3285" s="2" t="s">
        <v>119</v>
      </c>
      <c r="Q3285" s="2" t="s">
        <v>99</v>
      </c>
      <c r="R3285" s="2" t="s">
        <v>100</v>
      </c>
      <c r="S3285" s="2" t="s">
        <v>10385</v>
      </c>
      <c r="T3285" s="2" t="s">
        <v>9675</v>
      </c>
      <c r="U3285" s="2" t="s">
        <v>402</v>
      </c>
      <c r="V3285" s="2" t="s">
        <v>2661</v>
      </c>
      <c r="W3285" s="2" t="s">
        <v>183</v>
      </c>
      <c r="X3285" s="2" t="s">
        <v>561</v>
      </c>
      <c r="Y3285" s="2" t="s">
        <v>5205</v>
      </c>
      <c r="Z3285" s="4">
        <v>229</v>
      </c>
      <c r="AA3285" s="4">
        <f>=ROUNDDOWN(20.8181818181818,0)</f>
      </c>
      <c r="AB3285" s="5">
        <v>11</v>
      </c>
      <c r="AC3285" s="2" t="s">
        <v>266</v>
      </c>
      <c r="AD3285" s="4">
        <v>168</v>
      </c>
      <c r="AE3285" s="4">
        <v>215</v>
      </c>
      <c r="AF3285" s="6">
        <v>65</v>
      </c>
      <c r="AG3285" s="6"/>
      <c r="AH3285" s="7">
        <v>0.5936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/>
      <c r="BJ3285" s="4">
        <v>51</v>
      </c>
      <c r="BK3285" s="8">
        <v>1654.03</v>
      </c>
      <c r="BL3285" s="2" t="s">
        <v>5387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207</v>
      </c>
      <c r="BV3285" s="2" t="s">
        <v>97</v>
      </c>
      <c r="BW3285" s="2" t="s">
        <v>100</v>
      </c>
      <c r="BX3285" s="2" t="s">
        <v>100</v>
      </c>
      <c r="BY3285" s="2" t="s">
        <v>113</v>
      </c>
      <c r="BZ3285" s="2" t="s">
        <v>245</v>
      </c>
    </row>
    <row r="3286">
      <c r="A3286" s="2" t="s">
        <v>10389</v>
      </c>
      <c r="B3286" s="2" t="s">
        <v>9668</v>
      </c>
      <c r="C3286" s="2" t="s">
        <v>5702</v>
      </c>
      <c r="D3286" s="2" t="s">
        <v>9669</v>
      </c>
      <c r="E3286" s="2" t="s">
        <v>9670</v>
      </c>
      <c r="F3286" s="2" t="s">
        <v>10382</v>
      </c>
      <c r="G3286" s="2" t="s">
        <v>10382</v>
      </c>
      <c r="H3286" s="2" t="s">
        <v>10382</v>
      </c>
      <c r="I3286" s="2" t="s">
        <v>10383</v>
      </c>
      <c r="J3286" s="2" t="s">
        <v>717</v>
      </c>
      <c r="K3286" s="2" t="s">
        <v>10390</v>
      </c>
      <c r="L3286" s="3">
        <v>22</v>
      </c>
      <c r="M3286" s="3">
        <v>23.1</v>
      </c>
      <c r="N3286" s="3">
        <v>47.99</v>
      </c>
      <c r="O3286" s="2" t="s">
        <v>97</v>
      </c>
      <c r="P3286" s="2" t="s">
        <v>119</v>
      </c>
      <c r="Q3286" s="2" t="s">
        <v>99</v>
      </c>
      <c r="R3286" s="2" t="s">
        <v>100</v>
      </c>
      <c r="S3286" s="2" t="s">
        <v>10391</v>
      </c>
      <c r="T3286" s="2" t="s">
        <v>9675</v>
      </c>
      <c r="U3286" s="2" t="s">
        <v>402</v>
      </c>
      <c r="V3286" s="2" t="s">
        <v>350</v>
      </c>
      <c r="W3286" s="2" t="s">
        <v>183</v>
      </c>
      <c r="X3286" s="2" t="s">
        <v>561</v>
      </c>
      <c r="Y3286" s="2" t="s">
        <v>9968</v>
      </c>
      <c r="Z3286" s="4">
        <v>3</v>
      </c>
      <c r="AA3286" s="4">
        <f>=ROUNDDOWN(0.222222222222222,0)</f>
      </c>
      <c r="AB3286" s="5">
        <v>13.5</v>
      </c>
      <c r="AC3286" s="2" t="s">
        <v>2746</v>
      </c>
      <c r="AD3286" s="4">
        <v>82</v>
      </c>
      <c r="AE3286" s="4">
        <v>426</v>
      </c>
      <c r="AF3286" s="6">
        <v>74</v>
      </c>
      <c r="AG3286" s="6"/>
      <c r="AH3286" s="7">
        <v>0.1444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100</v>
      </c>
      <c r="AW3286" s="8" t="s">
        <v>100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/>
      <c r="BJ3286" s="4">
        <v>19</v>
      </c>
      <c r="BK3286" s="8">
        <v>485.09</v>
      </c>
      <c r="BL3286" s="2" t="s">
        <v>10392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207</v>
      </c>
      <c r="BV3286" s="2" t="s">
        <v>97</v>
      </c>
      <c r="BW3286" s="2" t="s">
        <v>100</v>
      </c>
      <c r="BX3286" s="2" t="s">
        <v>100</v>
      </c>
      <c r="BY3286" s="2" t="s">
        <v>113</v>
      </c>
      <c r="BZ3286" s="2" t="s">
        <v>100</v>
      </c>
    </row>
    <row r="3287">
      <c r="A3287" s="2" t="s">
        <v>10393</v>
      </c>
      <c r="B3287" s="2" t="s">
        <v>9668</v>
      </c>
      <c r="C3287" s="2" t="s">
        <v>5702</v>
      </c>
      <c r="D3287" s="2" t="s">
        <v>9669</v>
      </c>
      <c r="E3287" s="2" t="s">
        <v>9670</v>
      </c>
      <c r="F3287" s="2" t="s">
        <v>10382</v>
      </c>
      <c r="G3287" s="2" t="s">
        <v>10382</v>
      </c>
      <c r="H3287" s="2" t="s">
        <v>10382</v>
      </c>
      <c r="I3287" s="2" t="s">
        <v>10383</v>
      </c>
      <c r="J3287" s="2" t="s">
        <v>706</v>
      </c>
      <c r="K3287" s="2" t="s">
        <v>10390</v>
      </c>
      <c r="L3287" s="3">
        <v>25.85</v>
      </c>
      <c r="M3287" s="3">
        <v>27.14</v>
      </c>
      <c r="N3287" s="3">
        <v>55.99</v>
      </c>
      <c r="O3287" s="2" t="s">
        <v>97</v>
      </c>
      <c r="P3287" s="2" t="s">
        <v>119</v>
      </c>
      <c r="Q3287" s="2" t="s">
        <v>99</v>
      </c>
      <c r="R3287" s="2" t="s">
        <v>100</v>
      </c>
      <c r="S3287" s="2" t="s">
        <v>10391</v>
      </c>
      <c r="T3287" s="2" t="s">
        <v>9675</v>
      </c>
      <c r="U3287" s="2" t="s">
        <v>402</v>
      </c>
      <c r="V3287" s="2" t="s">
        <v>350</v>
      </c>
      <c r="W3287" s="2" t="s">
        <v>183</v>
      </c>
      <c r="X3287" s="2" t="s">
        <v>561</v>
      </c>
      <c r="Y3287" s="2" t="s">
        <v>9968</v>
      </c>
      <c r="Z3287" s="4"/>
      <c r="AA3287" s="4">
        <f>=ROUNDDOWN({0},0)</f>
      </c>
      <c r="AB3287" s="5">
        <v>85.8</v>
      </c>
      <c r="AC3287" s="2" t="s">
        <v>2746</v>
      </c>
      <c r="AD3287" s="4">
        <v>226</v>
      </c>
      <c r="AE3287" s="4">
        <v>2218</v>
      </c>
      <c r="AF3287" s="6">
        <v>74</v>
      </c>
      <c r="AG3287" s="6"/>
      <c r="AH3287" s="7">
        <v>0.139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>
        <v>48</v>
      </c>
      <c r="BK3287" s="8">
        <v>1472.89</v>
      </c>
      <c r="BL3287" s="2" t="s">
        <v>10394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207</v>
      </c>
      <c r="BV3287" s="2" t="s">
        <v>97</v>
      </c>
      <c r="BW3287" s="2" t="s">
        <v>100</v>
      </c>
      <c r="BX3287" s="2" t="s">
        <v>100</v>
      </c>
      <c r="BY3287" s="2" t="s">
        <v>113</v>
      </c>
      <c r="BZ3287" s="2" t="s">
        <v>100</v>
      </c>
    </row>
    <row r="3288">
      <c r="A3288" s="2" t="s">
        <v>10395</v>
      </c>
      <c r="B3288" s="2" t="s">
        <v>9668</v>
      </c>
      <c r="C3288" s="2" t="s">
        <v>5702</v>
      </c>
      <c r="D3288" s="2" t="s">
        <v>9669</v>
      </c>
      <c r="E3288" s="2" t="s">
        <v>9670</v>
      </c>
      <c r="F3288" s="2" t="s">
        <v>10382</v>
      </c>
      <c r="G3288" s="2" t="s">
        <v>10382</v>
      </c>
      <c r="H3288" s="2" t="s">
        <v>10382</v>
      </c>
      <c r="I3288" s="2" t="s">
        <v>10383</v>
      </c>
      <c r="J3288" s="2" t="s">
        <v>714</v>
      </c>
      <c r="K3288" s="2" t="s">
        <v>10390</v>
      </c>
      <c r="L3288" s="3">
        <v>28.68</v>
      </c>
      <c r="M3288" s="3">
        <v>30.11</v>
      </c>
      <c r="N3288" s="3">
        <v>62.99</v>
      </c>
      <c r="O3288" s="2" t="s">
        <v>97</v>
      </c>
      <c r="P3288" s="2" t="s">
        <v>119</v>
      </c>
      <c r="Q3288" s="2" t="s">
        <v>99</v>
      </c>
      <c r="R3288" s="2" t="s">
        <v>100</v>
      </c>
      <c r="S3288" s="2" t="s">
        <v>10391</v>
      </c>
      <c r="T3288" s="2" t="s">
        <v>9675</v>
      </c>
      <c r="U3288" s="2" t="s">
        <v>402</v>
      </c>
      <c r="V3288" s="2" t="s">
        <v>350</v>
      </c>
      <c r="W3288" s="2" t="s">
        <v>183</v>
      </c>
      <c r="X3288" s="2" t="s">
        <v>561</v>
      </c>
      <c r="Y3288" s="2" t="s">
        <v>9968</v>
      </c>
      <c r="Z3288" s="4">
        <v>119</v>
      </c>
      <c r="AA3288" s="4">
        <f>=ROUNDDOWN(8.38028169014085,0)</f>
      </c>
      <c r="AB3288" s="5">
        <v>14.2</v>
      </c>
      <c r="AC3288" s="2" t="s">
        <v>2746</v>
      </c>
      <c r="AD3288" s="4">
        <v>113</v>
      </c>
      <c r="AE3288" s="4">
        <v>482</v>
      </c>
      <c r="AF3288" s="6">
        <v>74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>
        <v>149</v>
      </c>
      <c r="BK3288" s="8">
        <v>4868.28</v>
      </c>
      <c r="BL3288" s="2" t="s">
        <v>5211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207</v>
      </c>
      <c r="BV3288" s="2" t="s">
        <v>97</v>
      </c>
      <c r="BW3288" s="2" t="s">
        <v>100</v>
      </c>
      <c r="BX3288" s="2" t="s">
        <v>100</v>
      </c>
      <c r="BY3288" s="2" t="s">
        <v>113</v>
      </c>
      <c r="BZ3288" s="2" t="s">
        <v>100</v>
      </c>
    </row>
    <row r="3289">
      <c r="A3289" s="2" t="s">
        <v>10396</v>
      </c>
      <c r="B3289" s="2" t="s">
        <v>9668</v>
      </c>
      <c r="C3289" s="2" t="s">
        <v>5702</v>
      </c>
      <c r="D3289" s="2" t="s">
        <v>9669</v>
      </c>
      <c r="E3289" s="2" t="s">
        <v>9670</v>
      </c>
      <c r="F3289" s="2" t="s">
        <v>10382</v>
      </c>
      <c r="G3289" s="2" t="s">
        <v>10382</v>
      </c>
      <c r="H3289" s="2" t="s">
        <v>10382</v>
      </c>
      <c r="I3289" s="2" t="s">
        <v>10383</v>
      </c>
      <c r="J3289" s="2" t="s">
        <v>817</v>
      </c>
      <c r="K3289" s="2" t="s">
        <v>10390</v>
      </c>
      <c r="L3289" s="3">
        <v>28.68</v>
      </c>
      <c r="M3289" s="3">
        <v>30.11</v>
      </c>
      <c r="N3289" s="3">
        <v>62.99</v>
      </c>
      <c r="O3289" s="2" t="s">
        <v>97</v>
      </c>
      <c r="P3289" s="2" t="s">
        <v>119</v>
      </c>
      <c r="Q3289" s="2" t="s">
        <v>99</v>
      </c>
      <c r="R3289" s="2" t="s">
        <v>100</v>
      </c>
      <c r="S3289" s="2" t="s">
        <v>10391</v>
      </c>
      <c r="T3289" s="2" t="s">
        <v>9675</v>
      </c>
      <c r="U3289" s="2" t="s">
        <v>402</v>
      </c>
      <c r="V3289" s="2" t="s">
        <v>350</v>
      </c>
      <c r="W3289" s="2" t="s">
        <v>183</v>
      </c>
      <c r="X3289" s="2" t="s">
        <v>561</v>
      </c>
      <c r="Y3289" s="2" t="s">
        <v>9968</v>
      </c>
      <c r="Z3289" s="4">
        <v>55</v>
      </c>
      <c r="AA3289" s="4">
        <f>=ROUNDDOWN(10.5769230769231,0)</f>
      </c>
      <c r="AB3289" s="5">
        <v>5.2</v>
      </c>
      <c r="AC3289" s="2" t="s">
        <v>2746</v>
      </c>
      <c r="AD3289" s="4">
        <v>70</v>
      </c>
      <c r="AE3289" s="4">
        <v>330</v>
      </c>
      <c r="AF3289" s="6">
        <v>74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100</v>
      </c>
      <c r="AW3289" s="8" t="s">
        <v>100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/>
      <c r="BJ3289" s="4">
        <v>87</v>
      </c>
      <c r="BK3289" s="8">
        <v>2797.71</v>
      </c>
      <c r="BL3289" s="2" t="s">
        <v>10397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207</v>
      </c>
      <c r="BV3289" s="2" t="s">
        <v>97</v>
      </c>
      <c r="BW3289" s="2" t="s">
        <v>100</v>
      </c>
      <c r="BX3289" s="2" t="s">
        <v>100</v>
      </c>
      <c r="BY3289" s="2" t="s">
        <v>113</v>
      </c>
      <c r="BZ3289" s="2" t="s">
        <v>100</v>
      </c>
    </row>
    <row r="3290">
      <c r="A3290" s="2" t="s">
        <v>10398</v>
      </c>
      <c r="B3290" s="2" t="s">
        <v>9668</v>
      </c>
      <c r="C3290" s="2" t="s">
        <v>5702</v>
      </c>
      <c r="D3290" s="2" t="s">
        <v>9669</v>
      </c>
      <c r="E3290" s="2" t="s">
        <v>9670</v>
      </c>
      <c r="F3290" s="2" t="s">
        <v>10382</v>
      </c>
      <c r="G3290" s="2" t="s">
        <v>10382</v>
      </c>
      <c r="H3290" s="2" t="s">
        <v>10382</v>
      </c>
      <c r="I3290" s="2" t="s">
        <v>10383</v>
      </c>
      <c r="J3290" s="2" t="s">
        <v>717</v>
      </c>
      <c r="K3290" s="2" t="s">
        <v>10399</v>
      </c>
      <c r="L3290" s="3">
        <v>22</v>
      </c>
      <c r="M3290" s="3">
        <v>23.1</v>
      </c>
      <c r="N3290" s="3">
        <v>47.99</v>
      </c>
      <c r="O3290" s="2" t="s">
        <v>97</v>
      </c>
      <c r="P3290" s="2" t="s">
        <v>225</v>
      </c>
      <c r="Q3290" s="2" t="s">
        <v>99</v>
      </c>
      <c r="R3290" s="2" t="s">
        <v>100</v>
      </c>
      <c r="S3290" s="2" t="s">
        <v>10400</v>
      </c>
      <c r="T3290" s="2" t="s">
        <v>9675</v>
      </c>
      <c r="U3290" s="2" t="s">
        <v>402</v>
      </c>
      <c r="V3290" s="2" t="s">
        <v>3937</v>
      </c>
      <c r="W3290" s="2" t="s">
        <v>183</v>
      </c>
      <c r="X3290" s="2" t="s">
        <v>561</v>
      </c>
      <c r="Y3290" s="2" t="s">
        <v>3643</v>
      </c>
      <c r="Z3290" s="4">
        <v>227</v>
      </c>
      <c r="AA3290" s="4">
        <f>=ROUNDDOWN(20.6363636363636,0)</f>
      </c>
      <c r="AB3290" s="5">
        <v>11</v>
      </c>
      <c r="AC3290" s="2" t="s">
        <v>2746</v>
      </c>
      <c r="AD3290" s="4">
        <v>255</v>
      </c>
      <c r="AE3290" s="4">
        <v>255</v>
      </c>
      <c r="AF3290" s="6">
        <v>69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>
        <v>18</v>
      </c>
      <c r="BK3290" s="8">
        <v>463.66</v>
      </c>
      <c r="BL3290" s="2" t="s">
        <v>10105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207</v>
      </c>
      <c r="BV3290" s="2" t="s">
        <v>97</v>
      </c>
      <c r="BW3290" s="2" t="s">
        <v>100</v>
      </c>
      <c r="BX3290" s="2" t="s">
        <v>100</v>
      </c>
      <c r="BY3290" s="2" t="s">
        <v>113</v>
      </c>
      <c r="BZ3290" s="2" t="s">
        <v>100</v>
      </c>
    </row>
    <row r="3291">
      <c r="A3291" s="2" t="s">
        <v>10401</v>
      </c>
      <c r="B3291" s="2" t="s">
        <v>9668</v>
      </c>
      <c r="C3291" s="2" t="s">
        <v>5702</v>
      </c>
      <c r="D3291" s="2" t="s">
        <v>9669</v>
      </c>
      <c r="E3291" s="2" t="s">
        <v>9670</v>
      </c>
      <c r="F3291" s="2" t="s">
        <v>10382</v>
      </c>
      <c r="G3291" s="2" t="s">
        <v>10382</v>
      </c>
      <c r="H3291" s="2" t="s">
        <v>10382</v>
      </c>
      <c r="I3291" s="2" t="s">
        <v>10383</v>
      </c>
      <c r="J3291" s="2" t="s">
        <v>706</v>
      </c>
      <c r="K3291" s="2" t="s">
        <v>10399</v>
      </c>
      <c r="L3291" s="3">
        <v>25.85</v>
      </c>
      <c r="M3291" s="3">
        <v>27.14</v>
      </c>
      <c r="N3291" s="3">
        <v>55.99</v>
      </c>
      <c r="O3291" s="2" t="s">
        <v>97</v>
      </c>
      <c r="P3291" s="2" t="s">
        <v>225</v>
      </c>
      <c r="Q3291" s="2" t="s">
        <v>99</v>
      </c>
      <c r="R3291" s="2" t="s">
        <v>100</v>
      </c>
      <c r="S3291" s="2" t="s">
        <v>10400</v>
      </c>
      <c r="T3291" s="2" t="s">
        <v>9675</v>
      </c>
      <c r="U3291" s="2" t="s">
        <v>402</v>
      </c>
      <c r="V3291" s="2" t="s">
        <v>3937</v>
      </c>
      <c r="W3291" s="2" t="s">
        <v>183</v>
      </c>
      <c r="X3291" s="2" t="s">
        <v>561</v>
      </c>
      <c r="Y3291" s="2" t="s">
        <v>3643</v>
      </c>
      <c r="Z3291" s="4">
        <v>357</v>
      </c>
      <c r="AA3291" s="4">
        <f>=ROUNDDOWN(14.875,0)</f>
      </c>
      <c r="AB3291" s="5">
        <v>24</v>
      </c>
      <c r="AC3291" s="2" t="s">
        <v>2746</v>
      </c>
      <c r="AD3291" s="4">
        <v>497</v>
      </c>
      <c r="AE3291" s="4">
        <v>497</v>
      </c>
      <c r="AF3291" s="6">
        <v>69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>
        <v>95</v>
      </c>
      <c r="BK3291" s="8">
        <v>2786.84</v>
      </c>
      <c r="BL3291" s="2" t="s">
        <v>10402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207</v>
      </c>
      <c r="BV3291" s="2" t="s">
        <v>97</v>
      </c>
      <c r="BW3291" s="2" t="s">
        <v>100</v>
      </c>
      <c r="BX3291" s="2" t="s">
        <v>100</v>
      </c>
      <c r="BY3291" s="2" t="s">
        <v>113</v>
      </c>
      <c r="BZ3291" s="2" t="s">
        <v>100</v>
      </c>
    </row>
    <row r="3292">
      <c r="A3292" s="2" t="s">
        <v>10403</v>
      </c>
      <c r="B3292" s="2" t="s">
        <v>9668</v>
      </c>
      <c r="C3292" s="2" t="s">
        <v>5702</v>
      </c>
      <c r="D3292" s="2" t="s">
        <v>9669</v>
      </c>
      <c r="E3292" s="2" t="s">
        <v>9670</v>
      </c>
      <c r="F3292" s="2" t="s">
        <v>10382</v>
      </c>
      <c r="G3292" s="2" t="s">
        <v>10382</v>
      </c>
      <c r="H3292" s="2" t="s">
        <v>10382</v>
      </c>
      <c r="I3292" s="2" t="s">
        <v>10383</v>
      </c>
      <c r="J3292" s="2" t="s">
        <v>714</v>
      </c>
      <c r="K3292" s="2" t="s">
        <v>10399</v>
      </c>
      <c r="L3292" s="3">
        <v>28.68</v>
      </c>
      <c r="M3292" s="3">
        <v>30.11</v>
      </c>
      <c r="N3292" s="3">
        <v>62.99</v>
      </c>
      <c r="O3292" s="2" t="s">
        <v>97</v>
      </c>
      <c r="P3292" s="2" t="s">
        <v>225</v>
      </c>
      <c r="Q3292" s="2" t="s">
        <v>99</v>
      </c>
      <c r="R3292" s="2" t="s">
        <v>100</v>
      </c>
      <c r="S3292" s="2" t="s">
        <v>10400</v>
      </c>
      <c r="T3292" s="2" t="s">
        <v>9675</v>
      </c>
      <c r="U3292" s="2" t="s">
        <v>402</v>
      </c>
      <c r="V3292" s="2" t="s">
        <v>3937</v>
      </c>
      <c r="W3292" s="2" t="s">
        <v>183</v>
      </c>
      <c r="X3292" s="2" t="s">
        <v>561</v>
      </c>
      <c r="Y3292" s="2" t="s">
        <v>3643</v>
      </c>
      <c r="Z3292" s="4">
        <v>189</v>
      </c>
      <c r="AA3292" s="4">
        <f>=ROUNDDOWN(17.1818181818182,0)</f>
      </c>
      <c r="AB3292" s="5">
        <v>11</v>
      </c>
      <c r="AC3292" s="2" t="s">
        <v>2746</v>
      </c>
      <c r="AD3292" s="4">
        <v>257</v>
      </c>
      <c r="AE3292" s="4">
        <v>257</v>
      </c>
      <c r="AF3292" s="6">
        <v>69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/>
      <c r="BJ3292" s="4">
        <v>46</v>
      </c>
      <c r="BK3292" s="8">
        <v>1494.25</v>
      </c>
      <c r="BL3292" s="2" t="s">
        <v>10402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207</v>
      </c>
      <c r="BV3292" s="2" t="s">
        <v>97</v>
      </c>
      <c r="BW3292" s="2" t="s">
        <v>100</v>
      </c>
      <c r="BX3292" s="2" t="s">
        <v>100</v>
      </c>
      <c r="BY3292" s="2" t="s">
        <v>113</v>
      </c>
      <c r="BZ3292" s="2" t="s">
        <v>100</v>
      </c>
    </row>
    <row r="3293">
      <c r="A3293" s="2" t="s">
        <v>10404</v>
      </c>
      <c r="B3293" s="2" t="s">
        <v>9668</v>
      </c>
      <c r="C3293" s="2" t="s">
        <v>5702</v>
      </c>
      <c r="D3293" s="2" t="s">
        <v>9669</v>
      </c>
      <c r="E3293" s="2" t="s">
        <v>9670</v>
      </c>
      <c r="F3293" s="2" t="s">
        <v>10382</v>
      </c>
      <c r="G3293" s="2" t="s">
        <v>10382</v>
      </c>
      <c r="H3293" s="2" t="s">
        <v>10382</v>
      </c>
      <c r="I3293" s="2" t="s">
        <v>10383</v>
      </c>
      <c r="J3293" s="2" t="s">
        <v>817</v>
      </c>
      <c r="K3293" s="2" t="s">
        <v>10399</v>
      </c>
      <c r="L3293" s="3">
        <v>28.68</v>
      </c>
      <c r="M3293" s="3">
        <v>30.11</v>
      </c>
      <c r="N3293" s="3">
        <v>62.99</v>
      </c>
      <c r="O3293" s="2" t="s">
        <v>97</v>
      </c>
      <c r="P3293" s="2" t="s">
        <v>225</v>
      </c>
      <c r="Q3293" s="2" t="s">
        <v>99</v>
      </c>
      <c r="R3293" s="2" t="s">
        <v>100</v>
      </c>
      <c r="S3293" s="2" t="s">
        <v>10400</v>
      </c>
      <c r="T3293" s="2" t="s">
        <v>9675</v>
      </c>
      <c r="U3293" s="2" t="s">
        <v>402</v>
      </c>
      <c r="V3293" s="2" t="s">
        <v>3937</v>
      </c>
      <c r="W3293" s="2" t="s">
        <v>183</v>
      </c>
      <c r="X3293" s="2" t="s">
        <v>561</v>
      </c>
      <c r="Y3293" s="2" t="s">
        <v>3643</v>
      </c>
      <c r="Z3293" s="4">
        <v>121</v>
      </c>
      <c r="AA3293" s="4">
        <f>=ROUNDDOWN(20.1666666666667,0)</f>
      </c>
      <c r="AB3293" s="5">
        <v>6</v>
      </c>
      <c r="AC3293" s="2" t="s">
        <v>2746</v>
      </c>
      <c r="AD3293" s="4">
        <v>151</v>
      </c>
      <c r="AE3293" s="4">
        <v>151</v>
      </c>
      <c r="AF3293" s="6">
        <v>69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/>
      <c r="BJ3293" s="4">
        <v>12</v>
      </c>
      <c r="BK3293" s="8">
        <v>400.41</v>
      </c>
      <c r="BL3293" s="2" t="s">
        <v>3861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207</v>
      </c>
      <c r="BV3293" s="2" t="s">
        <v>97</v>
      </c>
      <c r="BW3293" s="2" t="s">
        <v>100</v>
      </c>
      <c r="BX3293" s="2" t="s">
        <v>100</v>
      </c>
      <c r="BY3293" s="2" t="s">
        <v>113</v>
      </c>
      <c r="BZ3293" s="2" t="s">
        <v>100</v>
      </c>
    </row>
    <row r="3294">
      <c r="A3294" s="2" t="s">
        <v>10405</v>
      </c>
      <c r="B3294" s="2" t="s">
        <v>9668</v>
      </c>
      <c r="C3294" s="2" t="s">
        <v>5702</v>
      </c>
      <c r="D3294" s="2" t="s">
        <v>9669</v>
      </c>
      <c r="E3294" s="2" t="s">
        <v>9670</v>
      </c>
      <c r="F3294" s="2" t="s">
        <v>10382</v>
      </c>
      <c r="G3294" s="2" t="s">
        <v>10382</v>
      </c>
      <c r="H3294" s="2" t="s">
        <v>10382</v>
      </c>
      <c r="I3294" s="2" t="s">
        <v>10383</v>
      </c>
      <c r="J3294" s="2" t="s">
        <v>706</v>
      </c>
      <c r="K3294" s="2" t="s">
        <v>10406</v>
      </c>
      <c r="L3294" s="3">
        <v>25.85</v>
      </c>
      <c r="M3294" s="3">
        <v>27.14</v>
      </c>
      <c r="N3294" s="3">
        <v>55.99</v>
      </c>
      <c r="O3294" s="2" t="s">
        <v>97</v>
      </c>
      <c r="P3294" s="2" t="s">
        <v>950</v>
      </c>
      <c r="Q3294" s="2" t="s">
        <v>99</v>
      </c>
      <c r="R3294" s="2" t="s">
        <v>100</v>
      </c>
      <c r="S3294" s="2" t="s">
        <v>10407</v>
      </c>
      <c r="T3294" s="2" t="s">
        <v>9675</v>
      </c>
      <c r="U3294" s="2" t="s">
        <v>402</v>
      </c>
      <c r="V3294" s="2" t="s">
        <v>2661</v>
      </c>
      <c r="W3294" s="2" t="s">
        <v>183</v>
      </c>
      <c r="X3294" s="2" t="s">
        <v>561</v>
      </c>
      <c r="Y3294" s="2" t="s">
        <v>5205</v>
      </c>
      <c r="Z3294" s="4">
        <v>507</v>
      </c>
      <c r="AA3294" s="4">
        <f>=ROUNDDOWN(23.0454545454545,0)</f>
      </c>
      <c r="AB3294" s="5">
        <v>22</v>
      </c>
      <c r="AC3294" s="2" t="s">
        <v>266</v>
      </c>
      <c r="AD3294" s="4">
        <v>436</v>
      </c>
      <c r="AE3294" s="4">
        <v>574</v>
      </c>
      <c r="AF3294" s="6">
        <v>65</v>
      </c>
      <c r="AG3294" s="6"/>
      <c r="AH3294" s="7">
        <v>0.5936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/>
      <c r="BJ3294" s="4">
        <v>166</v>
      </c>
      <c r="BK3294" s="8">
        <v>4775.92</v>
      </c>
      <c r="BL3294" s="2" t="s">
        <v>10408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207</v>
      </c>
      <c r="BV3294" s="2" t="s">
        <v>97</v>
      </c>
      <c r="BW3294" s="2" t="s">
        <v>100</v>
      </c>
      <c r="BX3294" s="2" t="s">
        <v>100</v>
      </c>
      <c r="BY3294" s="2" t="s">
        <v>113</v>
      </c>
      <c r="BZ3294" s="2" t="s">
        <v>245</v>
      </c>
    </row>
    <row r="3295">
      <c r="A3295" s="2" t="s">
        <v>10409</v>
      </c>
      <c r="B3295" s="2" t="s">
        <v>9668</v>
      </c>
      <c r="C3295" s="2" t="s">
        <v>5702</v>
      </c>
      <c r="D3295" s="2" t="s">
        <v>9669</v>
      </c>
      <c r="E3295" s="2" t="s">
        <v>9670</v>
      </c>
      <c r="F3295" s="2" t="s">
        <v>10382</v>
      </c>
      <c r="G3295" s="2" t="s">
        <v>10382</v>
      </c>
      <c r="H3295" s="2" t="s">
        <v>10382</v>
      </c>
      <c r="I3295" s="2" t="s">
        <v>10383</v>
      </c>
      <c r="J3295" s="2" t="s">
        <v>714</v>
      </c>
      <c r="K3295" s="2" t="s">
        <v>10406</v>
      </c>
      <c r="L3295" s="3">
        <v>28.68</v>
      </c>
      <c r="M3295" s="3">
        <v>30.11</v>
      </c>
      <c r="N3295" s="3">
        <v>62.99</v>
      </c>
      <c r="O3295" s="2" t="s">
        <v>97</v>
      </c>
      <c r="P3295" s="2" t="s">
        <v>119</v>
      </c>
      <c r="Q3295" s="2" t="s">
        <v>99</v>
      </c>
      <c r="R3295" s="2" t="s">
        <v>100</v>
      </c>
      <c r="S3295" s="2" t="s">
        <v>10407</v>
      </c>
      <c r="T3295" s="2" t="s">
        <v>9675</v>
      </c>
      <c r="U3295" s="2" t="s">
        <v>402</v>
      </c>
      <c r="V3295" s="2" t="s">
        <v>2661</v>
      </c>
      <c r="W3295" s="2" t="s">
        <v>183</v>
      </c>
      <c r="X3295" s="2" t="s">
        <v>561</v>
      </c>
      <c r="Y3295" s="2" t="s">
        <v>5205</v>
      </c>
      <c r="Z3295" s="4">
        <v>269</v>
      </c>
      <c r="AA3295" s="4">
        <f>=ROUNDDOWN(20.6923076923077,0)</f>
      </c>
      <c r="AB3295" s="5">
        <v>13</v>
      </c>
      <c r="AC3295" s="2" t="s">
        <v>266</v>
      </c>
      <c r="AD3295" s="4">
        <v>199</v>
      </c>
      <c r="AE3295" s="4">
        <v>279</v>
      </c>
      <c r="AF3295" s="6">
        <v>65</v>
      </c>
      <c r="AG3295" s="6"/>
      <c r="AH3295" s="7">
        <v>0.5936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85</v>
      </c>
      <c r="BK3295" s="8">
        <v>2730.46</v>
      </c>
      <c r="BL3295" s="2" t="s">
        <v>10410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207</v>
      </c>
      <c r="BV3295" s="2" t="s">
        <v>97</v>
      </c>
      <c r="BW3295" s="2" t="s">
        <v>100</v>
      </c>
      <c r="BX3295" s="2" t="s">
        <v>100</v>
      </c>
      <c r="BY3295" s="2" t="s">
        <v>113</v>
      </c>
      <c r="BZ3295" s="2" t="s">
        <v>245</v>
      </c>
    </row>
    <row r="3296">
      <c r="A3296" s="2" t="s">
        <v>10411</v>
      </c>
      <c r="B3296" s="2" t="s">
        <v>9668</v>
      </c>
      <c r="C3296" s="2" t="s">
        <v>5702</v>
      </c>
      <c r="D3296" s="2" t="s">
        <v>9669</v>
      </c>
      <c r="E3296" s="2" t="s">
        <v>9670</v>
      </c>
      <c r="F3296" s="2" t="s">
        <v>10382</v>
      </c>
      <c r="G3296" s="2" t="s">
        <v>10382</v>
      </c>
      <c r="H3296" s="2" t="s">
        <v>10382</v>
      </c>
      <c r="I3296" s="2" t="s">
        <v>10383</v>
      </c>
      <c r="J3296" s="2" t="s">
        <v>817</v>
      </c>
      <c r="K3296" s="2" t="s">
        <v>10406</v>
      </c>
      <c r="L3296" s="3">
        <v>28.68</v>
      </c>
      <c r="M3296" s="3">
        <v>30.11</v>
      </c>
      <c r="N3296" s="3">
        <v>62.99</v>
      </c>
      <c r="O3296" s="2" t="s">
        <v>97</v>
      </c>
      <c r="P3296" s="2" t="s">
        <v>119</v>
      </c>
      <c r="Q3296" s="2" t="s">
        <v>99</v>
      </c>
      <c r="R3296" s="2" t="s">
        <v>100</v>
      </c>
      <c r="S3296" s="2" t="s">
        <v>10407</v>
      </c>
      <c r="T3296" s="2" t="s">
        <v>9675</v>
      </c>
      <c r="U3296" s="2" t="s">
        <v>402</v>
      </c>
      <c r="V3296" s="2" t="s">
        <v>2661</v>
      </c>
      <c r="W3296" s="2" t="s">
        <v>183</v>
      </c>
      <c r="X3296" s="2" t="s">
        <v>561</v>
      </c>
      <c r="Y3296" s="2" t="s">
        <v>5205</v>
      </c>
      <c r="Z3296" s="4">
        <v>174</v>
      </c>
      <c r="AA3296" s="4">
        <f>=ROUNDDOWN(21.75,0)</f>
      </c>
      <c r="AB3296" s="5">
        <v>8</v>
      </c>
      <c r="AC3296" s="2" t="s">
        <v>266</v>
      </c>
      <c r="AD3296" s="4">
        <v>94</v>
      </c>
      <c r="AE3296" s="4">
        <v>137</v>
      </c>
      <c r="AF3296" s="6">
        <v>65</v>
      </c>
      <c r="AG3296" s="6"/>
      <c r="AH3296" s="7">
        <v>0.5936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32</v>
      </c>
      <c r="BK3296" s="8">
        <v>1029.17</v>
      </c>
      <c r="BL3296" s="2" t="s">
        <v>10412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207</v>
      </c>
      <c r="BV3296" s="2" t="s">
        <v>97</v>
      </c>
      <c r="BW3296" s="2" t="s">
        <v>100</v>
      </c>
      <c r="BX3296" s="2" t="s">
        <v>100</v>
      </c>
      <c r="BY3296" s="2" t="s">
        <v>113</v>
      </c>
      <c r="BZ3296" s="2" t="s">
        <v>245</v>
      </c>
    </row>
    <row r="3297">
      <c r="A3297" s="2" t="s">
        <v>10413</v>
      </c>
      <c r="B3297" s="2" t="s">
        <v>9668</v>
      </c>
      <c r="C3297" s="2" t="s">
        <v>5702</v>
      </c>
      <c r="D3297" s="2" t="s">
        <v>9669</v>
      </c>
      <c r="E3297" s="2" t="s">
        <v>9670</v>
      </c>
      <c r="F3297" s="2" t="s">
        <v>10382</v>
      </c>
      <c r="G3297" s="2" t="s">
        <v>10382</v>
      </c>
      <c r="H3297" s="2" t="s">
        <v>10382</v>
      </c>
      <c r="I3297" s="2" t="s">
        <v>10383</v>
      </c>
      <c r="J3297" s="2" t="s">
        <v>706</v>
      </c>
      <c r="K3297" s="2" t="s">
        <v>10414</v>
      </c>
      <c r="L3297" s="3">
        <v>25.85</v>
      </c>
      <c r="M3297" s="3">
        <v>27.14</v>
      </c>
      <c r="N3297" s="3">
        <v>55.99</v>
      </c>
      <c r="O3297" s="2" t="s">
        <v>97</v>
      </c>
      <c r="P3297" s="2" t="s">
        <v>950</v>
      </c>
      <c r="Q3297" s="2" t="s">
        <v>99</v>
      </c>
      <c r="R3297" s="2" t="s">
        <v>100</v>
      </c>
      <c r="S3297" s="2" t="s">
        <v>10415</v>
      </c>
      <c r="T3297" s="2" t="s">
        <v>9675</v>
      </c>
      <c r="U3297" s="2" t="s">
        <v>402</v>
      </c>
      <c r="V3297" s="2" t="s">
        <v>2661</v>
      </c>
      <c r="W3297" s="2" t="s">
        <v>183</v>
      </c>
      <c r="X3297" s="2" t="s">
        <v>561</v>
      </c>
      <c r="Y3297" s="2" t="s">
        <v>5205</v>
      </c>
      <c r="Z3297" s="4">
        <v>502</v>
      </c>
      <c r="AA3297" s="4">
        <f>=ROUNDDOWN(20.08,0)</f>
      </c>
      <c r="AB3297" s="5">
        <v>25</v>
      </c>
      <c r="AC3297" s="2" t="s">
        <v>2746</v>
      </c>
      <c r="AD3297" s="4">
        <v>534</v>
      </c>
      <c r="AE3297" s="4">
        <v>534</v>
      </c>
      <c r="AF3297" s="6">
        <v>65</v>
      </c>
      <c r="AG3297" s="6"/>
      <c r="AH3297" s="7">
        <v>0.5936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149</v>
      </c>
      <c r="BK3297" s="8">
        <v>4249.89</v>
      </c>
      <c r="BL3297" s="2" t="s">
        <v>10416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207</v>
      </c>
      <c r="BV3297" s="2" t="s">
        <v>97</v>
      </c>
      <c r="BW3297" s="2" t="s">
        <v>100</v>
      </c>
      <c r="BX3297" s="2" t="s">
        <v>100</v>
      </c>
      <c r="BY3297" s="2" t="s">
        <v>113</v>
      </c>
      <c r="BZ3297" s="2" t="s">
        <v>245</v>
      </c>
    </row>
    <row r="3298">
      <c r="A3298" s="2" t="s">
        <v>10417</v>
      </c>
      <c r="B3298" s="2" t="s">
        <v>9668</v>
      </c>
      <c r="C3298" s="2" t="s">
        <v>5702</v>
      </c>
      <c r="D3298" s="2" t="s">
        <v>9669</v>
      </c>
      <c r="E3298" s="2" t="s">
        <v>9670</v>
      </c>
      <c r="F3298" s="2" t="s">
        <v>10382</v>
      </c>
      <c r="G3298" s="2" t="s">
        <v>10382</v>
      </c>
      <c r="H3298" s="2" t="s">
        <v>10382</v>
      </c>
      <c r="I3298" s="2" t="s">
        <v>10383</v>
      </c>
      <c r="J3298" s="2" t="s">
        <v>714</v>
      </c>
      <c r="K3298" s="2" t="s">
        <v>10414</v>
      </c>
      <c r="L3298" s="3">
        <v>28.68</v>
      </c>
      <c r="M3298" s="3">
        <v>30.11</v>
      </c>
      <c r="N3298" s="3">
        <v>62.99</v>
      </c>
      <c r="O3298" s="2" t="s">
        <v>97</v>
      </c>
      <c r="P3298" s="2" t="s">
        <v>119</v>
      </c>
      <c r="Q3298" s="2" t="s">
        <v>99</v>
      </c>
      <c r="R3298" s="2" t="s">
        <v>100</v>
      </c>
      <c r="S3298" s="2" t="s">
        <v>10415</v>
      </c>
      <c r="T3298" s="2" t="s">
        <v>9675</v>
      </c>
      <c r="U3298" s="2" t="s">
        <v>402</v>
      </c>
      <c r="V3298" s="2" t="s">
        <v>2661</v>
      </c>
      <c r="W3298" s="2" t="s">
        <v>183</v>
      </c>
      <c r="X3298" s="2" t="s">
        <v>561</v>
      </c>
      <c r="Y3298" s="2" t="s">
        <v>5205</v>
      </c>
      <c r="Z3298" s="4">
        <v>262</v>
      </c>
      <c r="AA3298" s="4">
        <f>=ROUNDDOWN(15.4117647058824,0)</f>
      </c>
      <c r="AB3298" s="5">
        <v>17</v>
      </c>
      <c r="AC3298" s="2" t="s">
        <v>2746</v>
      </c>
      <c r="AD3298" s="4">
        <v>365</v>
      </c>
      <c r="AE3298" s="4">
        <v>365</v>
      </c>
      <c r="AF3298" s="6">
        <v>65</v>
      </c>
      <c r="AG3298" s="6"/>
      <c r="AH3298" s="7">
        <v>0.5936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107</v>
      </c>
      <c r="BK3298" s="8">
        <v>3431.92</v>
      </c>
      <c r="BL3298" s="2" t="s">
        <v>10418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207</v>
      </c>
      <c r="BV3298" s="2" t="s">
        <v>97</v>
      </c>
      <c r="BW3298" s="2" t="s">
        <v>100</v>
      </c>
      <c r="BX3298" s="2" t="s">
        <v>100</v>
      </c>
      <c r="BY3298" s="2" t="s">
        <v>113</v>
      </c>
      <c r="BZ3298" s="2" t="s">
        <v>245</v>
      </c>
    </row>
    <row r="3299">
      <c r="A3299" s="2" t="s">
        <v>10419</v>
      </c>
      <c r="B3299" s="2" t="s">
        <v>9668</v>
      </c>
      <c r="C3299" s="2" t="s">
        <v>5702</v>
      </c>
      <c r="D3299" s="2" t="s">
        <v>9669</v>
      </c>
      <c r="E3299" s="2" t="s">
        <v>9670</v>
      </c>
      <c r="F3299" s="2" t="s">
        <v>10382</v>
      </c>
      <c r="G3299" s="2" t="s">
        <v>10382</v>
      </c>
      <c r="H3299" s="2" t="s">
        <v>10382</v>
      </c>
      <c r="I3299" s="2" t="s">
        <v>10383</v>
      </c>
      <c r="J3299" s="2" t="s">
        <v>817</v>
      </c>
      <c r="K3299" s="2" t="s">
        <v>10414</v>
      </c>
      <c r="L3299" s="3">
        <v>28.68</v>
      </c>
      <c r="M3299" s="3">
        <v>30.11</v>
      </c>
      <c r="N3299" s="3">
        <v>62.99</v>
      </c>
      <c r="O3299" s="2" t="s">
        <v>97</v>
      </c>
      <c r="P3299" s="2" t="s">
        <v>119</v>
      </c>
      <c r="Q3299" s="2" t="s">
        <v>99</v>
      </c>
      <c r="R3299" s="2" t="s">
        <v>100</v>
      </c>
      <c r="S3299" s="2" t="s">
        <v>10415</v>
      </c>
      <c r="T3299" s="2" t="s">
        <v>9675</v>
      </c>
      <c r="U3299" s="2" t="s">
        <v>402</v>
      </c>
      <c r="V3299" s="2" t="s">
        <v>2661</v>
      </c>
      <c r="W3299" s="2" t="s">
        <v>183</v>
      </c>
      <c r="X3299" s="2" t="s">
        <v>561</v>
      </c>
      <c r="Y3299" s="2" t="s">
        <v>5205</v>
      </c>
      <c r="Z3299" s="4">
        <v>186</v>
      </c>
      <c r="AA3299" s="4">
        <f>=ROUNDDOWN(20.6666666666667,0)</f>
      </c>
      <c r="AB3299" s="5">
        <v>9</v>
      </c>
      <c r="AC3299" s="2" t="s">
        <v>2746</v>
      </c>
      <c r="AD3299" s="4">
        <v>158</v>
      </c>
      <c r="AE3299" s="4">
        <v>158</v>
      </c>
      <c r="AF3299" s="6">
        <v>65</v>
      </c>
      <c r="AG3299" s="6"/>
      <c r="AH3299" s="7">
        <v>0.5936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46</v>
      </c>
      <c r="BK3299" s="8">
        <v>1515.56</v>
      </c>
      <c r="BL3299" s="2" t="s">
        <v>10420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207</v>
      </c>
      <c r="BV3299" s="2" t="s">
        <v>97</v>
      </c>
      <c r="BW3299" s="2" t="s">
        <v>100</v>
      </c>
      <c r="BX3299" s="2" t="s">
        <v>100</v>
      </c>
      <c r="BY3299" s="2" t="s">
        <v>113</v>
      </c>
      <c r="BZ3299" s="2" t="s">
        <v>245</v>
      </c>
    </row>
    <row r="3300">
      <c r="A3300" s="2" t="s">
        <v>10421</v>
      </c>
      <c r="B3300" s="2" t="s">
        <v>9668</v>
      </c>
      <c r="C3300" s="2" t="s">
        <v>5702</v>
      </c>
      <c r="D3300" s="2" t="s">
        <v>9669</v>
      </c>
      <c r="E3300" s="2" t="s">
        <v>9670</v>
      </c>
      <c r="F3300" s="2" t="s">
        <v>10382</v>
      </c>
      <c r="G3300" s="2" t="s">
        <v>10382</v>
      </c>
      <c r="H3300" s="2" t="s">
        <v>10382</v>
      </c>
      <c r="I3300" s="2" t="s">
        <v>10383</v>
      </c>
      <c r="J3300" s="2" t="s">
        <v>706</v>
      </c>
      <c r="K3300" s="2" t="s">
        <v>9831</v>
      </c>
      <c r="L3300" s="3">
        <v>25.85</v>
      </c>
      <c r="M3300" s="3">
        <v>27.14</v>
      </c>
      <c r="N3300" s="3">
        <v>55.99</v>
      </c>
      <c r="O3300" s="2" t="s">
        <v>97</v>
      </c>
      <c r="P3300" s="2" t="s">
        <v>98</v>
      </c>
      <c r="Q3300" s="2" t="s">
        <v>99</v>
      </c>
      <c r="R3300" s="2" t="s">
        <v>100</v>
      </c>
      <c r="S3300" s="2" t="s">
        <v>10422</v>
      </c>
      <c r="T3300" s="2" t="s">
        <v>9675</v>
      </c>
      <c r="U3300" s="2" t="s">
        <v>402</v>
      </c>
      <c r="V3300" s="2" t="s">
        <v>146</v>
      </c>
      <c r="W3300" s="2" t="s">
        <v>183</v>
      </c>
      <c r="X3300" s="2" t="s">
        <v>561</v>
      </c>
      <c r="Y3300" s="2" t="s">
        <v>5205</v>
      </c>
      <c r="Z3300" s="4">
        <v>646</v>
      </c>
      <c r="AA3300" s="4">
        <f>=ROUNDDOWN(24.8461538461538,0)</f>
      </c>
      <c r="AB3300" s="5">
        <v>26</v>
      </c>
      <c r="AC3300" s="2" t="s">
        <v>2746</v>
      </c>
      <c r="AD3300" s="4">
        <v>630</v>
      </c>
      <c r="AE3300" s="4">
        <v>630</v>
      </c>
      <c r="AF3300" s="6">
        <v>65</v>
      </c>
      <c r="AG3300" s="6"/>
      <c r="AH3300" s="7">
        <v>0.5936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167</v>
      </c>
      <c r="BK3300" s="8">
        <v>4855.28</v>
      </c>
      <c r="BL3300" s="2" t="s">
        <v>10423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207</v>
      </c>
      <c r="BV3300" s="2" t="s">
        <v>97</v>
      </c>
      <c r="BW3300" s="2" t="s">
        <v>100</v>
      </c>
      <c r="BX3300" s="2" t="s">
        <v>100</v>
      </c>
      <c r="BY3300" s="2" t="s">
        <v>113</v>
      </c>
      <c r="BZ3300" s="2" t="s">
        <v>245</v>
      </c>
    </row>
    <row r="3301">
      <c r="A3301" s="2" t="s">
        <v>10424</v>
      </c>
      <c r="B3301" s="2" t="s">
        <v>9668</v>
      </c>
      <c r="C3301" s="2" t="s">
        <v>5702</v>
      </c>
      <c r="D3301" s="2" t="s">
        <v>9669</v>
      </c>
      <c r="E3301" s="2" t="s">
        <v>9670</v>
      </c>
      <c r="F3301" s="2" t="s">
        <v>10382</v>
      </c>
      <c r="G3301" s="2" t="s">
        <v>10382</v>
      </c>
      <c r="H3301" s="2" t="s">
        <v>10382</v>
      </c>
      <c r="I3301" s="2" t="s">
        <v>10383</v>
      </c>
      <c r="J3301" s="2" t="s">
        <v>714</v>
      </c>
      <c r="K3301" s="2" t="s">
        <v>9831</v>
      </c>
      <c r="L3301" s="3">
        <v>28.68</v>
      </c>
      <c r="M3301" s="3">
        <v>30.11</v>
      </c>
      <c r="N3301" s="3">
        <v>62.99</v>
      </c>
      <c r="O3301" s="2" t="s">
        <v>97</v>
      </c>
      <c r="P3301" s="2" t="s">
        <v>119</v>
      </c>
      <c r="Q3301" s="2" t="s">
        <v>99</v>
      </c>
      <c r="R3301" s="2" t="s">
        <v>100</v>
      </c>
      <c r="S3301" s="2" t="s">
        <v>10422</v>
      </c>
      <c r="T3301" s="2" t="s">
        <v>9675</v>
      </c>
      <c r="U3301" s="2" t="s">
        <v>402</v>
      </c>
      <c r="V3301" s="2" t="s">
        <v>146</v>
      </c>
      <c r="W3301" s="2" t="s">
        <v>183</v>
      </c>
      <c r="X3301" s="2" t="s">
        <v>561</v>
      </c>
      <c r="Y3301" s="2" t="s">
        <v>5205</v>
      </c>
      <c r="Z3301" s="4">
        <v>273</v>
      </c>
      <c r="AA3301" s="4">
        <f>=ROUNDDOWN(19.5,0)</f>
      </c>
      <c r="AB3301" s="5">
        <v>14</v>
      </c>
      <c r="AC3301" s="2" t="s">
        <v>2746</v>
      </c>
      <c r="AD3301" s="4">
        <v>349</v>
      </c>
      <c r="AE3301" s="4">
        <v>349</v>
      </c>
      <c r="AF3301" s="6">
        <v>65</v>
      </c>
      <c r="AG3301" s="6"/>
      <c r="AH3301" s="7">
        <v>0.5936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54</v>
      </c>
      <c r="BK3301" s="8">
        <v>1730.94</v>
      </c>
      <c r="BL3301" s="2" t="s">
        <v>10425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207</v>
      </c>
      <c r="BV3301" s="2" t="s">
        <v>97</v>
      </c>
      <c r="BW3301" s="2" t="s">
        <v>100</v>
      </c>
      <c r="BX3301" s="2" t="s">
        <v>100</v>
      </c>
      <c r="BY3301" s="2" t="s">
        <v>113</v>
      </c>
      <c r="BZ3301" s="2" t="s">
        <v>245</v>
      </c>
    </row>
    <row r="3302">
      <c r="A3302" s="2" t="s">
        <v>10426</v>
      </c>
      <c r="B3302" s="2" t="s">
        <v>9668</v>
      </c>
      <c r="C3302" s="2" t="s">
        <v>5702</v>
      </c>
      <c r="D3302" s="2" t="s">
        <v>9669</v>
      </c>
      <c r="E3302" s="2" t="s">
        <v>9670</v>
      </c>
      <c r="F3302" s="2" t="s">
        <v>10382</v>
      </c>
      <c r="G3302" s="2" t="s">
        <v>10382</v>
      </c>
      <c r="H3302" s="2" t="s">
        <v>10382</v>
      </c>
      <c r="I3302" s="2" t="s">
        <v>10383</v>
      </c>
      <c r="J3302" s="2" t="s">
        <v>817</v>
      </c>
      <c r="K3302" s="2" t="s">
        <v>9831</v>
      </c>
      <c r="L3302" s="3">
        <v>28.68</v>
      </c>
      <c r="M3302" s="3">
        <v>30.11</v>
      </c>
      <c r="N3302" s="3">
        <v>62.99</v>
      </c>
      <c r="O3302" s="2" t="s">
        <v>97</v>
      </c>
      <c r="P3302" s="2" t="s">
        <v>119</v>
      </c>
      <c r="Q3302" s="2" t="s">
        <v>99</v>
      </c>
      <c r="R3302" s="2" t="s">
        <v>100</v>
      </c>
      <c r="S3302" s="2" t="s">
        <v>10422</v>
      </c>
      <c r="T3302" s="2" t="s">
        <v>9675</v>
      </c>
      <c r="U3302" s="2" t="s">
        <v>402</v>
      </c>
      <c r="V3302" s="2" t="s">
        <v>146</v>
      </c>
      <c r="W3302" s="2" t="s">
        <v>183</v>
      </c>
      <c r="X3302" s="2" t="s">
        <v>561</v>
      </c>
      <c r="Y3302" s="2" t="s">
        <v>5205</v>
      </c>
      <c r="Z3302" s="4">
        <v>127</v>
      </c>
      <c r="AA3302" s="4">
        <f>=ROUNDDOWN(21.1666666666667,0)</f>
      </c>
      <c r="AB3302" s="5">
        <v>6</v>
      </c>
      <c r="AC3302" s="2" t="s">
        <v>2746</v>
      </c>
      <c r="AD3302" s="4">
        <v>103</v>
      </c>
      <c r="AE3302" s="4">
        <v>103</v>
      </c>
      <c r="AF3302" s="6">
        <v>65</v>
      </c>
      <c r="AG3302" s="6"/>
      <c r="AH3302" s="7">
        <v>0.5936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28</v>
      </c>
      <c r="BK3302" s="8">
        <v>903.25</v>
      </c>
      <c r="BL3302" s="2" t="s">
        <v>10427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207</v>
      </c>
      <c r="BV3302" s="2" t="s">
        <v>97</v>
      </c>
      <c r="BW3302" s="2" t="s">
        <v>100</v>
      </c>
      <c r="BX3302" s="2" t="s">
        <v>100</v>
      </c>
      <c r="BY3302" s="2" t="s">
        <v>113</v>
      </c>
      <c r="BZ3302" s="2" t="s">
        <v>245</v>
      </c>
    </row>
    <row r="3303">
      <c r="A3303" s="2" t="s">
        <v>10428</v>
      </c>
      <c r="B3303" s="2" t="s">
        <v>9668</v>
      </c>
      <c r="C3303" s="2" t="s">
        <v>5702</v>
      </c>
      <c r="D3303" s="2" t="s">
        <v>9669</v>
      </c>
      <c r="E3303" s="2" t="s">
        <v>9670</v>
      </c>
      <c r="F3303" s="2" t="s">
        <v>10382</v>
      </c>
      <c r="G3303" s="2" t="s">
        <v>10382</v>
      </c>
      <c r="H3303" s="2" t="s">
        <v>10382</v>
      </c>
      <c r="I3303" s="2" t="s">
        <v>10383</v>
      </c>
      <c r="J3303" s="2" t="s">
        <v>717</v>
      </c>
      <c r="K3303" s="2" t="s">
        <v>10429</v>
      </c>
      <c r="L3303" s="3">
        <v>22</v>
      </c>
      <c r="M3303" s="3">
        <v>23.1</v>
      </c>
      <c r="N3303" s="3">
        <v>47.99</v>
      </c>
      <c r="O3303" s="2" t="s">
        <v>97</v>
      </c>
      <c r="P3303" s="2" t="s">
        <v>225</v>
      </c>
      <c r="Q3303" s="2" t="s">
        <v>99</v>
      </c>
      <c r="R3303" s="2" t="s">
        <v>100</v>
      </c>
      <c r="S3303" s="2" t="s">
        <v>10430</v>
      </c>
      <c r="T3303" s="2" t="s">
        <v>9675</v>
      </c>
      <c r="U3303" s="2" t="s">
        <v>402</v>
      </c>
      <c r="V3303" s="2" t="s">
        <v>256</v>
      </c>
      <c r="W3303" s="2" t="s">
        <v>183</v>
      </c>
      <c r="X3303" s="2" t="s">
        <v>561</v>
      </c>
      <c r="Y3303" s="2" t="s">
        <v>3643</v>
      </c>
      <c r="Z3303" s="4">
        <v>236</v>
      </c>
      <c r="AA3303" s="4">
        <f>=ROUNDDOWN(21.4545454545455,0)</f>
      </c>
      <c r="AB3303" s="5">
        <v>11</v>
      </c>
      <c r="AC3303" s="2" t="s">
        <v>2746</v>
      </c>
      <c r="AD3303" s="4">
        <v>263</v>
      </c>
      <c r="AE3303" s="4">
        <v>263</v>
      </c>
      <c r="AF3303" s="6">
        <v>69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>
        <v>10</v>
      </c>
      <c r="BK3303" s="8">
        <v>262.59</v>
      </c>
      <c r="BL3303" s="2" t="s">
        <v>10105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207</v>
      </c>
      <c r="BV3303" s="2" t="s">
        <v>97</v>
      </c>
      <c r="BW3303" s="2" t="s">
        <v>100</v>
      </c>
      <c r="BX3303" s="2" t="s">
        <v>100</v>
      </c>
      <c r="BY3303" s="2" t="s">
        <v>113</v>
      </c>
      <c r="BZ3303" s="2" t="s">
        <v>100</v>
      </c>
    </row>
    <row r="3304">
      <c r="A3304" s="2" t="s">
        <v>10431</v>
      </c>
      <c r="B3304" s="2" t="s">
        <v>9668</v>
      </c>
      <c r="C3304" s="2" t="s">
        <v>5702</v>
      </c>
      <c r="D3304" s="2" t="s">
        <v>9669</v>
      </c>
      <c r="E3304" s="2" t="s">
        <v>9670</v>
      </c>
      <c r="F3304" s="2" t="s">
        <v>10382</v>
      </c>
      <c r="G3304" s="2" t="s">
        <v>10382</v>
      </c>
      <c r="H3304" s="2" t="s">
        <v>10382</v>
      </c>
      <c r="I3304" s="2" t="s">
        <v>10383</v>
      </c>
      <c r="J3304" s="2" t="s">
        <v>706</v>
      </c>
      <c r="K3304" s="2" t="s">
        <v>10429</v>
      </c>
      <c r="L3304" s="3">
        <v>25.85</v>
      </c>
      <c r="M3304" s="3">
        <v>27.14</v>
      </c>
      <c r="N3304" s="3">
        <v>55.99</v>
      </c>
      <c r="O3304" s="2" t="s">
        <v>97</v>
      </c>
      <c r="P3304" s="2" t="s">
        <v>225</v>
      </c>
      <c r="Q3304" s="2" t="s">
        <v>99</v>
      </c>
      <c r="R3304" s="2" t="s">
        <v>100</v>
      </c>
      <c r="S3304" s="2" t="s">
        <v>10430</v>
      </c>
      <c r="T3304" s="2" t="s">
        <v>9675</v>
      </c>
      <c r="U3304" s="2" t="s">
        <v>402</v>
      </c>
      <c r="V3304" s="2" t="s">
        <v>256</v>
      </c>
      <c r="W3304" s="2" t="s">
        <v>183</v>
      </c>
      <c r="X3304" s="2" t="s">
        <v>561</v>
      </c>
      <c r="Y3304" s="2" t="s">
        <v>3643</v>
      </c>
      <c r="Z3304" s="4">
        <v>419</v>
      </c>
      <c r="AA3304" s="4">
        <f>=ROUNDDOWN(20.95,0)</f>
      </c>
      <c r="AB3304" s="5">
        <v>20</v>
      </c>
      <c r="AC3304" s="2" t="s">
        <v>2746</v>
      </c>
      <c r="AD3304" s="4">
        <v>483</v>
      </c>
      <c r="AE3304" s="4">
        <v>483</v>
      </c>
      <c r="AF3304" s="6">
        <v>69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>
        <v>42</v>
      </c>
      <c r="BK3304" s="8">
        <v>1247.93</v>
      </c>
      <c r="BL3304" s="2" t="s">
        <v>10397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207</v>
      </c>
      <c r="BV3304" s="2" t="s">
        <v>97</v>
      </c>
      <c r="BW3304" s="2" t="s">
        <v>100</v>
      </c>
      <c r="BX3304" s="2" t="s">
        <v>100</v>
      </c>
      <c r="BY3304" s="2" t="s">
        <v>113</v>
      </c>
      <c r="BZ3304" s="2" t="s">
        <v>100</v>
      </c>
    </row>
    <row r="3305">
      <c r="A3305" s="2" t="s">
        <v>10432</v>
      </c>
      <c r="B3305" s="2" t="s">
        <v>9668</v>
      </c>
      <c r="C3305" s="2" t="s">
        <v>5702</v>
      </c>
      <c r="D3305" s="2" t="s">
        <v>9669</v>
      </c>
      <c r="E3305" s="2" t="s">
        <v>9670</v>
      </c>
      <c r="F3305" s="2" t="s">
        <v>10382</v>
      </c>
      <c r="G3305" s="2" t="s">
        <v>10382</v>
      </c>
      <c r="H3305" s="2" t="s">
        <v>10382</v>
      </c>
      <c r="I3305" s="2" t="s">
        <v>10383</v>
      </c>
      <c r="J3305" s="2" t="s">
        <v>714</v>
      </c>
      <c r="K3305" s="2" t="s">
        <v>10429</v>
      </c>
      <c r="L3305" s="3">
        <v>28.68</v>
      </c>
      <c r="M3305" s="3">
        <v>30.11</v>
      </c>
      <c r="N3305" s="3">
        <v>62.99</v>
      </c>
      <c r="O3305" s="2" t="s">
        <v>97</v>
      </c>
      <c r="P3305" s="2" t="s">
        <v>225</v>
      </c>
      <c r="Q3305" s="2" t="s">
        <v>99</v>
      </c>
      <c r="R3305" s="2" t="s">
        <v>100</v>
      </c>
      <c r="S3305" s="2" t="s">
        <v>10430</v>
      </c>
      <c r="T3305" s="2" t="s">
        <v>9675</v>
      </c>
      <c r="U3305" s="2" t="s">
        <v>402</v>
      </c>
      <c r="V3305" s="2" t="s">
        <v>256</v>
      </c>
      <c r="W3305" s="2" t="s">
        <v>183</v>
      </c>
      <c r="X3305" s="2" t="s">
        <v>561</v>
      </c>
      <c r="Y3305" s="2" t="s">
        <v>3643</v>
      </c>
      <c r="Z3305" s="4">
        <v>217</v>
      </c>
      <c r="AA3305" s="4">
        <f>=ROUNDDOWN(19.7272727272727,0)</f>
      </c>
      <c r="AB3305" s="5">
        <v>11</v>
      </c>
      <c r="AC3305" s="2" t="s">
        <v>2746</v>
      </c>
      <c r="AD3305" s="4">
        <v>250</v>
      </c>
      <c r="AE3305" s="4">
        <v>250</v>
      </c>
      <c r="AF3305" s="6">
        <v>69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>
        <v>26</v>
      </c>
      <c r="BK3305" s="8">
        <v>833.52</v>
      </c>
      <c r="BL3305" s="2" t="s">
        <v>10433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207</v>
      </c>
      <c r="BV3305" s="2" t="s">
        <v>97</v>
      </c>
      <c r="BW3305" s="2" t="s">
        <v>100</v>
      </c>
      <c r="BX3305" s="2" t="s">
        <v>100</v>
      </c>
      <c r="BY3305" s="2" t="s">
        <v>113</v>
      </c>
      <c r="BZ3305" s="2" t="s">
        <v>100</v>
      </c>
    </row>
    <row r="3306">
      <c r="A3306" s="2" t="s">
        <v>10434</v>
      </c>
      <c r="B3306" s="2" t="s">
        <v>9668</v>
      </c>
      <c r="C3306" s="2" t="s">
        <v>5702</v>
      </c>
      <c r="D3306" s="2" t="s">
        <v>9669</v>
      </c>
      <c r="E3306" s="2" t="s">
        <v>9670</v>
      </c>
      <c r="F3306" s="2" t="s">
        <v>10382</v>
      </c>
      <c r="G3306" s="2" t="s">
        <v>10382</v>
      </c>
      <c r="H3306" s="2" t="s">
        <v>10382</v>
      </c>
      <c r="I3306" s="2" t="s">
        <v>10383</v>
      </c>
      <c r="J3306" s="2" t="s">
        <v>817</v>
      </c>
      <c r="K3306" s="2" t="s">
        <v>10429</v>
      </c>
      <c r="L3306" s="3">
        <v>28.68</v>
      </c>
      <c r="M3306" s="3">
        <v>30.11</v>
      </c>
      <c r="N3306" s="3">
        <v>62.99</v>
      </c>
      <c r="O3306" s="2" t="s">
        <v>97</v>
      </c>
      <c r="P3306" s="2" t="s">
        <v>225</v>
      </c>
      <c r="Q3306" s="2" t="s">
        <v>99</v>
      </c>
      <c r="R3306" s="2" t="s">
        <v>100</v>
      </c>
      <c r="S3306" s="2" t="s">
        <v>10430</v>
      </c>
      <c r="T3306" s="2" t="s">
        <v>9675</v>
      </c>
      <c r="U3306" s="2" t="s">
        <v>402</v>
      </c>
      <c r="V3306" s="2" t="s">
        <v>256</v>
      </c>
      <c r="W3306" s="2" t="s">
        <v>183</v>
      </c>
      <c r="X3306" s="2" t="s">
        <v>561</v>
      </c>
      <c r="Y3306" s="2" t="s">
        <v>3643</v>
      </c>
      <c r="Z3306" s="4">
        <v>131</v>
      </c>
      <c r="AA3306" s="4">
        <f>=ROUNDDOWN(21.8333333333333,0)</f>
      </c>
      <c r="AB3306" s="5">
        <v>6</v>
      </c>
      <c r="AC3306" s="2" t="s">
        <v>2746</v>
      </c>
      <c r="AD3306" s="4">
        <v>151</v>
      </c>
      <c r="AE3306" s="4">
        <v>151</v>
      </c>
      <c r="AF3306" s="6">
        <v>69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>
        <v>9</v>
      </c>
      <c r="BK3306" s="8">
        <v>294.95</v>
      </c>
      <c r="BL3306" s="2" t="s">
        <v>10435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207</v>
      </c>
      <c r="BV3306" s="2" t="s">
        <v>97</v>
      </c>
      <c r="BW3306" s="2" t="s">
        <v>100</v>
      </c>
      <c r="BX3306" s="2" t="s">
        <v>100</v>
      </c>
      <c r="BY3306" s="2" t="s">
        <v>113</v>
      </c>
      <c r="BZ3306" s="2" t="s">
        <v>100</v>
      </c>
    </row>
    <row r="3307">
      <c r="A3307" s="2" t="s">
        <v>10436</v>
      </c>
      <c r="B3307" s="2" t="s">
        <v>9668</v>
      </c>
      <c r="C3307" s="2" t="s">
        <v>5702</v>
      </c>
      <c r="D3307" s="2" t="s">
        <v>9669</v>
      </c>
      <c r="E3307" s="2" t="s">
        <v>9670</v>
      </c>
      <c r="F3307" s="2" t="s">
        <v>10382</v>
      </c>
      <c r="G3307" s="2" t="s">
        <v>10382</v>
      </c>
      <c r="H3307" s="2" t="s">
        <v>10382</v>
      </c>
      <c r="I3307" s="2" t="s">
        <v>10383</v>
      </c>
      <c r="J3307" s="2" t="s">
        <v>717</v>
      </c>
      <c r="K3307" s="2" t="s">
        <v>10437</v>
      </c>
      <c r="L3307" s="3">
        <v>22</v>
      </c>
      <c r="M3307" s="3">
        <v>23.1</v>
      </c>
      <c r="N3307" s="3">
        <v>47.99</v>
      </c>
      <c r="O3307" s="2" t="s">
        <v>97</v>
      </c>
      <c r="P3307" s="2" t="s">
        <v>225</v>
      </c>
      <c r="Q3307" s="2" t="s">
        <v>99</v>
      </c>
      <c r="R3307" s="2" t="s">
        <v>100</v>
      </c>
      <c r="S3307" s="2" t="s">
        <v>10438</v>
      </c>
      <c r="T3307" s="2" t="s">
        <v>9675</v>
      </c>
      <c r="U3307" s="2" t="s">
        <v>402</v>
      </c>
      <c r="V3307" s="2" t="s">
        <v>2508</v>
      </c>
      <c r="W3307" s="2" t="s">
        <v>183</v>
      </c>
      <c r="X3307" s="2" t="s">
        <v>561</v>
      </c>
      <c r="Y3307" s="2" t="s">
        <v>3609</v>
      </c>
      <c r="Z3307" s="4">
        <v>222</v>
      </c>
      <c r="AA3307" s="4">
        <f>=ROUNDDOWN(20.1818181818182,0)</f>
      </c>
      <c r="AB3307" s="5">
        <v>11</v>
      </c>
      <c r="AC3307" s="2" t="s">
        <v>2746</v>
      </c>
      <c r="AD3307" s="4">
        <v>253</v>
      </c>
      <c r="AE3307" s="4">
        <v>253</v>
      </c>
      <c r="AF3307" s="6">
        <v>69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>
        <v>17</v>
      </c>
      <c r="BK3307" s="8">
        <v>438.99</v>
      </c>
      <c r="BL3307" s="2" t="s">
        <v>10105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207</v>
      </c>
      <c r="BV3307" s="2" t="s">
        <v>97</v>
      </c>
      <c r="BW3307" s="2" t="s">
        <v>100</v>
      </c>
      <c r="BX3307" s="2" t="s">
        <v>100</v>
      </c>
      <c r="BY3307" s="2" t="s">
        <v>113</v>
      </c>
      <c r="BZ3307" s="2" t="s">
        <v>100</v>
      </c>
    </row>
    <row r="3308">
      <c r="A3308" s="2" t="s">
        <v>10439</v>
      </c>
      <c r="B3308" s="2" t="s">
        <v>9668</v>
      </c>
      <c r="C3308" s="2" t="s">
        <v>5702</v>
      </c>
      <c r="D3308" s="2" t="s">
        <v>9669</v>
      </c>
      <c r="E3308" s="2" t="s">
        <v>9670</v>
      </c>
      <c r="F3308" s="2" t="s">
        <v>10382</v>
      </c>
      <c r="G3308" s="2" t="s">
        <v>10382</v>
      </c>
      <c r="H3308" s="2" t="s">
        <v>10382</v>
      </c>
      <c r="I3308" s="2" t="s">
        <v>10383</v>
      </c>
      <c r="J3308" s="2" t="s">
        <v>706</v>
      </c>
      <c r="K3308" s="2" t="s">
        <v>10437</v>
      </c>
      <c r="L3308" s="3">
        <v>25.85</v>
      </c>
      <c r="M3308" s="3">
        <v>27.14</v>
      </c>
      <c r="N3308" s="3">
        <v>55.99</v>
      </c>
      <c r="O3308" s="2" t="s">
        <v>97</v>
      </c>
      <c r="P3308" s="2" t="s">
        <v>225</v>
      </c>
      <c r="Q3308" s="2" t="s">
        <v>99</v>
      </c>
      <c r="R3308" s="2" t="s">
        <v>100</v>
      </c>
      <c r="S3308" s="2" t="s">
        <v>10438</v>
      </c>
      <c r="T3308" s="2" t="s">
        <v>9675</v>
      </c>
      <c r="U3308" s="2" t="s">
        <v>402</v>
      </c>
      <c r="V3308" s="2" t="s">
        <v>2508</v>
      </c>
      <c r="W3308" s="2" t="s">
        <v>183</v>
      </c>
      <c r="X3308" s="2" t="s">
        <v>561</v>
      </c>
      <c r="Y3308" s="2" t="s">
        <v>3609</v>
      </c>
      <c r="Z3308" s="4">
        <v>348</v>
      </c>
      <c r="AA3308" s="4">
        <f>=ROUNDDOWN(17.4,0)</f>
      </c>
      <c r="AB3308" s="5">
        <v>20</v>
      </c>
      <c r="AC3308" s="2" t="s">
        <v>2746</v>
      </c>
      <c r="AD3308" s="4">
        <v>494</v>
      </c>
      <c r="AE3308" s="4">
        <v>494</v>
      </c>
      <c r="AF3308" s="6">
        <v>69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>
        <v>106</v>
      </c>
      <c r="BK3308" s="8">
        <v>3099.63</v>
      </c>
      <c r="BL3308" s="2" t="s">
        <v>1358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207</v>
      </c>
      <c r="BV3308" s="2" t="s">
        <v>97</v>
      </c>
      <c r="BW3308" s="2" t="s">
        <v>100</v>
      </c>
      <c r="BX3308" s="2" t="s">
        <v>100</v>
      </c>
      <c r="BY3308" s="2" t="s">
        <v>113</v>
      </c>
      <c r="BZ3308" s="2" t="s">
        <v>100</v>
      </c>
    </row>
    <row r="3309">
      <c r="A3309" s="2" t="s">
        <v>10440</v>
      </c>
      <c r="B3309" s="2" t="s">
        <v>9668</v>
      </c>
      <c r="C3309" s="2" t="s">
        <v>5702</v>
      </c>
      <c r="D3309" s="2" t="s">
        <v>9669</v>
      </c>
      <c r="E3309" s="2" t="s">
        <v>9670</v>
      </c>
      <c r="F3309" s="2" t="s">
        <v>10382</v>
      </c>
      <c r="G3309" s="2" t="s">
        <v>10382</v>
      </c>
      <c r="H3309" s="2" t="s">
        <v>10382</v>
      </c>
      <c r="I3309" s="2" t="s">
        <v>10383</v>
      </c>
      <c r="J3309" s="2" t="s">
        <v>714</v>
      </c>
      <c r="K3309" s="2" t="s">
        <v>10437</v>
      </c>
      <c r="L3309" s="3">
        <v>28.68</v>
      </c>
      <c r="M3309" s="3">
        <v>30.11</v>
      </c>
      <c r="N3309" s="3">
        <v>62.99</v>
      </c>
      <c r="O3309" s="2" t="s">
        <v>97</v>
      </c>
      <c r="P3309" s="2" t="s">
        <v>225</v>
      </c>
      <c r="Q3309" s="2" t="s">
        <v>99</v>
      </c>
      <c r="R3309" s="2" t="s">
        <v>100</v>
      </c>
      <c r="S3309" s="2" t="s">
        <v>10438</v>
      </c>
      <c r="T3309" s="2" t="s">
        <v>9675</v>
      </c>
      <c r="U3309" s="2" t="s">
        <v>402</v>
      </c>
      <c r="V3309" s="2" t="s">
        <v>2508</v>
      </c>
      <c r="W3309" s="2" t="s">
        <v>183</v>
      </c>
      <c r="X3309" s="2" t="s">
        <v>561</v>
      </c>
      <c r="Y3309" s="2" t="s">
        <v>3609</v>
      </c>
      <c r="Z3309" s="4">
        <v>154</v>
      </c>
      <c r="AA3309" s="4">
        <f>=ROUNDDOWN(14,0)</f>
      </c>
      <c r="AB3309" s="5">
        <v>11</v>
      </c>
      <c r="AC3309" s="2" t="s">
        <v>2746</v>
      </c>
      <c r="AD3309" s="4">
        <v>257</v>
      </c>
      <c r="AE3309" s="4">
        <v>257</v>
      </c>
      <c r="AF3309" s="6">
        <v>69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71</v>
      </c>
      <c r="BK3309" s="8">
        <v>2258.77</v>
      </c>
      <c r="BL3309" s="2" t="s">
        <v>10441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207</v>
      </c>
      <c r="BV3309" s="2" t="s">
        <v>97</v>
      </c>
      <c r="BW3309" s="2" t="s">
        <v>100</v>
      </c>
      <c r="BX3309" s="2" t="s">
        <v>100</v>
      </c>
      <c r="BY3309" s="2" t="s">
        <v>113</v>
      </c>
      <c r="BZ3309" s="2" t="s">
        <v>100</v>
      </c>
    </row>
    <row r="3310">
      <c r="A3310" s="2" t="s">
        <v>10442</v>
      </c>
      <c r="B3310" s="2" t="s">
        <v>9668</v>
      </c>
      <c r="C3310" s="2" t="s">
        <v>5702</v>
      </c>
      <c r="D3310" s="2" t="s">
        <v>9669</v>
      </c>
      <c r="E3310" s="2" t="s">
        <v>9670</v>
      </c>
      <c r="F3310" s="2" t="s">
        <v>10382</v>
      </c>
      <c r="G3310" s="2" t="s">
        <v>10382</v>
      </c>
      <c r="H3310" s="2" t="s">
        <v>10382</v>
      </c>
      <c r="I3310" s="2" t="s">
        <v>10383</v>
      </c>
      <c r="J3310" s="2" t="s">
        <v>817</v>
      </c>
      <c r="K3310" s="2" t="s">
        <v>10437</v>
      </c>
      <c r="L3310" s="3">
        <v>28.68</v>
      </c>
      <c r="M3310" s="3">
        <v>30.11</v>
      </c>
      <c r="N3310" s="3">
        <v>62.99</v>
      </c>
      <c r="O3310" s="2" t="s">
        <v>97</v>
      </c>
      <c r="P3310" s="2" t="s">
        <v>225</v>
      </c>
      <c r="Q3310" s="2" t="s">
        <v>99</v>
      </c>
      <c r="R3310" s="2" t="s">
        <v>100</v>
      </c>
      <c r="S3310" s="2" t="s">
        <v>10438</v>
      </c>
      <c r="T3310" s="2" t="s">
        <v>9675</v>
      </c>
      <c r="U3310" s="2" t="s">
        <v>402</v>
      </c>
      <c r="V3310" s="2" t="s">
        <v>2508</v>
      </c>
      <c r="W3310" s="2" t="s">
        <v>183</v>
      </c>
      <c r="X3310" s="2" t="s">
        <v>561</v>
      </c>
      <c r="Y3310" s="2" t="s">
        <v>3609</v>
      </c>
      <c r="Z3310" s="4">
        <v>98</v>
      </c>
      <c r="AA3310" s="4">
        <f>=ROUNDDOWN(16.3333333333333,0)</f>
      </c>
      <c r="AB3310" s="5">
        <v>6</v>
      </c>
      <c r="AC3310" s="2" t="s">
        <v>2746</v>
      </c>
      <c r="AD3310" s="4">
        <v>145</v>
      </c>
      <c r="AE3310" s="4">
        <v>145</v>
      </c>
      <c r="AF3310" s="6">
        <v>69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33</v>
      </c>
      <c r="BK3310" s="8">
        <v>1101</v>
      </c>
      <c r="BL3310" s="2" t="s">
        <v>529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207</v>
      </c>
      <c r="BV3310" s="2" t="s">
        <v>97</v>
      </c>
      <c r="BW3310" s="2" t="s">
        <v>100</v>
      </c>
      <c r="BX3310" s="2" t="s">
        <v>100</v>
      </c>
      <c r="BY3310" s="2" t="s">
        <v>113</v>
      </c>
      <c r="BZ3310" s="2" t="s">
        <v>100</v>
      </c>
    </row>
    <row r="3311">
      <c r="A3311" s="2" t="s">
        <v>10443</v>
      </c>
      <c r="B3311" s="2" t="s">
        <v>9668</v>
      </c>
      <c r="C3311" s="2" t="s">
        <v>5702</v>
      </c>
      <c r="D3311" s="2" t="s">
        <v>9669</v>
      </c>
      <c r="E3311" s="2" t="s">
        <v>9670</v>
      </c>
      <c r="F3311" s="2" t="s">
        <v>10382</v>
      </c>
      <c r="G3311" s="2" t="s">
        <v>10382</v>
      </c>
      <c r="H3311" s="2" t="s">
        <v>10382</v>
      </c>
      <c r="I3311" s="2" t="s">
        <v>10383</v>
      </c>
      <c r="J3311" s="2" t="s">
        <v>706</v>
      </c>
      <c r="K3311" s="2" t="s">
        <v>10444</v>
      </c>
      <c r="L3311" s="3">
        <v>25.85</v>
      </c>
      <c r="M3311" s="3">
        <v>27.14</v>
      </c>
      <c r="N3311" s="3">
        <v>55.99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10445</v>
      </c>
      <c r="T3311" s="2" t="s">
        <v>9675</v>
      </c>
      <c r="U3311" s="2" t="s">
        <v>402</v>
      </c>
      <c r="V3311" s="2" t="s">
        <v>146</v>
      </c>
      <c r="W3311" s="2" t="s">
        <v>183</v>
      </c>
      <c r="X3311" s="2" t="s">
        <v>561</v>
      </c>
      <c r="Y3311" s="2" t="s">
        <v>5205</v>
      </c>
      <c r="Z3311" s="4">
        <v>735</v>
      </c>
      <c r="AA3311" s="4">
        <f>=ROUNDDOWN(22.2727272727273,0)</f>
      </c>
      <c r="AB3311" s="5">
        <v>33</v>
      </c>
      <c r="AC3311" s="2" t="s">
        <v>2746</v>
      </c>
      <c r="AD3311" s="4">
        <v>904</v>
      </c>
      <c r="AE3311" s="4">
        <v>904</v>
      </c>
      <c r="AF3311" s="6">
        <v>65</v>
      </c>
      <c r="AG3311" s="6"/>
      <c r="AH3311" s="7">
        <v>0.5936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157</v>
      </c>
      <c r="BK3311" s="8">
        <v>4535.23</v>
      </c>
      <c r="BL3311" s="2" t="s">
        <v>10446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207</v>
      </c>
      <c r="BV3311" s="2" t="s">
        <v>97</v>
      </c>
      <c r="BW3311" s="2" t="s">
        <v>100</v>
      </c>
      <c r="BX3311" s="2" t="s">
        <v>100</v>
      </c>
      <c r="BY3311" s="2" t="s">
        <v>113</v>
      </c>
      <c r="BZ3311" s="2" t="s">
        <v>245</v>
      </c>
    </row>
    <row r="3312">
      <c r="A3312" s="2" t="s">
        <v>10447</v>
      </c>
      <c r="B3312" s="2" t="s">
        <v>9668</v>
      </c>
      <c r="C3312" s="2" t="s">
        <v>5702</v>
      </c>
      <c r="D3312" s="2" t="s">
        <v>9669</v>
      </c>
      <c r="E3312" s="2" t="s">
        <v>9670</v>
      </c>
      <c r="F3312" s="2" t="s">
        <v>10382</v>
      </c>
      <c r="G3312" s="2" t="s">
        <v>10382</v>
      </c>
      <c r="H3312" s="2" t="s">
        <v>10382</v>
      </c>
      <c r="I3312" s="2" t="s">
        <v>10383</v>
      </c>
      <c r="J3312" s="2" t="s">
        <v>714</v>
      </c>
      <c r="K3312" s="2" t="s">
        <v>10444</v>
      </c>
      <c r="L3312" s="3">
        <v>28.68</v>
      </c>
      <c r="M3312" s="3">
        <v>30.11</v>
      </c>
      <c r="N3312" s="3">
        <v>62.99</v>
      </c>
      <c r="O3312" s="2" t="s">
        <v>97</v>
      </c>
      <c r="P3312" s="2" t="s">
        <v>119</v>
      </c>
      <c r="Q3312" s="2" t="s">
        <v>99</v>
      </c>
      <c r="R3312" s="2" t="s">
        <v>100</v>
      </c>
      <c r="S3312" s="2" t="s">
        <v>10445</v>
      </c>
      <c r="T3312" s="2" t="s">
        <v>9675</v>
      </c>
      <c r="U3312" s="2" t="s">
        <v>402</v>
      </c>
      <c r="V3312" s="2" t="s">
        <v>146</v>
      </c>
      <c r="W3312" s="2" t="s">
        <v>183</v>
      </c>
      <c r="X3312" s="2" t="s">
        <v>561</v>
      </c>
      <c r="Y3312" s="2" t="s">
        <v>5205</v>
      </c>
      <c r="Z3312" s="4">
        <v>220</v>
      </c>
      <c r="AA3312" s="4">
        <f>=ROUNDDOWN(16.9230769230769,0)</f>
      </c>
      <c r="AB3312" s="5">
        <v>13</v>
      </c>
      <c r="AC3312" s="2" t="s">
        <v>2746</v>
      </c>
      <c r="AD3312" s="4">
        <v>234</v>
      </c>
      <c r="AE3312" s="4">
        <v>234</v>
      </c>
      <c r="AF3312" s="6">
        <v>65</v>
      </c>
      <c r="AG3312" s="6"/>
      <c r="AH3312" s="7">
        <v>0.5936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62</v>
      </c>
      <c r="BK3312" s="8">
        <v>1975.82</v>
      </c>
      <c r="BL3312" s="2" t="s">
        <v>10448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207</v>
      </c>
      <c r="BV3312" s="2" t="s">
        <v>97</v>
      </c>
      <c r="BW3312" s="2" t="s">
        <v>100</v>
      </c>
      <c r="BX3312" s="2" t="s">
        <v>100</v>
      </c>
      <c r="BY3312" s="2" t="s">
        <v>113</v>
      </c>
      <c r="BZ3312" s="2" t="s">
        <v>245</v>
      </c>
    </row>
    <row r="3313">
      <c r="A3313" s="2" t="s">
        <v>10449</v>
      </c>
      <c r="B3313" s="2" t="s">
        <v>9668</v>
      </c>
      <c r="C3313" s="2" t="s">
        <v>5702</v>
      </c>
      <c r="D3313" s="2" t="s">
        <v>9669</v>
      </c>
      <c r="E3313" s="2" t="s">
        <v>9670</v>
      </c>
      <c r="F3313" s="2" t="s">
        <v>10382</v>
      </c>
      <c r="G3313" s="2" t="s">
        <v>10382</v>
      </c>
      <c r="H3313" s="2" t="s">
        <v>10382</v>
      </c>
      <c r="I3313" s="2" t="s">
        <v>10383</v>
      </c>
      <c r="J3313" s="2" t="s">
        <v>817</v>
      </c>
      <c r="K3313" s="2" t="s">
        <v>10444</v>
      </c>
      <c r="L3313" s="3">
        <v>28.68</v>
      </c>
      <c r="M3313" s="3">
        <v>30.11</v>
      </c>
      <c r="N3313" s="3">
        <v>62.99</v>
      </c>
      <c r="O3313" s="2" t="s">
        <v>97</v>
      </c>
      <c r="P3313" s="2" t="s">
        <v>119</v>
      </c>
      <c r="Q3313" s="2" t="s">
        <v>99</v>
      </c>
      <c r="R3313" s="2" t="s">
        <v>100</v>
      </c>
      <c r="S3313" s="2" t="s">
        <v>10445</v>
      </c>
      <c r="T3313" s="2" t="s">
        <v>9675</v>
      </c>
      <c r="U3313" s="2" t="s">
        <v>402</v>
      </c>
      <c r="V3313" s="2" t="s">
        <v>146</v>
      </c>
      <c r="W3313" s="2" t="s">
        <v>183</v>
      </c>
      <c r="X3313" s="2" t="s">
        <v>561</v>
      </c>
      <c r="Y3313" s="2" t="s">
        <v>5205</v>
      </c>
      <c r="Z3313" s="4">
        <v>95</v>
      </c>
      <c r="AA3313" s="4">
        <f>=ROUNDDOWN(23.75,0)</f>
      </c>
      <c r="AB3313" s="5">
        <v>4</v>
      </c>
      <c r="AC3313" s="2" t="s">
        <v>2746</v>
      </c>
      <c r="AD3313" s="4">
        <v>80</v>
      </c>
      <c r="AE3313" s="4">
        <v>80</v>
      </c>
      <c r="AF3313" s="6">
        <v>65</v>
      </c>
      <c r="AG3313" s="6"/>
      <c r="AH3313" s="7">
        <v>0.5936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25</v>
      </c>
      <c r="BK3313" s="8">
        <v>801.52</v>
      </c>
      <c r="BL3313" s="2" t="s">
        <v>10450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207</v>
      </c>
      <c r="BV3313" s="2" t="s">
        <v>97</v>
      </c>
      <c r="BW3313" s="2" t="s">
        <v>100</v>
      </c>
      <c r="BX3313" s="2" t="s">
        <v>100</v>
      </c>
      <c r="BY3313" s="2" t="s">
        <v>113</v>
      </c>
      <c r="BZ3313" s="2" t="s">
        <v>245</v>
      </c>
    </row>
    <row r="3314">
      <c r="A3314" s="2" t="s">
        <v>10451</v>
      </c>
      <c r="B3314" s="2" t="s">
        <v>9668</v>
      </c>
      <c r="C3314" s="2" t="s">
        <v>5702</v>
      </c>
      <c r="D3314" s="2" t="s">
        <v>9669</v>
      </c>
      <c r="E3314" s="2" t="s">
        <v>9670</v>
      </c>
      <c r="F3314" s="2" t="s">
        <v>10382</v>
      </c>
      <c r="G3314" s="2" t="s">
        <v>10382</v>
      </c>
      <c r="H3314" s="2" t="s">
        <v>10382</v>
      </c>
      <c r="I3314" s="2" t="s">
        <v>10383</v>
      </c>
      <c r="J3314" s="2" t="s">
        <v>717</v>
      </c>
      <c r="K3314" s="2" t="s">
        <v>10452</v>
      </c>
      <c r="L3314" s="3">
        <v>22</v>
      </c>
      <c r="M3314" s="3">
        <v>23.1</v>
      </c>
      <c r="N3314" s="3">
        <v>47.99</v>
      </c>
      <c r="O3314" s="2" t="s">
        <v>97</v>
      </c>
      <c r="P3314" s="2" t="s">
        <v>119</v>
      </c>
      <c r="Q3314" s="2" t="s">
        <v>99</v>
      </c>
      <c r="R3314" s="2" t="s">
        <v>100</v>
      </c>
      <c r="S3314" s="2" t="s">
        <v>10453</v>
      </c>
      <c r="T3314" s="2" t="s">
        <v>9675</v>
      </c>
      <c r="U3314" s="2" t="s">
        <v>402</v>
      </c>
      <c r="V3314" s="2" t="s">
        <v>292</v>
      </c>
      <c r="W3314" s="2" t="s">
        <v>183</v>
      </c>
      <c r="X3314" s="2" t="s">
        <v>561</v>
      </c>
      <c r="Y3314" s="2" t="s">
        <v>9981</v>
      </c>
      <c r="Z3314" s="4">
        <v>18</v>
      </c>
      <c r="AA3314" s="4">
        <f>=ROUNDDOWN(1.5,0)</f>
      </c>
      <c r="AB3314" s="5">
        <v>12</v>
      </c>
      <c r="AC3314" s="2" t="s">
        <v>2746</v>
      </c>
      <c r="AD3314" s="4">
        <v>120</v>
      </c>
      <c r="AE3314" s="4">
        <v>514</v>
      </c>
      <c r="AF3314" s="6">
        <v>74</v>
      </c>
      <c r="AG3314" s="6"/>
      <c r="AH3314" s="7">
        <v>0.4064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60</v>
      </c>
      <c r="BK3314" s="8">
        <v>1553.29</v>
      </c>
      <c r="BL3314" s="2" t="s">
        <v>529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207</v>
      </c>
      <c r="BV3314" s="2" t="s">
        <v>97</v>
      </c>
      <c r="BW3314" s="2" t="s">
        <v>100</v>
      </c>
      <c r="BX3314" s="2" t="s">
        <v>100</v>
      </c>
      <c r="BY3314" s="2" t="s">
        <v>113</v>
      </c>
      <c r="BZ3314" s="2" t="s">
        <v>100</v>
      </c>
    </row>
    <row r="3315">
      <c r="A3315" s="2" t="s">
        <v>10454</v>
      </c>
      <c r="B3315" s="2" t="s">
        <v>9668</v>
      </c>
      <c r="C3315" s="2" t="s">
        <v>5702</v>
      </c>
      <c r="D3315" s="2" t="s">
        <v>9669</v>
      </c>
      <c r="E3315" s="2" t="s">
        <v>9670</v>
      </c>
      <c r="F3315" s="2" t="s">
        <v>10382</v>
      </c>
      <c r="G3315" s="2" t="s">
        <v>10382</v>
      </c>
      <c r="H3315" s="2" t="s">
        <v>10382</v>
      </c>
      <c r="I3315" s="2" t="s">
        <v>10383</v>
      </c>
      <c r="J3315" s="2" t="s">
        <v>706</v>
      </c>
      <c r="K3315" s="2" t="s">
        <v>10452</v>
      </c>
      <c r="L3315" s="3">
        <v>25.85</v>
      </c>
      <c r="M3315" s="3">
        <v>27.14</v>
      </c>
      <c r="N3315" s="3">
        <v>55.99</v>
      </c>
      <c r="O3315" s="2" t="s">
        <v>97</v>
      </c>
      <c r="P3315" s="2" t="s">
        <v>119</v>
      </c>
      <c r="Q3315" s="2" t="s">
        <v>99</v>
      </c>
      <c r="R3315" s="2" t="s">
        <v>100</v>
      </c>
      <c r="S3315" s="2" t="s">
        <v>10453</v>
      </c>
      <c r="T3315" s="2" t="s">
        <v>9675</v>
      </c>
      <c r="U3315" s="2" t="s">
        <v>402</v>
      </c>
      <c r="V3315" s="2" t="s">
        <v>292</v>
      </c>
      <c r="W3315" s="2" t="s">
        <v>183</v>
      </c>
      <c r="X3315" s="2" t="s">
        <v>561</v>
      </c>
      <c r="Y3315" s="2" t="s">
        <v>9981</v>
      </c>
      <c r="Z3315" s="4"/>
      <c r="AA3315" s="4">
        <f>=ROUNDDOWN({0},0)</f>
      </c>
      <c r="AB3315" s="5">
        <v>68</v>
      </c>
      <c r="AC3315" s="2" t="s">
        <v>2746</v>
      </c>
      <c r="AD3315" s="4">
        <v>200</v>
      </c>
      <c r="AE3315" s="4">
        <v>2046</v>
      </c>
      <c r="AF3315" s="6">
        <v>74</v>
      </c>
      <c r="AG3315" s="6"/>
      <c r="AH3315" s="7">
        <v>0.1337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42</v>
      </c>
      <c r="BK3315" s="8">
        <v>1260.01</v>
      </c>
      <c r="BL3315" s="2" t="s">
        <v>10455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207</v>
      </c>
      <c r="BV3315" s="2" t="s">
        <v>97</v>
      </c>
      <c r="BW3315" s="2" t="s">
        <v>100</v>
      </c>
      <c r="BX3315" s="2" t="s">
        <v>100</v>
      </c>
      <c r="BY3315" s="2" t="s">
        <v>113</v>
      </c>
      <c r="BZ3315" s="2" t="s">
        <v>100</v>
      </c>
    </row>
    <row r="3316">
      <c r="A3316" s="2" t="s">
        <v>10456</v>
      </c>
      <c r="B3316" s="2" t="s">
        <v>9668</v>
      </c>
      <c r="C3316" s="2" t="s">
        <v>5702</v>
      </c>
      <c r="D3316" s="2" t="s">
        <v>9669</v>
      </c>
      <c r="E3316" s="2" t="s">
        <v>9670</v>
      </c>
      <c r="F3316" s="2" t="s">
        <v>10382</v>
      </c>
      <c r="G3316" s="2" t="s">
        <v>10382</v>
      </c>
      <c r="H3316" s="2" t="s">
        <v>10382</v>
      </c>
      <c r="I3316" s="2" t="s">
        <v>10383</v>
      </c>
      <c r="J3316" s="2" t="s">
        <v>714</v>
      </c>
      <c r="K3316" s="2" t="s">
        <v>10452</v>
      </c>
      <c r="L3316" s="3">
        <v>28.68</v>
      </c>
      <c r="M3316" s="3">
        <v>30.11</v>
      </c>
      <c r="N3316" s="3">
        <v>62.99</v>
      </c>
      <c r="O3316" s="2" t="s">
        <v>97</v>
      </c>
      <c r="P3316" s="2" t="s">
        <v>119</v>
      </c>
      <c r="Q3316" s="2" t="s">
        <v>99</v>
      </c>
      <c r="R3316" s="2" t="s">
        <v>100</v>
      </c>
      <c r="S3316" s="2" t="s">
        <v>10453</v>
      </c>
      <c r="T3316" s="2" t="s">
        <v>9675</v>
      </c>
      <c r="U3316" s="2" t="s">
        <v>402</v>
      </c>
      <c r="V3316" s="2" t="s">
        <v>292</v>
      </c>
      <c r="W3316" s="2" t="s">
        <v>183</v>
      </c>
      <c r="X3316" s="2" t="s">
        <v>561</v>
      </c>
      <c r="Y3316" s="2" t="s">
        <v>9981</v>
      </c>
      <c r="Z3316" s="4"/>
      <c r="AA3316" s="4">
        <f>=ROUNDDOWN({0},0)</f>
      </c>
      <c r="AB3316" s="5">
        <v>20</v>
      </c>
      <c r="AC3316" s="2" t="s">
        <v>2746</v>
      </c>
      <c r="AD3316" s="4">
        <v>60</v>
      </c>
      <c r="AE3316" s="4">
        <v>448</v>
      </c>
      <c r="AF3316" s="6">
        <v>74</v>
      </c>
      <c r="AG3316" s="6"/>
      <c r="AH3316" s="7">
        <v>0.877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>
        <v>172</v>
      </c>
      <c r="BK3316" s="8">
        <v>5637.44</v>
      </c>
      <c r="BL3316" s="2" t="s">
        <v>10157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207</v>
      </c>
      <c r="BV3316" s="2" t="s">
        <v>97</v>
      </c>
      <c r="BW3316" s="2" t="s">
        <v>100</v>
      </c>
      <c r="BX3316" s="2" t="s">
        <v>100</v>
      </c>
      <c r="BY3316" s="2" t="s">
        <v>113</v>
      </c>
      <c r="BZ3316" s="2" t="s">
        <v>100</v>
      </c>
    </row>
    <row r="3317">
      <c r="A3317" s="2" t="s">
        <v>10457</v>
      </c>
      <c r="B3317" s="2" t="s">
        <v>9668</v>
      </c>
      <c r="C3317" s="2" t="s">
        <v>5702</v>
      </c>
      <c r="D3317" s="2" t="s">
        <v>9669</v>
      </c>
      <c r="E3317" s="2" t="s">
        <v>9670</v>
      </c>
      <c r="F3317" s="2" t="s">
        <v>10382</v>
      </c>
      <c r="G3317" s="2" t="s">
        <v>10382</v>
      </c>
      <c r="H3317" s="2" t="s">
        <v>10382</v>
      </c>
      <c r="I3317" s="2" t="s">
        <v>10383</v>
      </c>
      <c r="J3317" s="2" t="s">
        <v>817</v>
      </c>
      <c r="K3317" s="2" t="s">
        <v>10452</v>
      </c>
      <c r="L3317" s="3">
        <v>28.68</v>
      </c>
      <c r="M3317" s="3">
        <v>30.11</v>
      </c>
      <c r="N3317" s="3">
        <v>62.99</v>
      </c>
      <c r="O3317" s="2" t="s">
        <v>97</v>
      </c>
      <c r="P3317" s="2" t="s">
        <v>119</v>
      </c>
      <c r="Q3317" s="2" t="s">
        <v>99</v>
      </c>
      <c r="R3317" s="2" t="s">
        <v>100</v>
      </c>
      <c r="S3317" s="2" t="s">
        <v>10453</v>
      </c>
      <c r="T3317" s="2" t="s">
        <v>9675</v>
      </c>
      <c r="U3317" s="2" t="s">
        <v>402</v>
      </c>
      <c r="V3317" s="2" t="s">
        <v>292</v>
      </c>
      <c r="W3317" s="2" t="s">
        <v>183</v>
      </c>
      <c r="X3317" s="2" t="s">
        <v>561</v>
      </c>
      <c r="Y3317" s="2" t="s">
        <v>9981</v>
      </c>
      <c r="Z3317" s="4">
        <v>7</v>
      </c>
      <c r="AA3317" s="4">
        <f>=ROUNDDOWN(0.583333333333333,0)</f>
      </c>
      <c r="AB3317" s="5">
        <v>12</v>
      </c>
      <c r="AC3317" s="2" t="s">
        <v>2746</v>
      </c>
      <c r="AD3317" s="4">
        <v>60</v>
      </c>
      <c r="AE3317" s="4">
        <v>270</v>
      </c>
      <c r="AF3317" s="6">
        <v>74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108</v>
      </c>
      <c r="BK3317" s="8">
        <v>3587.04</v>
      </c>
      <c r="BL3317" s="2" t="s">
        <v>736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207</v>
      </c>
      <c r="BV3317" s="2" t="s">
        <v>97</v>
      </c>
      <c r="BW3317" s="2" t="s">
        <v>100</v>
      </c>
      <c r="BX3317" s="2" t="s">
        <v>100</v>
      </c>
      <c r="BY3317" s="2" t="s">
        <v>113</v>
      </c>
      <c r="BZ3317" s="2" t="s">
        <v>100</v>
      </c>
    </row>
    <row r="3318">
      <c r="A3318" s="2" t="s">
        <v>10458</v>
      </c>
      <c r="B3318" s="2" t="s">
        <v>9668</v>
      </c>
      <c r="C3318" s="2" t="s">
        <v>88</v>
      </c>
      <c r="D3318" s="2" t="s">
        <v>9669</v>
      </c>
      <c r="E3318" s="2" t="s">
        <v>9670</v>
      </c>
      <c r="F3318" s="2" t="s">
        <v>10459</v>
      </c>
      <c r="G3318" s="2" t="s">
        <v>10459</v>
      </c>
      <c r="H3318" s="2" t="s">
        <v>10459</v>
      </c>
      <c r="I3318" s="2" t="s">
        <v>10460</v>
      </c>
      <c r="J3318" s="2" t="s">
        <v>706</v>
      </c>
      <c r="K3318" s="2" t="s">
        <v>96</v>
      </c>
      <c r="L3318" s="3">
        <v>32.9</v>
      </c>
      <c r="M3318" s="3">
        <v>34.54</v>
      </c>
      <c r="N3318" s="3">
        <v>69.99</v>
      </c>
      <c r="O3318" s="2" t="s">
        <v>97</v>
      </c>
      <c r="P3318" s="2" t="s">
        <v>119</v>
      </c>
      <c r="Q3318" s="2" t="s">
        <v>99</v>
      </c>
      <c r="R3318" s="2" t="s">
        <v>100</v>
      </c>
      <c r="S3318" s="2" t="s">
        <v>10461</v>
      </c>
      <c r="T3318" s="2" t="s">
        <v>4972</v>
      </c>
      <c r="U3318" s="2" t="s">
        <v>102</v>
      </c>
      <c r="V3318" s="2" t="s">
        <v>146</v>
      </c>
      <c r="W3318" s="2" t="s">
        <v>183</v>
      </c>
      <c r="X3318" s="2" t="s">
        <v>100</v>
      </c>
      <c r="Y3318" s="2" t="s">
        <v>800</v>
      </c>
      <c r="Z3318" s="4">
        <v>280</v>
      </c>
      <c r="AA3318" s="4">
        <f>=ROUNDDOWN(17.5,0)</f>
      </c>
      <c r="AB3318" s="5">
        <v>16</v>
      </c>
      <c r="AC3318" s="2" t="s">
        <v>356</v>
      </c>
      <c r="AD3318" s="4">
        <v>76</v>
      </c>
      <c r="AE3318" s="4">
        <v>532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>
        <v>19</v>
      </c>
      <c r="AQ3318" s="8">
        <v>646.38</v>
      </c>
      <c r="AR3318" s="4"/>
      <c r="AS3318" s="8"/>
      <c r="AT3318" s="7"/>
      <c r="AU3318" s="7"/>
      <c r="AV3318" s="4">
        <v>30</v>
      </c>
      <c r="AW3318" s="8">
        <v>1082.97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>
        <v>0.5969</v>
      </c>
      <c r="BC3318" s="4">
        <v>114</v>
      </c>
      <c r="BD3318" s="8">
        <v>4155.27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0.2606</v>
      </c>
      <c r="BJ3318" s="4">
        <v>449</v>
      </c>
      <c r="BK3318" s="8">
        <v>15703.13</v>
      </c>
      <c r="BL3318" s="2" t="s">
        <v>10462</v>
      </c>
      <c r="BM3318" s="7">
        <v>0.0423</v>
      </c>
      <c r="BN3318" s="7">
        <v>0.0412</v>
      </c>
      <c r="BO3318" s="4">
        <v>19</v>
      </c>
      <c r="BP3318" s="8">
        <v>646.38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964</v>
      </c>
      <c r="BX3318" s="2" t="s">
        <v>472</v>
      </c>
      <c r="BY3318" s="2" t="s">
        <v>113</v>
      </c>
      <c r="BZ3318" s="2" t="s">
        <v>100</v>
      </c>
    </row>
    <row r="3319">
      <c r="A3319" s="2" t="s">
        <v>10463</v>
      </c>
      <c r="B3319" s="2" t="s">
        <v>9668</v>
      </c>
      <c r="C3319" s="2" t="s">
        <v>88</v>
      </c>
      <c r="D3319" s="2" t="s">
        <v>9669</v>
      </c>
      <c r="E3319" s="2" t="s">
        <v>9670</v>
      </c>
      <c r="F3319" s="2" t="s">
        <v>10459</v>
      </c>
      <c r="G3319" s="2" t="s">
        <v>10459</v>
      </c>
      <c r="H3319" s="2" t="s">
        <v>10459</v>
      </c>
      <c r="I3319" s="2" t="s">
        <v>10460</v>
      </c>
      <c r="J3319" s="2" t="s">
        <v>714</v>
      </c>
      <c r="K3319" s="2" t="s">
        <v>96</v>
      </c>
      <c r="L3319" s="3">
        <v>39.84</v>
      </c>
      <c r="M3319" s="3">
        <v>41.83</v>
      </c>
      <c r="N3319" s="3">
        <v>82.99</v>
      </c>
      <c r="O3319" s="2" t="s">
        <v>97</v>
      </c>
      <c r="P3319" s="2" t="s">
        <v>119</v>
      </c>
      <c r="Q3319" s="2" t="s">
        <v>99</v>
      </c>
      <c r="R3319" s="2" t="s">
        <v>100</v>
      </c>
      <c r="S3319" s="2" t="s">
        <v>10461</v>
      </c>
      <c r="T3319" s="2" t="s">
        <v>4972</v>
      </c>
      <c r="U3319" s="2" t="s">
        <v>102</v>
      </c>
      <c r="V3319" s="2" t="s">
        <v>146</v>
      </c>
      <c r="W3319" s="2" t="s">
        <v>183</v>
      </c>
      <c r="X3319" s="2" t="s">
        <v>100</v>
      </c>
      <c r="Y3319" s="2" t="s">
        <v>800</v>
      </c>
      <c r="Z3319" s="4">
        <v>380</v>
      </c>
      <c r="AA3319" s="4">
        <f>=ROUNDDOWN(42.2222222222222,0)</f>
      </c>
      <c r="AB3319" s="5">
        <v>9</v>
      </c>
      <c r="AC3319" s="2" t="s">
        <v>821</v>
      </c>
      <c r="AD3319" s="4">
        <v>114</v>
      </c>
      <c r="AE3319" s="4">
        <v>215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>
        <v>10</v>
      </c>
      <c r="AQ3319" s="8">
        <v>396.9</v>
      </c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>
        <v>0.3665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 t="s">
        <v>100</v>
      </c>
      <c r="BJ3319" s="4">
        <v>235</v>
      </c>
      <c r="BK3319" s="8">
        <v>10057.62</v>
      </c>
      <c r="BL3319" s="2" t="s">
        <v>10464</v>
      </c>
      <c r="BM3319" s="7">
        <v>0.0426</v>
      </c>
      <c r="BN3319" s="7">
        <v>0.0395</v>
      </c>
      <c r="BO3319" s="4">
        <v>10</v>
      </c>
      <c r="BP3319" s="8">
        <v>396.9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964</v>
      </c>
      <c r="BX3319" s="2" t="s">
        <v>5700</v>
      </c>
      <c r="BY3319" s="2" t="s">
        <v>113</v>
      </c>
      <c r="BZ3319" s="2" t="s">
        <v>100</v>
      </c>
    </row>
    <row r="3320">
      <c r="A3320" s="2" t="s">
        <v>10465</v>
      </c>
      <c r="B3320" s="2" t="s">
        <v>9668</v>
      </c>
      <c r="C3320" s="2" t="s">
        <v>88</v>
      </c>
      <c r="D3320" s="2" t="s">
        <v>9669</v>
      </c>
      <c r="E3320" s="2" t="s">
        <v>9670</v>
      </c>
      <c r="F3320" s="2" t="s">
        <v>10459</v>
      </c>
      <c r="G3320" s="2" t="s">
        <v>10459</v>
      </c>
      <c r="H3320" s="2" t="s">
        <v>10459</v>
      </c>
      <c r="I3320" s="2" t="s">
        <v>10460</v>
      </c>
      <c r="J3320" s="2" t="s">
        <v>817</v>
      </c>
      <c r="K3320" s="2" t="s">
        <v>96</v>
      </c>
      <c r="L3320" s="3">
        <v>39.84</v>
      </c>
      <c r="M3320" s="3">
        <v>41.83</v>
      </c>
      <c r="N3320" s="3">
        <v>82.99</v>
      </c>
      <c r="O3320" s="2" t="s">
        <v>97</v>
      </c>
      <c r="P3320" s="2" t="s">
        <v>119</v>
      </c>
      <c r="Q3320" s="2" t="s">
        <v>99</v>
      </c>
      <c r="R3320" s="2" t="s">
        <v>100</v>
      </c>
      <c r="S3320" s="2" t="s">
        <v>10461</v>
      </c>
      <c r="T3320" s="2" t="s">
        <v>4972</v>
      </c>
      <c r="U3320" s="2" t="s">
        <v>102</v>
      </c>
      <c r="V3320" s="2" t="s">
        <v>146</v>
      </c>
      <c r="W3320" s="2" t="s">
        <v>183</v>
      </c>
      <c r="X3320" s="2" t="s">
        <v>100</v>
      </c>
      <c r="Y3320" s="2" t="s">
        <v>800</v>
      </c>
      <c r="Z3320" s="4">
        <v>113</v>
      </c>
      <c r="AA3320" s="4">
        <f>=ROUNDDOWN(28.25,0)</f>
      </c>
      <c r="AB3320" s="5">
        <v>4</v>
      </c>
      <c r="AC3320" s="2" t="s">
        <v>821</v>
      </c>
      <c r="AD3320" s="4">
        <v>12</v>
      </c>
      <c r="AE3320" s="4">
        <v>41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>
        <v>1</v>
      </c>
      <c r="AQ3320" s="8">
        <v>39.69</v>
      </c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>
        <v>0.0366</v>
      </c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 t="s">
        <v>100</v>
      </c>
      <c r="BJ3320" s="4">
        <v>74</v>
      </c>
      <c r="BK3320" s="8">
        <v>3171.43</v>
      </c>
      <c r="BL3320" s="2" t="s">
        <v>10466</v>
      </c>
      <c r="BM3320" s="7">
        <v>0.0135</v>
      </c>
      <c r="BN3320" s="7">
        <v>0.0125</v>
      </c>
      <c r="BO3320" s="4">
        <v>1</v>
      </c>
      <c r="BP3320" s="8">
        <v>39.69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964</v>
      </c>
      <c r="BX3320" s="2" t="s">
        <v>2261</v>
      </c>
      <c r="BY3320" s="2" t="s">
        <v>113</v>
      </c>
      <c r="BZ3320" s="2" t="s">
        <v>100</v>
      </c>
    </row>
    <row r="3321">
      <c r="A3321" s="2" t="s">
        <v>10467</v>
      </c>
      <c r="B3321" s="2" t="s">
        <v>9668</v>
      </c>
      <c r="C3321" s="2" t="s">
        <v>88</v>
      </c>
      <c r="D3321" s="2" t="s">
        <v>9669</v>
      </c>
      <c r="E3321" s="2" t="s">
        <v>9670</v>
      </c>
      <c r="F3321" s="2" t="s">
        <v>10459</v>
      </c>
      <c r="G3321" s="2" t="s">
        <v>10459</v>
      </c>
      <c r="H3321" s="2" t="s">
        <v>10459</v>
      </c>
      <c r="I3321" s="2" t="s">
        <v>10460</v>
      </c>
      <c r="J3321" s="2" t="s">
        <v>706</v>
      </c>
      <c r="K3321" s="2" t="s">
        <v>878</v>
      </c>
      <c r="L3321" s="3">
        <v>32.9</v>
      </c>
      <c r="M3321" s="3">
        <v>34.54</v>
      </c>
      <c r="N3321" s="3">
        <v>69.99</v>
      </c>
      <c r="O3321" s="2" t="s">
        <v>97</v>
      </c>
      <c r="P3321" s="2" t="s">
        <v>119</v>
      </c>
      <c r="Q3321" s="2" t="s">
        <v>99</v>
      </c>
      <c r="R3321" s="2" t="s">
        <v>100</v>
      </c>
      <c r="S3321" s="2" t="s">
        <v>10468</v>
      </c>
      <c r="T3321" s="2" t="s">
        <v>4972</v>
      </c>
      <c r="U3321" s="2" t="s">
        <v>102</v>
      </c>
      <c r="V3321" s="2" t="s">
        <v>146</v>
      </c>
      <c r="W3321" s="2" t="s">
        <v>183</v>
      </c>
      <c r="X3321" s="2" t="s">
        <v>100</v>
      </c>
      <c r="Y3321" s="2" t="s">
        <v>800</v>
      </c>
      <c r="Z3321" s="4">
        <v>592</v>
      </c>
      <c r="AA3321" s="4">
        <f>=ROUNDDOWN(29.6,0)</f>
      </c>
      <c r="AB3321" s="5">
        <v>20</v>
      </c>
      <c r="AC3321" s="2" t="s">
        <v>821</v>
      </c>
      <c r="AD3321" s="4">
        <v>154</v>
      </c>
      <c r="AE3321" s="4">
        <v>342</v>
      </c>
      <c r="AF3321" s="6">
        <v>65</v>
      </c>
      <c r="AG3321" s="6"/>
      <c r="AH3321" s="7">
        <v>0.9733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>
        <v>9</v>
      </c>
      <c r="AQ3321" s="8">
        <v>306.18</v>
      </c>
      <c r="AR3321" s="4"/>
      <c r="AS3321" s="8"/>
      <c r="AT3321" s="7"/>
      <c r="AU3321" s="7"/>
      <c r="AV3321" s="4">
        <v>19</v>
      </c>
      <c r="AW3321" s="8">
        <v>714.63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>
        <v>0.4284</v>
      </c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0.172</v>
      </c>
      <c r="BJ3321" s="4">
        <v>548</v>
      </c>
      <c r="BK3321" s="8">
        <v>19149.42</v>
      </c>
      <c r="BL3321" s="2" t="s">
        <v>10462</v>
      </c>
      <c r="BM3321" s="7">
        <v>0.0164</v>
      </c>
      <c r="BN3321" s="7">
        <v>0.016</v>
      </c>
      <c r="BO3321" s="4">
        <v>9</v>
      </c>
      <c r="BP3321" s="8">
        <v>306.18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964</v>
      </c>
      <c r="BX3321" s="2" t="s">
        <v>952</v>
      </c>
      <c r="BY3321" s="2" t="s">
        <v>113</v>
      </c>
      <c r="BZ3321" s="2" t="s">
        <v>100</v>
      </c>
    </row>
    <row r="3322">
      <c r="A3322" s="2" t="s">
        <v>10469</v>
      </c>
      <c r="B3322" s="2" t="s">
        <v>9668</v>
      </c>
      <c r="C3322" s="2" t="s">
        <v>88</v>
      </c>
      <c r="D3322" s="2" t="s">
        <v>9669</v>
      </c>
      <c r="E3322" s="2" t="s">
        <v>9670</v>
      </c>
      <c r="F3322" s="2" t="s">
        <v>10459</v>
      </c>
      <c r="G3322" s="2" t="s">
        <v>10459</v>
      </c>
      <c r="H3322" s="2" t="s">
        <v>10459</v>
      </c>
      <c r="I3322" s="2" t="s">
        <v>10460</v>
      </c>
      <c r="J3322" s="2" t="s">
        <v>714</v>
      </c>
      <c r="K3322" s="2" t="s">
        <v>878</v>
      </c>
      <c r="L3322" s="3">
        <v>39.84</v>
      </c>
      <c r="M3322" s="3">
        <v>41.83</v>
      </c>
      <c r="N3322" s="3">
        <v>82.99</v>
      </c>
      <c r="O3322" s="2" t="s">
        <v>97</v>
      </c>
      <c r="P3322" s="2" t="s">
        <v>119</v>
      </c>
      <c r="Q3322" s="2" t="s">
        <v>99</v>
      </c>
      <c r="R3322" s="2" t="s">
        <v>100</v>
      </c>
      <c r="S3322" s="2" t="s">
        <v>10468</v>
      </c>
      <c r="T3322" s="2" t="s">
        <v>4972</v>
      </c>
      <c r="U3322" s="2" t="s">
        <v>102</v>
      </c>
      <c r="V3322" s="2" t="s">
        <v>146</v>
      </c>
      <c r="W3322" s="2" t="s">
        <v>183</v>
      </c>
      <c r="X3322" s="2" t="s">
        <v>100</v>
      </c>
      <c r="Y3322" s="2" t="s">
        <v>800</v>
      </c>
      <c r="Z3322" s="4">
        <v>194</v>
      </c>
      <c r="AA3322" s="4">
        <f>=ROUNDDOWN(19.4,0)</f>
      </c>
      <c r="AB3322" s="5">
        <v>10</v>
      </c>
      <c r="AC3322" s="2" t="s">
        <v>9084</v>
      </c>
      <c r="AD3322" s="4">
        <v>100</v>
      </c>
      <c r="AE3322" s="4">
        <v>323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>
        <v>5</v>
      </c>
      <c r="AQ3322" s="8">
        <v>198.45</v>
      </c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>
        <v>0.2777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 t="s">
        <v>100</v>
      </c>
      <c r="BJ3322" s="4">
        <v>259</v>
      </c>
      <c r="BK3322" s="8">
        <v>11312.96</v>
      </c>
      <c r="BL3322" s="2" t="s">
        <v>10464</v>
      </c>
      <c r="BM3322" s="7">
        <v>0.0193</v>
      </c>
      <c r="BN3322" s="7">
        <v>0.0175</v>
      </c>
      <c r="BO3322" s="4">
        <v>5</v>
      </c>
      <c r="BP3322" s="8">
        <v>198.45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964</v>
      </c>
      <c r="BX3322" s="2" t="s">
        <v>1883</v>
      </c>
      <c r="BY3322" s="2" t="s">
        <v>113</v>
      </c>
      <c r="BZ3322" s="2" t="s">
        <v>100</v>
      </c>
    </row>
    <row r="3323">
      <c r="A3323" s="2" t="s">
        <v>10470</v>
      </c>
      <c r="B3323" s="2" t="s">
        <v>9668</v>
      </c>
      <c r="C3323" s="2" t="s">
        <v>88</v>
      </c>
      <c r="D3323" s="2" t="s">
        <v>9669</v>
      </c>
      <c r="E3323" s="2" t="s">
        <v>9670</v>
      </c>
      <c r="F3323" s="2" t="s">
        <v>10459</v>
      </c>
      <c r="G3323" s="2" t="s">
        <v>10459</v>
      </c>
      <c r="H3323" s="2" t="s">
        <v>10459</v>
      </c>
      <c r="I3323" s="2" t="s">
        <v>10460</v>
      </c>
      <c r="J3323" s="2" t="s">
        <v>817</v>
      </c>
      <c r="K3323" s="2" t="s">
        <v>878</v>
      </c>
      <c r="L3323" s="3">
        <v>39.84</v>
      </c>
      <c r="M3323" s="3">
        <v>41.83</v>
      </c>
      <c r="N3323" s="3">
        <v>82.99</v>
      </c>
      <c r="O3323" s="2" t="s">
        <v>97</v>
      </c>
      <c r="P3323" s="2" t="s">
        <v>119</v>
      </c>
      <c r="Q3323" s="2" t="s">
        <v>99</v>
      </c>
      <c r="R3323" s="2" t="s">
        <v>100</v>
      </c>
      <c r="S3323" s="2" t="s">
        <v>10468</v>
      </c>
      <c r="T3323" s="2" t="s">
        <v>4972</v>
      </c>
      <c r="U3323" s="2" t="s">
        <v>102</v>
      </c>
      <c r="V3323" s="2" t="s">
        <v>146</v>
      </c>
      <c r="W3323" s="2" t="s">
        <v>183</v>
      </c>
      <c r="X3323" s="2" t="s">
        <v>100</v>
      </c>
      <c r="Y3323" s="2" t="s">
        <v>800</v>
      </c>
      <c r="Z3323" s="4">
        <v>30</v>
      </c>
      <c r="AA3323" s="4">
        <f>=ROUNDDOWN(10,0)</f>
      </c>
      <c r="AB3323" s="5">
        <v>3</v>
      </c>
      <c r="AC3323" s="2" t="s">
        <v>9084</v>
      </c>
      <c r="AD3323" s="4">
        <v>107</v>
      </c>
      <c r="AE3323" s="4">
        <v>145</v>
      </c>
      <c r="AF3323" s="6">
        <v>65</v>
      </c>
      <c r="AG3323" s="6"/>
      <c r="AH3323" s="7">
        <v>0.7273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 t="s">
        <v>100</v>
      </c>
      <c r="BJ3323" s="4">
        <v>64</v>
      </c>
      <c r="BK3323" s="8">
        <v>2836.37</v>
      </c>
      <c r="BL3323" s="2" t="s">
        <v>4787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964</v>
      </c>
      <c r="BX3323" s="2" t="s">
        <v>1840</v>
      </c>
      <c r="BY3323" s="2" t="s">
        <v>113</v>
      </c>
      <c r="BZ3323" s="2" t="s">
        <v>100</v>
      </c>
    </row>
    <row r="3324">
      <c r="A3324" s="2" t="s">
        <v>10471</v>
      </c>
      <c r="B3324" s="2" t="s">
        <v>9668</v>
      </c>
      <c r="C3324" s="2" t="s">
        <v>88</v>
      </c>
      <c r="D3324" s="2" t="s">
        <v>9669</v>
      </c>
      <c r="E3324" s="2" t="s">
        <v>9670</v>
      </c>
      <c r="F3324" s="2" t="s">
        <v>10459</v>
      </c>
      <c r="G3324" s="2" t="s">
        <v>10459</v>
      </c>
      <c r="H3324" s="2" t="s">
        <v>10459</v>
      </c>
      <c r="I3324" s="2" t="s">
        <v>10460</v>
      </c>
      <c r="J3324" s="2" t="s">
        <v>10472</v>
      </c>
      <c r="K3324" s="2" t="s">
        <v>878</v>
      </c>
      <c r="L3324" s="3">
        <v>43.2</v>
      </c>
      <c r="M3324" s="3">
        <v>45.36</v>
      </c>
      <c r="N3324" s="3">
        <v>89.99</v>
      </c>
      <c r="O3324" s="2" t="s">
        <v>97</v>
      </c>
      <c r="P3324" s="2" t="s">
        <v>119</v>
      </c>
      <c r="Q3324" s="2" t="s">
        <v>99</v>
      </c>
      <c r="R3324" s="2" t="s">
        <v>100</v>
      </c>
      <c r="S3324" s="2" t="s">
        <v>10473</v>
      </c>
      <c r="T3324" s="2" t="s">
        <v>4972</v>
      </c>
      <c r="U3324" s="2" t="s">
        <v>337</v>
      </c>
      <c r="V3324" s="2" t="s">
        <v>146</v>
      </c>
      <c r="W3324" s="2" t="s">
        <v>183</v>
      </c>
      <c r="X3324" s="2" t="s">
        <v>183</v>
      </c>
      <c r="Y3324" s="2" t="s">
        <v>10474</v>
      </c>
      <c r="Z3324" s="4">
        <v>6</v>
      </c>
      <c r="AA3324" s="4">
        <f>=ROUNDDOWN(1,0)</f>
      </c>
      <c r="AB3324" s="5">
        <v>6</v>
      </c>
      <c r="AC3324" s="2" t="s">
        <v>9084</v>
      </c>
      <c r="AD3324" s="4">
        <v>149</v>
      </c>
      <c r="AE3324" s="4">
        <v>351</v>
      </c>
      <c r="AF3324" s="6">
        <v>65</v>
      </c>
      <c r="AG3324" s="6"/>
      <c r="AH3324" s="7">
        <v>0.9733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>
        <v>5</v>
      </c>
      <c r="AQ3324" s="8">
        <v>210</v>
      </c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>
        <v>0.2939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 t="s">
        <v>100</v>
      </c>
      <c r="BJ3324" s="4">
        <v>175</v>
      </c>
      <c r="BK3324" s="8">
        <v>8287.22</v>
      </c>
      <c r="BL3324" s="2" t="s">
        <v>10475</v>
      </c>
      <c r="BM3324" s="7">
        <v>0.0286</v>
      </c>
      <c r="BN3324" s="7">
        <v>0.0253</v>
      </c>
      <c r="BO3324" s="4">
        <v>5</v>
      </c>
      <c r="BP3324" s="8">
        <v>210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5233</v>
      </c>
      <c r="BX3324" s="2" t="s">
        <v>5519</v>
      </c>
      <c r="BY3324" s="2" t="s">
        <v>113</v>
      </c>
      <c r="BZ3324" s="2" t="s">
        <v>100</v>
      </c>
    </row>
    <row r="3325">
      <c r="A3325" s="2" t="s">
        <v>10476</v>
      </c>
      <c r="B3325" s="2" t="s">
        <v>9668</v>
      </c>
      <c r="C3325" s="2" t="s">
        <v>88</v>
      </c>
      <c r="D3325" s="2" t="s">
        <v>9669</v>
      </c>
      <c r="E3325" s="2" t="s">
        <v>9670</v>
      </c>
      <c r="F3325" s="2" t="s">
        <v>10459</v>
      </c>
      <c r="G3325" s="2" t="s">
        <v>10459</v>
      </c>
      <c r="H3325" s="2" t="s">
        <v>10459</v>
      </c>
      <c r="I3325" s="2" t="s">
        <v>10460</v>
      </c>
      <c r="J3325" s="2" t="s">
        <v>706</v>
      </c>
      <c r="K3325" s="2" t="s">
        <v>578</v>
      </c>
      <c r="L3325" s="3">
        <v>32.9</v>
      </c>
      <c r="M3325" s="3">
        <v>34.54</v>
      </c>
      <c r="N3325" s="3">
        <v>69.99</v>
      </c>
      <c r="O3325" s="2" t="s">
        <v>97</v>
      </c>
      <c r="P3325" s="2" t="s">
        <v>119</v>
      </c>
      <c r="Q3325" s="2" t="s">
        <v>99</v>
      </c>
      <c r="R3325" s="2" t="s">
        <v>100</v>
      </c>
      <c r="S3325" s="2" t="s">
        <v>10477</v>
      </c>
      <c r="T3325" s="2" t="s">
        <v>4972</v>
      </c>
      <c r="U3325" s="2" t="s">
        <v>102</v>
      </c>
      <c r="V3325" s="2" t="s">
        <v>146</v>
      </c>
      <c r="W3325" s="2" t="s">
        <v>183</v>
      </c>
      <c r="X3325" s="2" t="s">
        <v>100</v>
      </c>
      <c r="Y3325" s="2" t="s">
        <v>800</v>
      </c>
      <c r="Z3325" s="4">
        <v>446</v>
      </c>
      <c r="AA3325" s="4">
        <f>=ROUNDDOWN(29.7333333333333,0)</f>
      </c>
      <c r="AB3325" s="5">
        <v>15</v>
      </c>
      <c r="AC3325" s="2" t="s">
        <v>100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>
        <v>15</v>
      </c>
      <c r="AQ3325" s="8">
        <v>510.3</v>
      </c>
      <c r="AR3325" s="4"/>
      <c r="AS3325" s="8"/>
      <c r="AT3325" s="7"/>
      <c r="AU3325" s="7"/>
      <c r="AV3325" s="4">
        <v>16</v>
      </c>
      <c r="AW3325" s="8">
        <v>549.99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0.9278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0.1324</v>
      </c>
      <c r="BJ3325" s="4">
        <v>388</v>
      </c>
      <c r="BK3325" s="8">
        <v>13589.38</v>
      </c>
      <c r="BL3325" s="2" t="s">
        <v>10464</v>
      </c>
      <c r="BM3325" s="7">
        <v>0.0387</v>
      </c>
      <c r="BN3325" s="7">
        <v>0.0376</v>
      </c>
      <c r="BO3325" s="4">
        <v>15</v>
      </c>
      <c r="BP3325" s="8">
        <v>510.3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964</v>
      </c>
      <c r="BX3325" s="2" t="s">
        <v>967</v>
      </c>
      <c r="BY3325" s="2" t="s">
        <v>113</v>
      </c>
      <c r="BZ3325" s="2" t="s">
        <v>100</v>
      </c>
    </row>
    <row r="3326">
      <c r="A3326" s="2" t="s">
        <v>10478</v>
      </c>
      <c r="B3326" s="2" t="s">
        <v>9668</v>
      </c>
      <c r="C3326" s="2" t="s">
        <v>88</v>
      </c>
      <c r="D3326" s="2" t="s">
        <v>9669</v>
      </c>
      <c r="E3326" s="2" t="s">
        <v>9670</v>
      </c>
      <c r="F3326" s="2" t="s">
        <v>10459</v>
      </c>
      <c r="G3326" s="2" t="s">
        <v>10459</v>
      </c>
      <c r="H3326" s="2" t="s">
        <v>10459</v>
      </c>
      <c r="I3326" s="2" t="s">
        <v>10460</v>
      </c>
      <c r="J3326" s="2" t="s">
        <v>817</v>
      </c>
      <c r="K3326" s="2" t="s">
        <v>578</v>
      </c>
      <c r="L3326" s="3">
        <v>39.84</v>
      </c>
      <c r="M3326" s="3">
        <v>41.83</v>
      </c>
      <c r="N3326" s="3">
        <v>82.99</v>
      </c>
      <c r="O3326" s="2" t="s">
        <v>97</v>
      </c>
      <c r="P3326" s="2" t="s">
        <v>119</v>
      </c>
      <c r="Q3326" s="2" t="s">
        <v>99</v>
      </c>
      <c r="R3326" s="2" t="s">
        <v>100</v>
      </c>
      <c r="S3326" s="2" t="s">
        <v>10477</v>
      </c>
      <c r="T3326" s="2" t="s">
        <v>4972</v>
      </c>
      <c r="U3326" s="2" t="s">
        <v>102</v>
      </c>
      <c r="V3326" s="2" t="s">
        <v>146</v>
      </c>
      <c r="W3326" s="2" t="s">
        <v>183</v>
      </c>
      <c r="X3326" s="2" t="s">
        <v>100</v>
      </c>
      <c r="Y3326" s="2" t="s">
        <v>800</v>
      </c>
      <c r="Z3326" s="4">
        <v>145</v>
      </c>
      <c r="AA3326" s="4">
        <f>=ROUNDDOWN(48.3333333333333,0)</f>
      </c>
      <c r="AB3326" s="5">
        <v>3</v>
      </c>
      <c r="AC3326" s="2" t="s">
        <v>100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>
        <v>1</v>
      </c>
      <c r="AQ3326" s="8">
        <v>39.69</v>
      </c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>
        <v>0.0722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98</v>
      </c>
      <c r="BK3326" s="8">
        <v>4228.99</v>
      </c>
      <c r="BL3326" s="2" t="s">
        <v>2033</v>
      </c>
      <c r="BM3326" s="7">
        <v>0.0102</v>
      </c>
      <c r="BN3326" s="7">
        <v>0.0094</v>
      </c>
      <c r="BO3326" s="4">
        <v>1</v>
      </c>
      <c r="BP3326" s="8">
        <v>39.69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964</v>
      </c>
      <c r="BX3326" s="2" t="s">
        <v>5847</v>
      </c>
      <c r="BY3326" s="2" t="s">
        <v>113</v>
      </c>
      <c r="BZ3326" s="2" t="s">
        <v>100</v>
      </c>
    </row>
    <row r="3327">
      <c r="A3327" s="2" t="s">
        <v>10479</v>
      </c>
      <c r="B3327" s="2" t="s">
        <v>9668</v>
      </c>
      <c r="C3327" s="2" t="s">
        <v>88</v>
      </c>
      <c r="D3327" s="2" t="s">
        <v>9669</v>
      </c>
      <c r="E3327" s="2" t="s">
        <v>9670</v>
      </c>
      <c r="F3327" s="2" t="s">
        <v>10459</v>
      </c>
      <c r="G3327" s="2" t="s">
        <v>10459</v>
      </c>
      <c r="H3327" s="2" t="s">
        <v>10459</v>
      </c>
      <c r="I3327" s="2" t="s">
        <v>10460</v>
      </c>
      <c r="J3327" s="2" t="s">
        <v>706</v>
      </c>
      <c r="K3327" s="2" t="s">
        <v>144</v>
      </c>
      <c r="L3327" s="3">
        <v>32.9</v>
      </c>
      <c r="M3327" s="3">
        <v>34.54</v>
      </c>
      <c r="N3327" s="3">
        <v>69.99</v>
      </c>
      <c r="O3327" s="2" t="s">
        <v>97</v>
      </c>
      <c r="P3327" s="2" t="s">
        <v>950</v>
      </c>
      <c r="Q3327" s="2" t="s">
        <v>99</v>
      </c>
      <c r="R3327" s="2" t="s">
        <v>100</v>
      </c>
      <c r="S3327" s="2" t="s">
        <v>10480</v>
      </c>
      <c r="T3327" s="2" t="s">
        <v>4972</v>
      </c>
      <c r="U3327" s="2" t="s">
        <v>102</v>
      </c>
      <c r="V3327" s="2" t="s">
        <v>146</v>
      </c>
      <c r="W3327" s="2" t="s">
        <v>183</v>
      </c>
      <c r="X3327" s="2" t="s">
        <v>100</v>
      </c>
      <c r="Y3327" s="2" t="s">
        <v>173</v>
      </c>
      <c r="Z3327" s="4">
        <v>500</v>
      </c>
      <c r="AA3327" s="4">
        <f>=ROUNDDOWN(21.7391304347826,0)</f>
      </c>
      <c r="AB3327" s="5">
        <v>23</v>
      </c>
      <c r="AC3327" s="2" t="s">
        <v>821</v>
      </c>
      <c r="AD3327" s="4">
        <v>311</v>
      </c>
      <c r="AE3327" s="4">
        <v>327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>
        <v>10</v>
      </c>
      <c r="AQ3327" s="8">
        <v>340.2</v>
      </c>
      <c r="AR3327" s="4"/>
      <c r="AS3327" s="8"/>
      <c r="AT3327" s="7"/>
      <c r="AU3327" s="7"/>
      <c r="AV3327" s="4">
        <v>12</v>
      </c>
      <c r="AW3327" s="8">
        <v>430.92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>
        <v>0.7895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0.1037</v>
      </c>
      <c r="BJ3327" s="4">
        <v>586</v>
      </c>
      <c r="BK3327" s="8">
        <v>20259.46</v>
      </c>
      <c r="BL3327" s="2" t="s">
        <v>2036</v>
      </c>
      <c r="BM3327" s="7">
        <v>0.0171</v>
      </c>
      <c r="BN3327" s="7">
        <v>0.0168</v>
      </c>
      <c r="BO3327" s="4">
        <v>10</v>
      </c>
      <c r="BP3327" s="8">
        <v>340.2</v>
      </c>
      <c r="BQ3327" s="4"/>
      <c r="BR3327" s="8"/>
      <c r="BS3327" s="7"/>
      <c r="BT3327" s="7"/>
      <c r="BU3327" s="2" t="s">
        <v>109</v>
      </c>
      <c r="BV3327" s="2" t="s">
        <v>110</v>
      </c>
      <c r="BW3327" s="2" t="s">
        <v>964</v>
      </c>
      <c r="BX3327" s="2" t="s">
        <v>8326</v>
      </c>
      <c r="BY3327" s="2" t="s">
        <v>113</v>
      </c>
      <c r="BZ3327" s="2" t="s">
        <v>100</v>
      </c>
    </row>
    <row r="3328">
      <c r="A3328" s="2" t="s">
        <v>10481</v>
      </c>
      <c r="B3328" s="2" t="s">
        <v>9668</v>
      </c>
      <c r="C3328" s="2" t="s">
        <v>88</v>
      </c>
      <c r="D3328" s="2" t="s">
        <v>9669</v>
      </c>
      <c r="E3328" s="2" t="s">
        <v>9670</v>
      </c>
      <c r="F3328" s="2" t="s">
        <v>10459</v>
      </c>
      <c r="G3328" s="2" t="s">
        <v>10459</v>
      </c>
      <c r="H3328" s="2" t="s">
        <v>10459</v>
      </c>
      <c r="I3328" s="2" t="s">
        <v>10460</v>
      </c>
      <c r="J3328" s="2" t="s">
        <v>817</v>
      </c>
      <c r="K3328" s="2" t="s">
        <v>144</v>
      </c>
      <c r="L3328" s="3">
        <v>39.84</v>
      </c>
      <c r="M3328" s="3">
        <v>41.83</v>
      </c>
      <c r="N3328" s="3">
        <v>82.99</v>
      </c>
      <c r="O3328" s="2" t="s">
        <v>97</v>
      </c>
      <c r="P3328" s="2" t="s">
        <v>119</v>
      </c>
      <c r="Q3328" s="2" t="s">
        <v>99</v>
      </c>
      <c r="R3328" s="2" t="s">
        <v>100</v>
      </c>
      <c r="S3328" s="2" t="s">
        <v>10480</v>
      </c>
      <c r="T3328" s="2" t="s">
        <v>4972</v>
      </c>
      <c r="U3328" s="2" t="s">
        <v>102</v>
      </c>
      <c r="V3328" s="2" t="s">
        <v>146</v>
      </c>
      <c r="W3328" s="2" t="s">
        <v>183</v>
      </c>
      <c r="X3328" s="2" t="s">
        <v>100</v>
      </c>
      <c r="Y3328" s="2" t="s">
        <v>800</v>
      </c>
      <c r="Z3328" s="4">
        <v>180</v>
      </c>
      <c r="AA3328" s="4">
        <f>=ROUNDDOWN(25.7142857142857,0)</f>
      </c>
      <c r="AB3328" s="5">
        <v>7</v>
      </c>
      <c r="AC3328" s="2" t="s">
        <v>821</v>
      </c>
      <c r="AD3328" s="4">
        <v>120</v>
      </c>
      <c r="AE3328" s="4">
        <v>163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 t="s">
        <v>100</v>
      </c>
      <c r="BJ3328" s="4">
        <v>177</v>
      </c>
      <c r="BK3328" s="8">
        <v>7717.25</v>
      </c>
      <c r="BL3328" s="2" t="s">
        <v>1749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964</v>
      </c>
      <c r="BX3328" s="2" t="s">
        <v>1925</v>
      </c>
      <c r="BY3328" s="2" t="s">
        <v>113</v>
      </c>
      <c r="BZ3328" s="2" t="s">
        <v>100</v>
      </c>
    </row>
    <row r="3329">
      <c r="A3329" s="2" t="s">
        <v>10482</v>
      </c>
      <c r="B3329" s="2" t="s">
        <v>9668</v>
      </c>
      <c r="C3329" s="2" t="s">
        <v>88</v>
      </c>
      <c r="D3329" s="2" t="s">
        <v>9669</v>
      </c>
      <c r="E3329" s="2" t="s">
        <v>9670</v>
      </c>
      <c r="F3329" s="2" t="s">
        <v>10459</v>
      </c>
      <c r="G3329" s="2" t="s">
        <v>10459</v>
      </c>
      <c r="H3329" s="2" t="s">
        <v>10459</v>
      </c>
      <c r="I3329" s="2" t="s">
        <v>10460</v>
      </c>
      <c r="J3329" s="2" t="s">
        <v>10472</v>
      </c>
      <c r="K3329" s="2" t="s">
        <v>144</v>
      </c>
      <c r="L3329" s="3">
        <v>43.2</v>
      </c>
      <c r="M3329" s="3">
        <v>45.36</v>
      </c>
      <c r="N3329" s="3">
        <v>89.99</v>
      </c>
      <c r="O3329" s="2" t="s">
        <v>97</v>
      </c>
      <c r="P3329" s="2" t="s">
        <v>119</v>
      </c>
      <c r="Q3329" s="2" t="s">
        <v>99</v>
      </c>
      <c r="R3329" s="2" t="s">
        <v>100</v>
      </c>
      <c r="S3329" s="2" t="s">
        <v>10480</v>
      </c>
      <c r="T3329" s="2" t="s">
        <v>4972</v>
      </c>
      <c r="U3329" s="2" t="s">
        <v>337</v>
      </c>
      <c r="V3329" s="2" t="s">
        <v>146</v>
      </c>
      <c r="W3329" s="2" t="s">
        <v>183</v>
      </c>
      <c r="X3329" s="2" t="s">
        <v>100</v>
      </c>
      <c r="Y3329" s="2" t="s">
        <v>8623</v>
      </c>
      <c r="Z3329" s="4">
        <v>374</v>
      </c>
      <c r="AA3329" s="4">
        <f>=ROUNDDOWN(46.75,0)</f>
      </c>
      <c r="AB3329" s="5">
        <v>8</v>
      </c>
      <c r="AC3329" s="2" t="s">
        <v>821</v>
      </c>
      <c r="AD3329" s="4">
        <v>25</v>
      </c>
      <c r="AE3329" s="4">
        <v>74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>
        <v>2</v>
      </c>
      <c r="AQ3329" s="8">
        <v>90.72</v>
      </c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>
        <v>0.2105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 t="s">
        <v>100</v>
      </c>
      <c r="BJ3329" s="4">
        <v>240</v>
      </c>
      <c r="BK3329" s="8">
        <v>11434.53</v>
      </c>
      <c r="BL3329" s="2" t="s">
        <v>10483</v>
      </c>
      <c r="BM3329" s="7">
        <v>0.0083</v>
      </c>
      <c r="BN3329" s="7">
        <v>0.0079</v>
      </c>
      <c r="BO3329" s="4">
        <v>2</v>
      </c>
      <c r="BP3329" s="8">
        <v>90.72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1662</v>
      </c>
      <c r="BX3329" s="2" t="s">
        <v>265</v>
      </c>
      <c r="BY3329" s="2" t="s">
        <v>113</v>
      </c>
      <c r="BZ3329" s="2" t="s">
        <v>100</v>
      </c>
    </row>
    <row r="3330">
      <c r="A3330" s="2" t="s">
        <v>10484</v>
      </c>
      <c r="B3330" s="2" t="s">
        <v>9668</v>
      </c>
      <c r="C3330" s="2" t="s">
        <v>88</v>
      </c>
      <c r="D3330" s="2" t="s">
        <v>9669</v>
      </c>
      <c r="E3330" s="2" t="s">
        <v>9670</v>
      </c>
      <c r="F3330" s="2" t="s">
        <v>10459</v>
      </c>
      <c r="G3330" s="2" t="s">
        <v>10459</v>
      </c>
      <c r="H3330" s="2" t="s">
        <v>10459</v>
      </c>
      <c r="I3330" s="2" t="s">
        <v>10460</v>
      </c>
      <c r="J3330" s="2" t="s">
        <v>706</v>
      </c>
      <c r="K3330" s="2" t="s">
        <v>189</v>
      </c>
      <c r="L3330" s="3">
        <v>32.9</v>
      </c>
      <c r="M3330" s="3">
        <v>34.54</v>
      </c>
      <c r="N3330" s="3">
        <v>69.99</v>
      </c>
      <c r="O3330" s="2" t="s">
        <v>97</v>
      </c>
      <c r="P3330" s="2" t="s">
        <v>119</v>
      </c>
      <c r="Q3330" s="2" t="s">
        <v>99</v>
      </c>
      <c r="R3330" s="2" t="s">
        <v>100</v>
      </c>
      <c r="S3330" s="2" t="s">
        <v>10485</v>
      </c>
      <c r="T3330" s="2" t="s">
        <v>4972</v>
      </c>
      <c r="U3330" s="2" t="s">
        <v>102</v>
      </c>
      <c r="V3330" s="2" t="s">
        <v>146</v>
      </c>
      <c r="W3330" s="2" t="s">
        <v>183</v>
      </c>
      <c r="X3330" s="2" t="s">
        <v>673</v>
      </c>
      <c r="Y3330" s="2" t="s">
        <v>1266</v>
      </c>
      <c r="Z3330" s="4">
        <v>425</v>
      </c>
      <c r="AA3330" s="4">
        <f>=ROUNDDOWN(26.5625,0)</f>
      </c>
      <c r="AB3330" s="5">
        <v>16</v>
      </c>
      <c r="AC3330" s="2" t="s">
        <v>821</v>
      </c>
      <c r="AD3330" s="4">
        <v>173</v>
      </c>
      <c r="AE3330" s="4">
        <v>559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>
        <v>10</v>
      </c>
      <c r="AW3330" s="8">
        <v>399.21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0.0961</v>
      </c>
      <c r="BJ3330" s="4">
        <v>393</v>
      </c>
      <c r="BK3330" s="8">
        <v>13830.72</v>
      </c>
      <c r="BL3330" s="2" t="s">
        <v>6863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1662</v>
      </c>
      <c r="BX3330" s="2" t="s">
        <v>7058</v>
      </c>
      <c r="BY3330" s="2" t="s">
        <v>113</v>
      </c>
      <c r="BZ3330" s="2" t="s">
        <v>100</v>
      </c>
    </row>
    <row r="3331">
      <c r="A3331" s="2" t="s">
        <v>10486</v>
      </c>
      <c r="B3331" s="2" t="s">
        <v>9668</v>
      </c>
      <c r="C3331" s="2" t="s">
        <v>88</v>
      </c>
      <c r="D3331" s="2" t="s">
        <v>9669</v>
      </c>
      <c r="E3331" s="2" t="s">
        <v>9670</v>
      </c>
      <c r="F3331" s="2" t="s">
        <v>10459</v>
      </c>
      <c r="G3331" s="2" t="s">
        <v>10459</v>
      </c>
      <c r="H3331" s="2" t="s">
        <v>10459</v>
      </c>
      <c r="I3331" s="2" t="s">
        <v>10460</v>
      </c>
      <c r="J3331" s="2" t="s">
        <v>714</v>
      </c>
      <c r="K3331" s="2" t="s">
        <v>189</v>
      </c>
      <c r="L3331" s="3">
        <v>39.84</v>
      </c>
      <c r="M3331" s="3">
        <v>41.83</v>
      </c>
      <c r="N3331" s="3">
        <v>82.99</v>
      </c>
      <c r="O3331" s="2" t="s">
        <v>97</v>
      </c>
      <c r="P3331" s="2" t="s">
        <v>119</v>
      </c>
      <c r="Q3331" s="2" t="s">
        <v>99</v>
      </c>
      <c r="R3331" s="2" t="s">
        <v>100</v>
      </c>
      <c r="S3331" s="2" t="s">
        <v>10485</v>
      </c>
      <c r="T3331" s="2" t="s">
        <v>4972</v>
      </c>
      <c r="U3331" s="2" t="s">
        <v>102</v>
      </c>
      <c r="V3331" s="2" t="s">
        <v>146</v>
      </c>
      <c r="W3331" s="2" t="s">
        <v>183</v>
      </c>
      <c r="X3331" s="2" t="s">
        <v>673</v>
      </c>
      <c r="Y3331" s="2" t="s">
        <v>1266</v>
      </c>
      <c r="Z3331" s="4">
        <v>406</v>
      </c>
      <c r="AA3331" s="4">
        <f>=ROUNDDOWN(36.9090909090909,0)</f>
      </c>
      <c r="AB3331" s="5">
        <v>11</v>
      </c>
      <c r="AC3331" s="2" t="s">
        <v>821</v>
      </c>
      <c r="AD3331" s="4">
        <v>98</v>
      </c>
      <c r="AE3331" s="4">
        <v>220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8</v>
      </c>
      <c r="AQ3331" s="8">
        <v>317.52</v>
      </c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>
        <v>0.7954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 t="s">
        <v>100</v>
      </c>
      <c r="BJ3331" s="4">
        <v>302</v>
      </c>
      <c r="BK3331" s="8">
        <v>13278.78</v>
      </c>
      <c r="BL3331" s="2" t="s">
        <v>10487</v>
      </c>
      <c r="BM3331" s="7">
        <v>0.0265</v>
      </c>
      <c r="BN3331" s="7">
        <v>0.0239</v>
      </c>
      <c r="BO3331" s="4">
        <v>8</v>
      </c>
      <c r="BP3331" s="8">
        <v>317.52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1662</v>
      </c>
      <c r="BX3331" s="2" t="s">
        <v>10488</v>
      </c>
      <c r="BY3331" s="2" t="s">
        <v>113</v>
      </c>
      <c r="BZ3331" s="2" t="s">
        <v>100</v>
      </c>
    </row>
    <row r="3332">
      <c r="A3332" s="2" t="s">
        <v>10489</v>
      </c>
      <c r="B3332" s="2" t="s">
        <v>9668</v>
      </c>
      <c r="C3332" s="2" t="s">
        <v>88</v>
      </c>
      <c r="D3332" s="2" t="s">
        <v>9669</v>
      </c>
      <c r="E3332" s="2" t="s">
        <v>9670</v>
      </c>
      <c r="F3332" s="2" t="s">
        <v>10459</v>
      </c>
      <c r="G3332" s="2" t="s">
        <v>10459</v>
      </c>
      <c r="H3332" s="2" t="s">
        <v>10459</v>
      </c>
      <c r="I3332" s="2" t="s">
        <v>10460</v>
      </c>
      <c r="J3332" s="2" t="s">
        <v>817</v>
      </c>
      <c r="K3332" s="2" t="s">
        <v>189</v>
      </c>
      <c r="L3332" s="3">
        <v>39.84</v>
      </c>
      <c r="M3332" s="3">
        <v>41.83</v>
      </c>
      <c r="N3332" s="3">
        <v>82.99</v>
      </c>
      <c r="O3332" s="2" t="s">
        <v>97</v>
      </c>
      <c r="P3332" s="2" t="s">
        <v>119</v>
      </c>
      <c r="Q3332" s="2" t="s">
        <v>99</v>
      </c>
      <c r="R3332" s="2" t="s">
        <v>100</v>
      </c>
      <c r="S3332" s="2" t="s">
        <v>10485</v>
      </c>
      <c r="T3332" s="2" t="s">
        <v>4972</v>
      </c>
      <c r="U3332" s="2" t="s">
        <v>102</v>
      </c>
      <c r="V3332" s="2" t="s">
        <v>146</v>
      </c>
      <c r="W3332" s="2" t="s">
        <v>183</v>
      </c>
      <c r="X3332" s="2" t="s">
        <v>673</v>
      </c>
      <c r="Y3332" s="2" t="s">
        <v>1266</v>
      </c>
      <c r="Z3332" s="4">
        <v>198</v>
      </c>
      <c r="AA3332" s="4">
        <f>=ROUNDDOWN(39.6,0)</f>
      </c>
      <c r="AB3332" s="5">
        <v>5</v>
      </c>
      <c r="AC3332" s="2" t="s">
        <v>821</v>
      </c>
      <c r="AD3332" s="4">
        <v>96</v>
      </c>
      <c r="AE3332" s="4">
        <v>145</v>
      </c>
      <c r="AF3332" s="6">
        <v>65</v>
      </c>
      <c r="AG3332" s="6"/>
      <c r="AH3332" s="7">
        <v>0.6417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>
        <v>1</v>
      </c>
      <c r="AQ3332" s="8">
        <v>39.69</v>
      </c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>
        <v>0.0994</v>
      </c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 t="s">
        <v>100</v>
      </c>
      <c r="BJ3332" s="4">
        <v>63</v>
      </c>
      <c r="BK3332" s="8">
        <v>2763.05</v>
      </c>
      <c r="BL3332" s="2" t="s">
        <v>4784</v>
      </c>
      <c r="BM3332" s="7">
        <v>0.0159</v>
      </c>
      <c r="BN3332" s="7">
        <v>0.0144</v>
      </c>
      <c r="BO3332" s="4">
        <v>1</v>
      </c>
      <c r="BP3332" s="8">
        <v>39.69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1662</v>
      </c>
      <c r="BX3332" s="2" t="s">
        <v>1704</v>
      </c>
      <c r="BY3332" s="2" t="s">
        <v>113</v>
      </c>
      <c r="BZ3332" s="2" t="s">
        <v>100</v>
      </c>
    </row>
    <row r="3333">
      <c r="A3333" s="2" t="s">
        <v>10490</v>
      </c>
      <c r="B3333" s="2" t="s">
        <v>9668</v>
      </c>
      <c r="C3333" s="2" t="s">
        <v>88</v>
      </c>
      <c r="D3333" s="2" t="s">
        <v>9669</v>
      </c>
      <c r="E3333" s="2" t="s">
        <v>9670</v>
      </c>
      <c r="F3333" s="2" t="s">
        <v>10459</v>
      </c>
      <c r="G3333" s="2" t="s">
        <v>10459</v>
      </c>
      <c r="H3333" s="2" t="s">
        <v>10459</v>
      </c>
      <c r="I3333" s="2" t="s">
        <v>10460</v>
      </c>
      <c r="J3333" s="2" t="s">
        <v>10472</v>
      </c>
      <c r="K3333" s="2" t="s">
        <v>189</v>
      </c>
      <c r="L3333" s="3">
        <v>43.2</v>
      </c>
      <c r="M3333" s="3">
        <v>45.36</v>
      </c>
      <c r="N3333" s="3">
        <v>89.99</v>
      </c>
      <c r="O3333" s="2" t="s">
        <v>97</v>
      </c>
      <c r="P3333" s="2" t="s">
        <v>119</v>
      </c>
      <c r="Q3333" s="2" t="s">
        <v>99</v>
      </c>
      <c r="R3333" s="2" t="s">
        <v>100</v>
      </c>
      <c r="S3333" s="2" t="s">
        <v>10485</v>
      </c>
      <c r="T3333" s="2" t="s">
        <v>4972</v>
      </c>
      <c r="U3333" s="2" t="s">
        <v>337</v>
      </c>
      <c r="V3333" s="2" t="s">
        <v>146</v>
      </c>
      <c r="W3333" s="2" t="s">
        <v>183</v>
      </c>
      <c r="X3333" s="2" t="s">
        <v>183</v>
      </c>
      <c r="Y3333" s="2" t="s">
        <v>10474</v>
      </c>
      <c r="Z3333" s="4">
        <v>341</v>
      </c>
      <c r="AA3333" s="4">
        <f>=ROUNDDOWN(37.8888888888889,0)</f>
      </c>
      <c r="AB3333" s="5">
        <v>9</v>
      </c>
      <c r="AC3333" s="2" t="s">
        <v>821</v>
      </c>
      <c r="AD3333" s="4">
        <v>106</v>
      </c>
      <c r="AE3333" s="4">
        <v>181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>
        <v>1</v>
      </c>
      <c r="AQ3333" s="8">
        <v>42</v>
      </c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>
        <v>0.1052</v>
      </c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 t="s">
        <v>100</v>
      </c>
      <c r="BJ3333" s="4">
        <v>210</v>
      </c>
      <c r="BK3333" s="8">
        <v>10063</v>
      </c>
      <c r="BL3333" s="2" t="s">
        <v>10491</v>
      </c>
      <c r="BM3333" s="7">
        <v>0.0048</v>
      </c>
      <c r="BN3333" s="7">
        <v>0.0042</v>
      </c>
      <c r="BO3333" s="4">
        <v>1</v>
      </c>
      <c r="BP3333" s="8">
        <v>42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10492</v>
      </c>
      <c r="BX3333" s="2" t="s">
        <v>6741</v>
      </c>
      <c r="BY3333" s="2" t="s">
        <v>113</v>
      </c>
      <c r="BZ3333" s="2" t="s">
        <v>100</v>
      </c>
    </row>
    <row r="3334">
      <c r="A3334" s="2" t="s">
        <v>10493</v>
      </c>
      <c r="B3334" s="2" t="s">
        <v>9668</v>
      </c>
      <c r="C3334" s="2" t="s">
        <v>88</v>
      </c>
      <c r="D3334" s="2" t="s">
        <v>9669</v>
      </c>
      <c r="E3334" s="2" t="s">
        <v>9670</v>
      </c>
      <c r="F3334" s="2" t="s">
        <v>10459</v>
      </c>
      <c r="G3334" s="2" t="s">
        <v>10459</v>
      </c>
      <c r="H3334" s="2" t="s">
        <v>10459</v>
      </c>
      <c r="I3334" s="2" t="s">
        <v>10460</v>
      </c>
      <c r="J3334" s="2" t="s">
        <v>706</v>
      </c>
      <c r="K3334" s="2" t="s">
        <v>198</v>
      </c>
      <c r="L3334" s="3">
        <v>32.9</v>
      </c>
      <c r="M3334" s="3">
        <v>34.54</v>
      </c>
      <c r="N3334" s="3">
        <v>69.99</v>
      </c>
      <c r="O3334" s="2" t="s">
        <v>97</v>
      </c>
      <c r="P3334" s="2" t="s">
        <v>119</v>
      </c>
      <c r="Q3334" s="2" t="s">
        <v>99</v>
      </c>
      <c r="R3334" s="2" t="s">
        <v>100</v>
      </c>
      <c r="S3334" s="2" t="s">
        <v>10494</v>
      </c>
      <c r="T3334" s="2" t="s">
        <v>4972</v>
      </c>
      <c r="U3334" s="2" t="s">
        <v>102</v>
      </c>
      <c r="V3334" s="2" t="s">
        <v>146</v>
      </c>
      <c r="W3334" s="2" t="s">
        <v>183</v>
      </c>
      <c r="X3334" s="2" t="s">
        <v>100</v>
      </c>
      <c r="Y3334" s="2" t="s">
        <v>800</v>
      </c>
      <c r="Z3334" s="4">
        <v>463</v>
      </c>
      <c r="AA3334" s="4">
        <f>=ROUNDDOWN(30.8666666666667,0)</f>
      </c>
      <c r="AB3334" s="5">
        <v>15</v>
      </c>
      <c r="AC3334" s="2" t="s">
        <v>3015</v>
      </c>
      <c r="AD3334" s="4">
        <v>110</v>
      </c>
      <c r="AE3334" s="4">
        <v>110</v>
      </c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>
        <v>6</v>
      </c>
      <c r="AQ3334" s="8">
        <v>204.12</v>
      </c>
      <c r="AR3334" s="4"/>
      <c r="AS3334" s="8"/>
      <c r="AT3334" s="7"/>
      <c r="AU3334" s="7"/>
      <c r="AV3334" s="4">
        <v>10</v>
      </c>
      <c r="AW3334" s="8">
        <v>374.22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>
        <v>0.5455</v>
      </c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>
        <v>0.0901</v>
      </c>
      <c r="BJ3334" s="4">
        <v>404</v>
      </c>
      <c r="BK3334" s="8">
        <v>14111.75</v>
      </c>
      <c r="BL3334" s="2" t="s">
        <v>10495</v>
      </c>
      <c r="BM3334" s="7">
        <v>0.0149</v>
      </c>
      <c r="BN3334" s="7">
        <v>0.0145</v>
      </c>
      <c r="BO3334" s="4">
        <v>6</v>
      </c>
      <c r="BP3334" s="8">
        <v>204.12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964</v>
      </c>
      <c r="BX3334" s="2" t="s">
        <v>10496</v>
      </c>
      <c r="BY3334" s="2" t="s">
        <v>113</v>
      </c>
      <c r="BZ3334" s="2" t="s">
        <v>100</v>
      </c>
    </row>
    <row r="3335">
      <c r="A3335" s="2" t="s">
        <v>10497</v>
      </c>
      <c r="B3335" s="2" t="s">
        <v>9668</v>
      </c>
      <c r="C3335" s="2" t="s">
        <v>88</v>
      </c>
      <c r="D3335" s="2" t="s">
        <v>9669</v>
      </c>
      <c r="E3335" s="2" t="s">
        <v>9670</v>
      </c>
      <c r="F3335" s="2" t="s">
        <v>10459</v>
      </c>
      <c r="G3335" s="2" t="s">
        <v>10459</v>
      </c>
      <c r="H3335" s="2" t="s">
        <v>10459</v>
      </c>
      <c r="I3335" s="2" t="s">
        <v>10460</v>
      </c>
      <c r="J3335" s="2" t="s">
        <v>817</v>
      </c>
      <c r="K3335" s="2" t="s">
        <v>198</v>
      </c>
      <c r="L3335" s="3">
        <v>39.84</v>
      </c>
      <c r="M3335" s="3">
        <v>41.83</v>
      </c>
      <c r="N3335" s="3">
        <v>82.99</v>
      </c>
      <c r="O3335" s="2" t="s">
        <v>97</v>
      </c>
      <c r="P3335" s="2" t="s">
        <v>119</v>
      </c>
      <c r="Q3335" s="2" t="s">
        <v>99</v>
      </c>
      <c r="R3335" s="2" t="s">
        <v>100</v>
      </c>
      <c r="S3335" s="2" t="s">
        <v>10494</v>
      </c>
      <c r="T3335" s="2" t="s">
        <v>4972</v>
      </c>
      <c r="U3335" s="2" t="s">
        <v>102</v>
      </c>
      <c r="V3335" s="2" t="s">
        <v>146</v>
      </c>
      <c r="W3335" s="2" t="s">
        <v>183</v>
      </c>
      <c r="X3335" s="2" t="s">
        <v>100</v>
      </c>
      <c r="Y3335" s="2" t="s">
        <v>800</v>
      </c>
      <c r="Z3335" s="4">
        <v>171</v>
      </c>
      <c r="AA3335" s="4">
        <f>=ROUNDDOWN(57,0)</f>
      </c>
      <c r="AB3335" s="5">
        <v>3</v>
      </c>
      <c r="AC3335" s="2" t="s">
        <v>3015</v>
      </c>
      <c r="AD3335" s="4">
        <v>38</v>
      </c>
      <c r="AE3335" s="4">
        <v>38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>
        <v>2</v>
      </c>
      <c r="AQ3335" s="8">
        <v>79.38</v>
      </c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>
        <v>0.2121</v>
      </c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 t="s">
        <v>100</v>
      </c>
      <c r="BJ3335" s="4">
        <v>75</v>
      </c>
      <c r="BK3335" s="8">
        <v>3252.07</v>
      </c>
      <c r="BL3335" s="2" t="s">
        <v>10475</v>
      </c>
      <c r="BM3335" s="7">
        <v>0.0267</v>
      </c>
      <c r="BN3335" s="7">
        <v>0.0244</v>
      </c>
      <c r="BO3335" s="4">
        <v>2</v>
      </c>
      <c r="BP3335" s="8">
        <v>79.38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964</v>
      </c>
      <c r="BX3335" s="2" t="s">
        <v>1716</v>
      </c>
      <c r="BY3335" s="2" t="s">
        <v>113</v>
      </c>
      <c r="BZ3335" s="2" t="s">
        <v>100</v>
      </c>
    </row>
    <row r="3336">
      <c r="A3336" s="2" t="s">
        <v>10498</v>
      </c>
      <c r="B3336" s="2" t="s">
        <v>9668</v>
      </c>
      <c r="C3336" s="2" t="s">
        <v>88</v>
      </c>
      <c r="D3336" s="2" t="s">
        <v>9669</v>
      </c>
      <c r="E3336" s="2" t="s">
        <v>9670</v>
      </c>
      <c r="F3336" s="2" t="s">
        <v>10459</v>
      </c>
      <c r="G3336" s="2" t="s">
        <v>10459</v>
      </c>
      <c r="H3336" s="2" t="s">
        <v>10459</v>
      </c>
      <c r="I3336" s="2" t="s">
        <v>10460</v>
      </c>
      <c r="J3336" s="2" t="s">
        <v>10472</v>
      </c>
      <c r="K3336" s="2" t="s">
        <v>198</v>
      </c>
      <c r="L3336" s="3">
        <v>43.2</v>
      </c>
      <c r="M3336" s="3">
        <v>45.36</v>
      </c>
      <c r="N3336" s="3">
        <v>89.99</v>
      </c>
      <c r="O3336" s="2" t="s">
        <v>97</v>
      </c>
      <c r="P3336" s="2" t="s">
        <v>119</v>
      </c>
      <c r="Q3336" s="2" t="s">
        <v>99</v>
      </c>
      <c r="R3336" s="2" t="s">
        <v>100</v>
      </c>
      <c r="S3336" s="2" t="s">
        <v>10494</v>
      </c>
      <c r="T3336" s="2" t="s">
        <v>4972</v>
      </c>
      <c r="U3336" s="2" t="s">
        <v>337</v>
      </c>
      <c r="V3336" s="2" t="s">
        <v>146</v>
      </c>
      <c r="W3336" s="2" t="s">
        <v>183</v>
      </c>
      <c r="X3336" s="2" t="s">
        <v>100</v>
      </c>
      <c r="Y3336" s="2" t="s">
        <v>8623</v>
      </c>
      <c r="Z3336" s="4">
        <v>267</v>
      </c>
      <c r="AA3336" s="4">
        <f>=ROUNDDOWN(29.6666666666667,0)</f>
      </c>
      <c r="AB3336" s="5">
        <v>9</v>
      </c>
      <c r="AC3336" s="2" t="s">
        <v>3015</v>
      </c>
      <c r="AD3336" s="4">
        <v>96</v>
      </c>
      <c r="AE3336" s="4">
        <v>96</v>
      </c>
      <c r="AF3336" s="6">
        <v>65</v>
      </c>
      <c r="AG3336" s="6"/>
      <c r="AH3336" s="7">
        <v>0.9358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>
        <v>2</v>
      </c>
      <c r="AQ3336" s="8">
        <v>90.72</v>
      </c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>
        <v>0.2424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 t="s">
        <v>100</v>
      </c>
      <c r="BJ3336" s="4">
        <v>231</v>
      </c>
      <c r="BK3336" s="8">
        <v>11118.48</v>
      </c>
      <c r="BL3336" s="2" t="s">
        <v>10483</v>
      </c>
      <c r="BM3336" s="7">
        <v>0.0087</v>
      </c>
      <c r="BN3336" s="7">
        <v>0.0082</v>
      </c>
      <c r="BO3336" s="4">
        <v>2</v>
      </c>
      <c r="BP3336" s="8">
        <v>90.72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1662</v>
      </c>
      <c r="BX3336" s="2" t="s">
        <v>10499</v>
      </c>
      <c r="BY3336" s="2" t="s">
        <v>113</v>
      </c>
      <c r="BZ3336" s="2" t="s">
        <v>100</v>
      </c>
    </row>
    <row r="3337">
      <c r="A3337" s="2" t="s">
        <v>10500</v>
      </c>
      <c r="B3337" s="2" t="s">
        <v>9668</v>
      </c>
      <c r="C3337" s="2" t="s">
        <v>88</v>
      </c>
      <c r="D3337" s="2" t="s">
        <v>9669</v>
      </c>
      <c r="E3337" s="2" t="s">
        <v>9670</v>
      </c>
      <c r="F3337" s="2" t="s">
        <v>10459</v>
      </c>
      <c r="G3337" s="2" t="s">
        <v>10459</v>
      </c>
      <c r="H3337" s="2" t="s">
        <v>10459</v>
      </c>
      <c r="I3337" s="2" t="s">
        <v>10460</v>
      </c>
      <c r="J3337" s="2" t="s">
        <v>706</v>
      </c>
      <c r="K3337" s="2" t="s">
        <v>2477</v>
      </c>
      <c r="L3337" s="3">
        <v>32.9</v>
      </c>
      <c r="M3337" s="3">
        <v>34.54</v>
      </c>
      <c r="N3337" s="3">
        <v>69.99</v>
      </c>
      <c r="O3337" s="2" t="s">
        <v>97</v>
      </c>
      <c r="P3337" s="2" t="s">
        <v>119</v>
      </c>
      <c r="Q3337" s="2" t="s">
        <v>99</v>
      </c>
      <c r="R3337" s="2" t="s">
        <v>100</v>
      </c>
      <c r="S3337" s="2" t="s">
        <v>10501</v>
      </c>
      <c r="T3337" s="2" t="s">
        <v>4972</v>
      </c>
      <c r="U3337" s="2" t="s">
        <v>102</v>
      </c>
      <c r="V3337" s="2" t="s">
        <v>146</v>
      </c>
      <c r="W3337" s="2" t="s">
        <v>183</v>
      </c>
      <c r="X3337" s="2" t="s">
        <v>673</v>
      </c>
      <c r="Y3337" s="2" t="s">
        <v>1266</v>
      </c>
      <c r="Z3337" s="4">
        <v>257</v>
      </c>
      <c r="AA3337" s="4">
        <f>=ROUNDDOWN(25.7,0)</f>
      </c>
      <c r="AB3337" s="5">
        <v>10</v>
      </c>
      <c r="AC3337" s="2" t="s">
        <v>821</v>
      </c>
      <c r="AD3337" s="4">
        <v>180</v>
      </c>
      <c r="AE3337" s="4">
        <v>180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>
        <v>7</v>
      </c>
      <c r="AQ3337" s="8">
        <v>238.14</v>
      </c>
      <c r="AR3337" s="4"/>
      <c r="AS3337" s="8"/>
      <c r="AT3337" s="7"/>
      <c r="AU3337" s="7"/>
      <c r="AV3337" s="4">
        <v>9</v>
      </c>
      <c r="AW3337" s="8">
        <v>319.83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>
        <v>0.7446</v>
      </c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>
        <v>0.077</v>
      </c>
      <c r="BJ3337" s="4">
        <v>246</v>
      </c>
      <c r="BK3337" s="8">
        <v>8615.56</v>
      </c>
      <c r="BL3337" s="2" t="s">
        <v>10502</v>
      </c>
      <c r="BM3337" s="7">
        <v>0.0285</v>
      </c>
      <c r="BN3337" s="7">
        <v>0.0276</v>
      </c>
      <c r="BO3337" s="4">
        <v>7</v>
      </c>
      <c r="BP3337" s="8">
        <v>238.14</v>
      </c>
      <c r="BQ3337" s="4"/>
      <c r="BR3337" s="8"/>
      <c r="BS3337" s="7"/>
      <c r="BT3337" s="7"/>
      <c r="BU3337" s="2" t="s">
        <v>109</v>
      </c>
      <c r="BV3337" s="2" t="s">
        <v>110</v>
      </c>
      <c r="BW3337" s="2" t="s">
        <v>1662</v>
      </c>
      <c r="BX3337" s="2" t="s">
        <v>1666</v>
      </c>
      <c r="BY3337" s="2" t="s">
        <v>113</v>
      </c>
      <c r="BZ3337" s="2" t="s">
        <v>100</v>
      </c>
    </row>
    <row r="3338">
      <c r="A3338" s="2" t="s">
        <v>10503</v>
      </c>
      <c r="B3338" s="2" t="s">
        <v>9668</v>
      </c>
      <c r="C3338" s="2" t="s">
        <v>88</v>
      </c>
      <c r="D3338" s="2" t="s">
        <v>9669</v>
      </c>
      <c r="E3338" s="2" t="s">
        <v>9670</v>
      </c>
      <c r="F3338" s="2" t="s">
        <v>10459</v>
      </c>
      <c r="G3338" s="2" t="s">
        <v>10459</v>
      </c>
      <c r="H3338" s="2" t="s">
        <v>10459</v>
      </c>
      <c r="I3338" s="2" t="s">
        <v>10460</v>
      </c>
      <c r="J3338" s="2" t="s">
        <v>817</v>
      </c>
      <c r="K3338" s="2" t="s">
        <v>2477</v>
      </c>
      <c r="L3338" s="3">
        <v>39.84</v>
      </c>
      <c r="M3338" s="3">
        <v>41.83</v>
      </c>
      <c r="N3338" s="3">
        <v>82.99</v>
      </c>
      <c r="O3338" s="2" t="s">
        <v>97</v>
      </c>
      <c r="P3338" s="2" t="s">
        <v>119</v>
      </c>
      <c r="Q3338" s="2" t="s">
        <v>99</v>
      </c>
      <c r="R3338" s="2" t="s">
        <v>100</v>
      </c>
      <c r="S3338" s="2" t="s">
        <v>10501</v>
      </c>
      <c r="T3338" s="2" t="s">
        <v>4972</v>
      </c>
      <c r="U3338" s="2" t="s">
        <v>102</v>
      </c>
      <c r="V3338" s="2" t="s">
        <v>146</v>
      </c>
      <c r="W3338" s="2" t="s">
        <v>183</v>
      </c>
      <c r="X3338" s="2" t="s">
        <v>673</v>
      </c>
      <c r="Y3338" s="2" t="s">
        <v>1266</v>
      </c>
      <c r="Z3338" s="4">
        <v>104</v>
      </c>
      <c r="AA3338" s="4">
        <f>=ROUNDDOWN(34.6666666666667,0)</f>
      </c>
      <c r="AB3338" s="5">
        <v>3</v>
      </c>
      <c r="AC3338" s="2" t="s">
        <v>821</v>
      </c>
      <c r="AD3338" s="4">
        <v>67</v>
      </c>
      <c r="AE3338" s="4">
        <v>67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>
        <v>1</v>
      </c>
      <c r="AQ3338" s="8">
        <v>39.69</v>
      </c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>
        <v>0.1241</v>
      </c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 t="s">
        <v>100</v>
      </c>
      <c r="BJ3338" s="4">
        <v>63</v>
      </c>
      <c r="BK3338" s="8">
        <v>2770.82</v>
      </c>
      <c r="BL3338" s="2" t="s">
        <v>10504</v>
      </c>
      <c r="BM3338" s="7">
        <v>0.0159</v>
      </c>
      <c r="BN3338" s="7">
        <v>0.0143</v>
      </c>
      <c r="BO3338" s="4">
        <v>1</v>
      </c>
      <c r="BP3338" s="8">
        <v>39.69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1662</v>
      </c>
      <c r="BX3338" s="2" t="s">
        <v>10505</v>
      </c>
      <c r="BY3338" s="2" t="s">
        <v>113</v>
      </c>
      <c r="BZ3338" s="2" t="s">
        <v>100</v>
      </c>
    </row>
    <row r="3339">
      <c r="A3339" s="2" t="s">
        <v>10506</v>
      </c>
      <c r="B3339" s="2" t="s">
        <v>9668</v>
      </c>
      <c r="C3339" s="2" t="s">
        <v>88</v>
      </c>
      <c r="D3339" s="2" t="s">
        <v>9669</v>
      </c>
      <c r="E3339" s="2" t="s">
        <v>9670</v>
      </c>
      <c r="F3339" s="2" t="s">
        <v>10459</v>
      </c>
      <c r="G3339" s="2" t="s">
        <v>10459</v>
      </c>
      <c r="H3339" s="2" t="s">
        <v>10459</v>
      </c>
      <c r="I3339" s="2" t="s">
        <v>10460</v>
      </c>
      <c r="J3339" s="2" t="s">
        <v>10472</v>
      </c>
      <c r="K3339" s="2" t="s">
        <v>2477</v>
      </c>
      <c r="L3339" s="3">
        <v>43.2</v>
      </c>
      <c r="M3339" s="3">
        <v>45.36</v>
      </c>
      <c r="N3339" s="3">
        <v>89.99</v>
      </c>
      <c r="O3339" s="2" t="s">
        <v>97</v>
      </c>
      <c r="P3339" s="2" t="s">
        <v>119</v>
      </c>
      <c r="Q3339" s="2" t="s">
        <v>99</v>
      </c>
      <c r="R3339" s="2" t="s">
        <v>100</v>
      </c>
      <c r="S3339" s="2" t="s">
        <v>10501</v>
      </c>
      <c r="T3339" s="2" t="s">
        <v>4972</v>
      </c>
      <c r="U3339" s="2" t="s">
        <v>337</v>
      </c>
      <c r="V3339" s="2" t="s">
        <v>146</v>
      </c>
      <c r="W3339" s="2" t="s">
        <v>183</v>
      </c>
      <c r="X3339" s="2" t="s">
        <v>183</v>
      </c>
      <c r="Y3339" s="2" t="s">
        <v>10474</v>
      </c>
      <c r="Z3339" s="4">
        <v>231</v>
      </c>
      <c r="AA3339" s="4">
        <f>=ROUNDDOWN(46.2,0)</f>
      </c>
      <c r="AB3339" s="5">
        <v>5</v>
      </c>
      <c r="AC3339" s="2" t="s">
        <v>821</v>
      </c>
      <c r="AD3339" s="4">
        <v>100</v>
      </c>
      <c r="AE3339" s="4">
        <v>100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>
        <v>1</v>
      </c>
      <c r="AQ3339" s="8">
        <v>42</v>
      </c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>
        <v>0.1313</v>
      </c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 t="s">
        <v>100</v>
      </c>
      <c r="BJ3339" s="4">
        <v>123</v>
      </c>
      <c r="BK3339" s="8">
        <v>5850.43</v>
      </c>
      <c r="BL3339" s="2" t="s">
        <v>10475</v>
      </c>
      <c r="BM3339" s="7">
        <v>0.0081</v>
      </c>
      <c r="BN3339" s="7">
        <v>0.0072</v>
      </c>
      <c r="BO3339" s="4">
        <v>1</v>
      </c>
      <c r="BP3339" s="8">
        <v>42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5167</v>
      </c>
      <c r="BX3339" s="2" t="s">
        <v>7209</v>
      </c>
      <c r="BY3339" s="2" t="s">
        <v>113</v>
      </c>
      <c r="BZ3339" s="2" t="s">
        <v>100</v>
      </c>
    </row>
    <row r="3340">
      <c r="A3340" s="2" t="s">
        <v>10507</v>
      </c>
      <c r="B3340" s="2" t="s">
        <v>9668</v>
      </c>
      <c r="C3340" s="2" t="s">
        <v>88</v>
      </c>
      <c r="D3340" s="2" t="s">
        <v>9669</v>
      </c>
      <c r="E3340" s="2" t="s">
        <v>9670</v>
      </c>
      <c r="F3340" s="2" t="s">
        <v>10459</v>
      </c>
      <c r="G3340" s="2" t="s">
        <v>10459</v>
      </c>
      <c r="H3340" s="2" t="s">
        <v>10459</v>
      </c>
      <c r="I3340" s="2" t="s">
        <v>10460</v>
      </c>
      <c r="J3340" s="2" t="s">
        <v>706</v>
      </c>
      <c r="K3340" s="2" t="s">
        <v>1614</v>
      </c>
      <c r="L3340" s="3">
        <v>32.9</v>
      </c>
      <c r="M3340" s="3">
        <v>34.54</v>
      </c>
      <c r="N3340" s="3">
        <v>69.99</v>
      </c>
      <c r="O3340" s="2" t="s">
        <v>97</v>
      </c>
      <c r="P3340" s="2" t="s">
        <v>119</v>
      </c>
      <c r="Q3340" s="2" t="s">
        <v>99</v>
      </c>
      <c r="R3340" s="2" t="s">
        <v>100</v>
      </c>
      <c r="S3340" s="2" t="s">
        <v>10508</v>
      </c>
      <c r="T3340" s="2" t="s">
        <v>4972</v>
      </c>
      <c r="U3340" s="2" t="s">
        <v>102</v>
      </c>
      <c r="V3340" s="2" t="s">
        <v>146</v>
      </c>
      <c r="W3340" s="2" t="s">
        <v>183</v>
      </c>
      <c r="X3340" s="2" t="s">
        <v>100</v>
      </c>
      <c r="Y3340" s="2" t="s">
        <v>800</v>
      </c>
      <c r="Z3340" s="4">
        <v>403</v>
      </c>
      <c r="AA3340" s="4">
        <f>=ROUNDDOWN(25.1875,0)</f>
      </c>
      <c r="AB3340" s="5">
        <v>16</v>
      </c>
      <c r="AC3340" s="2" t="s">
        <v>821</v>
      </c>
      <c r="AD3340" s="4">
        <v>196</v>
      </c>
      <c r="AE3340" s="4">
        <v>346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>
        <v>6</v>
      </c>
      <c r="AQ3340" s="8">
        <v>204.12</v>
      </c>
      <c r="AR3340" s="4"/>
      <c r="AS3340" s="8"/>
      <c r="AT3340" s="7"/>
      <c r="AU3340" s="7"/>
      <c r="AV3340" s="4">
        <v>8</v>
      </c>
      <c r="AW3340" s="8">
        <v>283.5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>
        <v>0.72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0.0682</v>
      </c>
      <c r="BJ3340" s="4">
        <v>433</v>
      </c>
      <c r="BK3340" s="8">
        <v>15273.11</v>
      </c>
      <c r="BL3340" s="2" t="s">
        <v>10464</v>
      </c>
      <c r="BM3340" s="7">
        <v>0.0139</v>
      </c>
      <c r="BN3340" s="7">
        <v>0.0134</v>
      </c>
      <c r="BO3340" s="4">
        <v>6</v>
      </c>
      <c r="BP3340" s="8">
        <v>204.12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964</v>
      </c>
      <c r="BX3340" s="2" t="s">
        <v>10509</v>
      </c>
      <c r="BY3340" s="2" t="s">
        <v>113</v>
      </c>
      <c r="BZ3340" s="2" t="s">
        <v>100</v>
      </c>
    </row>
    <row r="3341">
      <c r="A3341" s="2" t="s">
        <v>10510</v>
      </c>
      <c r="B3341" s="2" t="s">
        <v>9668</v>
      </c>
      <c r="C3341" s="2" t="s">
        <v>88</v>
      </c>
      <c r="D3341" s="2" t="s">
        <v>9669</v>
      </c>
      <c r="E3341" s="2" t="s">
        <v>9670</v>
      </c>
      <c r="F3341" s="2" t="s">
        <v>10459</v>
      </c>
      <c r="G3341" s="2" t="s">
        <v>10459</v>
      </c>
      <c r="H3341" s="2" t="s">
        <v>10459</v>
      </c>
      <c r="I3341" s="2" t="s">
        <v>10460</v>
      </c>
      <c r="J3341" s="2" t="s">
        <v>817</v>
      </c>
      <c r="K3341" s="2" t="s">
        <v>1614</v>
      </c>
      <c r="L3341" s="3">
        <v>39.84</v>
      </c>
      <c r="M3341" s="3">
        <v>41.83</v>
      </c>
      <c r="N3341" s="3">
        <v>82.99</v>
      </c>
      <c r="O3341" s="2" t="s">
        <v>97</v>
      </c>
      <c r="P3341" s="2" t="s">
        <v>119</v>
      </c>
      <c r="Q3341" s="2" t="s">
        <v>99</v>
      </c>
      <c r="R3341" s="2" t="s">
        <v>100</v>
      </c>
      <c r="S3341" s="2" t="s">
        <v>10508</v>
      </c>
      <c r="T3341" s="2" t="s">
        <v>4972</v>
      </c>
      <c r="U3341" s="2" t="s">
        <v>102</v>
      </c>
      <c r="V3341" s="2" t="s">
        <v>146</v>
      </c>
      <c r="W3341" s="2" t="s">
        <v>183</v>
      </c>
      <c r="X3341" s="2" t="s">
        <v>100</v>
      </c>
      <c r="Y3341" s="2" t="s">
        <v>800</v>
      </c>
      <c r="Z3341" s="4">
        <v>120</v>
      </c>
      <c r="AA3341" s="4">
        <f>=ROUNDDOWN(24,0)</f>
      </c>
      <c r="AB3341" s="5">
        <v>5</v>
      </c>
      <c r="AC3341" s="2" t="s">
        <v>821</v>
      </c>
      <c r="AD3341" s="4">
        <v>110</v>
      </c>
      <c r="AE3341" s="4">
        <v>154</v>
      </c>
      <c r="AF3341" s="6">
        <v>65</v>
      </c>
      <c r="AG3341" s="6"/>
      <c r="AH3341" s="7">
        <v>0.9947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>
        <v>2</v>
      </c>
      <c r="AQ3341" s="8">
        <v>79.38</v>
      </c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>
        <v>0.28</v>
      </c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 t="s">
        <v>100</v>
      </c>
      <c r="BJ3341" s="4">
        <v>115</v>
      </c>
      <c r="BK3341" s="8">
        <v>4893.63</v>
      </c>
      <c r="BL3341" s="2" t="s">
        <v>10511</v>
      </c>
      <c r="BM3341" s="7">
        <v>0.0174</v>
      </c>
      <c r="BN3341" s="7">
        <v>0.0162</v>
      </c>
      <c r="BO3341" s="4">
        <v>2</v>
      </c>
      <c r="BP3341" s="8">
        <v>79.38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964</v>
      </c>
      <c r="BX3341" s="2" t="s">
        <v>2274</v>
      </c>
      <c r="BY3341" s="2" t="s">
        <v>113</v>
      </c>
      <c r="BZ3341" s="2" t="s">
        <v>100</v>
      </c>
    </row>
    <row r="3342">
      <c r="A3342" s="2" t="s">
        <v>10512</v>
      </c>
      <c r="B3342" s="2" t="s">
        <v>9668</v>
      </c>
      <c r="C3342" s="2" t="s">
        <v>88</v>
      </c>
      <c r="D3342" s="2" t="s">
        <v>9669</v>
      </c>
      <c r="E3342" s="2" t="s">
        <v>9670</v>
      </c>
      <c r="F3342" s="2" t="s">
        <v>10459</v>
      </c>
      <c r="G3342" s="2" t="s">
        <v>10459</v>
      </c>
      <c r="H3342" s="2" t="s">
        <v>10459</v>
      </c>
      <c r="I3342" s="2" t="s">
        <v>10460</v>
      </c>
      <c r="J3342" s="2" t="s">
        <v>10472</v>
      </c>
      <c r="K3342" s="2" t="s">
        <v>1614</v>
      </c>
      <c r="L3342" s="3">
        <v>43.2</v>
      </c>
      <c r="M3342" s="3">
        <v>45.36</v>
      </c>
      <c r="N3342" s="3">
        <v>89.99</v>
      </c>
      <c r="O3342" s="2" t="s">
        <v>97</v>
      </c>
      <c r="P3342" s="2" t="s">
        <v>119</v>
      </c>
      <c r="Q3342" s="2" t="s">
        <v>99</v>
      </c>
      <c r="R3342" s="2" t="s">
        <v>100</v>
      </c>
      <c r="S3342" s="2" t="s">
        <v>10508</v>
      </c>
      <c r="T3342" s="2" t="s">
        <v>4972</v>
      </c>
      <c r="U3342" s="2" t="s">
        <v>337</v>
      </c>
      <c r="V3342" s="2" t="s">
        <v>146</v>
      </c>
      <c r="W3342" s="2" t="s">
        <v>183</v>
      </c>
      <c r="X3342" s="2" t="s">
        <v>100</v>
      </c>
      <c r="Y3342" s="2" t="s">
        <v>8623</v>
      </c>
      <c r="Z3342" s="4">
        <v>382</v>
      </c>
      <c r="AA3342" s="4">
        <f>=ROUNDDOWN(47.75,0)</f>
      </c>
      <c r="AB3342" s="5">
        <v>8</v>
      </c>
      <c r="AC3342" s="2" t="s">
        <v>821</v>
      </c>
      <c r="AD3342" s="4">
        <v>72</v>
      </c>
      <c r="AE3342" s="4">
        <v>168</v>
      </c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 t="s">
        <v>100</v>
      </c>
      <c r="BJ3342" s="4">
        <v>238</v>
      </c>
      <c r="BK3342" s="8">
        <v>11444.52</v>
      </c>
      <c r="BL3342" s="2" t="s">
        <v>492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1662</v>
      </c>
      <c r="BX3342" s="2" t="s">
        <v>9707</v>
      </c>
      <c r="BY3342" s="2" t="s">
        <v>113</v>
      </c>
      <c r="BZ3342" s="2" t="s">
        <v>100</v>
      </c>
    </row>
    <row r="3343">
      <c r="A3343" s="2" t="s">
        <v>10513</v>
      </c>
      <c r="B3343" s="2" t="s">
        <v>9668</v>
      </c>
      <c r="C3343" s="2" t="s">
        <v>88</v>
      </c>
      <c r="D3343" s="2" t="s">
        <v>9669</v>
      </c>
      <c r="E3343" s="2" t="s">
        <v>9670</v>
      </c>
      <c r="F3343" s="2" t="s">
        <v>10514</v>
      </c>
      <c r="G3343" s="2" t="s">
        <v>10514</v>
      </c>
      <c r="H3343" s="2" t="s">
        <v>10514</v>
      </c>
      <c r="I3343" s="2" t="s">
        <v>10515</v>
      </c>
      <c r="J3343" s="2" t="s">
        <v>1936</v>
      </c>
      <c r="K3343" s="2" t="s">
        <v>432</v>
      </c>
      <c r="L3343" s="3">
        <v>13.44</v>
      </c>
      <c r="M3343" s="3">
        <v>14.11</v>
      </c>
      <c r="N3343" s="3">
        <v>27.99</v>
      </c>
      <c r="O3343" s="2" t="s">
        <v>97</v>
      </c>
      <c r="P3343" s="2" t="s">
        <v>119</v>
      </c>
      <c r="Q3343" s="2" t="s">
        <v>99</v>
      </c>
      <c r="R3343" s="2" t="s">
        <v>100</v>
      </c>
      <c r="S3343" s="2" t="s">
        <v>10516</v>
      </c>
      <c r="T3343" s="2" t="s">
        <v>218</v>
      </c>
      <c r="U3343" s="2" t="s">
        <v>100</v>
      </c>
      <c r="V3343" s="2" t="s">
        <v>146</v>
      </c>
      <c r="W3343" s="2" t="s">
        <v>183</v>
      </c>
      <c r="X3343" s="2" t="s">
        <v>100</v>
      </c>
      <c r="Y3343" s="2" t="s">
        <v>1770</v>
      </c>
      <c r="Z3343" s="4">
        <v>152</v>
      </c>
      <c r="AA3343" s="4">
        <f>=ROUNDDOWN(50.6666666666667,0)</f>
      </c>
      <c r="AB3343" s="5">
        <v>3</v>
      </c>
      <c r="AC3343" s="2" t="s">
        <v>100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>
        <v>5</v>
      </c>
      <c r="AQ3343" s="8">
        <v>70.85</v>
      </c>
      <c r="AR3343" s="4"/>
      <c r="AS3343" s="8"/>
      <c r="AT3343" s="7"/>
      <c r="AU3343" s="7"/>
      <c r="AV3343" s="4">
        <v>48</v>
      </c>
      <c r="AW3343" s="8">
        <v>880.98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>
        <v>0.0804</v>
      </c>
      <c r="BC3343" s="4">
        <v>64</v>
      </c>
      <c r="BD3343" s="8">
        <v>1180.81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0.7461</v>
      </c>
      <c r="BJ3343" s="4">
        <v>62</v>
      </c>
      <c r="BK3343" s="8">
        <v>883.41</v>
      </c>
      <c r="BL3343" s="2" t="s">
        <v>10517</v>
      </c>
      <c r="BM3343" s="7">
        <v>0.0806</v>
      </c>
      <c r="BN3343" s="7">
        <v>0.0802</v>
      </c>
      <c r="BO3343" s="4">
        <v>5</v>
      </c>
      <c r="BP3343" s="8">
        <v>70.85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125</v>
      </c>
      <c r="BX3343" s="2" t="s">
        <v>10518</v>
      </c>
      <c r="BY3343" s="2" t="s">
        <v>113</v>
      </c>
      <c r="BZ3343" s="2" t="s">
        <v>100</v>
      </c>
    </row>
    <row r="3344">
      <c r="A3344" s="2" t="s">
        <v>10519</v>
      </c>
      <c r="B3344" s="2" t="s">
        <v>9668</v>
      </c>
      <c r="C3344" s="2" t="s">
        <v>88</v>
      </c>
      <c r="D3344" s="2" t="s">
        <v>9669</v>
      </c>
      <c r="E3344" s="2" t="s">
        <v>9670</v>
      </c>
      <c r="F3344" s="2" t="s">
        <v>10514</v>
      </c>
      <c r="G3344" s="2" t="s">
        <v>10514</v>
      </c>
      <c r="H3344" s="2" t="s">
        <v>10514</v>
      </c>
      <c r="I3344" s="2" t="s">
        <v>10515</v>
      </c>
      <c r="J3344" s="2" t="s">
        <v>2072</v>
      </c>
      <c r="K3344" s="2" t="s">
        <v>432</v>
      </c>
      <c r="L3344" s="3">
        <v>15.19</v>
      </c>
      <c r="M3344" s="3">
        <v>15.95</v>
      </c>
      <c r="N3344" s="3">
        <v>30.99</v>
      </c>
      <c r="O3344" s="2" t="s">
        <v>97</v>
      </c>
      <c r="P3344" s="2" t="s">
        <v>119</v>
      </c>
      <c r="Q3344" s="2" t="s">
        <v>99</v>
      </c>
      <c r="R3344" s="2" t="s">
        <v>100</v>
      </c>
      <c r="S3344" s="2" t="s">
        <v>10516</v>
      </c>
      <c r="T3344" s="2" t="s">
        <v>218</v>
      </c>
      <c r="U3344" s="2" t="s">
        <v>100</v>
      </c>
      <c r="V3344" s="2" t="s">
        <v>146</v>
      </c>
      <c r="W3344" s="2" t="s">
        <v>183</v>
      </c>
      <c r="X3344" s="2" t="s">
        <v>100</v>
      </c>
      <c r="Y3344" s="2" t="s">
        <v>1770</v>
      </c>
      <c r="Z3344" s="4">
        <v>153</v>
      </c>
      <c r="AA3344" s="4">
        <f>=ROUNDDOWN(30.6,0)</f>
      </c>
      <c r="AB3344" s="5">
        <v>5</v>
      </c>
      <c r="AC3344" s="2" t="s">
        <v>931</v>
      </c>
      <c r="AD3344" s="4">
        <v>70</v>
      </c>
      <c r="AE3344" s="4">
        <v>70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>
        <v>13</v>
      </c>
      <c r="AQ3344" s="8">
        <v>206.44</v>
      </c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>
        <v>0.2343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 t="s">
        <v>100</v>
      </c>
      <c r="BJ3344" s="4">
        <v>295</v>
      </c>
      <c r="BK3344" s="8">
        <v>4730.08</v>
      </c>
      <c r="BL3344" s="2" t="s">
        <v>10520</v>
      </c>
      <c r="BM3344" s="7">
        <v>0.0441</v>
      </c>
      <c r="BN3344" s="7">
        <v>0.0436</v>
      </c>
      <c r="BO3344" s="4">
        <v>13</v>
      </c>
      <c r="BP3344" s="8">
        <v>206.44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125</v>
      </c>
      <c r="BX3344" s="2" t="s">
        <v>5151</v>
      </c>
      <c r="BY3344" s="2" t="s">
        <v>113</v>
      </c>
      <c r="BZ3344" s="2" t="s">
        <v>100</v>
      </c>
    </row>
    <row r="3345">
      <c r="A3345" s="2" t="s">
        <v>10521</v>
      </c>
      <c r="B3345" s="2" t="s">
        <v>9668</v>
      </c>
      <c r="C3345" s="2" t="s">
        <v>88</v>
      </c>
      <c r="D3345" s="2" t="s">
        <v>9669</v>
      </c>
      <c r="E3345" s="2" t="s">
        <v>9670</v>
      </c>
      <c r="F3345" s="2" t="s">
        <v>10514</v>
      </c>
      <c r="G3345" s="2" t="s">
        <v>10514</v>
      </c>
      <c r="H3345" s="2" t="s">
        <v>10514</v>
      </c>
      <c r="I3345" s="2" t="s">
        <v>10515</v>
      </c>
      <c r="J3345" s="2" t="s">
        <v>706</v>
      </c>
      <c r="K3345" s="2" t="s">
        <v>432</v>
      </c>
      <c r="L3345" s="3">
        <v>19</v>
      </c>
      <c r="M3345" s="3">
        <v>19.95</v>
      </c>
      <c r="N3345" s="3">
        <v>37.99</v>
      </c>
      <c r="O3345" s="2" t="s">
        <v>97</v>
      </c>
      <c r="P3345" s="2" t="s">
        <v>119</v>
      </c>
      <c r="Q3345" s="2" t="s">
        <v>99</v>
      </c>
      <c r="R3345" s="2" t="s">
        <v>100</v>
      </c>
      <c r="S3345" s="2" t="s">
        <v>10516</v>
      </c>
      <c r="T3345" s="2" t="s">
        <v>218</v>
      </c>
      <c r="U3345" s="2" t="s">
        <v>100</v>
      </c>
      <c r="V3345" s="2" t="s">
        <v>146</v>
      </c>
      <c r="W3345" s="2" t="s">
        <v>183</v>
      </c>
      <c r="X3345" s="2" t="s">
        <v>100</v>
      </c>
      <c r="Y3345" s="2" t="s">
        <v>1770</v>
      </c>
      <c r="Z3345" s="4">
        <v>933</v>
      </c>
      <c r="AA3345" s="4">
        <f>=ROUNDDOWN(37.1713147410359,0)</f>
      </c>
      <c r="AB3345" s="5">
        <v>25.1</v>
      </c>
      <c r="AC3345" s="2" t="s">
        <v>100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>
        <v>27</v>
      </c>
      <c r="AQ3345" s="8">
        <v>535.68</v>
      </c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>
        <v>0.6081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 t="s">
        <v>100</v>
      </c>
      <c r="BJ3345" s="4">
        <v>529</v>
      </c>
      <c r="BK3345" s="8">
        <v>10828.29</v>
      </c>
      <c r="BL3345" s="2" t="s">
        <v>10522</v>
      </c>
      <c r="BM3345" s="7">
        <v>0.051</v>
      </c>
      <c r="BN3345" s="7">
        <v>0.0495</v>
      </c>
      <c r="BO3345" s="4">
        <v>27</v>
      </c>
      <c r="BP3345" s="8">
        <v>535.68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125</v>
      </c>
      <c r="BX3345" s="2" t="s">
        <v>112</v>
      </c>
      <c r="BY3345" s="2" t="s">
        <v>113</v>
      </c>
      <c r="BZ3345" s="2" t="s">
        <v>100</v>
      </c>
    </row>
    <row r="3346">
      <c r="A3346" s="2" t="s">
        <v>10523</v>
      </c>
      <c r="B3346" s="2" t="s">
        <v>9668</v>
      </c>
      <c r="C3346" s="2" t="s">
        <v>88</v>
      </c>
      <c r="D3346" s="2" t="s">
        <v>9669</v>
      </c>
      <c r="E3346" s="2" t="s">
        <v>9670</v>
      </c>
      <c r="F3346" s="2" t="s">
        <v>10514</v>
      </c>
      <c r="G3346" s="2" t="s">
        <v>10514</v>
      </c>
      <c r="H3346" s="2" t="s">
        <v>10514</v>
      </c>
      <c r="I3346" s="2" t="s">
        <v>10515</v>
      </c>
      <c r="J3346" s="2" t="s">
        <v>714</v>
      </c>
      <c r="K3346" s="2" t="s">
        <v>432</v>
      </c>
      <c r="L3346" s="3">
        <v>21.5</v>
      </c>
      <c r="M3346" s="3">
        <v>22.58</v>
      </c>
      <c r="N3346" s="3">
        <v>42.99</v>
      </c>
      <c r="O3346" s="2" t="s">
        <v>97</v>
      </c>
      <c r="P3346" s="2" t="s">
        <v>119</v>
      </c>
      <c r="Q3346" s="2" t="s">
        <v>99</v>
      </c>
      <c r="R3346" s="2" t="s">
        <v>100</v>
      </c>
      <c r="S3346" s="2" t="s">
        <v>10516</v>
      </c>
      <c r="T3346" s="2" t="s">
        <v>218</v>
      </c>
      <c r="U3346" s="2" t="s">
        <v>100</v>
      </c>
      <c r="V3346" s="2" t="s">
        <v>146</v>
      </c>
      <c r="W3346" s="2" t="s">
        <v>183</v>
      </c>
      <c r="X3346" s="2" t="s">
        <v>100</v>
      </c>
      <c r="Y3346" s="2" t="s">
        <v>1770</v>
      </c>
      <c r="Z3346" s="4">
        <v>327</v>
      </c>
      <c r="AA3346" s="4">
        <f>=ROUNDDOWN(27.25,0)</f>
      </c>
      <c r="AB3346" s="5">
        <v>12</v>
      </c>
      <c r="AC3346" s="2" t="s">
        <v>931</v>
      </c>
      <c r="AD3346" s="4">
        <v>150</v>
      </c>
      <c r="AE3346" s="4">
        <v>150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>
        <v>2</v>
      </c>
      <c r="AQ3346" s="8">
        <v>45.34</v>
      </c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>
        <v>0.0515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 t="s">
        <v>100</v>
      </c>
      <c r="BJ3346" s="4">
        <v>247</v>
      </c>
      <c r="BK3346" s="8">
        <v>5575.4</v>
      </c>
      <c r="BL3346" s="2" t="s">
        <v>10524</v>
      </c>
      <c r="BM3346" s="7">
        <v>0.0081</v>
      </c>
      <c r="BN3346" s="7">
        <v>0.0081</v>
      </c>
      <c r="BO3346" s="4">
        <v>2</v>
      </c>
      <c r="BP3346" s="8">
        <v>45.34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125</v>
      </c>
      <c r="BX3346" s="2" t="s">
        <v>945</v>
      </c>
      <c r="BY3346" s="2" t="s">
        <v>113</v>
      </c>
      <c r="BZ3346" s="2" t="s">
        <v>100</v>
      </c>
    </row>
    <row r="3347">
      <c r="A3347" s="2" t="s">
        <v>10525</v>
      </c>
      <c r="B3347" s="2" t="s">
        <v>9668</v>
      </c>
      <c r="C3347" s="2" t="s">
        <v>88</v>
      </c>
      <c r="D3347" s="2" t="s">
        <v>9669</v>
      </c>
      <c r="E3347" s="2" t="s">
        <v>9670</v>
      </c>
      <c r="F3347" s="2" t="s">
        <v>10514</v>
      </c>
      <c r="G3347" s="2" t="s">
        <v>10514</v>
      </c>
      <c r="H3347" s="2" t="s">
        <v>10514</v>
      </c>
      <c r="I3347" s="2" t="s">
        <v>10515</v>
      </c>
      <c r="J3347" s="2" t="s">
        <v>817</v>
      </c>
      <c r="K3347" s="2" t="s">
        <v>432</v>
      </c>
      <c r="L3347" s="3">
        <v>21.5</v>
      </c>
      <c r="M3347" s="3">
        <v>22.58</v>
      </c>
      <c r="N3347" s="3">
        <v>42.99</v>
      </c>
      <c r="O3347" s="2" t="s">
        <v>97</v>
      </c>
      <c r="P3347" s="2" t="s">
        <v>119</v>
      </c>
      <c r="Q3347" s="2" t="s">
        <v>99</v>
      </c>
      <c r="R3347" s="2" t="s">
        <v>100</v>
      </c>
      <c r="S3347" s="2" t="s">
        <v>10516</v>
      </c>
      <c r="T3347" s="2" t="s">
        <v>218</v>
      </c>
      <c r="U3347" s="2" t="s">
        <v>100</v>
      </c>
      <c r="V3347" s="2" t="s">
        <v>146</v>
      </c>
      <c r="W3347" s="2" t="s">
        <v>183</v>
      </c>
      <c r="X3347" s="2" t="s">
        <v>100</v>
      </c>
      <c r="Y3347" s="2" t="s">
        <v>1770</v>
      </c>
      <c r="Z3347" s="4">
        <v>124</v>
      </c>
      <c r="AA3347" s="4">
        <f>=ROUNDDOWN(31,0)</f>
      </c>
      <c r="AB3347" s="5">
        <v>4</v>
      </c>
      <c r="AC3347" s="2" t="s">
        <v>100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>
        <v>1</v>
      </c>
      <c r="AQ3347" s="8">
        <v>22.67</v>
      </c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>
        <v>0.0257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 t="s">
        <v>100</v>
      </c>
      <c r="BJ3347" s="4">
        <v>79</v>
      </c>
      <c r="BK3347" s="8">
        <v>1923.76</v>
      </c>
      <c r="BL3347" s="2" t="s">
        <v>10526</v>
      </c>
      <c r="BM3347" s="7">
        <v>0.0127</v>
      </c>
      <c r="BN3347" s="7">
        <v>0.0118</v>
      </c>
      <c r="BO3347" s="4">
        <v>1</v>
      </c>
      <c r="BP3347" s="8">
        <v>22.67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125</v>
      </c>
      <c r="BX3347" s="2" t="s">
        <v>948</v>
      </c>
      <c r="BY3347" s="2" t="s">
        <v>113</v>
      </c>
      <c r="BZ3347" s="2" t="s">
        <v>100</v>
      </c>
    </row>
    <row r="3348">
      <c r="A3348" s="2" t="s">
        <v>10527</v>
      </c>
      <c r="B3348" s="2" t="s">
        <v>9668</v>
      </c>
      <c r="C3348" s="2" t="s">
        <v>88</v>
      </c>
      <c r="D3348" s="2" t="s">
        <v>9669</v>
      </c>
      <c r="E3348" s="2" t="s">
        <v>9670</v>
      </c>
      <c r="F3348" s="2" t="s">
        <v>10514</v>
      </c>
      <c r="G3348" s="2" t="s">
        <v>10514</v>
      </c>
      <c r="H3348" s="2" t="s">
        <v>10514</v>
      </c>
      <c r="I3348" s="2" t="s">
        <v>10515</v>
      </c>
      <c r="J3348" s="2" t="s">
        <v>1936</v>
      </c>
      <c r="K3348" s="2" t="s">
        <v>1614</v>
      </c>
      <c r="L3348" s="3">
        <v>13.44</v>
      </c>
      <c r="M3348" s="3">
        <v>14.11</v>
      </c>
      <c r="N3348" s="3">
        <v>27.99</v>
      </c>
      <c r="O3348" s="2" t="s">
        <v>97</v>
      </c>
      <c r="P3348" s="2" t="s">
        <v>119</v>
      </c>
      <c r="Q3348" s="2" t="s">
        <v>99</v>
      </c>
      <c r="R3348" s="2" t="s">
        <v>100</v>
      </c>
      <c r="S3348" s="2" t="s">
        <v>10528</v>
      </c>
      <c r="T3348" s="2" t="s">
        <v>218</v>
      </c>
      <c r="U3348" s="2" t="s">
        <v>100</v>
      </c>
      <c r="V3348" s="2" t="s">
        <v>146</v>
      </c>
      <c r="W3348" s="2" t="s">
        <v>183</v>
      </c>
      <c r="X3348" s="2" t="s">
        <v>100</v>
      </c>
      <c r="Y3348" s="2" t="s">
        <v>240</v>
      </c>
      <c r="Z3348" s="4">
        <v>86</v>
      </c>
      <c r="AA3348" s="4">
        <f>=ROUNDDOWN(28.6666666666667,0)</f>
      </c>
      <c r="AB3348" s="5">
        <v>3</v>
      </c>
      <c r="AC3348" s="2" t="s">
        <v>100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>
        <v>7</v>
      </c>
      <c r="AW3348" s="8">
        <v>153.02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>
        <v>0.1296</v>
      </c>
      <c r="BJ3348" s="4">
        <v>74</v>
      </c>
      <c r="BK3348" s="8">
        <v>1032.02</v>
      </c>
      <c r="BL3348" s="2" t="s">
        <v>10529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243</v>
      </c>
      <c r="BX3348" s="2" t="s">
        <v>823</v>
      </c>
      <c r="BY3348" s="2" t="s">
        <v>113</v>
      </c>
      <c r="BZ3348" s="2" t="s">
        <v>100</v>
      </c>
    </row>
    <row r="3349">
      <c r="A3349" s="2" t="s">
        <v>10530</v>
      </c>
      <c r="B3349" s="2" t="s">
        <v>9668</v>
      </c>
      <c r="C3349" s="2" t="s">
        <v>88</v>
      </c>
      <c r="D3349" s="2" t="s">
        <v>9669</v>
      </c>
      <c r="E3349" s="2" t="s">
        <v>9670</v>
      </c>
      <c r="F3349" s="2" t="s">
        <v>10514</v>
      </c>
      <c r="G3349" s="2" t="s">
        <v>10514</v>
      </c>
      <c r="H3349" s="2" t="s">
        <v>10514</v>
      </c>
      <c r="I3349" s="2" t="s">
        <v>10515</v>
      </c>
      <c r="J3349" s="2" t="s">
        <v>2072</v>
      </c>
      <c r="K3349" s="2" t="s">
        <v>1614</v>
      </c>
      <c r="L3349" s="3">
        <v>15.19</v>
      </c>
      <c r="M3349" s="3">
        <v>15.95</v>
      </c>
      <c r="N3349" s="3">
        <v>30.99</v>
      </c>
      <c r="O3349" s="2" t="s">
        <v>97</v>
      </c>
      <c r="P3349" s="2" t="s">
        <v>119</v>
      </c>
      <c r="Q3349" s="2" t="s">
        <v>99</v>
      </c>
      <c r="R3349" s="2" t="s">
        <v>100</v>
      </c>
      <c r="S3349" s="2" t="s">
        <v>10528</v>
      </c>
      <c r="T3349" s="2" t="s">
        <v>218</v>
      </c>
      <c r="U3349" s="2" t="s">
        <v>100</v>
      </c>
      <c r="V3349" s="2" t="s">
        <v>146</v>
      </c>
      <c r="W3349" s="2" t="s">
        <v>183</v>
      </c>
      <c r="X3349" s="2" t="s">
        <v>100</v>
      </c>
      <c r="Y3349" s="2" t="s">
        <v>240</v>
      </c>
      <c r="Z3349" s="4">
        <v>346</v>
      </c>
      <c r="AA3349" s="4">
        <f>=ROUNDDOWN(86.5,0)</f>
      </c>
      <c r="AB3349" s="5">
        <v>4</v>
      </c>
      <c r="AC3349" s="2" t="s">
        <v>100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 t="s">
        <v>100</v>
      </c>
      <c r="BJ3349" s="4">
        <v>208</v>
      </c>
      <c r="BK3349" s="8">
        <v>3277.15</v>
      </c>
      <c r="BL3349" s="2" t="s">
        <v>10531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10532</v>
      </c>
      <c r="BX3349" s="2" t="s">
        <v>4840</v>
      </c>
      <c r="BY3349" s="2" t="s">
        <v>113</v>
      </c>
      <c r="BZ3349" s="2" t="s">
        <v>100</v>
      </c>
    </row>
    <row r="3350">
      <c r="A3350" s="2" t="s">
        <v>10533</v>
      </c>
      <c r="B3350" s="2" t="s">
        <v>9668</v>
      </c>
      <c r="C3350" s="2" t="s">
        <v>88</v>
      </c>
      <c r="D3350" s="2" t="s">
        <v>9669</v>
      </c>
      <c r="E3350" s="2" t="s">
        <v>9670</v>
      </c>
      <c r="F3350" s="2" t="s">
        <v>10514</v>
      </c>
      <c r="G3350" s="2" t="s">
        <v>10514</v>
      </c>
      <c r="H3350" s="2" t="s">
        <v>10514</v>
      </c>
      <c r="I3350" s="2" t="s">
        <v>10515</v>
      </c>
      <c r="J3350" s="2" t="s">
        <v>717</v>
      </c>
      <c r="K3350" s="2" t="s">
        <v>1614</v>
      </c>
      <c r="L3350" s="3">
        <v>16.5</v>
      </c>
      <c r="M3350" s="3">
        <v>17.32</v>
      </c>
      <c r="N3350" s="3">
        <v>32.99</v>
      </c>
      <c r="O3350" s="2" t="s">
        <v>97</v>
      </c>
      <c r="P3350" s="2" t="s">
        <v>119</v>
      </c>
      <c r="Q3350" s="2" t="s">
        <v>99</v>
      </c>
      <c r="R3350" s="2" t="s">
        <v>100</v>
      </c>
      <c r="S3350" s="2" t="s">
        <v>10528</v>
      </c>
      <c r="T3350" s="2" t="s">
        <v>218</v>
      </c>
      <c r="U3350" s="2" t="s">
        <v>100</v>
      </c>
      <c r="V3350" s="2" t="s">
        <v>146</v>
      </c>
      <c r="W3350" s="2" t="s">
        <v>183</v>
      </c>
      <c r="X3350" s="2" t="s">
        <v>100</v>
      </c>
      <c r="Y3350" s="2" t="s">
        <v>240</v>
      </c>
      <c r="Z3350" s="4">
        <v>149</v>
      </c>
      <c r="AA3350" s="4">
        <f>=ROUNDDOWN(29.8,0)</f>
      </c>
      <c r="AB3350" s="5">
        <v>5</v>
      </c>
      <c r="AC3350" s="2" t="s">
        <v>1457</v>
      </c>
      <c r="AD3350" s="4">
        <v>30</v>
      </c>
      <c r="AE3350" s="4">
        <v>30</v>
      </c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>
        <v>1</v>
      </c>
      <c r="AQ3350" s="8">
        <v>17</v>
      </c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>
        <v>0.1111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 t="s">
        <v>100</v>
      </c>
      <c r="BJ3350" s="4">
        <v>107</v>
      </c>
      <c r="BK3350" s="8">
        <v>1781.87</v>
      </c>
      <c r="BL3350" s="2" t="s">
        <v>10534</v>
      </c>
      <c r="BM3350" s="7">
        <v>0.0093</v>
      </c>
      <c r="BN3350" s="7">
        <v>0.0095</v>
      </c>
      <c r="BO3350" s="4">
        <v>1</v>
      </c>
      <c r="BP3350" s="8">
        <v>17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243</v>
      </c>
      <c r="BX3350" s="2" t="s">
        <v>2001</v>
      </c>
      <c r="BY3350" s="2" t="s">
        <v>113</v>
      </c>
      <c r="BZ3350" s="2" t="s">
        <v>100</v>
      </c>
    </row>
    <row r="3351">
      <c r="A3351" s="2" t="s">
        <v>10535</v>
      </c>
      <c r="B3351" s="2" t="s">
        <v>9668</v>
      </c>
      <c r="C3351" s="2" t="s">
        <v>88</v>
      </c>
      <c r="D3351" s="2" t="s">
        <v>9669</v>
      </c>
      <c r="E3351" s="2" t="s">
        <v>9670</v>
      </c>
      <c r="F3351" s="2" t="s">
        <v>10514</v>
      </c>
      <c r="G3351" s="2" t="s">
        <v>10514</v>
      </c>
      <c r="H3351" s="2" t="s">
        <v>10514</v>
      </c>
      <c r="I3351" s="2" t="s">
        <v>10515</v>
      </c>
      <c r="J3351" s="2" t="s">
        <v>714</v>
      </c>
      <c r="K3351" s="2" t="s">
        <v>1614</v>
      </c>
      <c r="L3351" s="3">
        <v>21.5</v>
      </c>
      <c r="M3351" s="3">
        <v>22.58</v>
      </c>
      <c r="N3351" s="3">
        <v>42.99</v>
      </c>
      <c r="O3351" s="2" t="s">
        <v>97</v>
      </c>
      <c r="P3351" s="2" t="s">
        <v>119</v>
      </c>
      <c r="Q3351" s="2" t="s">
        <v>99</v>
      </c>
      <c r="R3351" s="2" t="s">
        <v>100</v>
      </c>
      <c r="S3351" s="2" t="s">
        <v>10528</v>
      </c>
      <c r="T3351" s="2" t="s">
        <v>218</v>
      </c>
      <c r="U3351" s="2" t="s">
        <v>100</v>
      </c>
      <c r="V3351" s="2" t="s">
        <v>146</v>
      </c>
      <c r="W3351" s="2" t="s">
        <v>183</v>
      </c>
      <c r="X3351" s="2" t="s">
        <v>100</v>
      </c>
      <c r="Y3351" s="2" t="s">
        <v>240</v>
      </c>
      <c r="Z3351" s="4">
        <v>110</v>
      </c>
      <c r="AA3351" s="4">
        <f>=ROUNDDOWN(6.875,0)</f>
      </c>
      <c r="AB3351" s="5">
        <v>16</v>
      </c>
      <c r="AC3351" s="2" t="s">
        <v>1102</v>
      </c>
      <c r="AD3351" s="4">
        <v>150</v>
      </c>
      <c r="AE3351" s="4">
        <v>540</v>
      </c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>
        <v>6</v>
      </c>
      <c r="AQ3351" s="8">
        <v>136.02</v>
      </c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>
        <v>0.8889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 t="s">
        <v>100</v>
      </c>
      <c r="BJ3351" s="4">
        <v>302</v>
      </c>
      <c r="BK3351" s="8">
        <v>6658.36</v>
      </c>
      <c r="BL3351" s="2" t="s">
        <v>10536</v>
      </c>
      <c r="BM3351" s="7">
        <v>0.0199</v>
      </c>
      <c r="BN3351" s="7">
        <v>0.0204</v>
      </c>
      <c r="BO3351" s="4">
        <v>6</v>
      </c>
      <c r="BP3351" s="8">
        <v>136.02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243</v>
      </c>
      <c r="BX3351" s="2" t="s">
        <v>5974</v>
      </c>
      <c r="BY3351" s="2" t="s">
        <v>113</v>
      </c>
      <c r="BZ3351" s="2" t="s">
        <v>100</v>
      </c>
    </row>
    <row r="3352">
      <c r="A3352" s="2" t="s">
        <v>10537</v>
      </c>
      <c r="B3352" s="2" t="s">
        <v>9668</v>
      </c>
      <c r="C3352" s="2" t="s">
        <v>88</v>
      </c>
      <c r="D3352" s="2" t="s">
        <v>9669</v>
      </c>
      <c r="E3352" s="2" t="s">
        <v>9670</v>
      </c>
      <c r="F3352" s="2" t="s">
        <v>10514</v>
      </c>
      <c r="G3352" s="2" t="s">
        <v>10514</v>
      </c>
      <c r="H3352" s="2" t="s">
        <v>10514</v>
      </c>
      <c r="I3352" s="2" t="s">
        <v>10515</v>
      </c>
      <c r="J3352" s="2" t="s">
        <v>817</v>
      </c>
      <c r="K3352" s="2" t="s">
        <v>1614</v>
      </c>
      <c r="L3352" s="3">
        <v>21.5</v>
      </c>
      <c r="M3352" s="3">
        <v>22.58</v>
      </c>
      <c r="N3352" s="3">
        <v>42.99</v>
      </c>
      <c r="O3352" s="2" t="s">
        <v>97</v>
      </c>
      <c r="P3352" s="2" t="s">
        <v>119</v>
      </c>
      <c r="Q3352" s="2" t="s">
        <v>99</v>
      </c>
      <c r="R3352" s="2" t="s">
        <v>100</v>
      </c>
      <c r="S3352" s="2" t="s">
        <v>10528</v>
      </c>
      <c r="T3352" s="2" t="s">
        <v>218</v>
      </c>
      <c r="U3352" s="2" t="s">
        <v>100</v>
      </c>
      <c r="V3352" s="2" t="s">
        <v>146</v>
      </c>
      <c r="W3352" s="2" t="s">
        <v>183</v>
      </c>
      <c r="X3352" s="2" t="s">
        <v>100</v>
      </c>
      <c r="Y3352" s="2" t="s">
        <v>240</v>
      </c>
      <c r="Z3352" s="4">
        <v>78</v>
      </c>
      <c r="AA3352" s="4">
        <f>=ROUNDDOWN(26,0)</f>
      </c>
      <c r="AB3352" s="5">
        <v>3</v>
      </c>
      <c r="AC3352" s="2" t="s">
        <v>931</v>
      </c>
      <c r="AD3352" s="4">
        <v>20</v>
      </c>
      <c r="AE3352" s="4">
        <v>20</v>
      </c>
      <c r="AF3352" s="6">
        <v>65</v>
      </c>
      <c r="AG3352" s="6"/>
      <c r="AH3352" s="7">
        <v>0.8824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 t="s">
        <v>100</v>
      </c>
      <c r="BJ3352" s="4">
        <v>60</v>
      </c>
      <c r="BK3352" s="8">
        <v>1333.11</v>
      </c>
      <c r="BL3352" s="2" t="s">
        <v>10538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243</v>
      </c>
      <c r="BX3352" s="2" t="s">
        <v>10539</v>
      </c>
      <c r="BY3352" s="2" t="s">
        <v>113</v>
      </c>
      <c r="BZ3352" s="2" t="s">
        <v>100</v>
      </c>
    </row>
    <row r="3353">
      <c r="A3353" s="2" t="s">
        <v>10540</v>
      </c>
      <c r="B3353" s="2" t="s">
        <v>9668</v>
      </c>
      <c r="C3353" s="2" t="s">
        <v>88</v>
      </c>
      <c r="D3353" s="2" t="s">
        <v>9669</v>
      </c>
      <c r="E3353" s="2" t="s">
        <v>9670</v>
      </c>
      <c r="F3353" s="2" t="s">
        <v>10514</v>
      </c>
      <c r="G3353" s="2" t="s">
        <v>10514</v>
      </c>
      <c r="H3353" s="2" t="s">
        <v>10514</v>
      </c>
      <c r="I3353" s="2" t="s">
        <v>10515</v>
      </c>
      <c r="J3353" s="2" t="s">
        <v>1936</v>
      </c>
      <c r="K3353" s="2" t="s">
        <v>118</v>
      </c>
      <c r="L3353" s="3">
        <v>13.44</v>
      </c>
      <c r="M3353" s="3">
        <v>14.11</v>
      </c>
      <c r="N3353" s="3">
        <v>27.99</v>
      </c>
      <c r="O3353" s="2" t="s">
        <v>97</v>
      </c>
      <c r="P3353" s="2" t="s">
        <v>119</v>
      </c>
      <c r="Q3353" s="2" t="s">
        <v>99</v>
      </c>
      <c r="R3353" s="2" t="s">
        <v>100</v>
      </c>
      <c r="S3353" s="2" t="s">
        <v>10541</v>
      </c>
      <c r="T3353" s="2" t="s">
        <v>218</v>
      </c>
      <c r="U3353" s="2" t="s">
        <v>100</v>
      </c>
      <c r="V3353" s="2" t="s">
        <v>146</v>
      </c>
      <c r="W3353" s="2" t="s">
        <v>183</v>
      </c>
      <c r="X3353" s="2" t="s">
        <v>100</v>
      </c>
      <c r="Y3353" s="2" t="s">
        <v>240</v>
      </c>
      <c r="Z3353" s="4">
        <v>53</v>
      </c>
      <c r="AA3353" s="4">
        <f>=ROUNDDOWN(8.83333333333333,0)</f>
      </c>
      <c r="AB3353" s="5">
        <v>6</v>
      </c>
      <c r="AC3353" s="2" t="s">
        <v>1102</v>
      </c>
      <c r="AD3353" s="4">
        <v>30</v>
      </c>
      <c r="AE3353" s="4">
        <v>170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>
        <v>3</v>
      </c>
      <c r="AW3353" s="8">
        <v>49.88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>
        <v>0.0422</v>
      </c>
      <c r="BJ3353" s="4">
        <v>129</v>
      </c>
      <c r="BK3353" s="8">
        <v>1792.6</v>
      </c>
      <c r="BL3353" s="2" t="s">
        <v>10542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243</v>
      </c>
      <c r="BX3353" s="2" t="s">
        <v>620</v>
      </c>
      <c r="BY3353" s="2" t="s">
        <v>113</v>
      </c>
      <c r="BZ3353" s="2" t="s">
        <v>100</v>
      </c>
    </row>
    <row r="3354">
      <c r="A3354" s="2" t="s">
        <v>10543</v>
      </c>
      <c r="B3354" s="2" t="s">
        <v>9668</v>
      </c>
      <c r="C3354" s="2" t="s">
        <v>88</v>
      </c>
      <c r="D3354" s="2" t="s">
        <v>9669</v>
      </c>
      <c r="E3354" s="2" t="s">
        <v>9670</v>
      </c>
      <c r="F3354" s="2" t="s">
        <v>10514</v>
      </c>
      <c r="G3354" s="2" t="s">
        <v>10514</v>
      </c>
      <c r="H3354" s="2" t="s">
        <v>10514</v>
      </c>
      <c r="I3354" s="2" t="s">
        <v>10515</v>
      </c>
      <c r="J3354" s="2" t="s">
        <v>2072</v>
      </c>
      <c r="K3354" s="2" t="s">
        <v>118</v>
      </c>
      <c r="L3354" s="3">
        <v>15.19</v>
      </c>
      <c r="M3354" s="3">
        <v>15.95</v>
      </c>
      <c r="N3354" s="3">
        <v>30.99</v>
      </c>
      <c r="O3354" s="2" t="s">
        <v>97</v>
      </c>
      <c r="P3354" s="2" t="s">
        <v>119</v>
      </c>
      <c r="Q3354" s="2" t="s">
        <v>99</v>
      </c>
      <c r="R3354" s="2" t="s">
        <v>100</v>
      </c>
      <c r="S3354" s="2" t="s">
        <v>10541</v>
      </c>
      <c r="T3354" s="2" t="s">
        <v>218</v>
      </c>
      <c r="U3354" s="2" t="s">
        <v>100</v>
      </c>
      <c r="V3354" s="2" t="s">
        <v>146</v>
      </c>
      <c r="W3354" s="2" t="s">
        <v>183</v>
      </c>
      <c r="X3354" s="2" t="s">
        <v>100</v>
      </c>
      <c r="Y3354" s="2" t="s">
        <v>240</v>
      </c>
      <c r="Z3354" s="4">
        <v>189</v>
      </c>
      <c r="AA3354" s="4">
        <f>=ROUNDDOWN(37.8,0)</f>
      </c>
      <c r="AB3354" s="5">
        <v>5</v>
      </c>
      <c r="AC3354" s="2" t="s">
        <v>1457</v>
      </c>
      <c r="AD3354" s="4">
        <v>20</v>
      </c>
      <c r="AE3354" s="4">
        <v>20</v>
      </c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>
        <v>1</v>
      </c>
      <c r="AQ3354" s="8">
        <v>15.88</v>
      </c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>
        <v>0.3184</v>
      </c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 t="s">
        <v>100</v>
      </c>
      <c r="BJ3354" s="4">
        <v>298</v>
      </c>
      <c r="BK3354" s="8">
        <v>4620.81</v>
      </c>
      <c r="BL3354" s="2" t="s">
        <v>10544</v>
      </c>
      <c r="BM3354" s="7">
        <v>0.0034</v>
      </c>
      <c r="BN3354" s="7">
        <v>0.0034</v>
      </c>
      <c r="BO3354" s="4">
        <v>1</v>
      </c>
      <c r="BP3354" s="8">
        <v>15.88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10532</v>
      </c>
      <c r="BX3354" s="2" t="s">
        <v>1998</v>
      </c>
      <c r="BY3354" s="2" t="s">
        <v>113</v>
      </c>
      <c r="BZ3354" s="2" t="s">
        <v>100</v>
      </c>
    </row>
    <row r="3355">
      <c r="A3355" s="2" t="s">
        <v>10545</v>
      </c>
      <c r="B3355" s="2" t="s">
        <v>9668</v>
      </c>
      <c r="C3355" s="2" t="s">
        <v>88</v>
      </c>
      <c r="D3355" s="2" t="s">
        <v>9669</v>
      </c>
      <c r="E3355" s="2" t="s">
        <v>9670</v>
      </c>
      <c r="F3355" s="2" t="s">
        <v>10514</v>
      </c>
      <c r="G3355" s="2" t="s">
        <v>10514</v>
      </c>
      <c r="H3355" s="2" t="s">
        <v>10514</v>
      </c>
      <c r="I3355" s="2" t="s">
        <v>10515</v>
      </c>
      <c r="J3355" s="2" t="s">
        <v>717</v>
      </c>
      <c r="K3355" s="2" t="s">
        <v>118</v>
      </c>
      <c r="L3355" s="3">
        <v>16.5</v>
      </c>
      <c r="M3355" s="3">
        <v>17.32</v>
      </c>
      <c r="N3355" s="3">
        <v>32.99</v>
      </c>
      <c r="O3355" s="2" t="s">
        <v>97</v>
      </c>
      <c r="P3355" s="2" t="s">
        <v>119</v>
      </c>
      <c r="Q3355" s="2" t="s">
        <v>99</v>
      </c>
      <c r="R3355" s="2" t="s">
        <v>100</v>
      </c>
      <c r="S3355" s="2" t="s">
        <v>10541</v>
      </c>
      <c r="T3355" s="2" t="s">
        <v>218</v>
      </c>
      <c r="U3355" s="2" t="s">
        <v>100</v>
      </c>
      <c r="V3355" s="2" t="s">
        <v>146</v>
      </c>
      <c r="W3355" s="2" t="s">
        <v>183</v>
      </c>
      <c r="X3355" s="2" t="s">
        <v>100</v>
      </c>
      <c r="Y3355" s="2" t="s">
        <v>240</v>
      </c>
      <c r="Z3355" s="4">
        <v>233</v>
      </c>
      <c r="AA3355" s="4">
        <f>=ROUNDDOWN(33.2857142857143,0)</f>
      </c>
      <c r="AB3355" s="5">
        <v>7</v>
      </c>
      <c r="AC3355" s="2" t="s">
        <v>123</v>
      </c>
      <c r="AD3355" s="4">
        <v>20</v>
      </c>
      <c r="AE3355" s="4">
        <v>180</v>
      </c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>
        <v>2</v>
      </c>
      <c r="AQ3355" s="8">
        <v>34</v>
      </c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>
        <v>0.6816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 t="s">
        <v>100</v>
      </c>
      <c r="BJ3355" s="4">
        <v>153</v>
      </c>
      <c r="BK3355" s="8">
        <v>2552.96</v>
      </c>
      <c r="BL3355" s="2" t="s">
        <v>10546</v>
      </c>
      <c r="BM3355" s="7">
        <v>0.0131</v>
      </c>
      <c r="BN3355" s="7">
        <v>0.0133</v>
      </c>
      <c r="BO3355" s="4">
        <v>2</v>
      </c>
      <c r="BP3355" s="8">
        <v>34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243</v>
      </c>
      <c r="BX3355" s="2" t="s">
        <v>2064</v>
      </c>
      <c r="BY3355" s="2" t="s">
        <v>113</v>
      </c>
      <c r="BZ3355" s="2" t="s">
        <v>100</v>
      </c>
    </row>
    <row r="3356">
      <c r="A3356" s="2" t="s">
        <v>10547</v>
      </c>
      <c r="B3356" s="2" t="s">
        <v>9668</v>
      </c>
      <c r="C3356" s="2" t="s">
        <v>88</v>
      </c>
      <c r="D3356" s="2" t="s">
        <v>9669</v>
      </c>
      <c r="E3356" s="2" t="s">
        <v>9670</v>
      </c>
      <c r="F3356" s="2" t="s">
        <v>10514</v>
      </c>
      <c r="G3356" s="2" t="s">
        <v>10514</v>
      </c>
      <c r="H3356" s="2" t="s">
        <v>10514</v>
      </c>
      <c r="I3356" s="2" t="s">
        <v>10515</v>
      </c>
      <c r="J3356" s="2" t="s">
        <v>714</v>
      </c>
      <c r="K3356" s="2" t="s">
        <v>118</v>
      </c>
      <c r="L3356" s="3">
        <v>21.5</v>
      </c>
      <c r="M3356" s="3">
        <v>22.58</v>
      </c>
      <c r="N3356" s="3">
        <v>42.99</v>
      </c>
      <c r="O3356" s="2" t="s">
        <v>97</v>
      </c>
      <c r="P3356" s="2" t="s">
        <v>119</v>
      </c>
      <c r="Q3356" s="2" t="s">
        <v>99</v>
      </c>
      <c r="R3356" s="2" t="s">
        <v>100</v>
      </c>
      <c r="S3356" s="2" t="s">
        <v>10541</v>
      </c>
      <c r="T3356" s="2" t="s">
        <v>218</v>
      </c>
      <c r="U3356" s="2" t="s">
        <v>100</v>
      </c>
      <c r="V3356" s="2" t="s">
        <v>146</v>
      </c>
      <c r="W3356" s="2" t="s">
        <v>183</v>
      </c>
      <c r="X3356" s="2" t="s">
        <v>100</v>
      </c>
      <c r="Y3356" s="2" t="s">
        <v>240</v>
      </c>
      <c r="Z3356" s="4">
        <v>64</v>
      </c>
      <c r="AA3356" s="4">
        <f>=ROUNDDOWN(4.47552447552447,0)</f>
      </c>
      <c r="AB3356" s="5">
        <v>14.3</v>
      </c>
      <c r="AC3356" s="2" t="s">
        <v>1102</v>
      </c>
      <c r="AD3356" s="4">
        <v>190</v>
      </c>
      <c r="AE3356" s="4">
        <v>520</v>
      </c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 t="s">
        <v>100</v>
      </c>
      <c r="BJ3356" s="4">
        <v>283</v>
      </c>
      <c r="BK3356" s="8">
        <v>6229.79</v>
      </c>
      <c r="BL3356" s="2" t="s">
        <v>10548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243</v>
      </c>
      <c r="BX3356" s="2" t="s">
        <v>10549</v>
      </c>
      <c r="BY3356" s="2" t="s">
        <v>113</v>
      </c>
      <c r="BZ3356" s="2" t="s">
        <v>100</v>
      </c>
    </row>
    <row r="3357">
      <c r="A3357" s="2" t="s">
        <v>10550</v>
      </c>
      <c r="B3357" s="2" t="s">
        <v>9668</v>
      </c>
      <c r="C3357" s="2" t="s">
        <v>88</v>
      </c>
      <c r="D3357" s="2" t="s">
        <v>9669</v>
      </c>
      <c r="E3357" s="2" t="s">
        <v>9670</v>
      </c>
      <c r="F3357" s="2" t="s">
        <v>10514</v>
      </c>
      <c r="G3357" s="2" t="s">
        <v>10514</v>
      </c>
      <c r="H3357" s="2" t="s">
        <v>10514</v>
      </c>
      <c r="I3357" s="2" t="s">
        <v>10515</v>
      </c>
      <c r="J3357" s="2" t="s">
        <v>817</v>
      </c>
      <c r="K3357" s="2" t="s">
        <v>118</v>
      </c>
      <c r="L3357" s="3">
        <v>21.5</v>
      </c>
      <c r="M3357" s="3">
        <v>22.58</v>
      </c>
      <c r="N3357" s="3">
        <v>42.99</v>
      </c>
      <c r="O3357" s="2" t="s">
        <v>97</v>
      </c>
      <c r="P3357" s="2" t="s">
        <v>119</v>
      </c>
      <c r="Q3357" s="2" t="s">
        <v>99</v>
      </c>
      <c r="R3357" s="2" t="s">
        <v>100</v>
      </c>
      <c r="S3357" s="2" t="s">
        <v>10541</v>
      </c>
      <c r="T3357" s="2" t="s">
        <v>218</v>
      </c>
      <c r="U3357" s="2" t="s">
        <v>100</v>
      </c>
      <c r="V3357" s="2" t="s">
        <v>146</v>
      </c>
      <c r="W3357" s="2" t="s">
        <v>183</v>
      </c>
      <c r="X3357" s="2" t="s">
        <v>100</v>
      </c>
      <c r="Y3357" s="2" t="s">
        <v>240</v>
      </c>
      <c r="Z3357" s="4">
        <v>129</v>
      </c>
      <c r="AA3357" s="4">
        <f>=ROUNDDOWN(32.25,0)</f>
      </c>
      <c r="AB3357" s="5">
        <v>4</v>
      </c>
      <c r="AC3357" s="2" t="s">
        <v>100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 t="s">
        <v>100</v>
      </c>
      <c r="BJ3357" s="4">
        <v>85</v>
      </c>
      <c r="BK3357" s="8">
        <v>1901.21</v>
      </c>
      <c r="BL3357" s="2" t="s">
        <v>10551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243</v>
      </c>
      <c r="BX3357" s="2" t="s">
        <v>1117</v>
      </c>
      <c r="BY3357" s="2" t="s">
        <v>113</v>
      </c>
      <c r="BZ3357" s="2" t="s">
        <v>100</v>
      </c>
    </row>
    <row r="3358">
      <c r="A3358" s="2" t="s">
        <v>10552</v>
      </c>
      <c r="B3358" s="2" t="s">
        <v>9668</v>
      </c>
      <c r="C3358" s="2" t="s">
        <v>88</v>
      </c>
      <c r="D3358" s="2" t="s">
        <v>9669</v>
      </c>
      <c r="E3358" s="2" t="s">
        <v>9670</v>
      </c>
      <c r="F3358" s="2" t="s">
        <v>10514</v>
      </c>
      <c r="G3358" s="2" t="s">
        <v>10514</v>
      </c>
      <c r="H3358" s="2" t="s">
        <v>10514</v>
      </c>
      <c r="I3358" s="2" t="s">
        <v>10515</v>
      </c>
      <c r="J3358" s="2" t="s">
        <v>1936</v>
      </c>
      <c r="K3358" s="2" t="s">
        <v>189</v>
      </c>
      <c r="L3358" s="3">
        <v>13.44</v>
      </c>
      <c r="M3358" s="3">
        <v>14.11</v>
      </c>
      <c r="N3358" s="3">
        <v>27.99</v>
      </c>
      <c r="O3358" s="2" t="s">
        <v>97</v>
      </c>
      <c r="P3358" s="2" t="s">
        <v>119</v>
      </c>
      <c r="Q3358" s="2" t="s">
        <v>99</v>
      </c>
      <c r="R3358" s="2" t="s">
        <v>100</v>
      </c>
      <c r="S3358" s="2" t="s">
        <v>10553</v>
      </c>
      <c r="T3358" s="2" t="s">
        <v>218</v>
      </c>
      <c r="U3358" s="2" t="s">
        <v>100</v>
      </c>
      <c r="V3358" s="2" t="s">
        <v>146</v>
      </c>
      <c r="W3358" s="2" t="s">
        <v>183</v>
      </c>
      <c r="X3358" s="2" t="s">
        <v>100</v>
      </c>
      <c r="Y3358" s="2" t="s">
        <v>240</v>
      </c>
      <c r="Z3358" s="4">
        <v>171</v>
      </c>
      <c r="AA3358" s="4">
        <f>=ROUNDDOWN(42.75,0)</f>
      </c>
      <c r="AB3358" s="5">
        <v>4</v>
      </c>
      <c r="AC3358" s="2" t="s">
        <v>100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>
        <v>2</v>
      </c>
      <c r="AW3358" s="8">
        <v>34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0.0288</v>
      </c>
      <c r="BJ3358" s="4">
        <v>90</v>
      </c>
      <c r="BK3358" s="8">
        <v>1239.84</v>
      </c>
      <c r="BL3358" s="2" t="s">
        <v>10554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243</v>
      </c>
      <c r="BX3358" s="2" t="s">
        <v>10555</v>
      </c>
      <c r="BY3358" s="2" t="s">
        <v>113</v>
      </c>
      <c r="BZ3358" s="2" t="s">
        <v>100</v>
      </c>
    </row>
    <row r="3359">
      <c r="A3359" s="2" t="s">
        <v>10556</v>
      </c>
      <c r="B3359" s="2" t="s">
        <v>9668</v>
      </c>
      <c r="C3359" s="2" t="s">
        <v>88</v>
      </c>
      <c r="D3359" s="2" t="s">
        <v>9669</v>
      </c>
      <c r="E3359" s="2" t="s">
        <v>9670</v>
      </c>
      <c r="F3359" s="2" t="s">
        <v>10514</v>
      </c>
      <c r="G3359" s="2" t="s">
        <v>10514</v>
      </c>
      <c r="H3359" s="2" t="s">
        <v>10514</v>
      </c>
      <c r="I3359" s="2" t="s">
        <v>10515</v>
      </c>
      <c r="J3359" s="2" t="s">
        <v>2072</v>
      </c>
      <c r="K3359" s="2" t="s">
        <v>189</v>
      </c>
      <c r="L3359" s="3">
        <v>15.19</v>
      </c>
      <c r="M3359" s="3">
        <v>15.95</v>
      </c>
      <c r="N3359" s="3">
        <v>30.99</v>
      </c>
      <c r="O3359" s="2" t="s">
        <v>97</v>
      </c>
      <c r="P3359" s="2" t="s">
        <v>119</v>
      </c>
      <c r="Q3359" s="2" t="s">
        <v>99</v>
      </c>
      <c r="R3359" s="2" t="s">
        <v>100</v>
      </c>
      <c r="S3359" s="2" t="s">
        <v>10553</v>
      </c>
      <c r="T3359" s="2" t="s">
        <v>218</v>
      </c>
      <c r="U3359" s="2" t="s">
        <v>100</v>
      </c>
      <c r="V3359" s="2" t="s">
        <v>146</v>
      </c>
      <c r="W3359" s="2" t="s">
        <v>183</v>
      </c>
      <c r="X3359" s="2" t="s">
        <v>100</v>
      </c>
      <c r="Y3359" s="2" t="s">
        <v>240</v>
      </c>
      <c r="Z3359" s="4">
        <v>327</v>
      </c>
      <c r="AA3359" s="4">
        <f>=ROUNDDOWN(109,0)</f>
      </c>
      <c r="AB3359" s="5">
        <v>3</v>
      </c>
      <c r="AC3359" s="2" t="s">
        <v>100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 t="s">
        <v>100</v>
      </c>
      <c r="BJ3359" s="4">
        <v>222</v>
      </c>
      <c r="BK3359" s="8">
        <v>3548.77</v>
      </c>
      <c r="BL3359" s="2" t="s">
        <v>10557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10532</v>
      </c>
      <c r="BX3359" s="2" t="s">
        <v>4667</v>
      </c>
      <c r="BY3359" s="2" t="s">
        <v>113</v>
      </c>
      <c r="BZ3359" s="2" t="s">
        <v>100</v>
      </c>
    </row>
    <row r="3360">
      <c r="A3360" s="2" t="s">
        <v>10558</v>
      </c>
      <c r="B3360" s="2" t="s">
        <v>9668</v>
      </c>
      <c r="C3360" s="2" t="s">
        <v>88</v>
      </c>
      <c r="D3360" s="2" t="s">
        <v>9669</v>
      </c>
      <c r="E3360" s="2" t="s">
        <v>9670</v>
      </c>
      <c r="F3360" s="2" t="s">
        <v>10514</v>
      </c>
      <c r="G3360" s="2" t="s">
        <v>10514</v>
      </c>
      <c r="H3360" s="2" t="s">
        <v>10514</v>
      </c>
      <c r="I3360" s="2" t="s">
        <v>10515</v>
      </c>
      <c r="J3360" s="2" t="s">
        <v>717</v>
      </c>
      <c r="K3360" s="2" t="s">
        <v>189</v>
      </c>
      <c r="L3360" s="3">
        <v>16.5</v>
      </c>
      <c r="M3360" s="3">
        <v>17.32</v>
      </c>
      <c r="N3360" s="3">
        <v>32.99</v>
      </c>
      <c r="O3360" s="2" t="s">
        <v>97</v>
      </c>
      <c r="P3360" s="2" t="s">
        <v>119</v>
      </c>
      <c r="Q3360" s="2" t="s">
        <v>99</v>
      </c>
      <c r="R3360" s="2" t="s">
        <v>100</v>
      </c>
      <c r="S3360" s="2" t="s">
        <v>10553</v>
      </c>
      <c r="T3360" s="2" t="s">
        <v>218</v>
      </c>
      <c r="U3360" s="2" t="s">
        <v>100</v>
      </c>
      <c r="V3360" s="2" t="s">
        <v>146</v>
      </c>
      <c r="W3360" s="2" t="s">
        <v>183</v>
      </c>
      <c r="X3360" s="2" t="s">
        <v>100</v>
      </c>
      <c r="Y3360" s="2" t="s">
        <v>240</v>
      </c>
      <c r="Z3360" s="4">
        <v>249</v>
      </c>
      <c r="AA3360" s="4">
        <f>=ROUNDDOWN(41.5,0)</f>
      </c>
      <c r="AB3360" s="5">
        <v>6</v>
      </c>
      <c r="AC3360" s="2" t="s">
        <v>931</v>
      </c>
      <c r="AD3360" s="4">
        <v>20</v>
      </c>
      <c r="AE3360" s="4">
        <v>60</v>
      </c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>
        <v>2</v>
      </c>
      <c r="AQ3360" s="8">
        <v>34</v>
      </c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>
        <v>1</v>
      </c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 t="s">
        <v>100</v>
      </c>
      <c r="BJ3360" s="4">
        <v>146</v>
      </c>
      <c r="BK3360" s="8">
        <v>2521.94</v>
      </c>
      <c r="BL3360" s="2" t="s">
        <v>10475</v>
      </c>
      <c r="BM3360" s="7">
        <v>0.0137</v>
      </c>
      <c r="BN3360" s="7">
        <v>0.0135</v>
      </c>
      <c r="BO3360" s="4">
        <v>2</v>
      </c>
      <c r="BP3360" s="8">
        <v>34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243</v>
      </c>
      <c r="BX3360" s="2" t="s">
        <v>5067</v>
      </c>
      <c r="BY3360" s="2" t="s">
        <v>113</v>
      </c>
      <c r="BZ3360" s="2" t="s">
        <v>100</v>
      </c>
    </row>
    <row r="3361">
      <c r="A3361" s="2" t="s">
        <v>10559</v>
      </c>
      <c r="B3361" s="2" t="s">
        <v>9668</v>
      </c>
      <c r="C3361" s="2" t="s">
        <v>88</v>
      </c>
      <c r="D3361" s="2" t="s">
        <v>9669</v>
      </c>
      <c r="E3361" s="2" t="s">
        <v>9670</v>
      </c>
      <c r="F3361" s="2" t="s">
        <v>10514</v>
      </c>
      <c r="G3361" s="2" t="s">
        <v>10514</v>
      </c>
      <c r="H3361" s="2" t="s">
        <v>10514</v>
      </c>
      <c r="I3361" s="2" t="s">
        <v>10515</v>
      </c>
      <c r="J3361" s="2" t="s">
        <v>706</v>
      </c>
      <c r="K3361" s="2" t="s">
        <v>189</v>
      </c>
      <c r="L3361" s="3">
        <v>19</v>
      </c>
      <c r="M3361" s="3">
        <v>19.95</v>
      </c>
      <c r="N3361" s="3">
        <v>37.99</v>
      </c>
      <c r="O3361" s="2" t="s">
        <v>97</v>
      </c>
      <c r="P3361" s="2" t="s">
        <v>119</v>
      </c>
      <c r="Q3361" s="2" t="s">
        <v>99</v>
      </c>
      <c r="R3361" s="2" t="s">
        <v>100</v>
      </c>
      <c r="S3361" s="2" t="s">
        <v>10553</v>
      </c>
      <c r="T3361" s="2" t="s">
        <v>218</v>
      </c>
      <c r="U3361" s="2" t="s">
        <v>100</v>
      </c>
      <c r="V3361" s="2" t="s">
        <v>146</v>
      </c>
      <c r="W3361" s="2" t="s">
        <v>183</v>
      </c>
      <c r="X3361" s="2" t="s">
        <v>100</v>
      </c>
      <c r="Y3361" s="2" t="s">
        <v>240</v>
      </c>
      <c r="Z3361" s="4">
        <v>325</v>
      </c>
      <c r="AA3361" s="4">
        <f>=ROUNDDOWN(16.839378238342,0)</f>
      </c>
      <c r="AB3361" s="5">
        <v>19.3</v>
      </c>
      <c r="AC3361" s="2" t="s">
        <v>931</v>
      </c>
      <c r="AD3361" s="4">
        <v>250</v>
      </c>
      <c r="AE3361" s="4">
        <v>350</v>
      </c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 t="s">
        <v>100</v>
      </c>
      <c r="BJ3361" s="4">
        <v>444</v>
      </c>
      <c r="BK3361" s="8">
        <v>8918.29</v>
      </c>
      <c r="BL3361" s="2" t="s">
        <v>10560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243</v>
      </c>
      <c r="BX3361" s="2" t="s">
        <v>10561</v>
      </c>
      <c r="BY3361" s="2" t="s">
        <v>113</v>
      </c>
      <c r="BZ3361" s="2" t="s">
        <v>100</v>
      </c>
    </row>
    <row r="3362">
      <c r="A3362" s="2" t="s">
        <v>10562</v>
      </c>
      <c r="B3362" s="2" t="s">
        <v>9668</v>
      </c>
      <c r="C3362" s="2" t="s">
        <v>88</v>
      </c>
      <c r="D3362" s="2" t="s">
        <v>9669</v>
      </c>
      <c r="E3362" s="2" t="s">
        <v>9670</v>
      </c>
      <c r="F3362" s="2" t="s">
        <v>10514</v>
      </c>
      <c r="G3362" s="2" t="s">
        <v>10514</v>
      </c>
      <c r="H3362" s="2" t="s">
        <v>10514</v>
      </c>
      <c r="I3362" s="2" t="s">
        <v>10515</v>
      </c>
      <c r="J3362" s="2" t="s">
        <v>714</v>
      </c>
      <c r="K3362" s="2" t="s">
        <v>189</v>
      </c>
      <c r="L3362" s="3">
        <v>21.5</v>
      </c>
      <c r="M3362" s="3">
        <v>22.58</v>
      </c>
      <c r="N3362" s="3">
        <v>42.99</v>
      </c>
      <c r="O3362" s="2" t="s">
        <v>97</v>
      </c>
      <c r="P3362" s="2" t="s">
        <v>119</v>
      </c>
      <c r="Q3362" s="2" t="s">
        <v>99</v>
      </c>
      <c r="R3362" s="2" t="s">
        <v>100</v>
      </c>
      <c r="S3362" s="2" t="s">
        <v>10553</v>
      </c>
      <c r="T3362" s="2" t="s">
        <v>218</v>
      </c>
      <c r="U3362" s="2" t="s">
        <v>100</v>
      </c>
      <c r="V3362" s="2" t="s">
        <v>146</v>
      </c>
      <c r="W3362" s="2" t="s">
        <v>183</v>
      </c>
      <c r="X3362" s="2" t="s">
        <v>100</v>
      </c>
      <c r="Y3362" s="2" t="s">
        <v>240</v>
      </c>
      <c r="Z3362" s="4">
        <v>149</v>
      </c>
      <c r="AA3362" s="4">
        <f>=ROUNDDOWN(8.76470588235294,0)</f>
      </c>
      <c r="AB3362" s="5">
        <v>17</v>
      </c>
      <c r="AC3362" s="2" t="s">
        <v>931</v>
      </c>
      <c r="AD3362" s="4">
        <v>310</v>
      </c>
      <c r="AE3362" s="4">
        <v>410</v>
      </c>
      <c r="AF3362" s="6">
        <v>65</v>
      </c>
      <c r="AG3362" s="6"/>
      <c r="AH3362" s="7">
        <v>0.8235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 t="s">
        <v>100</v>
      </c>
      <c r="BJ3362" s="4">
        <v>364</v>
      </c>
      <c r="BK3362" s="8">
        <v>8264.55</v>
      </c>
      <c r="BL3362" s="2" t="s">
        <v>10563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243</v>
      </c>
      <c r="BX3362" s="2" t="s">
        <v>5918</v>
      </c>
      <c r="BY3362" s="2" t="s">
        <v>113</v>
      </c>
      <c r="BZ3362" s="2" t="s">
        <v>100</v>
      </c>
    </row>
    <row r="3363">
      <c r="A3363" s="2" t="s">
        <v>10564</v>
      </c>
      <c r="B3363" s="2" t="s">
        <v>9668</v>
      </c>
      <c r="C3363" s="2" t="s">
        <v>88</v>
      </c>
      <c r="D3363" s="2" t="s">
        <v>9669</v>
      </c>
      <c r="E3363" s="2" t="s">
        <v>9670</v>
      </c>
      <c r="F3363" s="2" t="s">
        <v>10514</v>
      </c>
      <c r="G3363" s="2" t="s">
        <v>10514</v>
      </c>
      <c r="H3363" s="2" t="s">
        <v>10514</v>
      </c>
      <c r="I3363" s="2" t="s">
        <v>10515</v>
      </c>
      <c r="J3363" s="2" t="s">
        <v>817</v>
      </c>
      <c r="K3363" s="2" t="s">
        <v>189</v>
      </c>
      <c r="L3363" s="3">
        <v>21.5</v>
      </c>
      <c r="M3363" s="3">
        <v>22.58</v>
      </c>
      <c r="N3363" s="3">
        <v>42.99</v>
      </c>
      <c r="O3363" s="2" t="s">
        <v>97</v>
      </c>
      <c r="P3363" s="2" t="s">
        <v>119</v>
      </c>
      <c r="Q3363" s="2" t="s">
        <v>99</v>
      </c>
      <c r="R3363" s="2" t="s">
        <v>100</v>
      </c>
      <c r="S3363" s="2" t="s">
        <v>10553</v>
      </c>
      <c r="T3363" s="2" t="s">
        <v>218</v>
      </c>
      <c r="U3363" s="2" t="s">
        <v>100</v>
      </c>
      <c r="V3363" s="2" t="s">
        <v>146</v>
      </c>
      <c r="W3363" s="2" t="s">
        <v>183</v>
      </c>
      <c r="X3363" s="2" t="s">
        <v>100</v>
      </c>
      <c r="Y3363" s="2" t="s">
        <v>240</v>
      </c>
      <c r="Z3363" s="4">
        <v>83</v>
      </c>
      <c r="AA3363" s="4">
        <f>=ROUNDDOWN(27.6666666666667,0)</f>
      </c>
      <c r="AB3363" s="5">
        <v>3</v>
      </c>
      <c r="AC3363" s="2" t="s">
        <v>100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 t="s">
        <v>100</v>
      </c>
      <c r="BJ3363" s="4">
        <v>57</v>
      </c>
      <c r="BK3363" s="8">
        <v>1246.61</v>
      </c>
      <c r="BL3363" s="2" t="s">
        <v>7104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243</v>
      </c>
      <c r="BX3363" s="2" t="s">
        <v>10565</v>
      </c>
      <c r="BY3363" s="2" t="s">
        <v>113</v>
      </c>
      <c r="BZ3363" s="2" t="s">
        <v>100</v>
      </c>
    </row>
    <row r="3364">
      <c r="A3364" s="2" t="s">
        <v>10566</v>
      </c>
      <c r="B3364" s="2" t="s">
        <v>9668</v>
      </c>
      <c r="C3364" s="2" t="s">
        <v>88</v>
      </c>
      <c r="D3364" s="2" t="s">
        <v>9669</v>
      </c>
      <c r="E3364" s="2" t="s">
        <v>9670</v>
      </c>
      <c r="F3364" s="2" t="s">
        <v>10514</v>
      </c>
      <c r="G3364" s="2" t="s">
        <v>10514</v>
      </c>
      <c r="H3364" s="2" t="s">
        <v>10514</v>
      </c>
      <c r="I3364" s="2" t="s">
        <v>10515</v>
      </c>
      <c r="J3364" s="2" t="s">
        <v>1936</v>
      </c>
      <c r="K3364" s="2" t="s">
        <v>512</v>
      </c>
      <c r="L3364" s="3">
        <v>13.44</v>
      </c>
      <c r="M3364" s="3">
        <v>14.11</v>
      </c>
      <c r="N3364" s="3">
        <v>27.99</v>
      </c>
      <c r="O3364" s="2" t="s">
        <v>97</v>
      </c>
      <c r="P3364" s="2" t="s">
        <v>119</v>
      </c>
      <c r="Q3364" s="2" t="s">
        <v>99</v>
      </c>
      <c r="R3364" s="2" t="s">
        <v>100</v>
      </c>
      <c r="S3364" s="2" t="s">
        <v>10567</v>
      </c>
      <c r="T3364" s="2" t="s">
        <v>218</v>
      </c>
      <c r="U3364" s="2" t="s">
        <v>100</v>
      </c>
      <c r="V3364" s="2" t="s">
        <v>146</v>
      </c>
      <c r="W3364" s="2" t="s">
        <v>183</v>
      </c>
      <c r="X3364" s="2" t="s">
        <v>100</v>
      </c>
      <c r="Y3364" s="2" t="s">
        <v>240</v>
      </c>
      <c r="Z3364" s="4">
        <v>200</v>
      </c>
      <c r="AA3364" s="4">
        <f>=ROUNDDOWN(28.5714285714286,0)</f>
      </c>
      <c r="AB3364" s="5">
        <v>7</v>
      </c>
      <c r="AC3364" s="2" t="s">
        <v>1102</v>
      </c>
      <c r="AD3364" s="4">
        <v>50</v>
      </c>
      <c r="AE3364" s="4">
        <v>50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>
        <v>2</v>
      </c>
      <c r="AW3364" s="8">
        <v>31.76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0.0269</v>
      </c>
      <c r="BJ3364" s="4">
        <v>152</v>
      </c>
      <c r="BK3364" s="8">
        <v>2177.73</v>
      </c>
      <c r="BL3364" s="2" t="s">
        <v>10568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10532</v>
      </c>
      <c r="BX3364" s="2" t="s">
        <v>6251</v>
      </c>
      <c r="BY3364" s="2" t="s">
        <v>113</v>
      </c>
      <c r="BZ3364" s="2" t="s">
        <v>100</v>
      </c>
    </row>
    <row r="3365">
      <c r="A3365" s="2" t="s">
        <v>10569</v>
      </c>
      <c r="B3365" s="2" t="s">
        <v>9668</v>
      </c>
      <c r="C3365" s="2" t="s">
        <v>88</v>
      </c>
      <c r="D3365" s="2" t="s">
        <v>9669</v>
      </c>
      <c r="E3365" s="2" t="s">
        <v>9670</v>
      </c>
      <c r="F3365" s="2" t="s">
        <v>10514</v>
      </c>
      <c r="G3365" s="2" t="s">
        <v>10514</v>
      </c>
      <c r="H3365" s="2" t="s">
        <v>10514</v>
      </c>
      <c r="I3365" s="2" t="s">
        <v>10515</v>
      </c>
      <c r="J3365" s="2" t="s">
        <v>2072</v>
      </c>
      <c r="K3365" s="2" t="s">
        <v>512</v>
      </c>
      <c r="L3365" s="3">
        <v>15.19</v>
      </c>
      <c r="M3365" s="3">
        <v>15.95</v>
      </c>
      <c r="N3365" s="3">
        <v>30.99</v>
      </c>
      <c r="O3365" s="2" t="s">
        <v>97</v>
      </c>
      <c r="P3365" s="2" t="s">
        <v>119</v>
      </c>
      <c r="Q3365" s="2" t="s">
        <v>99</v>
      </c>
      <c r="R3365" s="2" t="s">
        <v>100</v>
      </c>
      <c r="S3365" s="2" t="s">
        <v>10567</v>
      </c>
      <c r="T3365" s="2" t="s">
        <v>218</v>
      </c>
      <c r="U3365" s="2" t="s">
        <v>100</v>
      </c>
      <c r="V3365" s="2" t="s">
        <v>146</v>
      </c>
      <c r="W3365" s="2" t="s">
        <v>183</v>
      </c>
      <c r="X3365" s="2" t="s">
        <v>100</v>
      </c>
      <c r="Y3365" s="2" t="s">
        <v>240</v>
      </c>
      <c r="Z3365" s="4">
        <v>562</v>
      </c>
      <c r="AA3365" s="4">
        <f>=ROUNDDOWN(140.5,0)</f>
      </c>
      <c r="AB3365" s="5">
        <v>4</v>
      </c>
      <c r="AC3365" s="2" t="s">
        <v>100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>
        <v>2</v>
      </c>
      <c r="AQ3365" s="8">
        <v>31.76</v>
      </c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 t="s">
        <v>100</v>
      </c>
      <c r="BJ3365" s="4">
        <v>178</v>
      </c>
      <c r="BK3365" s="8">
        <v>2829.33</v>
      </c>
      <c r="BL3365" s="2" t="s">
        <v>10570</v>
      </c>
      <c r="BM3365" s="7">
        <v>0.0112</v>
      </c>
      <c r="BN3365" s="7">
        <v>0.0112</v>
      </c>
      <c r="BO3365" s="4">
        <v>2</v>
      </c>
      <c r="BP3365" s="8">
        <v>31.76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10532</v>
      </c>
      <c r="BX3365" s="2" t="s">
        <v>5342</v>
      </c>
      <c r="BY3365" s="2" t="s">
        <v>113</v>
      </c>
      <c r="BZ3365" s="2" t="s">
        <v>100</v>
      </c>
    </row>
    <row r="3366">
      <c r="A3366" s="2" t="s">
        <v>10571</v>
      </c>
      <c r="B3366" s="2" t="s">
        <v>9668</v>
      </c>
      <c r="C3366" s="2" t="s">
        <v>88</v>
      </c>
      <c r="D3366" s="2" t="s">
        <v>9669</v>
      </c>
      <c r="E3366" s="2" t="s">
        <v>9670</v>
      </c>
      <c r="F3366" s="2" t="s">
        <v>10514</v>
      </c>
      <c r="G3366" s="2" t="s">
        <v>10514</v>
      </c>
      <c r="H3366" s="2" t="s">
        <v>10514</v>
      </c>
      <c r="I3366" s="2" t="s">
        <v>10515</v>
      </c>
      <c r="J3366" s="2" t="s">
        <v>714</v>
      </c>
      <c r="K3366" s="2" t="s">
        <v>512</v>
      </c>
      <c r="L3366" s="3">
        <v>21.5</v>
      </c>
      <c r="M3366" s="3">
        <v>22.58</v>
      </c>
      <c r="N3366" s="3">
        <v>42.99</v>
      </c>
      <c r="O3366" s="2" t="s">
        <v>97</v>
      </c>
      <c r="P3366" s="2" t="s">
        <v>119</v>
      </c>
      <c r="Q3366" s="2" t="s">
        <v>99</v>
      </c>
      <c r="R3366" s="2" t="s">
        <v>100</v>
      </c>
      <c r="S3366" s="2" t="s">
        <v>10567</v>
      </c>
      <c r="T3366" s="2" t="s">
        <v>218</v>
      </c>
      <c r="U3366" s="2" t="s">
        <v>100</v>
      </c>
      <c r="V3366" s="2" t="s">
        <v>146</v>
      </c>
      <c r="W3366" s="2" t="s">
        <v>183</v>
      </c>
      <c r="X3366" s="2" t="s">
        <v>100</v>
      </c>
      <c r="Y3366" s="2" t="s">
        <v>240</v>
      </c>
      <c r="Z3366" s="4">
        <v>320</v>
      </c>
      <c r="AA3366" s="4">
        <f>=ROUNDDOWN(21.3333333333333,0)</f>
      </c>
      <c r="AB3366" s="5">
        <v>15</v>
      </c>
      <c r="AC3366" s="2" t="s">
        <v>1102</v>
      </c>
      <c r="AD3366" s="4">
        <v>60</v>
      </c>
      <c r="AE3366" s="4">
        <v>250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 t="s">
        <v>100</v>
      </c>
      <c r="BJ3366" s="4">
        <v>423</v>
      </c>
      <c r="BK3366" s="8">
        <v>9593.2</v>
      </c>
      <c r="BL3366" s="2" t="s">
        <v>10572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10532</v>
      </c>
      <c r="BX3366" s="2" t="s">
        <v>284</v>
      </c>
      <c r="BY3366" s="2" t="s">
        <v>113</v>
      </c>
      <c r="BZ3366" s="2" t="s">
        <v>100</v>
      </c>
    </row>
    <row r="3367">
      <c r="A3367" s="2" t="s">
        <v>10573</v>
      </c>
      <c r="B3367" s="2" t="s">
        <v>9668</v>
      </c>
      <c r="C3367" s="2" t="s">
        <v>88</v>
      </c>
      <c r="D3367" s="2" t="s">
        <v>9669</v>
      </c>
      <c r="E3367" s="2" t="s">
        <v>9670</v>
      </c>
      <c r="F3367" s="2" t="s">
        <v>10514</v>
      </c>
      <c r="G3367" s="2" t="s">
        <v>10514</v>
      </c>
      <c r="H3367" s="2" t="s">
        <v>10514</v>
      </c>
      <c r="I3367" s="2" t="s">
        <v>10515</v>
      </c>
      <c r="J3367" s="2" t="s">
        <v>817</v>
      </c>
      <c r="K3367" s="2" t="s">
        <v>512</v>
      </c>
      <c r="L3367" s="3">
        <v>21.5</v>
      </c>
      <c r="M3367" s="3">
        <v>22.58</v>
      </c>
      <c r="N3367" s="3">
        <v>42.99</v>
      </c>
      <c r="O3367" s="2" t="s">
        <v>97</v>
      </c>
      <c r="P3367" s="2" t="s">
        <v>119</v>
      </c>
      <c r="Q3367" s="2" t="s">
        <v>99</v>
      </c>
      <c r="R3367" s="2" t="s">
        <v>100</v>
      </c>
      <c r="S3367" s="2" t="s">
        <v>10567</v>
      </c>
      <c r="T3367" s="2" t="s">
        <v>218</v>
      </c>
      <c r="U3367" s="2" t="s">
        <v>100</v>
      </c>
      <c r="V3367" s="2" t="s">
        <v>146</v>
      </c>
      <c r="W3367" s="2" t="s">
        <v>183</v>
      </c>
      <c r="X3367" s="2" t="s">
        <v>100</v>
      </c>
      <c r="Y3367" s="2" t="s">
        <v>240</v>
      </c>
      <c r="Z3367" s="4">
        <v>113</v>
      </c>
      <c r="AA3367" s="4">
        <f>=ROUNDDOWN(22.6,0)</f>
      </c>
      <c r="AB3367" s="5">
        <v>5</v>
      </c>
      <c r="AC3367" s="2" t="s">
        <v>1102</v>
      </c>
      <c r="AD3367" s="4">
        <v>40</v>
      </c>
      <c r="AE3367" s="4">
        <v>90</v>
      </c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 t="s">
        <v>100</v>
      </c>
      <c r="BJ3367" s="4">
        <v>109</v>
      </c>
      <c r="BK3367" s="8">
        <v>2557.54</v>
      </c>
      <c r="BL3367" s="2" t="s">
        <v>10574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10532</v>
      </c>
      <c r="BX3367" s="2" t="s">
        <v>163</v>
      </c>
      <c r="BY3367" s="2" t="s">
        <v>113</v>
      </c>
      <c r="BZ3367" s="2" t="s">
        <v>100</v>
      </c>
    </row>
    <row r="3368">
      <c r="A3368" s="2" t="s">
        <v>10575</v>
      </c>
      <c r="B3368" s="2" t="s">
        <v>9668</v>
      </c>
      <c r="C3368" s="2" t="s">
        <v>88</v>
      </c>
      <c r="D3368" s="2" t="s">
        <v>9669</v>
      </c>
      <c r="E3368" s="2" t="s">
        <v>9670</v>
      </c>
      <c r="F3368" s="2" t="s">
        <v>10514</v>
      </c>
      <c r="G3368" s="2" t="s">
        <v>10514</v>
      </c>
      <c r="H3368" s="2" t="s">
        <v>10514</v>
      </c>
      <c r="I3368" s="2" t="s">
        <v>10515</v>
      </c>
      <c r="J3368" s="2" t="s">
        <v>1936</v>
      </c>
      <c r="K3368" s="2" t="s">
        <v>198</v>
      </c>
      <c r="L3368" s="3">
        <v>13.44</v>
      </c>
      <c r="M3368" s="3">
        <v>14.11</v>
      </c>
      <c r="N3368" s="3">
        <v>27.99</v>
      </c>
      <c r="O3368" s="2" t="s">
        <v>97</v>
      </c>
      <c r="P3368" s="2" t="s">
        <v>119</v>
      </c>
      <c r="Q3368" s="2" t="s">
        <v>99</v>
      </c>
      <c r="R3368" s="2" t="s">
        <v>100</v>
      </c>
      <c r="S3368" s="2" t="s">
        <v>10576</v>
      </c>
      <c r="T3368" s="2" t="s">
        <v>218</v>
      </c>
      <c r="U3368" s="2" t="s">
        <v>100</v>
      </c>
      <c r="V3368" s="2" t="s">
        <v>146</v>
      </c>
      <c r="W3368" s="2" t="s">
        <v>183</v>
      </c>
      <c r="X3368" s="2" t="s">
        <v>100</v>
      </c>
      <c r="Y3368" s="2" t="s">
        <v>240</v>
      </c>
      <c r="Z3368" s="4">
        <v>60</v>
      </c>
      <c r="AA3368" s="4">
        <f>=ROUNDDOWN(12,0)</f>
      </c>
      <c r="AB3368" s="5">
        <v>5</v>
      </c>
      <c r="AC3368" s="2" t="s">
        <v>1102</v>
      </c>
      <c r="AD3368" s="4">
        <v>30</v>
      </c>
      <c r="AE3368" s="4">
        <v>150</v>
      </c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>
        <v>1</v>
      </c>
      <c r="AQ3368" s="8">
        <v>14.17</v>
      </c>
      <c r="AR3368" s="4"/>
      <c r="AS3368" s="8"/>
      <c r="AT3368" s="7"/>
      <c r="AU3368" s="7"/>
      <c r="AV3368" s="4">
        <v>2</v>
      </c>
      <c r="AW3368" s="8">
        <v>31.17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>
        <v>0.4546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0.0264</v>
      </c>
      <c r="BJ3368" s="4">
        <v>94</v>
      </c>
      <c r="BK3368" s="8">
        <v>1303.72</v>
      </c>
      <c r="BL3368" s="2" t="s">
        <v>10577</v>
      </c>
      <c r="BM3368" s="7">
        <v>0.0106</v>
      </c>
      <c r="BN3368" s="7">
        <v>0.0109</v>
      </c>
      <c r="BO3368" s="4">
        <v>1</v>
      </c>
      <c r="BP3368" s="8">
        <v>14.17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10532</v>
      </c>
      <c r="BX3368" s="2" t="s">
        <v>10027</v>
      </c>
      <c r="BY3368" s="2" t="s">
        <v>113</v>
      </c>
      <c r="BZ3368" s="2" t="s">
        <v>100</v>
      </c>
    </row>
    <row r="3369">
      <c r="A3369" s="2" t="s">
        <v>10578</v>
      </c>
      <c r="B3369" s="2" t="s">
        <v>9668</v>
      </c>
      <c r="C3369" s="2" t="s">
        <v>88</v>
      </c>
      <c r="D3369" s="2" t="s">
        <v>9669</v>
      </c>
      <c r="E3369" s="2" t="s">
        <v>9670</v>
      </c>
      <c r="F3369" s="2" t="s">
        <v>10514</v>
      </c>
      <c r="G3369" s="2" t="s">
        <v>10514</v>
      </c>
      <c r="H3369" s="2" t="s">
        <v>10514</v>
      </c>
      <c r="I3369" s="2" t="s">
        <v>10515</v>
      </c>
      <c r="J3369" s="2" t="s">
        <v>2072</v>
      </c>
      <c r="K3369" s="2" t="s">
        <v>198</v>
      </c>
      <c r="L3369" s="3">
        <v>15.19</v>
      </c>
      <c r="M3369" s="3">
        <v>15.95</v>
      </c>
      <c r="N3369" s="3">
        <v>30.99</v>
      </c>
      <c r="O3369" s="2" t="s">
        <v>97</v>
      </c>
      <c r="P3369" s="2" t="s">
        <v>119</v>
      </c>
      <c r="Q3369" s="2" t="s">
        <v>99</v>
      </c>
      <c r="R3369" s="2" t="s">
        <v>100</v>
      </c>
      <c r="S3369" s="2" t="s">
        <v>10576</v>
      </c>
      <c r="T3369" s="2" t="s">
        <v>218</v>
      </c>
      <c r="U3369" s="2" t="s">
        <v>100</v>
      </c>
      <c r="V3369" s="2" t="s">
        <v>146</v>
      </c>
      <c r="W3369" s="2" t="s">
        <v>183</v>
      </c>
      <c r="X3369" s="2" t="s">
        <v>100</v>
      </c>
      <c r="Y3369" s="2" t="s">
        <v>240</v>
      </c>
      <c r="Z3369" s="4">
        <v>150</v>
      </c>
      <c r="AA3369" s="4">
        <f>=ROUNDDOWN(21.4285714285714,0)</f>
      </c>
      <c r="AB3369" s="5">
        <v>7</v>
      </c>
      <c r="AC3369" s="2" t="s">
        <v>1102</v>
      </c>
      <c r="AD3369" s="4">
        <v>50</v>
      </c>
      <c r="AE3369" s="4">
        <v>170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 t="s">
        <v>100</v>
      </c>
      <c r="BJ3369" s="4">
        <v>531</v>
      </c>
      <c r="BK3369" s="8">
        <v>8233.36</v>
      </c>
      <c r="BL3369" s="2" t="s">
        <v>10579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10532</v>
      </c>
      <c r="BX3369" s="2" t="s">
        <v>10027</v>
      </c>
      <c r="BY3369" s="2" t="s">
        <v>113</v>
      </c>
      <c r="BZ3369" s="2" t="s">
        <v>100</v>
      </c>
    </row>
    <row r="3370">
      <c r="A3370" s="2" t="s">
        <v>10580</v>
      </c>
      <c r="B3370" s="2" t="s">
        <v>9668</v>
      </c>
      <c r="C3370" s="2" t="s">
        <v>88</v>
      </c>
      <c r="D3370" s="2" t="s">
        <v>9669</v>
      </c>
      <c r="E3370" s="2" t="s">
        <v>9670</v>
      </c>
      <c r="F3370" s="2" t="s">
        <v>10514</v>
      </c>
      <c r="G3370" s="2" t="s">
        <v>10514</v>
      </c>
      <c r="H3370" s="2" t="s">
        <v>10514</v>
      </c>
      <c r="I3370" s="2" t="s">
        <v>10515</v>
      </c>
      <c r="J3370" s="2" t="s">
        <v>717</v>
      </c>
      <c r="K3370" s="2" t="s">
        <v>198</v>
      </c>
      <c r="L3370" s="3">
        <v>16.5</v>
      </c>
      <c r="M3370" s="3">
        <v>17.32</v>
      </c>
      <c r="N3370" s="3">
        <v>32.99</v>
      </c>
      <c r="O3370" s="2" t="s">
        <v>97</v>
      </c>
      <c r="P3370" s="2" t="s">
        <v>119</v>
      </c>
      <c r="Q3370" s="2" t="s">
        <v>99</v>
      </c>
      <c r="R3370" s="2" t="s">
        <v>100</v>
      </c>
      <c r="S3370" s="2" t="s">
        <v>10576</v>
      </c>
      <c r="T3370" s="2" t="s">
        <v>218</v>
      </c>
      <c r="U3370" s="2" t="s">
        <v>100</v>
      </c>
      <c r="V3370" s="2" t="s">
        <v>146</v>
      </c>
      <c r="W3370" s="2" t="s">
        <v>183</v>
      </c>
      <c r="X3370" s="2" t="s">
        <v>100</v>
      </c>
      <c r="Y3370" s="2" t="s">
        <v>240</v>
      </c>
      <c r="Z3370" s="4">
        <v>148</v>
      </c>
      <c r="AA3370" s="4">
        <f>=ROUNDDOWN(24.6666666666667,0)</f>
      </c>
      <c r="AB3370" s="5">
        <v>6</v>
      </c>
      <c r="AC3370" s="2" t="s">
        <v>123</v>
      </c>
      <c r="AD3370" s="4">
        <v>20</v>
      </c>
      <c r="AE3370" s="4">
        <v>80</v>
      </c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>
        <v>1</v>
      </c>
      <c r="AQ3370" s="8">
        <v>17</v>
      </c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>
        <v>0.5454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 t="s">
        <v>100</v>
      </c>
      <c r="BJ3370" s="4">
        <v>151</v>
      </c>
      <c r="BK3370" s="8">
        <v>2603.87</v>
      </c>
      <c r="BL3370" s="2" t="s">
        <v>10581</v>
      </c>
      <c r="BM3370" s="7">
        <v>0.0066</v>
      </c>
      <c r="BN3370" s="7">
        <v>0.0065</v>
      </c>
      <c r="BO3370" s="4">
        <v>1</v>
      </c>
      <c r="BP3370" s="8">
        <v>17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10532</v>
      </c>
      <c r="BX3370" s="2" t="s">
        <v>10582</v>
      </c>
      <c r="BY3370" s="2" t="s">
        <v>113</v>
      </c>
      <c r="BZ3370" s="2" t="s">
        <v>100</v>
      </c>
    </row>
    <row r="3371">
      <c r="A3371" s="2" t="s">
        <v>10583</v>
      </c>
      <c r="B3371" s="2" t="s">
        <v>9668</v>
      </c>
      <c r="C3371" s="2" t="s">
        <v>88</v>
      </c>
      <c r="D3371" s="2" t="s">
        <v>9669</v>
      </c>
      <c r="E3371" s="2" t="s">
        <v>9670</v>
      </c>
      <c r="F3371" s="2" t="s">
        <v>10514</v>
      </c>
      <c r="G3371" s="2" t="s">
        <v>10514</v>
      </c>
      <c r="H3371" s="2" t="s">
        <v>10514</v>
      </c>
      <c r="I3371" s="2" t="s">
        <v>10515</v>
      </c>
      <c r="J3371" s="2" t="s">
        <v>706</v>
      </c>
      <c r="K3371" s="2" t="s">
        <v>198</v>
      </c>
      <c r="L3371" s="3">
        <v>19</v>
      </c>
      <c r="M3371" s="3">
        <v>19.95</v>
      </c>
      <c r="N3371" s="3">
        <v>37.99</v>
      </c>
      <c r="O3371" s="2" t="s">
        <v>97</v>
      </c>
      <c r="P3371" s="2" t="s">
        <v>119</v>
      </c>
      <c r="Q3371" s="2" t="s">
        <v>99</v>
      </c>
      <c r="R3371" s="2" t="s">
        <v>100</v>
      </c>
      <c r="S3371" s="2" t="s">
        <v>10576</v>
      </c>
      <c r="T3371" s="2" t="s">
        <v>218</v>
      </c>
      <c r="U3371" s="2" t="s">
        <v>100</v>
      </c>
      <c r="V3371" s="2" t="s">
        <v>146</v>
      </c>
      <c r="W3371" s="2" t="s">
        <v>183</v>
      </c>
      <c r="X3371" s="2" t="s">
        <v>100</v>
      </c>
      <c r="Y3371" s="2" t="s">
        <v>240</v>
      </c>
      <c r="Z3371" s="4">
        <v>386</v>
      </c>
      <c r="AA3371" s="4">
        <f>=ROUNDDOWN(17.5454545454545,0)</f>
      </c>
      <c r="AB3371" s="5">
        <v>22</v>
      </c>
      <c r="AC3371" s="2" t="s">
        <v>123</v>
      </c>
      <c r="AD3371" s="4">
        <v>120</v>
      </c>
      <c r="AE3371" s="4">
        <v>370</v>
      </c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 t="s">
        <v>100</v>
      </c>
      <c r="BJ3371" s="4">
        <v>516</v>
      </c>
      <c r="BK3371" s="8">
        <v>10129.07</v>
      </c>
      <c r="BL3371" s="2" t="s">
        <v>10584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10532</v>
      </c>
      <c r="BX3371" s="2" t="s">
        <v>5775</v>
      </c>
      <c r="BY3371" s="2" t="s">
        <v>113</v>
      </c>
      <c r="BZ3371" s="2" t="s">
        <v>100</v>
      </c>
    </row>
    <row r="3372">
      <c r="A3372" s="2" t="s">
        <v>10585</v>
      </c>
      <c r="B3372" s="2" t="s">
        <v>9668</v>
      </c>
      <c r="C3372" s="2" t="s">
        <v>88</v>
      </c>
      <c r="D3372" s="2" t="s">
        <v>9669</v>
      </c>
      <c r="E3372" s="2" t="s">
        <v>9670</v>
      </c>
      <c r="F3372" s="2" t="s">
        <v>10514</v>
      </c>
      <c r="G3372" s="2" t="s">
        <v>10514</v>
      </c>
      <c r="H3372" s="2" t="s">
        <v>10514</v>
      </c>
      <c r="I3372" s="2" t="s">
        <v>10515</v>
      </c>
      <c r="J3372" s="2" t="s">
        <v>714</v>
      </c>
      <c r="K3372" s="2" t="s">
        <v>198</v>
      </c>
      <c r="L3372" s="3">
        <v>21.5</v>
      </c>
      <c r="M3372" s="3">
        <v>22.58</v>
      </c>
      <c r="N3372" s="3">
        <v>42.99</v>
      </c>
      <c r="O3372" s="2" t="s">
        <v>97</v>
      </c>
      <c r="P3372" s="2" t="s">
        <v>119</v>
      </c>
      <c r="Q3372" s="2" t="s">
        <v>99</v>
      </c>
      <c r="R3372" s="2" t="s">
        <v>100</v>
      </c>
      <c r="S3372" s="2" t="s">
        <v>10576</v>
      </c>
      <c r="T3372" s="2" t="s">
        <v>218</v>
      </c>
      <c r="U3372" s="2" t="s">
        <v>100</v>
      </c>
      <c r="V3372" s="2" t="s">
        <v>146</v>
      </c>
      <c r="W3372" s="2" t="s">
        <v>183</v>
      </c>
      <c r="X3372" s="2" t="s">
        <v>100</v>
      </c>
      <c r="Y3372" s="2" t="s">
        <v>240</v>
      </c>
      <c r="Z3372" s="4">
        <v>309</v>
      </c>
      <c r="AA3372" s="4">
        <f>=ROUNDDOWN(20.6,0)</f>
      </c>
      <c r="AB3372" s="5">
        <v>15</v>
      </c>
      <c r="AC3372" s="2" t="s">
        <v>1102</v>
      </c>
      <c r="AD3372" s="4">
        <v>40</v>
      </c>
      <c r="AE3372" s="4">
        <v>180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 t="s">
        <v>100</v>
      </c>
      <c r="BJ3372" s="4">
        <v>371</v>
      </c>
      <c r="BK3372" s="8">
        <v>8315.2</v>
      </c>
      <c r="BL3372" s="2" t="s">
        <v>10586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10532</v>
      </c>
      <c r="BX3372" s="2" t="s">
        <v>10587</v>
      </c>
      <c r="BY3372" s="2" t="s">
        <v>113</v>
      </c>
      <c r="BZ3372" s="2" t="s">
        <v>100</v>
      </c>
    </row>
    <row r="3373">
      <c r="A3373" s="2" t="s">
        <v>10588</v>
      </c>
      <c r="B3373" s="2" t="s">
        <v>9668</v>
      </c>
      <c r="C3373" s="2" t="s">
        <v>88</v>
      </c>
      <c r="D3373" s="2" t="s">
        <v>9669</v>
      </c>
      <c r="E3373" s="2" t="s">
        <v>9670</v>
      </c>
      <c r="F3373" s="2" t="s">
        <v>10514</v>
      </c>
      <c r="G3373" s="2" t="s">
        <v>10514</v>
      </c>
      <c r="H3373" s="2" t="s">
        <v>10514</v>
      </c>
      <c r="I3373" s="2" t="s">
        <v>10515</v>
      </c>
      <c r="J3373" s="2" t="s">
        <v>817</v>
      </c>
      <c r="K3373" s="2" t="s">
        <v>198</v>
      </c>
      <c r="L3373" s="3">
        <v>21.5</v>
      </c>
      <c r="M3373" s="3">
        <v>22.58</v>
      </c>
      <c r="N3373" s="3">
        <v>42.99</v>
      </c>
      <c r="O3373" s="2" t="s">
        <v>97</v>
      </c>
      <c r="P3373" s="2" t="s">
        <v>119</v>
      </c>
      <c r="Q3373" s="2" t="s">
        <v>99</v>
      </c>
      <c r="R3373" s="2" t="s">
        <v>100</v>
      </c>
      <c r="S3373" s="2" t="s">
        <v>10576</v>
      </c>
      <c r="T3373" s="2" t="s">
        <v>218</v>
      </c>
      <c r="U3373" s="2" t="s">
        <v>100</v>
      </c>
      <c r="V3373" s="2" t="s">
        <v>146</v>
      </c>
      <c r="W3373" s="2" t="s">
        <v>183</v>
      </c>
      <c r="X3373" s="2" t="s">
        <v>100</v>
      </c>
      <c r="Y3373" s="2" t="s">
        <v>240</v>
      </c>
      <c r="Z3373" s="4">
        <v>128</v>
      </c>
      <c r="AA3373" s="4">
        <f>=ROUNDDOWN(42.6666666666667,0)</f>
      </c>
      <c r="AB3373" s="5">
        <v>3</v>
      </c>
      <c r="AC3373" s="2" t="s">
        <v>100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 t="s">
        <v>100</v>
      </c>
      <c r="BJ3373" s="4">
        <v>82</v>
      </c>
      <c r="BK3373" s="8">
        <v>1824.38</v>
      </c>
      <c r="BL3373" s="2" t="s">
        <v>10589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10532</v>
      </c>
      <c r="BX3373" s="2" t="s">
        <v>6234</v>
      </c>
      <c r="BY3373" s="2" t="s">
        <v>113</v>
      </c>
      <c r="BZ3373" s="2" t="s">
        <v>100</v>
      </c>
    </row>
    <row r="3374">
      <c r="A3374" s="2" t="s">
        <v>10590</v>
      </c>
      <c r="B3374" s="2" t="s">
        <v>9668</v>
      </c>
      <c r="C3374" s="2" t="s">
        <v>88</v>
      </c>
      <c r="D3374" s="2" t="s">
        <v>9669</v>
      </c>
      <c r="E3374" s="2" t="s">
        <v>9670</v>
      </c>
      <c r="F3374" s="2" t="s">
        <v>10514</v>
      </c>
      <c r="G3374" s="2" t="s">
        <v>10514</v>
      </c>
      <c r="H3374" s="2" t="s">
        <v>10514</v>
      </c>
      <c r="I3374" s="2" t="s">
        <v>10515</v>
      </c>
      <c r="J3374" s="2" t="s">
        <v>1936</v>
      </c>
      <c r="K3374" s="2" t="s">
        <v>144</v>
      </c>
      <c r="L3374" s="3">
        <v>13.44</v>
      </c>
      <c r="M3374" s="3">
        <v>14.11</v>
      </c>
      <c r="N3374" s="3">
        <v>27.99</v>
      </c>
      <c r="O3374" s="2" t="s">
        <v>97</v>
      </c>
      <c r="P3374" s="2" t="s">
        <v>119</v>
      </c>
      <c r="Q3374" s="2" t="s">
        <v>99</v>
      </c>
      <c r="R3374" s="2" t="s">
        <v>100</v>
      </c>
      <c r="S3374" s="2" t="s">
        <v>10591</v>
      </c>
      <c r="T3374" s="2" t="s">
        <v>218</v>
      </c>
      <c r="U3374" s="2" t="s">
        <v>100</v>
      </c>
      <c r="V3374" s="2" t="s">
        <v>146</v>
      </c>
      <c r="W3374" s="2" t="s">
        <v>183</v>
      </c>
      <c r="X3374" s="2" t="s">
        <v>100</v>
      </c>
      <c r="Y3374" s="2" t="s">
        <v>240</v>
      </c>
      <c r="Z3374" s="4">
        <v>112</v>
      </c>
      <c r="AA3374" s="4">
        <f>=ROUNDDOWN(41.4814814814815,0)</f>
      </c>
      <c r="AB3374" s="5">
        <v>2.7</v>
      </c>
      <c r="AC3374" s="2" t="s">
        <v>1457</v>
      </c>
      <c r="AD3374" s="4">
        <v>70</v>
      </c>
      <c r="AE3374" s="4">
        <v>70</v>
      </c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 t="s">
        <v>100</v>
      </c>
      <c r="BJ3374" s="4">
        <v>63</v>
      </c>
      <c r="BK3374" s="8">
        <v>860.66</v>
      </c>
      <c r="BL3374" s="2" t="s">
        <v>10592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243</v>
      </c>
      <c r="BX3374" s="2" t="s">
        <v>10593</v>
      </c>
      <c r="BY3374" s="2" t="s">
        <v>113</v>
      </c>
      <c r="BZ3374" s="2" t="s">
        <v>100</v>
      </c>
    </row>
    <row r="3375">
      <c r="A3375" s="2" t="s">
        <v>10594</v>
      </c>
      <c r="B3375" s="2" t="s">
        <v>9668</v>
      </c>
      <c r="C3375" s="2" t="s">
        <v>88</v>
      </c>
      <c r="D3375" s="2" t="s">
        <v>9669</v>
      </c>
      <c r="E3375" s="2" t="s">
        <v>9670</v>
      </c>
      <c r="F3375" s="2" t="s">
        <v>10514</v>
      </c>
      <c r="G3375" s="2" t="s">
        <v>10514</v>
      </c>
      <c r="H3375" s="2" t="s">
        <v>10514</v>
      </c>
      <c r="I3375" s="2" t="s">
        <v>10515</v>
      </c>
      <c r="J3375" s="2" t="s">
        <v>717</v>
      </c>
      <c r="K3375" s="2" t="s">
        <v>144</v>
      </c>
      <c r="L3375" s="3">
        <v>16.5</v>
      </c>
      <c r="M3375" s="3">
        <v>17.32</v>
      </c>
      <c r="N3375" s="3">
        <v>32.99</v>
      </c>
      <c r="O3375" s="2" t="s">
        <v>97</v>
      </c>
      <c r="P3375" s="2" t="s">
        <v>119</v>
      </c>
      <c r="Q3375" s="2" t="s">
        <v>99</v>
      </c>
      <c r="R3375" s="2" t="s">
        <v>100</v>
      </c>
      <c r="S3375" s="2" t="s">
        <v>10591</v>
      </c>
      <c r="T3375" s="2" t="s">
        <v>218</v>
      </c>
      <c r="U3375" s="2" t="s">
        <v>100</v>
      </c>
      <c r="V3375" s="2" t="s">
        <v>146</v>
      </c>
      <c r="W3375" s="2" t="s">
        <v>183</v>
      </c>
      <c r="X3375" s="2" t="s">
        <v>100</v>
      </c>
      <c r="Y3375" s="2" t="s">
        <v>240</v>
      </c>
      <c r="Z3375" s="4">
        <v>66</v>
      </c>
      <c r="AA3375" s="4">
        <f>=ROUNDDOWN(18.8571428571429,0)</f>
      </c>
      <c r="AB3375" s="5">
        <v>3.5</v>
      </c>
      <c r="AC3375" s="2" t="s">
        <v>123</v>
      </c>
      <c r="AD3375" s="4">
        <v>50</v>
      </c>
      <c r="AE3375" s="4">
        <v>120</v>
      </c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 t="s">
        <v>100</v>
      </c>
      <c r="BJ3375" s="4">
        <v>84</v>
      </c>
      <c r="BK3375" s="8">
        <v>1392.24</v>
      </c>
      <c r="BL3375" s="2" t="s">
        <v>10595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243</v>
      </c>
      <c r="BX3375" s="2" t="s">
        <v>6105</v>
      </c>
      <c r="BY3375" s="2" t="s">
        <v>113</v>
      </c>
      <c r="BZ3375" s="2" t="s">
        <v>100</v>
      </c>
    </row>
    <row r="3376">
      <c r="A3376" s="2" t="s">
        <v>10596</v>
      </c>
      <c r="B3376" s="2" t="s">
        <v>9668</v>
      </c>
      <c r="C3376" s="2" t="s">
        <v>88</v>
      </c>
      <c r="D3376" s="2" t="s">
        <v>9669</v>
      </c>
      <c r="E3376" s="2" t="s">
        <v>9670</v>
      </c>
      <c r="F3376" s="2" t="s">
        <v>10514</v>
      </c>
      <c r="G3376" s="2" t="s">
        <v>10514</v>
      </c>
      <c r="H3376" s="2" t="s">
        <v>10514</v>
      </c>
      <c r="I3376" s="2" t="s">
        <v>10515</v>
      </c>
      <c r="J3376" s="2" t="s">
        <v>706</v>
      </c>
      <c r="K3376" s="2" t="s">
        <v>144</v>
      </c>
      <c r="L3376" s="3">
        <v>19</v>
      </c>
      <c r="M3376" s="3">
        <v>19.95</v>
      </c>
      <c r="N3376" s="3">
        <v>37.99</v>
      </c>
      <c r="O3376" s="2" t="s">
        <v>97</v>
      </c>
      <c r="P3376" s="2" t="s">
        <v>119</v>
      </c>
      <c r="Q3376" s="2" t="s">
        <v>99</v>
      </c>
      <c r="R3376" s="2" t="s">
        <v>100</v>
      </c>
      <c r="S3376" s="2" t="s">
        <v>10591</v>
      </c>
      <c r="T3376" s="2" t="s">
        <v>218</v>
      </c>
      <c r="U3376" s="2" t="s">
        <v>100</v>
      </c>
      <c r="V3376" s="2" t="s">
        <v>146</v>
      </c>
      <c r="W3376" s="2" t="s">
        <v>183</v>
      </c>
      <c r="X3376" s="2" t="s">
        <v>100</v>
      </c>
      <c r="Y3376" s="2" t="s">
        <v>240</v>
      </c>
      <c r="Z3376" s="4">
        <v>114</v>
      </c>
      <c r="AA3376" s="4">
        <f>=ROUNDDOWN(5.7,0)</f>
      </c>
      <c r="AB3376" s="5">
        <v>20</v>
      </c>
      <c r="AC3376" s="2" t="s">
        <v>1102</v>
      </c>
      <c r="AD3376" s="4">
        <v>180</v>
      </c>
      <c r="AE3376" s="4">
        <v>530</v>
      </c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 t="s">
        <v>100</v>
      </c>
      <c r="BJ3376" s="4">
        <v>380</v>
      </c>
      <c r="BK3376" s="8">
        <v>7223.43</v>
      </c>
      <c r="BL3376" s="2" t="s">
        <v>10560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243</v>
      </c>
      <c r="BX3376" s="2" t="s">
        <v>10597</v>
      </c>
      <c r="BY3376" s="2" t="s">
        <v>113</v>
      </c>
      <c r="BZ3376" s="2" t="s">
        <v>100</v>
      </c>
    </row>
    <row r="3377">
      <c r="A3377" s="2" t="s">
        <v>10598</v>
      </c>
      <c r="B3377" s="2" t="s">
        <v>9668</v>
      </c>
      <c r="C3377" s="2" t="s">
        <v>88</v>
      </c>
      <c r="D3377" s="2" t="s">
        <v>9669</v>
      </c>
      <c r="E3377" s="2" t="s">
        <v>9670</v>
      </c>
      <c r="F3377" s="2" t="s">
        <v>10514</v>
      </c>
      <c r="G3377" s="2" t="s">
        <v>10514</v>
      </c>
      <c r="H3377" s="2" t="s">
        <v>10514</v>
      </c>
      <c r="I3377" s="2" t="s">
        <v>10515</v>
      </c>
      <c r="J3377" s="2" t="s">
        <v>714</v>
      </c>
      <c r="K3377" s="2" t="s">
        <v>144</v>
      </c>
      <c r="L3377" s="3">
        <v>21.5</v>
      </c>
      <c r="M3377" s="3">
        <v>22.58</v>
      </c>
      <c r="N3377" s="3">
        <v>42.99</v>
      </c>
      <c r="O3377" s="2" t="s">
        <v>97</v>
      </c>
      <c r="P3377" s="2" t="s">
        <v>119</v>
      </c>
      <c r="Q3377" s="2" t="s">
        <v>99</v>
      </c>
      <c r="R3377" s="2" t="s">
        <v>100</v>
      </c>
      <c r="S3377" s="2" t="s">
        <v>10591</v>
      </c>
      <c r="T3377" s="2" t="s">
        <v>218</v>
      </c>
      <c r="U3377" s="2" t="s">
        <v>100</v>
      </c>
      <c r="V3377" s="2" t="s">
        <v>146</v>
      </c>
      <c r="W3377" s="2" t="s">
        <v>183</v>
      </c>
      <c r="X3377" s="2" t="s">
        <v>100</v>
      </c>
      <c r="Y3377" s="2" t="s">
        <v>240</v>
      </c>
      <c r="Z3377" s="4">
        <v>174</v>
      </c>
      <c r="AA3377" s="4">
        <f>=ROUNDDOWN(13.0827067669173,0)</f>
      </c>
      <c r="AB3377" s="5">
        <v>13.3</v>
      </c>
      <c r="AC3377" s="2" t="s">
        <v>123</v>
      </c>
      <c r="AD3377" s="4">
        <v>100</v>
      </c>
      <c r="AE3377" s="4">
        <v>280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 t="s">
        <v>100</v>
      </c>
      <c r="BJ3377" s="4">
        <v>238</v>
      </c>
      <c r="BK3377" s="8">
        <v>5229.26</v>
      </c>
      <c r="BL3377" s="2" t="s">
        <v>10599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243</v>
      </c>
      <c r="BX3377" s="2" t="s">
        <v>10600</v>
      </c>
      <c r="BY3377" s="2" t="s">
        <v>113</v>
      </c>
      <c r="BZ3377" s="2" t="s">
        <v>100</v>
      </c>
    </row>
    <row r="3378">
      <c r="A3378" s="2" t="s">
        <v>10601</v>
      </c>
      <c r="B3378" s="2" t="s">
        <v>9668</v>
      </c>
      <c r="C3378" s="2" t="s">
        <v>88</v>
      </c>
      <c r="D3378" s="2" t="s">
        <v>9669</v>
      </c>
      <c r="E3378" s="2" t="s">
        <v>9670</v>
      </c>
      <c r="F3378" s="2" t="s">
        <v>10514</v>
      </c>
      <c r="G3378" s="2" t="s">
        <v>10514</v>
      </c>
      <c r="H3378" s="2" t="s">
        <v>10514</v>
      </c>
      <c r="I3378" s="2" t="s">
        <v>10515</v>
      </c>
      <c r="J3378" s="2" t="s">
        <v>817</v>
      </c>
      <c r="K3378" s="2" t="s">
        <v>144</v>
      </c>
      <c r="L3378" s="3">
        <v>21.5</v>
      </c>
      <c r="M3378" s="3">
        <v>22.58</v>
      </c>
      <c r="N3378" s="3">
        <v>42.99</v>
      </c>
      <c r="O3378" s="2" t="s">
        <v>97</v>
      </c>
      <c r="P3378" s="2" t="s">
        <v>119</v>
      </c>
      <c r="Q3378" s="2" t="s">
        <v>99</v>
      </c>
      <c r="R3378" s="2" t="s">
        <v>100</v>
      </c>
      <c r="S3378" s="2" t="s">
        <v>10591</v>
      </c>
      <c r="T3378" s="2" t="s">
        <v>218</v>
      </c>
      <c r="U3378" s="2" t="s">
        <v>100</v>
      </c>
      <c r="V3378" s="2" t="s">
        <v>146</v>
      </c>
      <c r="W3378" s="2" t="s">
        <v>183</v>
      </c>
      <c r="X3378" s="2" t="s">
        <v>100</v>
      </c>
      <c r="Y3378" s="2" t="s">
        <v>240</v>
      </c>
      <c r="Z3378" s="4">
        <v>97</v>
      </c>
      <c r="AA3378" s="4">
        <f>=ROUNDDOWN(32.3333333333333,0)</f>
      </c>
      <c r="AB3378" s="5">
        <v>3</v>
      </c>
      <c r="AC3378" s="2" t="s">
        <v>100</v>
      </c>
      <c r="AD3378" s="4"/>
      <c r="AE3378" s="4"/>
      <c r="AF3378" s="6">
        <v>65</v>
      </c>
      <c r="AG3378" s="6"/>
      <c r="AH3378" s="7">
        <v>0.8877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 t="s">
        <v>100</v>
      </c>
      <c r="BJ3378" s="4">
        <v>52</v>
      </c>
      <c r="BK3378" s="8">
        <v>1145.85</v>
      </c>
      <c r="BL3378" s="2" t="s">
        <v>10602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243</v>
      </c>
      <c r="BX3378" s="2" t="s">
        <v>10603</v>
      </c>
      <c r="BY3378" s="2" t="s">
        <v>113</v>
      </c>
      <c r="BZ3378" s="2" t="s">
        <v>100</v>
      </c>
    </row>
    <row r="3379">
      <c r="A3379" s="2" t="s">
        <v>10604</v>
      </c>
      <c r="B3379" s="2" t="s">
        <v>9668</v>
      </c>
      <c r="C3379" s="2" t="s">
        <v>88</v>
      </c>
      <c r="D3379" s="2" t="s">
        <v>9669</v>
      </c>
      <c r="E3379" s="2" t="s">
        <v>9670</v>
      </c>
      <c r="F3379" s="2" t="s">
        <v>10605</v>
      </c>
      <c r="G3379" s="2" t="s">
        <v>10605</v>
      </c>
      <c r="H3379" s="2" t="s">
        <v>10605</v>
      </c>
      <c r="I3379" s="2" t="s">
        <v>10606</v>
      </c>
      <c r="J3379" s="2" t="s">
        <v>1936</v>
      </c>
      <c r="K3379" s="2" t="s">
        <v>189</v>
      </c>
      <c r="L3379" s="3">
        <v>21.6</v>
      </c>
      <c r="M3379" s="3">
        <v>22.68</v>
      </c>
      <c r="N3379" s="3">
        <v>47.99</v>
      </c>
      <c r="O3379" s="2" t="s">
        <v>97</v>
      </c>
      <c r="P3379" s="2" t="s">
        <v>119</v>
      </c>
      <c r="Q3379" s="2" t="s">
        <v>99</v>
      </c>
      <c r="R3379" s="2" t="s">
        <v>100</v>
      </c>
      <c r="S3379" s="2" t="s">
        <v>10607</v>
      </c>
      <c r="T3379" s="2" t="s">
        <v>280</v>
      </c>
      <c r="U3379" s="2" t="s">
        <v>480</v>
      </c>
      <c r="V3379" s="2" t="s">
        <v>146</v>
      </c>
      <c r="W3379" s="2" t="s">
        <v>183</v>
      </c>
      <c r="X3379" s="2" t="s">
        <v>100</v>
      </c>
      <c r="Y3379" s="2" t="s">
        <v>10608</v>
      </c>
      <c r="Z3379" s="4">
        <v>2</v>
      </c>
      <c r="AA3379" s="4">
        <f>=ROUNDDOWN(0.232558139534884,0)</f>
      </c>
      <c r="AB3379" s="5">
        <v>8.6</v>
      </c>
      <c r="AC3379" s="2" t="s">
        <v>241</v>
      </c>
      <c r="AD3379" s="4">
        <v>50</v>
      </c>
      <c r="AE3379" s="4">
        <v>220</v>
      </c>
      <c r="AF3379" s="6">
        <v>65</v>
      </c>
      <c r="AG3379" s="6"/>
      <c r="AH3379" s="7">
        <v>0.9679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>
        <v>10</v>
      </c>
      <c r="AW3379" s="8">
        <v>314.7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>
        <v>27</v>
      </c>
      <c r="BD3379" s="8">
        <v>859.03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>
        <v>0.3663</v>
      </c>
      <c r="BJ3379" s="4">
        <v>271</v>
      </c>
      <c r="BK3379" s="8">
        <v>6717.99</v>
      </c>
      <c r="BL3379" s="2" t="s">
        <v>6863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1883</v>
      </c>
      <c r="BX3379" s="2" t="s">
        <v>5558</v>
      </c>
      <c r="BY3379" s="2" t="s">
        <v>113</v>
      </c>
      <c r="BZ3379" s="2" t="s">
        <v>100</v>
      </c>
    </row>
    <row r="3380">
      <c r="A3380" s="2" t="s">
        <v>10609</v>
      </c>
      <c r="B3380" s="2" t="s">
        <v>9668</v>
      </c>
      <c r="C3380" s="2" t="s">
        <v>88</v>
      </c>
      <c r="D3380" s="2" t="s">
        <v>9669</v>
      </c>
      <c r="E3380" s="2" t="s">
        <v>9670</v>
      </c>
      <c r="F3380" s="2" t="s">
        <v>10605</v>
      </c>
      <c r="G3380" s="2" t="s">
        <v>10605</v>
      </c>
      <c r="H3380" s="2" t="s">
        <v>10605</v>
      </c>
      <c r="I3380" s="2" t="s">
        <v>10606</v>
      </c>
      <c r="J3380" s="2" t="s">
        <v>717</v>
      </c>
      <c r="K3380" s="2" t="s">
        <v>189</v>
      </c>
      <c r="L3380" s="3">
        <v>27</v>
      </c>
      <c r="M3380" s="3">
        <v>28.35</v>
      </c>
      <c r="N3380" s="3">
        <v>59.99</v>
      </c>
      <c r="O3380" s="2" t="s">
        <v>97</v>
      </c>
      <c r="P3380" s="2" t="s">
        <v>119</v>
      </c>
      <c r="Q3380" s="2" t="s">
        <v>99</v>
      </c>
      <c r="R3380" s="2" t="s">
        <v>100</v>
      </c>
      <c r="S3380" s="2" t="s">
        <v>10607</v>
      </c>
      <c r="T3380" s="2" t="s">
        <v>280</v>
      </c>
      <c r="U3380" s="2" t="s">
        <v>402</v>
      </c>
      <c r="V3380" s="2" t="s">
        <v>146</v>
      </c>
      <c r="W3380" s="2" t="s">
        <v>183</v>
      </c>
      <c r="X3380" s="2" t="s">
        <v>100</v>
      </c>
      <c r="Y3380" s="2" t="s">
        <v>10608</v>
      </c>
      <c r="Z3380" s="4">
        <v>71</v>
      </c>
      <c r="AA3380" s="4">
        <f>=ROUNDDOWN(11.8333333333333,0)</f>
      </c>
      <c r="AB3380" s="5">
        <v>6</v>
      </c>
      <c r="AC3380" s="2" t="s">
        <v>241</v>
      </c>
      <c r="AD3380" s="4">
        <v>50</v>
      </c>
      <c r="AE3380" s="4">
        <v>280</v>
      </c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>
        <v>3</v>
      </c>
      <c r="AQ3380" s="8">
        <v>85.05</v>
      </c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>
        <v>0.2703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 t="s">
        <v>100</v>
      </c>
      <c r="BJ3380" s="4">
        <v>162</v>
      </c>
      <c r="BK3380" s="8">
        <v>4832.47</v>
      </c>
      <c r="BL3380" s="2" t="s">
        <v>10610</v>
      </c>
      <c r="BM3380" s="7">
        <v>0.0185</v>
      </c>
      <c r="BN3380" s="7">
        <v>0.0176</v>
      </c>
      <c r="BO3380" s="4">
        <v>3</v>
      </c>
      <c r="BP3380" s="8">
        <v>85.05</v>
      </c>
      <c r="BQ3380" s="4"/>
      <c r="BR3380" s="8"/>
      <c r="BS3380" s="7"/>
      <c r="BT3380" s="7"/>
      <c r="BU3380" s="2" t="s">
        <v>109</v>
      </c>
      <c r="BV3380" s="2" t="s">
        <v>110</v>
      </c>
      <c r="BW3380" s="2" t="s">
        <v>1883</v>
      </c>
      <c r="BX3380" s="2" t="s">
        <v>10611</v>
      </c>
      <c r="BY3380" s="2" t="s">
        <v>113</v>
      </c>
      <c r="BZ3380" s="2" t="s">
        <v>100</v>
      </c>
    </row>
    <row r="3381">
      <c r="A3381" s="2" t="s">
        <v>10612</v>
      </c>
      <c r="B3381" s="2" t="s">
        <v>9668</v>
      </c>
      <c r="C3381" s="2" t="s">
        <v>88</v>
      </c>
      <c r="D3381" s="2" t="s">
        <v>9669</v>
      </c>
      <c r="E3381" s="2" t="s">
        <v>9670</v>
      </c>
      <c r="F3381" s="2" t="s">
        <v>10605</v>
      </c>
      <c r="G3381" s="2" t="s">
        <v>10605</v>
      </c>
      <c r="H3381" s="2" t="s">
        <v>10605</v>
      </c>
      <c r="I3381" s="2" t="s">
        <v>10606</v>
      </c>
      <c r="J3381" s="2" t="s">
        <v>706</v>
      </c>
      <c r="K3381" s="2" t="s">
        <v>189</v>
      </c>
      <c r="L3381" s="3">
        <v>29.9</v>
      </c>
      <c r="M3381" s="3">
        <v>31.4</v>
      </c>
      <c r="N3381" s="3">
        <v>64.99</v>
      </c>
      <c r="O3381" s="2" t="s">
        <v>97</v>
      </c>
      <c r="P3381" s="2" t="s">
        <v>119</v>
      </c>
      <c r="Q3381" s="2" t="s">
        <v>99</v>
      </c>
      <c r="R3381" s="2" t="s">
        <v>100</v>
      </c>
      <c r="S3381" s="2" t="s">
        <v>10607</v>
      </c>
      <c r="T3381" s="2" t="s">
        <v>280</v>
      </c>
      <c r="U3381" s="2" t="s">
        <v>402</v>
      </c>
      <c r="V3381" s="2" t="s">
        <v>146</v>
      </c>
      <c r="W3381" s="2" t="s">
        <v>183</v>
      </c>
      <c r="X3381" s="2" t="s">
        <v>100</v>
      </c>
      <c r="Y3381" s="2" t="s">
        <v>10608</v>
      </c>
      <c r="Z3381" s="4">
        <v>188</v>
      </c>
      <c r="AA3381" s="4">
        <f>=ROUNDDOWN(12.7027027027027,0)</f>
      </c>
      <c r="AB3381" s="5">
        <v>14.8</v>
      </c>
      <c r="AC3381" s="2" t="s">
        <v>241</v>
      </c>
      <c r="AD3381" s="4">
        <v>184</v>
      </c>
      <c r="AE3381" s="4">
        <v>554</v>
      </c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>
        <v>3</v>
      </c>
      <c r="AQ3381" s="8">
        <v>93.57</v>
      </c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>
        <v>0.2973</v>
      </c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 t="s">
        <v>100</v>
      </c>
      <c r="BJ3381" s="4">
        <v>411</v>
      </c>
      <c r="BK3381" s="8">
        <v>13613.65</v>
      </c>
      <c r="BL3381" s="2" t="s">
        <v>10613</v>
      </c>
      <c r="BM3381" s="7">
        <v>0.0073</v>
      </c>
      <c r="BN3381" s="7">
        <v>0.0069</v>
      </c>
      <c r="BO3381" s="4">
        <v>3</v>
      </c>
      <c r="BP3381" s="8">
        <v>93.57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1883</v>
      </c>
      <c r="BX3381" s="2" t="s">
        <v>5481</v>
      </c>
      <c r="BY3381" s="2" t="s">
        <v>113</v>
      </c>
      <c r="BZ3381" s="2" t="s">
        <v>100</v>
      </c>
    </row>
    <row r="3382">
      <c r="A3382" s="2" t="s">
        <v>10614</v>
      </c>
      <c r="B3382" s="2" t="s">
        <v>9668</v>
      </c>
      <c r="C3382" s="2" t="s">
        <v>88</v>
      </c>
      <c r="D3382" s="2" t="s">
        <v>9669</v>
      </c>
      <c r="E3382" s="2" t="s">
        <v>9670</v>
      </c>
      <c r="F3382" s="2" t="s">
        <v>10605</v>
      </c>
      <c r="G3382" s="2" t="s">
        <v>10605</v>
      </c>
      <c r="H3382" s="2" t="s">
        <v>10605</v>
      </c>
      <c r="I3382" s="2" t="s">
        <v>10606</v>
      </c>
      <c r="J3382" s="2" t="s">
        <v>714</v>
      </c>
      <c r="K3382" s="2" t="s">
        <v>189</v>
      </c>
      <c r="L3382" s="3">
        <v>32.2</v>
      </c>
      <c r="M3382" s="3">
        <v>33.81</v>
      </c>
      <c r="N3382" s="3">
        <v>69.99</v>
      </c>
      <c r="O3382" s="2" t="s">
        <v>97</v>
      </c>
      <c r="P3382" s="2" t="s">
        <v>119</v>
      </c>
      <c r="Q3382" s="2" t="s">
        <v>99</v>
      </c>
      <c r="R3382" s="2" t="s">
        <v>100</v>
      </c>
      <c r="S3382" s="2" t="s">
        <v>10607</v>
      </c>
      <c r="T3382" s="2" t="s">
        <v>280</v>
      </c>
      <c r="U3382" s="2" t="s">
        <v>402</v>
      </c>
      <c r="V3382" s="2" t="s">
        <v>146</v>
      </c>
      <c r="W3382" s="2" t="s">
        <v>183</v>
      </c>
      <c r="X3382" s="2" t="s">
        <v>100</v>
      </c>
      <c r="Y3382" s="2" t="s">
        <v>10608</v>
      </c>
      <c r="Z3382" s="4">
        <v>221</v>
      </c>
      <c r="AA3382" s="4">
        <f>=ROUNDDOWN(21.047619047619,0)</f>
      </c>
      <c r="AB3382" s="5">
        <v>10.5</v>
      </c>
      <c r="AC3382" s="2" t="s">
        <v>241</v>
      </c>
      <c r="AD3382" s="4">
        <v>70</v>
      </c>
      <c r="AE3382" s="4">
        <v>160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>
        <v>2</v>
      </c>
      <c r="AQ3382" s="8">
        <v>68.04</v>
      </c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>
        <v>0.2162</v>
      </c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 t="s">
        <v>100</v>
      </c>
      <c r="BJ3382" s="4">
        <v>218</v>
      </c>
      <c r="BK3382" s="8">
        <v>7890.85</v>
      </c>
      <c r="BL3382" s="2" t="s">
        <v>10615</v>
      </c>
      <c r="BM3382" s="7">
        <v>0.0092</v>
      </c>
      <c r="BN3382" s="7">
        <v>0.0086</v>
      </c>
      <c r="BO3382" s="4">
        <v>2</v>
      </c>
      <c r="BP3382" s="8">
        <v>68.04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1883</v>
      </c>
      <c r="BX3382" s="2" t="s">
        <v>10616</v>
      </c>
      <c r="BY3382" s="2" t="s">
        <v>113</v>
      </c>
      <c r="BZ3382" s="2" t="s">
        <v>100</v>
      </c>
    </row>
    <row r="3383">
      <c r="A3383" s="2" t="s">
        <v>10617</v>
      </c>
      <c r="B3383" s="2" t="s">
        <v>9668</v>
      </c>
      <c r="C3383" s="2" t="s">
        <v>88</v>
      </c>
      <c r="D3383" s="2" t="s">
        <v>9669</v>
      </c>
      <c r="E3383" s="2" t="s">
        <v>9670</v>
      </c>
      <c r="F3383" s="2" t="s">
        <v>10605</v>
      </c>
      <c r="G3383" s="2" t="s">
        <v>10605</v>
      </c>
      <c r="H3383" s="2" t="s">
        <v>10605</v>
      </c>
      <c r="I3383" s="2" t="s">
        <v>10606</v>
      </c>
      <c r="J3383" s="2" t="s">
        <v>817</v>
      </c>
      <c r="K3383" s="2" t="s">
        <v>189</v>
      </c>
      <c r="L3383" s="3">
        <v>32.2</v>
      </c>
      <c r="M3383" s="3">
        <v>33.81</v>
      </c>
      <c r="N3383" s="3">
        <v>69.99</v>
      </c>
      <c r="O3383" s="2" t="s">
        <v>97</v>
      </c>
      <c r="P3383" s="2" t="s">
        <v>119</v>
      </c>
      <c r="Q3383" s="2" t="s">
        <v>99</v>
      </c>
      <c r="R3383" s="2" t="s">
        <v>100</v>
      </c>
      <c r="S3383" s="2" t="s">
        <v>10607</v>
      </c>
      <c r="T3383" s="2" t="s">
        <v>280</v>
      </c>
      <c r="U3383" s="2" t="s">
        <v>402</v>
      </c>
      <c r="V3383" s="2" t="s">
        <v>146</v>
      </c>
      <c r="W3383" s="2" t="s">
        <v>183</v>
      </c>
      <c r="X3383" s="2" t="s">
        <v>100</v>
      </c>
      <c r="Y3383" s="2" t="s">
        <v>10608</v>
      </c>
      <c r="Z3383" s="4">
        <v>61</v>
      </c>
      <c r="AA3383" s="4">
        <f>=ROUNDDOWN(10.3389830508475,0)</f>
      </c>
      <c r="AB3383" s="5">
        <v>5.9</v>
      </c>
      <c r="AC3383" s="2" t="s">
        <v>241</v>
      </c>
      <c r="AD3383" s="4">
        <v>30</v>
      </c>
      <c r="AE3383" s="4">
        <v>120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>
        <v>2</v>
      </c>
      <c r="AQ3383" s="8">
        <v>68.04</v>
      </c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>
        <v>0.2162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 t="s">
        <v>100</v>
      </c>
      <c r="BJ3383" s="4">
        <v>131</v>
      </c>
      <c r="BK3383" s="8">
        <v>4794.44</v>
      </c>
      <c r="BL3383" s="2" t="s">
        <v>10618</v>
      </c>
      <c r="BM3383" s="7">
        <v>0.0153</v>
      </c>
      <c r="BN3383" s="7">
        <v>0.0142</v>
      </c>
      <c r="BO3383" s="4">
        <v>2</v>
      </c>
      <c r="BP3383" s="8">
        <v>68.04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1883</v>
      </c>
      <c r="BX3383" s="2" t="s">
        <v>1483</v>
      </c>
      <c r="BY3383" s="2" t="s">
        <v>113</v>
      </c>
      <c r="BZ3383" s="2" t="s">
        <v>100</v>
      </c>
    </row>
    <row r="3384">
      <c r="A3384" s="2" t="s">
        <v>10619</v>
      </c>
      <c r="B3384" s="2" t="s">
        <v>9668</v>
      </c>
      <c r="C3384" s="2" t="s">
        <v>88</v>
      </c>
      <c r="D3384" s="2" t="s">
        <v>9669</v>
      </c>
      <c r="E3384" s="2" t="s">
        <v>9670</v>
      </c>
      <c r="F3384" s="2" t="s">
        <v>10605</v>
      </c>
      <c r="G3384" s="2" t="s">
        <v>10605</v>
      </c>
      <c r="H3384" s="2" t="s">
        <v>10605</v>
      </c>
      <c r="I3384" s="2" t="s">
        <v>10606</v>
      </c>
      <c r="J3384" s="2" t="s">
        <v>1936</v>
      </c>
      <c r="K3384" s="2" t="s">
        <v>878</v>
      </c>
      <c r="L3384" s="3">
        <v>21.6</v>
      </c>
      <c r="M3384" s="3">
        <v>22.68</v>
      </c>
      <c r="N3384" s="3">
        <v>47.99</v>
      </c>
      <c r="O3384" s="2" t="s">
        <v>97</v>
      </c>
      <c r="P3384" s="2" t="s">
        <v>119</v>
      </c>
      <c r="Q3384" s="2" t="s">
        <v>99</v>
      </c>
      <c r="R3384" s="2" t="s">
        <v>100</v>
      </c>
      <c r="S3384" s="2" t="s">
        <v>10620</v>
      </c>
      <c r="T3384" s="2" t="s">
        <v>280</v>
      </c>
      <c r="U3384" s="2" t="s">
        <v>480</v>
      </c>
      <c r="V3384" s="2" t="s">
        <v>146</v>
      </c>
      <c r="W3384" s="2" t="s">
        <v>183</v>
      </c>
      <c r="X3384" s="2" t="s">
        <v>100</v>
      </c>
      <c r="Y3384" s="2" t="s">
        <v>10608</v>
      </c>
      <c r="Z3384" s="4">
        <v>115</v>
      </c>
      <c r="AA3384" s="4">
        <f>=ROUNDDOWN(23,0)</f>
      </c>
      <c r="AB3384" s="5">
        <v>5</v>
      </c>
      <c r="AC3384" s="2" t="s">
        <v>241</v>
      </c>
      <c r="AD3384" s="4">
        <v>50</v>
      </c>
      <c r="AE3384" s="4">
        <v>120</v>
      </c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>
        <v>2</v>
      </c>
      <c r="AQ3384" s="8">
        <v>45.36</v>
      </c>
      <c r="AR3384" s="4"/>
      <c r="AS3384" s="8"/>
      <c r="AT3384" s="7"/>
      <c r="AU3384" s="7"/>
      <c r="AV3384" s="4">
        <v>9</v>
      </c>
      <c r="AW3384" s="8">
        <v>275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>
        <v>0.1649</v>
      </c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>
        <v>0.3201</v>
      </c>
      <c r="BJ3384" s="4">
        <v>134</v>
      </c>
      <c r="BK3384" s="8">
        <v>3214.33</v>
      </c>
      <c r="BL3384" s="2" t="s">
        <v>10621</v>
      </c>
      <c r="BM3384" s="7">
        <v>0.0149</v>
      </c>
      <c r="BN3384" s="7">
        <v>0.0141</v>
      </c>
      <c r="BO3384" s="4">
        <v>2</v>
      </c>
      <c r="BP3384" s="8">
        <v>45.36</v>
      </c>
      <c r="BQ3384" s="4"/>
      <c r="BR3384" s="8"/>
      <c r="BS3384" s="7"/>
      <c r="BT3384" s="7"/>
      <c r="BU3384" s="2" t="s">
        <v>109</v>
      </c>
      <c r="BV3384" s="2" t="s">
        <v>110</v>
      </c>
      <c r="BW3384" s="2" t="s">
        <v>1883</v>
      </c>
      <c r="BX3384" s="2" t="s">
        <v>10622</v>
      </c>
      <c r="BY3384" s="2" t="s">
        <v>113</v>
      </c>
      <c r="BZ3384" s="2" t="s">
        <v>100</v>
      </c>
    </row>
    <row r="3385">
      <c r="A3385" s="2" t="s">
        <v>10623</v>
      </c>
      <c r="B3385" s="2" t="s">
        <v>9668</v>
      </c>
      <c r="C3385" s="2" t="s">
        <v>88</v>
      </c>
      <c r="D3385" s="2" t="s">
        <v>9669</v>
      </c>
      <c r="E3385" s="2" t="s">
        <v>9670</v>
      </c>
      <c r="F3385" s="2" t="s">
        <v>10605</v>
      </c>
      <c r="G3385" s="2" t="s">
        <v>10605</v>
      </c>
      <c r="H3385" s="2" t="s">
        <v>10605</v>
      </c>
      <c r="I3385" s="2" t="s">
        <v>10606</v>
      </c>
      <c r="J3385" s="2" t="s">
        <v>717</v>
      </c>
      <c r="K3385" s="2" t="s">
        <v>878</v>
      </c>
      <c r="L3385" s="3">
        <v>27</v>
      </c>
      <c r="M3385" s="3">
        <v>28.35</v>
      </c>
      <c r="N3385" s="3">
        <v>59.99</v>
      </c>
      <c r="O3385" s="2" t="s">
        <v>97</v>
      </c>
      <c r="P3385" s="2" t="s">
        <v>119</v>
      </c>
      <c r="Q3385" s="2" t="s">
        <v>99</v>
      </c>
      <c r="R3385" s="2" t="s">
        <v>100</v>
      </c>
      <c r="S3385" s="2" t="s">
        <v>10620</v>
      </c>
      <c r="T3385" s="2" t="s">
        <v>280</v>
      </c>
      <c r="U3385" s="2" t="s">
        <v>402</v>
      </c>
      <c r="V3385" s="2" t="s">
        <v>146</v>
      </c>
      <c r="W3385" s="2" t="s">
        <v>183</v>
      </c>
      <c r="X3385" s="2" t="s">
        <v>100</v>
      </c>
      <c r="Y3385" s="2" t="s">
        <v>10608</v>
      </c>
      <c r="Z3385" s="4">
        <v>9</v>
      </c>
      <c r="AA3385" s="4">
        <f>=ROUNDDOWN(1.5,0)</f>
      </c>
      <c r="AB3385" s="5">
        <v>6</v>
      </c>
      <c r="AC3385" s="2" t="s">
        <v>241</v>
      </c>
      <c r="AD3385" s="4">
        <v>40</v>
      </c>
      <c r="AE3385" s="4">
        <v>290</v>
      </c>
      <c r="AF3385" s="6">
        <v>65</v>
      </c>
      <c r="AG3385" s="6"/>
      <c r="AH3385" s="7">
        <v>0.9947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>
        <v>1</v>
      </c>
      <c r="AQ3385" s="8">
        <v>28.35</v>
      </c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>
        <v>0.1031</v>
      </c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 t="s">
        <v>100</v>
      </c>
      <c r="BJ3385" s="4">
        <v>168</v>
      </c>
      <c r="BK3385" s="8">
        <v>5000.77</v>
      </c>
      <c r="BL3385" s="2" t="s">
        <v>10624</v>
      </c>
      <c r="BM3385" s="7">
        <v>0.006</v>
      </c>
      <c r="BN3385" s="7">
        <v>0.0057</v>
      </c>
      <c r="BO3385" s="4">
        <v>1</v>
      </c>
      <c r="BP3385" s="8">
        <v>28.35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1883</v>
      </c>
      <c r="BX3385" s="2" t="s">
        <v>472</v>
      </c>
      <c r="BY3385" s="2" t="s">
        <v>113</v>
      </c>
      <c r="BZ3385" s="2" t="s">
        <v>100</v>
      </c>
    </row>
    <row r="3386">
      <c r="A3386" s="2" t="s">
        <v>10625</v>
      </c>
      <c r="B3386" s="2" t="s">
        <v>9668</v>
      </c>
      <c r="C3386" s="2" t="s">
        <v>88</v>
      </c>
      <c r="D3386" s="2" t="s">
        <v>9669</v>
      </c>
      <c r="E3386" s="2" t="s">
        <v>9670</v>
      </c>
      <c r="F3386" s="2" t="s">
        <v>10605</v>
      </c>
      <c r="G3386" s="2" t="s">
        <v>10605</v>
      </c>
      <c r="H3386" s="2" t="s">
        <v>10605</v>
      </c>
      <c r="I3386" s="2" t="s">
        <v>10606</v>
      </c>
      <c r="J3386" s="2" t="s">
        <v>706</v>
      </c>
      <c r="K3386" s="2" t="s">
        <v>878</v>
      </c>
      <c r="L3386" s="3">
        <v>29.9</v>
      </c>
      <c r="M3386" s="3">
        <v>31.4</v>
      </c>
      <c r="N3386" s="3">
        <v>64.99</v>
      </c>
      <c r="O3386" s="2" t="s">
        <v>97</v>
      </c>
      <c r="P3386" s="2" t="s">
        <v>119</v>
      </c>
      <c r="Q3386" s="2" t="s">
        <v>99</v>
      </c>
      <c r="R3386" s="2" t="s">
        <v>100</v>
      </c>
      <c r="S3386" s="2" t="s">
        <v>10620</v>
      </c>
      <c r="T3386" s="2" t="s">
        <v>280</v>
      </c>
      <c r="U3386" s="2" t="s">
        <v>402</v>
      </c>
      <c r="V3386" s="2" t="s">
        <v>146</v>
      </c>
      <c r="W3386" s="2" t="s">
        <v>183</v>
      </c>
      <c r="X3386" s="2" t="s">
        <v>100</v>
      </c>
      <c r="Y3386" s="2" t="s">
        <v>10608</v>
      </c>
      <c r="Z3386" s="4">
        <v>106</v>
      </c>
      <c r="AA3386" s="4">
        <f>=ROUNDDOWN(10.6,0)</f>
      </c>
      <c r="AB3386" s="5">
        <v>10</v>
      </c>
      <c r="AC3386" s="2" t="s">
        <v>241</v>
      </c>
      <c r="AD3386" s="4">
        <v>80</v>
      </c>
      <c r="AE3386" s="4">
        <v>350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>
        <v>1</v>
      </c>
      <c r="AQ3386" s="8">
        <v>31.19</v>
      </c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>
        <v>0.1134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 t="s">
        <v>100</v>
      </c>
      <c r="BJ3386" s="4">
        <v>259</v>
      </c>
      <c r="BK3386" s="8">
        <v>8469.91</v>
      </c>
      <c r="BL3386" s="2" t="s">
        <v>6848</v>
      </c>
      <c r="BM3386" s="7">
        <v>0.0039</v>
      </c>
      <c r="BN3386" s="7">
        <v>0.0037</v>
      </c>
      <c r="BO3386" s="4">
        <v>1</v>
      </c>
      <c r="BP3386" s="8">
        <v>31.19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1883</v>
      </c>
      <c r="BX3386" s="2" t="s">
        <v>10626</v>
      </c>
      <c r="BY3386" s="2" t="s">
        <v>113</v>
      </c>
      <c r="BZ3386" s="2" t="s">
        <v>100</v>
      </c>
    </row>
    <row r="3387">
      <c r="A3387" s="2" t="s">
        <v>10627</v>
      </c>
      <c r="B3387" s="2" t="s">
        <v>9668</v>
      </c>
      <c r="C3387" s="2" t="s">
        <v>88</v>
      </c>
      <c r="D3387" s="2" t="s">
        <v>9669</v>
      </c>
      <c r="E3387" s="2" t="s">
        <v>9670</v>
      </c>
      <c r="F3387" s="2" t="s">
        <v>10605</v>
      </c>
      <c r="G3387" s="2" t="s">
        <v>10605</v>
      </c>
      <c r="H3387" s="2" t="s">
        <v>10605</v>
      </c>
      <c r="I3387" s="2" t="s">
        <v>10606</v>
      </c>
      <c r="J3387" s="2" t="s">
        <v>714</v>
      </c>
      <c r="K3387" s="2" t="s">
        <v>878</v>
      </c>
      <c r="L3387" s="3">
        <v>32.2</v>
      </c>
      <c r="M3387" s="3">
        <v>33.81</v>
      </c>
      <c r="N3387" s="3">
        <v>69.99</v>
      </c>
      <c r="O3387" s="2" t="s">
        <v>97</v>
      </c>
      <c r="P3387" s="2" t="s">
        <v>119</v>
      </c>
      <c r="Q3387" s="2" t="s">
        <v>99</v>
      </c>
      <c r="R3387" s="2" t="s">
        <v>100</v>
      </c>
      <c r="S3387" s="2" t="s">
        <v>10620</v>
      </c>
      <c r="T3387" s="2" t="s">
        <v>280</v>
      </c>
      <c r="U3387" s="2" t="s">
        <v>402</v>
      </c>
      <c r="V3387" s="2" t="s">
        <v>146</v>
      </c>
      <c r="W3387" s="2" t="s">
        <v>183</v>
      </c>
      <c r="X3387" s="2" t="s">
        <v>100</v>
      </c>
      <c r="Y3387" s="2" t="s">
        <v>10608</v>
      </c>
      <c r="Z3387" s="4">
        <v>99</v>
      </c>
      <c r="AA3387" s="4">
        <f>=ROUNDDOWN(24.75,0)</f>
      </c>
      <c r="AB3387" s="5">
        <v>4</v>
      </c>
      <c r="AC3387" s="2" t="s">
        <v>241</v>
      </c>
      <c r="AD3387" s="4">
        <v>70</v>
      </c>
      <c r="AE3387" s="4">
        <v>150</v>
      </c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>
        <v>5</v>
      </c>
      <c r="AQ3387" s="8">
        <v>170.1</v>
      </c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>
        <v>0.6185</v>
      </c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 t="s">
        <v>100</v>
      </c>
      <c r="BJ3387" s="4">
        <v>101</v>
      </c>
      <c r="BK3387" s="8">
        <v>3598.38</v>
      </c>
      <c r="BL3387" s="2" t="s">
        <v>6848</v>
      </c>
      <c r="BM3387" s="7">
        <v>0.0495</v>
      </c>
      <c r="BN3387" s="7">
        <v>0.0473</v>
      </c>
      <c r="BO3387" s="4">
        <v>5</v>
      </c>
      <c r="BP3387" s="8">
        <v>170.1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1883</v>
      </c>
      <c r="BX3387" s="2" t="s">
        <v>6086</v>
      </c>
      <c r="BY3387" s="2" t="s">
        <v>113</v>
      </c>
      <c r="BZ3387" s="2" t="s">
        <v>100</v>
      </c>
    </row>
    <row r="3388">
      <c r="A3388" s="2" t="s">
        <v>10628</v>
      </c>
      <c r="B3388" s="2" t="s">
        <v>9668</v>
      </c>
      <c r="C3388" s="2" t="s">
        <v>88</v>
      </c>
      <c r="D3388" s="2" t="s">
        <v>9669</v>
      </c>
      <c r="E3388" s="2" t="s">
        <v>9670</v>
      </c>
      <c r="F3388" s="2" t="s">
        <v>10605</v>
      </c>
      <c r="G3388" s="2" t="s">
        <v>10605</v>
      </c>
      <c r="H3388" s="2" t="s">
        <v>10605</v>
      </c>
      <c r="I3388" s="2" t="s">
        <v>10606</v>
      </c>
      <c r="J3388" s="2" t="s">
        <v>817</v>
      </c>
      <c r="K3388" s="2" t="s">
        <v>878</v>
      </c>
      <c r="L3388" s="3">
        <v>32.2</v>
      </c>
      <c r="M3388" s="3">
        <v>33.81</v>
      </c>
      <c r="N3388" s="3">
        <v>69.99</v>
      </c>
      <c r="O3388" s="2" t="s">
        <v>97</v>
      </c>
      <c r="P3388" s="2" t="s">
        <v>119</v>
      </c>
      <c r="Q3388" s="2" t="s">
        <v>99</v>
      </c>
      <c r="R3388" s="2" t="s">
        <v>100</v>
      </c>
      <c r="S3388" s="2" t="s">
        <v>10620</v>
      </c>
      <c r="T3388" s="2" t="s">
        <v>280</v>
      </c>
      <c r="U3388" s="2" t="s">
        <v>402</v>
      </c>
      <c r="V3388" s="2" t="s">
        <v>146</v>
      </c>
      <c r="W3388" s="2" t="s">
        <v>183</v>
      </c>
      <c r="X3388" s="2" t="s">
        <v>100</v>
      </c>
      <c r="Y3388" s="2" t="s">
        <v>10608</v>
      </c>
      <c r="Z3388" s="4">
        <v>35</v>
      </c>
      <c r="AA3388" s="4">
        <f>=ROUNDDOWN(17.5,0)</f>
      </c>
      <c r="AB3388" s="5">
        <v>2</v>
      </c>
      <c r="AC3388" s="2" t="s">
        <v>241</v>
      </c>
      <c r="AD3388" s="4">
        <v>30</v>
      </c>
      <c r="AE3388" s="4">
        <v>130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 t="s">
        <v>100</v>
      </c>
      <c r="BJ3388" s="4">
        <v>68</v>
      </c>
      <c r="BK3388" s="8">
        <v>2407.3</v>
      </c>
      <c r="BL3388" s="2" t="s">
        <v>10629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1883</v>
      </c>
      <c r="BX3388" s="2" t="s">
        <v>1483</v>
      </c>
      <c r="BY3388" s="2" t="s">
        <v>113</v>
      </c>
      <c r="BZ3388" s="2" t="s">
        <v>100</v>
      </c>
    </row>
    <row r="3389">
      <c r="A3389" s="2" t="s">
        <v>10630</v>
      </c>
      <c r="B3389" s="2" t="s">
        <v>9668</v>
      </c>
      <c r="C3389" s="2" t="s">
        <v>88</v>
      </c>
      <c r="D3389" s="2" t="s">
        <v>9669</v>
      </c>
      <c r="E3389" s="2" t="s">
        <v>9670</v>
      </c>
      <c r="F3389" s="2" t="s">
        <v>10605</v>
      </c>
      <c r="G3389" s="2" t="s">
        <v>10605</v>
      </c>
      <c r="H3389" s="2" t="s">
        <v>10605</v>
      </c>
      <c r="I3389" s="2" t="s">
        <v>10606</v>
      </c>
      <c r="J3389" s="2" t="s">
        <v>1936</v>
      </c>
      <c r="K3389" s="2" t="s">
        <v>198</v>
      </c>
      <c r="L3389" s="3">
        <v>21.6</v>
      </c>
      <c r="M3389" s="3">
        <v>22.68</v>
      </c>
      <c r="N3389" s="3">
        <v>47.99</v>
      </c>
      <c r="O3389" s="2" t="s">
        <v>97</v>
      </c>
      <c r="P3389" s="2" t="s">
        <v>119</v>
      </c>
      <c r="Q3389" s="2" t="s">
        <v>99</v>
      </c>
      <c r="R3389" s="2" t="s">
        <v>100</v>
      </c>
      <c r="S3389" s="2" t="s">
        <v>10631</v>
      </c>
      <c r="T3389" s="2" t="s">
        <v>280</v>
      </c>
      <c r="U3389" s="2" t="s">
        <v>480</v>
      </c>
      <c r="V3389" s="2" t="s">
        <v>146</v>
      </c>
      <c r="W3389" s="2" t="s">
        <v>183</v>
      </c>
      <c r="X3389" s="2" t="s">
        <v>100</v>
      </c>
      <c r="Y3389" s="2" t="s">
        <v>10608</v>
      </c>
      <c r="Z3389" s="4">
        <v>100</v>
      </c>
      <c r="AA3389" s="4">
        <f>=ROUNDDOWN(50,0)</f>
      </c>
      <c r="AB3389" s="5">
        <v>2</v>
      </c>
      <c r="AC3389" s="2" t="s">
        <v>241</v>
      </c>
      <c r="AD3389" s="4">
        <v>80</v>
      </c>
      <c r="AE3389" s="4">
        <v>80</v>
      </c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>
        <v>4</v>
      </c>
      <c r="AW3389" s="8">
        <v>136.08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0.1584</v>
      </c>
      <c r="BJ3389" s="4">
        <v>72</v>
      </c>
      <c r="BK3389" s="8">
        <v>1763.59</v>
      </c>
      <c r="BL3389" s="2" t="s">
        <v>2260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1883</v>
      </c>
      <c r="BX3389" s="2" t="s">
        <v>2254</v>
      </c>
      <c r="BY3389" s="2" t="s">
        <v>113</v>
      </c>
      <c r="BZ3389" s="2" t="s">
        <v>100</v>
      </c>
    </row>
    <row r="3390">
      <c r="A3390" s="2" t="s">
        <v>10632</v>
      </c>
      <c r="B3390" s="2" t="s">
        <v>9668</v>
      </c>
      <c r="C3390" s="2" t="s">
        <v>88</v>
      </c>
      <c r="D3390" s="2" t="s">
        <v>9669</v>
      </c>
      <c r="E3390" s="2" t="s">
        <v>9670</v>
      </c>
      <c r="F3390" s="2" t="s">
        <v>10605</v>
      </c>
      <c r="G3390" s="2" t="s">
        <v>10605</v>
      </c>
      <c r="H3390" s="2" t="s">
        <v>10605</v>
      </c>
      <c r="I3390" s="2" t="s">
        <v>10606</v>
      </c>
      <c r="J3390" s="2" t="s">
        <v>706</v>
      </c>
      <c r="K3390" s="2" t="s">
        <v>198</v>
      </c>
      <c r="L3390" s="3">
        <v>29.9</v>
      </c>
      <c r="M3390" s="3">
        <v>31.4</v>
      </c>
      <c r="N3390" s="3">
        <v>64.99</v>
      </c>
      <c r="O3390" s="2" t="s">
        <v>97</v>
      </c>
      <c r="P3390" s="2" t="s">
        <v>119</v>
      </c>
      <c r="Q3390" s="2" t="s">
        <v>99</v>
      </c>
      <c r="R3390" s="2" t="s">
        <v>100</v>
      </c>
      <c r="S3390" s="2" t="s">
        <v>10631</v>
      </c>
      <c r="T3390" s="2" t="s">
        <v>280</v>
      </c>
      <c r="U3390" s="2" t="s">
        <v>402</v>
      </c>
      <c r="V3390" s="2" t="s">
        <v>146</v>
      </c>
      <c r="W3390" s="2" t="s">
        <v>183</v>
      </c>
      <c r="X3390" s="2" t="s">
        <v>100</v>
      </c>
      <c r="Y3390" s="2" t="s">
        <v>10608</v>
      </c>
      <c r="Z3390" s="4">
        <v>42</v>
      </c>
      <c r="AA3390" s="4">
        <f>=ROUNDDOWN(5.25,0)</f>
      </c>
      <c r="AB3390" s="5">
        <v>8</v>
      </c>
      <c r="AC3390" s="2" t="s">
        <v>241</v>
      </c>
      <c r="AD3390" s="4">
        <v>186</v>
      </c>
      <c r="AE3390" s="4">
        <v>186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183</v>
      </c>
      <c r="BK3390" s="8">
        <v>5950.59</v>
      </c>
      <c r="BL3390" s="2" t="s">
        <v>10633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1883</v>
      </c>
      <c r="BX3390" s="2" t="s">
        <v>620</v>
      </c>
      <c r="BY3390" s="2" t="s">
        <v>113</v>
      </c>
      <c r="BZ3390" s="2" t="s">
        <v>100</v>
      </c>
    </row>
    <row r="3391">
      <c r="A3391" s="2" t="s">
        <v>10634</v>
      </c>
      <c r="B3391" s="2" t="s">
        <v>9668</v>
      </c>
      <c r="C3391" s="2" t="s">
        <v>88</v>
      </c>
      <c r="D3391" s="2" t="s">
        <v>9669</v>
      </c>
      <c r="E3391" s="2" t="s">
        <v>9670</v>
      </c>
      <c r="F3391" s="2" t="s">
        <v>10605</v>
      </c>
      <c r="G3391" s="2" t="s">
        <v>10605</v>
      </c>
      <c r="H3391" s="2" t="s">
        <v>10605</v>
      </c>
      <c r="I3391" s="2" t="s">
        <v>10606</v>
      </c>
      <c r="J3391" s="2" t="s">
        <v>714</v>
      </c>
      <c r="K3391" s="2" t="s">
        <v>198</v>
      </c>
      <c r="L3391" s="3">
        <v>32.2</v>
      </c>
      <c r="M3391" s="3">
        <v>33.81</v>
      </c>
      <c r="N3391" s="3">
        <v>69.99</v>
      </c>
      <c r="O3391" s="2" t="s">
        <v>97</v>
      </c>
      <c r="P3391" s="2" t="s">
        <v>119</v>
      </c>
      <c r="Q3391" s="2" t="s">
        <v>99</v>
      </c>
      <c r="R3391" s="2" t="s">
        <v>100</v>
      </c>
      <c r="S3391" s="2" t="s">
        <v>10631</v>
      </c>
      <c r="T3391" s="2" t="s">
        <v>280</v>
      </c>
      <c r="U3391" s="2" t="s">
        <v>402</v>
      </c>
      <c r="V3391" s="2" t="s">
        <v>146</v>
      </c>
      <c r="W3391" s="2" t="s">
        <v>183</v>
      </c>
      <c r="X3391" s="2" t="s">
        <v>100</v>
      </c>
      <c r="Y3391" s="2" t="s">
        <v>10608</v>
      </c>
      <c r="Z3391" s="4">
        <v>173</v>
      </c>
      <c r="AA3391" s="4">
        <f>=ROUNDDOWN(28.8333333333333,0)</f>
      </c>
      <c r="AB3391" s="5">
        <v>6</v>
      </c>
      <c r="AC3391" s="2" t="s">
        <v>241</v>
      </c>
      <c r="AD3391" s="4">
        <v>120</v>
      </c>
      <c r="AE3391" s="4">
        <v>120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 t="s">
        <v>100</v>
      </c>
      <c r="BJ3391" s="4">
        <v>108</v>
      </c>
      <c r="BK3391" s="8">
        <v>3807.17</v>
      </c>
      <c r="BL3391" s="2" t="s">
        <v>2260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1883</v>
      </c>
      <c r="BX3391" s="2" t="s">
        <v>10635</v>
      </c>
      <c r="BY3391" s="2" t="s">
        <v>113</v>
      </c>
      <c r="BZ3391" s="2" t="s">
        <v>100</v>
      </c>
    </row>
    <row r="3392">
      <c r="A3392" s="2" t="s">
        <v>10636</v>
      </c>
      <c r="B3392" s="2" t="s">
        <v>9668</v>
      </c>
      <c r="C3392" s="2" t="s">
        <v>88</v>
      </c>
      <c r="D3392" s="2" t="s">
        <v>9669</v>
      </c>
      <c r="E3392" s="2" t="s">
        <v>9670</v>
      </c>
      <c r="F3392" s="2" t="s">
        <v>10605</v>
      </c>
      <c r="G3392" s="2" t="s">
        <v>10605</v>
      </c>
      <c r="H3392" s="2" t="s">
        <v>10605</v>
      </c>
      <c r="I3392" s="2" t="s">
        <v>10606</v>
      </c>
      <c r="J3392" s="2" t="s">
        <v>817</v>
      </c>
      <c r="K3392" s="2" t="s">
        <v>198</v>
      </c>
      <c r="L3392" s="3">
        <v>32.2</v>
      </c>
      <c r="M3392" s="3">
        <v>33.81</v>
      </c>
      <c r="N3392" s="3">
        <v>69.99</v>
      </c>
      <c r="O3392" s="2" t="s">
        <v>97</v>
      </c>
      <c r="P3392" s="2" t="s">
        <v>119</v>
      </c>
      <c r="Q3392" s="2" t="s">
        <v>99</v>
      </c>
      <c r="R3392" s="2" t="s">
        <v>100</v>
      </c>
      <c r="S3392" s="2" t="s">
        <v>10631</v>
      </c>
      <c r="T3392" s="2" t="s">
        <v>280</v>
      </c>
      <c r="U3392" s="2" t="s">
        <v>402</v>
      </c>
      <c r="V3392" s="2" t="s">
        <v>146</v>
      </c>
      <c r="W3392" s="2" t="s">
        <v>183</v>
      </c>
      <c r="X3392" s="2" t="s">
        <v>100</v>
      </c>
      <c r="Y3392" s="2" t="s">
        <v>10608</v>
      </c>
      <c r="Z3392" s="4">
        <v>88</v>
      </c>
      <c r="AA3392" s="4">
        <f>=ROUNDDOWN(25.8823529411765,0)</f>
      </c>
      <c r="AB3392" s="5">
        <v>3.4</v>
      </c>
      <c r="AC3392" s="2" t="s">
        <v>100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>
        <v>4</v>
      </c>
      <c r="AQ3392" s="8">
        <v>136.08</v>
      </c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>
        <v>1</v>
      </c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 t="s">
        <v>100</v>
      </c>
      <c r="BJ3392" s="4">
        <v>76</v>
      </c>
      <c r="BK3392" s="8">
        <v>2735.7</v>
      </c>
      <c r="BL3392" s="2" t="s">
        <v>10610</v>
      </c>
      <c r="BM3392" s="7">
        <v>0.0526</v>
      </c>
      <c r="BN3392" s="7">
        <v>0.0497</v>
      </c>
      <c r="BO3392" s="4">
        <v>4</v>
      </c>
      <c r="BP3392" s="8">
        <v>136.08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1883</v>
      </c>
      <c r="BX3392" s="2" t="s">
        <v>1902</v>
      </c>
      <c r="BY3392" s="2" t="s">
        <v>113</v>
      </c>
      <c r="BZ3392" s="2" t="s">
        <v>100</v>
      </c>
    </row>
    <row r="3393">
      <c r="A3393" s="2" t="s">
        <v>10637</v>
      </c>
      <c r="B3393" s="2" t="s">
        <v>9668</v>
      </c>
      <c r="C3393" s="2" t="s">
        <v>88</v>
      </c>
      <c r="D3393" s="2" t="s">
        <v>9669</v>
      </c>
      <c r="E3393" s="2" t="s">
        <v>9670</v>
      </c>
      <c r="F3393" s="2" t="s">
        <v>10605</v>
      </c>
      <c r="G3393" s="2" t="s">
        <v>10605</v>
      </c>
      <c r="H3393" s="2" t="s">
        <v>10605</v>
      </c>
      <c r="I3393" s="2" t="s">
        <v>10606</v>
      </c>
      <c r="J3393" s="2" t="s">
        <v>1936</v>
      </c>
      <c r="K3393" s="2" t="s">
        <v>578</v>
      </c>
      <c r="L3393" s="3">
        <v>21.6</v>
      </c>
      <c r="M3393" s="3">
        <v>22.68</v>
      </c>
      <c r="N3393" s="3">
        <v>47.99</v>
      </c>
      <c r="O3393" s="2" t="s">
        <v>97</v>
      </c>
      <c r="P3393" s="2" t="s">
        <v>119</v>
      </c>
      <c r="Q3393" s="2" t="s">
        <v>99</v>
      </c>
      <c r="R3393" s="2" t="s">
        <v>100</v>
      </c>
      <c r="S3393" s="2" t="s">
        <v>10638</v>
      </c>
      <c r="T3393" s="2" t="s">
        <v>280</v>
      </c>
      <c r="U3393" s="2" t="s">
        <v>480</v>
      </c>
      <c r="V3393" s="2" t="s">
        <v>146</v>
      </c>
      <c r="W3393" s="2" t="s">
        <v>183</v>
      </c>
      <c r="X3393" s="2" t="s">
        <v>100</v>
      </c>
      <c r="Y3393" s="2" t="s">
        <v>10608</v>
      </c>
      <c r="Z3393" s="4">
        <v>27</v>
      </c>
      <c r="AA3393" s="4">
        <f>=ROUNDDOWN(9,0)</f>
      </c>
      <c r="AB3393" s="5">
        <v>3</v>
      </c>
      <c r="AC3393" s="2" t="s">
        <v>241</v>
      </c>
      <c r="AD3393" s="4">
        <v>80</v>
      </c>
      <c r="AE3393" s="4">
        <v>80</v>
      </c>
      <c r="AF3393" s="6">
        <v>65</v>
      </c>
      <c r="AG3393" s="6"/>
      <c r="AH3393" s="7">
        <v>0.9786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>
        <v>3</v>
      </c>
      <c r="AW3393" s="8">
        <v>102.06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>
        <v>0.1188</v>
      </c>
      <c r="BJ3393" s="4">
        <v>70</v>
      </c>
      <c r="BK3393" s="8">
        <v>1669.47</v>
      </c>
      <c r="BL3393" s="2" t="s">
        <v>10639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1883</v>
      </c>
      <c r="BX3393" s="2" t="s">
        <v>10640</v>
      </c>
      <c r="BY3393" s="2" t="s">
        <v>113</v>
      </c>
      <c r="BZ3393" s="2" t="s">
        <v>100</v>
      </c>
    </row>
    <row r="3394">
      <c r="A3394" s="2" t="s">
        <v>10641</v>
      </c>
      <c r="B3394" s="2" t="s">
        <v>9668</v>
      </c>
      <c r="C3394" s="2" t="s">
        <v>88</v>
      </c>
      <c r="D3394" s="2" t="s">
        <v>9669</v>
      </c>
      <c r="E3394" s="2" t="s">
        <v>9670</v>
      </c>
      <c r="F3394" s="2" t="s">
        <v>10605</v>
      </c>
      <c r="G3394" s="2" t="s">
        <v>10605</v>
      </c>
      <c r="H3394" s="2" t="s">
        <v>10605</v>
      </c>
      <c r="I3394" s="2" t="s">
        <v>10606</v>
      </c>
      <c r="J3394" s="2" t="s">
        <v>717</v>
      </c>
      <c r="K3394" s="2" t="s">
        <v>578</v>
      </c>
      <c r="L3394" s="3">
        <v>27</v>
      </c>
      <c r="M3394" s="3">
        <v>28.35</v>
      </c>
      <c r="N3394" s="3">
        <v>59.99</v>
      </c>
      <c r="O3394" s="2" t="s">
        <v>97</v>
      </c>
      <c r="P3394" s="2" t="s">
        <v>119</v>
      </c>
      <c r="Q3394" s="2" t="s">
        <v>99</v>
      </c>
      <c r="R3394" s="2" t="s">
        <v>100</v>
      </c>
      <c r="S3394" s="2" t="s">
        <v>10638</v>
      </c>
      <c r="T3394" s="2" t="s">
        <v>280</v>
      </c>
      <c r="U3394" s="2" t="s">
        <v>402</v>
      </c>
      <c r="V3394" s="2" t="s">
        <v>146</v>
      </c>
      <c r="W3394" s="2" t="s">
        <v>183</v>
      </c>
      <c r="X3394" s="2" t="s">
        <v>100</v>
      </c>
      <c r="Y3394" s="2" t="s">
        <v>10608</v>
      </c>
      <c r="Z3394" s="4">
        <v>87</v>
      </c>
      <c r="AA3394" s="4">
        <f>=ROUNDDOWN(29,0)</f>
      </c>
      <c r="AB3394" s="5">
        <v>3</v>
      </c>
      <c r="AC3394" s="2" t="s">
        <v>241</v>
      </c>
      <c r="AD3394" s="4">
        <v>80</v>
      </c>
      <c r="AE3394" s="4">
        <v>80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 t="s">
        <v>100</v>
      </c>
      <c r="BJ3394" s="4">
        <v>77</v>
      </c>
      <c r="BK3394" s="8">
        <v>2278.51</v>
      </c>
      <c r="BL3394" s="2" t="s">
        <v>10642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1883</v>
      </c>
      <c r="BX3394" s="2" t="s">
        <v>1483</v>
      </c>
      <c r="BY3394" s="2" t="s">
        <v>113</v>
      </c>
      <c r="BZ3394" s="2" t="s">
        <v>100</v>
      </c>
    </row>
    <row r="3395">
      <c r="A3395" s="2" t="s">
        <v>10643</v>
      </c>
      <c r="B3395" s="2" t="s">
        <v>9668</v>
      </c>
      <c r="C3395" s="2" t="s">
        <v>88</v>
      </c>
      <c r="D3395" s="2" t="s">
        <v>9669</v>
      </c>
      <c r="E3395" s="2" t="s">
        <v>9670</v>
      </c>
      <c r="F3395" s="2" t="s">
        <v>10605</v>
      </c>
      <c r="G3395" s="2" t="s">
        <v>10605</v>
      </c>
      <c r="H3395" s="2" t="s">
        <v>10605</v>
      </c>
      <c r="I3395" s="2" t="s">
        <v>10606</v>
      </c>
      <c r="J3395" s="2" t="s">
        <v>706</v>
      </c>
      <c r="K3395" s="2" t="s">
        <v>578</v>
      </c>
      <c r="L3395" s="3">
        <v>29.9</v>
      </c>
      <c r="M3395" s="3">
        <v>31.4</v>
      </c>
      <c r="N3395" s="3">
        <v>64.99</v>
      </c>
      <c r="O3395" s="2" t="s">
        <v>97</v>
      </c>
      <c r="P3395" s="2" t="s">
        <v>119</v>
      </c>
      <c r="Q3395" s="2" t="s">
        <v>99</v>
      </c>
      <c r="R3395" s="2" t="s">
        <v>100</v>
      </c>
      <c r="S3395" s="2" t="s">
        <v>10638</v>
      </c>
      <c r="T3395" s="2" t="s">
        <v>280</v>
      </c>
      <c r="U3395" s="2" t="s">
        <v>402</v>
      </c>
      <c r="V3395" s="2" t="s">
        <v>146</v>
      </c>
      <c r="W3395" s="2" t="s">
        <v>183</v>
      </c>
      <c r="X3395" s="2" t="s">
        <v>100</v>
      </c>
      <c r="Y3395" s="2" t="s">
        <v>10608</v>
      </c>
      <c r="Z3395" s="4">
        <v>113</v>
      </c>
      <c r="AA3395" s="4">
        <f>=ROUNDDOWN(12.5555555555556,0)</f>
      </c>
      <c r="AB3395" s="5">
        <v>9</v>
      </c>
      <c r="AC3395" s="2" t="s">
        <v>241</v>
      </c>
      <c r="AD3395" s="4">
        <v>160</v>
      </c>
      <c r="AE3395" s="4">
        <v>160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 t="s">
        <v>100</v>
      </c>
      <c r="BJ3395" s="4">
        <v>203</v>
      </c>
      <c r="BK3395" s="8">
        <v>6567.97</v>
      </c>
      <c r="BL3395" s="2" t="s">
        <v>10644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1883</v>
      </c>
      <c r="BX3395" s="2" t="s">
        <v>1925</v>
      </c>
      <c r="BY3395" s="2" t="s">
        <v>113</v>
      </c>
      <c r="BZ3395" s="2" t="s">
        <v>100</v>
      </c>
    </row>
    <row r="3396">
      <c r="A3396" s="2" t="s">
        <v>10645</v>
      </c>
      <c r="B3396" s="2" t="s">
        <v>9668</v>
      </c>
      <c r="C3396" s="2" t="s">
        <v>88</v>
      </c>
      <c r="D3396" s="2" t="s">
        <v>9669</v>
      </c>
      <c r="E3396" s="2" t="s">
        <v>9670</v>
      </c>
      <c r="F3396" s="2" t="s">
        <v>10605</v>
      </c>
      <c r="G3396" s="2" t="s">
        <v>10605</v>
      </c>
      <c r="H3396" s="2" t="s">
        <v>10605</v>
      </c>
      <c r="I3396" s="2" t="s">
        <v>10606</v>
      </c>
      <c r="J3396" s="2" t="s">
        <v>714</v>
      </c>
      <c r="K3396" s="2" t="s">
        <v>578</v>
      </c>
      <c r="L3396" s="3">
        <v>32.2</v>
      </c>
      <c r="M3396" s="3">
        <v>33.81</v>
      </c>
      <c r="N3396" s="3">
        <v>69.99</v>
      </c>
      <c r="O3396" s="2" t="s">
        <v>97</v>
      </c>
      <c r="P3396" s="2" t="s">
        <v>119</v>
      </c>
      <c r="Q3396" s="2" t="s">
        <v>99</v>
      </c>
      <c r="R3396" s="2" t="s">
        <v>100</v>
      </c>
      <c r="S3396" s="2" t="s">
        <v>10638</v>
      </c>
      <c r="T3396" s="2" t="s">
        <v>280</v>
      </c>
      <c r="U3396" s="2" t="s">
        <v>402</v>
      </c>
      <c r="V3396" s="2" t="s">
        <v>146</v>
      </c>
      <c r="W3396" s="2" t="s">
        <v>183</v>
      </c>
      <c r="X3396" s="2" t="s">
        <v>100</v>
      </c>
      <c r="Y3396" s="2" t="s">
        <v>10608</v>
      </c>
      <c r="Z3396" s="4">
        <v>108</v>
      </c>
      <c r="AA3396" s="4">
        <f>=ROUNDDOWN(18,0)</f>
      </c>
      <c r="AB3396" s="5">
        <v>6</v>
      </c>
      <c r="AC3396" s="2" t="s">
        <v>241</v>
      </c>
      <c r="AD3396" s="4">
        <v>130</v>
      </c>
      <c r="AE3396" s="4">
        <v>130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>
        <v>2</v>
      </c>
      <c r="AQ3396" s="8">
        <v>68.04</v>
      </c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>
        <v>0.6667</v>
      </c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 t="s">
        <v>100</v>
      </c>
      <c r="BJ3396" s="4">
        <v>120</v>
      </c>
      <c r="BK3396" s="8">
        <v>4247.61</v>
      </c>
      <c r="BL3396" s="2" t="s">
        <v>10534</v>
      </c>
      <c r="BM3396" s="7">
        <v>0.0167</v>
      </c>
      <c r="BN3396" s="7">
        <v>0.016</v>
      </c>
      <c r="BO3396" s="4">
        <v>2</v>
      </c>
      <c r="BP3396" s="8">
        <v>68.04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1883</v>
      </c>
      <c r="BX3396" s="2" t="s">
        <v>2250</v>
      </c>
      <c r="BY3396" s="2" t="s">
        <v>113</v>
      </c>
      <c r="BZ3396" s="2" t="s">
        <v>100</v>
      </c>
    </row>
    <row r="3397">
      <c r="A3397" s="2" t="s">
        <v>10646</v>
      </c>
      <c r="B3397" s="2" t="s">
        <v>9668</v>
      </c>
      <c r="C3397" s="2" t="s">
        <v>88</v>
      </c>
      <c r="D3397" s="2" t="s">
        <v>9669</v>
      </c>
      <c r="E3397" s="2" t="s">
        <v>9670</v>
      </c>
      <c r="F3397" s="2" t="s">
        <v>10605</v>
      </c>
      <c r="G3397" s="2" t="s">
        <v>10605</v>
      </c>
      <c r="H3397" s="2" t="s">
        <v>10605</v>
      </c>
      <c r="I3397" s="2" t="s">
        <v>10606</v>
      </c>
      <c r="J3397" s="2" t="s">
        <v>817</v>
      </c>
      <c r="K3397" s="2" t="s">
        <v>578</v>
      </c>
      <c r="L3397" s="3">
        <v>32.2</v>
      </c>
      <c r="M3397" s="3">
        <v>33.81</v>
      </c>
      <c r="N3397" s="3">
        <v>69.99</v>
      </c>
      <c r="O3397" s="2" t="s">
        <v>97</v>
      </c>
      <c r="P3397" s="2" t="s">
        <v>119</v>
      </c>
      <c r="Q3397" s="2" t="s">
        <v>99</v>
      </c>
      <c r="R3397" s="2" t="s">
        <v>100</v>
      </c>
      <c r="S3397" s="2" t="s">
        <v>10638</v>
      </c>
      <c r="T3397" s="2" t="s">
        <v>280</v>
      </c>
      <c r="U3397" s="2" t="s">
        <v>402</v>
      </c>
      <c r="V3397" s="2" t="s">
        <v>146</v>
      </c>
      <c r="W3397" s="2" t="s">
        <v>183</v>
      </c>
      <c r="X3397" s="2" t="s">
        <v>100</v>
      </c>
      <c r="Y3397" s="2" t="s">
        <v>10608</v>
      </c>
      <c r="Z3397" s="4">
        <v>32</v>
      </c>
      <c r="AA3397" s="4">
        <f>=ROUNDDOWN(9.14285714285714,0)</f>
      </c>
      <c r="AB3397" s="5">
        <v>3.5</v>
      </c>
      <c r="AC3397" s="2" t="s">
        <v>241</v>
      </c>
      <c r="AD3397" s="4">
        <v>60</v>
      </c>
      <c r="AE3397" s="4">
        <v>60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>
        <v>1</v>
      </c>
      <c r="AQ3397" s="8">
        <v>34.02</v>
      </c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>
        <v>0.3333</v>
      </c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 t="s">
        <v>100</v>
      </c>
      <c r="BJ3397" s="4">
        <v>73</v>
      </c>
      <c r="BK3397" s="8">
        <v>2583.08</v>
      </c>
      <c r="BL3397" s="2" t="s">
        <v>10647</v>
      </c>
      <c r="BM3397" s="7">
        <v>0.0137</v>
      </c>
      <c r="BN3397" s="7">
        <v>0.0132</v>
      </c>
      <c r="BO3397" s="4">
        <v>1</v>
      </c>
      <c r="BP3397" s="8">
        <v>34.02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1883</v>
      </c>
      <c r="BX3397" s="2" t="s">
        <v>723</v>
      </c>
      <c r="BY3397" s="2" t="s">
        <v>113</v>
      </c>
      <c r="BZ3397" s="2" t="s">
        <v>100</v>
      </c>
    </row>
    <row r="3398">
      <c r="A3398" s="2" t="s">
        <v>10648</v>
      </c>
      <c r="B3398" s="2" t="s">
        <v>9668</v>
      </c>
      <c r="C3398" s="2" t="s">
        <v>88</v>
      </c>
      <c r="D3398" s="2" t="s">
        <v>9669</v>
      </c>
      <c r="E3398" s="2" t="s">
        <v>9670</v>
      </c>
      <c r="F3398" s="2" t="s">
        <v>10605</v>
      </c>
      <c r="G3398" s="2" t="s">
        <v>10605</v>
      </c>
      <c r="H3398" s="2" t="s">
        <v>10605</v>
      </c>
      <c r="I3398" s="2" t="s">
        <v>10606</v>
      </c>
      <c r="J3398" s="2" t="s">
        <v>1936</v>
      </c>
      <c r="K3398" s="2" t="s">
        <v>1614</v>
      </c>
      <c r="L3398" s="3">
        <v>21.6</v>
      </c>
      <c r="M3398" s="3">
        <v>22.68</v>
      </c>
      <c r="N3398" s="3">
        <v>47.99</v>
      </c>
      <c r="O3398" s="2" t="s">
        <v>97</v>
      </c>
      <c r="P3398" s="2" t="s">
        <v>119</v>
      </c>
      <c r="Q3398" s="2" t="s">
        <v>99</v>
      </c>
      <c r="R3398" s="2" t="s">
        <v>100</v>
      </c>
      <c r="S3398" s="2" t="s">
        <v>10649</v>
      </c>
      <c r="T3398" s="2" t="s">
        <v>280</v>
      </c>
      <c r="U3398" s="2" t="s">
        <v>480</v>
      </c>
      <c r="V3398" s="2" t="s">
        <v>146</v>
      </c>
      <c r="W3398" s="2" t="s">
        <v>183</v>
      </c>
      <c r="X3398" s="2" t="s">
        <v>100</v>
      </c>
      <c r="Y3398" s="2" t="s">
        <v>10608</v>
      </c>
      <c r="Z3398" s="4">
        <v>53</v>
      </c>
      <c r="AA3398" s="4">
        <f>=ROUNDDOWN(13.25,0)</f>
      </c>
      <c r="AB3398" s="5">
        <v>4</v>
      </c>
      <c r="AC3398" s="2" t="s">
        <v>241</v>
      </c>
      <c r="AD3398" s="4">
        <v>80</v>
      </c>
      <c r="AE3398" s="4">
        <v>140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>
        <v>1</v>
      </c>
      <c r="AW3398" s="8">
        <v>31.19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>
        <v>0.0363</v>
      </c>
      <c r="BJ3398" s="4">
        <v>93</v>
      </c>
      <c r="BK3398" s="8">
        <v>2215.59</v>
      </c>
      <c r="BL3398" s="2" t="s">
        <v>492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1883</v>
      </c>
      <c r="BX3398" s="2" t="s">
        <v>5558</v>
      </c>
      <c r="BY3398" s="2" t="s">
        <v>113</v>
      </c>
      <c r="BZ3398" s="2" t="s">
        <v>100</v>
      </c>
    </row>
    <row r="3399">
      <c r="A3399" s="2" t="s">
        <v>10650</v>
      </c>
      <c r="B3399" s="2" t="s">
        <v>9668</v>
      </c>
      <c r="C3399" s="2" t="s">
        <v>88</v>
      </c>
      <c r="D3399" s="2" t="s">
        <v>9669</v>
      </c>
      <c r="E3399" s="2" t="s">
        <v>9670</v>
      </c>
      <c r="F3399" s="2" t="s">
        <v>10605</v>
      </c>
      <c r="G3399" s="2" t="s">
        <v>10605</v>
      </c>
      <c r="H3399" s="2" t="s">
        <v>10605</v>
      </c>
      <c r="I3399" s="2" t="s">
        <v>10606</v>
      </c>
      <c r="J3399" s="2" t="s">
        <v>717</v>
      </c>
      <c r="K3399" s="2" t="s">
        <v>1614</v>
      </c>
      <c r="L3399" s="3">
        <v>27</v>
      </c>
      <c r="M3399" s="3">
        <v>28.35</v>
      </c>
      <c r="N3399" s="3">
        <v>59.99</v>
      </c>
      <c r="O3399" s="2" t="s">
        <v>97</v>
      </c>
      <c r="P3399" s="2" t="s">
        <v>119</v>
      </c>
      <c r="Q3399" s="2" t="s">
        <v>99</v>
      </c>
      <c r="R3399" s="2" t="s">
        <v>100</v>
      </c>
      <c r="S3399" s="2" t="s">
        <v>10649</v>
      </c>
      <c r="T3399" s="2" t="s">
        <v>280</v>
      </c>
      <c r="U3399" s="2" t="s">
        <v>402</v>
      </c>
      <c r="V3399" s="2" t="s">
        <v>146</v>
      </c>
      <c r="W3399" s="2" t="s">
        <v>183</v>
      </c>
      <c r="X3399" s="2" t="s">
        <v>100</v>
      </c>
      <c r="Y3399" s="2" t="s">
        <v>10608</v>
      </c>
      <c r="Z3399" s="4">
        <v>64</v>
      </c>
      <c r="AA3399" s="4">
        <f>=ROUNDDOWN(22.8571428571429,0)</f>
      </c>
      <c r="AB3399" s="5">
        <v>2.8</v>
      </c>
      <c r="AC3399" s="2" t="s">
        <v>1546</v>
      </c>
      <c r="AD3399" s="4">
        <v>50</v>
      </c>
      <c r="AE3399" s="4">
        <v>110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 t="s">
        <v>100</v>
      </c>
      <c r="BJ3399" s="4">
        <v>93</v>
      </c>
      <c r="BK3399" s="8">
        <v>2713.98</v>
      </c>
      <c r="BL3399" s="2" t="s">
        <v>494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1883</v>
      </c>
      <c r="BX3399" s="2" t="s">
        <v>620</v>
      </c>
      <c r="BY3399" s="2" t="s">
        <v>113</v>
      </c>
      <c r="BZ3399" s="2" t="s">
        <v>100</v>
      </c>
    </row>
    <row r="3400">
      <c r="A3400" s="2" t="s">
        <v>10651</v>
      </c>
      <c r="B3400" s="2" t="s">
        <v>9668</v>
      </c>
      <c r="C3400" s="2" t="s">
        <v>88</v>
      </c>
      <c r="D3400" s="2" t="s">
        <v>9669</v>
      </c>
      <c r="E3400" s="2" t="s">
        <v>9670</v>
      </c>
      <c r="F3400" s="2" t="s">
        <v>10605</v>
      </c>
      <c r="G3400" s="2" t="s">
        <v>10605</v>
      </c>
      <c r="H3400" s="2" t="s">
        <v>10605</v>
      </c>
      <c r="I3400" s="2" t="s">
        <v>10606</v>
      </c>
      <c r="J3400" s="2" t="s">
        <v>706</v>
      </c>
      <c r="K3400" s="2" t="s">
        <v>1614</v>
      </c>
      <c r="L3400" s="3">
        <v>29.9</v>
      </c>
      <c r="M3400" s="3">
        <v>31.4</v>
      </c>
      <c r="N3400" s="3">
        <v>64.99</v>
      </c>
      <c r="O3400" s="2" t="s">
        <v>97</v>
      </c>
      <c r="P3400" s="2" t="s">
        <v>119</v>
      </c>
      <c r="Q3400" s="2" t="s">
        <v>99</v>
      </c>
      <c r="R3400" s="2" t="s">
        <v>100</v>
      </c>
      <c r="S3400" s="2" t="s">
        <v>10649</v>
      </c>
      <c r="T3400" s="2" t="s">
        <v>280</v>
      </c>
      <c r="U3400" s="2" t="s">
        <v>402</v>
      </c>
      <c r="V3400" s="2" t="s">
        <v>146</v>
      </c>
      <c r="W3400" s="2" t="s">
        <v>183</v>
      </c>
      <c r="X3400" s="2" t="s">
        <v>100</v>
      </c>
      <c r="Y3400" s="2" t="s">
        <v>10608</v>
      </c>
      <c r="Z3400" s="4">
        <v>53</v>
      </c>
      <c r="AA3400" s="4">
        <f>=ROUNDDOWN(4.07692307692308,0)</f>
      </c>
      <c r="AB3400" s="5">
        <v>13</v>
      </c>
      <c r="AC3400" s="2" t="s">
        <v>241</v>
      </c>
      <c r="AD3400" s="4">
        <v>160</v>
      </c>
      <c r="AE3400" s="4">
        <v>420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>
        <v>1</v>
      </c>
      <c r="AQ3400" s="8">
        <v>31.19</v>
      </c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 t="s">
        <v>100</v>
      </c>
      <c r="BJ3400" s="4">
        <v>265</v>
      </c>
      <c r="BK3400" s="8">
        <v>8647.12</v>
      </c>
      <c r="BL3400" s="2" t="s">
        <v>10652</v>
      </c>
      <c r="BM3400" s="7">
        <v>0.0038</v>
      </c>
      <c r="BN3400" s="7">
        <v>0.0036</v>
      </c>
      <c r="BO3400" s="4">
        <v>1</v>
      </c>
      <c r="BP3400" s="8">
        <v>31.19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1883</v>
      </c>
      <c r="BX3400" s="2" t="s">
        <v>1486</v>
      </c>
      <c r="BY3400" s="2" t="s">
        <v>113</v>
      </c>
      <c r="BZ3400" s="2" t="s">
        <v>100</v>
      </c>
    </row>
    <row r="3401">
      <c r="A3401" s="2" t="s">
        <v>10653</v>
      </c>
      <c r="B3401" s="2" t="s">
        <v>9668</v>
      </c>
      <c r="C3401" s="2" t="s">
        <v>88</v>
      </c>
      <c r="D3401" s="2" t="s">
        <v>9669</v>
      </c>
      <c r="E3401" s="2" t="s">
        <v>9670</v>
      </c>
      <c r="F3401" s="2" t="s">
        <v>10605</v>
      </c>
      <c r="G3401" s="2" t="s">
        <v>10605</v>
      </c>
      <c r="H3401" s="2" t="s">
        <v>10605</v>
      </c>
      <c r="I3401" s="2" t="s">
        <v>10606</v>
      </c>
      <c r="J3401" s="2" t="s">
        <v>714</v>
      </c>
      <c r="K3401" s="2" t="s">
        <v>1614</v>
      </c>
      <c r="L3401" s="3">
        <v>32.2</v>
      </c>
      <c r="M3401" s="3">
        <v>33.81</v>
      </c>
      <c r="N3401" s="3">
        <v>69.99</v>
      </c>
      <c r="O3401" s="2" t="s">
        <v>97</v>
      </c>
      <c r="P3401" s="2" t="s">
        <v>119</v>
      </c>
      <c r="Q3401" s="2" t="s">
        <v>99</v>
      </c>
      <c r="R3401" s="2" t="s">
        <v>100</v>
      </c>
      <c r="S3401" s="2" t="s">
        <v>10649</v>
      </c>
      <c r="T3401" s="2" t="s">
        <v>280</v>
      </c>
      <c r="U3401" s="2" t="s">
        <v>402</v>
      </c>
      <c r="V3401" s="2" t="s">
        <v>146</v>
      </c>
      <c r="W3401" s="2" t="s">
        <v>183</v>
      </c>
      <c r="X3401" s="2" t="s">
        <v>100</v>
      </c>
      <c r="Y3401" s="2" t="s">
        <v>10608</v>
      </c>
      <c r="Z3401" s="4">
        <v>98</v>
      </c>
      <c r="AA3401" s="4">
        <f>=ROUNDDOWN(14,0)</f>
      </c>
      <c r="AB3401" s="5">
        <v>7</v>
      </c>
      <c r="AC3401" s="2" t="s">
        <v>241</v>
      </c>
      <c r="AD3401" s="4">
        <v>130</v>
      </c>
      <c r="AE3401" s="4">
        <v>260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 t="s">
        <v>100</v>
      </c>
      <c r="BJ3401" s="4">
        <v>142</v>
      </c>
      <c r="BK3401" s="8">
        <v>5053.44</v>
      </c>
      <c r="BL3401" s="2" t="s">
        <v>10654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1883</v>
      </c>
      <c r="BX3401" s="2" t="s">
        <v>10655</v>
      </c>
      <c r="BY3401" s="2" t="s">
        <v>113</v>
      </c>
      <c r="BZ3401" s="2" t="s">
        <v>100</v>
      </c>
    </row>
    <row r="3402">
      <c r="A3402" s="2" t="s">
        <v>10656</v>
      </c>
      <c r="B3402" s="2" t="s">
        <v>9668</v>
      </c>
      <c r="C3402" s="2" t="s">
        <v>88</v>
      </c>
      <c r="D3402" s="2" t="s">
        <v>9669</v>
      </c>
      <c r="E3402" s="2" t="s">
        <v>9670</v>
      </c>
      <c r="F3402" s="2" t="s">
        <v>10605</v>
      </c>
      <c r="G3402" s="2" t="s">
        <v>10605</v>
      </c>
      <c r="H3402" s="2" t="s">
        <v>10605</v>
      </c>
      <c r="I3402" s="2" t="s">
        <v>10606</v>
      </c>
      <c r="J3402" s="2" t="s">
        <v>817</v>
      </c>
      <c r="K3402" s="2" t="s">
        <v>1614</v>
      </c>
      <c r="L3402" s="3">
        <v>32.2</v>
      </c>
      <c r="M3402" s="3">
        <v>33.81</v>
      </c>
      <c r="N3402" s="3">
        <v>69.99</v>
      </c>
      <c r="O3402" s="2" t="s">
        <v>97</v>
      </c>
      <c r="P3402" s="2" t="s">
        <v>119</v>
      </c>
      <c r="Q3402" s="2" t="s">
        <v>99</v>
      </c>
      <c r="R3402" s="2" t="s">
        <v>100</v>
      </c>
      <c r="S3402" s="2" t="s">
        <v>10649</v>
      </c>
      <c r="T3402" s="2" t="s">
        <v>280</v>
      </c>
      <c r="U3402" s="2" t="s">
        <v>402</v>
      </c>
      <c r="V3402" s="2" t="s">
        <v>146</v>
      </c>
      <c r="W3402" s="2" t="s">
        <v>183</v>
      </c>
      <c r="X3402" s="2" t="s">
        <v>100</v>
      </c>
      <c r="Y3402" s="2" t="s">
        <v>10608</v>
      </c>
      <c r="Z3402" s="4">
        <v>35</v>
      </c>
      <c r="AA3402" s="4">
        <f>=ROUNDDOWN(8.13953488372093,0)</f>
      </c>
      <c r="AB3402" s="5">
        <v>4.3</v>
      </c>
      <c r="AC3402" s="2" t="s">
        <v>241</v>
      </c>
      <c r="AD3402" s="4">
        <v>50</v>
      </c>
      <c r="AE3402" s="4">
        <v>190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 t="s">
        <v>100</v>
      </c>
      <c r="BJ3402" s="4">
        <v>103</v>
      </c>
      <c r="BK3402" s="8">
        <v>3692.17</v>
      </c>
      <c r="BL3402" s="2" t="s">
        <v>5372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1883</v>
      </c>
      <c r="BX3402" s="2" t="s">
        <v>10655</v>
      </c>
      <c r="BY3402" s="2" t="s">
        <v>113</v>
      </c>
      <c r="BZ3402" s="2" t="s">
        <v>100</v>
      </c>
    </row>
    <row r="3403">
      <c r="A3403" s="2" t="s">
        <v>10657</v>
      </c>
      <c r="B3403" s="2" t="s">
        <v>9668</v>
      </c>
      <c r="C3403" s="2" t="s">
        <v>88</v>
      </c>
      <c r="D3403" s="2" t="s">
        <v>9669</v>
      </c>
      <c r="E3403" s="2" t="s">
        <v>9670</v>
      </c>
      <c r="F3403" s="2" t="s">
        <v>10605</v>
      </c>
      <c r="G3403" s="2" t="s">
        <v>10605</v>
      </c>
      <c r="H3403" s="2" t="s">
        <v>10605</v>
      </c>
      <c r="I3403" s="2" t="s">
        <v>10606</v>
      </c>
      <c r="J3403" s="2" t="s">
        <v>1936</v>
      </c>
      <c r="K3403" s="2" t="s">
        <v>96</v>
      </c>
      <c r="L3403" s="3">
        <v>21.6</v>
      </c>
      <c r="M3403" s="3">
        <v>22.68</v>
      </c>
      <c r="N3403" s="3">
        <v>47.99</v>
      </c>
      <c r="O3403" s="2" t="s">
        <v>97</v>
      </c>
      <c r="P3403" s="2" t="s">
        <v>119</v>
      </c>
      <c r="Q3403" s="2" t="s">
        <v>99</v>
      </c>
      <c r="R3403" s="2" t="s">
        <v>100</v>
      </c>
      <c r="S3403" s="2" t="s">
        <v>10658</v>
      </c>
      <c r="T3403" s="2" t="s">
        <v>280</v>
      </c>
      <c r="U3403" s="2" t="s">
        <v>480</v>
      </c>
      <c r="V3403" s="2" t="s">
        <v>146</v>
      </c>
      <c r="W3403" s="2" t="s">
        <v>183</v>
      </c>
      <c r="X3403" s="2" t="s">
        <v>100</v>
      </c>
      <c r="Y3403" s="2" t="s">
        <v>10608</v>
      </c>
      <c r="Z3403" s="4">
        <v>74</v>
      </c>
      <c r="AA3403" s="4">
        <f>=ROUNDDOWN(37,0)</f>
      </c>
      <c r="AB3403" s="5">
        <v>2</v>
      </c>
      <c r="AC3403" s="2" t="s">
        <v>1546</v>
      </c>
      <c r="AD3403" s="4">
        <v>50</v>
      </c>
      <c r="AE3403" s="4">
        <v>90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 t="s">
        <v>100</v>
      </c>
      <c r="BJ3403" s="4">
        <v>76</v>
      </c>
      <c r="BK3403" s="8">
        <v>1816.89</v>
      </c>
      <c r="BL3403" s="2" t="s">
        <v>6736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10659</v>
      </c>
      <c r="BX3403" s="2" t="s">
        <v>10660</v>
      </c>
      <c r="BY3403" s="2" t="s">
        <v>113</v>
      </c>
      <c r="BZ3403" s="2" t="s">
        <v>100</v>
      </c>
    </row>
    <row r="3404">
      <c r="A3404" s="2" t="s">
        <v>10661</v>
      </c>
      <c r="B3404" s="2" t="s">
        <v>9668</v>
      </c>
      <c r="C3404" s="2" t="s">
        <v>88</v>
      </c>
      <c r="D3404" s="2" t="s">
        <v>9669</v>
      </c>
      <c r="E3404" s="2" t="s">
        <v>9670</v>
      </c>
      <c r="F3404" s="2" t="s">
        <v>10605</v>
      </c>
      <c r="G3404" s="2" t="s">
        <v>10605</v>
      </c>
      <c r="H3404" s="2" t="s">
        <v>10605</v>
      </c>
      <c r="I3404" s="2" t="s">
        <v>10606</v>
      </c>
      <c r="J3404" s="2" t="s">
        <v>717</v>
      </c>
      <c r="K3404" s="2" t="s">
        <v>96</v>
      </c>
      <c r="L3404" s="3">
        <v>27</v>
      </c>
      <c r="M3404" s="3">
        <v>28.35</v>
      </c>
      <c r="N3404" s="3">
        <v>59.99</v>
      </c>
      <c r="O3404" s="2" t="s">
        <v>97</v>
      </c>
      <c r="P3404" s="2" t="s">
        <v>119</v>
      </c>
      <c r="Q3404" s="2" t="s">
        <v>99</v>
      </c>
      <c r="R3404" s="2" t="s">
        <v>100</v>
      </c>
      <c r="S3404" s="2" t="s">
        <v>10658</v>
      </c>
      <c r="T3404" s="2" t="s">
        <v>280</v>
      </c>
      <c r="U3404" s="2" t="s">
        <v>402</v>
      </c>
      <c r="V3404" s="2" t="s">
        <v>146</v>
      </c>
      <c r="W3404" s="2" t="s">
        <v>183</v>
      </c>
      <c r="X3404" s="2" t="s">
        <v>100</v>
      </c>
      <c r="Y3404" s="2" t="s">
        <v>10608</v>
      </c>
      <c r="Z3404" s="4">
        <v>54</v>
      </c>
      <c r="AA3404" s="4">
        <f>=ROUNDDOWN(22.5,0)</f>
      </c>
      <c r="AB3404" s="5">
        <v>2.4</v>
      </c>
      <c r="AC3404" s="2" t="s">
        <v>241</v>
      </c>
      <c r="AD3404" s="4">
        <v>3</v>
      </c>
      <c r="AE3404" s="4">
        <v>123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 t="s">
        <v>100</v>
      </c>
      <c r="BJ3404" s="4">
        <v>73</v>
      </c>
      <c r="BK3404" s="8">
        <v>2211.27</v>
      </c>
      <c r="BL3404" s="2" t="s">
        <v>1749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1883</v>
      </c>
      <c r="BX3404" s="2" t="s">
        <v>10611</v>
      </c>
      <c r="BY3404" s="2" t="s">
        <v>113</v>
      </c>
      <c r="BZ3404" s="2" t="s">
        <v>100</v>
      </c>
    </row>
    <row r="3405">
      <c r="A3405" s="2" t="s">
        <v>10662</v>
      </c>
      <c r="B3405" s="2" t="s">
        <v>9668</v>
      </c>
      <c r="C3405" s="2" t="s">
        <v>88</v>
      </c>
      <c r="D3405" s="2" t="s">
        <v>9669</v>
      </c>
      <c r="E3405" s="2" t="s">
        <v>9670</v>
      </c>
      <c r="F3405" s="2" t="s">
        <v>10605</v>
      </c>
      <c r="G3405" s="2" t="s">
        <v>10605</v>
      </c>
      <c r="H3405" s="2" t="s">
        <v>10605</v>
      </c>
      <c r="I3405" s="2" t="s">
        <v>10606</v>
      </c>
      <c r="J3405" s="2" t="s">
        <v>706</v>
      </c>
      <c r="K3405" s="2" t="s">
        <v>96</v>
      </c>
      <c r="L3405" s="3">
        <v>29.9</v>
      </c>
      <c r="M3405" s="3">
        <v>31.4</v>
      </c>
      <c r="N3405" s="3">
        <v>64.99</v>
      </c>
      <c r="O3405" s="2" t="s">
        <v>97</v>
      </c>
      <c r="P3405" s="2" t="s">
        <v>119</v>
      </c>
      <c r="Q3405" s="2" t="s">
        <v>99</v>
      </c>
      <c r="R3405" s="2" t="s">
        <v>100</v>
      </c>
      <c r="S3405" s="2" t="s">
        <v>10658</v>
      </c>
      <c r="T3405" s="2" t="s">
        <v>280</v>
      </c>
      <c r="U3405" s="2" t="s">
        <v>402</v>
      </c>
      <c r="V3405" s="2" t="s">
        <v>146</v>
      </c>
      <c r="W3405" s="2" t="s">
        <v>183</v>
      </c>
      <c r="X3405" s="2" t="s">
        <v>100</v>
      </c>
      <c r="Y3405" s="2" t="s">
        <v>10608</v>
      </c>
      <c r="Z3405" s="4">
        <v>88</v>
      </c>
      <c r="AA3405" s="4">
        <f>=ROUNDDOWN(9.56521739130435,0)</f>
      </c>
      <c r="AB3405" s="5">
        <v>9.2</v>
      </c>
      <c r="AC3405" s="2" t="s">
        <v>241</v>
      </c>
      <c r="AD3405" s="4">
        <v>22</v>
      </c>
      <c r="AE3405" s="4">
        <v>282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 t="s">
        <v>100</v>
      </c>
      <c r="BJ3405" s="4">
        <v>227</v>
      </c>
      <c r="BK3405" s="8">
        <v>7379.83</v>
      </c>
      <c r="BL3405" s="2" t="s">
        <v>6845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1883</v>
      </c>
      <c r="BX3405" s="2" t="s">
        <v>6086</v>
      </c>
      <c r="BY3405" s="2" t="s">
        <v>113</v>
      </c>
      <c r="BZ3405" s="2" t="s">
        <v>100</v>
      </c>
    </row>
    <row r="3406">
      <c r="A3406" s="2" t="s">
        <v>10663</v>
      </c>
      <c r="B3406" s="2" t="s">
        <v>9668</v>
      </c>
      <c r="C3406" s="2" t="s">
        <v>88</v>
      </c>
      <c r="D3406" s="2" t="s">
        <v>9669</v>
      </c>
      <c r="E3406" s="2" t="s">
        <v>9670</v>
      </c>
      <c r="F3406" s="2" t="s">
        <v>10605</v>
      </c>
      <c r="G3406" s="2" t="s">
        <v>10605</v>
      </c>
      <c r="H3406" s="2" t="s">
        <v>10605</v>
      </c>
      <c r="I3406" s="2" t="s">
        <v>10606</v>
      </c>
      <c r="J3406" s="2" t="s">
        <v>817</v>
      </c>
      <c r="K3406" s="2" t="s">
        <v>96</v>
      </c>
      <c r="L3406" s="3">
        <v>32.2</v>
      </c>
      <c r="M3406" s="3">
        <v>33.81</v>
      </c>
      <c r="N3406" s="3">
        <v>69.99</v>
      </c>
      <c r="O3406" s="2" t="s">
        <v>97</v>
      </c>
      <c r="P3406" s="2" t="s">
        <v>119</v>
      </c>
      <c r="Q3406" s="2" t="s">
        <v>99</v>
      </c>
      <c r="R3406" s="2" t="s">
        <v>100</v>
      </c>
      <c r="S3406" s="2" t="s">
        <v>10658</v>
      </c>
      <c r="T3406" s="2" t="s">
        <v>280</v>
      </c>
      <c r="U3406" s="2" t="s">
        <v>402</v>
      </c>
      <c r="V3406" s="2" t="s">
        <v>146</v>
      </c>
      <c r="W3406" s="2" t="s">
        <v>183</v>
      </c>
      <c r="X3406" s="2" t="s">
        <v>100</v>
      </c>
      <c r="Y3406" s="2" t="s">
        <v>10608</v>
      </c>
      <c r="Z3406" s="4">
        <v>3</v>
      </c>
      <c r="AA3406" s="4">
        <f>=ROUNDDOWN(0.75,0)</f>
      </c>
      <c r="AB3406" s="5">
        <v>4</v>
      </c>
      <c r="AC3406" s="2" t="s">
        <v>1546</v>
      </c>
      <c r="AD3406" s="4">
        <v>40</v>
      </c>
      <c r="AE3406" s="4">
        <v>70</v>
      </c>
      <c r="AF3406" s="6">
        <v>65</v>
      </c>
      <c r="AG3406" s="6"/>
      <c r="AH3406" s="7">
        <v>0.754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 t="s">
        <v>100</v>
      </c>
      <c r="BJ3406" s="4">
        <v>59</v>
      </c>
      <c r="BK3406" s="8">
        <v>2112.31</v>
      </c>
      <c r="BL3406" s="2" t="s">
        <v>10664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1883</v>
      </c>
      <c r="BX3406" s="2" t="s">
        <v>2269</v>
      </c>
      <c r="BY3406" s="2" t="s">
        <v>113</v>
      </c>
      <c r="BZ3406" s="2" t="s">
        <v>100</v>
      </c>
    </row>
    <row r="3407">
      <c r="A3407" s="2" t="s">
        <v>10665</v>
      </c>
      <c r="B3407" s="2" t="s">
        <v>9668</v>
      </c>
      <c r="C3407" s="2" t="s">
        <v>88</v>
      </c>
      <c r="D3407" s="2" t="s">
        <v>9669</v>
      </c>
      <c r="E3407" s="2" t="s">
        <v>9670</v>
      </c>
      <c r="F3407" s="2" t="s">
        <v>10666</v>
      </c>
      <c r="G3407" s="2" t="s">
        <v>10666</v>
      </c>
      <c r="H3407" s="2" t="s">
        <v>10666</v>
      </c>
      <c r="I3407" s="2" t="s">
        <v>10667</v>
      </c>
      <c r="J3407" s="2" t="s">
        <v>714</v>
      </c>
      <c r="K3407" s="2" t="s">
        <v>189</v>
      </c>
      <c r="L3407" s="3">
        <v>46</v>
      </c>
      <c r="M3407" s="3">
        <v>48.3</v>
      </c>
      <c r="N3407" s="3">
        <v>99.99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10668</v>
      </c>
      <c r="T3407" s="2" t="s">
        <v>4972</v>
      </c>
      <c r="U3407" s="2" t="s">
        <v>402</v>
      </c>
      <c r="V3407" s="2" t="s">
        <v>146</v>
      </c>
      <c r="W3407" s="2" t="s">
        <v>183</v>
      </c>
      <c r="X3407" s="2" t="s">
        <v>673</v>
      </c>
      <c r="Y3407" s="2" t="s">
        <v>10669</v>
      </c>
      <c r="Z3407" s="4">
        <v>425</v>
      </c>
      <c r="AA3407" s="4">
        <f>=ROUNDDOWN(21.25,0)</f>
      </c>
      <c r="AB3407" s="5">
        <v>20</v>
      </c>
      <c r="AC3407" s="2" t="s">
        <v>821</v>
      </c>
      <c r="AD3407" s="4">
        <v>270</v>
      </c>
      <c r="AE3407" s="4">
        <v>450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>
        <v>1</v>
      </c>
      <c r="AQ3407" s="8">
        <v>48.19</v>
      </c>
      <c r="AR3407" s="4"/>
      <c r="AS3407" s="8"/>
      <c r="AT3407" s="7"/>
      <c r="AU3407" s="7"/>
      <c r="AV3407" s="4">
        <v>2</v>
      </c>
      <c r="AW3407" s="8">
        <v>96.38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>
        <v>0.5</v>
      </c>
      <c r="BC3407" s="4">
        <v>6</v>
      </c>
      <c r="BD3407" s="8">
        <v>283.48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0.34</v>
      </c>
      <c r="BJ3407" s="4">
        <v>475</v>
      </c>
      <c r="BK3407" s="8">
        <v>23782.42</v>
      </c>
      <c r="BL3407" s="2" t="s">
        <v>10670</v>
      </c>
      <c r="BM3407" s="7">
        <v>0.0021</v>
      </c>
      <c r="BN3407" s="7">
        <v>0.002</v>
      </c>
      <c r="BO3407" s="4">
        <v>1</v>
      </c>
      <c r="BP3407" s="8">
        <v>48.19</v>
      </c>
      <c r="BQ3407" s="4"/>
      <c r="BR3407" s="8"/>
      <c r="BS3407" s="7"/>
      <c r="BT3407" s="7"/>
      <c r="BU3407" s="2" t="s">
        <v>109</v>
      </c>
      <c r="BV3407" s="2" t="s">
        <v>110</v>
      </c>
      <c r="BW3407" s="2" t="s">
        <v>6644</v>
      </c>
      <c r="BX3407" s="2" t="s">
        <v>10671</v>
      </c>
      <c r="BY3407" s="2" t="s">
        <v>113</v>
      </c>
      <c r="BZ3407" s="2" t="s">
        <v>100</v>
      </c>
    </row>
    <row r="3408">
      <c r="A3408" s="2" t="s">
        <v>10672</v>
      </c>
      <c r="B3408" s="2" t="s">
        <v>9668</v>
      </c>
      <c r="C3408" s="2" t="s">
        <v>88</v>
      </c>
      <c r="D3408" s="2" t="s">
        <v>9669</v>
      </c>
      <c r="E3408" s="2" t="s">
        <v>9670</v>
      </c>
      <c r="F3408" s="2" t="s">
        <v>10666</v>
      </c>
      <c r="G3408" s="2" t="s">
        <v>10666</v>
      </c>
      <c r="H3408" s="2" t="s">
        <v>10666</v>
      </c>
      <c r="I3408" s="2" t="s">
        <v>10667</v>
      </c>
      <c r="J3408" s="2" t="s">
        <v>817</v>
      </c>
      <c r="K3408" s="2" t="s">
        <v>189</v>
      </c>
      <c r="L3408" s="3">
        <v>46</v>
      </c>
      <c r="M3408" s="3">
        <v>48.3</v>
      </c>
      <c r="N3408" s="3">
        <v>99.99</v>
      </c>
      <c r="O3408" s="2" t="s">
        <v>97</v>
      </c>
      <c r="P3408" s="2" t="s">
        <v>119</v>
      </c>
      <c r="Q3408" s="2" t="s">
        <v>99</v>
      </c>
      <c r="R3408" s="2" t="s">
        <v>100</v>
      </c>
      <c r="S3408" s="2" t="s">
        <v>10668</v>
      </c>
      <c r="T3408" s="2" t="s">
        <v>4972</v>
      </c>
      <c r="U3408" s="2" t="s">
        <v>402</v>
      </c>
      <c r="V3408" s="2" t="s">
        <v>146</v>
      </c>
      <c r="W3408" s="2" t="s">
        <v>183</v>
      </c>
      <c r="X3408" s="2" t="s">
        <v>673</v>
      </c>
      <c r="Y3408" s="2" t="s">
        <v>10669</v>
      </c>
      <c r="Z3408" s="4">
        <v>181</v>
      </c>
      <c r="AA3408" s="4">
        <f>=ROUNDDOWN(25.8571428571429,0)</f>
      </c>
      <c r="AB3408" s="5">
        <v>7</v>
      </c>
      <c r="AC3408" s="2" t="s">
        <v>821</v>
      </c>
      <c r="AD3408" s="4">
        <v>150</v>
      </c>
      <c r="AE3408" s="4">
        <v>190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>
        <v>1</v>
      </c>
      <c r="AQ3408" s="8">
        <v>48.19</v>
      </c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>
        <v>0.5</v>
      </c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 t="s">
        <v>100</v>
      </c>
      <c r="BJ3408" s="4">
        <v>174</v>
      </c>
      <c r="BK3408" s="8">
        <v>8724.32</v>
      </c>
      <c r="BL3408" s="2" t="s">
        <v>10673</v>
      </c>
      <c r="BM3408" s="7">
        <v>0.0057</v>
      </c>
      <c r="BN3408" s="7">
        <v>0.0055</v>
      </c>
      <c r="BO3408" s="4">
        <v>1</v>
      </c>
      <c r="BP3408" s="8">
        <v>48.19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6644</v>
      </c>
      <c r="BX3408" s="2" t="s">
        <v>4012</v>
      </c>
      <c r="BY3408" s="2" t="s">
        <v>113</v>
      </c>
      <c r="BZ3408" s="2" t="s">
        <v>100</v>
      </c>
    </row>
    <row r="3409">
      <c r="A3409" s="2" t="s">
        <v>10674</v>
      </c>
      <c r="B3409" s="2" t="s">
        <v>9668</v>
      </c>
      <c r="C3409" s="2" t="s">
        <v>88</v>
      </c>
      <c r="D3409" s="2" t="s">
        <v>9669</v>
      </c>
      <c r="E3409" s="2" t="s">
        <v>9670</v>
      </c>
      <c r="F3409" s="2" t="s">
        <v>10666</v>
      </c>
      <c r="G3409" s="2" t="s">
        <v>10666</v>
      </c>
      <c r="H3409" s="2" t="s">
        <v>10666</v>
      </c>
      <c r="I3409" s="2" t="s">
        <v>10667</v>
      </c>
      <c r="J3409" s="2" t="s">
        <v>706</v>
      </c>
      <c r="K3409" s="2" t="s">
        <v>118</v>
      </c>
      <c r="L3409" s="3">
        <v>41.4</v>
      </c>
      <c r="M3409" s="3">
        <v>43.47</v>
      </c>
      <c r="N3409" s="3">
        <v>89.99</v>
      </c>
      <c r="O3409" s="2" t="s">
        <v>97</v>
      </c>
      <c r="P3409" s="2" t="s">
        <v>98</v>
      </c>
      <c r="Q3409" s="2" t="s">
        <v>99</v>
      </c>
      <c r="R3409" s="2" t="s">
        <v>100</v>
      </c>
      <c r="S3409" s="2" t="s">
        <v>10675</v>
      </c>
      <c r="T3409" s="2" t="s">
        <v>4972</v>
      </c>
      <c r="U3409" s="2" t="s">
        <v>402</v>
      </c>
      <c r="V3409" s="2" t="s">
        <v>146</v>
      </c>
      <c r="W3409" s="2" t="s">
        <v>183</v>
      </c>
      <c r="X3409" s="2" t="s">
        <v>673</v>
      </c>
      <c r="Y3409" s="2" t="s">
        <v>177</v>
      </c>
      <c r="Z3409" s="4">
        <v>301</v>
      </c>
      <c r="AA3409" s="4">
        <f>=ROUNDDOWN(17.7058823529412,0)</f>
      </c>
      <c r="AB3409" s="5">
        <v>17</v>
      </c>
      <c r="AC3409" s="2" t="s">
        <v>9084</v>
      </c>
      <c r="AD3409" s="4">
        <v>188</v>
      </c>
      <c r="AE3409" s="4">
        <v>438</v>
      </c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>
        <v>1</v>
      </c>
      <c r="AW3409" s="8">
        <v>48.19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>
        <v>0.17</v>
      </c>
      <c r="BJ3409" s="4">
        <v>411</v>
      </c>
      <c r="BK3409" s="8">
        <v>18046.46</v>
      </c>
      <c r="BL3409" s="2" t="s">
        <v>6969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622</v>
      </c>
      <c r="BX3409" s="2" t="s">
        <v>10330</v>
      </c>
      <c r="BY3409" s="2" t="s">
        <v>113</v>
      </c>
      <c r="BZ3409" s="2" t="s">
        <v>100</v>
      </c>
    </row>
    <row r="3410">
      <c r="A3410" s="2" t="s">
        <v>10676</v>
      </c>
      <c r="B3410" s="2" t="s">
        <v>9668</v>
      </c>
      <c r="C3410" s="2" t="s">
        <v>88</v>
      </c>
      <c r="D3410" s="2" t="s">
        <v>9669</v>
      </c>
      <c r="E3410" s="2" t="s">
        <v>9670</v>
      </c>
      <c r="F3410" s="2" t="s">
        <v>10666</v>
      </c>
      <c r="G3410" s="2" t="s">
        <v>10666</v>
      </c>
      <c r="H3410" s="2" t="s">
        <v>10666</v>
      </c>
      <c r="I3410" s="2" t="s">
        <v>10667</v>
      </c>
      <c r="J3410" s="2" t="s">
        <v>714</v>
      </c>
      <c r="K3410" s="2" t="s">
        <v>118</v>
      </c>
      <c r="L3410" s="3">
        <v>46</v>
      </c>
      <c r="M3410" s="3">
        <v>48.3</v>
      </c>
      <c r="N3410" s="3">
        <v>99.99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10675</v>
      </c>
      <c r="T3410" s="2" t="s">
        <v>4972</v>
      </c>
      <c r="U3410" s="2" t="s">
        <v>402</v>
      </c>
      <c r="V3410" s="2" t="s">
        <v>146</v>
      </c>
      <c r="W3410" s="2" t="s">
        <v>183</v>
      </c>
      <c r="X3410" s="2" t="s">
        <v>673</v>
      </c>
      <c r="Y3410" s="2" t="s">
        <v>177</v>
      </c>
      <c r="Z3410" s="4">
        <v>231</v>
      </c>
      <c r="AA3410" s="4">
        <f>=ROUNDDOWN(17.7692307692308,0)</f>
      </c>
      <c r="AB3410" s="5">
        <v>13</v>
      </c>
      <c r="AC3410" s="2" t="s">
        <v>821</v>
      </c>
      <c r="AD3410" s="4">
        <v>138</v>
      </c>
      <c r="AE3410" s="4">
        <v>438</v>
      </c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>
        <v>1</v>
      </c>
      <c r="AQ3410" s="8">
        <v>48.19</v>
      </c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>
        <v>1</v>
      </c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 t="s">
        <v>100</v>
      </c>
      <c r="BJ3410" s="4">
        <v>327</v>
      </c>
      <c r="BK3410" s="8">
        <v>16062.37</v>
      </c>
      <c r="BL3410" s="2" t="s">
        <v>10534</v>
      </c>
      <c r="BM3410" s="7">
        <v>0.0031</v>
      </c>
      <c r="BN3410" s="7">
        <v>0.003</v>
      </c>
      <c r="BO3410" s="4">
        <v>1</v>
      </c>
      <c r="BP3410" s="8">
        <v>48.19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622</v>
      </c>
      <c r="BX3410" s="2" t="s">
        <v>10677</v>
      </c>
      <c r="BY3410" s="2" t="s">
        <v>113</v>
      </c>
      <c r="BZ3410" s="2" t="s">
        <v>100</v>
      </c>
    </row>
    <row r="3411">
      <c r="A3411" s="2" t="s">
        <v>10678</v>
      </c>
      <c r="B3411" s="2" t="s">
        <v>9668</v>
      </c>
      <c r="C3411" s="2" t="s">
        <v>88</v>
      </c>
      <c r="D3411" s="2" t="s">
        <v>9669</v>
      </c>
      <c r="E3411" s="2" t="s">
        <v>9670</v>
      </c>
      <c r="F3411" s="2" t="s">
        <v>10666</v>
      </c>
      <c r="G3411" s="2" t="s">
        <v>10666</v>
      </c>
      <c r="H3411" s="2" t="s">
        <v>10666</v>
      </c>
      <c r="I3411" s="2" t="s">
        <v>10667</v>
      </c>
      <c r="J3411" s="2" t="s">
        <v>817</v>
      </c>
      <c r="K3411" s="2" t="s">
        <v>118</v>
      </c>
      <c r="L3411" s="3">
        <v>46</v>
      </c>
      <c r="M3411" s="3">
        <v>48.3</v>
      </c>
      <c r="N3411" s="3">
        <v>99.99</v>
      </c>
      <c r="O3411" s="2" t="s">
        <v>97</v>
      </c>
      <c r="P3411" s="2" t="s">
        <v>119</v>
      </c>
      <c r="Q3411" s="2" t="s">
        <v>99</v>
      </c>
      <c r="R3411" s="2" t="s">
        <v>100</v>
      </c>
      <c r="S3411" s="2" t="s">
        <v>10675</v>
      </c>
      <c r="T3411" s="2" t="s">
        <v>4972</v>
      </c>
      <c r="U3411" s="2" t="s">
        <v>402</v>
      </c>
      <c r="V3411" s="2" t="s">
        <v>146</v>
      </c>
      <c r="W3411" s="2" t="s">
        <v>183</v>
      </c>
      <c r="X3411" s="2" t="s">
        <v>673</v>
      </c>
      <c r="Y3411" s="2" t="s">
        <v>177</v>
      </c>
      <c r="Z3411" s="4">
        <v>116</v>
      </c>
      <c r="AA3411" s="4">
        <f>=ROUNDDOWN(23.2,0)</f>
      </c>
      <c r="AB3411" s="5">
        <v>5</v>
      </c>
      <c r="AC3411" s="2" t="s">
        <v>821</v>
      </c>
      <c r="AD3411" s="4">
        <v>59</v>
      </c>
      <c r="AE3411" s="4">
        <v>139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 t="s">
        <v>100</v>
      </c>
      <c r="BJ3411" s="4">
        <v>119</v>
      </c>
      <c r="BK3411" s="8">
        <v>5921.24</v>
      </c>
      <c r="BL3411" s="2" t="s">
        <v>10629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622</v>
      </c>
      <c r="BX3411" s="2" t="s">
        <v>6773</v>
      </c>
      <c r="BY3411" s="2" t="s">
        <v>113</v>
      </c>
      <c r="BZ3411" s="2" t="s">
        <v>100</v>
      </c>
    </row>
    <row r="3412">
      <c r="A3412" s="2" t="s">
        <v>10679</v>
      </c>
      <c r="B3412" s="2" t="s">
        <v>9668</v>
      </c>
      <c r="C3412" s="2" t="s">
        <v>88</v>
      </c>
      <c r="D3412" s="2" t="s">
        <v>9669</v>
      </c>
      <c r="E3412" s="2" t="s">
        <v>9670</v>
      </c>
      <c r="F3412" s="2" t="s">
        <v>10666</v>
      </c>
      <c r="G3412" s="2" t="s">
        <v>10666</v>
      </c>
      <c r="H3412" s="2" t="s">
        <v>10666</v>
      </c>
      <c r="I3412" s="2" t="s">
        <v>10667</v>
      </c>
      <c r="J3412" s="2" t="s">
        <v>714</v>
      </c>
      <c r="K3412" s="2" t="s">
        <v>1614</v>
      </c>
      <c r="L3412" s="3">
        <v>46</v>
      </c>
      <c r="M3412" s="3">
        <v>48.3</v>
      </c>
      <c r="N3412" s="3">
        <v>99.99</v>
      </c>
      <c r="O3412" s="2" t="s">
        <v>97</v>
      </c>
      <c r="P3412" s="2" t="s">
        <v>950</v>
      </c>
      <c r="Q3412" s="2" t="s">
        <v>99</v>
      </c>
      <c r="R3412" s="2" t="s">
        <v>100</v>
      </c>
      <c r="S3412" s="2" t="s">
        <v>10680</v>
      </c>
      <c r="T3412" s="2" t="s">
        <v>4972</v>
      </c>
      <c r="U3412" s="2" t="s">
        <v>402</v>
      </c>
      <c r="V3412" s="2" t="s">
        <v>146</v>
      </c>
      <c r="W3412" s="2" t="s">
        <v>183</v>
      </c>
      <c r="X3412" s="2" t="s">
        <v>673</v>
      </c>
      <c r="Y3412" s="2" t="s">
        <v>10669</v>
      </c>
      <c r="Z3412" s="4">
        <v>132</v>
      </c>
      <c r="AA3412" s="4">
        <f>=ROUNDDOWN(8.25,0)</f>
      </c>
      <c r="AB3412" s="5">
        <v>16</v>
      </c>
      <c r="AC3412" s="2" t="s">
        <v>821</v>
      </c>
      <c r="AD3412" s="4">
        <v>250</v>
      </c>
      <c r="AE3412" s="4">
        <v>250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>
        <v>1</v>
      </c>
      <c r="AQ3412" s="8">
        <v>48.19</v>
      </c>
      <c r="AR3412" s="4"/>
      <c r="AS3412" s="8"/>
      <c r="AT3412" s="7"/>
      <c r="AU3412" s="7"/>
      <c r="AV3412" s="4">
        <v>1</v>
      </c>
      <c r="AW3412" s="8">
        <v>48.19</v>
      </c>
      <c r="AX3412" s="4"/>
      <c r="AY3412" s="8"/>
      <c r="AZ3412" s="7"/>
      <c r="BA3412" s="7"/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0.17</v>
      </c>
      <c r="BJ3412" s="4">
        <v>370</v>
      </c>
      <c r="BK3412" s="8">
        <v>18383.04</v>
      </c>
      <c r="BL3412" s="2" t="s">
        <v>10681</v>
      </c>
      <c r="BM3412" s="7">
        <v>0.0027</v>
      </c>
      <c r="BN3412" s="7">
        <v>0.0026</v>
      </c>
      <c r="BO3412" s="4">
        <v>1</v>
      </c>
      <c r="BP3412" s="8">
        <v>48.19</v>
      </c>
      <c r="BQ3412" s="4"/>
      <c r="BR3412" s="8"/>
      <c r="BS3412" s="7"/>
      <c r="BT3412" s="7"/>
      <c r="BU3412" s="2" t="s">
        <v>109</v>
      </c>
      <c r="BV3412" s="2" t="s">
        <v>110</v>
      </c>
      <c r="BW3412" s="2" t="s">
        <v>6644</v>
      </c>
      <c r="BX3412" s="2" t="s">
        <v>5648</v>
      </c>
      <c r="BY3412" s="2" t="s">
        <v>113</v>
      </c>
      <c r="BZ3412" s="2" t="s">
        <v>100</v>
      </c>
    </row>
    <row r="3413">
      <c r="A3413" s="2" t="s">
        <v>10682</v>
      </c>
      <c r="B3413" s="2" t="s">
        <v>9668</v>
      </c>
      <c r="C3413" s="2" t="s">
        <v>88</v>
      </c>
      <c r="D3413" s="2" t="s">
        <v>9669</v>
      </c>
      <c r="E3413" s="2" t="s">
        <v>9670</v>
      </c>
      <c r="F3413" s="2" t="s">
        <v>10666</v>
      </c>
      <c r="G3413" s="2" t="s">
        <v>10666</v>
      </c>
      <c r="H3413" s="2" t="s">
        <v>10666</v>
      </c>
      <c r="I3413" s="2" t="s">
        <v>10667</v>
      </c>
      <c r="J3413" s="2" t="s">
        <v>714</v>
      </c>
      <c r="K3413" s="2" t="s">
        <v>512</v>
      </c>
      <c r="L3413" s="3">
        <v>46</v>
      </c>
      <c r="M3413" s="3">
        <v>48.3</v>
      </c>
      <c r="N3413" s="3">
        <v>99.99</v>
      </c>
      <c r="O3413" s="2" t="s">
        <v>97</v>
      </c>
      <c r="P3413" s="2" t="s">
        <v>950</v>
      </c>
      <c r="Q3413" s="2" t="s">
        <v>99</v>
      </c>
      <c r="R3413" s="2" t="s">
        <v>100</v>
      </c>
      <c r="S3413" s="2" t="s">
        <v>10683</v>
      </c>
      <c r="T3413" s="2" t="s">
        <v>4972</v>
      </c>
      <c r="U3413" s="2" t="s">
        <v>402</v>
      </c>
      <c r="V3413" s="2" t="s">
        <v>146</v>
      </c>
      <c r="W3413" s="2" t="s">
        <v>183</v>
      </c>
      <c r="X3413" s="2" t="s">
        <v>673</v>
      </c>
      <c r="Y3413" s="2" t="s">
        <v>10669</v>
      </c>
      <c r="Z3413" s="4">
        <v>230</v>
      </c>
      <c r="AA3413" s="4">
        <f>=ROUNDDOWN(12.1052631578947,0)</f>
      </c>
      <c r="AB3413" s="5">
        <v>19</v>
      </c>
      <c r="AC3413" s="2" t="s">
        <v>821</v>
      </c>
      <c r="AD3413" s="4">
        <v>405</v>
      </c>
      <c r="AE3413" s="4">
        <v>605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>
        <v>1</v>
      </c>
      <c r="AQ3413" s="8">
        <v>48.19</v>
      </c>
      <c r="AR3413" s="4"/>
      <c r="AS3413" s="8"/>
      <c r="AT3413" s="7"/>
      <c r="AU3413" s="7"/>
      <c r="AV3413" s="4">
        <v>1</v>
      </c>
      <c r="AW3413" s="8">
        <v>48.19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>
        <v>1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0.17</v>
      </c>
      <c r="BJ3413" s="4">
        <v>425</v>
      </c>
      <c r="BK3413" s="8">
        <v>20928.99</v>
      </c>
      <c r="BL3413" s="2" t="s">
        <v>10673</v>
      </c>
      <c r="BM3413" s="7">
        <v>0.0024</v>
      </c>
      <c r="BN3413" s="7">
        <v>0.0023</v>
      </c>
      <c r="BO3413" s="4">
        <v>1</v>
      </c>
      <c r="BP3413" s="8">
        <v>48.19</v>
      </c>
      <c r="BQ3413" s="4"/>
      <c r="BR3413" s="8"/>
      <c r="BS3413" s="7"/>
      <c r="BT3413" s="7"/>
      <c r="BU3413" s="2" t="s">
        <v>109</v>
      </c>
      <c r="BV3413" s="2" t="s">
        <v>110</v>
      </c>
      <c r="BW3413" s="2" t="s">
        <v>6644</v>
      </c>
      <c r="BX3413" s="2" t="s">
        <v>504</v>
      </c>
      <c r="BY3413" s="2" t="s">
        <v>113</v>
      </c>
      <c r="BZ3413" s="2" t="s">
        <v>100</v>
      </c>
    </row>
    <row r="3414">
      <c r="A3414" s="2" t="s">
        <v>10684</v>
      </c>
      <c r="B3414" s="2" t="s">
        <v>9668</v>
      </c>
      <c r="C3414" s="2" t="s">
        <v>88</v>
      </c>
      <c r="D3414" s="2" t="s">
        <v>9669</v>
      </c>
      <c r="E3414" s="2" t="s">
        <v>9670</v>
      </c>
      <c r="F3414" s="2" t="s">
        <v>10666</v>
      </c>
      <c r="G3414" s="2" t="s">
        <v>10666</v>
      </c>
      <c r="H3414" s="2" t="s">
        <v>10666</v>
      </c>
      <c r="I3414" s="2" t="s">
        <v>10667</v>
      </c>
      <c r="J3414" s="2" t="s">
        <v>817</v>
      </c>
      <c r="K3414" s="2" t="s">
        <v>512</v>
      </c>
      <c r="L3414" s="3">
        <v>46</v>
      </c>
      <c r="M3414" s="3">
        <v>48.3</v>
      </c>
      <c r="N3414" s="3">
        <v>99.99</v>
      </c>
      <c r="O3414" s="2" t="s">
        <v>97</v>
      </c>
      <c r="P3414" s="2" t="s">
        <v>119</v>
      </c>
      <c r="Q3414" s="2" t="s">
        <v>99</v>
      </c>
      <c r="R3414" s="2" t="s">
        <v>100</v>
      </c>
      <c r="S3414" s="2" t="s">
        <v>10683</v>
      </c>
      <c r="T3414" s="2" t="s">
        <v>4972</v>
      </c>
      <c r="U3414" s="2" t="s">
        <v>402</v>
      </c>
      <c r="V3414" s="2" t="s">
        <v>146</v>
      </c>
      <c r="W3414" s="2" t="s">
        <v>183</v>
      </c>
      <c r="X3414" s="2" t="s">
        <v>673</v>
      </c>
      <c r="Y3414" s="2" t="s">
        <v>10669</v>
      </c>
      <c r="Z3414" s="4">
        <v>69</v>
      </c>
      <c r="AA3414" s="4">
        <f>=ROUNDDOWN(11.5,0)</f>
      </c>
      <c r="AB3414" s="5">
        <v>6</v>
      </c>
      <c r="AC3414" s="2" t="s">
        <v>821</v>
      </c>
      <c r="AD3414" s="4">
        <v>163</v>
      </c>
      <c r="AE3414" s="4">
        <v>213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 t="s">
        <v>100</v>
      </c>
      <c r="BJ3414" s="4">
        <v>155</v>
      </c>
      <c r="BK3414" s="8">
        <v>7743.35</v>
      </c>
      <c r="BL3414" s="2" t="s">
        <v>10654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6644</v>
      </c>
      <c r="BX3414" s="2" t="s">
        <v>10640</v>
      </c>
      <c r="BY3414" s="2" t="s">
        <v>113</v>
      </c>
      <c r="BZ3414" s="2" t="s">
        <v>100</v>
      </c>
    </row>
    <row r="3415">
      <c r="A3415" s="2" t="s">
        <v>10685</v>
      </c>
      <c r="B3415" s="2" t="s">
        <v>9668</v>
      </c>
      <c r="C3415" s="2" t="s">
        <v>88</v>
      </c>
      <c r="D3415" s="2" t="s">
        <v>9669</v>
      </c>
      <c r="E3415" s="2" t="s">
        <v>9670</v>
      </c>
      <c r="F3415" s="2" t="s">
        <v>10666</v>
      </c>
      <c r="G3415" s="2" t="s">
        <v>10666</v>
      </c>
      <c r="H3415" s="2" t="s">
        <v>10666</v>
      </c>
      <c r="I3415" s="2" t="s">
        <v>10667</v>
      </c>
      <c r="J3415" s="2" t="s">
        <v>706</v>
      </c>
      <c r="K3415" s="2" t="s">
        <v>2477</v>
      </c>
      <c r="L3415" s="3">
        <v>41.4</v>
      </c>
      <c r="M3415" s="3">
        <v>43.47</v>
      </c>
      <c r="N3415" s="3">
        <v>89.99</v>
      </c>
      <c r="O3415" s="2" t="s">
        <v>97</v>
      </c>
      <c r="P3415" s="2" t="s">
        <v>119</v>
      </c>
      <c r="Q3415" s="2" t="s">
        <v>99</v>
      </c>
      <c r="R3415" s="2" t="s">
        <v>100</v>
      </c>
      <c r="S3415" s="2" t="s">
        <v>10686</v>
      </c>
      <c r="T3415" s="2" t="s">
        <v>4972</v>
      </c>
      <c r="U3415" s="2" t="s">
        <v>402</v>
      </c>
      <c r="V3415" s="2" t="s">
        <v>146</v>
      </c>
      <c r="W3415" s="2" t="s">
        <v>183</v>
      </c>
      <c r="X3415" s="2" t="s">
        <v>673</v>
      </c>
      <c r="Y3415" s="2" t="s">
        <v>5528</v>
      </c>
      <c r="Z3415" s="4">
        <v>296</v>
      </c>
      <c r="AA3415" s="4">
        <f>=ROUNDDOWN(22.7692307692308,0)</f>
      </c>
      <c r="AB3415" s="5">
        <v>13</v>
      </c>
      <c r="AC3415" s="2" t="s">
        <v>10687</v>
      </c>
      <c r="AD3415" s="4">
        <v>280</v>
      </c>
      <c r="AE3415" s="4">
        <v>280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>
        <v>1</v>
      </c>
      <c r="AQ3415" s="8">
        <v>42.53</v>
      </c>
      <c r="AR3415" s="4"/>
      <c r="AS3415" s="8"/>
      <c r="AT3415" s="7"/>
      <c r="AU3415" s="7"/>
      <c r="AV3415" s="4">
        <v>1</v>
      </c>
      <c r="AW3415" s="8">
        <v>42.53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0.15</v>
      </c>
      <c r="BJ3415" s="4">
        <v>258</v>
      </c>
      <c r="BK3415" s="8">
        <v>11447.18</v>
      </c>
      <c r="BL3415" s="2" t="s">
        <v>10534</v>
      </c>
      <c r="BM3415" s="7">
        <v>0.0039</v>
      </c>
      <c r="BN3415" s="7">
        <v>0.0037</v>
      </c>
      <c r="BO3415" s="4">
        <v>1</v>
      </c>
      <c r="BP3415" s="8">
        <v>42.53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622</v>
      </c>
      <c r="BX3415" s="2" t="s">
        <v>2034</v>
      </c>
      <c r="BY3415" s="2" t="s">
        <v>113</v>
      </c>
      <c r="BZ3415" s="2" t="s">
        <v>100</v>
      </c>
    </row>
    <row r="3416">
      <c r="A3416" s="2" t="s">
        <v>10688</v>
      </c>
      <c r="B3416" s="2" t="s">
        <v>9668</v>
      </c>
      <c r="C3416" s="2" t="s">
        <v>88</v>
      </c>
      <c r="D3416" s="2" t="s">
        <v>9669</v>
      </c>
      <c r="E3416" s="2" t="s">
        <v>9670</v>
      </c>
      <c r="F3416" s="2" t="s">
        <v>10666</v>
      </c>
      <c r="G3416" s="2" t="s">
        <v>10666</v>
      </c>
      <c r="H3416" s="2" t="s">
        <v>10666</v>
      </c>
      <c r="I3416" s="2" t="s">
        <v>10667</v>
      </c>
      <c r="J3416" s="2" t="s">
        <v>714</v>
      </c>
      <c r="K3416" s="2" t="s">
        <v>2477</v>
      </c>
      <c r="L3416" s="3">
        <v>46</v>
      </c>
      <c r="M3416" s="3">
        <v>48.3</v>
      </c>
      <c r="N3416" s="3">
        <v>99.99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10686</v>
      </c>
      <c r="T3416" s="2" t="s">
        <v>4972</v>
      </c>
      <c r="U3416" s="2" t="s">
        <v>402</v>
      </c>
      <c r="V3416" s="2" t="s">
        <v>146</v>
      </c>
      <c r="W3416" s="2" t="s">
        <v>183</v>
      </c>
      <c r="X3416" s="2" t="s">
        <v>673</v>
      </c>
      <c r="Y3416" s="2" t="s">
        <v>5528</v>
      </c>
      <c r="Z3416" s="4">
        <v>399</v>
      </c>
      <c r="AA3416" s="4">
        <f>=ROUNDDOWN(30.6923076923077,0)</f>
      </c>
      <c r="AB3416" s="5">
        <v>13</v>
      </c>
      <c r="AC3416" s="2" t="s">
        <v>10687</v>
      </c>
      <c r="AD3416" s="4">
        <v>220</v>
      </c>
      <c r="AE3416" s="4">
        <v>220</v>
      </c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 t="s">
        <v>100</v>
      </c>
      <c r="BJ3416" s="4">
        <v>326</v>
      </c>
      <c r="BK3416" s="8">
        <v>16233.93</v>
      </c>
      <c r="BL3416" s="2" t="s">
        <v>6969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622</v>
      </c>
      <c r="BX3416" s="2" t="s">
        <v>2938</v>
      </c>
      <c r="BY3416" s="2" t="s">
        <v>113</v>
      </c>
      <c r="BZ3416" s="2" t="s">
        <v>100</v>
      </c>
    </row>
    <row r="3417">
      <c r="A3417" s="2" t="s">
        <v>10689</v>
      </c>
      <c r="B3417" s="2" t="s">
        <v>9668</v>
      </c>
      <c r="C3417" s="2" t="s">
        <v>88</v>
      </c>
      <c r="D3417" s="2" t="s">
        <v>9669</v>
      </c>
      <c r="E3417" s="2" t="s">
        <v>9670</v>
      </c>
      <c r="F3417" s="2" t="s">
        <v>10666</v>
      </c>
      <c r="G3417" s="2" t="s">
        <v>10666</v>
      </c>
      <c r="H3417" s="2" t="s">
        <v>10666</v>
      </c>
      <c r="I3417" s="2" t="s">
        <v>10667</v>
      </c>
      <c r="J3417" s="2" t="s">
        <v>706</v>
      </c>
      <c r="K3417" s="2" t="s">
        <v>335</v>
      </c>
      <c r="L3417" s="3">
        <v>41.4</v>
      </c>
      <c r="M3417" s="3">
        <v>43.47</v>
      </c>
      <c r="N3417" s="3">
        <v>89.99</v>
      </c>
      <c r="O3417" s="2" t="s">
        <v>97</v>
      </c>
      <c r="P3417" s="2" t="s">
        <v>225</v>
      </c>
      <c r="Q3417" s="2" t="s">
        <v>99</v>
      </c>
      <c r="R3417" s="2" t="s">
        <v>100</v>
      </c>
      <c r="S3417" s="2" t="s">
        <v>10690</v>
      </c>
      <c r="T3417" s="2" t="s">
        <v>4972</v>
      </c>
      <c r="U3417" s="2" t="s">
        <v>402</v>
      </c>
      <c r="V3417" s="2" t="s">
        <v>146</v>
      </c>
      <c r="W3417" s="2" t="s">
        <v>183</v>
      </c>
      <c r="X3417" s="2" t="s">
        <v>673</v>
      </c>
      <c r="Y3417" s="2" t="s">
        <v>10322</v>
      </c>
      <c r="Z3417" s="4">
        <v>770</v>
      </c>
      <c r="AA3417" s="4">
        <f>=ROUNDDOWN({0},0)</f>
      </c>
      <c r="AB3417" s="5"/>
      <c r="AC3417" s="2" t="s">
        <v>100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 t="s">
        <v>100</v>
      </c>
      <c r="BJ3417" s="4"/>
      <c r="BK3417" s="8"/>
      <c r="BL3417" s="2" t="s">
        <v>100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207</v>
      </c>
      <c r="BV3417" s="2" t="s">
        <v>97</v>
      </c>
      <c r="BW3417" s="2" t="s">
        <v>100</v>
      </c>
      <c r="BX3417" s="2" t="s">
        <v>100</v>
      </c>
      <c r="BY3417" s="2" t="s">
        <v>113</v>
      </c>
      <c r="BZ3417" s="2" t="s">
        <v>100</v>
      </c>
    </row>
    <row r="3418">
      <c r="A3418" s="2" t="s">
        <v>10691</v>
      </c>
      <c r="B3418" s="2" t="s">
        <v>9668</v>
      </c>
      <c r="C3418" s="2" t="s">
        <v>88</v>
      </c>
      <c r="D3418" s="2" t="s">
        <v>9669</v>
      </c>
      <c r="E3418" s="2" t="s">
        <v>9670</v>
      </c>
      <c r="F3418" s="2" t="s">
        <v>10666</v>
      </c>
      <c r="G3418" s="2" t="s">
        <v>10666</v>
      </c>
      <c r="H3418" s="2" t="s">
        <v>10666</v>
      </c>
      <c r="I3418" s="2" t="s">
        <v>10667</v>
      </c>
      <c r="J3418" s="2" t="s">
        <v>714</v>
      </c>
      <c r="K3418" s="2" t="s">
        <v>335</v>
      </c>
      <c r="L3418" s="3">
        <v>46</v>
      </c>
      <c r="M3418" s="3">
        <v>48.3</v>
      </c>
      <c r="N3418" s="3">
        <v>99.99</v>
      </c>
      <c r="O3418" s="2" t="s">
        <v>97</v>
      </c>
      <c r="P3418" s="2" t="s">
        <v>225</v>
      </c>
      <c r="Q3418" s="2" t="s">
        <v>99</v>
      </c>
      <c r="R3418" s="2" t="s">
        <v>100</v>
      </c>
      <c r="S3418" s="2" t="s">
        <v>10690</v>
      </c>
      <c r="T3418" s="2" t="s">
        <v>4972</v>
      </c>
      <c r="U3418" s="2" t="s">
        <v>402</v>
      </c>
      <c r="V3418" s="2" t="s">
        <v>146</v>
      </c>
      <c r="W3418" s="2" t="s">
        <v>183</v>
      </c>
      <c r="X3418" s="2" t="s">
        <v>673</v>
      </c>
      <c r="Y3418" s="2" t="s">
        <v>10322</v>
      </c>
      <c r="Z3418" s="4">
        <v>734</v>
      </c>
      <c r="AA3418" s="4">
        <f>=ROUNDDOWN({0},0)</f>
      </c>
      <c r="AB3418" s="5"/>
      <c r="AC3418" s="2" t="s">
        <v>100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 t="s">
        <v>100</v>
      </c>
      <c r="BJ3418" s="4"/>
      <c r="BK3418" s="8"/>
      <c r="BL3418" s="2" t="s">
        <v>100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207</v>
      </c>
      <c r="BV3418" s="2" t="s">
        <v>97</v>
      </c>
      <c r="BW3418" s="2" t="s">
        <v>100</v>
      </c>
      <c r="BX3418" s="2" t="s">
        <v>100</v>
      </c>
      <c r="BY3418" s="2" t="s">
        <v>113</v>
      </c>
      <c r="BZ3418" s="2" t="s">
        <v>100</v>
      </c>
    </row>
    <row r="3419">
      <c r="A3419" s="2" t="s">
        <v>10692</v>
      </c>
      <c r="B3419" s="2" t="s">
        <v>9668</v>
      </c>
      <c r="C3419" s="2" t="s">
        <v>88</v>
      </c>
      <c r="D3419" s="2" t="s">
        <v>9669</v>
      </c>
      <c r="E3419" s="2" t="s">
        <v>9670</v>
      </c>
      <c r="F3419" s="2" t="s">
        <v>10666</v>
      </c>
      <c r="G3419" s="2" t="s">
        <v>10666</v>
      </c>
      <c r="H3419" s="2" t="s">
        <v>10666</v>
      </c>
      <c r="I3419" s="2" t="s">
        <v>10667</v>
      </c>
      <c r="J3419" s="2" t="s">
        <v>817</v>
      </c>
      <c r="K3419" s="2" t="s">
        <v>335</v>
      </c>
      <c r="L3419" s="3">
        <v>46</v>
      </c>
      <c r="M3419" s="3">
        <v>48.3</v>
      </c>
      <c r="N3419" s="3">
        <v>99.99</v>
      </c>
      <c r="O3419" s="2" t="s">
        <v>97</v>
      </c>
      <c r="P3419" s="2" t="s">
        <v>225</v>
      </c>
      <c r="Q3419" s="2" t="s">
        <v>99</v>
      </c>
      <c r="R3419" s="2" t="s">
        <v>100</v>
      </c>
      <c r="S3419" s="2" t="s">
        <v>10690</v>
      </c>
      <c r="T3419" s="2" t="s">
        <v>4972</v>
      </c>
      <c r="U3419" s="2" t="s">
        <v>402</v>
      </c>
      <c r="V3419" s="2" t="s">
        <v>146</v>
      </c>
      <c r="W3419" s="2" t="s">
        <v>183</v>
      </c>
      <c r="X3419" s="2" t="s">
        <v>673</v>
      </c>
      <c r="Y3419" s="2" t="s">
        <v>10322</v>
      </c>
      <c r="Z3419" s="4">
        <v>290</v>
      </c>
      <c r="AA3419" s="4">
        <f>=ROUNDDOWN({0},0)</f>
      </c>
      <c r="AB3419" s="5"/>
      <c r="AC3419" s="2" t="s">
        <v>100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/>
      <c r="BK3419" s="8"/>
      <c r="BL3419" s="2" t="s">
        <v>100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207</v>
      </c>
      <c r="BV3419" s="2" t="s">
        <v>97</v>
      </c>
      <c r="BW3419" s="2" t="s">
        <v>100</v>
      </c>
      <c r="BX3419" s="2" t="s">
        <v>100</v>
      </c>
      <c r="BY3419" s="2" t="s">
        <v>113</v>
      </c>
      <c r="BZ3419" s="2" t="s">
        <v>100</v>
      </c>
    </row>
    <row r="3420">
      <c r="A3420" s="2" t="s">
        <v>10693</v>
      </c>
      <c r="B3420" s="2" t="s">
        <v>9668</v>
      </c>
      <c r="C3420" s="2" t="s">
        <v>88</v>
      </c>
      <c r="D3420" s="2" t="s">
        <v>9669</v>
      </c>
      <c r="E3420" s="2" t="s">
        <v>9670</v>
      </c>
      <c r="F3420" s="2" t="s">
        <v>10666</v>
      </c>
      <c r="G3420" s="2" t="s">
        <v>10666</v>
      </c>
      <c r="H3420" s="2" t="s">
        <v>10666</v>
      </c>
      <c r="I3420" s="2" t="s">
        <v>10667</v>
      </c>
      <c r="J3420" s="2" t="s">
        <v>706</v>
      </c>
      <c r="K3420" s="2" t="s">
        <v>198</v>
      </c>
      <c r="L3420" s="3">
        <v>41.4</v>
      </c>
      <c r="M3420" s="3">
        <v>43.47</v>
      </c>
      <c r="N3420" s="3">
        <v>89.99</v>
      </c>
      <c r="O3420" s="2" t="s">
        <v>97</v>
      </c>
      <c r="P3420" s="2" t="s">
        <v>372</v>
      </c>
      <c r="Q3420" s="2" t="s">
        <v>99</v>
      </c>
      <c r="R3420" s="2" t="s">
        <v>100</v>
      </c>
      <c r="S3420" s="2" t="s">
        <v>10694</v>
      </c>
      <c r="T3420" s="2" t="s">
        <v>4972</v>
      </c>
      <c r="U3420" s="2" t="s">
        <v>402</v>
      </c>
      <c r="V3420" s="2" t="s">
        <v>146</v>
      </c>
      <c r="W3420" s="2" t="s">
        <v>183</v>
      </c>
      <c r="X3420" s="2" t="s">
        <v>673</v>
      </c>
      <c r="Y3420" s="2" t="s">
        <v>10669</v>
      </c>
      <c r="Z3420" s="4">
        <v>259</v>
      </c>
      <c r="AA3420" s="4">
        <f>=ROUNDDOWN(12.95,0)</f>
      </c>
      <c r="AB3420" s="5">
        <v>20</v>
      </c>
      <c r="AC3420" s="2" t="s">
        <v>821</v>
      </c>
      <c r="AD3420" s="4">
        <v>50</v>
      </c>
      <c r="AE3420" s="4">
        <v>610</v>
      </c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 t="s">
        <v>100</v>
      </c>
      <c r="BJ3420" s="4">
        <v>411</v>
      </c>
      <c r="BK3420" s="8">
        <v>18301.97</v>
      </c>
      <c r="BL3420" s="2" t="s">
        <v>6969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6644</v>
      </c>
      <c r="BX3420" s="2" t="s">
        <v>600</v>
      </c>
      <c r="BY3420" s="2" t="s">
        <v>113</v>
      </c>
      <c r="BZ3420" s="2" t="s">
        <v>100</v>
      </c>
    </row>
    <row r="3421">
      <c r="A3421" s="2" t="s">
        <v>10695</v>
      </c>
      <c r="B3421" s="2" t="s">
        <v>9668</v>
      </c>
      <c r="C3421" s="2" t="s">
        <v>88</v>
      </c>
      <c r="D3421" s="2" t="s">
        <v>9669</v>
      </c>
      <c r="E3421" s="2" t="s">
        <v>9670</v>
      </c>
      <c r="F3421" s="2" t="s">
        <v>10666</v>
      </c>
      <c r="G3421" s="2" t="s">
        <v>10666</v>
      </c>
      <c r="H3421" s="2" t="s">
        <v>10666</v>
      </c>
      <c r="I3421" s="2" t="s">
        <v>10667</v>
      </c>
      <c r="J3421" s="2" t="s">
        <v>817</v>
      </c>
      <c r="K3421" s="2" t="s">
        <v>198</v>
      </c>
      <c r="L3421" s="3">
        <v>46</v>
      </c>
      <c r="M3421" s="3">
        <v>48.3</v>
      </c>
      <c r="N3421" s="3">
        <v>99.99</v>
      </c>
      <c r="O3421" s="2" t="s">
        <v>97</v>
      </c>
      <c r="P3421" s="2" t="s">
        <v>119</v>
      </c>
      <c r="Q3421" s="2" t="s">
        <v>99</v>
      </c>
      <c r="R3421" s="2" t="s">
        <v>100</v>
      </c>
      <c r="S3421" s="2" t="s">
        <v>10694</v>
      </c>
      <c r="T3421" s="2" t="s">
        <v>4972</v>
      </c>
      <c r="U3421" s="2" t="s">
        <v>402</v>
      </c>
      <c r="V3421" s="2" t="s">
        <v>146</v>
      </c>
      <c r="W3421" s="2" t="s">
        <v>183</v>
      </c>
      <c r="X3421" s="2" t="s">
        <v>673</v>
      </c>
      <c r="Y3421" s="2" t="s">
        <v>10669</v>
      </c>
      <c r="Z3421" s="4">
        <v>175</v>
      </c>
      <c r="AA3421" s="4">
        <f>=ROUNDDOWN(25,0)</f>
      </c>
      <c r="AB3421" s="5">
        <v>7</v>
      </c>
      <c r="AC3421" s="2" t="s">
        <v>821</v>
      </c>
      <c r="AD3421" s="4">
        <v>50</v>
      </c>
      <c r="AE3421" s="4">
        <v>190</v>
      </c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>
        <v>172</v>
      </c>
      <c r="BK3421" s="8">
        <v>8614.52</v>
      </c>
      <c r="BL3421" s="2" t="s">
        <v>6969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6644</v>
      </c>
      <c r="BX3421" s="2" t="s">
        <v>9755</v>
      </c>
      <c r="BY3421" s="2" t="s">
        <v>113</v>
      </c>
      <c r="BZ3421" s="2" t="s">
        <v>100</v>
      </c>
    </row>
    <row r="3422">
      <c r="A3422" s="2" t="s">
        <v>10696</v>
      </c>
      <c r="B3422" s="2" t="s">
        <v>9668</v>
      </c>
      <c r="C3422" s="2" t="s">
        <v>88</v>
      </c>
      <c r="D3422" s="2" t="s">
        <v>9669</v>
      </c>
      <c r="E3422" s="2" t="s">
        <v>9670</v>
      </c>
      <c r="F3422" s="2" t="s">
        <v>10697</v>
      </c>
      <c r="G3422" s="2" t="s">
        <v>10697</v>
      </c>
      <c r="H3422" s="2" t="s">
        <v>10697</v>
      </c>
      <c r="I3422" s="2" t="s">
        <v>10698</v>
      </c>
      <c r="J3422" s="2" t="s">
        <v>706</v>
      </c>
      <c r="K3422" s="2" t="s">
        <v>96</v>
      </c>
      <c r="L3422" s="3">
        <v>28.5</v>
      </c>
      <c r="M3422" s="3">
        <v>29.93</v>
      </c>
      <c r="N3422" s="3">
        <v>59.99</v>
      </c>
      <c r="O3422" s="2" t="s">
        <v>97</v>
      </c>
      <c r="P3422" s="2" t="s">
        <v>119</v>
      </c>
      <c r="Q3422" s="2" t="s">
        <v>99</v>
      </c>
      <c r="R3422" s="2" t="s">
        <v>100</v>
      </c>
      <c r="S3422" s="2" t="s">
        <v>10699</v>
      </c>
      <c r="T3422" s="2" t="s">
        <v>280</v>
      </c>
      <c r="U3422" s="2" t="s">
        <v>402</v>
      </c>
      <c r="V3422" s="2" t="s">
        <v>146</v>
      </c>
      <c r="W3422" s="2" t="s">
        <v>183</v>
      </c>
      <c r="X3422" s="2" t="s">
        <v>100</v>
      </c>
      <c r="Y3422" s="2" t="s">
        <v>10700</v>
      </c>
      <c r="Z3422" s="4"/>
      <c r="AA3422" s="4">
        <f>=ROUNDDOWN({0},0)</f>
      </c>
      <c r="AB3422" s="5">
        <v>14.9</v>
      </c>
      <c r="AC3422" s="2" t="s">
        <v>997</v>
      </c>
      <c r="AD3422" s="4">
        <v>150</v>
      </c>
      <c r="AE3422" s="4">
        <v>350</v>
      </c>
      <c r="AF3422" s="6">
        <v>65</v>
      </c>
      <c r="AG3422" s="6"/>
      <c r="AH3422" s="7">
        <v>0.6471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>
        <v>308</v>
      </c>
      <c r="BK3422" s="8">
        <v>9951.97</v>
      </c>
      <c r="BL3422" s="2" t="s">
        <v>10701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207</v>
      </c>
      <c r="BV3422" s="2" t="s">
        <v>97</v>
      </c>
      <c r="BW3422" s="2" t="s">
        <v>100</v>
      </c>
      <c r="BX3422" s="2" t="s">
        <v>100</v>
      </c>
      <c r="BY3422" s="2" t="s">
        <v>113</v>
      </c>
      <c r="BZ3422" s="2" t="s">
        <v>100</v>
      </c>
    </row>
    <row r="3423">
      <c r="A3423" s="2" t="s">
        <v>10702</v>
      </c>
      <c r="B3423" s="2" t="s">
        <v>9668</v>
      </c>
      <c r="C3423" s="2" t="s">
        <v>88</v>
      </c>
      <c r="D3423" s="2" t="s">
        <v>9669</v>
      </c>
      <c r="E3423" s="2" t="s">
        <v>9670</v>
      </c>
      <c r="F3423" s="2" t="s">
        <v>10697</v>
      </c>
      <c r="G3423" s="2" t="s">
        <v>10697</v>
      </c>
      <c r="H3423" s="2" t="s">
        <v>10697</v>
      </c>
      <c r="I3423" s="2" t="s">
        <v>10698</v>
      </c>
      <c r="J3423" s="2" t="s">
        <v>714</v>
      </c>
      <c r="K3423" s="2" t="s">
        <v>96</v>
      </c>
      <c r="L3423" s="3">
        <v>33</v>
      </c>
      <c r="M3423" s="3">
        <v>34.65</v>
      </c>
      <c r="N3423" s="3">
        <v>69.99</v>
      </c>
      <c r="O3423" s="2" t="s">
        <v>97</v>
      </c>
      <c r="P3423" s="2" t="s">
        <v>119</v>
      </c>
      <c r="Q3423" s="2" t="s">
        <v>99</v>
      </c>
      <c r="R3423" s="2" t="s">
        <v>100</v>
      </c>
      <c r="S3423" s="2" t="s">
        <v>10699</v>
      </c>
      <c r="T3423" s="2" t="s">
        <v>280</v>
      </c>
      <c r="U3423" s="2" t="s">
        <v>402</v>
      </c>
      <c r="V3423" s="2" t="s">
        <v>146</v>
      </c>
      <c r="W3423" s="2" t="s">
        <v>183</v>
      </c>
      <c r="X3423" s="2" t="s">
        <v>100</v>
      </c>
      <c r="Y3423" s="2" t="s">
        <v>10700</v>
      </c>
      <c r="Z3423" s="4">
        <v>104</v>
      </c>
      <c r="AA3423" s="4">
        <f>=ROUNDDOWN(15.7575757575758,0)</f>
      </c>
      <c r="AB3423" s="5">
        <v>6.6</v>
      </c>
      <c r="AC3423" s="2" t="s">
        <v>997</v>
      </c>
      <c r="AD3423" s="4">
        <v>50</v>
      </c>
      <c r="AE3423" s="4">
        <v>150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>
        <v>178</v>
      </c>
      <c r="BK3423" s="8">
        <v>6690.15</v>
      </c>
      <c r="BL3423" s="2" t="s">
        <v>10703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207</v>
      </c>
      <c r="BV3423" s="2" t="s">
        <v>97</v>
      </c>
      <c r="BW3423" s="2" t="s">
        <v>100</v>
      </c>
      <c r="BX3423" s="2" t="s">
        <v>100</v>
      </c>
      <c r="BY3423" s="2" t="s">
        <v>113</v>
      </c>
      <c r="BZ3423" s="2" t="s">
        <v>100</v>
      </c>
    </row>
    <row r="3424">
      <c r="A3424" s="2" t="s">
        <v>10704</v>
      </c>
      <c r="B3424" s="2" t="s">
        <v>9668</v>
      </c>
      <c r="C3424" s="2" t="s">
        <v>88</v>
      </c>
      <c r="D3424" s="2" t="s">
        <v>9669</v>
      </c>
      <c r="E3424" s="2" t="s">
        <v>9670</v>
      </c>
      <c r="F3424" s="2" t="s">
        <v>10697</v>
      </c>
      <c r="G3424" s="2" t="s">
        <v>10697</v>
      </c>
      <c r="H3424" s="2" t="s">
        <v>10697</v>
      </c>
      <c r="I3424" s="2" t="s">
        <v>10698</v>
      </c>
      <c r="J3424" s="2" t="s">
        <v>706</v>
      </c>
      <c r="K3424" s="2" t="s">
        <v>198</v>
      </c>
      <c r="L3424" s="3">
        <v>28.5</v>
      </c>
      <c r="M3424" s="3">
        <v>29.93</v>
      </c>
      <c r="N3424" s="3">
        <v>59.99</v>
      </c>
      <c r="O3424" s="2" t="s">
        <v>97</v>
      </c>
      <c r="P3424" s="2" t="s">
        <v>119</v>
      </c>
      <c r="Q3424" s="2" t="s">
        <v>99</v>
      </c>
      <c r="R3424" s="2" t="s">
        <v>100</v>
      </c>
      <c r="S3424" s="2" t="s">
        <v>10705</v>
      </c>
      <c r="T3424" s="2" t="s">
        <v>280</v>
      </c>
      <c r="U3424" s="2" t="s">
        <v>402</v>
      </c>
      <c r="V3424" s="2" t="s">
        <v>146</v>
      </c>
      <c r="W3424" s="2" t="s">
        <v>183</v>
      </c>
      <c r="X3424" s="2" t="s">
        <v>100</v>
      </c>
      <c r="Y3424" s="2" t="s">
        <v>10700</v>
      </c>
      <c r="Z3424" s="4"/>
      <c r="AA3424" s="4">
        <f>=ROUNDDOWN({0},0)</f>
      </c>
      <c r="AB3424" s="5">
        <v>12</v>
      </c>
      <c r="AC3424" s="2" t="s">
        <v>997</v>
      </c>
      <c r="AD3424" s="4">
        <v>195</v>
      </c>
      <c r="AE3424" s="4">
        <v>305</v>
      </c>
      <c r="AF3424" s="6">
        <v>65</v>
      </c>
      <c r="AG3424" s="6"/>
      <c r="AH3424" s="7">
        <v>0.861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>
        <v>271</v>
      </c>
      <c r="BK3424" s="8">
        <v>8721.6</v>
      </c>
      <c r="BL3424" s="2" t="s">
        <v>10706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207</v>
      </c>
      <c r="BV3424" s="2" t="s">
        <v>97</v>
      </c>
      <c r="BW3424" s="2" t="s">
        <v>100</v>
      </c>
      <c r="BX3424" s="2" t="s">
        <v>100</v>
      </c>
      <c r="BY3424" s="2" t="s">
        <v>113</v>
      </c>
      <c r="BZ3424" s="2" t="s">
        <v>100</v>
      </c>
    </row>
    <row r="3425">
      <c r="A3425" s="2" t="s">
        <v>10707</v>
      </c>
      <c r="B3425" s="2" t="s">
        <v>9668</v>
      </c>
      <c r="C3425" s="2" t="s">
        <v>88</v>
      </c>
      <c r="D3425" s="2" t="s">
        <v>9669</v>
      </c>
      <c r="E3425" s="2" t="s">
        <v>9670</v>
      </c>
      <c r="F3425" s="2" t="s">
        <v>10697</v>
      </c>
      <c r="G3425" s="2" t="s">
        <v>10697</v>
      </c>
      <c r="H3425" s="2" t="s">
        <v>10697</v>
      </c>
      <c r="I3425" s="2" t="s">
        <v>10698</v>
      </c>
      <c r="J3425" s="2" t="s">
        <v>714</v>
      </c>
      <c r="K3425" s="2" t="s">
        <v>198</v>
      </c>
      <c r="L3425" s="3">
        <v>33</v>
      </c>
      <c r="M3425" s="3">
        <v>34.65</v>
      </c>
      <c r="N3425" s="3">
        <v>69.99</v>
      </c>
      <c r="O3425" s="2" t="s">
        <v>97</v>
      </c>
      <c r="P3425" s="2" t="s">
        <v>119</v>
      </c>
      <c r="Q3425" s="2" t="s">
        <v>99</v>
      </c>
      <c r="R3425" s="2" t="s">
        <v>100</v>
      </c>
      <c r="S3425" s="2" t="s">
        <v>10705</v>
      </c>
      <c r="T3425" s="2" t="s">
        <v>280</v>
      </c>
      <c r="U3425" s="2" t="s">
        <v>402</v>
      </c>
      <c r="V3425" s="2" t="s">
        <v>146</v>
      </c>
      <c r="W3425" s="2" t="s">
        <v>183</v>
      </c>
      <c r="X3425" s="2" t="s">
        <v>100</v>
      </c>
      <c r="Y3425" s="2" t="s">
        <v>10700</v>
      </c>
      <c r="Z3425" s="4">
        <v>46</v>
      </c>
      <c r="AA3425" s="4">
        <f>=ROUNDDOWN(5.97402597402597,0)</f>
      </c>
      <c r="AB3425" s="5">
        <v>7.7</v>
      </c>
      <c r="AC3425" s="2" t="s">
        <v>997</v>
      </c>
      <c r="AD3425" s="4">
        <v>176</v>
      </c>
      <c r="AE3425" s="4">
        <v>286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>
        <v>210</v>
      </c>
      <c r="BK3425" s="8">
        <v>7816.36</v>
      </c>
      <c r="BL3425" s="2" t="s">
        <v>10708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207</v>
      </c>
      <c r="BV3425" s="2" t="s">
        <v>97</v>
      </c>
      <c r="BW3425" s="2" t="s">
        <v>100</v>
      </c>
      <c r="BX3425" s="2" t="s">
        <v>100</v>
      </c>
      <c r="BY3425" s="2" t="s">
        <v>113</v>
      </c>
      <c r="BZ3425" s="2" t="s">
        <v>100</v>
      </c>
    </row>
    <row r="3426">
      <c r="A3426" s="2" t="s">
        <v>10709</v>
      </c>
      <c r="B3426" s="2" t="s">
        <v>9668</v>
      </c>
      <c r="C3426" s="2" t="s">
        <v>88</v>
      </c>
      <c r="D3426" s="2" t="s">
        <v>9669</v>
      </c>
      <c r="E3426" s="2" t="s">
        <v>9670</v>
      </c>
      <c r="F3426" s="2" t="s">
        <v>10697</v>
      </c>
      <c r="G3426" s="2" t="s">
        <v>10697</v>
      </c>
      <c r="H3426" s="2" t="s">
        <v>10697</v>
      </c>
      <c r="I3426" s="2" t="s">
        <v>10698</v>
      </c>
      <c r="J3426" s="2" t="s">
        <v>706</v>
      </c>
      <c r="K3426" s="2" t="s">
        <v>1614</v>
      </c>
      <c r="L3426" s="3">
        <v>28.5</v>
      </c>
      <c r="M3426" s="3">
        <v>29.93</v>
      </c>
      <c r="N3426" s="3">
        <v>59.99</v>
      </c>
      <c r="O3426" s="2" t="s">
        <v>97</v>
      </c>
      <c r="P3426" s="2" t="s">
        <v>119</v>
      </c>
      <c r="Q3426" s="2" t="s">
        <v>99</v>
      </c>
      <c r="R3426" s="2" t="s">
        <v>100</v>
      </c>
      <c r="S3426" s="2" t="s">
        <v>10710</v>
      </c>
      <c r="T3426" s="2" t="s">
        <v>280</v>
      </c>
      <c r="U3426" s="2" t="s">
        <v>402</v>
      </c>
      <c r="V3426" s="2" t="s">
        <v>146</v>
      </c>
      <c r="W3426" s="2" t="s">
        <v>183</v>
      </c>
      <c r="X3426" s="2" t="s">
        <v>100</v>
      </c>
      <c r="Y3426" s="2" t="s">
        <v>10700</v>
      </c>
      <c r="Z3426" s="4"/>
      <c r="AA3426" s="4">
        <f>=ROUNDDOWN({0},0)</f>
      </c>
      <c r="AB3426" s="5">
        <v>17</v>
      </c>
      <c r="AC3426" s="2" t="s">
        <v>997</v>
      </c>
      <c r="AD3426" s="4">
        <v>250</v>
      </c>
      <c r="AE3426" s="4">
        <v>350</v>
      </c>
      <c r="AF3426" s="6">
        <v>65</v>
      </c>
      <c r="AG3426" s="6"/>
      <c r="AH3426" s="7">
        <v>0.9198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>
        <v>426</v>
      </c>
      <c r="BK3426" s="8">
        <v>13705.5</v>
      </c>
      <c r="BL3426" s="2" t="s">
        <v>10711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207</v>
      </c>
      <c r="BV3426" s="2" t="s">
        <v>97</v>
      </c>
      <c r="BW3426" s="2" t="s">
        <v>100</v>
      </c>
      <c r="BX3426" s="2" t="s">
        <v>100</v>
      </c>
      <c r="BY3426" s="2" t="s">
        <v>113</v>
      </c>
      <c r="BZ3426" s="2" t="s">
        <v>100</v>
      </c>
    </row>
    <row r="3427">
      <c r="A3427" s="2" t="s">
        <v>10712</v>
      </c>
      <c r="B3427" s="2" t="s">
        <v>9668</v>
      </c>
      <c r="C3427" s="2" t="s">
        <v>88</v>
      </c>
      <c r="D3427" s="2" t="s">
        <v>9669</v>
      </c>
      <c r="E3427" s="2" t="s">
        <v>9670</v>
      </c>
      <c r="F3427" s="2" t="s">
        <v>10697</v>
      </c>
      <c r="G3427" s="2" t="s">
        <v>10697</v>
      </c>
      <c r="H3427" s="2" t="s">
        <v>10697</v>
      </c>
      <c r="I3427" s="2" t="s">
        <v>10698</v>
      </c>
      <c r="J3427" s="2" t="s">
        <v>714</v>
      </c>
      <c r="K3427" s="2" t="s">
        <v>1614</v>
      </c>
      <c r="L3427" s="3">
        <v>33</v>
      </c>
      <c r="M3427" s="3">
        <v>34.65</v>
      </c>
      <c r="N3427" s="3">
        <v>69.99</v>
      </c>
      <c r="O3427" s="2" t="s">
        <v>97</v>
      </c>
      <c r="P3427" s="2" t="s">
        <v>119</v>
      </c>
      <c r="Q3427" s="2" t="s">
        <v>99</v>
      </c>
      <c r="R3427" s="2" t="s">
        <v>100</v>
      </c>
      <c r="S3427" s="2" t="s">
        <v>10710</v>
      </c>
      <c r="T3427" s="2" t="s">
        <v>280</v>
      </c>
      <c r="U3427" s="2" t="s">
        <v>402</v>
      </c>
      <c r="V3427" s="2" t="s">
        <v>146</v>
      </c>
      <c r="W3427" s="2" t="s">
        <v>183</v>
      </c>
      <c r="X3427" s="2" t="s">
        <v>100</v>
      </c>
      <c r="Y3427" s="2" t="s">
        <v>10700</v>
      </c>
      <c r="Z3427" s="4"/>
      <c r="AA3427" s="4">
        <f>=ROUNDDOWN({0},0)</f>
      </c>
      <c r="AB3427" s="5">
        <v>11</v>
      </c>
      <c r="AC3427" s="2" t="s">
        <v>997</v>
      </c>
      <c r="AD3427" s="4">
        <v>200</v>
      </c>
      <c r="AE3427" s="4">
        <v>250</v>
      </c>
      <c r="AF3427" s="6">
        <v>65</v>
      </c>
      <c r="AG3427" s="6"/>
      <c r="AH3427" s="7">
        <v>0.4385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>
        <v>134</v>
      </c>
      <c r="BK3427" s="8">
        <v>5016.94</v>
      </c>
      <c r="BL3427" s="2" t="s">
        <v>10713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207</v>
      </c>
      <c r="BV3427" s="2" t="s">
        <v>97</v>
      </c>
      <c r="BW3427" s="2" t="s">
        <v>100</v>
      </c>
      <c r="BX3427" s="2" t="s">
        <v>100</v>
      </c>
      <c r="BY3427" s="2" t="s">
        <v>113</v>
      </c>
      <c r="BZ3427" s="2" t="s">
        <v>100</v>
      </c>
    </row>
    <row r="3428">
      <c r="A3428" s="2" t="s">
        <v>10714</v>
      </c>
      <c r="B3428" s="2" t="s">
        <v>9668</v>
      </c>
      <c r="C3428" s="2" t="s">
        <v>88</v>
      </c>
      <c r="D3428" s="2" t="s">
        <v>9669</v>
      </c>
      <c r="E3428" s="2" t="s">
        <v>9670</v>
      </c>
      <c r="F3428" s="2" t="s">
        <v>10697</v>
      </c>
      <c r="G3428" s="2" t="s">
        <v>10697</v>
      </c>
      <c r="H3428" s="2" t="s">
        <v>10697</v>
      </c>
      <c r="I3428" s="2" t="s">
        <v>10698</v>
      </c>
      <c r="J3428" s="2" t="s">
        <v>706</v>
      </c>
      <c r="K3428" s="2" t="s">
        <v>629</v>
      </c>
      <c r="L3428" s="3">
        <v>28.5</v>
      </c>
      <c r="M3428" s="3">
        <v>29.93</v>
      </c>
      <c r="N3428" s="3">
        <v>59.99</v>
      </c>
      <c r="O3428" s="2" t="s">
        <v>97</v>
      </c>
      <c r="P3428" s="2" t="s">
        <v>119</v>
      </c>
      <c r="Q3428" s="2" t="s">
        <v>99</v>
      </c>
      <c r="R3428" s="2" t="s">
        <v>100</v>
      </c>
      <c r="S3428" s="2" t="s">
        <v>10715</v>
      </c>
      <c r="T3428" s="2" t="s">
        <v>280</v>
      </c>
      <c r="U3428" s="2" t="s">
        <v>402</v>
      </c>
      <c r="V3428" s="2" t="s">
        <v>146</v>
      </c>
      <c r="W3428" s="2" t="s">
        <v>183</v>
      </c>
      <c r="X3428" s="2" t="s">
        <v>100</v>
      </c>
      <c r="Y3428" s="2" t="s">
        <v>10700</v>
      </c>
      <c r="Z3428" s="4">
        <v>19</v>
      </c>
      <c r="AA3428" s="4">
        <f>=ROUNDDOWN(1.41791044776119,0)</f>
      </c>
      <c r="AB3428" s="5">
        <v>13.4</v>
      </c>
      <c r="AC3428" s="2" t="s">
        <v>997</v>
      </c>
      <c r="AD3428" s="4">
        <v>174</v>
      </c>
      <c r="AE3428" s="4">
        <v>414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>
        <v>329</v>
      </c>
      <c r="BK3428" s="8">
        <v>10595.79</v>
      </c>
      <c r="BL3428" s="2" t="s">
        <v>10716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207</v>
      </c>
      <c r="BV3428" s="2" t="s">
        <v>97</v>
      </c>
      <c r="BW3428" s="2" t="s">
        <v>100</v>
      </c>
      <c r="BX3428" s="2" t="s">
        <v>100</v>
      </c>
      <c r="BY3428" s="2" t="s">
        <v>113</v>
      </c>
      <c r="BZ3428" s="2" t="s">
        <v>100</v>
      </c>
    </row>
    <row r="3429">
      <c r="A3429" s="2" t="s">
        <v>10717</v>
      </c>
      <c r="B3429" s="2" t="s">
        <v>9668</v>
      </c>
      <c r="C3429" s="2" t="s">
        <v>88</v>
      </c>
      <c r="D3429" s="2" t="s">
        <v>9669</v>
      </c>
      <c r="E3429" s="2" t="s">
        <v>9670</v>
      </c>
      <c r="F3429" s="2" t="s">
        <v>10697</v>
      </c>
      <c r="G3429" s="2" t="s">
        <v>10697</v>
      </c>
      <c r="H3429" s="2" t="s">
        <v>10697</v>
      </c>
      <c r="I3429" s="2" t="s">
        <v>10698</v>
      </c>
      <c r="J3429" s="2" t="s">
        <v>714</v>
      </c>
      <c r="K3429" s="2" t="s">
        <v>629</v>
      </c>
      <c r="L3429" s="3">
        <v>33</v>
      </c>
      <c r="M3429" s="3">
        <v>34.65</v>
      </c>
      <c r="N3429" s="3">
        <v>69.99</v>
      </c>
      <c r="O3429" s="2" t="s">
        <v>97</v>
      </c>
      <c r="P3429" s="2" t="s">
        <v>119</v>
      </c>
      <c r="Q3429" s="2" t="s">
        <v>99</v>
      </c>
      <c r="R3429" s="2" t="s">
        <v>100</v>
      </c>
      <c r="S3429" s="2" t="s">
        <v>10715</v>
      </c>
      <c r="T3429" s="2" t="s">
        <v>280</v>
      </c>
      <c r="U3429" s="2" t="s">
        <v>402</v>
      </c>
      <c r="V3429" s="2" t="s">
        <v>146</v>
      </c>
      <c r="W3429" s="2" t="s">
        <v>183</v>
      </c>
      <c r="X3429" s="2" t="s">
        <v>100</v>
      </c>
      <c r="Y3429" s="2" t="s">
        <v>10700</v>
      </c>
      <c r="Z3429" s="4">
        <v>110</v>
      </c>
      <c r="AA3429" s="4">
        <f>=ROUNDDOWN(15.7142857142857,0)</f>
      </c>
      <c r="AB3429" s="5">
        <v>7</v>
      </c>
      <c r="AC3429" s="2" t="s">
        <v>3887</v>
      </c>
      <c r="AD3429" s="4">
        <v>80</v>
      </c>
      <c r="AE3429" s="4">
        <v>80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>
        <v>155</v>
      </c>
      <c r="BK3429" s="8">
        <v>5864.09</v>
      </c>
      <c r="BL3429" s="2" t="s">
        <v>9538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207</v>
      </c>
      <c r="BV3429" s="2" t="s">
        <v>97</v>
      </c>
      <c r="BW3429" s="2" t="s">
        <v>100</v>
      </c>
      <c r="BX3429" s="2" t="s">
        <v>100</v>
      </c>
      <c r="BY3429" s="2" t="s">
        <v>113</v>
      </c>
      <c r="BZ3429" s="2" t="s">
        <v>100</v>
      </c>
    </row>
    <row r="3430">
      <c r="A3430" s="2" t="s">
        <v>10718</v>
      </c>
      <c r="B3430" s="2" t="s">
        <v>9668</v>
      </c>
      <c r="C3430" s="2" t="s">
        <v>88</v>
      </c>
      <c r="D3430" s="2" t="s">
        <v>9669</v>
      </c>
      <c r="E3430" s="2" t="s">
        <v>9670</v>
      </c>
      <c r="F3430" s="2" t="s">
        <v>10719</v>
      </c>
      <c r="G3430" s="2" t="s">
        <v>10719</v>
      </c>
      <c r="H3430" s="2" t="s">
        <v>10719</v>
      </c>
      <c r="I3430" s="2" t="s">
        <v>10698</v>
      </c>
      <c r="J3430" s="2" t="s">
        <v>706</v>
      </c>
      <c r="K3430" s="2" t="s">
        <v>118</v>
      </c>
      <c r="L3430" s="3">
        <v>40.25</v>
      </c>
      <c r="M3430" s="3">
        <v>42.26</v>
      </c>
      <c r="N3430" s="3">
        <v>89.99</v>
      </c>
      <c r="O3430" s="2" t="s">
        <v>97</v>
      </c>
      <c r="P3430" s="2" t="s">
        <v>950</v>
      </c>
      <c r="Q3430" s="2" t="s">
        <v>99</v>
      </c>
      <c r="R3430" s="2" t="s">
        <v>100</v>
      </c>
      <c r="S3430" s="2" t="s">
        <v>10720</v>
      </c>
      <c r="T3430" s="2" t="s">
        <v>280</v>
      </c>
      <c r="U3430" s="2" t="s">
        <v>402</v>
      </c>
      <c r="V3430" s="2" t="s">
        <v>146</v>
      </c>
      <c r="W3430" s="2" t="s">
        <v>673</v>
      </c>
      <c r="X3430" s="2" t="s">
        <v>183</v>
      </c>
      <c r="Y3430" s="2" t="s">
        <v>10700</v>
      </c>
      <c r="Z3430" s="4">
        <v>190</v>
      </c>
      <c r="AA3430" s="4">
        <f>=ROUNDDOWN(7.30769230769231,0)</f>
      </c>
      <c r="AB3430" s="5">
        <v>26</v>
      </c>
      <c r="AC3430" s="2" t="s">
        <v>241</v>
      </c>
      <c r="AD3430" s="4">
        <v>122</v>
      </c>
      <c r="AE3430" s="4">
        <v>1376</v>
      </c>
      <c r="AF3430" s="6">
        <v>65</v>
      </c>
      <c r="AG3430" s="6"/>
      <c r="AH3430" s="7">
        <v>0.3048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232</v>
      </c>
      <c r="BK3430" s="8">
        <v>10433.72</v>
      </c>
      <c r="BL3430" s="2" t="s">
        <v>3077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207</v>
      </c>
      <c r="BV3430" s="2" t="s">
        <v>97</v>
      </c>
      <c r="BW3430" s="2" t="s">
        <v>100</v>
      </c>
      <c r="BX3430" s="2" t="s">
        <v>100</v>
      </c>
      <c r="BY3430" s="2" t="s">
        <v>113</v>
      </c>
      <c r="BZ3430" s="2" t="s">
        <v>100</v>
      </c>
    </row>
    <row r="3431">
      <c r="A3431" s="2" t="s">
        <v>10721</v>
      </c>
      <c r="B3431" s="2" t="s">
        <v>9668</v>
      </c>
      <c r="C3431" s="2" t="s">
        <v>88</v>
      </c>
      <c r="D3431" s="2" t="s">
        <v>9669</v>
      </c>
      <c r="E3431" s="2" t="s">
        <v>9670</v>
      </c>
      <c r="F3431" s="2" t="s">
        <v>10719</v>
      </c>
      <c r="G3431" s="2" t="s">
        <v>10719</v>
      </c>
      <c r="H3431" s="2" t="s">
        <v>10719</v>
      </c>
      <c r="I3431" s="2" t="s">
        <v>10698</v>
      </c>
      <c r="J3431" s="2" t="s">
        <v>714</v>
      </c>
      <c r="K3431" s="2" t="s">
        <v>118</v>
      </c>
      <c r="L3431" s="3">
        <v>45.5</v>
      </c>
      <c r="M3431" s="3">
        <v>47.78</v>
      </c>
      <c r="N3431" s="3">
        <v>99.99</v>
      </c>
      <c r="O3431" s="2" t="s">
        <v>97</v>
      </c>
      <c r="P3431" s="2" t="s">
        <v>119</v>
      </c>
      <c r="Q3431" s="2" t="s">
        <v>99</v>
      </c>
      <c r="R3431" s="2" t="s">
        <v>100</v>
      </c>
      <c r="S3431" s="2" t="s">
        <v>10720</v>
      </c>
      <c r="T3431" s="2" t="s">
        <v>280</v>
      </c>
      <c r="U3431" s="2" t="s">
        <v>402</v>
      </c>
      <c r="V3431" s="2" t="s">
        <v>146</v>
      </c>
      <c r="W3431" s="2" t="s">
        <v>673</v>
      </c>
      <c r="X3431" s="2" t="s">
        <v>183</v>
      </c>
      <c r="Y3431" s="2" t="s">
        <v>10700</v>
      </c>
      <c r="Z3431" s="4">
        <v>136</v>
      </c>
      <c r="AA3431" s="4">
        <f>=ROUNDDOWN(11.7241379310345,0)</f>
      </c>
      <c r="AB3431" s="5">
        <v>11.6</v>
      </c>
      <c r="AC3431" s="2" t="s">
        <v>241</v>
      </c>
      <c r="AD3431" s="4">
        <v>60</v>
      </c>
      <c r="AE3431" s="4">
        <v>300</v>
      </c>
      <c r="AF3431" s="6">
        <v>65</v>
      </c>
      <c r="AG3431" s="6"/>
      <c r="AH3431" s="7">
        <v>0.4706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>
        <v>157</v>
      </c>
      <c r="BK3431" s="8">
        <v>8011.76</v>
      </c>
      <c r="BL3431" s="2" t="s">
        <v>10722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207</v>
      </c>
      <c r="BV3431" s="2" t="s">
        <v>97</v>
      </c>
      <c r="BW3431" s="2" t="s">
        <v>100</v>
      </c>
      <c r="BX3431" s="2" t="s">
        <v>100</v>
      </c>
      <c r="BY3431" s="2" t="s">
        <v>113</v>
      </c>
      <c r="BZ3431" s="2" t="s">
        <v>100</v>
      </c>
    </row>
    <row r="3432">
      <c r="A3432" s="2" t="s">
        <v>10723</v>
      </c>
      <c r="B3432" s="2" t="s">
        <v>9668</v>
      </c>
      <c r="C3432" s="2" t="s">
        <v>88</v>
      </c>
      <c r="D3432" s="2" t="s">
        <v>9669</v>
      </c>
      <c r="E3432" s="2" t="s">
        <v>9670</v>
      </c>
      <c r="F3432" s="2" t="s">
        <v>10719</v>
      </c>
      <c r="G3432" s="2" t="s">
        <v>10719</v>
      </c>
      <c r="H3432" s="2" t="s">
        <v>10719</v>
      </c>
      <c r="I3432" s="2" t="s">
        <v>10698</v>
      </c>
      <c r="J3432" s="2" t="s">
        <v>706</v>
      </c>
      <c r="K3432" s="2" t="s">
        <v>198</v>
      </c>
      <c r="L3432" s="3">
        <v>40.25</v>
      </c>
      <c r="M3432" s="3">
        <v>42.26</v>
      </c>
      <c r="N3432" s="3">
        <v>89.99</v>
      </c>
      <c r="O3432" s="2" t="s">
        <v>97</v>
      </c>
      <c r="P3432" s="2" t="s">
        <v>950</v>
      </c>
      <c r="Q3432" s="2" t="s">
        <v>99</v>
      </c>
      <c r="R3432" s="2" t="s">
        <v>100</v>
      </c>
      <c r="S3432" s="2" t="s">
        <v>10724</v>
      </c>
      <c r="T3432" s="2" t="s">
        <v>280</v>
      </c>
      <c r="U3432" s="2" t="s">
        <v>402</v>
      </c>
      <c r="V3432" s="2" t="s">
        <v>146</v>
      </c>
      <c r="W3432" s="2" t="s">
        <v>673</v>
      </c>
      <c r="X3432" s="2" t="s">
        <v>183</v>
      </c>
      <c r="Y3432" s="2" t="s">
        <v>10700</v>
      </c>
      <c r="Z3432" s="4">
        <v>95</v>
      </c>
      <c r="AA3432" s="4">
        <f>=ROUNDDOWN(3.39285714285714,0)</f>
      </c>
      <c r="AB3432" s="5">
        <v>28</v>
      </c>
      <c r="AC3432" s="2" t="s">
        <v>241</v>
      </c>
      <c r="AD3432" s="4">
        <v>280</v>
      </c>
      <c r="AE3432" s="4">
        <v>943</v>
      </c>
      <c r="AF3432" s="6">
        <v>65</v>
      </c>
      <c r="AG3432" s="6"/>
      <c r="AH3432" s="7">
        <v>0.8717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>
        <v>637</v>
      </c>
      <c r="BK3432" s="8">
        <v>28693.14</v>
      </c>
      <c r="BL3432" s="2" t="s">
        <v>10725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207</v>
      </c>
      <c r="BV3432" s="2" t="s">
        <v>97</v>
      </c>
      <c r="BW3432" s="2" t="s">
        <v>100</v>
      </c>
      <c r="BX3432" s="2" t="s">
        <v>100</v>
      </c>
      <c r="BY3432" s="2" t="s">
        <v>113</v>
      </c>
      <c r="BZ3432" s="2" t="s">
        <v>100</v>
      </c>
    </row>
    <row r="3433">
      <c r="A3433" s="2" t="s">
        <v>10726</v>
      </c>
      <c r="B3433" s="2" t="s">
        <v>9668</v>
      </c>
      <c r="C3433" s="2" t="s">
        <v>88</v>
      </c>
      <c r="D3433" s="2" t="s">
        <v>9669</v>
      </c>
      <c r="E3433" s="2" t="s">
        <v>9670</v>
      </c>
      <c r="F3433" s="2" t="s">
        <v>10719</v>
      </c>
      <c r="G3433" s="2" t="s">
        <v>10719</v>
      </c>
      <c r="H3433" s="2" t="s">
        <v>10719</v>
      </c>
      <c r="I3433" s="2" t="s">
        <v>10698</v>
      </c>
      <c r="J3433" s="2" t="s">
        <v>714</v>
      </c>
      <c r="K3433" s="2" t="s">
        <v>198</v>
      </c>
      <c r="L3433" s="3">
        <v>45.5</v>
      </c>
      <c r="M3433" s="3">
        <v>47.78</v>
      </c>
      <c r="N3433" s="3">
        <v>99.99</v>
      </c>
      <c r="O3433" s="2" t="s">
        <v>97</v>
      </c>
      <c r="P3433" s="2" t="s">
        <v>950</v>
      </c>
      <c r="Q3433" s="2" t="s">
        <v>99</v>
      </c>
      <c r="R3433" s="2" t="s">
        <v>100</v>
      </c>
      <c r="S3433" s="2" t="s">
        <v>10724</v>
      </c>
      <c r="T3433" s="2" t="s">
        <v>280</v>
      </c>
      <c r="U3433" s="2" t="s">
        <v>402</v>
      </c>
      <c r="V3433" s="2" t="s">
        <v>146</v>
      </c>
      <c r="W3433" s="2" t="s">
        <v>673</v>
      </c>
      <c r="X3433" s="2" t="s">
        <v>183</v>
      </c>
      <c r="Y3433" s="2" t="s">
        <v>10700</v>
      </c>
      <c r="Z3433" s="4">
        <v>155</v>
      </c>
      <c r="AA3433" s="4">
        <f>=ROUNDDOWN(9.11764705882353,0)</f>
      </c>
      <c r="AB3433" s="5">
        <v>17</v>
      </c>
      <c r="AC3433" s="2" t="s">
        <v>2746</v>
      </c>
      <c r="AD3433" s="4">
        <v>150</v>
      </c>
      <c r="AE3433" s="4">
        <v>356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388</v>
      </c>
      <c r="BK3433" s="8">
        <v>19824.46</v>
      </c>
      <c r="BL3433" s="2" t="s">
        <v>10727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207</v>
      </c>
      <c r="BV3433" s="2" t="s">
        <v>97</v>
      </c>
      <c r="BW3433" s="2" t="s">
        <v>100</v>
      </c>
      <c r="BX3433" s="2" t="s">
        <v>100</v>
      </c>
      <c r="BY3433" s="2" t="s">
        <v>113</v>
      </c>
      <c r="BZ3433" s="2" t="s">
        <v>100</v>
      </c>
    </row>
    <row r="3434">
      <c r="A3434" s="2" t="s">
        <v>10728</v>
      </c>
      <c r="B3434" s="2" t="s">
        <v>9668</v>
      </c>
      <c r="C3434" s="2" t="s">
        <v>88</v>
      </c>
      <c r="D3434" s="2" t="s">
        <v>9669</v>
      </c>
      <c r="E3434" s="2" t="s">
        <v>9670</v>
      </c>
      <c r="F3434" s="2" t="s">
        <v>10719</v>
      </c>
      <c r="G3434" s="2" t="s">
        <v>10719</v>
      </c>
      <c r="H3434" s="2" t="s">
        <v>10719</v>
      </c>
      <c r="I3434" s="2" t="s">
        <v>10698</v>
      </c>
      <c r="J3434" s="2" t="s">
        <v>706</v>
      </c>
      <c r="K3434" s="2" t="s">
        <v>1603</v>
      </c>
      <c r="L3434" s="3">
        <v>40.25</v>
      </c>
      <c r="M3434" s="3">
        <v>42.26</v>
      </c>
      <c r="N3434" s="3">
        <v>89.99</v>
      </c>
      <c r="O3434" s="2" t="s">
        <v>97</v>
      </c>
      <c r="P3434" s="2" t="s">
        <v>950</v>
      </c>
      <c r="Q3434" s="2" t="s">
        <v>99</v>
      </c>
      <c r="R3434" s="2" t="s">
        <v>100</v>
      </c>
      <c r="S3434" s="2" t="s">
        <v>10729</v>
      </c>
      <c r="T3434" s="2" t="s">
        <v>280</v>
      </c>
      <c r="U3434" s="2" t="s">
        <v>402</v>
      </c>
      <c r="V3434" s="2" t="s">
        <v>146</v>
      </c>
      <c r="W3434" s="2" t="s">
        <v>673</v>
      </c>
      <c r="X3434" s="2" t="s">
        <v>183</v>
      </c>
      <c r="Y3434" s="2" t="s">
        <v>10700</v>
      </c>
      <c r="Z3434" s="4">
        <v>173</v>
      </c>
      <c r="AA3434" s="4">
        <f>=ROUNDDOWN(8.4390243902439,0)</f>
      </c>
      <c r="AB3434" s="5">
        <v>20.5</v>
      </c>
      <c r="AC3434" s="2" t="s">
        <v>241</v>
      </c>
      <c r="AD3434" s="4">
        <v>170</v>
      </c>
      <c r="AE3434" s="4">
        <v>800</v>
      </c>
      <c r="AF3434" s="6">
        <v>65</v>
      </c>
      <c r="AG3434" s="6"/>
      <c r="AH3434" s="7">
        <v>0.4332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>
        <v>269</v>
      </c>
      <c r="BK3434" s="8">
        <v>12039.07</v>
      </c>
      <c r="BL3434" s="2" t="s">
        <v>10730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207</v>
      </c>
      <c r="BV3434" s="2" t="s">
        <v>97</v>
      </c>
      <c r="BW3434" s="2" t="s">
        <v>100</v>
      </c>
      <c r="BX3434" s="2" t="s">
        <v>100</v>
      </c>
      <c r="BY3434" s="2" t="s">
        <v>113</v>
      </c>
      <c r="BZ3434" s="2" t="s">
        <v>100</v>
      </c>
    </row>
    <row r="3435">
      <c r="A3435" s="2" t="s">
        <v>10731</v>
      </c>
      <c r="B3435" s="2" t="s">
        <v>9668</v>
      </c>
      <c r="C3435" s="2" t="s">
        <v>88</v>
      </c>
      <c r="D3435" s="2" t="s">
        <v>9669</v>
      </c>
      <c r="E3435" s="2" t="s">
        <v>9670</v>
      </c>
      <c r="F3435" s="2" t="s">
        <v>10719</v>
      </c>
      <c r="G3435" s="2" t="s">
        <v>10719</v>
      </c>
      <c r="H3435" s="2" t="s">
        <v>10719</v>
      </c>
      <c r="I3435" s="2" t="s">
        <v>10698</v>
      </c>
      <c r="J3435" s="2" t="s">
        <v>714</v>
      </c>
      <c r="K3435" s="2" t="s">
        <v>1603</v>
      </c>
      <c r="L3435" s="3">
        <v>45.5</v>
      </c>
      <c r="M3435" s="3">
        <v>47.78</v>
      </c>
      <c r="N3435" s="3">
        <v>99.99</v>
      </c>
      <c r="O3435" s="2" t="s">
        <v>97</v>
      </c>
      <c r="P3435" s="2" t="s">
        <v>119</v>
      </c>
      <c r="Q3435" s="2" t="s">
        <v>99</v>
      </c>
      <c r="R3435" s="2" t="s">
        <v>100</v>
      </c>
      <c r="S3435" s="2" t="s">
        <v>10729</v>
      </c>
      <c r="T3435" s="2" t="s">
        <v>280</v>
      </c>
      <c r="U3435" s="2" t="s">
        <v>402</v>
      </c>
      <c r="V3435" s="2" t="s">
        <v>146</v>
      </c>
      <c r="W3435" s="2" t="s">
        <v>673</v>
      </c>
      <c r="X3435" s="2" t="s">
        <v>183</v>
      </c>
      <c r="Y3435" s="2" t="s">
        <v>10700</v>
      </c>
      <c r="Z3435" s="4">
        <v>59</v>
      </c>
      <c r="AA3435" s="4">
        <f>=ROUNDDOWN(6.55555555555556,0)</f>
      </c>
      <c r="AB3435" s="5">
        <v>9</v>
      </c>
      <c r="AC3435" s="2" t="s">
        <v>241</v>
      </c>
      <c r="AD3435" s="4">
        <v>90</v>
      </c>
      <c r="AE3435" s="4">
        <v>460</v>
      </c>
      <c r="AF3435" s="6">
        <v>65</v>
      </c>
      <c r="AG3435" s="6"/>
      <c r="AH3435" s="7">
        <v>0.9412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>
        <v>205</v>
      </c>
      <c r="BK3435" s="8">
        <v>10414.55</v>
      </c>
      <c r="BL3435" s="2" t="s">
        <v>10732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207</v>
      </c>
      <c r="BV3435" s="2" t="s">
        <v>97</v>
      </c>
      <c r="BW3435" s="2" t="s">
        <v>100</v>
      </c>
      <c r="BX3435" s="2" t="s">
        <v>100</v>
      </c>
      <c r="BY3435" s="2" t="s">
        <v>113</v>
      </c>
      <c r="BZ3435" s="2" t="s">
        <v>100</v>
      </c>
    </row>
    <row r="3436">
      <c r="A3436" s="2" t="s">
        <v>10733</v>
      </c>
      <c r="B3436" s="2" t="s">
        <v>9668</v>
      </c>
      <c r="C3436" s="2" t="s">
        <v>88</v>
      </c>
      <c r="D3436" s="2" t="s">
        <v>9669</v>
      </c>
      <c r="E3436" s="2" t="s">
        <v>9670</v>
      </c>
      <c r="F3436" s="2" t="s">
        <v>10719</v>
      </c>
      <c r="G3436" s="2" t="s">
        <v>10719</v>
      </c>
      <c r="H3436" s="2" t="s">
        <v>10719</v>
      </c>
      <c r="I3436" s="2" t="s">
        <v>10698</v>
      </c>
      <c r="J3436" s="2" t="s">
        <v>706</v>
      </c>
      <c r="K3436" s="2" t="s">
        <v>189</v>
      </c>
      <c r="L3436" s="3">
        <v>40.25</v>
      </c>
      <c r="M3436" s="3">
        <v>42.26</v>
      </c>
      <c r="N3436" s="3">
        <v>89.99</v>
      </c>
      <c r="O3436" s="2" t="s">
        <v>97</v>
      </c>
      <c r="P3436" s="2" t="s">
        <v>98</v>
      </c>
      <c r="Q3436" s="2" t="s">
        <v>99</v>
      </c>
      <c r="R3436" s="2" t="s">
        <v>100</v>
      </c>
      <c r="S3436" s="2" t="s">
        <v>10734</v>
      </c>
      <c r="T3436" s="2" t="s">
        <v>280</v>
      </c>
      <c r="U3436" s="2" t="s">
        <v>402</v>
      </c>
      <c r="V3436" s="2" t="s">
        <v>146</v>
      </c>
      <c r="W3436" s="2" t="s">
        <v>673</v>
      </c>
      <c r="X3436" s="2" t="s">
        <v>183</v>
      </c>
      <c r="Y3436" s="2" t="s">
        <v>10700</v>
      </c>
      <c r="Z3436" s="4">
        <v>170</v>
      </c>
      <c r="AA3436" s="4">
        <f>=ROUNDDOWN(5.48387096774194,0)</f>
      </c>
      <c r="AB3436" s="5">
        <v>31</v>
      </c>
      <c r="AC3436" s="2" t="s">
        <v>241</v>
      </c>
      <c r="AD3436" s="4">
        <v>160</v>
      </c>
      <c r="AE3436" s="4">
        <v>1260</v>
      </c>
      <c r="AF3436" s="6">
        <v>65</v>
      </c>
      <c r="AG3436" s="6"/>
      <c r="AH3436" s="7">
        <v>0.6417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>
        <v>685</v>
      </c>
      <c r="BK3436" s="8">
        <v>30967.98</v>
      </c>
      <c r="BL3436" s="2" t="s">
        <v>3052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207</v>
      </c>
      <c r="BV3436" s="2" t="s">
        <v>97</v>
      </c>
      <c r="BW3436" s="2" t="s">
        <v>100</v>
      </c>
      <c r="BX3436" s="2" t="s">
        <v>100</v>
      </c>
      <c r="BY3436" s="2" t="s">
        <v>113</v>
      </c>
      <c r="BZ3436" s="2" t="s">
        <v>100</v>
      </c>
    </row>
    <row r="3437">
      <c r="A3437" s="2" t="s">
        <v>10735</v>
      </c>
      <c r="B3437" s="2" t="s">
        <v>9668</v>
      </c>
      <c r="C3437" s="2" t="s">
        <v>88</v>
      </c>
      <c r="D3437" s="2" t="s">
        <v>9669</v>
      </c>
      <c r="E3437" s="2" t="s">
        <v>9670</v>
      </c>
      <c r="F3437" s="2" t="s">
        <v>10719</v>
      </c>
      <c r="G3437" s="2" t="s">
        <v>10719</v>
      </c>
      <c r="H3437" s="2" t="s">
        <v>10719</v>
      </c>
      <c r="I3437" s="2" t="s">
        <v>10698</v>
      </c>
      <c r="J3437" s="2" t="s">
        <v>714</v>
      </c>
      <c r="K3437" s="2" t="s">
        <v>189</v>
      </c>
      <c r="L3437" s="3">
        <v>45.5</v>
      </c>
      <c r="M3437" s="3">
        <v>47.78</v>
      </c>
      <c r="N3437" s="3">
        <v>99.99</v>
      </c>
      <c r="O3437" s="2" t="s">
        <v>97</v>
      </c>
      <c r="P3437" s="2" t="s">
        <v>950</v>
      </c>
      <c r="Q3437" s="2" t="s">
        <v>99</v>
      </c>
      <c r="R3437" s="2" t="s">
        <v>100</v>
      </c>
      <c r="S3437" s="2" t="s">
        <v>10734</v>
      </c>
      <c r="T3437" s="2" t="s">
        <v>280</v>
      </c>
      <c r="U3437" s="2" t="s">
        <v>402</v>
      </c>
      <c r="V3437" s="2" t="s">
        <v>146</v>
      </c>
      <c r="W3437" s="2" t="s">
        <v>673</v>
      </c>
      <c r="X3437" s="2" t="s">
        <v>183</v>
      </c>
      <c r="Y3437" s="2" t="s">
        <v>10700</v>
      </c>
      <c r="Z3437" s="4">
        <v>216</v>
      </c>
      <c r="AA3437" s="4">
        <f>=ROUNDDOWN(8.30769230769231,0)</f>
      </c>
      <c r="AB3437" s="5">
        <v>26</v>
      </c>
      <c r="AC3437" s="2" t="s">
        <v>241</v>
      </c>
      <c r="AD3437" s="4">
        <v>48</v>
      </c>
      <c r="AE3437" s="4">
        <v>668</v>
      </c>
      <c r="AF3437" s="6">
        <v>65</v>
      </c>
      <c r="AG3437" s="6"/>
      <c r="AH3437" s="7">
        <v>0.4813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373</v>
      </c>
      <c r="BK3437" s="8">
        <v>19083.75</v>
      </c>
      <c r="BL3437" s="2" t="s">
        <v>3095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207</v>
      </c>
      <c r="BV3437" s="2" t="s">
        <v>97</v>
      </c>
      <c r="BW3437" s="2" t="s">
        <v>100</v>
      </c>
      <c r="BX3437" s="2" t="s">
        <v>100</v>
      </c>
      <c r="BY3437" s="2" t="s">
        <v>113</v>
      </c>
      <c r="BZ3437" s="2" t="s">
        <v>100</v>
      </c>
    </row>
    <row r="3438">
      <c r="A3438" s="2" t="s">
        <v>10736</v>
      </c>
      <c r="B3438" s="2" t="s">
        <v>9668</v>
      </c>
      <c r="C3438" s="2" t="s">
        <v>88</v>
      </c>
      <c r="D3438" s="2" t="s">
        <v>9669</v>
      </c>
      <c r="E3438" s="2" t="s">
        <v>9670</v>
      </c>
      <c r="F3438" s="2" t="s">
        <v>10226</v>
      </c>
      <c r="G3438" s="2" t="s">
        <v>10226</v>
      </c>
      <c r="H3438" s="2" t="s">
        <v>10226</v>
      </c>
      <c r="I3438" s="2" t="s">
        <v>10737</v>
      </c>
      <c r="J3438" s="2" t="s">
        <v>10472</v>
      </c>
      <c r="K3438" s="2" t="s">
        <v>3199</v>
      </c>
      <c r="L3438" s="3">
        <v>72.03</v>
      </c>
      <c r="M3438" s="3">
        <v>75.63</v>
      </c>
      <c r="N3438" s="3">
        <v>139.99</v>
      </c>
      <c r="O3438" s="2" t="s">
        <v>97</v>
      </c>
      <c r="P3438" s="2" t="s">
        <v>119</v>
      </c>
      <c r="Q3438" s="2" t="s">
        <v>99</v>
      </c>
      <c r="R3438" s="2" t="s">
        <v>100</v>
      </c>
      <c r="S3438" s="2" t="s">
        <v>10738</v>
      </c>
      <c r="T3438" s="2" t="s">
        <v>280</v>
      </c>
      <c r="U3438" s="2" t="s">
        <v>337</v>
      </c>
      <c r="V3438" s="2" t="s">
        <v>146</v>
      </c>
      <c r="W3438" s="2" t="s">
        <v>183</v>
      </c>
      <c r="X3438" s="2" t="s">
        <v>561</v>
      </c>
      <c r="Y3438" s="2" t="s">
        <v>10739</v>
      </c>
      <c r="Z3438" s="4">
        <v>118</v>
      </c>
      <c r="AA3438" s="4">
        <f>=ROUNDDOWN(29.5,0)</f>
      </c>
      <c r="AB3438" s="5">
        <v>4</v>
      </c>
      <c r="AC3438" s="2" t="s">
        <v>2746</v>
      </c>
      <c r="AD3438" s="4">
        <v>110</v>
      </c>
      <c r="AE3438" s="4">
        <v>110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80</v>
      </c>
      <c r="BK3438" s="8">
        <v>6490.92</v>
      </c>
      <c r="BL3438" s="2" t="s">
        <v>3558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207</v>
      </c>
      <c r="BV3438" s="2" t="s">
        <v>97</v>
      </c>
      <c r="BW3438" s="2" t="s">
        <v>100</v>
      </c>
      <c r="BX3438" s="2" t="s">
        <v>100</v>
      </c>
      <c r="BY3438" s="2" t="s">
        <v>113</v>
      </c>
      <c r="BZ3438" s="2" t="s">
        <v>100</v>
      </c>
    </row>
    <row r="3439">
      <c r="A3439" s="2" t="s">
        <v>10740</v>
      </c>
      <c r="B3439" s="2" t="s">
        <v>9668</v>
      </c>
      <c r="C3439" s="2" t="s">
        <v>88</v>
      </c>
      <c r="D3439" s="2" t="s">
        <v>9669</v>
      </c>
      <c r="E3439" s="2" t="s">
        <v>9670</v>
      </c>
      <c r="F3439" s="2" t="s">
        <v>10226</v>
      </c>
      <c r="G3439" s="2" t="s">
        <v>10226</v>
      </c>
      <c r="H3439" s="2" t="s">
        <v>10226</v>
      </c>
      <c r="I3439" s="2" t="s">
        <v>10737</v>
      </c>
      <c r="J3439" s="2" t="s">
        <v>10472</v>
      </c>
      <c r="K3439" s="2" t="s">
        <v>3515</v>
      </c>
      <c r="L3439" s="3">
        <v>72.03</v>
      </c>
      <c r="M3439" s="3">
        <v>75.63</v>
      </c>
      <c r="N3439" s="3">
        <v>139.99</v>
      </c>
      <c r="O3439" s="2" t="s">
        <v>97</v>
      </c>
      <c r="P3439" s="2" t="s">
        <v>119</v>
      </c>
      <c r="Q3439" s="2" t="s">
        <v>99</v>
      </c>
      <c r="R3439" s="2" t="s">
        <v>100</v>
      </c>
      <c r="S3439" s="2" t="s">
        <v>10741</v>
      </c>
      <c r="T3439" s="2" t="s">
        <v>280</v>
      </c>
      <c r="U3439" s="2" t="s">
        <v>337</v>
      </c>
      <c r="V3439" s="2" t="s">
        <v>146</v>
      </c>
      <c r="W3439" s="2" t="s">
        <v>183</v>
      </c>
      <c r="X3439" s="2" t="s">
        <v>561</v>
      </c>
      <c r="Y3439" s="2" t="s">
        <v>8938</v>
      </c>
      <c r="Z3439" s="4">
        <v>170</v>
      </c>
      <c r="AA3439" s="4">
        <f>=ROUNDDOWN(28.3333333333333,0)</f>
      </c>
      <c r="AB3439" s="5">
        <v>6</v>
      </c>
      <c r="AC3439" s="2" t="s">
        <v>2746</v>
      </c>
      <c r="AD3439" s="4">
        <v>190</v>
      </c>
      <c r="AE3439" s="4">
        <v>190</v>
      </c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174</v>
      </c>
      <c r="BK3439" s="8">
        <v>14365.66</v>
      </c>
      <c r="BL3439" s="2" t="s">
        <v>10742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207</v>
      </c>
      <c r="BV3439" s="2" t="s">
        <v>97</v>
      </c>
      <c r="BW3439" s="2" t="s">
        <v>100</v>
      </c>
      <c r="BX3439" s="2" t="s">
        <v>100</v>
      </c>
      <c r="BY3439" s="2" t="s">
        <v>113</v>
      </c>
      <c r="BZ3439" s="2" t="s">
        <v>100</v>
      </c>
    </row>
    <row r="3440">
      <c r="A3440" s="2" t="s">
        <v>10743</v>
      </c>
      <c r="B3440" s="2" t="s">
        <v>9668</v>
      </c>
      <c r="C3440" s="2" t="s">
        <v>88</v>
      </c>
      <c r="D3440" s="2" t="s">
        <v>9669</v>
      </c>
      <c r="E3440" s="2" t="s">
        <v>9670</v>
      </c>
      <c r="F3440" s="2" t="s">
        <v>10226</v>
      </c>
      <c r="G3440" s="2" t="s">
        <v>10226</v>
      </c>
      <c r="H3440" s="2" t="s">
        <v>10226</v>
      </c>
      <c r="I3440" s="2" t="s">
        <v>10737</v>
      </c>
      <c r="J3440" s="2" t="s">
        <v>706</v>
      </c>
      <c r="K3440" s="2" t="s">
        <v>360</v>
      </c>
      <c r="L3440" s="3">
        <v>51.82</v>
      </c>
      <c r="M3440" s="3">
        <v>54.41</v>
      </c>
      <c r="N3440" s="3">
        <v>104.99</v>
      </c>
      <c r="O3440" s="2" t="s">
        <v>97</v>
      </c>
      <c r="P3440" s="2" t="s">
        <v>119</v>
      </c>
      <c r="Q3440" s="2" t="s">
        <v>99</v>
      </c>
      <c r="R3440" s="2" t="s">
        <v>100</v>
      </c>
      <c r="S3440" s="2" t="s">
        <v>10744</v>
      </c>
      <c r="T3440" s="2" t="s">
        <v>280</v>
      </c>
      <c r="U3440" s="2" t="s">
        <v>402</v>
      </c>
      <c r="V3440" s="2" t="s">
        <v>146</v>
      </c>
      <c r="W3440" s="2" t="s">
        <v>183</v>
      </c>
      <c r="X3440" s="2" t="s">
        <v>309</v>
      </c>
      <c r="Y3440" s="2" t="s">
        <v>10745</v>
      </c>
      <c r="Z3440" s="4">
        <v>250</v>
      </c>
      <c r="AA3440" s="4">
        <f>=ROUNDDOWN(25,0)</f>
      </c>
      <c r="AB3440" s="5">
        <v>10</v>
      </c>
      <c r="AC3440" s="2" t="s">
        <v>3887</v>
      </c>
      <c r="AD3440" s="4">
        <v>250</v>
      </c>
      <c r="AE3440" s="4">
        <v>250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211</v>
      </c>
      <c r="BK3440" s="8">
        <v>12334.4</v>
      </c>
      <c r="BL3440" s="2" t="s">
        <v>10746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207</v>
      </c>
      <c r="BV3440" s="2" t="s">
        <v>97</v>
      </c>
      <c r="BW3440" s="2" t="s">
        <v>100</v>
      </c>
      <c r="BX3440" s="2" t="s">
        <v>100</v>
      </c>
      <c r="BY3440" s="2" t="s">
        <v>113</v>
      </c>
      <c r="BZ3440" s="2" t="s">
        <v>100</v>
      </c>
    </row>
    <row r="3441">
      <c r="A3441" s="2" t="s">
        <v>10747</v>
      </c>
      <c r="B3441" s="2" t="s">
        <v>9668</v>
      </c>
      <c r="C3441" s="2" t="s">
        <v>88</v>
      </c>
      <c r="D3441" s="2" t="s">
        <v>9669</v>
      </c>
      <c r="E3441" s="2" t="s">
        <v>9670</v>
      </c>
      <c r="F3441" s="2" t="s">
        <v>10226</v>
      </c>
      <c r="G3441" s="2" t="s">
        <v>10226</v>
      </c>
      <c r="H3441" s="2" t="s">
        <v>10226</v>
      </c>
      <c r="I3441" s="2" t="s">
        <v>10737</v>
      </c>
      <c r="J3441" s="2" t="s">
        <v>714</v>
      </c>
      <c r="K3441" s="2" t="s">
        <v>360</v>
      </c>
      <c r="L3441" s="3">
        <v>63</v>
      </c>
      <c r="M3441" s="3">
        <v>66.15</v>
      </c>
      <c r="N3441" s="3">
        <v>124.99</v>
      </c>
      <c r="O3441" s="2" t="s">
        <v>97</v>
      </c>
      <c r="P3441" s="2" t="s">
        <v>119</v>
      </c>
      <c r="Q3441" s="2" t="s">
        <v>99</v>
      </c>
      <c r="R3441" s="2" t="s">
        <v>100</v>
      </c>
      <c r="S3441" s="2" t="s">
        <v>10744</v>
      </c>
      <c r="T3441" s="2" t="s">
        <v>280</v>
      </c>
      <c r="U3441" s="2" t="s">
        <v>402</v>
      </c>
      <c r="V3441" s="2" t="s">
        <v>146</v>
      </c>
      <c r="W3441" s="2" t="s">
        <v>183</v>
      </c>
      <c r="X3441" s="2" t="s">
        <v>309</v>
      </c>
      <c r="Y3441" s="2" t="s">
        <v>10745</v>
      </c>
      <c r="Z3441" s="4">
        <v>100</v>
      </c>
      <c r="AA3441" s="4">
        <f>=ROUNDDOWN(16.6666666666667,0)</f>
      </c>
      <c r="AB3441" s="5">
        <v>6</v>
      </c>
      <c r="AC3441" s="2" t="s">
        <v>3887</v>
      </c>
      <c r="AD3441" s="4">
        <v>170</v>
      </c>
      <c r="AE3441" s="4">
        <v>170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141</v>
      </c>
      <c r="BK3441" s="8">
        <v>9857.61</v>
      </c>
      <c r="BL3441" s="2" t="s">
        <v>494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207</v>
      </c>
      <c r="BV3441" s="2" t="s">
        <v>97</v>
      </c>
      <c r="BW3441" s="2" t="s">
        <v>100</v>
      </c>
      <c r="BX3441" s="2" t="s">
        <v>100</v>
      </c>
      <c r="BY3441" s="2" t="s">
        <v>113</v>
      </c>
      <c r="BZ3441" s="2" t="s">
        <v>100</v>
      </c>
    </row>
    <row r="3442">
      <c r="A3442" s="2" t="s">
        <v>10748</v>
      </c>
      <c r="B3442" s="2" t="s">
        <v>9668</v>
      </c>
      <c r="C3442" s="2" t="s">
        <v>88</v>
      </c>
      <c r="D3442" s="2" t="s">
        <v>9669</v>
      </c>
      <c r="E3442" s="2" t="s">
        <v>9670</v>
      </c>
      <c r="F3442" s="2" t="s">
        <v>10226</v>
      </c>
      <c r="G3442" s="2" t="s">
        <v>10226</v>
      </c>
      <c r="H3442" s="2" t="s">
        <v>10226</v>
      </c>
      <c r="I3442" s="2" t="s">
        <v>10737</v>
      </c>
      <c r="J3442" s="2" t="s">
        <v>817</v>
      </c>
      <c r="K3442" s="2" t="s">
        <v>360</v>
      </c>
      <c r="L3442" s="3">
        <v>63</v>
      </c>
      <c r="M3442" s="3">
        <v>66.15</v>
      </c>
      <c r="N3442" s="3">
        <v>124.99</v>
      </c>
      <c r="O3442" s="2" t="s">
        <v>97</v>
      </c>
      <c r="P3442" s="2" t="s">
        <v>119</v>
      </c>
      <c r="Q3442" s="2" t="s">
        <v>99</v>
      </c>
      <c r="R3442" s="2" t="s">
        <v>100</v>
      </c>
      <c r="S3442" s="2" t="s">
        <v>10744</v>
      </c>
      <c r="T3442" s="2" t="s">
        <v>280</v>
      </c>
      <c r="U3442" s="2" t="s">
        <v>402</v>
      </c>
      <c r="V3442" s="2" t="s">
        <v>146</v>
      </c>
      <c r="W3442" s="2" t="s">
        <v>183</v>
      </c>
      <c r="X3442" s="2" t="s">
        <v>309</v>
      </c>
      <c r="Y3442" s="2" t="s">
        <v>10745</v>
      </c>
      <c r="Z3442" s="4">
        <v>81</v>
      </c>
      <c r="AA3442" s="4">
        <f>=ROUNDDOWN(40.5,0)</f>
      </c>
      <c r="AB3442" s="5">
        <v>2</v>
      </c>
      <c r="AC3442" s="2" t="s">
        <v>3887</v>
      </c>
      <c r="AD3442" s="4">
        <v>30</v>
      </c>
      <c r="AE3442" s="4">
        <v>30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>
        <v>42</v>
      </c>
      <c r="BK3442" s="8">
        <v>2943.62</v>
      </c>
      <c r="BL3442" s="2" t="s">
        <v>1379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207</v>
      </c>
      <c r="BV3442" s="2" t="s">
        <v>97</v>
      </c>
      <c r="BW3442" s="2" t="s">
        <v>100</v>
      </c>
      <c r="BX3442" s="2" t="s">
        <v>100</v>
      </c>
      <c r="BY3442" s="2" t="s">
        <v>113</v>
      </c>
      <c r="BZ3442" s="2" t="s">
        <v>100</v>
      </c>
    </row>
    <row r="3443">
      <c r="A3443" s="2" t="s">
        <v>10749</v>
      </c>
      <c r="B3443" s="2" t="s">
        <v>9668</v>
      </c>
      <c r="C3443" s="2" t="s">
        <v>88</v>
      </c>
      <c r="D3443" s="2" t="s">
        <v>9669</v>
      </c>
      <c r="E3443" s="2" t="s">
        <v>9670</v>
      </c>
      <c r="F3443" s="2" t="s">
        <v>10226</v>
      </c>
      <c r="G3443" s="2" t="s">
        <v>10226</v>
      </c>
      <c r="H3443" s="2" t="s">
        <v>10226</v>
      </c>
      <c r="I3443" s="2" t="s">
        <v>10737</v>
      </c>
      <c r="J3443" s="2" t="s">
        <v>10472</v>
      </c>
      <c r="K3443" s="2" t="s">
        <v>360</v>
      </c>
      <c r="L3443" s="3">
        <v>72.03</v>
      </c>
      <c r="M3443" s="3">
        <v>75.63</v>
      </c>
      <c r="N3443" s="3">
        <v>139.99</v>
      </c>
      <c r="O3443" s="2" t="s">
        <v>97</v>
      </c>
      <c r="P3443" s="2" t="s">
        <v>119</v>
      </c>
      <c r="Q3443" s="2" t="s">
        <v>99</v>
      </c>
      <c r="R3443" s="2" t="s">
        <v>100</v>
      </c>
      <c r="S3443" s="2" t="s">
        <v>10744</v>
      </c>
      <c r="T3443" s="2" t="s">
        <v>280</v>
      </c>
      <c r="U3443" s="2" t="s">
        <v>337</v>
      </c>
      <c r="V3443" s="2" t="s">
        <v>146</v>
      </c>
      <c r="W3443" s="2" t="s">
        <v>183</v>
      </c>
      <c r="X3443" s="2" t="s">
        <v>309</v>
      </c>
      <c r="Y3443" s="2" t="s">
        <v>10745</v>
      </c>
      <c r="Z3443" s="4">
        <v>160</v>
      </c>
      <c r="AA3443" s="4">
        <f>=ROUNDDOWN(53.3333333333333,0)</f>
      </c>
      <c r="AB3443" s="5">
        <v>3</v>
      </c>
      <c r="AC3443" s="2" t="s">
        <v>3887</v>
      </c>
      <c r="AD3443" s="4">
        <v>50</v>
      </c>
      <c r="AE3443" s="4">
        <v>50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>
        <v>64</v>
      </c>
      <c r="BK3443" s="8">
        <v>5291.21</v>
      </c>
      <c r="BL3443" s="2" t="s">
        <v>4983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207</v>
      </c>
      <c r="BV3443" s="2" t="s">
        <v>97</v>
      </c>
      <c r="BW3443" s="2" t="s">
        <v>100</v>
      </c>
      <c r="BX3443" s="2" t="s">
        <v>100</v>
      </c>
      <c r="BY3443" s="2" t="s">
        <v>113</v>
      </c>
      <c r="BZ3443" s="2" t="s">
        <v>100</v>
      </c>
    </row>
    <row r="3444">
      <c r="A3444" s="2" t="s">
        <v>10750</v>
      </c>
      <c r="B3444" s="2" t="s">
        <v>9668</v>
      </c>
      <c r="C3444" s="2" t="s">
        <v>88</v>
      </c>
      <c r="D3444" s="2" t="s">
        <v>9669</v>
      </c>
      <c r="E3444" s="2" t="s">
        <v>9670</v>
      </c>
      <c r="F3444" s="2" t="s">
        <v>10226</v>
      </c>
      <c r="G3444" s="2" t="s">
        <v>10226</v>
      </c>
      <c r="H3444" s="2" t="s">
        <v>10226</v>
      </c>
      <c r="I3444" s="2" t="s">
        <v>10737</v>
      </c>
      <c r="J3444" s="2" t="s">
        <v>706</v>
      </c>
      <c r="K3444" s="2" t="s">
        <v>5293</v>
      </c>
      <c r="L3444" s="3">
        <v>51.82</v>
      </c>
      <c r="M3444" s="3">
        <v>54.41</v>
      </c>
      <c r="N3444" s="3">
        <v>104.99</v>
      </c>
      <c r="O3444" s="2" t="s">
        <v>97</v>
      </c>
      <c r="P3444" s="2" t="s">
        <v>119</v>
      </c>
      <c r="Q3444" s="2" t="s">
        <v>99</v>
      </c>
      <c r="R3444" s="2" t="s">
        <v>100</v>
      </c>
      <c r="S3444" s="2" t="s">
        <v>10751</v>
      </c>
      <c r="T3444" s="2" t="s">
        <v>280</v>
      </c>
      <c r="U3444" s="2" t="s">
        <v>402</v>
      </c>
      <c r="V3444" s="2" t="s">
        <v>146</v>
      </c>
      <c r="W3444" s="2" t="s">
        <v>183</v>
      </c>
      <c r="X3444" s="2" t="s">
        <v>309</v>
      </c>
      <c r="Y3444" s="2" t="s">
        <v>10745</v>
      </c>
      <c r="Z3444" s="4">
        <v>129</v>
      </c>
      <c r="AA3444" s="4">
        <f>=ROUNDDOWN(10.75,0)</f>
      </c>
      <c r="AB3444" s="5">
        <v>12</v>
      </c>
      <c r="AC3444" s="2" t="s">
        <v>241</v>
      </c>
      <c r="AD3444" s="4">
        <v>260</v>
      </c>
      <c r="AE3444" s="4">
        <v>410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>
        <v>313</v>
      </c>
      <c r="BK3444" s="8">
        <v>18171.64</v>
      </c>
      <c r="BL3444" s="2" t="s">
        <v>10746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207</v>
      </c>
      <c r="BV3444" s="2" t="s">
        <v>97</v>
      </c>
      <c r="BW3444" s="2" t="s">
        <v>100</v>
      </c>
      <c r="BX3444" s="2" t="s">
        <v>100</v>
      </c>
      <c r="BY3444" s="2" t="s">
        <v>113</v>
      </c>
      <c r="BZ3444" s="2" t="s">
        <v>100</v>
      </c>
    </row>
    <row r="3445">
      <c r="A3445" s="2" t="s">
        <v>10752</v>
      </c>
      <c r="B3445" s="2" t="s">
        <v>9668</v>
      </c>
      <c r="C3445" s="2" t="s">
        <v>88</v>
      </c>
      <c r="D3445" s="2" t="s">
        <v>9669</v>
      </c>
      <c r="E3445" s="2" t="s">
        <v>9670</v>
      </c>
      <c r="F3445" s="2" t="s">
        <v>10226</v>
      </c>
      <c r="G3445" s="2" t="s">
        <v>10226</v>
      </c>
      <c r="H3445" s="2" t="s">
        <v>10226</v>
      </c>
      <c r="I3445" s="2" t="s">
        <v>10737</v>
      </c>
      <c r="J3445" s="2" t="s">
        <v>714</v>
      </c>
      <c r="K3445" s="2" t="s">
        <v>5293</v>
      </c>
      <c r="L3445" s="3">
        <v>63</v>
      </c>
      <c r="M3445" s="3">
        <v>66.15</v>
      </c>
      <c r="N3445" s="3">
        <v>124.99</v>
      </c>
      <c r="O3445" s="2" t="s">
        <v>97</v>
      </c>
      <c r="P3445" s="2" t="s">
        <v>119</v>
      </c>
      <c r="Q3445" s="2" t="s">
        <v>99</v>
      </c>
      <c r="R3445" s="2" t="s">
        <v>100</v>
      </c>
      <c r="S3445" s="2" t="s">
        <v>10751</v>
      </c>
      <c r="T3445" s="2" t="s">
        <v>280</v>
      </c>
      <c r="U3445" s="2" t="s">
        <v>402</v>
      </c>
      <c r="V3445" s="2" t="s">
        <v>146</v>
      </c>
      <c r="W3445" s="2" t="s">
        <v>183</v>
      </c>
      <c r="X3445" s="2" t="s">
        <v>309</v>
      </c>
      <c r="Y3445" s="2" t="s">
        <v>10745</v>
      </c>
      <c r="Z3445" s="4">
        <v>73</v>
      </c>
      <c r="AA3445" s="4">
        <f>=ROUNDDOWN(9.35897435897436,0)</f>
      </c>
      <c r="AB3445" s="5">
        <v>7.8</v>
      </c>
      <c r="AC3445" s="2" t="s">
        <v>241</v>
      </c>
      <c r="AD3445" s="4">
        <v>190</v>
      </c>
      <c r="AE3445" s="4">
        <v>310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>
        <v>199</v>
      </c>
      <c r="BK3445" s="8">
        <v>14081.15</v>
      </c>
      <c r="BL3445" s="2" t="s">
        <v>6514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207</v>
      </c>
      <c r="BV3445" s="2" t="s">
        <v>97</v>
      </c>
      <c r="BW3445" s="2" t="s">
        <v>100</v>
      </c>
      <c r="BX3445" s="2" t="s">
        <v>100</v>
      </c>
      <c r="BY3445" s="2" t="s">
        <v>113</v>
      </c>
      <c r="BZ3445" s="2" t="s">
        <v>100</v>
      </c>
    </row>
    <row r="3446">
      <c r="A3446" s="2" t="s">
        <v>10753</v>
      </c>
      <c r="B3446" s="2" t="s">
        <v>9668</v>
      </c>
      <c r="C3446" s="2" t="s">
        <v>88</v>
      </c>
      <c r="D3446" s="2" t="s">
        <v>9669</v>
      </c>
      <c r="E3446" s="2" t="s">
        <v>9670</v>
      </c>
      <c r="F3446" s="2" t="s">
        <v>10226</v>
      </c>
      <c r="G3446" s="2" t="s">
        <v>10226</v>
      </c>
      <c r="H3446" s="2" t="s">
        <v>10226</v>
      </c>
      <c r="I3446" s="2" t="s">
        <v>10737</v>
      </c>
      <c r="J3446" s="2" t="s">
        <v>817</v>
      </c>
      <c r="K3446" s="2" t="s">
        <v>5293</v>
      </c>
      <c r="L3446" s="3">
        <v>63</v>
      </c>
      <c r="M3446" s="3">
        <v>66.15</v>
      </c>
      <c r="N3446" s="3">
        <v>124.99</v>
      </c>
      <c r="O3446" s="2" t="s">
        <v>97</v>
      </c>
      <c r="P3446" s="2" t="s">
        <v>119</v>
      </c>
      <c r="Q3446" s="2" t="s">
        <v>99</v>
      </c>
      <c r="R3446" s="2" t="s">
        <v>100</v>
      </c>
      <c r="S3446" s="2" t="s">
        <v>10751</v>
      </c>
      <c r="T3446" s="2" t="s">
        <v>280</v>
      </c>
      <c r="U3446" s="2" t="s">
        <v>402</v>
      </c>
      <c r="V3446" s="2" t="s">
        <v>146</v>
      </c>
      <c r="W3446" s="2" t="s">
        <v>183</v>
      </c>
      <c r="X3446" s="2" t="s">
        <v>309</v>
      </c>
      <c r="Y3446" s="2" t="s">
        <v>10745</v>
      </c>
      <c r="Z3446" s="4">
        <v>99</v>
      </c>
      <c r="AA3446" s="4">
        <f>=ROUNDDOWN(24.75,0)</f>
      </c>
      <c r="AB3446" s="5">
        <v>4</v>
      </c>
      <c r="AC3446" s="2" t="s">
        <v>2746</v>
      </c>
      <c r="AD3446" s="4">
        <v>50</v>
      </c>
      <c r="AE3446" s="4">
        <v>50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>
        <v>67</v>
      </c>
      <c r="BK3446" s="8">
        <v>4767.47</v>
      </c>
      <c r="BL3446" s="2" t="s">
        <v>6514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207</v>
      </c>
      <c r="BV3446" s="2" t="s">
        <v>97</v>
      </c>
      <c r="BW3446" s="2" t="s">
        <v>100</v>
      </c>
      <c r="BX3446" s="2" t="s">
        <v>100</v>
      </c>
      <c r="BY3446" s="2" t="s">
        <v>113</v>
      </c>
      <c r="BZ3446" s="2" t="s">
        <v>100</v>
      </c>
    </row>
    <row r="3447">
      <c r="A3447" s="2" t="s">
        <v>10754</v>
      </c>
      <c r="B3447" s="2" t="s">
        <v>9668</v>
      </c>
      <c r="C3447" s="2" t="s">
        <v>88</v>
      </c>
      <c r="D3447" s="2" t="s">
        <v>9669</v>
      </c>
      <c r="E3447" s="2" t="s">
        <v>9670</v>
      </c>
      <c r="F3447" s="2" t="s">
        <v>10226</v>
      </c>
      <c r="G3447" s="2" t="s">
        <v>10226</v>
      </c>
      <c r="H3447" s="2" t="s">
        <v>10226</v>
      </c>
      <c r="I3447" s="2" t="s">
        <v>10737</v>
      </c>
      <c r="J3447" s="2" t="s">
        <v>10472</v>
      </c>
      <c r="K3447" s="2" t="s">
        <v>5293</v>
      </c>
      <c r="L3447" s="3">
        <v>72.03</v>
      </c>
      <c r="M3447" s="3">
        <v>75.63</v>
      </c>
      <c r="N3447" s="3">
        <v>139.99</v>
      </c>
      <c r="O3447" s="2" t="s">
        <v>97</v>
      </c>
      <c r="P3447" s="2" t="s">
        <v>119</v>
      </c>
      <c r="Q3447" s="2" t="s">
        <v>99</v>
      </c>
      <c r="R3447" s="2" t="s">
        <v>100</v>
      </c>
      <c r="S3447" s="2" t="s">
        <v>10751</v>
      </c>
      <c r="T3447" s="2" t="s">
        <v>280</v>
      </c>
      <c r="U3447" s="2" t="s">
        <v>337</v>
      </c>
      <c r="V3447" s="2" t="s">
        <v>146</v>
      </c>
      <c r="W3447" s="2" t="s">
        <v>183</v>
      </c>
      <c r="X3447" s="2" t="s">
        <v>309</v>
      </c>
      <c r="Y3447" s="2" t="s">
        <v>10745</v>
      </c>
      <c r="Z3447" s="4">
        <v>133</v>
      </c>
      <c r="AA3447" s="4">
        <f>=ROUNDDOWN(22.1666666666667,0)</f>
      </c>
      <c r="AB3447" s="5">
        <v>6</v>
      </c>
      <c r="AC3447" s="2" t="s">
        <v>241</v>
      </c>
      <c r="AD3447" s="4">
        <v>150</v>
      </c>
      <c r="AE3447" s="4">
        <v>330</v>
      </c>
      <c r="AF3447" s="6">
        <v>65</v>
      </c>
      <c r="AG3447" s="6"/>
      <c r="AH3447" s="7">
        <v>0.5989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>
        <v>86</v>
      </c>
      <c r="BK3447" s="8">
        <v>7058.25</v>
      </c>
      <c r="BL3447" s="2" t="s">
        <v>2596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207</v>
      </c>
      <c r="BV3447" s="2" t="s">
        <v>97</v>
      </c>
      <c r="BW3447" s="2" t="s">
        <v>100</v>
      </c>
      <c r="BX3447" s="2" t="s">
        <v>100</v>
      </c>
      <c r="BY3447" s="2" t="s">
        <v>113</v>
      </c>
      <c r="BZ3447" s="2" t="s">
        <v>100</v>
      </c>
    </row>
    <row r="3448">
      <c r="A3448" s="2" t="s">
        <v>10755</v>
      </c>
      <c r="B3448" s="2" t="s">
        <v>9668</v>
      </c>
      <c r="C3448" s="2" t="s">
        <v>88</v>
      </c>
      <c r="D3448" s="2" t="s">
        <v>9669</v>
      </c>
      <c r="E3448" s="2" t="s">
        <v>9670</v>
      </c>
      <c r="F3448" s="2" t="s">
        <v>10226</v>
      </c>
      <c r="G3448" s="2" t="s">
        <v>10226</v>
      </c>
      <c r="H3448" s="2" t="s">
        <v>10226</v>
      </c>
      <c r="I3448" s="2" t="s">
        <v>10737</v>
      </c>
      <c r="J3448" s="2" t="s">
        <v>10472</v>
      </c>
      <c r="K3448" s="2" t="s">
        <v>189</v>
      </c>
      <c r="L3448" s="3">
        <v>72.03</v>
      </c>
      <c r="M3448" s="3">
        <v>75.63</v>
      </c>
      <c r="N3448" s="3">
        <v>139.99</v>
      </c>
      <c r="O3448" s="2" t="s">
        <v>97</v>
      </c>
      <c r="P3448" s="2" t="s">
        <v>119</v>
      </c>
      <c r="Q3448" s="2" t="s">
        <v>99</v>
      </c>
      <c r="R3448" s="2" t="s">
        <v>100</v>
      </c>
      <c r="S3448" s="2" t="s">
        <v>10756</v>
      </c>
      <c r="T3448" s="2" t="s">
        <v>280</v>
      </c>
      <c r="U3448" s="2" t="s">
        <v>337</v>
      </c>
      <c r="V3448" s="2" t="s">
        <v>146</v>
      </c>
      <c r="W3448" s="2" t="s">
        <v>183</v>
      </c>
      <c r="X3448" s="2" t="s">
        <v>561</v>
      </c>
      <c r="Y3448" s="2" t="s">
        <v>8938</v>
      </c>
      <c r="Z3448" s="4">
        <v>92</v>
      </c>
      <c r="AA3448" s="4">
        <f>=ROUNDDOWN(13.1428571428571,0)</f>
      </c>
      <c r="AB3448" s="5">
        <v>7</v>
      </c>
      <c r="AC3448" s="2" t="s">
        <v>241</v>
      </c>
      <c r="AD3448" s="4">
        <v>191</v>
      </c>
      <c r="AE3448" s="4">
        <v>251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>
        <v>170</v>
      </c>
      <c r="BK3448" s="8">
        <v>13984.72</v>
      </c>
      <c r="BL3448" s="2" t="s">
        <v>10757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207</v>
      </c>
      <c r="BV3448" s="2" t="s">
        <v>97</v>
      </c>
      <c r="BW3448" s="2" t="s">
        <v>100</v>
      </c>
      <c r="BX3448" s="2" t="s">
        <v>100</v>
      </c>
      <c r="BY3448" s="2" t="s">
        <v>113</v>
      </c>
      <c r="BZ3448" s="2" t="s">
        <v>100</v>
      </c>
    </row>
    <row r="3449">
      <c r="A3449" s="2" t="s">
        <v>10758</v>
      </c>
      <c r="B3449" s="2" t="s">
        <v>9668</v>
      </c>
      <c r="C3449" s="2" t="s">
        <v>88</v>
      </c>
      <c r="D3449" s="2" t="s">
        <v>4626</v>
      </c>
      <c r="E3449" s="2" t="s">
        <v>7485</v>
      </c>
      <c r="F3449" s="2" t="s">
        <v>10759</v>
      </c>
      <c r="G3449" s="2" t="s">
        <v>10759</v>
      </c>
      <c r="H3449" s="2" t="s">
        <v>10759</v>
      </c>
      <c r="I3449" s="2" t="s">
        <v>10760</v>
      </c>
      <c r="J3449" s="2" t="s">
        <v>706</v>
      </c>
      <c r="K3449" s="2" t="s">
        <v>198</v>
      </c>
      <c r="L3449" s="3">
        <v>24.36</v>
      </c>
      <c r="M3449" s="3">
        <v>25.58</v>
      </c>
      <c r="N3449" s="3">
        <v>57.99</v>
      </c>
      <c r="O3449" s="2" t="s">
        <v>97</v>
      </c>
      <c r="P3449" s="2" t="s">
        <v>119</v>
      </c>
      <c r="Q3449" s="2" t="s">
        <v>99</v>
      </c>
      <c r="R3449" s="2" t="s">
        <v>100</v>
      </c>
      <c r="S3449" s="2" t="s">
        <v>10761</v>
      </c>
      <c r="T3449" s="2" t="s">
        <v>10759</v>
      </c>
      <c r="U3449" s="2" t="s">
        <v>1847</v>
      </c>
      <c r="V3449" s="2" t="s">
        <v>146</v>
      </c>
      <c r="W3449" s="2" t="s">
        <v>183</v>
      </c>
      <c r="X3449" s="2" t="s">
        <v>561</v>
      </c>
      <c r="Y3449" s="2" t="s">
        <v>10762</v>
      </c>
      <c r="Z3449" s="4">
        <v>659</v>
      </c>
      <c r="AA3449" s="4">
        <f>=ROUNDDOWN(28.9035087719298,0)</f>
      </c>
      <c r="AB3449" s="5">
        <v>22.8</v>
      </c>
      <c r="AC3449" s="2" t="s">
        <v>2618</v>
      </c>
      <c r="AD3449" s="4">
        <v>200</v>
      </c>
      <c r="AE3449" s="4">
        <v>200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>
        <v>2</v>
      </c>
      <c r="AQ3449" s="8">
        <v>47.36</v>
      </c>
      <c r="AR3449" s="4"/>
      <c r="AS3449" s="8"/>
      <c r="AT3449" s="7"/>
      <c r="AU3449" s="7"/>
      <c r="AV3449" s="4">
        <v>2</v>
      </c>
      <c r="AW3449" s="8">
        <v>47.36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>
        <v>1</v>
      </c>
      <c r="BC3449" s="4">
        <v>4</v>
      </c>
      <c r="BD3449" s="8">
        <v>94.72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0.5</v>
      </c>
      <c r="BJ3449" s="4">
        <v>481</v>
      </c>
      <c r="BK3449" s="8">
        <v>12930.94</v>
      </c>
      <c r="BL3449" s="2" t="s">
        <v>10475</v>
      </c>
      <c r="BM3449" s="7">
        <v>0.0042</v>
      </c>
      <c r="BN3449" s="7">
        <v>0.0037</v>
      </c>
      <c r="BO3449" s="4">
        <v>2</v>
      </c>
      <c r="BP3449" s="8">
        <v>47.36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6773</v>
      </c>
      <c r="BX3449" s="2" t="s">
        <v>6762</v>
      </c>
      <c r="BY3449" s="2" t="s">
        <v>113</v>
      </c>
      <c r="BZ3449" s="2" t="s">
        <v>100</v>
      </c>
    </row>
    <row r="3450">
      <c r="A3450" s="2" t="s">
        <v>10763</v>
      </c>
      <c r="B3450" s="2" t="s">
        <v>9668</v>
      </c>
      <c r="C3450" s="2" t="s">
        <v>88</v>
      </c>
      <c r="D3450" s="2" t="s">
        <v>4626</v>
      </c>
      <c r="E3450" s="2" t="s">
        <v>7485</v>
      </c>
      <c r="F3450" s="2" t="s">
        <v>10759</v>
      </c>
      <c r="G3450" s="2" t="s">
        <v>10759</v>
      </c>
      <c r="H3450" s="2" t="s">
        <v>10759</v>
      </c>
      <c r="I3450" s="2" t="s">
        <v>10760</v>
      </c>
      <c r="J3450" s="2" t="s">
        <v>714</v>
      </c>
      <c r="K3450" s="2" t="s">
        <v>198</v>
      </c>
      <c r="L3450" s="3">
        <v>28.56</v>
      </c>
      <c r="M3450" s="3">
        <v>29.99</v>
      </c>
      <c r="N3450" s="3">
        <v>67.99</v>
      </c>
      <c r="O3450" s="2" t="s">
        <v>97</v>
      </c>
      <c r="P3450" s="2" t="s">
        <v>119</v>
      </c>
      <c r="Q3450" s="2" t="s">
        <v>99</v>
      </c>
      <c r="R3450" s="2" t="s">
        <v>100</v>
      </c>
      <c r="S3450" s="2" t="s">
        <v>10761</v>
      </c>
      <c r="T3450" s="2" t="s">
        <v>10759</v>
      </c>
      <c r="U3450" s="2" t="s">
        <v>1847</v>
      </c>
      <c r="V3450" s="2" t="s">
        <v>146</v>
      </c>
      <c r="W3450" s="2" t="s">
        <v>183</v>
      </c>
      <c r="X3450" s="2" t="s">
        <v>561</v>
      </c>
      <c r="Y3450" s="2" t="s">
        <v>10764</v>
      </c>
      <c r="Z3450" s="4">
        <v>435</v>
      </c>
      <c r="AA3450" s="4">
        <f>=ROUNDDOWN(29,0)</f>
      </c>
      <c r="AB3450" s="5">
        <v>15</v>
      </c>
      <c r="AC3450" s="2" t="s">
        <v>184</v>
      </c>
      <c r="AD3450" s="4">
        <v>200</v>
      </c>
      <c r="AE3450" s="4">
        <v>360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 t="s">
        <v>100</v>
      </c>
      <c r="BJ3450" s="4">
        <v>369</v>
      </c>
      <c r="BK3450" s="8">
        <v>11557.46</v>
      </c>
      <c r="BL3450" s="2" t="s">
        <v>10765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207</v>
      </c>
      <c r="BV3450" s="2" t="s">
        <v>97</v>
      </c>
      <c r="BW3450" s="2" t="s">
        <v>100</v>
      </c>
      <c r="BX3450" s="2" t="s">
        <v>100</v>
      </c>
      <c r="BY3450" s="2" t="s">
        <v>113</v>
      </c>
      <c r="BZ3450" s="2" t="s">
        <v>100</v>
      </c>
    </row>
    <row r="3451">
      <c r="A3451" s="2" t="s">
        <v>10766</v>
      </c>
      <c r="B3451" s="2" t="s">
        <v>9668</v>
      </c>
      <c r="C3451" s="2" t="s">
        <v>88</v>
      </c>
      <c r="D3451" s="2" t="s">
        <v>4626</v>
      </c>
      <c r="E3451" s="2" t="s">
        <v>7485</v>
      </c>
      <c r="F3451" s="2" t="s">
        <v>10759</v>
      </c>
      <c r="G3451" s="2" t="s">
        <v>10759</v>
      </c>
      <c r="H3451" s="2" t="s">
        <v>10759</v>
      </c>
      <c r="I3451" s="2" t="s">
        <v>10760</v>
      </c>
      <c r="J3451" s="2" t="s">
        <v>4631</v>
      </c>
      <c r="K3451" s="2" t="s">
        <v>198</v>
      </c>
      <c r="L3451" s="3">
        <v>22.26</v>
      </c>
      <c r="M3451" s="3">
        <v>23.37</v>
      </c>
      <c r="N3451" s="3">
        <v>52.99</v>
      </c>
      <c r="O3451" s="2" t="s">
        <v>97</v>
      </c>
      <c r="P3451" s="2" t="s">
        <v>950</v>
      </c>
      <c r="Q3451" s="2" t="s">
        <v>99</v>
      </c>
      <c r="R3451" s="2" t="s">
        <v>100</v>
      </c>
      <c r="S3451" s="2" t="s">
        <v>10761</v>
      </c>
      <c r="T3451" s="2" t="s">
        <v>10759</v>
      </c>
      <c r="U3451" s="2" t="s">
        <v>1847</v>
      </c>
      <c r="V3451" s="2" t="s">
        <v>146</v>
      </c>
      <c r="W3451" s="2" t="s">
        <v>183</v>
      </c>
      <c r="X3451" s="2" t="s">
        <v>561</v>
      </c>
      <c r="Y3451" s="2" t="s">
        <v>10764</v>
      </c>
      <c r="Z3451" s="4">
        <v>953</v>
      </c>
      <c r="AA3451" s="4">
        <f>=ROUNDDOWN(31.7666666666667,0)</f>
      </c>
      <c r="AB3451" s="5">
        <v>30</v>
      </c>
      <c r="AC3451" s="2" t="s">
        <v>184</v>
      </c>
      <c r="AD3451" s="4">
        <v>480</v>
      </c>
      <c r="AE3451" s="4">
        <v>920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 t="s">
        <v>100</v>
      </c>
      <c r="BJ3451" s="4">
        <v>711</v>
      </c>
      <c r="BK3451" s="8">
        <v>17405.52</v>
      </c>
      <c r="BL3451" s="2" t="s">
        <v>492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207</v>
      </c>
      <c r="BV3451" s="2" t="s">
        <v>97</v>
      </c>
      <c r="BW3451" s="2" t="s">
        <v>100</v>
      </c>
      <c r="BX3451" s="2" t="s">
        <v>100</v>
      </c>
      <c r="BY3451" s="2" t="s">
        <v>113</v>
      </c>
      <c r="BZ3451" s="2" t="s">
        <v>100</v>
      </c>
    </row>
    <row r="3452">
      <c r="A3452" s="2" t="s">
        <v>10767</v>
      </c>
      <c r="B3452" s="2" t="s">
        <v>9668</v>
      </c>
      <c r="C3452" s="2" t="s">
        <v>88</v>
      </c>
      <c r="D3452" s="2" t="s">
        <v>4626</v>
      </c>
      <c r="E3452" s="2" t="s">
        <v>7485</v>
      </c>
      <c r="F3452" s="2" t="s">
        <v>10759</v>
      </c>
      <c r="G3452" s="2" t="s">
        <v>10759</v>
      </c>
      <c r="H3452" s="2" t="s">
        <v>10759</v>
      </c>
      <c r="I3452" s="2" t="s">
        <v>10760</v>
      </c>
      <c r="J3452" s="2" t="s">
        <v>706</v>
      </c>
      <c r="K3452" s="2" t="s">
        <v>189</v>
      </c>
      <c r="L3452" s="3">
        <v>24.36</v>
      </c>
      <c r="M3452" s="3">
        <v>25.58</v>
      </c>
      <c r="N3452" s="3">
        <v>57.99</v>
      </c>
      <c r="O3452" s="2" t="s">
        <v>97</v>
      </c>
      <c r="P3452" s="2" t="s">
        <v>950</v>
      </c>
      <c r="Q3452" s="2" t="s">
        <v>99</v>
      </c>
      <c r="R3452" s="2" t="s">
        <v>100</v>
      </c>
      <c r="S3452" s="2" t="s">
        <v>10768</v>
      </c>
      <c r="T3452" s="2" t="s">
        <v>10759</v>
      </c>
      <c r="U3452" s="2" t="s">
        <v>1847</v>
      </c>
      <c r="V3452" s="2" t="s">
        <v>146</v>
      </c>
      <c r="W3452" s="2" t="s">
        <v>183</v>
      </c>
      <c r="X3452" s="2" t="s">
        <v>561</v>
      </c>
      <c r="Y3452" s="2" t="s">
        <v>10762</v>
      </c>
      <c r="Z3452" s="4">
        <v>641</v>
      </c>
      <c r="AA3452" s="4">
        <f>=ROUNDDOWN(26.7083333333333,0)</f>
      </c>
      <c r="AB3452" s="5">
        <v>24</v>
      </c>
      <c r="AC3452" s="2" t="s">
        <v>184</v>
      </c>
      <c r="AD3452" s="4">
        <v>240</v>
      </c>
      <c r="AE3452" s="4">
        <v>400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>
        <v>2</v>
      </c>
      <c r="AQ3452" s="8">
        <v>47.36</v>
      </c>
      <c r="AR3452" s="4"/>
      <c r="AS3452" s="8"/>
      <c r="AT3452" s="7"/>
      <c r="AU3452" s="7"/>
      <c r="AV3452" s="4">
        <v>2</v>
      </c>
      <c r="AW3452" s="8">
        <v>47.36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>
        <v>1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0.5</v>
      </c>
      <c r="BJ3452" s="4">
        <v>537</v>
      </c>
      <c r="BK3452" s="8">
        <v>14541.5</v>
      </c>
      <c r="BL3452" s="2" t="s">
        <v>10652</v>
      </c>
      <c r="BM3452" s="7">
        <v>0.0037</v>
      </c>
      <c r="BN3452" s="7">
        <v>0.0033</v>
      </c>
      <c r="BO3452" s="4">
        <v>2</v>
      </c>
      <c r="BP3452" s="8">
        <v>47.36</v>
      </c>
      <c r="BQ3452" s="4"/>
      <c r="BR3452" s="8"/>
      <c r="BS3452" s="7"/>
      <c r="BT3452" s="7"/>
      <c r="BU3452" s="2" t="s">
        <v>109</v>
      </c>
      <c r="BV3452" s="2" t="s">
        <v>110</v>
      </c>
      <c r="BW3452" s="2" t="s">
        <v>10769</v>
      </c>
      <c r="BX3452" s="2" t="s">
        <v>10770</v>
      </c>
      <c r="BY3452" s="2" t="s">
        <v>113</v>
      </c>
      <c r="BZ3452" s="2" t="s">
        <v>100</v>
      </c>
    </row>
    <row r="3453">
      <c r="A3453" s="2" t="s">
        <v>10771</v>
      </c>
      <c r="B3453" s="2" t="s">
        <v>9668</v>
      </c>
      <c r="C3453" s="2" t="s">
        <v>88</v>
      </c>
      <c r="D3453" s="2" t="s">
        <v>4626</v>
      </c>
      <c r="E3453" s="2" t="s">
        <v>7485</v>
      </c>
      <c r="F3453" s="2" t="s">
        <v>10759</v>
      </c>
      <c r="G3453" s="2" t="s">
        <v>10759</v>
      </c>
      <c r="H3453" s="2" t="s">
        <v>10759</v>
      </c>
      <c r="I3453" s="2" t="s">
        <v>10760</v>
      </c>
      <c r="J3453" s="2" t="s">
        <v>714</v>
      </c>
      <c r="K3453" s="2" t="s">
        <v>189</v>
      </c>
      <c r="L3453" s="3">
        <v>28.56</v>
      </c>
      <c r="M3453" s="3">
        <v>29.99</v>
      </c>
      <c r="N3453" s="3">
        <v>67.99</v>
      </c>
      <c r="O3453" s="2" t="s">
        <v>97</v>
      </c>
      <c r="P3453" s="2" t="s">
        <v>950</v>
      </c>
      <c r="Q3453" s="2" t="s">
        <v>99</v>
      </c>
      <c r="R3453" s="2" t="s">
        <v>100</v>
      </c>
      <c r="S3453" s="2" t="s">
        <v>10768</v>
      </c>
      <c r="T3453" s="2" t="s">
        <v>10759</v>
      </c>
      <c r="U3453" s="2" t="s">
        <v>1847</v>
      </c>
      <c r="V3453" s="2" t="s">
        <v>146</v>
      </c>
      <c r="W3453" s="2" t="s">
        <v>183</v>
      </c>
      <c r="X3453" s="2" t="s">
        <v>561</v>
      </c>
      <c r="Y3453" s="2" t="s">
        <v>10764</v>
      </c>
      <c r="Z3453" s="4">
        <v>627</v>
      </c>
      <c r="AA3453" s="4">
        <f>=ROUNDDOWN(31.35,0)</f>
      </c>
      <c r="AB3453" s="5">
        <v>20</v>
      </c>
      <c r="AC3453" s="2" t="s">
        <v>184</v>
      </c>
      <c r="AD3453" s="4">
        <v>240</v>
      </c>
      <c r="AE3453" s="4">
        <v>400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 t="s">
        <v>100</v>
      </c>
      <c r="BJ3453" s="4">
        <v>521</v>
      </c>
      <c r="BK3453" s="8">
        <v>16417.01</v>
      </c>
      <c r="BL3453" s="2" t="s">
        <v>1300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207</v>
      </c>
      <c r="BV3453" s="2" t="s">
        <v>97</v>
      </c>
      <c r="BW3453" s="2" t="s">
        <v>100</v>
      </c>
      <c r="BX3453" s="2" t="s">
        <v>100</v>
      </c>
      <c r="BY3453" s="2" t="s">
        <v>113</v>
      </c>
      <c r="BZ3453" s="2" t="s">
        <v>100</v>
      </c>
    </row>
    <row r="3454">
      <c r="A3454" s="2" t="s">
        <v>10772</v>
      </c>
      <c r="B3454" s="2" t="s">
        <v>9668</v>
      </c>
      <c r="C3454" s="2" t="s">
        <v>88</v>
      </c>
      <c r="D3454" s="2" t="s">
        <v>4626</v>
      </c>
      <c r="E3454" s="2" t="s">
        <v>7485</v>
      </c>
      <c r="F3454" s="2" t="s">
        <v>10759</v>
      </c>
      <c r="G3454" s="2" t="s">
        <v>10759</v>
      </c>
      <c r="H3454" s="2" t="s">
        <v>10759</v>
      </c>
      <c r="I3454" s="2" t="s">
        <v>10760</v>
      </c>
      <c r="J3454" s="2" t="s">
        <v>4631</v>
      </c>
      <c r="K3454" s="2" t="s">
        <v>189</v>
      </c>
      <c r="L3454" s="3">
        <v>22.26</v>
      </c>
      <c r="M3454" s="3">
        <v>23.37</v>
      </c>
      <c r="N3454" s="3">
        <v>52.99</v>
      </c>
      <c r="O3454" s="2" t="s">
        <v>97</v>
      </c>
      <c r="P3454" s="2" t="s">
        <v>950</v>
      </c>
      <c r="Q3454" s="2" t="s">
        <v>99</v>
      </c>
      <c r="R3454" s="2" t="s">
        <v>100</v>
      </c>
      <c r="S3454" s="2" t="s">
        <v>10768</v>
      </c>
      <c r="T3454" s="2" t="s">
        <v>10759</v>
      </c>
      <c r="U3454" s="2" t="s">
        <v>1847</v>
      </c>
      <c r="V3454" s="2" t="s">
        <v>146</v>
      </c>
      <c r="W3454" s="2" t="s">
        <v>183</v>
      </c>
      <c r="X3454" s="2" t="s">
        <v>561</v>
      </c>
      <c r="Y3454" s="2" t="s">
        <v>10764</v>
      </c>
      <c r="Z3454" s="4">
        <v>1170</v>
      </c>
      <c r="AA3454" s="4">
        <f>=ROUNDDOWN(32.8651685393258,0)</f>
      </c>
      <c r="AB3454" s="5">
        <v>35.6</v>
      </c>
      <c r="AC3454" s="2" t="s">
        <v>184</v>
      </c>
      <c r="AD3454" s="4">
        <v>360</v>
      </c>
      <c r="AE3454" s="4">
        <v>840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 t="s">
        <v>100</v>
      </c>
      <c r="BJ3454" s="4">
        <v>713</v>
      </c>
      <c r="BK3454" s="8">
        <v>17438.96</v>
      </c>
      <c r="BL3454" s="2" t="s">
        <v>10654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207</v>
      </c>
      <c r="BV3454" s="2" t="s">
        <v>97</v>
      </c>
      <c r="BW3454" s="2" t="s">
        <v>100</v>
      </c>
      <c r="BX3454" s="2" t="s">
        <v>100</v>
      </c>
      <c r="BY3454" s="2" t="s">
        <v>113</v>
      </c>
      <c r="BZ3454" s="2" t="s">
        <v>100</v>
      </c>
    </row>
    <row r="3455">
      <c r="A3455" s="2" t="s">
        <v>10773</v>
      </c>
      <c r="B3455" s="2" t="s">
        <v>9668</v>
      </c>
      <c r="C3455" s="2" t="s">
        <v>88</v>
      </c>
      <c r="D3455" s="2" t="s">
        <v>4626</v>
      </c>
      <c r="E3455" s="2" t="s">
        <v>7485</v>
      </c>
      <c r="F3455" s="2" t="s">
        <v>10759</v>
      </c>
      <c r="G3455" s="2" t="s">
        <v>10759</v>
      </c>
      <c r="H3455" s="2" t="s">
        <v>10759</v>
      </c>
      <c r="I3455" s="2" t="s">
        <v>10760</v>
      </c>
      <c r="J3455" s="2" t="s">
        <v>706</v>
      </c>
      <c r="K3455" s="2" t="s">
        <v>335</v>
      </c>
      <c r="L3455" s="3">
        <v>24.36</v>
      </c>
      <c r="M3455" s="3">
        <v>25.58</v>
      </c>
      <c r="N3455" s="3">
        <v>57.99</v>
      </c>
      <c r="O3455" s="2" t="s">
        <v>97</v>
      </c>
      <c r="P3455" s="2" t="s">
        <v>119</v>
      </c>
      <c r="Q3455" s="2" t="s">
        <v>99</v>
      </c>
      <c r="R3455" s="2" t="s">
        <v>100</v>
      </c>
      <c r="S3455" s="2" t="s">
        <v>10774</v>
      </c>
      <c r="T3455" s="2" t="s">
        <v>10759</v>
      </c>
      <c r="U3455" s="2" t="s">
        <v>1847</v>
      </c>
      <c r="V3455" s="2" t="s">
        <v>146</v>
      </c>
      <c r="W3455" s="2" t="s">
        <v>673</v>
      </c>
      <c r="X3455" s="2" t="s">
        <v>183</v>
      </c>
      <c r="Y3455" s="2" t="s">
        <v>10775</v>
      </c>
      <c r="Z3455" s="4">
        <v>820</v>
      </c>
      <c r="AA3455" s="4">
        <f>=ROUNDDOWN(68.3333333333333,0)</f>
      </c>
      <c r="AB3455" s="5">
        <v>12</v>
      </c>
      <c r="AC3455" s="2" t="s">
        <v>100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 t="s">
        <v>100</v>
      </c>
      <c r="BJ3455" s="4">
        <v>242</v>
      </c>
      <c r="BK3455" s="8">
        <v>6563.17</v>
      </c>
      <c r="BL3455" s="2" t="s">
        <v>492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207</v>
      </c>
      <c r="BV3455" s="2" t="s">
        <v>97</v>
      </c>
      <c r="BW3455" s="2" t="s">
        <v>100</v>
      </c>
      <c r="BX3455" s="2" t="s">
        <v>100</v>
      </c>
      <c r="BY3455" s="2" t="s">
        <v>113</v>
      </c>
      <c r="BZ3455" s="2" t="s">
        <v>100</v>
      </c>
    </row>
    <row r="3456">
      <c r="A3456" s="2" t="s">
        <v>10776</v>
      </c>
      <c r="B3456" s="2" t="s">
        <v>9668</v>
      </c>
      <c r="C3456" s="2" t="s">
        <v>88</v>
      </c>
      <c r="D3456" s="2" t="s">
        <v>4626</v>
      </c>
      <c r="E3456" s="2" t="s">
        <v>7485</v>
      </c>
      <c r="F3456" s="2" t="s">
        <v>10759</v>
      </c>
      <c r="G3456" s="2" t="s">
        <v>10759</v>
      </c>
      <c r="H3456" s="2" t="s">
        <v>10759</v>
      </c>
      <c r="I3456" s="2" t="s">
        <v>10760</v>
      </c>
      <c r="J3456" s="2" t="s">
        <v>714</v>
      </c>
      <c r="K3456" s="2" t="s">
        <v>335</v>
      </c>
      <c r="L3456" s="3">
        <v>28.56</v>
      </c>
      <c r="M3456" s="3">
        <v>29.99</v>
      </c>
      <c r="N3456" s="3">
        <v>67.99</v>
      </c>
      <c r="O3456" s="2" t="s">
        <v>97</v>
      </c>
      <c r="P3456" s="2" t="s">
        <v>119</v>
      </c>
      <c r="Q3456" s="2" t="s">
        <v>99</v>
      </c>
      <c r="R3456" s="2" t="s">
        <v>100</v>
      </c>
      <c r="S3456" s="2" t="s">
        <v>10774</v>
      </c>
      <c r="T3456" s="2" t="s">
        <v>10759</v>
      </c>
      <c r="U3456" s="2" t="s">
        <v>1847</v>
      </c>
      <c r="V3456" s="2" t="s">
        <v>146</v>
      </c>
      <c r="W3456" s="2" t="s">
        <v>673</v>
      </c>
      <c r="X3456" s="2" t="s">
        <v>183</v>
      </c>
      <c r="Y3456" s="2" t="s">
        <v>10775</v>
      </c>
      <c r="Z3456" s="4">
        <v>449</v>
      </c>
      <c r="AA3456" s="4">
        <f>=ROUNDDOWN(49.8888888888889,0)</f>
      </c>
      <c r="AB3456" s="5">
        <v>9</v>
      </c>
      <c r="AC3456" s="2" t="s">
        <v>100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 t="s">
        <v>100</v>
      </c>
      <c r="BJ3456" s="4">
        <v>213</v>
      </c>
      <c r="BK3456" s="8">
        <v>6727.74</v>
      </c>
      <c r="BL3456" s="2" t="s">
        <v>1839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207</v>
      </c>
      <c r="BV3456" s="2" t="s">
        <v>97</v>
      </c>
      <c r="BW3456" s="2" t="s">
        <v>100</v>
      </c>
      <c r="BX3456" s="2" t="s">
        <v>100</v>
      </c>
      <c r="BY3456" s="2" t="s">
        <v>113</v>
      </c>
      <c r="BZ3456" s="2" t="s">
        <v>100</v>
      </c>
    </row>
    <row r="3457">
      <c r="A3457" s="2" t="s">
        <v>10777</v>
      </c>
      <c r="B3457" s="2" t="s">
        <v>9668</v>
      </c>
      <c r="C3457" s="2" t="s">
        <v>88</v>
      </c>
      <c r="D3457" s="2" t="s">
        <v>4626</v>
      </c>
      <c r="E3457" s="2" t="s">
        <v>7485</v>
      </c>
      <c r="F3457" s="2" t="s">
        <v>10759</v>
      </c>
      <c r="G3457" s="2" t="s">
        <v>10759</v>
      </c>
      <c r="H3457" s="2" t="s">
        <v>10759</v>
      </c>
      <c r="I3457" s="2" t="s">
        <v>10760</v>
      </c>
      <c r="J3457" s="2" t="s">
        <v>4631</v>
      </c>
      <c r="K3457" s="2" t="s">
        <v>335</v>
      </c>
      <c r="L3457" s="3">
        <v>22.26</v>
      </c>
      <c r="M3457" s="3">
        <v>23.37</v>
      </c>
      <c r="N3457" s="3">
        <v>52.99</v>
      </c>
      <c r="O3457" s="2" t="s">
        <v>97</v>
      </c>
      <c r="P3457" s="2" t="s">
        <v>119</v>
      </c>
      <c r="Q3457" s="2" t="s">
        <v>99</v>
      </c>
      <c r="R3457" s="2" t="s">
        <v>100</v>
      </c>
      <c r="S3457" s="2" t="s">
        <v>10774</v>
      </c>
      <c r="T3457" s="2" t="s">
        <v>10759</v>
      </c>
      <c r="U3457" s="2" t="s">
        <v>1847</v>
      </c>
      <c r="V3457" s="2" t="s">
        <v>146</v>
      </c>
      <c r="W3457" s="2" t="s">
        <v>673</v>
      </c>
      <c r="X3457" s="2" t="s">
        <v>183</v>
      </c>
      <c r="Y3457" s="2" t="s">
        <v>10778</v>
      </c>
      <c r="Z3457" s="4">
        <v>397</v>
      </c>
      <c r="AA3457" s="4">
        <f>=ROUNDDOWN(36.0909090909091,0)</f>
      </c>
      <c r="AB3457" s="5">
        <v>11</v>
      </c>
      <c r="AC3457" s="2" t="s">
        <v>205</v>
      </c>
      <c r="AD3457" s="4">
        <v>400</v>
      </c>
      <c r="AE3457" s="4">
        <v>400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 t="s">
        <v>100</v>
      </c>
      <c r="BJ3457" s="4">
        <v>229</v>
      </c>
      <c r="BK3457" s="8">
        <v>5632.12</v>
      </c>
      <c r="BL3457" s="2" t="s">
        <v>492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207</v>
      </c>
      <c r="BV3457" s="2" t="s">
        <v>97</v>
      </c>
      <c r="BW3457" s="2" t="s">
        <v>100</v>
      </c>
      <c r="BX3457" s="2" t="s">
        <v>100</v>
      </c>
      <c r="BY3457" s="2" t="s">
        <v>113</v>
      </c>
      <c r="BZ3457" s="2" t="s">
        <v>100</v>
      </c>
    </row>
    <row r="3458">
      <c r="A3458" s="2" t="s">
        <v>10779</v>
      </c>
      <c r="B3458" s="2" t="s">
        <v>9668</v>
      </c>
      <c r="C3458" s="2" t="s">
        <v>88</v>
      </c>
      <c r="D3458" s="2" t="s">
        <v>4626</v>
      </c>
      <c r="E3458" s="2" t="s">
        <v>7485</v>
      </c>
      <c r="F3458" s="2" t="s">
        <v>10759</v>
      </c>
      <c r="G3458" s="2" t="s">
        <v>10759</v>
      </c>
      <c r="H3458" s="2" t="s">
        <v>10759</v>
      </c>
      <c r="I3458" s="2" t="s">
        <v>10760</v>
      </c>
      <c r="J3458" s="2" t="s">
        <v>706</v>
      </c>
      <c r="K3458" s="2" t="s">
        <v>1614</v>
      </c>
      <c r="L3458" s="3">
        <v>24.36</v>
      </c>
      <c r="M3458" s="3">
        <v>25.58</v>
      </c>
      <c r="N3458" s="3">
        <v>57.99</v>
      </c>
      <c r="O3458" s="2" t="s">
        <v>97</v>
      </c>
      <c r="P3458" s="2" t="s">
        <v>950</v>
      </c>
      <c r="Q3458" s="2" t="s">
        <v>99</v>
      </c>
      <c r="R3458" s="2" t="s">
        <v>100</v>
      </c>
      <c r="S3458" s="2" t="s">
        <v>10780</v>
      </c>
      <c r="T3458" s="2" t="s">
        <v>10759</v>
      </c>
      <c r="U3458" s="2" t="s">
        <v>1847</v>
      </c>
      <c r="V3458" s="2" t="s">
        <v>146</v>
      </c>
      <c r="W3458" s="2" t="s">
        <v>183</v>
      </c>
      <c r="X3458" s="2" t="s">
        <v>561</v>
      </c>
      <c r="Y3458" s="2" t="s">
        <v>10762</v>
      </c>
      <c r="Z3458" s="4">
        <v>511</v>
      </c>
      <c r="AA3458" s="4">
        <f>=ROUNDDOWN(22.2173913043478,0)</f>
      </c>
      <c r="AB3458" s="5">
        <v>23</v>
      </c>
      <c r="AC3458" s="2" t="s">
        <v>184</v>
      </c>
      <c r="AD3458" s="4">
        <v>160</v>
      </c>
      <c r="AE3458" s="4">
        <v>280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 t="s">
        <v>100</v>
      </c>
      <c r="BJ3458" s="4">
        <v>499</v>
      </c>
      <c r="BK3458" s="8">
        <v>13457.36</v>
      </c>
      <c r="BL3458" s="2" t="s">
        <v>492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10781</v>
      </c>
      <c r="BX3458" s="2" t="s">
        <v>10782</v>
      </c>
      <c r="BY3458" s="2" t="s">
        <v>113</v>
      </c>
      <c r="BZ3458" s="2" t="s">
        <v>100</v>
      </c>
    </row>
    <row r="3459">
      <c r="A3459" s="2" t="s">
        <v>10783</v>
      </c>
      <c r="B3459" s="2" t="s">
        <v>9668</v>
      </c>
      <c r="C3459" s="2" t="s">
        <v>88</v>
      </c>
      <c r="D3459" s="2" t="s">
        <v>4626</v>
      </c>
      <c r="E3459" s="2" t="s">
        <v>7485</v>
      </c>
      <c r="F3459" s="2" t="s">
        <v>10759</v>
      </c>
      <c r="G3459" s="2" t="s">
        <v>10759</v>
      </c>
      <c r="H3459" s="2" t="s">
        <v>10759</v>
      </c>
      <c r="I3459" s="2" t="s">
        <v>10760</v>
      </c>
      <c r="J3459" s="2" t="s">
        <v>714</v>
      </c>
      <c r="K3459" s="2" t="s">
        <v>1614</v>
      </c>
      <c r="L3459" s="3">
        <v>28.56</v>
      </c>
      <c r="M3459" s="3">
        <v>29.99</v>
      </c>
      <c r="N3459" s="3">
        <v>67.99</v>
      </c>
      <c r="O3459" s="2" t="s">
        <v>97</v>
      </c>
      <c r="P3459" s="2" t="s">
        <v>98</v>
      </c>
      <c r="Q3459" s="2" t="s">
        <v>99</v>
      </c>
      <c r="R3459" s="2" t="s">
        <v>100</v>
      </c>
      <c r="S3459" s="2" t="s">
        <v>10780</v>
      </c>
      <c r="T3459" s="2" t="s">
        <v>10759</v>
      </c>
      <c r="U3459" s="2" t="s">
        <v>1847</v>
      </c>
      <c r="V3459" s="2" t="s">
        <v>146</v>
      </c>
      <c r="W3459" s="2" t="s">
        <v>183</v>
      </c>
      <c r="X3459" s="2" t="s">
        <v>561</v>
      </c>
      <c r="Y3459" s="2" t="s">
        <v>10764</v>
      </c>
      <c r="Z3459" s="4">
        <v>331</v>
      </c>
      <c r="AA3459" s="4">
        <f>=ROUNDDOWN(16.55,0)</f>
      </c>
      <c r="AB3459" s="5">
        <v>20</v>
      </c>
      <c r="AC3459" s="2" t="s">
        <v>184</v>
      </c>
      <c r="AD3459" s="4">
        <v>320</v>
      </c>
      <c r="AE3459" s="4">
        <v>640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 t="s">
        <v>100</v>
      </c>
      <c r="BJ3459" s="4">
        <v>398</v>
      </c>
      <c r="BK3459" s="8">
        <v>12593.94</v>
      </c>
      <c r="BL3459" s="2" t="s">
        <v>492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207</v>
      </c>
      <c r="BV3459" s="2" t="s">
        <v>97</v>
      </c>
      <c r="BW3459" s="2" t="s">
        <v>100</v>
      </c>
      <c r="BX3459" s="2" t="s">
        <v>100</v>
      </c>
      <c r="BY3459" s="2" t="s">
        <v>113</v>
      </c>
      <c r="BZ3459" s="2" t="s">
        <v>100</v>
      </c>
    </row>
    <row r="3460">
      <c r="A3460" s="2" t="s">
        <v>10784</v>
      </c>
      <c r="B3460" s="2" t="s">
        <v>9668</v>
      </c>
      <c r="C3460" s="2" t="s">
        <v>88</v>
      </c>
      <c r="D3460" s="2" t="s">
        <v>4626</v>
      </c>
      <c r="E3460" s="2" t="s">
        <v>7485</v>
      </c>
      <c r="F3460" s="2" t="s">
        <v>10759</v>
      </c>
      <c r="G3460" s="2" t="s">
        <v>10759</v>
      </c>
      <c r="H3460" s="2" t="s">
        <v>10759</v>
      </c>
      <c r="I3460" s="2" t="s">
        <v>10760</v>
      </c>
      <c r="J3460" s="2" t="s">
        <v>4631</v>
      </c>
      <c r="K3460" s="2" t="s">
        <v>1614</v>
      </c>
      <c r="L3460" s="3">
        <v>22.26</v>
      </c>
      <c r="M3460" s="3">
        <v>23.37</v>
      </c>
      <c r="N3460" s="3">
        <v>52.99</v>
      </c>
      <c r="O3460" s="2" t="s">
        <v>97</v>
      </c>
      <c r="P3460" s="2" t="s">
        <v>950</v>
      </c>
      <c r="Q3460" s="2" t="s">
        <v>99</v>
      </c>
      <c r="R3460" s="2" t="s">
        <v>100</v>
      </c>
      <c r="S3460" s="2" t="s">
        <v>10780</v>
      </c>
      <c r="T3460" s="2" t="s">
        <v>10759</v>
      </c>
      <c r="U3460" s="2" t="s">
        <v>1847</v>
      </c>
      <c r="V3460" s="2" t="s">
        <v>146</v>
      </c>
      <c r="W3460" s="2" t="s">
        <v>183</v>
      </c>
      <c r="X3460" s="2" t="s">
        <v>561</v>
      </c>
      <c r="Y3460" s="2" t="s">
        <v>10764</v>
      </c>
      <c r="Z3460" s="4">
        <v>794</v>
      </c>
      <c r="AA3460" s="4">
        <f>=ROUNDDOWN(26.4666666666667,0)</f>
      </c>
      <c r="AB3460" s="5">
        <v>30</v>
      </c>
      <c r="AC3460" s="2" t="s">
        <v>184</v>
      </c>
      <c r="AD3460" s="4">
        <v>880</v>
      </c>
      <c r="AE3460" s="4">
        <v>1520</v>
      </c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 t="s">
        <v>100</v>
      </c>
      <c r="BJ3460" s="4">
        <v>760</v>
      </c>
      <c r="BK3460" s="8">
        <v>18644.93</v>
      </c>
      <c r="BL3460" s="2" t="s">
        <v>492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207</v>
      </c>
      <c r="BV3460" s="2" t="s">
        <v>97</v>
      </c>
      <c r="BW3460" s="2" t="s">
        <v>100</v>
      </c>
      <c r="BX3460" s="2" t="s">
        <v>100</v>
      </c>
      <c r="BY3460" s="2" t="s">
        <v>113</v>
      </c>
      <c r="BZ3460" s="2" t="s">
        <v>100</v>
      </c>
    </row>
    <row r="3461">
      <c r="A3461" s="2" t="s">
        <v>10785</v>
      </c>
      <c r="B3461" s="2" t="s">
        <v>9668</v>
      </c>
      <c r="C3461" s="2" t="s">
        <v>88</v>
      </c>
      <c r="D3461" s="2" t="s">
        <v>4626</v>
      </c>
      <c r="E3461" s="2" t="s">
        <v>7485</v>
      </c>
      <c r="F3461" s="2" t="s">
        <v>10759</v>
      </c>
      <c r="G3461" s="2" t="s">
        <v>10759</v>
      </c>
      <c r="H3461" s="2" t="s">
        <v>10759</v>
      </c>
      <c r="I3461" s="2" t="s">
        <v>10760</v>
      </c>
      <c r="J3461" s="2" t="s">
        <v>706</v>
      </c>
      <c r="K3461" s="2" t="s">
        <v>3560</v>
      </c>
      <c r="L3461" s="3">
        <v>24.36</v>
      </c>
      <c r="M3461" s="3">
        <v>25.58</v>
      </c>
      <c r="N3461" s="3">
        <v>57.99</v>
      </c>
      <c r="O3461" s="2" t="s">
        <v>97</v>
      </c>
      <c r="P3461" s="2" t="s">
        <v>119</v>
      </c>
      <c r="Q3461" s="2" t="s">
        <v>99</v>
      </c>
      <c r="R3461" s="2" t="s">
        <v>100</v>
      </c>
      <c r="S3461" s="2" t="s">
        <v>10786</v>
      </c>
      <c r="T3461" s="2" t="s">
        <v>10759</v>
      </c>
      <c r="U3461" s="2" t="s">
        <v>1847</v>
      </c>
      <c r="V3461" s="2" t="s">
        <v>146</v>
      </c>
      <c r="W3461" s="2" t="s">
        <v>183</v>
      </c>
      <c r="X3461" s="2" t="s">
        <v>561</v>
      </c>
      <c r="Y3461" s="2" t="s">
        <v>10762</v>
      </c>
      <c r="Z3461" s="4">
        <v>191</v>
      </c>
      <c r="AA3461" s="4">
        <f>=ROUNDDOWN(14.6923076923077,0)</f>
      </c>
      <c r="AB3461" s="5">
        <v>13</v>
      </c>
      <c r="AC3461" s="2" t="s">
        <v>184</v>
      </c>
      <c r="AD3461" s="4">
        <v>120</v>
      </c>
      <c r="AE3461" s="4">
        <v>320</v>
      </c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 t="s">
        <v>100</v>
      </c>
      <c r="BJ3461" s="4">
        <v>315</v>
      </c>
      <c r="BK3461" s="8">
        <v>8452.69</v>
      </c>
      <c r="BL3461" s="2" t="s">
        <v>492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6773</v>
      </c>
      <c r="BX3461" s="2" t="s">
        <v>4352</v>
      </c>
      <c r="BY3461" s="2" t="s">
        <v>113</v>
      </c>
      <c r="BZ3461" s="2" t="s">
        <v>100</v>
      </c>
    </row>
    <row r="3462">
      <c r="A3462" s="2" t="s">
        <v>10787</v>
      </c>
      <c r="B3462" s="2" t="s">
        <v>9668</v>
      </c>
      <c r="C3462" s="2" t="s">
        <v>88</v>
      </c>
      <c r="D3462" s="2" t="s">
        <v>4626</v>
      </c>
      <c r="E3462" s="2" t="s">
        <v>7485</v>
      </c>
      <c r="F3462" s="2" t="s">
        <v>10759</v>
      </c>
      <c r="G3462" s="2" t="s">
        <v>10759</v>
      </c>
      <c r="H3462" s="2" t="s">
        <v>10759</v>
      </c>
      <c r="I3462" s="2" t="s">
        <v>10760</v>
      </c>
      <c r="J3462" s="2" t="s">
        <v>714</v>
      </c>
      <c r="K3462" s="2" t="s">
        <v>3560</v>
      </c>
      <c r="L3462" s="3">
        <v>28.56</v>
      </c>
      <c r="M3462" s="3">
        <v>29.99</v>
      </c>
      <c r="N3462" s="3">
        <v>67.99</v>
      </c>
      <c r="O3462" s="2" t="s">
        <v>97</v>
      </c>
      <c r="P3462" s="2" t="s">
        <v>119</v>
      </c>
      <c r="Q3462" s="2" t="s">
        <v>99</v>
      </c>
      <c r="R3462" s="2" t="s">
        <v>100</v>
      </c>
      <c r="S3462" s="2" t="s">
        <v>10786</v>
      </c>
      <c r="T3462" s="2" t="s">
        <v>10759</v>
      </c>
      <c r="U3462" s="2" t="s">
        <v>1847</v>
      </c>
      <c r="V3462" s="2" t="s">
        <v>146</v>
      </c>
      <c r="W3462" s="2" t="s">
        <v>183</v>
      </c>
      <c r="X3462" s="2" t="s">
        <v>561</v>
      </c>
      <c r="Y3462" s="2" t="s">
        <v>10764</v>
      </c>
      <c r="Z3462" s="4">
        <v>206</v>
      </c>
      <c r="AA3462" s="4">
        <f>=ROUNDDOWN(25.75,0)</f>
      </c>
      <c r="AB3462" s="5">
        <v>8</v>
      </c>
      <c r="AC3462" s="2" t="s">
        <v>184</v>
      </c>
      <c r="AD3462" s="4">
        <v>40</v>
      </c>
      <c r="AE3462" s="4">
        <v>240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 t="s">
        <v>100</v>
      </c>
      <c r="BJ3462" s="4">
        <v>191</v>
      </c>
      <c r="BK3462" s="8">
        <v>5970.68</v>
      </c>
      <c r="BL3462" s="2" t="s">
        <v>492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207</v>
      </c>
      <c r="BV3462" s="2" t="s">
        <v>97</v>
      </c>
      <c r="BW3462" s="2" t="s">
        <v>100</v>
      </c>
      <c r="BX3462" s="2" t="s">
        <v>100</v>
      </c>
      <c r="BY3462" s="2" t="s">
        <v>113</v>
      </c>
      <c r="BZ3462" s="2" t="s">
        <v>100</v>
      </c>
    </row>
    <row r="3463">
      <c r="A3463" s="2" t="s">
        <v>10788</v>
      </c>
      <c r="B3463" s="2" t="s">
        <v>9668</v>
      </c>
      <c r="C3463" s="2" t="s">
        <v>88</v>
      </c>
      <c r="D3463" s="2" t="s">
        <v>4626</v>
      </c>
      <c r="E3463" s="2" t="s">
        <v>7485</v>
      </c>
      <c r="F3463" s="2" t="s">
        <v>10759</v>
      </c>
      <c r="G3463" s="2" t="s">
        <v>10759</v>
      </c>
      <c r="H3463" s="2" t="s">
        <v>10759</v>
      </c>
      <c r="I3463" s="2" t="s">
        <v>10760</v>
      </c>
      <c r="J3463" s="2" t="s">
        <v>4631</v>
      </c>
      <c r="K3463" s="2" t="s">
        <v>3560</v>
      </c>
      <c r="L3463" s="3">
        <v>22.26</v>
      </c>
      <c r="M3463" s="3">
        <v>23.37</v>
      </c>
      <c r="N3463" s="3">
        <v>52.99</v>
      </c>
      <c r="O3463" s="2" t="s">
        <v>97</v>
      </c>
      <c r="P3463" s="2" t="s">
        <v>119</v>
      </c>
      <c r="Q3463" s="2" t="s">
        <v>99</v>
      </c>
      <c r="R3463" s="2" t="s">
        <v>100</v>
      </c>
      <c r="S3463" s="2" t="s">
        <v>10786</v>
      </c>
      <c r="T3463" s="2" t="s">
        <v>10759</v>
      </c>
      <c r="U3463" s="2" t="s">
        <v>1847</v>
      </c>
      <c r="V3463" s="2" t="s">
        <v>146</v>
      </c>
      <c r="W3463" s="2" t="s">
        <v>183</v>
      </c>
      <c r="X3463" s="2" t="s">
        <v>561</v>
      </c>
      <c r="Y3463" s="2" t="s">
        <v>10764</v>
      </c>
      <c r="Z3463" s="4">
        <v>523</v>
      </c>
      <c r="AA3463" s="4">
        <f>=ROUNDDOWN(24.9047619047619,0)</f>
      </c>
      <c r="AB3463" s="5">
        <v>21</v>
      </c>
      <c r="AC3463" s="2" t="s">
        <v>184</v>
      </c>
      <c r="AD3463" s="4">
        <v>280</v>
      </c>
      <c r="AE3463" s="4">
        <v>680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 t="s">
        <v>100</v>
      </c>
      <c r="BJ3463" s="4">
        <v>442</v>
      </c>
      <c r="BK3463" s="8">
        <v>10813.87</v>
      </c>
      <c r="BL3463" s="2" t="s">
        <v>492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207</v>
      </c>
      <c r="BV3463" s="2" t="s">
        <v>97</v>
      </c>
      <c r="BW3463" s="2" t="s">
        <v>100</v>
      </c>
      <c r="BX3463" s="2" t="s">
        <v>100</v>
      </c>
      <c r="BY3463" s="2" t="s">
        <v>113</v>
      </c>
      <c r="BZ3463" s="2" t="s">
        <v>100</v>
      </c>
    </row>
    <row r="3464">
      <c r="A3464" s="2" t="s">
        <v>10789</v>
      </c>
      <c r="B3464" s="2" t="s">
        <v>9668</v>
      </c>
      <c r="C3464" s="2" t="s">
        <v>3934</v>
      </c>
      <c r="D3464" s="2" t="s">
        <v>9669</v>
      </c>
      <c r="E3464" s="2" t="s">
        <v>9670</v>
      </c>
      <c r="F3464" s="2" t="s">
        <v>10790</v>
      </c>
      <c r="G3464" s="2" t="s">
        <v>10790</v>
      </c>
      <c r="H3464" s="2" t="s">
        <v>10790</v>
      </c>
      <c r="I3464" s="2" t="s">
        <v>10791</v>
      </c>
      <c r="J3464" s="2" t="s">
        <v>1936</v>
      </c>
      <c r="K3464" s="2" t="s">
        <v>10792</v>
      </c>
      <c r="L3464" s="3">
        <v>14.89</v>
      </c>
      <c r="M3464" s="3">
        <v>15.63</v>
      </c>
      <c r="N3464" s="3">
        <v>31.99</v>
      </c>
      <c r="O3464" s="2" t="s">
        <v>97</v>
      </c>
      <c r="P3464" s="2" t="s">
        <v>950</v>
      </c>
      <c r="Q3464" s="2" t="s">
        <v>99</v>
      </c>
      <c r="R3464" s="2" t="s">
        <v>100</v>
      </c>
      <c r="S3464" s="2" t="s">
        <v>10793</v>
      </c>
      <c r="T3464" s="2" t="s">
        <v>9675</v>
      </c>
      <c r="U3464" s="2" t="s">
        <v>480</v>
      </c>
      <c r="V3464" s="2" t="s">
        <v>2661</v>
      </c>
      <c r="W3464" s="2" t="s">
        <v>183</v>
      </c>
      <c r="X3464" s="2" t="s">
        <v>104</v>
      </c>
      <c r="Y3464" s="2" t="s">
        <v>9753</v>
      </c>
      <c r="Z3464" s="4">
        <v>301</v>
      </c>
      <c r="AA3464" s="4">
        <f>=ROUNDDOWN(6.40425531914894,0)</f>
      </c>
      <c r="AB3464" s="5">
        <v>47</v>
      </c>
      <c r="AC3464" s="2" t="s">
        <v>356</v>
      </c>
      <c r="AD3464" s="4">
        <v>11340</v>
      </c>
      <c r="AE3464" s="4">
        <v>11783</v>
      </c>
      <c r="AF3464" s="6">
        <v>65</v>
      </c>
      <c r="AG3464" s="6"/>
      <c r="AH3464" s="7">
        <v>0.6684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>
        <v>14</v>
      </c>
      <c r="AQ3464" s="8">
        <v>211.68</v>
      </c>
      <c r="AR3464" s="4"/>
      <c r="AS3464" s="8"/>
      <c r="AT3464" s="7"/>
      <c r="AU3464" s="7"/>
      <c r="AV3464" s="4">
        <v>37</v>
      </c>
      <c r="AW3464" s="8">
        <v>616.77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>
        <v>0.3432</v>
      </c>
      <c r="BC3464" s="4">
        <v>182</v>
      </c>
      <c r="BD3464" s="8">
        <v>3115.58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0.198</v>
      </c>
      <c r="BJ3464" s="4">
        <v>1013</v>
      </c>
      <c r="BK3464" s="8">
        <v>17546.05</v>
      </c>
      <c r="BL3464" s="2" t="s">
        <v>9730</v>
      </c>
      <c r="BM3464" s="7">
        <v>0.0138</v>
      </c>
      <c r="BN3464" s="7">
        <v>0.0121</v>
      </c>
      <c r="BO3464" s="4">
        <v>14</v>
      </c>
      <c r="BP3464" s="8">
        <v>211.68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6347</v>
      </c>
      <c r="BX3464" s="2" t="s">
        <v>6719</v>
      </c>
      <c r="BY3464" s="2" t="s">
        <v>113</v>
      </c>
      <c r="BZ3464" s="2" t="s">
        <v>100</v>
      </c>
    </row>
    <row r="3465">
      <c r="A3465" s="2" t="s">
        <v>10794</v>
      </c>
      <c r="B3465" s="2" t="s">
        <v>9668</v>
      </c>
      <c r="C3465" s="2" t="s">
        <v>3934</v>
      </c>
      <c r="D3465" s="2" t="s">
        <v>9669</v>
      </c>
      <c r="E3465" s="2" t="s">
        <v>9670</v>
      </c>
      <c r="F3465" s="2" t="s">
        <v>10790</v>
      </c>
      <c r="G3465" s="2" t="s">
        <v>10790</v>
      </c>
      <c r="H3465" s="2" t="s">
        <v>10790</v>
      </c>
      <c r="I3465" s="2" t="s">
        <v>10791</v>
      </c>
      <c r="J3465" s="2" t="s">
        <v>2072</v>
      </c>
      <c r="K3465" s="2" t="s">
        <v>10792</v>
      </c>
      <c r="L3465" s="3">
        <v>15.22</v>
      </c>
      <c r="M3465" s="3">
        <v>15.98</v>
      </c>
      <c r="N3465" s="3">
        <v>32.99</v>
      </c>
      <c r="O3465" s="2" t="s">
        <v>97</v>
      </c>
      <c r="P3465" s="2" t="s">
        <v>119</v>
      </c>
      <c r="Q3465" s="2" t="s">
        <v>99</v>
      </c>
      <c r="R3465" s="2" t="s">
        <v>100</v>
      </c>
      <c r="S3465" s="2" t="s">
        <v>10793</v>
      </c>
      <c r="T3465" s="2" t="s">
        <v>9675</v>
      </c>
      <c r="U3465" s="2" t="s">
        <v>480</v>
      </c>
      <c r="V3465" s="2" t="s">
        <v>2661</v>
      </c>
      <c r="W3465" s="2" t="s">
        <v>183</v>
      </c>
      <c r="X3465" s="2" t="s">
        <v>104</v>
      </c>
      <c r="Y3465" s="2" t="s">
        <v>9753</v>
      </c>
      <c r="Z3465" s="4">
        <v>108</v>
      </c>
      <c r="AA3465" s="4">
        <f>=ROUNDDOWN(6.75,0)</f>
      </c>
      <c r="AB3465" s="5">
        <v>16</v>
      </c>
      <c r="AC3465" s="2" t="s">
        <v>356</v>
      </c>
      <c r="AD3465" s="4">
        <v>4032</v>
      </c>
      <c r="AE3465" s="4">
        <v>4195</v>
      </c>
      <c r="AF3465" s="6">
        <v>65</v>
      </c>
      <c r="AG3465" s="6"/>
      <c r="AH3465" s="7">
        <v>0.6364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>
        <v>11</v>
      </c>
      <c r="AQ3465" s="8">
        <v>173.25</v>
      </c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>
        <v>0.2809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 t="s">
        <v>100</v>
      </c>
      <c r="BJ3465" s="4">
        <v>313</v>
      </c>
      <c r="BK3465" s="8">
        <v>5604.63</v>
      </c>
      <c r="BL3465" s="2" t="s">
        <v>786</v>
      </c>
      <c r="BM3465" s="7">
        <v>0.0351</v>
      </c>
      <c r="BN3465" s="7">
        <v>0.0309</v>
      </c>
      <c r="BO3465" s="4">
        <v>11</v>
      </c>
      <c r="BP3465" s="8">
        <v>173.25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6347</v>
      </c>
      <c r="BX3465" s="2" t="s">
        <v>5525</v>
      </c>
      <c r="BY3465" s="2" t="s">
        <v>113</v>
      </c>
      <c r="BZ3465" s="2" t="s">
        <v>100</v>
      </c>
    </row>
    <row r="3466">
      <c r="A3466" s="2" t="s">
        <v>10795</v>
      </c>
      <c r="B3466" s="2" t="s">
        <v>9668</v>
      </c>
      <c r="C3466" s="2" t="s">
        <v>3934</v>
      </c>
      <c r="D3466" s="2" t="s">
        <v>9669</v>
      </c>
      <c r="E3466" s="2" t="s">
        <v>9670</v>
      </c>
      <c r="F3466" s="2" t="s">
        <v>10790</v>
      </c>
      <c r="G3466" s="2" t="s">
        <v>10790</v>
      </c>
      <c r="H3466" s="2" t="s">
        <v>10790</v>
      </c>
      <c r="I3466" s="2" t="s">
        <v>10791</v>
      </c>
      <c r="J3466" s="2" t="s">
        <v>717</v>
      </c>
      <c r="K3466" s="2" t="s">
        <v>10792</v>
      </c>
      <c r="L3466" s="3">
        <v>19.13</v>
      </c>
      <c r="M3466" s="3">
        <v>20.09</v>
      </c>
      <c r="N3466" s="3">
        <v>42.99</v>
      </c>
      <c r="O3466" s="2" t="s">
        <v>97</v>
      </c>
      <c r="P3466" s="2" t="s">
        <v>119</v>
      </c>
      <c r="Q3466" s="2" t="s">
        <v>99</v>
      </c>
      <c r="R3466" s="2" t="s">
        <v>100</v>
      </c>
      <c r="S3466" s="2" t="s">
        <v>10793</v>
      </c>
      <c r="T3466" s="2" t="s">
        <v>9675</v>
      </c>
      <c r="U3466" s="2" t="s">
        <v>402</v>
      </c>
      <c r="V3466" s="2" t="s">
        <v>2661</v>
      </c>
      <c r="W3466" s="2" t="s">
        <v>183</v>
      </c>
      <c r="X3466" s="2" t="s">
        <v>104</v>
      </c>
      <c r="Y3466" s="2" t="s">
        <v>9753</v>
      </c>
      <c r="Z3466" s="4">
        <v>118</v>
      </c>
      <c r="AA3466" s="4">
        <f>=ROUNDDOWN(4.53846153846154,0)</f>
      </c>
      <c r="AB3466" s="5">
        <v>26</v>
      </c>
      <c r="AC3466" s="2" t="s">
        <v>356</v>
      </c>
      <c r="AD3466" s="4">
        <v>6084</v>
      </c>
      <c r="AE3466" s="4">
        <v>6317</v>
      </c>
      <c r="AF3466" s="6">
        <v>65</v>
      </c>
      <c r="AG3466" s="6"/>
      <c r="AH3466" s="7">
        <v>0.7112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>
        <v>12</v>
      </c>
      <c r="AQ3466" s="8">
        <v>231.84</v>
      </c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>
        <v>0.3759</v>
      </c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 t="s">
        <v>100</v>
      </c>
      <c r="BJ3466" s="4">
        <v>429</v>
      </c>
      <c r="BK3466" s="8">
        <v>9424.72</v>
      </c>
      <c r="BL3466" s="2" t="s">
        <v>10796</v>
      </c>
      <c r="BM3466" s="7">
        <v>0.028</v>
      </c>
      <c r="BN3466" s="7">
        <v>0.0246</v>
      </c>
      <c r="BO3466" s="4">
        <v>12</v>
      </c>
      <c r="BP3466" s="8">
        <v>231.84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6347</v>
      </c>
      <c r="BX3466" s="2" t="s">
        <v>10231</v>
      </c>
      <c r="BY3466" s="2" t="s">
        <v>113</v>
      </c>
      <c r="BZ3466" s="2" t="s">
        <v>100</v>
      </c>
    </row>
    <row r="3467">
      <c r="A3467" s="2" t="s">
        <v>10797</v>
      </c>
      <c r="B3467" s="2" t="s">
        <v>9668</v>
      </c>
      <c r="C3467" s="2" t="s">
        <v>3934</v>
      </c>
      <c r="D3467" s="2" t="s">
        <v>9669</v>
      </c>
      <c r="E3467" s="2" t="s">
        <v>9670</v>
      </c>
      <c r="F3467" s="2" t="s">
        <v>10790</v>
      </c>
      <c r="G3467" s="2" t="s">
        <v>10790</v>
      </c>
      <c r="H3467" s="2" t="s">
        <v>10790</v>
      </c>
      <c r="I3467" s="2" t="s">
        <v>10791</v>
      </c>
      <c r="J3467" s="2" t="s">
        <v>706</v>
      </c>
      <c r="K3467" s="2" t="s">
        <v>10792</v>
      </c>
      <c r="L3467" s="3">
        <v>21.27</v>
      </c>
      <c r="M3467" s="3">
        <v>22.33</v>
      </c>
      <c r="N3467" s="3">
        <v>47.99</v>
      </c>
      <c r="O3467" s="2" t="s">
        <v>97</v>
      </c>
      <c r="P3467" s="2" t="s">
        <v>119</v>
      </c>
      <c r="Q3467" s="2" t="s">
        <v>99</v>
      </c>
      <c r="R3467" s="2" t="s">
        <v>100</v>
      </c>
      <c r="S3467" s="2" t="s">
        <v>10793</v>
      </c>
      <c r="T3467" s="2" t="s">
        <v>9675</v>
      </c>
      <c r="U3467" s="2" t="s">
        <v>402</v>
      </c>
      <c r="V3467" s="2" t="s">
        <v>2661</v>
      </c>
      <c r="W3467" s="2" t="s">
        <v>183</v>
      </c>
      <c r="X3467" s="2" t="s">
        <v>104</v>
      </c>
      <c r="Y3467" s="2" t="s">
        <v>9753</v>
      </c>
      <c r="Z3467" s="4">
        <v>372</v>
      </c>
      <c r="AA3467" s="4">
        <f>=ROUNDDOWN(15.5,0)</f>
      </c>
      <c r="AB3467" s="5">
        <v>24</v>
      </c>
      <c r="AC3467" s="2" t="s">
        <v>1102</v>
      </c>
      <c r="AD3467" s="4">
        <v>266</v>
      </c>
      <c r="AE3467" s="4">
        <v>7034</v>
      </c>
      <c r="AF3467" s="6">
        <v>65</v>
      </c>
      <c r="AG3467" s="6"/>
      <c r="AH3467" s="7">
        <v>0.738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 t="s">
        <v>100</v>
      </c>
      <c r="BJ3467" s="4">
        <v>419</v>
      </c>
      <c r="BK3467" s="8">
        <v>10330.3</v>
      </c>
      <c r="BL3467" s="2" t="s">
        <v>2407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6347</v>
      </c>
      <c r="BX3467" s="2" t="s">
        <v>837</v>
      </c>
      <c r="BY3467" s="2" t="s">
        <v>113</v>
      </c>
      <c r="BZ3467" s="2" t="s">
        <v>100</v>
      </c>
    </row>
    <row r="3468">
      <c r="A3468" s="2" t="s">
        <v>10798</v>
      </c>
      <c r="B3468" s="2" t="s">
        <v>9668</v>
      </c>
      <c r="C3468" s="2" t="s">
        <v>3934</v>
      </c>
      <c r="D3468" s="2" t="s">
        <v>9669</v>
      </c>
      <c r="E3468" s="2" t="s">
        <v>9670</v>
      </c>
      <c r="F3468" s="2" t="s">
        <v>10790</v>
      </c>
      <c r="G3468" s="2" t="s">
        <v>10790</v>
      </c>
      <c r="H3468" s="2" t="s">
        <v>10790</v>
      </c>
      <c r="I3468" s="2" t="s">
        <v>10791</v>
      </c>
      <c r="J3468" s="2" t="s">
        <v>1936</v>
      </c>
      <c r="K3468" s="2" t="s">
        <v>10799</v>
      </c>
      <c r="L3468" s="3">
        <v>14.89</v>
      </c>
      <c r="M3468" s="3">
        <v>15.63</v>
      </c>
      <c r="N3468" s="3">
        <v>31.99</v>
      </c>
      <c r="O3468" s="2" t="s">
        <v>97</v>
      </c>
      <c r="P3468" s="2" t="s">
        <v>119</v>
      </c>
      <c r="Q3468" s="2" t="s">
        <v>99</v>
      </c>
      <c r="R3468" s="2" t="s">
        <v>100</v>
      </c>
      <c r="S3468" s="2" t="s">
        <v>10800</v>
      </c>
      <c r="T3468" s="2" t="s">
        <v>9675</v>
      </c>
      <c r="U3468" s="2" t="s">
        <v>480</v>
      </c>
      <c r="V3468" s="2" t="s">
        <v>2661</v>
      </c>
      <c r="W3468" s="2" t="s">
        <v>183</v>
      </c>
      <c r="X3468" s="2" t="s">
        <v>104</v>
      </c>
      <c r="Y3468" s="2" t="s">
        <v>9753</v>
      </c>
      <c r="Z3468" s="4">
        <v>652</v>
      </c>
      <c r="AA3468" s="4">
        <f>=ROUNDDOWN(16.3,0)</f>
      </c>
      <c r="AB3468" s="5">
        <v>40</v>
      </c>
      <c r="AC3468" s="2" t="s">
        <v>356</v>
      </c>
      <c r="AD3468" s="4">
        <v>10152</v>
      </c>
      <c r="AE3468" s="4">
        <v>10522</v>
      </c>
      <c r="AF3468" s="6">
        <v>65</v>
      </c>
      <c r="AG3468" s="6"/>
      <c r="AH3468" s="7">
        <v>0.738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>
        <v>12</v>
      </c>
      <c r="AQ3468" s="8">
        <v>181.44</v>
      </c>
      <c r="AR3468" s="4"/>
      <c r="AS3468" s="8"/>
      <c r="AT3468" s="7"/>
      <c r="AU3468" s="7"/>
      <c r="AV3468" s="4">
        <v>33</v>
      </c>
      <c r="AW3468" s="8">
        <v>554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>
        <v>0.3275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0.1778</v>
      </c>
      <c r="BJ3468" s="4">
        <v>450</v>
      </c>
      <c r="BK3468" s="8">
        <v>7695.87</v>
      </c>
      <c r="BL3468" s="2" t="s">
        <v>10801</v>
      </c>
      <c r="BM3468" s="7">
        <v>0.0267</v>
      </c>
      <c r="BN3468" s="7">
        <v>0.0236</v>
      </c>
      <c r="BO3468" s="4">
        <v>12</v>
      </c>
      <c r="BP3468" s="8">
        <v>181.44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6347</v>
      </c>
      <c r="BX3468" s="2" t="s">
        <v>837</v>
      </c>
      <c r="BY3468" s="2" t="s">
        <v>113</v>
      </c>
      <c r="BZ3468" s="2" t="s">
        <v>100</v>
      </c>
    </row>
    <row r="3469">
      <c r="A3469" s="2" t="s">
        <v>10802</v>
      </c>
      <c r="B3469" s="2" t="s">
        <v>9668</v>
      </c>
      <c r="C3469" s="2" t="s">
        <v>3934</v>
      </c>
      <c r="D3469" s="2" t="s">
        <v>9669</v>
      </c>
      <c r="E3469" s="2" t="s">
        <v>9670</v>
      </c>
      <c r="F3469" s="2" t="s">
        <v>10790</v>
      </c>
      <c r="G3469" s="2" t="s">
        <v>10790</v>
      </c>
      <c r="H3469" s="2" t="s">
        <v>10790</v>
      </c>
      <c r="I3469" s="2" t="s">
        <v>10791</v>
      </c>
      <c r="J3469" s="2" t="s">
        <v>2072</v>
      </c>
      <c r="K3469" s="2" t="s">
        <v>10799</v>
      </c>
      <c r="L3469" s="3">
        <v>15.22</v>
      </c>
      <c r="M3469" s="3">
        <v>15.98</v>
      </c>
      <c r="N3469" s="3">
        <v>32.99</v>
      </c>
      <c r="O3469" s="2" t="s">
        <v>97</v>
      </c>
      <c r="P3469" s="2" t="s">
        <v>950</v>
      </c>
      <c r="Q3469" s="2" t="s">
        <v>99</v>
      </c>
      <c r="R3469" s="2" t="s">
        <v>100</v>
      </c>
      <c r="S3469" s="2" t="s">
        <v>10800</v>
      </c>
      <c r="T3469" s="2" t="s">
        <v>9675</v>
      </c>
      <c r="U3469" s="2" t="s">
        <v>480</v>
      </c>
      <c r="V3469" s="2" t="s">
        <v>2661</v>
      </c>
      <c r="W3469" s="2" t="s">
        <v>183</v>
      </c>
      <c r="X3469" s="2" t="s">
        <v>104</v>
      </c>
      <c r="Y3469" s="2" t="s">
        <v>9753</v>
      </c>
      <c r="Z3469" s="4">
        <v>242</v>
      </c>
      <c r="AA3469" s="4">
        <f>=ROUNDDOWN(8.64285714285714,0)</f>
      </c>
      <c r="AB3469" s="5">
        <v>28</v>
      </c>
      <c r="AC3469" s="2" t="s">
        <v>356</v>
      </c>
      <c r="AD3469" s="4">
        <v>6624</v>
      </c>
      <c r="AE3469" s="4">
        <v>6954</v>
      </c>
      <c r="AF3469" s="6">
        <v>65</v>
      </c>
      <c r="AG3469" s="6"/>
      <c r="AH3469" s="7">
        <v>0.738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>
        <v>12</v>
      </c>
      <c r="AQ3469" s="8">
        <v>189</v>
      </c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>
        <v>0.3412</v>
      </c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 t="s">
        <v>100</v>
      </c>
      <c r="BJ3469" s="4">
        <v>484</v>
      </c>
      <c r="BK3469" s="8">
        <v>8643.95</v>
      </c>
      <c r="BL3469" s="2" t="s">
        <v>10803</v>
      </c>
      <c r="BM3469" s="7">
        <v>0.0248</v>
      </c>
      <c r="BN3469" s="7">
        <v>0.0219</v>
      </c>
      <c r="BO3469" s="4">
        <v>12</v>
      </c>
      <c r="BP3469" s="8">
        <v>189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6347</v>
      </c>
      <c r="BX3469" s="2" t="s">
        <v>2016</v>
      </c>
      <c r="BY3469" s="2" t="s">
        <v>113</v>
      </c>
      <c r="BZ3469" s="2" t="s">
        <v>100</v>
      </c>
    </row>
    <row r="3470">
      <c r="A3470" s="2" t="s">
        <v>10804</v>
      </c>
      <c r="B3470" s="2" t="s">
        <v>9668</v>
      </c>
      <c r="C3470" s="2" t="s">
        <v>3934</v>
      </c>
      <c r="D3470" s="2" t="s">
        <v>9669</v>
      </c>
      <c r="E3470" s="2" t="s">
        <v>9670</v>
      </c>
      <c r="F3470" s="2" t="s">
        <v>10790</v>
      </c>
      <c r="G3470" s="2" t="s">
        <v>10790</v>
      </c>
      <c r="H3470" s="2" t="s">
        <v>10790</v>
      </c>
      <c r="I3470" s="2" t="s">
        <v>10791</v>
      </c>
      <c r="J3470" s="2" t="s">
        <v>717</v>
      </c>
      <c r="K3470" s="2" t="s">
        <v>10799</v>
      </c>
      <c r="L3470" s="3">
        <v>19.13</v>
      </c>
      <c r="M3470" s="3">
        <v>20.09</v>
      </c>
      <c r="N3470" s="3">
        <v>42.99</v>
      </c>
      <c r="O3470" s="2" t="s">
        <v>97</v>
      </c>
      <c r="P3470" s="2" t="s">
        <v>119</v>
      </c>
      <c r="Q3470" s="2" t="s">
        <v>99</v>
      </c>
      <c r="R3470" s="2" t="s">
        <v>100</v>
      </c>
      <c r="S3470" s="2" t="s">
        <v>10800</v>
      </c>
      <c r="T3470" s="2" t="s">
        <v>9675</v>
      </c>
      <c r="U3470" s="2" t="s">
        <v>402</v>
      </c>
      <c r="V3470" s="2" t="s">
        <v>2661</v>
      </c>
      <c r="W3470" s="2" t="s">
        <v>183</v>
      </c>
      <c r="X3470" s="2" t="s">
        <v>104</v>
      </c>
      <c r="Y3470" s="2" t="s">
        <v>9753</v>
      </c>
      <c r="Z3470" s="4">
        <v>371</v>
      </c>
      <c r="AA3470" s="4">
        <f>=ROUNDDOWN(11.59375,0)</f>
      </c>
      <c r="AB3470" s="5">
        <v>32</v>
      </c>
      <c r="AC3470" s="2" t="s">
        <v>356</v>
      </c>
      <c r="AD3470" s="4">
        <v>8388</v>
      </c>
      <c r="AE3470" s="4">
        <v>8733</v>
      </c>
      <c r="AF3470" s="6">
        <v>65</v>
      </c>
      <c r="AG3470" s="6"/>
      <c r="AH3470" s="7">
        <v>0.738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>
        <v>5</v>
      </c>
      <c r="AQ3470" s="8">
        <v>96.6</v>
      </c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>
        <v>0.1744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 t="s">
        <v>100</v>
      </c>
      <c r="BJ3470" s="4">
        <v>384</v>
      </c>
      <c r="BK3470" s="8">
        <v>8391.74</v>
      </c>
      <c r="BL3470" s="2" t="s">
        <v>10805</v>
      </c>
      <c r="BM3470" s="7">
        <v>0.013</v>
      </c>
      <c r="BN3470" s="7">
        <v>0.0115</v>
      </c>
      <c r="BO3470" s="4">
        <v>5</v>
      </c>
      <c r="BP3470" s="8">
        <v>96.6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6347</v>
      </c>
      <c r="BX3470" s="2" t="s">
        <v>10806</v>
      </c>
      <c r="BY3470" s="2" t="s">
        <v>113</v>
      </c>
      <c r="BZ3470" s="2" t="s">
        <v>100</v>
      </c>
    </row>
    <row r="3471">
      <c r="A3471" s="2" t="s">
        <v>10807</v>
      </c>
      <c r="B3471" s="2" t="s">
        <v>9668</v>
      </c>
      <c r="C3471" s="2" t="s">
        <v>3934</v>
      </c>
      <c r="D3471" s="2" t="s">
        <v>9669</v>
      </c>
      <c r="E3471" s="2" t="s">
        <v>9670</v>
      </c>
      <c r="F3471" s="2" t="s">
        <v>10790</v>
      </c>
      <c r="G3471" s="2" t="s">
        <v>10790</v>
      </c>
      <c r="H3471" s="2" t="s">
        <v>10790</v>
      </c>
      <c r="I3471" s="2" t="s">
        <v>10791</v>
      </c>
      <c r="J3471" s="2" t="s">
        <v>706</v>
      </c>
      <c r="K3471" s="2" t="s">
        <v>10799</v>
      </c>
      <c r="L3471" s="3">
        <v>21.27</v>
      </c>
      <c r="M3471" s="3">
        <v>22.33</v>
      </c>
      <c r="N3471" s="3">
        <v>47.99</v>
      </c>
      <c r="O3471" s="2" t="s">
        <v>97</v>
      </c>
      <c r="P3471" s="2" t="s">
        <v>950</v>
      </c>
      <c r="Q3471" s="2" t="s">
        <v>99</v>
      </c>
      <c r="R3471" s="2" t="s">
        <v>100</v>
      </c>
      <c r="S3471" s="2" t="s">
        <v>10800</v>
      </c>
      <c r="T3471" s="2" t="s">
        <v>9675</v>
      </c>
      <c r="U3471" s="2" t="s">
        <v>402</v>
      </c>
      <c r="V3471" s="2" t="s">
        <v>2661</v>
      </c>
      <c r="W3471" s="2" t="s">
        <v>183</v>
      </c>
      <c r="X3471" s="2" t="s">
        <v>104</v>
      </c>
      <c r="Y3471" s="2" t="s">
        <v>9753</v>
      </c>
      <c r="Z3471" s="4">
        <v>411</v>
      </c>
      <c r="AA3471" s="4">
        <f>=ROUNDDOWN(15.8076923076923,0)</f>
      </c>
      <c r="AB3471" s="5">
        <v>26</v>
      </c>
      <c r="AC3471" s="2" t="s">
        <v>356</v>
      </c>
      <c r="AD3471" s="4">
        <v>5832</v>
      </c>
      <c r="AE3471" s="4">
        <v>6052</v>
      </c>
      <c r="AF3471" s="6">
        <v>65</v>
      </c>
      <c r="AG3471" s="6"/>
      <c r="AH3471" s="7">
        <v>0.738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>
        <v>4</v>
      </c>
      <c r="AQ3471" s="8">
        <v>86.96</v>
      </c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>
        <v>0.157</v>
      </c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 t="s">
        <v>100</v>
      </c>
      <c r="BJ3471" s="4">
        <v>277</v>
      </c>
      <c r="BK3471" s="8">
        <v>6747.26</v>
      </c>
      <c r="BL3471" s="2" t="s">
        <v>10808</v>
      </c>
      <c r="BM3471" s="7">
        <v>0.0144</v>
      </c>
      <c r="BN3471" s="7">
        <v>0.0129</v>
      </c>
      <c r="BO3471" s="4">
        <v>4</v>
      </c>
      <c r="BP3471" s="8">
        <v>86.96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6347</v>
      </c>
      <c r="BX3471" s="2" t="s">
        <v>2016</v>
      </c>
      <c r="BY3471" s="2" t="s">
        <v>113</v>
      </c>
      <c r="BZ3471" s="2" t="s">
        <v>100</v>
      </c>
    </row>
    <row r="3472">
      <c r="A3472" s="2" t="s">
        <v>10809</v>
      </c>
      <c r="B3472" s="2" t="s">
        <v>9668</v>
      </c>
      <c r="C3472" s="2" t="s">
        <v>3934</v>
      </c>
      <c r="D3472" s="2" t="s">
        <v>9669</v>
      </c>
      <c r="E3472" s="2" t="s">
        <v>9670</v>
      </c>
      <c r="F3472" s="2" t="s">
        <v>10790</v>
      </c>
      <c r="G3472" s="2" t="s">
        <v>10790</v>
      </c>
      <c r="H3472" s="2" t="s">
        <v>10790</v>
      </c>
      <c r="I3472" s="2" t="s">
        <v>10791</v>
      </c>
      <c r="J3472" s="2" t="s">
        <v>1936</v>
      </c>
      <c r="K3472" s="2" t="s">
        <v>10810</v>
      </c>
      <c r="L3472" s="3">
        <v>14.89</v>
      </c>
      <c r="M3472" s="3">
        <v>15.63</v>
      </c>
      <c r="N3472" s="3">
        <v>31.99</v>
      </c>
      <c r="O3472" s="2" t="s">
        <v>97</v>
      </c>
      <c r="P3472" s="2" t="s">
        <v>119</v>
      </c>
      <c r="Q3472" s="2" t="s">
        <v>99</v>
      </c>
      <c r="R3472" s="2" t="s">
        <v>100</v>
      </c>
      <c r="S3472" s="2" t="s">
        <v>10811</v>
      </c>
      <c r="T3472" s="2" t="s">
        <v>9675</v>
      </c>
      <c r="U3472" s="2" t="s">
        <v>480</v>
      </c>
      <c r="V3472" s="2" t="s">
        <v>3937</v>
      </c>
      <c r="W3472" s="2" t="s">
        <v>104</v>
      </c>
      <c r="X3472" s="2" t="s">
        <v>100</v>
      </c>
      <c r="Y3472" s="2" t="s">
        <v>10635</v>
      </c>
      <c r="Z3472" s="4">
        <v>229</v>
      </c>
      <c r="AA3472" s="4">
        <f>=ROUNDDOWN(6.73529411764706,0)</f>
      </c>
      <c r="AB3472" s="5">
        <v>34</v>
      </c>
      <c r="AC3472" s="2" t="s">
        <v>356</v>
      </c>
      <c r="AD3472" s="4">
        <v>8460</v>
      </c>
      <c r="AE3472" s="4">
        <v>9094</v>
      </c>
      <c r="AF3472" s="6">
        <v>65</v>
      </c>
      <c r="AG3472" s="6"/>
      <c r="AH3472" s="7">
        <v>0.615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>
        <v>9</v>
      </c>
      <c r="AQ3472" s="8">
        <v>136.08</v>
      </c>
      <c r="AR3472" s="4"/>
      <c r="AS3472" s="8"/>
      <c r="AT3472" s="7"/>
      <c r="AU3472" s="7"/>
      <c r="AV3472" s="4">
        <v>34</v>
      </c>
      <c r="AW3472" s="8">
        <v>540.54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>
        <v>0.2517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0.1735</v>
      </c>
      <c r="BJ3472" s="4">
        <v>866</v>
      </c>
      <c r="BK3472" s="8">
        <v>14952.62</v>
      </c>
      <c r="BL3472" s="2" t="s">
        <v>9743</v>
      </c>
      <c r="BM3472" s="7">
        <v>0.0104</v>
      </c>
      <c r="BN3472" s="7">
        <v>0.0091</v>
      </c>
      <c r="BO3472" s="4">
        <v>9</v>
      </c>
      <c r="BP3472" s="8">
        <v>136.08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6347</v>
      </c>
      <c r="BX3472" s="2" t="s">
        <v>4538</v>
      </c>
      <c r="BY3472" s="2" t="s">
        <v>113</v>
      </c>
      <c r="BZ3472" s="2" t="s">
        <v>100</v>
      </c>
    </row>
    <row r="3473">
      <c r="A3473" s="2" t="s">
        <v>10812</v>
      </c>
      <c r="B3473" s="2" t="s">
        <v>9668</v>
      </c>
      <c r="C3473" s="2" t="s">
        <v>3934</v>
      </c>
      <c r="D3473" s="2" t="s">
        <v>9669</v>
      </c>
      <c r="E3473" s="2" t="s">
        <v>9670</v>
      </c>
      <c r="F3473" s="2" t="s">
        <v>10790</v>
      </c>
      <c r="G3473" s="2" t="s">
        <v>10790</v>
      </c>
      <c r="H3473" s="2" t="s">
        <v>10790</v>
      </c>
      <c r="I3473" s="2" t="s">
        <v>10791</v>
      </c>
      <c r="J3473" s="2" t="s">
        <v>2072</v>
      </c>
      <c r="K3473" s="2" t="s">
        <v>10810</v>
      </c>
      <c r="L3473" s="3">
        <v>15.22</v>
      </c>
      <c r="M3473" s="3">
        <v>15.98</v>
      </c>
      <c r="N3473" s="3">
        <v>32.99</v>
      </c>
      <c r="O3473" s="2" t="s">
        <v>97</v>
      </c>
      <c r="P3473" s="2" t="s">
        <v>119</v>
      </c>
      <c r="Q3473" s="2" t="s">
        <v>99</v>
      </c>
      <c r="R3473" s="2" t="s">
        <v>100</v>
      </c>
      <c r="S3473" s="2" t="s">
        <v>10811</v>
      </c>
      <c r="T3473" s="2" t="s">
        <v>9675</v>
      </c>
      <c r="U3473" s="2" t="s">
        <v>480</v>
      </c>
      <c r="V3473" s="2" t="s">
        <v>3937</v>
      </c>
      <c r="W3473" s="2" t="s">
        <v>183</v>
      </c>
      <c r="X3473" s="2" t="s">
        <v>104</v>
      </c>
      <c r="Y3473" s="2" t="s">
        <v>10635</v>
      </c>
      <c r="Z3473" s="4">
        <v>146</v>
      </c>
      <c r="AA3473" s="4">
        <f>=ROUNDDOWN(6.63636363636364,0)</f>
      </c>
      <c r="AB3473" s="5">
        <v>22</v>
      </c>
      <c r="AC3473" s="2" t="s">
        <v>356</v>
      </c>
      <c r="AD3473" s="4">
        <v>5256</v>
      </c>
      <c r="AE3473" s="4">
        <v>5616</v>
      </c>
      <c r="AF3473" s="6">
        <v>65</v>
      </c>
      <c r="AG3473" s="6"/>
      <c r="AH3473" s="7">
        <v>0.6898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>
        <v>22</v>
      </c>
      <c r="AQ3473" s="8">
        <v>346.5</v>
      </c>
      <c r="AR3473" s="4"/>
      <c r="AS3473" s="8"/>
      <c r="AT3473" s="7"/>
      <c r="AU3473" s="7"/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>
        <v>0.641</v>
      </c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 t="s">
        <v>100</v>
      </c>
      <c r="BJ3473" s="4">
        <v>445</v>
      </c>
      <c r="BK3473" s="8">
        <v>8058.97</v>
      </c>
      <c r="BL3473" s="2" t="s">
        <v>161</v>
      </c>
      <c r="BM3473" s="7">
        <v>0.0494</v>
      </c>
      <c r="BN3473" s="7">
        <v>0.043</v>
      </c>
      <c r="BO3473" s="4">
        <v>22</v>
      </c>
      <c r="BP3473" s="8">
        <v>346.5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6347</v>
      </c>
      <c r="BX3473" s="2" t="s">
        <v>711</v>
      </c>
      <c r="BY3473" s="2" t="s">
        <v>113</v>
      </c>
      <c r="BZ3473" s="2" t="s">
        <v>100</v>
      </c>
    </row>
    <row r="3474">
      <c r="A3474" s="2" t="s">
        <v>10813</v>
      </c>
      <c r="B3474" s="2" t="s">
        <v>9668</v>
      </c>
      <c r="C3474" s="2" t="s">
        <v>3934</v>
      </c>
      <c r="D3474" s="2" t="s">
        <v>9669</v>
      </c>
      <c r="E3474" s="2" t="s">
        <v>9670</v>
      </c>
      <c r="F3474" s="2" t="s">
        <v>10790</v>
      </c>
      <c r="G3474" s="2" t="s">
        <v>10790</v>
      </c>
      <c r="H3474" s="2" t="s">
        <v>10790</v>
      </c>
      <c r="I3474" s="2" t="s">
        <v>10791</v>
      </c>
      <c r="J3474" s="2" t="s">
        <v>717</v>
      </c>
      <c r="K3474" s="2" t="s">
        <v>10810</v>
      </c>
      <c r="L3474" s="3">
        <v>19.13</v>
      </c>
      <c r="M3474" s="3">
        <v>20.09</v>
      </c>
      <c r="N3474" s="3">
        <v>42.99</v>
      </c>
      <c r="O3474" s="2" t="s">
        <v>97</v>
      </c>
      <c r="P3474" s="2" t="s">
        <v>119</v>
      </c>
      <c r="Q3474" s="2" t="s">
        <v>99</v>
      </c>
      <c r="R3474" s="2" t="s">
        <v>100</v>
      </c>
      <c r="S3474" s="2" t="s">
        <v>10811</v>
      </c>
      <c r="T3474" s="2" t="s">
        <v>9675</v>
      </c>
      <c r="U3474" s="2" t="s">
        <v>402</v>
      </c>
      <c r="V3474" s="2" t="s">
        <v>3937</v>
      </c>
      <c r="W3474" s="2" t="s">
        <v>183</v>
      </c>
      <c r="X3474" s="2" t="s">
        <v>104</v>
      </c>
      <c r="Y3474" s="2" t="s">
        <v>10635</v>
      </c>
      <c r="Z3474" s="4">
        <v>229</v>
      </c>
      <c r="AA3474" s="4">
        <f>=ROUNDDOWN(12.0526315789474,0)</f>
      </c>
      <c r="AB3474" s="5">
        <v>19</v>
      </c>
      <c r="AC3474" s="2" t="s">
        <v>356</v>
      </c>
      <c r="AD3474" s="4">
        <v>4860</v>
      </c>
      <c r="AE3474" s="4">
        <v>5052</v>
      </c>
      <c r="AF3474" s="6">
        <v>65</v>
      </c>
      <c r="AG3474" s="6"/>
      <c r="AH3474" s="7">
        <v>0.738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>
        <v>3</v>
      </c>
      <c r="AQ3474" s="8">
        <v>57.96</v>
      </c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>
        <v>0.1072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 t="s">
        <v>100</v>
      </c>
      <c r="BJ3474" s="4">
        <v>306</v>
      </c>
      <c r="BK3474" s="8">
        <v>6883.6</v>
      </c>
      <c r="BL3474" s="2" t="s">
        <v>9791</v>
      </c>
      <c r="BM3474" s="7">
        <v>0.0098</v>
      </c>
      <c r="BN3474" s="7">
        <v>0.0084</v>
      </c>
      <c r="BO3474" s="4">
        <v>3</v>
      </c>
      <c r="BP3474" s="8">
        <v>57.96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6347</v>
      </c>
      <c r="BX3474" s="2" t="s">
        <v>711</v>
      </c>
      <c r="BY3474" s="2" t="s">
        <v>113</v>
      </c>
      <c r="BZ3474" s="2" t="s">
        <v>100</v>
      </c>
    </row>
    <row r="3475">
      <c r="A3475" s="2" t="s">
        <v>10814</v>
      </c>
      <c r="B3475" s="2" t="s">
        <v>9668</v>
      </c>
      <c r="C3475" s="2" t="s">
        <v>3934</v>
      </c>
      <c r="D3475" s="2" t="s">
        <v>9669</v>
      </c>
      <c r="E3475" s="2" t="s">
        <v>9670</v>
      </c>
      <c r="F3475" s="2" t="s">
        <v>10790</v>
      </c>
      <c r="G3475" s="2" t="s">
        <v>10790</v>
      </c>
      <c r="H3475" s="2" t="s">
        <v>10790</v>
      </c>
      <c r="I3475" s="2" t="s">
        <v>10791</v>
      </c>
      <c r="J3475" s="2" t="s">
        <v>706</v>
      </c>
      <c r="K3475" s="2" t="s">
        <v>10810</v>
      </c>
      <c r="L3475" s="3">
        <v>21.27</v>
      </c>
      <c r="M3475" s="3">
        <v>22.33</v>
      </c>
      <c r="N3475" s="3">
        <v>47.99</v>
      </c>
      <c r="O3475" s="2" t="s">
        <v>97</v>
      </c>
      <c r="P3475" s="2" t="s">
        <v>119</v>
      </c>
      <c r="Q3475" s="2" t="s">
        <v>99</v>
      </c>
      <c r="R3475" s="2" t="s">
        <v>100</v>
      </c>
      <c r="S3475" s="2" t="s">
        <v>10811</v>
      </c>
      <c r="T3475" s="2" t="s">
        <v>9675</v>
      </c>
      <c r="U3475" s="2" t="s">
        <v>402</v>
      </c>
      <c r="V3475" s="2" t="s">
        <v>3937</v>
      </c>
      <c r="W3475" s="2" t="s">
        <v>183</v>
      </c>
      <c r="X3475" s="2" t="s">
        <v>104</v>
      </c>
      <c r="Y3475" s="2" t="s">
        <v>10635</v>
      </c>
      <c r="Z3475" s="4">
        <v>148</v>
      </c>
      <c r="AA3475" s="4">
        <f>=ROUNDDOWN(7.04761904761905,0)</f>
      </c>
      <c r="AB3475" s="5">
        <v>21</v>
      </c>
      <c r="AC3475" s="2" t="s">
        <v>356</v>
      </c>
      <c r="AD3475" s="4">
        <v>5364</v>
      </c>
      <c r="AE3475" s="4">
        <v>5746</v>
      </c>
      <c r="AF3475" s="6">
        <v>65</v>
      </c>
      <c r="AG3475" s="6"/>
      <c r="AH3475" s="7">
        <v>0.6631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 t="s">
        <v>100</v>
      </c>
      <c r="BJ3475" s="4">
        <v>446</v>
      </c>
      <c r="BK3475" s="8">
        <v>10975.16</v>
      </c>
      <c r="BL3475" s="2" t="s">
        <v>10815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6347</v>
      </c>
      <c r="BX3475" s="2" t="s">
        <v>10816</v>
      </c>
      <c r="BY3475" s="2" t="s">
        <v>113</v>
      </c>
      <c r="BZ3475" s="2" t="s">
        <v>100</v>
      </c>
    </row>
    <row r="3476">
      <c r="A3476" s="2" t="s">
        <v>10817</v>
      </c>
      <c r="B3476" s="2" t="s">
        <v>9668</v>
      </c>
      <c r="C3476" s="2" t="s">
        <v>3934</v>
      </c>
      <c r="D3476" s="2" t="s">
        <v>9669</v>
      </c>
      <c r="E3476" s="2" t="s">
        <v>9670</v>
      </c>
      <c r="F3476" s="2" t="s">
        <v>10790</v>
      </c>
      <c r="G3476" s="2" t="s">
        <v>10790</v>
      </c>
      <c r="H3476" s="2" t="s">
        <v>10790</v>
      </c>
      <c r="I3476" s="2" t="s">
        <v>10791</v>
      </c>
      <c r="J3476" s="2" t="s">
        <v>1936</v>
      </c>
      <c r="K3476" s="2" t="s">
        <v>10818</v>
      </c>
      <c r="L3476" s="3">
        <v>14.89</v>
      </c>
      <c r="M3476" s="3">
        <v>15.63</v>
      </c>
      <c r="N3476" s="3">
        <v>31.99</v>
      </c>
      <c r="O3476" s="2" t="s">
        <v>97</v>
      </c>
      <c r="P3476" s="2" t="s">
        <v>119</v>
      </c>
      <c r="Q3476" s="2" t="s">
        <v>99</v>
      </c>
      <c r="R3476" s="2" t="s">
        <v>100</v>
      </c>
      <c r="S3476" s="2" t="s">
        <v>10819</v>
      </c>
      <c r="T3476" s="2" t="s">
        <v>9675</v>
      </c>
      <c r="U3476" s="2" t="s">
        <v>480</v>
      </c>
      <c r="V3476" s="2" t="s">
        <v>3937</v>
      </c>
      <c r="W3476" s="2" t="s">
        <v>183</v>
      </c>
      <c r="X3476" s="2" t="s">
        <v>104</v>
      </c>
      <c r="Y3476" s="2" t="s">
        <v>10635</v>
      </c>
      <c r="Z3476" s="4"/>
      <c r="AA3476" s="4">
        <f>=ROUNDDOWN({0},0)</f>
      </c>
      <c r="AB3476" s="5">
        <v>31</v>
      </c>
      <c r="AC3476" s="2" t="s">
        <v>1102</v>
      </c>
      <c r="AD3476" s="4">
        <v>311</v>
      </c>
      <c r="AE3476" s="4">
        <v>338</v>
      </c>
      <c r="AF3476" s="6">
        <v>65</v>
      </c>
      <c r="AG3476" s="6"/>
      <c r="AH3476" s="7">
        <v>0.5294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>
        <v>4</v>
      </c>
      <c r="AQ3476" s="8">
        <v>60.48</v>
      </c>
      <c r="AR3476" s="4"/>
      <c r="AS3476" s="8"/>
      <c r="AT3476" s="7"/>
      <c r="AU3476" s="7"/>
      <c r="AV3476" s="4">
        <v>24</v>
      </c>
      <c r="AW3476" s="8">
        <v>480.76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>
        <v>0.1258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0.1543</v>
      </c>
      <c r="BJ3476" s="4">
        <v>1057</v>
      </c>
      <c r="BK3476" s="8">
        <v>18749.8</v>
      </c>
      <c r="BL3476" s="2" t="s">
        <v>10820</v>
      </c>
      <c r="BM3476" s="7">
        <v>0.0038</v>
      </c>
      <c r="BN3476" s="7">
        <v>0.0032</v>
      </c>
      <c r="BO3476" s="4">
        <v>4</v>
      </c>
      <c r="BP3476" s="8">
        <v>60.48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6347</v>
      </c>
      <c r="BX3476" s="2" t="s">
        <v>10821</v>
      </c>
      <c r="BY3476" s="2" t="s">
        <v>113</v>
      </c>
      <c r="BZ3476" s="2" t="s">
        <v>100</v>
      </c>
    </row>
    <row r="3477">
      <c r="A3477" s="2" t="s">
        <v>10822</v>
      </c>
      <c r="B3477" s="2" t="s">
        <v>9668</v>
      </c>
      <c r="C3477" s="2" t="s">
        <v>3934</v>
      </c>
      <c r="D3477" s="2" t="s">
        <v>9669</v>
      </c>
      <c r="E3477" s="2" t="s">
        <v>9670</v>
      </c>
      <c r="F3477" s="2" t="s">
        <v>10790</v>
      </c>
      <c r="G3477" s="2" t="s">
        <v>10790</v>
      </c>
      <c r="H3477" s="2" t="s">
        <v>10790</v>
      </c>
      <c r="I3477" s="2" t="s">
        <v>10791</v>
      </c>
      <c r="J3477" s="2" t="s">
        <v>2072</v>
      </c>
      <c r="K3477" s="2" t="s">
        <v>10818</v>
      </c>
      <c r="L3477" s="3">
        <v>15.22</v>
      </c>
      <c r="M3477" s="3">
        <v>15.98</v>
      </c>
      <c r="N3477" s="3">
        <v>32.99</v>
      </c>
      <c r="O3477" s="2" t="s">
        <v>97</v>
      </c>
      <c r="P3477" s="2" t="s">
        <v>119</v>
      </c>
      <c r="Q3477" s="2" t="s">
        <v>99</v>
      </c>
      <c r="R3477" s="2" t="s">
        <v>100</v>
      </c>
      <c r="S3477" s="2" t="s">
        <v>10819</v>
      </c>
      <c r="T3477" s="2" t="s">
        <v>9675</v>
      </c>
      <c r="U3477" s="2" t="s">
        <v>480</v>
      </c>
      <c r="V3477" s="2" t="s">
        <v>3937</v>
      </c>
      <c r="W3477" s="2" t="s">
        <v>183</v>
      </c>
      <c r="X3477" s="2" t="s">
        <v>104</v>
      </c>
      <c r="Y3477" s="2" t="s">
        <v>10635</v>
      </c>
      <c r="Z3477" s="4">
        <v>324</v>
      </c>
      <c r="AA3477" s="4">
        <f>=ROUNDDOWN(19.0588235294118,0)</f>
      </c>
      <c r="AB3477" s="5">
        <v>17</v>
      </c>
      <c r="AC3477" s="2" t="s">
        <v>1102</v>
      </c>
      <c r="AD3477" s="4">
        <v>168</v>
      </c>
      <c r="AE3477" s="4">
        <v>186</v>
      </c>
      <c r="AF3477" s="6">
        <v>65</v>
      </c>
      <c r="AG3477" s="6"/>
      <c r="AH3477" s="7">
        <v>0.738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 t="s">
        <v>100</v>
      </c>
      <c r="BJ3477" s="4">
        <v>161</v>
      </c>
      <c r="BK3477" s="8">
        <v>3032.84</v>
      </c>
      <c r="BL3477" s="2" t="s">
        <v>10823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6347</v>
      </c>
      <c r="BX3477" s="2" t="s">
        <v>5226</v>
      </c>
      <c r="BY3477" s="2" t="s">
        <v>113</v>
      </c>
      <c r="BZ3477" s="2" t="s">
        <v>100</v>
      </c>
    </row>
    <row r="3478">
      <c r="A3478" s="2" t="s">
        <v>10824</v>
      </c>
      <c r="B3478" s="2" t="s">
        <v>9668</v>
      </c>
      <c r="C3478" s="2" t="s">
        <v>3934</v>
      </c>
      <c r="D3478" s="2" t="s">
        <v>9669</v>
      </c>
      <c r="E3478" s="2" t="s">
        <v>9670</v>
      </c>
      <c r="F3478" s="2" t="s">
        <v>10790</v>
      </c>
      <c r="G3478" s="2" t="s">
        <v>10790</v>
      </c>
      <c r="H3478" s="2" t="s">
        <v>10790</v>
      </c>
      <c r="I3478" s="2" t="s">
        <v>10791</v>
      </c>
      <c r="J3478" s="2" t="s">
        <v>717</v>
      </c>
      <c r="K3478" s="2" t="s">
        <v>10818</v>
      </c>
      <c r="L3478" s="3">
        <v>19.13</v>
      </c>
      <c r="M3478" s="3">
        <v>20.09</v>
      </c>
      <c r="N3478" s="3">
        <v>42.99</v>
      </c>
      <c r="O3478" s="2" t="s">
        <v>97</v>
      </c>
      <c r="P3478" s="2" t="s">
        <v>98</v>
      </c>
      <c r="Q3478" s="2" t="s">
        <v>99</v>
      </c>
      <c r="R3478" s="2" t="s">
        <v>100</v>
      </c>
      <c r="S3478" s="2" t="s">
        <v>10819</v>
      </c>
      <c r="T3478" s="2" t="s">
        <v>9675</v>
      </c>
      <c r="U3478" s="2" t="s">
        <v>402</v>
      </c>
      <c r="V3478" s="2" t="s">
        <v>3937</v>
      </c>
      <c r="W3478" s="2" t="s">
        <v>183</v>
      </c>
      <c r="X3478" s="2" t="s">
        <v>104</v>
      </c>
      <c r="Y3478" s="2" t="s">
        <v>10635</v>
      </c>
      <c r="Z3478" s="4">
        <v>4</v>
      </c>
      <c r="AA3478" s="4">
        <f>=ROUNDDOWN(0.121212121212121,0)</f>
      </c>
      <c r="AB3478" s="5">
        <v>33</v>
      </c>
      <c r="AC3478" s="2" t="s">
        <v>1102</v>
      </c>
      <c r="AD3478" s="4">
        <v>274</v>
      </c>
      <c r="AE3478" s="4">
        <v>326</v>
      </c>
      <c r="AF3478" s="6">
        <v>65</v>
      </c>
      <c r="AG3478" s="6"/>
      <c r="AH3478" s="7">
        <v>0.6578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>
        <v>6</v>
      </c>
      <c r="AQ3478" s="8">
        <v>115.92</v>
      </c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>
        <v>0.2411</v>
      </c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 t="s">
        <v>100</v>
      </c>
      <c r="BJ3478" s="4">
        <v>691</v>
      </c>
      <c r="BK3478" s="8">
        <v>22046.5</v>
      </c>
      <c r="BL3478" s="2" t="s">
        <v>10825</v>
      </c>
      <c r="BM3478" s="7">
        <v>0.0087</v>
      </c>
      <c r="BN3478" s="7">
        <v>0.0053</v>
      </c>
      <c r="BO3478" s="4">
        <v>6</v>
      </c>
      <c r="BP3478" s="8">
        <v>115.92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6347</v>
      </c>
      <c r="BX3478" s="2" t="s">
        <v>4024</v>
      </c>
      <c r="BY3478" s="2" t="s">
        <v>113</v>
      </c>
      <c r="BZ3478" s="2" t="s">
        <v>100</v>
      </c>
    </row>
    <row r="3479">
      <c r="A3479" s="2" t="s">
        <v>10826</v>
      </c>
      <c r="B3479" s="2" t="s">
        <v>9668</v>
      </c>
      <c r="C3479" s="2" t="s">
        <v>3934</v>
      </c>
      <c r="D3479" s="2" t="s">
        <v>9669</v>
      </c>
      <c r="E3479" s="2" t="s">
        <v>9670</v>
      </c>
      <c r="F3479" s="2" t="s">
        <v>10790</v>
      </c>
      <c r="G3479" s="2" t="s">
        <v>10790</v>
      </c>
      <c r="H3479" s="2" t="s">
        <v>10790</v>
      </c>
      <c r="I3479" s="2" t="s">
        <v>10791</v>
      </c>
      <c r="J3479" s="2" t="s">
        <v>706</v>
      </c>
      <c r="K3479" s="2" t="s">
        <v>10818</v>
      </c>
      <c r="L3479" s="3">
        <v>21.27</v>
      </c>
      <c r="M3479" s="3">
        <v>22.33</v>
      </c>
      <c r="N3479" s="3">
        <v>47.99</v>
      </c>
      <c r="O3479" s="2" t="s">
        <v>97</v>
      </c>
      <c r="P3479" s="2" t="s">
        <v>950</v>
      </c>
      <c r="Q3479" s="2" t="s">
        <v>99</v>
      </c>
      <c r="R3479" s="2" t="s">
        <v>100</v>
      </c>
      <c r="S3479" s="2" t="s">
        <v>10819</v>
      </c>
      <c r="T3479" s="2" t="s">
        <v>9675</v>
      </c>
      <c r="U3479" s="2" t="s">
        <v>402</v>
      </c>
      <c r="V3479" s="2" t="s">
        <v>3937</v>
      </c>
      <c r="W3479" s="2" t="s">
        <v>183</v>
      </c>
      <c r="X3479" s="2" t="s">
        <v>104</v>
      </c>
      <c r="Y3479" s="2" t="s">
        <v>10635</v>
      </c>
      <c r="Z3479" s="4"/>
      <c r="AA3479" s="4">
        <f>=ROUNDDOWN({0},0)</f>
      </c>
      <c r="AB3479" s="5">
        <v>38</v>
      </c>
      <c r="AC3479" s="2" t="s">
        <v>1102</v>
      </c>
      <c r="AD3479" s="4">
        <v>324</v>
      </c>
      <c r="AE3479" s="4">
        <v>351</v>
      </c>
      <c r="AF3479" s="6">
        <v>65</v>
      </c>
      <c r="AG3479" s="6"/>
      <c r="AH3479" s="7">
        <v>0.6791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>
        <v>14</v>
      </c>
      <c r="AQ3479" s="8">
        <v>304.36</v>
      </c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>
        <v>0.6331</v>
      </c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 t="s">
        <v>100</v>
      </c>
      <c r="BJ3479" s="4">
        <v>699</v>
      </c>
      <c r="BK3479" s="8">
        <v>17573.38</v>
      </c>
      <c r="BL3479" s="2" t="s">
        <v>10827</v>
      </c>
      <c r="BM3479" s="7">
        <v>0.02</v>
      </c>
      <c r="BN3479" s="7">
        <v>0.0173</v>
      </c>
      <c r="BO3479" s="4">
        <v>14</v>
      </c>
      <c r="BP3479" s="8">
        <v>304.36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6347</v>
      </c>
      <c r="BX3479" s="2" t="s">
        <v>4538</v>
      </c>
      <c r="BY3479" s="2" t="s">
        <v>113</v>
      </c>
      <c r="BZ3479" s="2" t="s">
        <v>100</v>
      </c>
    </row>
    <row r="3480">
      <c r="A3480" s="2" t="s">
        <v>10828</v>
      </c>
      <c r="B3480" s="2" t="s">
        <v>9668</v>
      </c>
      <c r="C3480" s="2" t="s">
        <v>3934</v>
      </c>
      <c r="D3480" s="2" t="s">
        <v>9669</v>
      </c>
      <c r="E3480" s="2" t="s">
        <v>9670</v>
      </c>
      <c r="F3480" s="2" t="s">
        <v>10790</v>
      </c>
      <c r="G3480" s="2" t="s">
        <v>10790</v>
      </c>
      <c r="H3480" s="2" t="s">
        <v>10790</v>
      </c>
      <c r="I3480" s="2" t="s">
        <v>10791</v>
      </c>
      <c r="J3480" s="2" t="s">
        <v>1936</v>
      </c>
      <c r="K3480" s="2" t="s">
        <v>10829</v>
      </c>
      <c r="L3480" s="3">
        <v>14.89</v>
      </c>
      <c r="M3480" s="3">
        <v>15.63</v>
      </c>
      <c r="N3480" s="3">
        <v>31.99</v>
      </c>
      <c r="O3480" s="2" t="s">
        <v>97</v>
      </c>
      <c r="P3480" s="2" t="s">
        <v>119</v>
      </c>
      <c r="Q3480" s="2" t="s">
        <v>99</v>
      </c>
      <c r="R3480" s="2" t="s">
        <v>100</v>
      </c>
      <c r="S3480" s="2" t="s">
        <v>10830</v>
      </c>
      <c r="T3480" s="2" t="s">
        <v>9675</v>
      </c>
      <c r="U3480" s="2" t="s">
        <v>480</v>
      </c>
      <c r="V3480" s="2" t="s">
        <v>2661</v>
      </c>
      <c r="W3480" s="2" t="s">
        <v>183</v>
      </c>
      <c r="X3480" s="2" t="s">
        <v>104</v>
      </c>
      <c r="Y3480" s="2" t="s">
        <v>9753</v>
      </c>
      <c r="Z3480" s="4">
        <v>188</v>
      </c>
      <c r="AA3480" s="4">
        <f>=ROUNDDOWN(9.89473684210526,0)</f>
      </c>
      <c r="AB3480" s="5">
        <v>19</v>
      </c>
      <c r="AC3480" s="2" t="s">
        <v>356</v>
      </c>
      <c r="AD3480" s="4">
        <v>5148</v>
      </c>
      <c r="AE3480" s="4">
        <v>5351</v>
      </c>
      <c r="AF3480" s="6">
        <v>65</v>
      </c>
      <c r="AG3480" s="6"/>
      <c r="AH3480" s="7">
        <v>0.7326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>
        <v>7</v>
      </c>
      <c r="AQ3480" s="8">
        <v>105.84</v>
      </c>
      <c r="AR3480" s="4"/>
      <c r="AS3480" s="8"/>
      <c r="AT3480" s="7"/>
      <c r="AU3480" s="7"/>
      <c r="AV3480" s="4">
        <v>16</v>
      </c>
      <c r="AW3480" s="8">
        <v>269.13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>
        <v>0.3933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>
        <v>0.0864</v>
      </c>
      <c r="BJ3480" s="4">
        <v>306</v>
      </c>
      <c r="BK3480" s="8">
        <v>5266.9</v>
      </c>
      <c r="BL3480" s="2" t="s">
        <v>5127</v>
      </c>
      <c r="BM3480" s="7">
        <v>0.0229</v>
      </c>
      <c r="BN3480" s="7">
        <v>0.0201</v>
      </c>
      <c r="BO3480" s="4">
        <v>7</v>
      </c>
      <c r="BP3480" s="8">
        <v>105.84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6347</v>
      </c>
      <c r="BX3480" s="2" t="s">
        <v>1940</v>
      </c>
      <c r="BY3480" s="2" t="s">
        <v>113</v>
      </c>
      <c r="BZ3480" s="2" t="s">
        <v>100</v>
      </c>
    </row>
    <row r="3481">
      <c r="A3481" s="2" t="s">
        <v>10831</v>
      </c>
      <c r="B3481" s="2" t="s">
        <v>9668</v>
      </c>
      <c r="C3481" s="2" t="s">
        <v>3934</v>
      </c>
      <c r="D3481" s="2" t="s">
        <v>9669</v>
      </c>
      <c r="E3481" s="2" t="s">
        <v>9670</v>
      </c>
      <c r="F3481" s="2" t="s">
        <v>10790</v>
      </c>
      <c r="G3481" s="2" t="s">
        <v>10790</v>
      </c>
      <c r="H3481" s="2" t="s">
        <v>10790</v>
      </c>
      <c r="I3481" s="2" t="s">
        <v>10791</v>
      </c>
      <c r="J3481" s="2" t="s">
        <v>2072</v>
      </c>
      <c r="K3481" s="2" t="s">
        <v>10829</v>
      </c>
      <c r="L3481" s="3">
        <v>15.22</v>
      </c>
      <c r="M3481" s="3">
        <v>15.98</v>
      </c>
      <c r="N3481" s="3">
        <v>32.99</v>
      </c>
      <c r="O3481" s="2" t="s">
        <v>97</v>
      </c>
      <c r="P3481" s="2" t="s">
        <v>119</v>
      </c>
      <c r="Q3481" s="2" t="s">
        <v>99</v>
      </c>
      <c r="R3481" s="2" t="s">
        <v>100</v>
      </c>
      <c r="S3481" s="2" t="s">
        <v>10830</v>
      </c>
      <c r="T3481" s="2" t="s">
        <v>9675</v>
      </c>
      <c r="U3481" s="2" t="s">
        <v>480</v>
      </c>
      <c r="V3481" s="2" t="s">
        <v>2661</v>
      </c>
      <c r="W3481" s="2" t="s">
        <v>183</v>
      </c>
      <c r="X3481" s="2" t="s">
        <v>104</v>
      </c>
      <c r="Y3481" s="2" t="s">
        <v>9753</v>
      </c>
      <c r="Z3481" s="4">
        <v>175</v>
      </c>
      <c r="AA3481" s="4">
        <f>=ROUNDDOWN(19.4444444444444,0)</f>
      </c>
      <c r="AB3481" s="5">
        <v>9</v>
      </c>
      <c r="AC3481" s="2" t="s">
        <v>356</v>
      </c>
      <c r="AD3481" s="4">
        <v>2556</v>
      </c>
      <c r="AE3481" s="4">
        <v>2666</v>
      </c>
      <c r="AF3481" s="6">
        <v>65</v>
      </c>
      <c r="AG3481" s="6"/>
      <c r="AH3481" s="7">
        <v>0.738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>
        <v>5</v>
      </c>
      <c r="AQ3481" s="8">
        <v>78.75</v>
      </c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>
        <v>0.2926</v>
      </c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 t="s">
        <v>100</v>
      </c>
      <c r="BJ3481" s="4">
        <v>106</v>
      </c>
      <c r="BK3481" s="8">
        <v>1873.88</v>
      </c>
      <c r="BL3481" s="2" t="s">
        <v>10832</v>
      </c>
      <c r="BM3481" s="7">
        <v>0.0472</v>
      </c>
      <c r="BN3481" s="7">
        <v>0.042</v>
      </c>
      <c r="BO3481" s="4">
        <v>5</v>
      </c>
      <c r="BP3481" s="8">
        <v>78.75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6347</v>
      </c>
      <c r="BX3481" s="2" t="s">
        <v>5325</v>
      </c>
      <c r="BY3481" s="2" t="s">
        <v>113</v>
      </c>
      <c r="BZ3481" s="2" t="s">
        <v>100</v>
      </c>
    </row>
    <row r="3482">
      <c r="A3482" s="2" t="s">
        <v>10833</v>
      </c>
      <c r="B3482" s="2" t="s">
        <v>9668</v>
      </c>
      <c r="C3482" s="2" t="s">
        <v>3934</v>
      </c>
      <c r="D3482" s="2" t="s">
        <v>9669</v>
      </c>
      <c r="E3482" s="2" t="s">
        <v>9670</v>
      </c>
      <c r="F3482" s="2" t="s">
        <v>10790</v>
      </c>
      <c r="G3482" s="2" t="s">
        <v>10790</v>
      </c>
      <c r="H3482" s="2" t="s">
        <v>10790</v>
      </c>
      <c r="I3482" s="2" t="s">
        <v>10791</v>
      </c>
      <c r="J3482" s="2" t="s">
        <v>717</v>
      </c>
      <c r="K3482" s="2" t="s">
        <v>10829</v>
      </c>
      <c r="L3482" s="3">
        <v>19.13</v>
      </c>
      <c r="M3482" s="3">
        <v>20.09</v>
      </c>
      <c r="N3482" s="3">
        <v>42.99</v>
      </c>
      <c r="O3482" s="2" t="s">
        <v>97</v>
      </c>
      <c r="P3482" s="2" t="s">
        <v>119</v>
      </c>
      <c r="Q3482" s="2" t="s">
        <v>99</v>
      </c>
      <c r="R3482" s="2" t="s">
        <v>100</v>
      </c>
      <c r="S3482" s="2" t="s">
        <v>10830</v>
      </c>
      <c r="T3482" s="2" t="s">
        <v>9675</v>
      </c>
      <c r="U3482" s="2" t="s">
        <v>402</v>
      </c>
      <c r="V3482" s="2" t="s">
        <v>2661</v>
      </c>
      <c r="W3482" s="2" t="s">
        <v>183</v>
      </c>
      <c r="X3482" s="2" t="s">
        <v>104</v>
      </c>
      <c r="Y3482" s="2" t="s">
        <v>9753</v>
      </c>
      <c r="Z3482" s="4">
        <v>275</v>
      </c>
      <c r="AA3482" s="4">
        <f>=ROUNDDOWN(22.9166666666667,0)</f>
      </c>
      <c r="AB3482" s="5">
        <v>12</v>
      </c>
      <c r="AC3482" s="2" t="s">
        <v>356</v>
      </c>
      <c r="AD3482" s="4">
        <v>3816</v>
      </c>
      <c r="AE3482" s="4">
        <v>3972</v>
      </c>
      <c r="AF3482" s="6">
        <v>65</v>
      </c>
      <c r="AG3482" s="6"/>
      <c r="AH3482" s="7">
        <v>0.738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>
        <v>1</v>
      </c>
      <c r="AQ3482" s="8">
        <v>19.32</v>
      </c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>
        <v>0.0718</v>
      </c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 t="s">
        <v>100</v>
      </c>
      <c r="BJ3482" s="4">
        <v>163</v>
      </c>
      <c r="BK3482" s="8">
        <v>3575.19</v>
      </c>
      <c r="BL3482" s="2" t="s">
        <v>9950</v>
      </c>
      <c r="BM3482" s="7">
        <v>0.0061</v>
      </c>
      <c r="BN3482" s="7">
        <v>0.0054</v>
      </c>
      <c r="BO3482" s="4">
        <v>1</v>
      </c>
      <c r="BP3482" s="8">
        <v>19.32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6347</v>
      </c>
      <c r="BX3482" s="2" t="s">
        <v>1663</v>
      </c>
      <c r="BY3482" s="2" t="s">
        <v>113</v>
      </c>
      <c r="BZ3482" s="2" t="s">
        <v>100</v>
      </c>
    </row>
    <row r="3483">
      <c r="A3483" s="2" t="s">
        <v>10834</v>
      </c>
      <c r="B3483" s="2" t="s">
        <v>9668</v>
      </c>
      <c r="C3483" s="2" t="s">
        <v>3934</v>
      </c>
      <c r="D3483" s="2" t="s">
        <v>9669</v>
      </c>
      <c r="E3483" s="2" t="s">
        <v>9670</v>
      </c>
      <c r="F3483" s="2" t="s">
        <v>10790</v>
      </c>
      <c r="G3483" s="2" t="s">
        <v>10790</v>
      </c>
      <c r="H3483" s="2" t="s">
        <v>10790</v>
      </c>
      <c r="I3483" s="2" t="s">
        <v>10791</v>
      </c>
      <c r="J3483" s="2" t="s">
        <v>706</v>
      </c>
      <c r="K3483" s="2" t="s">
        <v>10829</v>
      </c>
      <c r="L3483" s="3">
        <v>21.27</v>
      </c>
      <c r="M3483" s="3">
        <v>22.33</v>
      </c>
      <c r="N3483" s="3">
        <v>47.99</v>
      </c>
      <c r="O3483" s="2" t="s">
        <v>97</v>
      </c>
      <c r="P3483" s="2" t="s">
        <v>119</v>
      </c>
      <c r="Q3483" s="2" t="s">
        <v>99</v>
      </c>
      <c r="R3483" s="2" t="s">
        <v>100</v>
      </c>
      <c r="S3483" s="2" t="s">
        <v>10830</v>
      </c>
      <c r="T3483" s="2" t="s">
        <v>9675</v>
      </c>
      <c r="U3483" s="2" t="s">
        <v>402</v>
      </c>
      <c r="V3483" s="2" t="s">
        <v>2661</v>
      </c>
      <c r="W3483" s="2" t="s">
        <v>183</v>
      </c>
      <c r="X3483" s="2" t="s">
        <v>104</v>
      </c>
      <c r="Y3483" s="2" t="s">
        <v>9753</v>
      </c>
      <c r="Z3483" s="4">
        <v>269</v>
      </c>
      <c r="AA3483" s="4">
        <f>=ROUNDDOWN(26.9,0)</f>
      </c>
      <c r="AB3483" s="5">
        <v>10</v>
      </c>
      <c r="AC3483" s="2" t="s">
        <v>356</v>
      </c>
      <c r="AD3483" s="4">
        <v>3456</v>
      </c>
      <c r="AE3483" s="4">
        <v>3592</v>
      </c>
      <c r="AF3483" s="6">
        <v>65</v>
      </c>
      <c r="AG3483" s="6"/>
      <c r="AH3483" s="7">
        <v>0.738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>
        <v>3</v>
      </c>
      <c r="AQ3483" s="8">
        <v>65.22</v>
      </c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>
        <v>0.2423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 t="s">
        <v>100</v>
      </c>
      <c r="BJ3483" s="4">
        <v>143</v>
      </c>
      <c r="BK3483" s="8">
        <v>3528.73</v>
      </c>
      <c r="BL3483" s="2" t="s">
        <v>9757</v>
      </c>
      <c r="BM3483" s="7">
        <v>0.021</v>
      </c>
      <c r="BN3483" s="7">
        <v>0.0185</v>
      </c>
      <c r="BO3483" s="4">
        <v>3</v>
      </c>
      <c r="BP3483" s="8">
        <v>65.22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6347</v>
      </c>
      <c r="BX3483" s="2" t="s">
        <v>837</v>
      </c>
      <c r="BY3483" s="2" t="s">
        <v>113</v>
      </c>
      <c r="BZ3483" s="2" t="s">
        <v>100</v>
      </c>
    </row>
    <row r="3484">
      <c r="A3484" s="2" t="s">
        <v>10835</v>
      </c>
      <c r="B3484" s="2" t="s">
        <v>9668</v>
      </c>
      <c r="C3484" s="2" t="s">
        <v>3934</v>
      </c>
      <c r="D3484" s="2" t="s">
        <v>9669</v>
      </c>
      <c r="E3484" s="2" t="s">
        <v>9670</v>
      </c>
      <c r="F3484" s="2" t="s">
        <v>10790</v>
      </c>
      <c r="G3484" s="2" t="s">
        <v>10790</v>
      </c>
      <c r="H3484" s="2" t="s">
        <v>10790</v>
      </c>
      <c r="I3484" s="2" t="s">
        <v>10791</v>
      </c>
      <c r="J3484" s="2" t="s">
        <v>1936</v>
      </c>
      <c r="K3484" s="2" t="s">
        <v>10836</v>
      </c>
      <c r="L3484" s="3">
        <v>14.89</v>
      </c>
      <c r="M3484" s="3">
        <v>15.63</v>
      </c>
      <c r="N3484" s="3">
        <v>31.99</v>
      </c>
      <c r="O3484" s="2" t="s">
        <v>97</v>
      </c>
      <c r="P3484" s="2" t="s">
        <v>307</v>
      </c>
      <c r="Q3484" s="2" t="s">
        <v>99</v>
      </c>
      <c r="R3484" s="2" t="s">
        <v>100</v>
      </c>
      <c r="S3484" s="2" t="s">
        <v>10837</v>
      </c>
      <c r="T3484" s="2" t="s">
        <v>9675</v>
      </c>
      <c r="U3484" s="2" t="s">
        <v>480</v>
      </c>
      <c r="V3484" s="2" t="s">
        <v>3937</v>
      </c>
      <c r="W3484" s="2" t="s">
        <v>183</v>
      </c>
      <c r="X3484" s="2" t="s">
        <v>104</v>
      </c>
      <c r="Y3484" s="2" t="s">
        <v>10635</v>
      </c>
      <c r="Z3484" s="4">
        <v>420</v>
      </c>
      <c r="AA3484" s="4">
        <f>=ROUNDDOWN(5.67567567567568,0)</f>
      </c>
      <c r="AB3484" s="5">
        <v>74</v>
      </c>
      <c r="AC3484" s="2" t="s">
        <v>356</v>
      </c>
      <c r="AD3484" s="4">
        <v>15192</v>
      </c>
      <c r="AE3484" s="4">
        <v>16399</v>
      </c>
      <c r="AF3484" s="6">
        <v>65</v>
      </c>
      <c r="AG3484" s="6"/>
      <c r="AH3484" s="7">
        <v>0.7112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>
        <v>3</v>
      </c>
      <c r="AQ3484" s="8">
        <v>45.36</v>
      </c>
      <c r="AR3484" s="4"/>
      <c r="AS3484" s="8"/>
      <c r="AT3484" s="7"/>
      <c r="AU3484" s="7"/>
      <c r="AV3484" s="4">
        <v>13</v>
      </c>
      <c r="AW3484" s="8">
        <v>217.14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>
        <v>0.2089</v>
      </c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>
        <v>0.0697</v>
      </c>
      <c r="BJ3484" s="4">
        <v>1668</v>
      </c>
      <c r="BK3484" s="8">
        <v>29507.23</v>
      </c>
      <c r="BL3484" s="2" t="s">
        <v>843</v>
      </c>
      <c r="BM3484" s="7">
        <v>0.0018</v>
      </c>
      <c r="BN3484" s="7">
        <v>0.0015</v>
      </c>
      <c r="BO3484" s="4">
        <v>3</v>
      </c>
      <c r="BP3484" s="8">
        <v>45.36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6347</v>
      </c>
      <c r="BX3484" s="2" t="s">
        <v>837</v>
      </c>
      <c r="BY3484" s="2" t="s">
        <v>113</v>
      </c>
      <c r="BZ3484" s="2" t="s">
        <v>100</v>
      </c>
    </row>
    <row r="3485">
      <c r="A3485" s="2" t="s">
        <v>10838</v>
      </c>
      <c r="B3485" s="2" t="s">
        <v>9668</v>
      </c>
      <c r="C3485" s="2" t="s">
        <v>3934</v>
      </c>
      <c r="D3485" s="2" t="s">
        <v>9669</v>
      </c>
      <c r="E3485" s="2" t="s">
        <v>9670</v>
      </c>
      <c r="F3485" s="2" t="s">
        <v>10790</v>
      </c>
      <c r="G3485" s="2" t="s">
        <v>10790</v>
      </c>
      <c r="H3485" s="2" t="s">
        <v>10790</v>
      </c>
      <c r="I3485" s="2" t="s">
        <v>10791</v>
      </c>
      <c r="J3485" s="2" t="s">
        <v>2072</v>
      </c>
      <c r="K3485" s="2" t="s">
        <v>10836</v>
      </c>
      <c r="L3485" s="3">
        <v>15.22</v>
      </c>
      <c r="M3485" s="3">
        <v>15.98</v>
      </c>
      <c r="N3485" s="3">
        <v>32.99</v>
      </c>
      <c r="O3485" s="2" t="s">
        <v>97</v>
      </c>
      <c r="P3485" s="2" t="s">
        <v>950</v>
      </c>
      <c r="Q3485" s="2" t="s">
        <v>99</v>
      </c>
      <c r="R3485" s="2" t="s">
        <v>100</v>
      </c>
      <c r="S3485" s="2" t="s">
        <v>10837</v>
      </c>
      <c r="T3485" s="2" t="s">
        <v>9675</v>
      </c>
      <c r="U3485" s="2" t="s">
        <v>480</v>
      </c>
      <c r="V3485" s="2" t="s">
        <v>3937</v>
      </c>
      <c r="W3485" s="2" t="s">
        <v>183</v>
      </c>
      <c r="X3485" s="2" t="s">
        <v>104</v>
      </c>
      <c r="Y3485" s="2" t="s">
        <v>10635</v>
      </c>
      <c r="Z3485" s="4">
        <v>193</v>
      </c>
      <c r="AA3485" s="4">
        <f>=ROUNDDOWN(6.2258064516129,0)</f>
      </c>
      <c r="AB3485" s="5">
        <v>31</v>
      </c>
      <c r="AC3485" s="2" t="s">
        <v>356</v>
      </c>
      <c r="AD3485" s="4">
        <v>6948</v>
      </c>
      <c r="AE3485" s="4">
        <v>7444</v>
      </c>
      <c r="AF3485" s="6">
        <v>65</v>
      </c>
      <c r="AG3485" s="6"/>
      <c r="AH3485" s="7">
        <v>0.6524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>
        <v>6</v>
      </c>
      <c r="AQ3485" s="8">
        <v>94.5</v>
      </c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>
        <v>0.4352</v>
      </c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 t="s">
        <v>100</v>
      </c>
      <c r="BJ3485" s="4">
        <v>713</v>
      </c>
      <c r="BK3485" s="8">
        <v>13077.66</v>
      </c>
      <c r="BL3485" s="2" t="s">
        <v>5149</v>
      </c>
      <c r="BM3485" s="7">
        <v>0.0084</v>
      </c>
      <c r="BN3485" s="7">
        <v>0.0072</v>
      </c>
      <c r="BO3485" s="4">
        <v>6</v>
      </c>
      <c r="BP3485" s="8">
        <v>94.5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6347</v>
      </c>
      <c r="BX3485" s="2" t="s">
        <v>2016</v>
      </c>
      <c r="BY3485" s="2" t="s">
        <v>113</v>
      </c>
      <c r="BZ3485" s="2" t="s">
        <v>100</v>
      </c>
    </row>
    <row r="3486">
      <c r="A3486" s="2" t="s">
        <v>10839</v>
      </c>
      <c r="B3486" s="2" t="s">
        <v>9668</v>
      </c>
      <c r="C3486" s="2" t="s">
        <v>3934</v>
      </c>
      <c r="D3486" s="2" t="s">
        <v>9669</v>
      </c>
      <c r="E3486" s="2" t="s">
        <v>9670</v>
      </c>
      <c r="F3486" s="2" t="s">
        <v>10790</v>
      </c>
      <c r="G3486" s="2" t="s">
        <v>10790</v>
      </c>
      <c r="H3486" s="2" t="s">
        <v>10790</v>
      </c>
      <c r="I3486" s="2" t="s">
        <v>10791</v>
      </c>
      <c r="J3486" s="2" t="s">
        <v>717</v>
      </c>
      <c r="K3486" s="2" t="s">
        <v>10836</v>
      </c>
      <c r="L3486" s="3">
        <v>19.13</v>
      </c>
      <c r="M3486" s="3">
        <v>20.09</v>
      </c>
      <c r="N3486" s="3">
        <v>42.99</v>
      </c>
      <c r="O3486" s="2" t="s">
        <v>97</v>
      </c>
      <c r="P3486" s="2" t="s">
        <v>119</v>
      </c>
      <c r="Q3486" s="2" t="s">
        <v>99</v>
      </c>
      <c r="R3486" s="2" t="s">
        <v>100</v>
      </c>
      <c r="S3486" s="2" t="s">
        <v>10837</v>
      </c>
      <c r="T3486" s="2" t="s">
        <v>9675</v>
      </c>
      <c r="U3486" s="2" t="s">
        <v>402</v>
      </c>
      <c r="V3486" s="2" t="s">
        <v>3937</v>
      </c>
      <c r="W3486" s="2" t="s">
        <v>183</v>
      </c>
      <c r="X3486" s="2" t="s">
        <v>104</v>
      </c>
      <c r="Y3486" s="2" t="s">
        <v>10635</v>
      </c>
      <c r="Z3486" s="4">
        <v>416</v>
      </c>
      <c r="AA3486" s="4">
        <f>=ROUNDDOWN(23.1111111111111,0)</f>
      </c>
      <c r="AB3486" s="5">
        <v>18</v>
      </c>
      <c r="AC3486" s="2" t="s">
        <v>356</v>
      </c>
      <c r="AD3486" s="4">
        <v>4644</v>
      </c>
      <c r="AE3486" s="4">
        <v>4814</v>
      </c>
      <c r="AF3486" s="6">
        <v>65</v>
      </c>
      <c r="AG3486" s="6"/>
      <c r="AH3486" s="7">
        <v>0.738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>
        <v>4</v>
      </c>
      <c r="AQ3486" s="8">
        <v>77.28</v>
      </c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>
        <v>0.3559</v>
      </c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 t="s">
        <v>100</v>
      </c>
      <c r="BJ3486" s="4">
        <v>177</v>
      </c>
      <c r="BK3486" s="8">
        <v>3943.06</v>
      </c>
      <c r="BL3486" s="2" t="s">
        <v>10840</v>
      </c>
      <c r="BM3486" s="7">
        <v>0.0226</v>
      </c>
      <c r="BN3486" s="7">
        <v>0.0196</v>
      </c>
      <c r="BO3486" s="4">
        <v>4</v>
      </c>
      <c r="BP3486" s="8">
        <v>77.28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6347</v>
      </c>
      <c r="BX3486" s="2" t="s">
        <v>10841</v>
      </c>
      <c r="BY3486" s="2" t="s">
        <v>113</v>
      </c>
      <c r="BZ3486" s="2" t="s">
        <v>100</v>
      </c>
    </row>
    <row r="3487">
      <c r="A3487" s="2" t="s">
        <v>10842</v>
      </c>
      <c r="B3487" s="2" t="s">
        <v>9668</v>
      </c>
      <c r="C3487" s="2" t="s">
        <v>3934</v>
      </c>
      <c r="D3487" s="2" t="s">
        <v>9669</v>
      </c>
      <c r="E3487" s="2" t="s">
        <v>9670</v>
      </c>
      <c r="F3487" s="2" t="s">
        <v>10790</v>
      </c>
      <c r="G3487" s="2" t="s">
        <v>10790</v>
      </c>
      <c r="H3487" s="2" t="s">
        <v>10790</v>
      </c>
      <c r="I3487" s="2" t="s">
        <v>10791</v>
      </c>
      <c r="J3487" s="2" t="s">
        <v>1936</v>
      </c>
      <c r="K3487" s="2" t="s">
        <v>10843</v>
      </c>
      <c r="L3487" s="3">
        <v>14.89</v>
      </c>
      <c r="M3487" s="3">
        <v>15.63</v>
      </c>
      <c r="N3487" s="3">
        <v>31.99</v>
      </c>
      <c r="O3487" s="2" t="s">
        <v>97</v>
      </c>
      <c r="P3487" s="2" t="s">
        <v>119</v>
      </c>
      <c r="Q3487" s="2" t="s">
        <v>99</v>
      </c>
      <c r="R3487" s="2" t="s">
        <v>100</v>
      </c>
      <c r="S3487" s="2" t="s">
        <v>10844</v>
      </c>
      <c r="T3487" s="2" t="s">
        <v>9675</v>
      </c>
      <c r="U3487" s="2" t="s">
        <v>480</v>
      </c>
      <c r="V3487" s="2" t="s">
        <v>3937</v>
      </c>
      <c r="W3487" s="2" t="s">
        <v>183</v>
      </c>
      <c r="X3487" s="2" t="s">
        <v>104</v>
      </c>
      <c r="Y3487" s="2" t="s">
        <v>10635</v>
      </c>
      <c r="Z3487" s="4">
        <v>160</v>
      </c>
      <c r="AA3487" s="4">
        <f>=ROUNDDOWN(6.4,0)</f>
      </c>
      <c r="AB3487" s="5">
        <v>25</v>
      </c>
      <c r="AC3487" s="2" t="s">
        <v>356</v>
      </c>
      <c r="AD3487" s="4">
        <v>5760</v>
      </c>
      <c r="AE3487" s="4">
        <v>6210</v>
      </c>
      <c r="AF3487" s="6">
        <v>65</v>
      </c>
      <c r="AG3487" s="6"/>
      <c r="AH3487" s="7">
        <v>0.6417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>
        <v>12</v>
      </c>
      <c r="AW3487" s="8">
        <v>211.69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0.0679</v>
      </c>
      <c r="BJ3487" s="4">
        <v>578</v>
      </c>
      <c r="BK3487" s="8">
        <v>10051.82</v>
      </c>
      <c r="BL3487" s="2" t="s">
        <v>5154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6347</v>
      </c>
      <c r="BX3487" s="2" t="s">
        <v>10841</v>
      </c>
      <c r="BY3487" s="2" t="s">
        <v>113</v>
      </c>
      <c r="BZ3487" s="2" t="s">
        <v>100</v>
      </c>
    </row>
    <row r="3488">
      <c r="A3488" s="2" t="s">
        <v>10845</v>
      </c>
      <c r="B3488" s="2" t="s">
        <v>9668</v>
      </c>
      <c r="C3488" s="2" t="s">
        <v>3934</v>
      </c>
      <c r="D3488" s="2" t="s">
        <v>9669</v>
      </c>
      <c r="E3488" s="2" t="s">
        <v>9670</v>
      </c>
      <c r="F3488" s="2" t="s">
        <v>10790</v>
      </c>
      <c r="G3488" s="2" t="s">
        <v>10790</v>
      </c>
      <c r="H3488" s="2" t="s">
        <v>10790</v>
      </c>
      <c r="I3488" s="2" t="s">
        <v>10791</v>
      </c>
      <c r="J3488" s="2" t="s">
        <v>2072</v>
      </c>
      <c r="K3488" s="2" t="s">
        <v>10843</v>
      </c>
      <c r="L3488" s="3">
        <v>15.22</v>
      </c>
      <c r="M3488" s="3">
        <v>15.98</v>
      </c>
      <c r="N3488" s="3">
        <v>32.99</v>
      </c>
      <c r="O3488" s="2" t="s">
        <v>97</v>
      </c>
      <c r="P3488" s="2" t="s">
        <v>119</v>
      </c>
      <c r="Q3488" s="2" t="s">
        <v>99</v>
      </c>
      <c r="R3488" s="2" t="s">
        <v>100</v>
      </c>
      <c r="S3488" s="2" t="s">
        <v>10844</v>
      </c>
      <c r="T3488" s="2" t="s">
        <v>9675</v>
      </c>
      <c r="U3488" s="2" t="s">
        <v>480</v>
      </c>
      <c r="V3488" s="2" t="s">
        <v>3937</v>
      </c>
      <c r="W3488" s="2" t="s">
        <v>183</v>
      </c>
      <c r="X3488" s="2" t="s">
        <v>104</v>
      </c>
      <c r="Y3488" s="2" t="s">
        <v>10635</v>
      </c>
      <c r="Z3488" s="4">
        <v>137</v>
      </c>
      <c r="AA3488" s="4">
        <f>=ROUNDDOWN(9.13333333333333,0)</f>
      </c>
      <c r="AB3488" s="5">
        <v>15</v>
      </c>
      <c r="AC3488" s="2" t="s">
        <v>356</v>
      </c>
      <c r="AD3488" s="4">
        <v>3384</v>
      </c>
      <c r="AE3488" s="4">
        <v>3509</v>
      </c>
      <c r="AF3488" s="6">
        <v>65</v>
      </c>
      <c r="AG3488" s="6"/>
      <c r="AH3488" s="7">
        <v>0.7219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>
        <v>7</v>
      </c>
      <c r="AQ3488" s="8">
        <v>110.25</v>
      </c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>
        <v>0.5208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 t="s">
        <v>100</v>
      </c>
      <c r="BJ3488" s="4">
        <v>272</v>
      </c>
      <c r="BK3488" s="8">
        <v>5132.58</v>
      </c>
      <c r="BL3488" s="2" t="s">
        <v>10840</v>
      </c>
      <c r="BM3488" s="7">
        <v>0.0257</v>
      </c>
      <c r="BN3488" s="7">
        <v>0.0215</v>
      </c>
      <c r="BO3488" s="4">
        <v>7</v>
      </c>
      <c r="BP3488" s="8">
        <v>110.25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6347</v>
      </c>
      <c r="BX3488" s="2" t="s">
        <v>787</v>
      </c>
      <c r="BY3488" s="2" t="s">
        <v>113</v>
      </c>
      <c r="BZ3488" s="2" t="s">
        <v>100</v>
      </c>
    </row>
    <row r="3489">
      <c r="A3489" s="2" t="s">
        <v>10846</v>
      </c>
      <c r="B3489" s="2" t="s">
        <v>9668</v>
      </c>
      <c r="C3489" s="2" t="s">
        <v>3934</v>
      </c>
      <c r="D3489" s="2" t="s">
        <v>9669</v>
      </c>
      <c r="E3489" s="2" t="s">
        <v>9670</v>
      </c>
      <c r="F3489" s="2" t="s">
        <v>10790</v>
      </c>
      <c r="G3489" s="2" t="s">
        <v>10790</v>
      </c>
      <c r="H3489" s="2" t="s">
        <v>10790</v>
      </c>
      <c r="I3489" s="2" t="s">
        <v>10791</v>
      </c>
      <c r="J3489" s="2" t="s">
        <v>717</v>
      </c>
      <c r="K3489" s="2" t="s">
        <v>10843</v>
      </c>
      <c r="L3489" s="3">
        <v>19.13</v>
      </c>
      <c r="M3489" s="3">
        <v>20.09</v>
      </c>
      <c r="N3489" s="3">
        <v>42.99</v>
      </c>
      <c r="O3489" s="2" t="s">
        <v>97</v>
      </c>
      <c r="P3489" s="2" t="s">
        <v>950</v>
      </c>
      <c r="Q3489" s="2" t="s">
        <v>99</v>
      </c>
      <c r="R3489" s="2" t="s">
        <v>100</v>
      </c>
      <c r="S3489" s="2" t="s">
        <v>10844</v>
      </c>
      <c r="T3489" s="2" t="s">
        <v>9675</v>
      </c>
      <c r="U3489" s="2" t="s">
        <v>402</v>
      </c>
      <c r="V3489" s="2" t="s">
        <v>3937</v>
      </c>
      <c r="W3489" s="2" t="s">
        <v>183</v>
      </c>
      <c r="X3489" s="2" t="s">
        <v>104</v>
      </c>
      <c r="Y3489" s="2" t="s">
        <v>10635</v>
      </c>
      <c r="Z3489" s="4">
        <v>147</v>
      </c>
      <c r="AA3489" s="4">
        <f>=ROUNDDOWN(7.73684210526316,0)</f>
      </c>
      <c r="AB3489" s="5">
        <v>19</v>
      </c>
      <c r="AC3489" s="2" t="s">
        <v>356</v>
      </c>
      <c r="AD3489" s="4">
        <v>5292</v>
      </c>
      <c r="AE3489" s="4">
        <v>5682</v>
      </c>
      <c r="AF3489" s="6">
        <v>65</v>
      </c>
      <c r="AG3489" s="6"/>
      <c r="AH3489" s="7">
        <v>0.7219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>
        <v>3</v>
      </c>
      <c r="AQ3489" s="8">
        <v>57.96</v>
      </c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>
        <v>0.2738</v>
      </c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 t="s">
        <v>100</v>
      </c>
      <c r="BJ3489" s="4">
        <v>599</v>
      </c>
      <c r="BK3489" s="8">
        <v>13523.37</v>
      </c>
      <c r="BL3489" s="2" t="s">
        <v>10847</v>
      </c>
      <c r="BM3489" s="7">
        <v>0.005</v>
      </c>
      <c r="BN3489" s="7">
        <v>0.0043</v>
      </c>
      <c r="BO3489" s="4">
        <v>3</v>
      </c>
      <c r="BP3489" s="8">
        <v>57.96</v>
      </c>
      <c r="BQ3489" s="4"/>
      <c r="BR3489" s="8"/>
      <c r="BS3489" s="7"/>
      <c r="BT3489" s="7"/>
      <c r="BU3489" s="2" t="s">
        <v>109</v>
      </c>
      <c r="BV3489" s="2" t="s">
        <v>110</v>
      </c>
      <c r="BW3489" s="2" t="s">
        <v>6347</v>
      </c>
      <c r="BX3489" s="2" t="s">
        <v>10231</v>
      </c>
      <c r="BY3489" s="2" t="s">
        <v>113</v>
      </c>
      <c r="BZ3489" s="2" t="s">
        <v>100</v>
      </c>
    </row>
    <row r="3490">
      <c r="A3490" s="2" t="s">
        <v>10848</v>
      </c>
      <c r="B3490" s="2" t="s">
        <v>9668</v>
      </c>
      <c r="C3490" s="2" t="s">
        <v>3934</v>
      </c>
      <c r="D3490" s="2" t="s">
        <v>9669</v>
      </c>
      <c r="E3490" s="2" t="s">
        <v>9670</v>
      </c>
      <c r="F3490" s="2" t="s">
        <v>10790</v>
      </c>
      <c r="G3490" s="2" t="s">
        <v>10790</v>
      </c>
      <c r="H3490" s="2" t="s">
        <v>10790</v>
      </c>
      <c r="I3490" s="2" t="s">
        <v>10791</v>
      </c>
      <c r="J3490" s="2" t="s">
        <v>706</v>
      </c>
      <c r="K3490" s="2" t="s">
        <v>10843</v>
      </c>
      <c r="L3490" s="3">
        <v>21.27</v>
      </c>
      <c r="M3490" s="3">
        <v>22.33</v>
      </c>
      <c r="N3490" s="3">
        <v>47.99</v>
      </c>
      <c r="O3490" s="2" t="s">
        <v>97</v>
      </c>
      <c r="P3490" s="2" t="s">
        <v>119</v>
      </c>
      <c r="Q3490" s="2" t="s">
        <v>99</v>
      </c>
      <c r="R3490" s="2" t="s">
        <v>100</v>
      </c>
      <c r="S3490" s="2" t="s">
        <v>10844</v>
      </c>
      <c r="T3490" s="2" t="s">
        <v>9675</v>
      </c>
      <c r="U3490" s="2" t="s">
        <v>402</v>
      </c>
      <c r="V3490" s="2" t="s">
        <v>3937</v>
      </c>
      <c r="W3490" s="2" t="s">
        <v>183</v>
      </c>
      <c r="X3490" s="2" t="s">
        <v>104</v>
      </c>
      <c r="Y3490" s="2" t="s">
        <v>10635</v>
      </c>
      <c r="Z3490" s="4">
        <v>184</v>
      </c>
      <c r="AA3490" s="4">
        <f>=ROUNDDOWN(7.36,0)</f>
      </c>
      <c r="AB3490" s="5">
        <v>25</v>
      </c>
      <c r="AC3490" s="2" t="s">
        <v>356</v>
      </c>
      <c r="AD3490" s="4">
        <v>5256</v>
      </c>
      <c r="AE3490" s="4">
        <v>5630</v>
      </c>
      <c r="AF3490" s="6">
        <v>65</v>
      </c>
      <c r="AG3490" s="6"/>
      <c r="AH3490" s="7">
        <v>0.7219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>
        <v>2</v>
      </c>
      <c r="AQ3490" s="8">
        <v>43.48</v>
      </c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>
        <v>0.2054</v>
      </c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 t="s">
        <v>100</v>
      </c>
      <c r="BJ3490" s="4">
        <v>494</v>
      </c>
      <c r="BK3490" s="8">
        <v>12462.94</v>
      </c>
      <c r="BL3490" s="2" t="s">
        <v>259</v>
      </c>
      <c r="BM3490" s="7">
        <v>0.004</v>
      </c>
      <c r="BN3490" s="7">
        <v>0.0035</v>
      </c>
      <c r="BO3490" s="4">
        <v>2</v>
      </c>
      <c r="BP3490" s="8">
        <v>43.48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6347</v>
      </c>
      <c r="BX3490" s="2" t="s">
        <v>4549</v>
      </c>
      <c r="BY3490" s="2" t="s">
        <v>113</v>
      </c>
      <c r="BZ3490" s="2" t="s">
        <v>100</v>
      </c>
    </row>
    <row r="3491">
      <c r="A3491" s="2" t="s">
        <v>10849</v>
      </c>
      <c r="B3491" s="2" t="s">
        <v>9668</v>
      </c>
      <c r="C3491" s="2" t="s">
        <v>3934</v>
      </c>
      <c r="D3491" s="2" t="s">
        <v>9669</v>
      </c>
      <c r="E3491" s="2" t="s">
        <v>9670</v>
      </c>
      <c r="F3491" s="2" t="s">
        <v>10790</v>
      </c>
      <c r="G3491" s="2" t="s">
        <v>10790</v>
      </c>
      <c r="H3491" s="2" t="s">
        <v>10790</v>
      </c>
      <c r="I3491" s="2" t="s">
        <v>10791</v>
      </c>
      <c r="J3491" s="2" t="s">
        <v>1936</v>
      </c>
      <c r="K3491" s="2" t="s">
        <v>10850</v>
      </c>
      <c r="L3491" s="3">
        <v>14.89</v>
      </c>
      <c r="M3491" s="3">
        <v>15.63</v>
      </c>
      <c r="N3491" s="3">
        <v>31.99</v>
      </c>
      <c r="O3491" s="2" t="s">
        <v>97</v>
      </c>
      <c r="P3491" s="2" t="s">
        <v>950</v>
      </c>
      <c r="Q3491" s="2" t="s">
        <v>99</v>
      </c>
      <c r="R3491" s="2" t="s">
        <v>100</v>
      </c>
      <c r="S3491" s="2" t="s">
        <v>10851</v>
      </c>
      <c r="T3491" s="2" t="s">
        <v>9675</v>
      </c>
      <c r="U3491" s="2" t="s">
        <v>480</v>
      </c>
      <c r="V3491" s="2" t="s">
        <v>3937</v>
      </c>
      <c r="W3491" s="2" t="s">
        <v>183</v>
      </c>
      <c r="X3491" s="2" t="s">
        <v>104</v>
      </c>
      <c r="Y3491" s="2" t="s">
        <v>10635</v>
      </c>
      <c r="Z3491" s="4">
        <v>196</v>
      </c>
      <c r="AA3491" s="4">
        <f>=ROUNDDOWN(8.16666666666667,0)</f>
      </c>
      <c r="AB3491" s="5">
        <v>24</v>
      </c>
      <c r="AC3491" s="2" t="s">
        <v>356</v>
      </c>
      <c r="AD3491" s="4">
        <v>6084</v>
      </c>
      <c r="AE3491" s="4">
        <v>6484</v>
      </c>
      <c r="AF3491" s="6">
        <v>65</v>
      </c>
      <c r="AG3491" s="6"/>
      <c r="AH3491" s="7">
        <v>0.738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>
        <v>3</v>
      </c>
      <c r="AQ3491" s="8">
        <v>45.36</v>
      </c>
      <c r="AR3491" s="4"/>
      <c r="AS3491" s="8"/>
      <c r="AT3491" s="7"/>
      <c r="AU3491" s="7"/>
      <c r="AV3491" s="4">
        <v>11</v>
      </c>
      <c r="AW3491" s="8">
        <v>182.07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>
        <v>0.2491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0.0584</v>
      </c>
      <c r="BJ3491" s="4">
        <v>532</v>
      </c>
      <c r="BK3491" s="8">
        <v>9292.77</v>
      </c>
      <c r="BL3491" s="2" t="s">
        <v>5149</v>
      </c>
      <c r="BM3491" s="7">
        <v>0.0056</v>
      </c>
      <c r="BN3491" s="7">
        <v>0.0049</v>
      </c>
      <c r="BO3491" s="4">
        <v>3</v>
      </c>
      <c r="BP3491" s="8">
        <v>45.36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6347</v>
      </c>
      <c r="BX3491" s="2" t="s">
        <v>5458</v>
      </c>
      <c r="BY3491" s="2" t="s">
        <v>113</v>
      </c>
      <c r="BZ3491" s="2" t="s">
        <v>100</v>
      </c>
    </row>
    <row r="3492">
      <c r="A3492" s="2" t="s">
        <v>10852</v>
      </c>
      <c r="B3492" s="2" t="s">
        <v>9668</v>
      </c>
      <c r="C3492" s="2" t="s">
        <v>3934</v>
      </c>
      <c r="D3492" s="2" t="s">
        <v>9669</v>
      </c>
      <c r="E3492" s="2" t="s">
        <v>9670</v>
      </c>
      <c r="F3492" s="2" t="s">
        <v>10790</v>
      </c>
      <c r="G3492" s="2" t="s">
        <v>10790</v>
      </c>
      <c r="H3492" s="2" t="s">
        <v>10790</v>
      </c>
      <c r="I3492" s="2" t="s">
        <v>10791</v>
      </c>
      <c r="J3492" s="2" t="s">
        <v>2072</v>
      </c>
      <c r="K3492" s="2" t="s">
        <v>10850</v>
      </c>
      <c r="L3492" s="3">
        <v>15.22</v>
      </c>
      <c r="M3492" s="3">
        <v>15.98</v>
      </c>
      <c r="N3492" s="3">
        <v>32.99</v>
      </c>
      <c r="O3492" s="2" t="s">
        <v>97</v>
      </c>
      <c r="P3492" s="2" t="s">
        <v>119</v>
      </c>
      <c r="Q3492" s="2" t="s">
        <v>99</v>
      </c>
      <c r="R3492" s="2" t="s">
        <v>100</v>
      </c>
      <c r="S3492" s="2" t="s">
        <v>10851</v>
      </c>
      <c r="T3492" s="2" t="s">
        <v>9675</v>
      </c>
      <c r="U3492" s="2" t="s">
        <v>480</v>
      </c>
      <c r="V3492" s="2" t="s">
        <v>3937</v>
      </c>
      <c r="W3492" s="2" t="s">
        <v>183</v>
      </c>
      <c r="X3492" s="2" t="s">
        <v>104</v>
      </c>
      <c r="Y3492" s="2" t="s">
        <v>10635</v>
      </c>
      <c r="Z3492" s="4">
        <v>80</v>
      </c>
      <c r="AA3492" s="4">
        <f>=ROUNDDOWN(6.15384615384615,0)</f>
      </c>
      <c r="AB3492" s="5">
        <v>13</v>
      </c>
      <c r="AC3492" s="2" t="s">
        <v>356</v>
      </c>
      <c r="AD3492" s="4">
        <v>3384</v>
      </c>
      <c r="AE3492" s="4">
        <v>3454</v>
      </c>
      <c r="AF3492" s="6">
        <v>65</v>
      </c>
      <c r="AG3492" s="6"/>
      <c r="AH3492" s="7">
        <v>0.6524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>
        <v>5</v>
      </c>
      <c r="AQ3492" s="8">
        <v>78.75</v>
      </c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>
        <v>0.4325</v>
      </c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 t="s">
        <v>100</v>
      </c>
      <c r="BJ3492" s="4">
        <v>304</v>
      </c>
      <c r="BK3492" s="8">
        <v>5459.6</v>
      </c>
      <c r="BL3492" s="2" t="s">
        <v>786</v>
      </c>
      <c r="BM3492" s="7">
        <v>0.0164</v>
      </c>
      <c r="BN3492" s="7">
        <v>0.0144</v>
      </c>
      <c r="BO3492" s="4">
        <v>5</v>
      </c>
      <c r="BP3492" s="8">
        <v>78.75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6347</v>
      </c>
      <c r="BX3492" s="2" t="s">
        <v>1730</v>
      </c>
      <c r="BY3492" s="2" t="s">
        <v>113</v>
      </c>
      <c r="BZ3492" s="2" t="s">
        <v>100</v>
      </c>
    </row>
    <row r="3493">
      <c r="A3493" s="2" t="s">
        <v>10853</v>
      </c>
      <c r="B3493" s="2" t="s">
        <v>9668</v>
      </c>
      <c r="C3493" s="2" t="s">
        <v>3934</v>
      </c>
      <c r="D3493" s="2" t="s">
        <v>9669</v>
      </c>
      <c r="E3493" s="2" t="s">
        <v>9670</v>
      </c>
      <c r="F3493" s="2" t="s">
        <v>10790</v>
      </c>
      <c r="G3493" s="2" t="s">
        <v>10790</v>
      </c>
      <c r="H3493" s="2" t="s">
        <v>10790</v>
      </c>
      <c r="I3493" s="2" t="s">
        <v>10791</v>
      </c>
      <c r="J3493" s="2" t="s">
        <v>717</v>
      </c>
      <c r="K3493" s="2" t="s">
        <v>10850</v>
      </c>
      <c r="L3493" s="3">
        <v>19.13</v>
      </c>
      <c r="M3493" s="3">
        <v>20.09</v>
      </c>
      <c r="N3493" s="3">
        <v>42.99</v>
      </c>
      <c r="O3493" s="2" t="s">
        <v>97</v>
      </c>
      <c r="P3493" s="2" t="s">
        <v>119</v>
      </c>
      <c r="Q3493" s="2" t="s">
        <v>99</v>
      </c>
      <c r="R3493" s="2" t="s">
        <v>100</v>
      </c>
      <c r="S3493" s="2" t="s">
        <v>10851</v>
      </c>
      <c r="T3493" s="2" t="s">
        <v>9675</v>
      </c>
      <c r="U3493" s="2" t="s">
        <v>402</v>
      </c>
      <c r="V3493" s="2" t="s">
        <v>3937</v>
      </c>
      <c r="W3493" s="2" t="s">
        <v>183</v>
      </c>
      <c r="X3493" s="2" t="s">
        <v>104</v>
      </c>
      <c r="Y3493" s="2" t="s">
        <v>10635</v>
      </c>
      <c r="Z3493" s="4">
        <v>336</v>
      </c>
      <c r="AA3493" s="4">
        <f>=ROUNDDOWN(24,0)</f>
      </c>
      <c r="AB3493" s="5">
        <v>14</v>
      </c>
      <c r="AC3493" s="2" t="s">
        <v>356</v>
      </c>
      <c r="AD3493" s="4">
        <v>3852</v>
      </c>
      <c r="AE3493" s="4">
        <v>3932</v>
      </c>
      <c r="AF3493" s="6">
        <v>65</v>
      </c>
      <c r="AG3493" s="6"/>
      <c r="AH3493" s="7">
        <v>0.738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>
        <v>3</v>
      </c>
      <c r="AQ3493" s="8">
        <v>57.96</v>
      </c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>
        <v>0.3183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 t="s">
        <v>100</v>
      </c>
      <c r="BJ3493" s="4">
        <v>133</v>
      </c>
      <c r="BK3493" s="8">
        <v>2983.81</v>
      </c>
      <c r="BL3493" s="2" t="s">
        <v>10854</v>
      </c>
      <c r="BM3493" s="7">
        <v>0.0226</v>
      </c>
      <c r="BN3493" s="7">
        <v>0.0194</v>
      </c>
      <c r="BO3493" s="4">
        <v>3</v>
      </c>
      <c r="BP3493" s="8">
        <v>57.96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6347</v>
      </c>
      <c r="BX3493" s="2" t="s">
        <v>622</v>
      </c>
      <c r="BY3493" s="2" t="s">
        <v>113</v>
      </c>
      <c r="BZ3493" s="2" t="s">
        <v>100</v>
      </c>
    </row>
    <row r="3494">
      <c r="A3494" s="2" t="s">
        <v>10855</v>
      </c>
      <c r="B3494" s="2" t="s">
        <v>9668</v>
      </c>
      <c r="C3494" s="2" t="s">
        <v>3934</v>
      </c>
      <c r="D3494" s="2" t="s">
        <v>9669</v>
      </c>
      <c r="E3494" s="2" t="s">
        <v>9670</v>
      </c>
      <c r="F3494" s="2" t="s">
        <v>10790</v>
      </c>
      <c r="G3494" s="2" t="s">
        <v>10790</v>
      </c>
      <c r="H3494" s="2" t="s">
        <v>10790</v>
      </c>
      <c r="I3494" s="2" t="s">
        <v>10791</v>
      </c>
      <c r="J3494" s="2" t="s">
        <v>717</v>
      </c>
      <c r="K3494" s="2" t="s">
        <v>10856</v>
      </c>
      <c r="L3494" s="3">
        <v>19.13</v>
      </c>
      <c r="M3494" s="3">
        <v>20.09</v>
      </c>
      <c r="N3494" s="3">
        <v>42.99</v>
      </c>
      <c r="O3494" s="2" t="s">
        <v>97</v>
      </c>
      <c r="P3494" s="2" t="s">
        <v>119</v>
      </c>
      <c r="Q3494" s="2" t="s">
        <v>99</v>
      </c>
      <c r="R3494" s="2" t="s">
        <v>100</v>
      </c>
      <c r="S3494" s="2" t="s">
        <v>10857</v>
      </c>
      <c r="T3494" s="2" t="s">
        <v>9675</v>
      </c>
      <c r="U3494" s="2" t="s">
        <v>402</v>
      </c>
      <c r="V3494" s="2" t="s">
        <v>3937</v>
      </c>
      <c r="W3494" s="2" t="s">
        <v>183</v>
      </c>
      <c r="X3494" s="2" t="s">
        <v>104</v>
      </c>
      <c r="Y3494" s="2" t="s">
        <v>10635</v>
      </c>
      <c r="Z3494" s="4">
        <v>99</v>
      </c>
      <c r="AA3494" s="4">
        <f>=ROUNDDOWN(6.6,0)</f>
      </c>
      <c r="AB3494" s="5">
        <v>15</v>
      </c>
      <c r="AC3494" s="2" t="s">
        <v>356</v>
      </c>
      <c r="AD3494" s="4">
        <v>3672</v>
      </c>
      <c r="AE3494" s="4">
        <v>3804</v>
      </c>
      <c r="AF3494" s="6">
        <v>65</v>
      </c>
      <c r="AG3494" s="6"/>
      <c r="AH3494" s="7">
        <v>0.5348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>
        <v>2</v>
      </c>
      <c r="AW3494" s="8">
        <v>43.48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>
        <v>0.014</v>
      </c>
      <c r="BJ3494" s="4">
        <v>394</v>
      </c>
      <c r="BK3494" s="8">
        <v>8830.41</v>
      </c>
      <c r="BL3494" s="2" t="s">
        <v>2688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6347</v>
      </c>
      <c r="BX3494" s="2" t="s">
        <v>711</v>
      </c>
      <c r="BY3494" s="2" t="s">
        <v>113</v>
      </c>
      <c r="BZ3494" s="2" t="s">
        <v>100</v>
      </c>
    </row>
    <row r="3495">
      <c r="A3495" s="2" t="s">
        <v>10858</v>
      </c>
      <c r="B3495" s="2" t="s">
        <v>9668</v>
      </c>
      <c r="C3495" s="2" t="s">
        <v>3934</v>
      </c>
      <c r="D3495" s="2" t="s">
        <v>9669</v>
      </c>
      <c r="E3495" s="2" t="s">
        <v>9670</v>
      </c>
      <c r="F3495" s="2" t="s">
        <v>10790</v>
      </c>
      <c r="G3495" s="2" t="s">
        <v>10790</v>
      </c>
      <c r="H3495" s="2" t="s">
        <v>10790</v>
      </c>
      <c r="I3495" s="2" t="s">
        <v>10791</v>
      </c>
      <c r="J3495" s="2" t="s">
        <v>706</v>
      </c>
      <c r="K3495" s="2" t="s">
        <v>10856</v>
      </c>
      <c r="L3495" s="3">
        <v>21.27</v>
      </c>
      <c r="M3495" s="3">
        <v>22.33</v>
      </c>
      <c r="N3495" s="3">
        <v>47.99</v>
      </c>
      <c r="O3495" s="2" t="s">
        <v>97</v>
      </c>
      <c r="P3495" s="2" t="s">
        <v>119</v>
      </c>
      <c r="Q3495" s="2" t="s">
        <v>99</v>
      </c>
      <c r="R3495" s="2" t="s">
        <v>100</v>
      </c>
      <c r="S3495" s="2" t="s">
        <v>10857</v>
      </c>
      <c r="T3495" s="2" t="s">
        <v>9675</v>
      </c>
      <c r="U3495" s="2" t="s">
        <v>402</v>
      </c>
      <c r="V3495" s="2" t="s">
        <v>3937</v>
      </c>
      <c r="W3495" s="2" t="s">
        <v>183</v>
      </c>
      <c r="X3495" s="2" t="s">
        <v>104</v>
      </c>
      <c r="Y3495" s="2" t="s">
        <v>10635</v>
      </c>
      <c r="Z3495" s="4">
        <v>175</v>
      </c>
      <c r="AA3495" s="4">
        <f>=ROUNDDOWN(8.75,0)</f>
      </c>
      <c r="AB3495" s="5">
        <v>20</v>
      </c>
      <c r="AC3495" s="2" t="s">
        <v>356</v>
      </c>
      <c r="AD3495" s="4">
        <v>4932</v>
      </c>
      <c r="AE3495" s="4">
        <v>5126</v>
      </c>
      <c r="AF3495" s="6">
        <v>65</v>
      </c>
      <c r="AG3495" s="6"/>
      <c r="AH3495" s="7">
        <v>0.738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>
        <v>2</v>
      </c>
      <c r="AQ3495" s="8">
        <v>43.48</v>
      </c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>
        <v>1</v>
      </c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 t="s">
        <v>100</v>
      </c>
      <c r="BJ3495" s="4">
        <v>381</v>
      </c>
      <c r="BK3495" s="8">
        <v>9584.28</v>
      </c>
      <c r="BL3495" s="2" t="s">
        <v>9871</v>
      </c>
      <c r="BM3495" s="7">
        <v>0.0052</v>
      </c>
      <c r="BN3495" s="7">
        <v>0.0045</v>
      </c>
      <c r="BO3495" s="4">
        <v>2</v>
      </c>
      <c r="BP3495" s="8">
        <v>43.48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6347</v>
      </c>
      <c r="BX3495" s="2" t="s">
        <v>10816</v>
      </c>
      <c r="BY3495" s="2" t="s">
        <v>113</v>
      </c>
      <c r="BZ3495" s="2" t="s">
        <v>100</v>
      </c>
    </row>
    <row r="3496">
      <c r="A3496" s="2" t="s">
        <v>10859</v>
      </c>
      <c r="B3496" s="2" t="s">
        <v>9668</v>
      </c>
      <c r="C3496" s="2" t="s">
        <v>3934</v>
      </c>
      <c r="D3496" s="2" t="s">
        <v>9669</v>
      </c>
      <c r="E3496" s="2" t="s">
        <v>9670</v>
      </c>
      <c r="F3496" s="2" t="s">
        <v>10790</v>
      </c>
      <c r="G3496" s="2" t="s">
        <v>10790</v>
      </c>
      <c r="H3496" s="2" t="s">
        <v>10790</v>
      </c>
      <c r="I3496" s="2" t="s">
        <v>10791</v>
      </c>
      <c r="J3496" s="2" t="s">
        <v>1936</v>
      </c>
      <c r="K3496" s="2" t="s">
        <v>10860</v>
      </c>
      <c r="L3496" s="3">
        <v>14.89</v>
      </c>
      <c r="M3496" s="3">
        <v>15.63</v>
      </c>
      <c r="N3496" s="3">
        <v>31.99</v>
      </c>
      <c r="O3496" s="2" t="s">
        <v>97</v>
      </c>
      <c r="P3496" s="2" t="s">
        <v>119</v>
      </c>
      <c r="Q3496" s="2" t="s">
        <v>99</v>
      </c>
      <c r="R3496" s="2" t="s">
        <v>100</v>
      </c>
      <c r="S3496" s="2" t="s">
        <v>10861</v>
      </c>
      <c r="T3496" s="2" t="s">
        <v>9675</v>
      </c>
      <c r="U3496" s="2" t="s">
        <v>480</v>
      </c>
      <c r="V3496" s="2" t="s">
        <v>2508</v>
      </c>
      <c r="W3496" s="2" t="s">
        <v>183</v>
      </c>
      <c r="X3496" s="2" t="s">
        <v>104</v>
      </c>
      <c r="Y3496" s="2" t="s">
        <v>3997</v>
      </c>
      <c r="Z3496" s="4">
        <v>559</v>
      </c>
      <c r="AA3496" s="4">
        <f>=ROUNDDOWN(23.2916666666667,0)</f>
      </c>
      <c r="AB3496" s="5">
        <v>24</v>
      </c>
      <c r="AC3496" s="2" t="s">
        <v>356</v>
      </c>
      <c r="AD3496" s="4">
        <v>6804</v>
      </c>
      <c r="AE3496" s="4">
        <v>7069</v>
      </c>
      <c r="AF3496" s="6">
        <v>65</v>
      </c>
      <c r="AG3496" s="6"/>
      <c r="AH3496" s="7">
        <v>0.738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 t="s">
        <v>100</v>
      </c>
      <c r="BJ3496" s="4">
        <v>276</v>
      </c>
      <c r="BK3496" s="8">
        <v>4787.86</v>
      </c>
      <c r="BL3496" s="2" t="s">
        <v>10862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207</v>
      </c>
      <c r="BV3496" s="2" t="s">
        <v>97</v>
      </c>
      <c r="BW3496" s="2" t="s">
        <v>100</v>
      </c>
      <c r="BX3496" s="2" t="s">
        <v>100</v>
      </c>
      <c r="BY3496" s="2" t="s">
        <v>113</v>
      </c>
      <c r="BZ3496" s="2" t="s">
        <v>100</v>
      </c>
    </row>
    <row r="3497">
      <c r="A3497" s="2" t="s">
        <v>10863</v>
      </c>
      <c r="B3497" s="2" t="s">
        <v>9668</v>
      </c>
      <c r="C3497" s="2" t="s">
        <v>3934</v>
      </c>
      <c r="D3497" s="2" t="s">
        <v>9669</v>
      </c>
      <c r="E3497" s="2" t="s">
        <v>9670</v>
      </c>
      <c r="F3497" s="2" t="s">
        <v>10790</v>
      </c>
      <c r="G3497" s="2" t="s">
        <v>10790</v>
      </c>
      <c r="H3497" s="2" t="s">
        <v>10790</v>
      </c>
      <c r="I3497" s="2" t="s">
        <v>10791</v>
      </c>
      <c r="J3497" s="2" t="s">
        <v>2072</v>
      </c>
      <c r="K3497" s="2" t="s">
        <v>10860</v>
      </c>
      <c r="L3497" s="3">
        <v>15.22</v>
      </c>
      <c r="M3497" s="3">
        <v>15.98</v>
      </c>
      <c r="N3497" s="3">
        <v>32.99</v>
      </c>
      <c r="O3497" s="2" t="s">
        <v>97</v>
      </c>
      <c r="P3497" s="2" t="s">
        <v>119</v>
      </c>
      <c r="Q3497" s="2" t="s">
        <v>99</v>
      </c>
      <c r="R3497" s="2" t="s">
        <v>100</v>
      </c>
      <c r="S3497" s="2" t="s">
        <v>10861</v>
      </c>
      <c r="T3497" s="2" t="s">
        <v>9675</v>
      </c>
      <c r="U3497" s="2" t="s">
        <v>480</v>
      </c>
      <c r="V3497" s="2" t="s">
        <v>2508</v>
      </c>
      <c r="W3497" s="2" t="s">
        <v>183</v>
      </c>
      <c r="X3497" s="2" t="s">
        <v>104</v>
      </c>
      <c r="Y3497" s="2" t="s">
        <v>3997</v>
      </c>
      <c r="Z3497" s="4">
        <v>288</v>
      </c>
      <c r="AA3497" s="4">
        <f>=ROUNDDOWN(16,0)</f>
      </c>
      <c r="AB3497" s="5">
        <v>18</v>
      </c>
      <c r="AC3497" s="2" t="s">
        <v>356</v>
      </c>
      <c r="AD3497" s="4">
        <v>4428</v>
      </c>
      <c r="AE3497" s="4">
        <v>4619</v>
      </c>
      <c r="AF3497" s="6">
        <v>65</v>
      </c>
      <c r="AG3497" s="6"/>
      <c r="AH3497" s="7">
        <v>0.738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 t="s">
        <v>100</v>
      </c>
      <c r="BJ3497" s="4">
        <v>210</v>
      </c>
      <c r="BK3497" s="8">
        <v>3703.02</v>
      </c>
      <c r="BL3497" s="2" t="s">
        <v>755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207</v>
      </c>
      <c r="BV3497" s="2" t="s">
        <v>97</v>
      </c>
      <c r="BW3497" s="2" t="s">
        <v>100</v>
      </c>
      <c r="BX3497" s="2" t="s">
        <v>100</v>
      </c>
      <c r="BY3497" s="2" t="s">
        <v>113</v>
      </c>
      <c r="BZ3497" s="2" t="s">
        <v>100</v>
      </c>
    </row>
    <row r="3498">
      <c r="A3498" s="2" t="s">
        <v>10864</v>
      </c>
      <c r="B3498" s="2" t="s">
        <v>9668</v>
      </c>
      <c r="C3498" s="2" t="s">
        <v>3934</v>
      </c>
      <c r="D3498" s="2" t="s">
        <v>9669</v>
      </c>
      <c r="E3498" s="2" t="s">
        <v>9670</v>
      </c>
      <c r="F3498" s="2" t="s">
        <v>10790</v>
      </c>
      <c r="G3498" s="2" t="s">
        <v>10790</v>
      </c>
      <c r="H3498" s="2" t="s">
        <v>10790</v>
      </c>
      <c r="I3498" s="2" t="s">
        <v>10791</v>
      </c>
      <c r="J3498" s="2" t="s">
        <v>717</v>
      </c>
      <c r="K3498" s="2" t="s">
        <v>10860</v>
      </c>
      <c r="L3498" s="3">
        <v>19.13</v>
      </c>
      <c r="M3498" s="3">
        <v>20.09</v>
      </c>
      <c r="N3498" s="3">
        <v>42.99</v>
      </c>
      <c r="O3498" s="2" t="s">
        <v>97</v>
      </c>
      <c r="P3498" s="2" t="s">
        <v>119</v>
      </c>
      <c r="Q3498" s="2" t="s">
        <v>99</v>
      </c>
      <c r="R3498" s="2" t="s">
        <v>100</v>
      </c>
      <c r="S3498" s="2" t="s">
        <v>10861</v>
      </c>
      <c r="T3498" s="2" t="s">
        <v>9675</v>
      </c>
      <c r="U3498" s="2" t="s">
        <v>402</v>
      </c>
      <c r="V3498" s="2" t="s">
        <v>2508</v>
      </c>
      <c r="W3498" s="2" t="s">
        <v>183</v>
      </c>
      <c r="X3498" s="2" t="s">
        <v>104</v>
      </c>
      <c r="Y3498" s="2" t="s">
        <v>3997</v>
      </c>
      <c r="Z3498" s="4">
        <v>171</v>
      </c>
      <c r="AA3498" s="4">
        <f>=ROUNDDOWN(9.5,0)</f>
      </c>
      <c r="AB3498" s="5">
        <v>18</v>
      </c>
      <c r="AC3498" s="2" t="s">
        <v>356</v>
      </c>
      <c r="AD3498" s="4">
        <v>3852</v>
      </c>
      <c r="AE3498" s="4">
        <v>4008</v>
      </c>
      <c r="AF3498" s="6">
        <v>65</v>
      </c>
      <c r="AG3498" s="6"/>
      <c r="AH3498" s="7">
        <v>0.738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 t="s">
        <v>100</v>
      </c>
      <c r="BJ3498" s="4">
        <v>264</v>
      </c>
      <c r="BK3498" s="8">
        <v>5909.97</v>
      </c>
      <c r="BL3498" s="2" t="s">
        <v>10865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207</v>
      </c>
      <c r="BV3498" s="2" t="s">
        <v>97</v>
      </c>
      <c r="BW3498" s="2" t="s">
        <v>100</v>
      </c>
      <c r="BX3498" s="2" t="s">
        <v>100</v>
      </c>
      <c r="BY3498" s="2" t="s">
        <v>113</v>
      </c>
      <c r="BZ3498" s="2" t="s">
        <v>100</v>
      </c>
    </row>
    <row r="3499">
      <c r="A3499" s="2" t="s">
        <v>10866</v>
      </c>
      <c r="B3499" s="2" t="s">
        <v>9668</v>
      </c>
      <c r="C3499" s="2" t="s">
        <v>3934</v>
      </c>
      <c r="D3499" s="2" t="s">
        <v>9669</v>
      </c>
      <c r="E3499" s="2" t="s">
        <v>9670</v>
      </c>
      <c r="F3499" s="2" t="s">
        <v>10790</v>
      </c>
      <c r="G3499" s="2" t="s">
        <v>10790</v>
      </c>
      <c r="H3499" s="2" t="s">
        <v>10790</v>
      </c>
      <c r="I3499" s="2" t="s">
        <v>10791</v>
      </c>
      <c r="J3499" s="2" t="s">
        <v>706</v>
      </c>
      <c r="K3499" s="2" t="s">
        <v>10860</v>
      </c>
      <c r="L3499" s="3">
        <v>21.27</v>
      </c>
      <c r="M3499" s="3">
        <v>22.33</v>
      </c>
      <c r="N3499" s="3">
        <v>47.99</v>
      </c>
      <c r="O3499" s="2" t="s">
        <v>97</v>
      </c>
      <c r="P3499" s="2" t="s">
        <v>119</v>
      </c>
      <c r="Q3499" s="2" t="s">
        <v>99</v>
      </c>
      <c r="R3499" s="2" t="s">
        <v>100</v>
      </c>
      <c r="S3499" s="2" t="s">
        <v>10861</v>
      </c>
      <c r="T3499" s="2" t="s">
        <v>9675</v>
      </c>
      <c r="U3499" s="2" t="s">
        <v>402</v>
      </c>
      <c r="V3499" s="2" t="s">
        <v>2508</v>
      </c>
      <c r="W3499" s="2" t="s">
        <v>183</v>
      </c>
      <c r="X3499" s="2" t="s">
        <v>104</v>
      </c>
      <c r="Y3499" s="2" t="s">
        <v>3997</v>
      </c>
      <c r="Z3499" s="4">
        <v>261</v>
      </c>
      <c r="AA3499" s="4">
        <f>=ROUNDDOWN(11.8636363636364,0)</f>
      </c>
      <c r="AB3499" s="5">
        <v>22</v>
      </c>
      <c r="AC3499" s="2" t="s">
        <v>356</v>
      </c>
      <c r="AD3499" s="4">
        <v>5292</v>
      </c>
      <c r="AE3499" s="4">
        <v>5517</v>
      </c>
      <c r="AF3499" s="6">
        <v>65</v>
      </c>
      <c r="AG3499" s="6"/>
      <c r="AH3499" s="7">
        <v>0.738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 t="s">
        <v>100</v>
      </c>
      <c r="BJ3499" s="4">
        <v>315</v>
      </c>
      <c r="BK3499" s="8">
        <v>7640.12</v>
      </c>
      <c r="BL3499" s="2" t="s">
        <v>10867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207</v>
      </c>
      <c r="BV3499" s="2" t="s">
        <v>97</v>
      </c>
      <c r="BW3499" s="2" t="s">
        <v>100</v>
      </c>
      <c r="BX3499" s="2" t="s">
        <v>100</v>
      </c>
      <c r="BY3499" s="2" t="s">
        <v>113</v>
      </c>
      <c r="BZ3499" s="2" t="s">
        <v>100</v>
      </c>
    </row>
    <row r="3500">
      <c r="A3500" s="2" t="s">
        <v>10868</v>
      </c>
      <c r="B3500" s="2" t="s">
        <v>9668</v>
      </c>
      <c r="C3500" s="2" t="s">
        <v>3934</v>
      </c>
      <c r="D3500" s="2" t="s">
        <v>9669</v>
      </c>
      <c r="E3500" s="2" t="s">
        <v>9670</v>
      </c>
      <c r="F3500" s="2" t="s">
        <v>10790</v>
      </c>
      <c r="G3500" s="2" t="s">
        <v>10790</v>
      </c>
      <c r="H3500" s="2" t="s">
        <v>10790</v>
      </c>
      <c r="I3500" s="2" t="s">
        <v>10791</v>
      </c>
      <c r="J3500" s="2" t="s">
        <v>1936</v>
      </c>
      <c r="K3500" s="2" t="s">
        <v>10869</v>
      </c>
      <c r="L3500" s="3">
        <v>14.89</v>
      </c>
      <c r="M3500" s="3">
        <v>15.63</v>
      </c>
      <c r="N3500" s="3">
        <v>31.99</v>
      </c>
      <c r="O3500" s="2" t="s">
        <v>97</v>
      </c>
      <c r="P3500" s="2" t="s">
        <v>225</v>
      </c>
      <c r="Q3500" s="2" t="s">
        <v>99</v>
      </c>
      <c r="R3500" s="2" t="s">
        <v>100</v>
      </c>
      <c r="S3500" s="2" t="s">
        <v>10870</v>
      </c>
      <c r="T3500" s="2" t="s">
        <v>9675</v>
      </c>
      <c r="U3500" s="2" t="s">
        <v>480</v>
      </c>
      <c r="V3500" s="2" t="s">
        <v>3937</v>
      </c>
      <c r="W3500" s="2" t="s">
        <v>183</v>
      </c>
      <c r="X3500" s="2" t="s">
        <v>104</v>
      </c>
      <c r="Y3500" s="2" t="s">
        <v>3675</v>
      </c>
      <c r="Z3500" s="4">
        <v>945</v>
      </c>
      <c r="AA3500" s="4">
        <f>=ROUNDDOWN(145.384615384615,0)</f>
      </c>
      <c r="AB3500" s="5">
        <v>6.5</v>
      </c>
      <c r="AC3500" s="2" t="s">
        <v>100</v>
      </c>
      <c r="AD3500" s="4"/>
      <c r="AE3500" s="4"/>
      <c r="AF3500" s="6">
        <v>70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 t="s">
        <v>100</v>
      </c>
      <c r="BJ3500" s="4">
        <v>289</v>
      </c>
      <c r="BK3500" s="8">
        <v>4940.79</v>
      </c>
      <c r="BL3500" s="2" t="s">
        <v>553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207</v>
      </c>
      <c r="BV3500" s="2" t="s">
        <v>97</v>
      </c>
      <c r="BW3500" s="2" t="s">
        <v>100</v>
      </c>
      <c r="BX3500" s="2" t="s">
        <v>100</v>
      </c>
      <c r="BY3500" s="2" t="s">
        <v>113</v>
      </c>
      <c r="BZ3500" s="2" t="s">
        <v>100</v>
      </c>
    </row>
    <row r="3501">
      <c r="A3501" s="2" t="s">
        <v>10871</v>
      </c>
      <c r="B3501" s="2" t="s">
        <v>9668</v>
      </c>
      <c r="C3501" s="2" t="s">
        <v>3934</v>
      </c>
      <c r="D3501" s="2" t="s">
        <v>9669</v>
      </c>
      <c r="E3501" s="2" t="s">
        <v>9670</v>
      </c>
      <c r="F3501" s="2" t="s">
        <v>10790</v>
      </c>
      <c r="G3501" s="2" t="s">
        <v>10790</v>
      </c>
      <c r="H3501" s="2" t="s">
        <v>10790</v>
      </c>
      <c r="I3501" s="2" t="s">
        <v>10791</v>
      </c>
      <c r="J3501" s="2" t="s">
        <v>2072</v>
      </c>
      <c r="K3501" s="2" t="s">
        <v>10869</v>
      </c>
      <c r="L3501" s="3">
        <v>15.22</v>
      </c>
      <c r="M3501" s="3">
        <v>15.98</v>
      </c>
      <c r="N3501" s="3">
        <v>31.99</v>
      </c>
      <c r="O3501" s="2" t="s">
        <v>97</v>
      </c>
      <c r="P3501" s="2" t="s">
        <v>225</v>
      </c>
      <c r="Q3501" s="2" t="s">
        <v>99</v>
      </c>
      <c r="R3501" s="2" t="s">
        <v>100</v>
      </c>
      <c r="S3501" s="2" t="s">
        <v>10870</v>
      </c>
      <c r="T3501" s="2" t="s">
        <v>9675</v>
      </c>
      <c r="U3501" s="2" t="s">
        <v>480</v>
      </c>
      <c r="V3501" s="2" t="s">
        <v>3937</v>
      </c>
      <c r="W3501" s="2" t="s">
        <v>183</v>
      </c>
      <c r="X3501" s="2" t="s">
        <v>104</v>
      </c>
      <c r="Y3501" s="2" t="s">
        <v>3675</v>
      </c>
      <c r="Z3501" s="4">
        <v>752</v>
      </c>
      <c r="AA3501" s="4">
        <f>=ROUNDDOWN(752,0)</f>
      </c>
      <c r="AB3501" s="5">
        <v>1</v>
      </c>
      <c r="AC3501" s="2" t="s">
        <v>100</v>
      </c>
      <c r="AD3501" s="4"/>
      <c r="AE3501" s="4"/>
      <c r="AF3501" s="6">
        <v>70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 t="s">
        <v>100</v>
      </c>
      <c r="BJ3501" s="4">
        <v>126</v>
      </c>
      <c r="BK3501" s="8">
        <v>2200.77</v>
      </c>
      <c r="BL3501" s="2" t="s">
        <v>10872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207</v>
      </c>
      <c r="BV3501" s="2" t="s">
        <v>97</v>
      </c>
      <c r="BW3501" s="2" t="s">
        <v>100</v>
      </c>
      <c r="BX3501" s="2" t="s">
        <v>100</v>
      </c>
      <c r="BY3501" s="2" t="s">
        <v>113</v>
      </c>
      <c r="BZ3501" s="2" t="s">
        <v>100</v>
      </c>
    </row>
    <row r="3502">
      <c r="A3502" s="2" t="s">
        <v>10873</v>
      </c>
      <c r="B3502" s="2" t="s">
        <v>9668</v>
      </c>
      <c r="C3502" s="2" t="s">
        <v>3934</v>
      </c>
      <c r="D3502" s="2" t="s">
        <v>9669</v>
      </c>
      <c r="E3502" s="2" t="s">
        <v>9670</v>
      </c>
      <c r="F3502" s="2" t="s">
        <v>10790</v>
      </c>
      <c r="G3502" s="2" t="s">
        <v>10790</v>
      </c>
      <c r="H3502" s="2" t="s">
        <v>10790</v>
      </c>
      <c r="I3502" s="2" t="s">
        <v>10791</v>
      </c>
      <c r="J3502" s="2" t="s">
        <v>717</v>
      </c>
      <c r="K3502" s="2" t="s">
        <v>10869</v>
      </c>
      <c r="L3502" s="3">
        <v>19.13</v>
      </c>
      <c r="M3502" s="3">
        <v>20.09</v>
      </c>
      <c r="N3502" s="3">
        <v>42.99</v>
      </c>
      <c r="O3502" s="2" t="s">
        <v>97</v>
      </c>
      <c r="P3502" s="2" t="s">
        <v>225</v>
      </c>
      <c r="Q3502" s="2" t="s">
        <v>99</v>
      </c>
      <c r="R3502" s="2" t="s">
        <v>100</v>
      </c>
      <c r="S3502" s="2" t="s">
        <v>10870</v>
      </c>
      <c r="T3502" s="2" t="s">
        <v>9675</v>
      </c>
      <c r="U3502" s="2" t="s">
        <v>402</v>
      </c>
      <c r="V3502" s="2" t="s">
        <v>3937</v>
      </c>
      <c r="W3502" s="2" t="s">
        <v>183</v>
      </c>
      <c r="X3502" s="2" t="s">
        <v>104</v>
      </c>
      <c r="Y3502" s="2" t="s">
        <v>3675</v>
      </c>
      <c r="Z3502" s="4">
        <v>869</v>
      </c>
      <c r="AA3502" s="4">
        <f>=ROUNDDOWN(181.041666666667,0)</f>
      </c>
      <c r="AB3502" s="5">
        <v>4.8</v>
      </c>
      <c r="AC3502" s="2" t="s">
        <v>100</v>
      </c>
      <c r="AD3502" s="4"/>
      <c r="AE3502" s="4"/>
      <c r="AF3502" s="6">
        <v>70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 t="s">
        <v>100</v>
      </c>
      <c r="BJ3502" s="4">
        <v>155</v>
      </c>
      <c r="BK3502" s="8">
        <v>3365.38</v>
      </c>
      <c r="BL3502" s="2" t="s">
        <v>229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207</v>
      </c>
      <c r="BV3502" s="2" t="s">
        <v>97</v>
      </c>
      <c r="BW3502" s="2" t="s">
        <v>100</v>
      </c>
      <c r="BX3502" s="2" t="s">
        <v>100</v>
      </c>
      <c r="BY3502" s="2" t="s">
        <v>113</v>
      </c>
      <c r="BZ3502" s="2" t="s">
        <v>100</v>
      </c>
    </row>
    <row r="3503">
      <c r="A3503" s="2" t="s">
        <v>10874</v>
      </c>
      <c r="B3503" s="2" t="s">
        <v>9668</v>
      </c>
      <c r="C3503" s="2" t="s">
        <v>3934</v>
      </c>
      <c r="D3503" s="2" t="s">
        <v>9669</v>
      </c>
      <c r="E3503" s="2" t="s">
        <v>9670</v>
      </c>
      <c r="F3503" s="2" t="s">
        <v>10790</v>
      </c>
      <c r="G3503" s="2" t="s">
        <v>10790</v>
      </c>
      <c r="H3503" s="2" t="s">
        <v>10790</v>
      </c>
      <c r="I3503" s="2" t="s">
        <v>10791</v>
      </c>
      <c r="J3503" s="2" t="s">
        <v>706</v>
      </c>
      <c r="K3503" s="2" t="s">
        <v>10869</v>
      </c>
      <c r="L3503" s="3">
        <v>21.27</v>
      </c>
      <c r="M3503" s="3">
        <v>22.33</v>
      </c>
      <c r="N3503" s="3">
        <v>47.99</v>
      </c>
      <c r="O3503" s="2" t="s">
        <v>97</v>
      </c>
      <c r="P3503" s="2" t="s">
        <v>225</v>
      </c>
      <c r="Q3503" s="2" t="s">
        <v>99</v>
      </c>
      <c r="R3503" s="2" t="s">
        <v>100</v>
      </c>
      <c r="S3503" s="2" t="s">
        <v>10870</v>
      </c>
      <c r="T3503" s="2" t="s">
        <v>9675</v>
      </c>
      <c r="U3503" s="2" t="s">
        <v>402</v>
      </c>
      <c r="V3503" s="2" t="s">
        <v>3937</v>
      </c>
      <c r="W3503" s="2" t="s">
        <v>183</v>
      </c>
      <c r="X3503" s="2" t="s">
        <v>104</v>
      </c>
      <c r="Y3503" s="2" t="s">
        <v>3675</v>
      </c>
      <c r="Z3503" s="4">
        <v>631</v>
      </c>
      <c r="AA3503" s="4">
        <f>=ROUNDDOWN(210.333333333333,0)</f>
      </c>
      <c r="AB3503" s="5">
        <v>3</v>
      </c>
      <c r="AC3503" s="2" t="s">
        <v>100</v>
      </c>
      <c r="AD3503" s="4"/>
      <c r="AE3503" s="4"/>
      <c r="AF3503" s="6">
        <v>70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 t="s">
        <v>100</v>
      </c>
      <c r="BJ3503" s="4">
        <v>127</v>
      </c>
      <c r="BK3503" s="8">
        <v>3049.71</v>
      </c>
      <c r="BL3503" s="2" t="s">
        <v>10875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207</v>
      </c>
      <c r="BV3503" s="2" t="s">
        <v>97</v>
      </c>
      <c r="BW3503" s="2" t="s">
        <v>100</v>
      </c>
      <c r="BX3503" s="2" t="s">
        <v>100</v>
      </c>
      <c r="BY3503" s="2" t="s">
        <v>113</v>
      </c>
      <c r="BZ3503" s="2" t="s">
        <v>100</v>
      </c>
    </row>
    <row r="3504">
      <c r="A3504" s="2" t="s">
        <v>10876</v>
      </c>
      <c r="B3504" s="2" t="s">
        <v>9668</v>
      </c>
      <c r="C3504" s="2" t="s">
        <v>3934</v>
      </c>
      <c r="D3504" s="2" t="s">
        <v>9669</v>
      </c>
      <c r="E3504" s="2" t="s">
        <v>9670</v>
      </c>
      <c r="F3504" s="2" t="s">
        <v>218</v>
      </c>
      <c r="G3504" s="2" t="s">
        <v>218</v>
      </c>
      <c r="H3504" s="2" t="s">
        <v>218</v>
      </c>
      <c r="I3504" s="2" t="s">
        <v>10877</v>
      </c>
      <c r="J3504" s="2" t="s">
        <v>1936</v>
      </c>
      <c r="K3504" s="2" t="s">
        <v>2477</v>
      </c>
      <c r="L3504" s="3">
        <v>12.15</v>
      </c>
      <c r="M3504" s="3">
        <v>12.76</v>
      </c>
      <c r="N3504" s="3">
        <v>26.99</v>
      </c>
      <c r="O3504" s="2" t="s">
        <v>97</v>
      </c>
      <c r="P3504" s="2" t="s">
        <v>119</v>
      </c>
      <c r="Q3504" s="2" t="s">
        <v>99</v>
      </c>
      <c r="R3504" s="2" t="s">
        <v>100</v>
      </c>
      <c r="S3504" s="2" t="s">
        <v>10878</v>
      </c>
      <c r="T3504" s="2" t="s">
        <v>218</v>
      </c>
      <c r="U3504" s="2" t="s">
        <v>402</v>
      </c>
      <c r="V3504" s="2" t="s">
        <v>146</v>
      </c>
      <c r="W3504" s="2" t="s">
        <v>183</v>
      </c>
      <c r="X3504" s="2" t="s">
        <v>561</v>
      </c>
      <c r="Y3504" s="2" t="s">
        <v>10879</v>
      </c>
      <c r="Z3504" s="4">
        <v>248</v>
      </c>
      <c r="AA3504" s="4">
        <f>=ROUNDDOWN(62,0)</f>
      </c>
      <c r="AB3504" s="5">
        <v>4</v>
      </c>
      <c r="AC3504" s="2" t="s">
        <v>100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>
        <v>1</v>
      </c>
      <c r="AQ3504" s="8">
        <v>11.81</v>
      </c>
      <c r="AR3504" s="4"/>
      <c r="AS3504" s="8"/>
      <c r="AT3504" s="7"/>
      <c r="AU3504" s="7"/>
      <c r="AV3504" s="4">
        <v>74</v>
      </c>
      <c r="AW3504" s="8">
        <v>817.74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>
        <v>0.7336</v>
      </c>
      <c r="BC3504" s="4">
        <v>153</v>
      </c>
      <c r="BD3504" s="8">
        <v>1804.87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>
        <v>0.4531</v>
      </c>
      <c r="BJ3504" s="4">
        <v>70</v>
      </c>
      <c r="BK3504" s="8">
        <v>892.67</v>
      </c>
      <c r="BL3504" s="2" t="s">
        <v>10880</v>
      </c>
      <c r="BM3504" s="7">
        <v>0.0143</v>
      </c>
      <c r="BN3504" s="7">
        <v>0.0132</v>
      </c>
      <c r="BO3504" s="4">
        <v>1</v>
      </c>
      <c r="BP3504" s="8">
        <v>11.81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5167</v>
      </c>
      <c r="BX3504" s="2" t="s">
        <v>10274</v>
      </c>
      <c r="BY3504" s="2" t="s">
        <v>113</v>
      </c>
      <c r="BZ3504" s="2" t="s">
        <v>100</v>
      </c>
    </row>
    <row r="3505">
      <c r="A3505" s="2" t="s">
        <v>10881</v>
      </c>
      <c r="B3505" s="2" t="s">
        <v>9668</v>
      </c>
      <c r="C3505" s="2" t="s">
        <v>3934</v>
      </c>
      <c r="D3505" s="2" t="s">
        <v>9669</v>
      </c>
      <c r="E3505" s="2" t="s">
        <v>9670</v>
      </c>
      <c r="F3505" s="2" t="s">
        <v>218</v>
      </c>
      <c r="G3505" s="2" t="s">
        <v>218</v>
      </c>
      <c r="H3505" s="2" t="s">
        <v>218</v>
      </c>
      <c r="I3505" s="2" t="s">
        <v>10882</v>
      </c>
      <c r="J3505" s="2" t="s">
        <v>1936</v>
      </c>
      <c r="K3505" s="2" t="s">
        <v>2477</v>
      </c>
      <c r="L3505" s="3">
        <v>11.18</v>
      </c>
      <c r="M3505" s="3">
        <v>11.74</v>
      </c>
      <c r="N3505" s="3">
        <v>27.99</v>
      </c>
      <c r="O3505" s="2" t="s">
        <v>97</v>
      </c>
      <c r="P3505" s="2" t="s">
        <v>119</v>
      </c>
      <c r="Q3505" s="2" t="s">
        <v>99</v>
      </c>
      <c r="R3505" s="2" t="s">
        <v>100</v>
      </c>
      <c r="S3505" s="2" t="s">
        <v>10878</v>
      </c>
      <c r="T3505" s="2" t="s">
        <v>218</v>
      </c>
      <c r="U3505" s="2" t="s">
        <v>100</v>
      </c>
      <c r="V3505" s="2" t="s">
        <v>146</v>
      </c>
      <c r="W3505" s="2" t="s">
        <v>183</v>
      </c>
      <c r="X3505" s="2" t="s">
        <v>100</v>
      </c>
      <c r="Y3505" s="2" t="s">
        <v>240</v>
      </c>
      <c r="Z3505" s="4">
        <v>152</v>
      </c>
      <c r="AA3505" s="4">
        <f>=ROUNDDOWN(19,0)</f>
      </c>
      <c r="AB3505" s="5">
        <v>8</v>
      </c>
      <c r="AC3505" s="2" t="s">
        <v>123</v>
      </c>
      <c r="AD3505" s="4">
        <v>40</v>
      </c>
      <c r="AE3505" s="4">
        <v>170</v>
      </c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>
        <v>54</v>
      </c>
      <c r="AQ3505" s="8">
        <v>588.06</v>
      </c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 t="s">
        <v>100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 t="s">
        <v>100</v>
      </c>
      <c r="BJ3505" s="4">
        <v>231</v>
      </c>
      <c r="BK3505" s="8">
        <v>2676.32</v>
      </c>
      <c r="BL3505" s="2" t="s">
        <v>10883</v>
      </c>
      <c r="BM3505" s="7">
        <v>0.2338</v>
      </c>
      <c r="BN3505" s="7">
        <v>0.2197</v>
      </c>
      <c r="BO3505" s="4">
        <v>54</v>
      </c>
      <c r="BP3505" s="8">
        <v>588.06</v>
      </c>
      <c r="BQ3505" s="4"/>
      <c r="BR3505" s="8"/>
      <c r="BS3505" s="7"/>
      <c r="BT3505" s="7"/>
      <c r="BU3505" s="2" t="s">
        <v>109</v>
      </c>
      <c r="BV3505" s="2" t="s">
        <v>110</v>
      </c>
      <c r="BW3505" s="2" t="s">
        <v>10884</v>
      </c>
      <c r="BX3505" s="2" t="s">
        <v>5342</v>
      </c>
      <c r="BY3505" s="2" t="s">
        <v>113</v>
      </c>
      <c r="BZ3505" s="2" t="s">
        <v>100</v>
      </c>
    </row>
    <row r="3506">
      <c r="A3506" s="2" t="s">
        <v>10885</v>
      </c>
      <c r="B3506" s="2" t="s">
        <v>9668</v>
      </c>
      <c r="C3506" s="2" t="s">
        <v>3934</v>
      </c>
      <c r="D3506" s="2" t="s">
        <v>9669</v>
      </c>
      <c r="E3506" s="2" t="s">
        <v>9670</v>
      </c>
      <c r="F3506" s="2" t="s">
        <v>218</v>
      </c>
      <c r="G3506" s="2" t="s">
        <v>218</v>
      </c>
      <c r="H3506" s="2" t="s">
        <v>218</v>
      </c>
      <c r="I3506" s="2" t="s">
        <v>10882</v>
      </c>
      <c r="J3506" s="2" t="s">
        <v>2072</v>
      </c>
      <c r="K3506" s="2" t="s">
        <v>2477</v>
      </c>
      <c r="L3506" s="3">
        <v>11.18</v>
      </c>
      <c r="M3506" s="3">
        <v>11.74</v>
      </c>
      <c r="N3506" s="3">
        <v>27.99</v>
      </c>
      <c r="O3506" s="2" t="s">
        <v>97</v>
      </c>
      <c r="P3506" s="2" t="s">
        <v>119</v>
      </c>
      <c r="Q3506" s="2" t="s">
        <v>99</v>
      </c>
      <c r="R3506" s="2" t="s">
        <v>100</v>
      </c>
      <c r="S3506" s="2" t="s">
        <v>10878</v>
      </c>
      <c r="T3506" s="2" t="s">
        <v>218</v>
      </c>
      <c r="U3506" s="2" t="s">
        <v>100</v>
      </c>
      <c r="V3506" s="2" t="s">
        <v>146</v>
      </c>
      <c r="W3506" s="2" t="s">
        <v>183</v>
      </c>
      <c r="X3506" s="2" t="s">
        <v>100</v>
      </c>
      <c r="Y3506" s="2" t="s">
        <v>240</v>
      </c>
      <c r="Z3506" s="4">
        <v>359</v>
      </c>
      <c r="AA3506" s="4">
        <f>=ROUNDDOWN(89.75,0)</f>
      </c>
      <c r="AB3506" s="5">
        <v>4</v>
      </c>
      <c r="AC3506" s="2" t="s">
        <v>100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>
        <v>12</v>
      </c>
      <c r="AQ3506" s="8">
        <v>130.68</v>
      </c>
      <c r="AR3506" s="4"/>
      <c r="AS3506" s="8"/>
      <c r="AT3506" s="7"/>
      <c r="AU3506" s="7"/>
      <c r="AV3506" s="4" t="s">
        <v>100</v>
      </c>
      <c r="AW3506" s="8" t="s">
        <v>100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>
        <v>0.2465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 t="s">
        <v>100</v>
      </c>
      <c r="BJ3506" s="4">
        <v>239</v>
      </c>
      <c r="BK3506" s="8">
        <v>2771.7</v>
      </c>
      <c r="BL3506" s="2" t="s">
        <v>10886</v>
      </c>
      <c r="BM3506" s="7">
        <v>0.0502</v>
      </c>
      <c r="BN3506" s="7">
        <v>0.0471</v>
      </c>
      <c r="BO3506" s="4">
        <v>12</v>
      </c>
      <c r="BP3506" s="8">
        <v>130.68</v>
      </c>
      <c r="BQ3506" s="4"/>
      <c r="BR3506" s="8"/>
      <c r="BS3506" s="7"/>
      <c r="BT3506" s="7"/>
      <c r="BU3506" s="2" t="s">
        <v>109</v>
      </c>
      <c r="BV3506" s="2" t="s">
        <v>110</v>
      </c>
      <c r="BW3506" s="2" t="s">
        <v>10884</v>
      </c>
      <c r="BX3506" s="2" t="s">
        <v>10887</v>
      </c>
      <c r="BY3506" s="2" t="s">
        <v>113</v>
      </c>
      <c r="BZ3506" s="2" t="s">
        <v>100</v>
      </c>
    </row>
    <row r="3507">
      <c r="A3507" s="2" t="s">
        <v>10888</v>
      </c>
      <c r="B3507" s="2" t="s">
        <v>9668</v>
      </c>
      <c r="C3507" s="2" t="s">
        <v>3934</v>
      </c>
      <c r="D3507" s="2" t="s">
        <v>9669</v>
      </c>
      <c r="E3507" s="2" t="s">
        <v>9670</v>
      </c>
      <c r="F3507" s="2" t="s">
        <v>218</v>
      </c>
      <c r="G3507" s="2" t="s">
        <v>218</v>
      </c>
      <c r="H3507" s="2" t="s">
        <v>218</v>
      </c>
      <c r="I3507" s="2" t="s">
        <v>10877</v>
      </c>
      <c r="J3507" s="2" t="s">
        <v>2072</v>
      </c>
      <c r="K3507" s="2" t="s">
        <v>2477</v>
      </c>
      <c r="L3507" s="3">
        <v>12.15</v>
      </c>
      <c r="M3507" s="3">
        <v>12.76</v>
      </c>
      <c r="N3507" s="3">
        <v>26.99</v>
      </c>
      <c r="O3507" s="2" t="s">
        <v>97</v>
      </c>
      <c r="P3507" s="2" t="s">
        <v>119</v>
      </c>
      <c r="Q3507" s="2" t="s">
        <v>99</v>
      </c>
      <c r="R3507" s="2" t="s">
        <v>100</v>
      </c>
      <c r="S3507" s="2" t="s">
        <v>10878</v>
      </c>
      <c r="T3507" s="2" t="s">
        <v>218</v>
      </c>
      <c r="U3507" s="2" t="s">
        <v>402</v>
      </c>
      <c r="V3507" s="2" t="s">
        <v>146</v>
      </c>
      <c r="W3507" s="2" t="s">
        <v>183</v>
      </c>
      <c r="X3507" s="2" t="s">
        <v>561</v>
      </c>
      <c r="Y3507" s="2" t="s">
        <v>10879</v>
      </c>
      <c r="Z3507" s="4">
        <v>588</v>
      </c>
      <c r="AA3507" s="4">
        <f>=ROUNDDOWN(84,0)</f>
      </c>
      <c r="AB3507" s="5">
        <v>7</v>
      </c>
      <c r="AC3507" s="2" t="s">
        <v>100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>
        <v>6</v>
      </c>
      <c r="AQ3507" s="8">
        <v>70.86</v>
      </c>
      <c r="AR3507" s="4"/>
      <c r="AS3507" s="8"/>
      <c r="AT3507" s="7"/>
      <c r="AU3507" s="7"/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 t="s">
        <v>100</v>
      </c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 t="s">
        <v>100</v>
      </c>
      <c r="BJ3507" s="4">
        <v>469</v>
      </c>
      <c r="BK3507" s="8">
        <v>6012.64</v>
      </c>
      <c r="BL3507" s="2" t="s">
        <v>10889</v>
      </c>
      <c r="BM3507" s="7">
        <v>0.0128</v>
      </c>
      <c r="BN3507" s="7">
        <v>0.0118</v>
      </c>
      <c r="BO3507" s="4">
        <v>6</v>
      </c>
      <c r="BP3507" s="8">
        <v>70.86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5167</v>
      </c>
      <c r="BX3507" s="2" t="s">
        <v>10890</v>
      </c>
      <c r="BY3507" s="2" t="s">
        <v>113</v>
      </c>
      <c r="BZ3507" s="2" t="s">
        <v>100</v>
      </c>
    </row>
    <row r="3508">
      <c r="A3508" s="2" t="s">
        <v>10891</v>
      </c>
      <c r="B3508" s="2" t="s">
        <v>9668</v>
      </c>
      <c r="C3508" s="2" t="s">
        <v>3934</v>
      </c>
      <c r="D3508" s="2" t="s">
        <v>9669</v>
      </c>
      <c r="E3508" s="2" t="s">
        <v>9670</v>
      </c>
      <c r="F3508" s="2" t="s">
        <v>218</v>
      </c>
      <c r="G3508" s="2" t="s">
        <v>218</v>
      </c>
      <c r="H3508" s="2" t="s">
        <v>218</v>
      </c>
      <c r="I3508" s="2" t="s">
        <v>10882</v>
      </c>
      <c r="J3508" s="2" t="s">
        <v>717</v>
      </c>
      <c r="K3508" s="2" t="s">
        <v>2477</v>
      </c>
      <c r="L3508" s="3">
        <v>12.92</v>
      </c>
      <c r="M3508" s="3">
        <v>13.57</v>
      </c>
      <c r="N3508" s="3">
        <v>30.99</v>
      </c>
      <c r="O3508" s="2" t="s">
        <v>97</v>
      </c>
      <c r="P3508" s="2" t="s">
        <v>119</v>
      </c>
      <c r="Q3508" s="2" t="s">
        <v>99</v>
      </c>
      <c r="R3508" s="2" t="s">
        <v>100</v>
      </c>
      <c r="S3508" s="2" t="s">
        <v>10878</v>
      </c>
      <c r="T3508" s="2" t="s">
        <v>218</v>
      </c>
      <c r="U3508" s="2" t="s">
        <v>100</v>
      </c>
      <c r="V3508" s="2" t="s">
        <v>146</v>
      </c>
      <c r="W3508" s="2" t="s">
        <v>183</v>
      </c>
      <c r="X3508" s="2" t="s">
        <v>100</v>
      </c>
      <c r="Y3508" s="2" t="s">
        <v>240</v>
      </c>
      <c r="Z3508" s="4">
        <v>21</v>
      </c>
      <c r="AA3508" s="4">
        <f>=ROUNDDOWN(3,0)</f>
      </c>
      <c r="AB3508" s="5">
        <v>7</v>
      </c>
      <c r="AC3508" s="2" t="s">
        <v>1102</v>
      </c>
      <c r="AD3508" s="4">
        <v>100</v>
      </c>
      <c r="AE3508" s="4">
        <v>180</v>
      </c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100</v>
      </c>
      <c r="AW3508" s="8" t="s">
        <v>100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 t="s">
        <v>100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 t="s">
        <v>100</v>
      </c>
      <c r="BJ3508" s="4">
        <v>204</v>
      </c>
      <c r="BK3508" s="8">
        <v>2924.42</v>
      </c>
      <c r="BL3508" s="2" t="s">
        <v>10892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10884</v>
      </c>
      <c r="BX3508" s="2" t="s">
        <v>10893</v>
      </c>
      <c r="BY3508" s="2" t="s">
        <v>113</v>
      </c>
      <c r="BZ3508" s="2" t="s">
        <v>100</v>
      </c>
    </row>
    <row r="3509">
      <c r="A3509" s="2" t="s">
        <v>10894</v>
      </c>
      <c r="B3509" s="2" t="s">
        <v>9668</v>
      </c>
      <c r="C3509" s="2" t="s">
        <v>3934</v>
      </c>
      <c r="D3509" s="2" t="s">
        <v>9669</v>
      </c>
      <c r="E3509" s="2" t="s">
        <v>9670</v>
      </c>
      <c r="F3509" s="2" t="s">
        <v>218</v>
      </c>
      <c r="G3509" s="2" t="s">
        <v>218</v>
      </c>
      <c r="H3509" s="2" t="s">
        <v>218</v>
      </c>
      <c r="I3509" s="2" t="s">
        <v>10877</v>
      </c>
      <c r="J3509" s="2" t="s">
        <v>717</v>
      </c>
      <c r="K3509" s="2" t="s">
        <v>2477</v>
      </c>
      <c r="L3509" s="3">
        <v>14.85</v>
      </c>
      <c r="M3509" s="3">
        <v>15.59</v>
      </c>
      <c r="N3509" s="3">
        <v>32.99</v>
      </c>
      <c r="O3509" s="2" t="s">
        <v>97</v>
      </c>
      <c r="P3509" s="2" t="s">
        <v>119</v>
      </c>
      <c r="Q3509" s="2" t="s">
        <v>99</v>
      </c>
      <c r="R3509" s="2" t="s">
        <v>100</v>
      </c>
      <c r="S3509" s="2" t="s">
        <v>10878</v>
      </c>
      <c r="T3509" s="2" t="s">
        <v>218</v>
      </c>
      <c r="U3509" s="2" t="s">
        <v>102</v>
      </c>
      <c r="V3509" s="2" t="s">
        <v>146</v>
      </c>
      <c r="W3509" s="2" t="s">
        <v>183</v>
      </c>
      <c r="X3509" s="2" t="s">
        <v>561</v>
      </c>
      <c r="Y3509" s="2" t="s">
        <v>10879</v>
      </c>
      <c r="Z3509" s="4">
        <v>76</v>
      </c>
      <c r="AA3509" s="4">
        <f>=ROUNDDOWN(38,0)</f>
      </c>
      <c r="AB3509" s="5">
        <v>2</v>
      </c>
      <c r="AC3509" s="2" t="s">
        <v>1102</v>
      </c>
      <c r="AD3509" s="4">
        <v>80</v>
      </c>
      <c r="AE3509" s="4">
        <v>80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100</v>
      </c>
      <c r="AW3509" s="8" t="s">
        <v>100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 t="s">
        <v>100</v>
      </c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 t="s">
        <v>100</v>
      </c>
      <c r="BJ3509" s="4">
        <v>75</v>
      </c>
      <c r="BK3509" s="8">
        <v>1196.45</v>
      </c>
      <c r="BL3509" s="2" t="s">
        <v>10895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5167</v>
      </c>
      <c r="BX3509" s="2" t="s">
        <v>10114</v>
      </c>
      <c r="BY3509" s="2" t="s">
        <v>113</v>
      </c>
      <c r="BZ3509" s="2" t="s">
        <v>100</v>
      </c>
    </row>
    <row r="3510">
      <c r="A3510" s="2" t="s">
        <v>10896</v>
      </c>
      <c r="B3510" s="2" t="s">
        <v>9668</v>
      </c>
      <c r="C3510" s="2" t="s">
        <v>3934</v>
      </c>
      <c r="D3510" s="2" t="s">
        <v>9669</v>
      </c>
      <c r="E3510" s="2" t="s">
        <v>9670</v>
      </c>
      <c r="F3510" s="2" t="s">
        <v>218</v>
      </c>
      <c r="G3510" s="2" t="s">
        <v>218</v>
      </c>
      <c r="H3510" s="2" t="s">
        <v>218</v>
      </c>
      <c r="I3510" s="2" t="s">
        <v>10882</v>
      </c>
      <c r="J3510" s="2" t="s">
        <v>706</v>
      </c>
      <c r="K3510" s="2" t="s">
        <v>2477</v>
      </c>
      <c r="L3510" s="3">
        <v>14.21</v>
      </c>
      <c r="M3510" s="3">
        <v>14.92</v>
      </c>
      <c r="N3510" s="3">
        <v>32.99</v>
      </c>
      <c r="O3510" s="2" t="s">
        <v>97</v>
      </c>
      <c r="P3510" s="2" t="s">
        <v>119</v>
      </c>
      <c r="Q3510" s="2" t="s">
        <v>99</v>
      </c>
      <c r="R3510" s="2" t="s">
        <v>100</v>
      </c>
      <c r="S3510" s="2" t="s">
        <v>10878</v>
      </c>
      <c r="T3510" s="2" t="s">
        <v>218</v>
      </c>
      <c r="U3510" s="2" t="s">
        <v>100</v>
      </c>
      <c r="V3510" s="2" t="s">
        <v>146</v>
      </c>
      <c r="W3510" s="2" t="s">
        <v>183</v>
      </c>
      <c r="X3510" s="2" t="s">
        <v>100</v>
      </c>
      <c r="Y3510" s="2" t="s">
        <v>240</v>
      </c>
      <c r="Z3510" s="4">
        <v>310</v>
      </c>
      <c r="AA3510" s="4">
        <f>=ROUNDDOWN(11.4814814814815,0)</f>
      </c>
      <c r="AB3510" s="5">
        <v>27</v>
      </c>
      <c r="AC3510" s="2" t="s">
        <v>123</v>
      </c>
      <c r="AD3510" s="4">
        <v>120</v>
      </c>
      <c r="AE3510" s="4">
        <v>670</v>
      </c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 t="s">
        <v>100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 t="s">
        <v>100</v>
      </c>
      <c r="BJ3510" s="4">
        <v>834</v>
      </c>
      <c r="BK3510" s="8">
        <v>12011.36</v>
      </c>
      <c r="BL3510" s="2" t="s">
        <v>10897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10884</v>
      </c>
      <c r="BX3510" s="2" t="s">
        <v>10898</v>
      </c>
      <c r="BY3510" s="2" t="s">
        <v>113</v>
      </c>
      <c r="BZ3510" s="2" t="s">
        <v>100</v>
      </c>
    </row>
    <row r="3511">
      <c r="A3511" s="2" t="s">
        <v>10899</v>
      </c>
      <c r="B3511" s="2" t="s">
        <v>9668</v>
      </c>
      <c r="C3511" s="2" t="s">
        <v>3934</v>
      </c>
      <c r="D3511" s="2" t="s">
        <v>9669</v>
      </c>
      <c r="E3511" s="2" t="s">
        <v>9670</v>
      </c>
      <c r="F3511" s="2" t="s">
        <v>218</v>
      </c>
      <c r="G3511" s="2" t="s">
        <v>218</v>
      </c>
      <c r="H3511" s="2" t="s">
        <v>218</v>
      </c>
      <c r="I3511" s="2" t="s">
        <v>10877</v>
      </c>
      <c r="J3511" s="2" t="s">
        <v>706</v>
      </c>
      <c r="K3511" s="2" t="s">
        <v>2477</v>
      </c>
      <c r="L3511" s="3">
        <v>14.85</v>
      </c>
      <c r="M3511" s="3">
        <v>15.59</v>
      </c>
      <c r="N3511" s="3">
        <v>32.99</v>
      </c>
      <c r="O3511" s="2" t="s">
        <v>97</v>
      </c>
      <c r="P3511" s="2" t="s">
        <v>119</v>
      </c>
      <c r="Q3511" s="2" t="s">
        <v>99</v>
      </c>
      <c r="R3511" s="2" t="s">
        <v>100</v>
      </c>
      <c r="S3511" s="2" t="s">
        <v>10878</v>
      </c>
      <c r="T3511" s="2" t="s">
        <v>218</v>
      </c>
      <c r="U3511" s="2" t="s">
        <v>102</v>
      </c>
      <c r="V3511" s="2" t="s">
        <v>146</v>
      </c>
      <c r="W3511" s="2" t="s">
        <v>183</v>
      </c>
      <c r="X3511" s="2" t="s">
        <v>561</v>
      </c>
      <c r="Y3511" s="2" t="s">
        <v>10879</v>
      </c>
      <c r="Z3511" s="4">
        <v>53</v>
      </c>
      <c r="AA3511" s="4">
        <f>=ROUNDDOWN(3.78571428571429,0)</f>
      </c>
      <c r="AB3511" s="5">
        <v>14</v>
      </c>
      <c r="AC3511" s="2" t="s">
        <v>123</v>
      </c>
      <c r="AD3511" s="4">
        <v>140</v>
      </c>
      <c r="AE3511" s="4">
        <v>580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 t="s">
        <v>100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 t="s">
        <v>100</v>
      </c>
      <c r="BJ3511" s="4">
        <v>392</v>
      </c>
      <c r="BK3511" s="8">
        <v>6138.36</v>
      </c>
      <c r="BL3511" s="2" t="s">
        <v>10900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5167</v>
      </c>
      <c r="BX3511" s="2" t="s">
        <v>10333</v>
      </c>
      <c r="BY3511" s="2" t="s">
        <v>113</v>
      </c>
      <c r="BZ3511" s="2" t="s">
        <v>100</v>
      </c>
    </row>
    <row r="3512">
      <c r="A3512" s="2" t="s">
        <v>10901</v>
      </c>
      <c r="B3512" s="2" t="s">
        <v>9668</v>
      </c>
      <c r="C3512" s="2" t="s">
        <v>3934</v>
      </c>
      <c r="D3512" s="2" t="s">
        <v>9669</v>
      </c>
      <c r="E3512" s="2" t="s">
        <v>9670</v>
      </c>
      <c r="F3512" s="2" t="s">
        <v>218</v>
      </c>
      <c r="G3512" s="2" t="s">
        <v>218</v>
      </c>
      <c r="H3512" s="2" t="s">
        <v>218</v>
      </c>
      <c r="I3512" s="2" t="s">
        <v>10882</v>
      </c>
      <c r="J3512" s="2" t="s">
        <v>714</v>
      </c>
      <c r="K3512" s="2" t="s">
        <v>2477</v>
      </c>
      <c r="L3512" s="3">
        <v>16.75</v>
      </c>
      <c r="M3512" s="3">
        <v>17.59</v>
      </c>
      <c r="N3512" s="3">
        <v>37.99</v>
      </c>
      <c r="O3512" s="2" t="s">
        <v>97</v>
      </c>
      <c r="P3512" s="2" t="s">
        <v>119</v>
      </c>
      <c r="Q3512" s="2" t="s">
        <v>99</v>
      </c>
      <c r="R3512" s="2" t="s">
        <v>100</v>
      </c>
      <c r="S3512" s="2" t="s">
        <v>10878</v>
      </c>
      <c r="T3512" s="2" t="s">
        <v>218</v>
      </c>
      <c r="U3512" s="2" t="s">
        <v>100</v>
      </c>
      <c r="V3512" s="2" t="s">
        <v>146</v>
      </c>
      <c r="W3512" s="2" t="s">
        <v>183</v>
      </c>
      <c r="X3512" s="2" t="s">
        <v>100</v>
      </c>
      <c r="Y3512" s="2" t="s">
        <v>240</v>
      </c>
      <c r="Z3512" s="4">
        <v>137</v>
      </c>
      <c r="AA3512" s="4">
        <f>=ROUNDDOWN(17.125,0)</f>
      </c>
      <c r="AB3512" s="5">
        <v>8</v>
      </c>
      <c r="AC3512" s="2" t="s">
        <v>1164</v>
      </c>
      <c r="AD3512" s="4">
        <v>40</v>
      </c>
      <c r="AE3512" s="4">
        <v>40</v>
      </c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>
        <v>1</v>
      </c>
      <c r="AQ3512" s="8">
        <v>16.33</v>
      </c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>
        <v>0.02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 t="s">
        <v>100</v>
      </c>
      <c r="BJ3512" s="4">
        <v>222</v>
      </c>
      <c r="BK3512" s="8">
        <v>4159.13</v>
      </c>
      <c r="BL3512" s="2" t="s">
        <v>10902</v>
      </c>
      <c r="BM3512" s="7">
        <v>0.0045</v>
      </c>
      <c r="BN3512" s="7">
        <v>0.0039</v>
      </c>
      <c r="BO3512" s="4">
        <v>1</v>
      </c>
      <c r="BP3512" s="8">
        <v>16.33</v>
      </c>
      <c r="BQ3512" s="4"/>
      <c r="BR3512" s="8"/>
      <c r="BS3512" s="7"/>
      <c r="BT3512" s="7"/>
      <c r="BU3512" s="2" t="s">
        <v>109</v>
      </c>
      <c r="BV3512" s="2" t="s">
        <v>110</v>
      </c>
      <c r="BW3512" s="2" t="s">
        <v>10884</v>
      </c>
      <c r="BX3512" s="2" t="s">
        <v>4449</v>
      </c>
      <c r="BY3512" s="2" t="s">
        <v>113</v>
      </c>
      <c r="BZ3512" s="2" t="s">
        <v>100</v>
      </c>
    </row>
    <row r="3513">
      <c r="A3513" s="2" t="s">
        <v>10903</v>
      </c>
      <c r="B3513" s="2" t="s">
        <v>9668</v>
      </c>
      <c r="C3513" s="2" t="s">
        <v>3934</v>
      </c>
      <c r="D3513" s="2" t="s">
        <v>9669</v>
      </c>
      <c r="E3513" s="2" t="s">
        <v>9670</v>
      </c>
      <c r="F3513" s="2" t="s">
        <v>218</v>
      </c>
      <c r="G3513" s="2" t="s">
        <v>218</v>
      </c>
      <c r="H3513" s="2" t="s">
        <v>218</v>
      </c>
      <c r="I3513" s="2" t="s">
        <v>10882</v>
      </c>
      <c r="J3513" s="2" t="s">
        <v>1936</v>
      </c>
      <c r="K3513" s="2" t="s">
        <v>3560</v>
      </c>
      <c r="L3513" s="3">
        <v>11.18</v>
      </c>
      <c r="M3513" s="3">
        <v>11.74</v>
      </c>
      <c r="N3513" s="3">
        <v>27.99</v>
      </c>
      <c r="O3513" s="2" t="s">
        <v>97</v>
      </c>
      <c r="P3513" s="2" t="s">
        <v>119</v>
      </c>
      <c r="Q3513" s="2" t="s">
        <v>99</v>
      </c>
      <c r="R3513" s="2" t="s">
        <v>100</v>
      </c>
      <c r="S3513" s="2" t="s">
        <v>10904</v>
      </c>
      <c r="T3513" s="2" t="s">
        <v>218</v>
      </c>
      <c r="U3513" s="2" t="s">
        <v>100</v>
      </c>
      <c r="V3513" s="2" t="s">
        <v>146</v>
      </c>
      <c r="W3513" s="2" t="s">
        <v>183</v>
      </c>
      <c r="X3513" s="2" t="s">
        <v>100</v>
      </c>
      <c r="Y3513" s="2" t="s">
        <v>240</v>
      </c>
      <c r="Z3513" s="4">
        <v>224</v>
      </c>
      <c r="AA3513" s="4">
        <f>=ROUNDDOWN(49.7777777777778,0)</f>
      </c>
      <c r="AB3513" s="5">
        <v>4.5</v>
      </c>
      <c r="AC3513" s="2" t="s">
        <v>1102</v>
      </c>
      <c r="AD3513" s="4">
        <v>40</v>
      </c>
      <c r="AE3513" s="4">
        <v>70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/>
      <c r="AP3513" s="4">
        <v>12</v>
      </c>
      <c r="AQ3513" s="8">
        <v>130.68</v>
      </c>
      <c r="AR3513" s="4"/>
      <c r="AS3513" s="8"/>
      <c r="AT3513" s="7"/>
      <c r="AU3513" s="7"/>
      <c r="AV3513" s="4">
        <v>26</v>
      </c>
      <c r="AW3513" s="8">
        <v>324.24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>
        <v>0.4424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0.1796</v>
      </c>
      <c r="BJ3513" s="4">
        <v>148</v>
      </c>
      <c r="BK3513" s="8">
        <v>1659.08</v>
      </c>
      <c r="BL3513" s="2" t="s">
        <v>10905</v>
      </c>
      <c r="BM3513" s="7">
        <v>0.0811</v>
      </c>
      <c r="BN3513" s="7">
        <v>0.0788</v>
      </c>
      <c r="BO3513" s="4">
        <v>12</v>
      </c>
      <c r="BP3513" s="8">
        <v>130.68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243</v>
      </c>
      <c r="BX3513" s="2" t="s">
        <v>10906</v>
      </c>
      <c r="BY3513" s="2" t="s">
        <v>113</v>
      </c>
      <c r="BZ3513" s="2" t="s">
        <v>100</v>
      </c>
    </row>
    <row r="3514">
      <c r="A3514" s="2" t="s">
        <v>10907</v>
      </c>
      <c r="B3514" s="2" t="s">
        <v>9668</v>
      </c>
      <c r="C3514" s="2" t="s">
        <v>3934</v>
      </c>
      <c r="D3514" s="2" t="s">
        <v>9669</v>
      </c>
      <c r="E3514" s="2" t="s">
        <v>9670</v>
      </c>
      <c r="F3514" s="2" t="s">
        <v>218</v>
      </c>
      <c r="G3514" s="2" t="s">
        <v>218</v>
      </c>
      <c r="H3514" s="2" t="s">
        <v>218</v>
      </c>
      <c r="I3514" s="2" t="s">
        <v>10877</v>
      </c>
      <c r="J3514" s="2" t="s">
        <v>1936</v>
      </c>
      <c r="K3514" s="2" t="s">
        <v>3560</v>
      </c>
      <c r="L3514" s="3">
        <v>12.15</v>
      </c>
      <c r="M3514" s="3">
        <v>12.76</v>
      </c>
      <c r="N3514" s="3">
        <v>26.99</v>
      </c>
      <c r="O3514" s="2" t="s">
        <v>97</v>
      </c>
      <c r="P3514" s="2" t="s">
        <v>119</v>
      </c>
      <c r="Q3514" s="2" t="s">
        <v>99</v>
      </c>
      <c r="R3514" s="2" t="s">
        <v>100</v>
      </c>
      <c r="S3514" s="2" t="s">
        <v>10904</v>
      </c>
      <c r="T3514" s="2" t="s">
        <v>218</v>
      </c>
      <c r="U3514" s="2" t="s">
        <v>402</v>
      </c>
      <c r="V3514" s="2" t="s">
        <v>146</v>
      </c>
      <c r="W3514" s="2" t="s">
        <v>561</v>
      </c>
      <c r="X3514" s="2" t="s">
        <v>100</v>
      </c>
      <c r="Y3514" s="2" t="s">
        <v>10622</v>
      </c>
      <c r="Z3514" s="4">
        <v>50</v>
      </c>
      <c r="AA3514" s="4">
        <f>=ROUNDDOWN(7.14285714285714,0)</f>
      </c>
      <c r="AB3514" s="5">
        <v>7</v>
      </c>
      <c r="AC3514" s="2" t="s">
        <v>1102</v>
      </c>
      <c r="AD3514" s="4">
        <v>76</v>
      </c>
      <c r="AE3514" s="4">
        <v>76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>
        <v>1</v>
      </c>
      <c r="AQ3514" s="8">
        <v>12.76</v>
      </c>
      <c r="AR3514" s="4"/>
      <c r="AS3514" s="8"/>
      <c r="AT3514" s="7"/>
      <c r="AU3514" s="7"/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 t="s">
        <v>100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 t="s">
        <v>100</v>
      </c>
      <c r="BJ3514" s="4">
        <v>132</v>
      </c>
      <c r="BK3514" s="8">
        <v>1661.14</v>
      </c>
      <c r="BL3514" s="2" t="s">
        <v>10908</v>
      </c>
      <c r="BM3514" s="7">
        <v>0.0076</v>
      </c>
      <c r="BN3514" s="7">
        <v>0.0077</v>
      </c>
      <c r="BO3514" s="4">
        <v>1</v>
      </c>
      <c r="BP3514" s="8">
        <v>12.76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586</v>
      </c>
      <c r="BX3514" s="2" t="s">
        <v>583</v>
      </c>
      <c r="BY3514" s="2" t="s">
        <v>113</v>
      </c>
      <c r="BZ3514" s="2" t="s">
        <v>100</v>
      </c>
    </row>
    <row r="3515">
      <c r="A3515" s="2" t="s">
        <v>10909</v>
      </c>
      <c r="B3515" s="2" t="s">
        <v>9668</v>
      </c>
      <c r="C3515" s="2" t="s">
        <v>3934</v>
      </c>
      <c r="D3515" s="2" t="s">
        <v>9669</v>
      </c>
      <c r="E3515" s="2" t="s">
        <v>9670</v>
      </c>
      <c r="F3515" s="2" t="s">
        <v>218</v>
      </c>
      <c r="G3515" s="2" t="s">
        <v>218</v>
      </c>
      <c r="H3515" s="2" t="s">
        <v>218</v>
      </c>
      <c r="I3515" s="2" t="s">
        <v>10877</v>
      </c>
      <c r="J3515" s="2" t="s">
        <v>2072</v>
      </c>
      <c r="K3515" s="2" t="s">
        <v>3560</v>
      </c>
      <c r="L3515" s="3">
        <v>12.15</v>
      </c>
      <c r="M3515" s="3">
        <v>12.76</v>
      </c>
      <c r="N3515" s="3">
        <v>26.99</v>
      </c>
      <c r="O3515" s="2" t="s">
        <v>97</v>
      </c>
      <c r="P3515" s="2" t="s">
        <v>119</v>
      </c>
      <c r="Q3515" s="2" t="s">
        <v>99</v>
      </c>
      <c r="R3515" s="2" t="s">
        <v>100</v>
      </c>
      <c r="S3515" s="2" t="s">
        <v>10904</v>
      </c>
      <c r="T3515" s="2" t="s">
        <v>218</v>
      </c>
      <c r="U3515" s="2" t="s">
        <v>402</v>
      </c>
      <c r="V3515" s="2" t="s">
        <v>146</v>
      </c>
      <c r="W3515" s="2" t="s">
        <v>561</v>
      </c>
      <c r="X3515" s="2" t="s">
        <v>100</v>
      </c>
      <c r="Y3515" s="2" t="s">
        <v>10622</v>
      </c>
      <c r="Z3515" s="4">
        <v>270</v>
      </c>
      <c r="AA3515" s="4">
        <f>=ROUNDDOWN(67.5,0)</f>
      </c>
      <c r="AB3515" s="5">
        <v>4</v>
      </c>
      <c r="AC3515" s="2" t="s">
        <v>100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>
        <v>2</v>
      </c>
      <c r="AQ3515" s="8">
        <v>25.52</v>
      </c>
      <c r="AR3515" s="4"/>
      <c r="AS3515" s="8"/>
      <c r="AT3515" s="7"/>
      <c r="AU3515" s="7"/>
      <c r="AV3515" s="4" t="s">
        <v>100</v>
      </c>
      <c r="AW3515" s="8" t="s">
        <v>100</v>
      </c>
      <c r="AX3515" s="4" t="s">
        <v>100</v>
      </c>
      <c r="AY3515" s="8" t="s">
        <v>100</v>
      </c>
      <c r="AZ3515" s="7" t="s">
        <v>100</v>
      </c>
      <c r="BA3515" s="7" t="s">
        <v>100</v>
      </c>
      <c r="BB3515" s="7">
        <v>0.1459</v>
      </c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 t="s">
        <v>100</v>
      </c>
      <c r="BJ3515" s="4">
        <v>306</v>
      </c>
      <c r="BK3515" s="8">
        <v>3844.33</v>
      </c>
      <c r="BL3515" s="2" t="s">
        <v>10910</v>
      </c>
      <c r="BM3515" s="7">
        <v>0.0065</v>
      </c>
      <c r="BN3515" s="7">
        <v>0.0066</v>
      </c>
      <c r="BO3515" s="4">
        <v>2</v>
      </c>
      <c r="BP3515" s="8">
        <v>25.52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586</v>
      </c>
      <c r="BX3515" s="2" t="s">
        <v>10911</v>
      </c>
      <c r="BY3515" s="2" t="s">
        <v>113</v>
      </c>
      <c r="BZ3515" s="2" t="s">
        <v>100</v>
      </c>
    </row>
    <row r="3516">
      <c r="A3516" s="2" t="s">
        <v>10912</v>
      </c>
      <c r="B3516" s="2" t="s">
        <v>9668</v>
      </c>
      <c r="C3516" s="2" t="s">
        <v>3934</v>
      </c>
      <c r="D3516" s="2" t="s">
        <v>9669</v>
      </c>
      <c r="E3516" s="2" t="s">
        <v>9670</v>
      </c>
      <c r="F3516" s="2" t="s">
        <v>218</v>
      </c>
      <c r="G3516" s="2" t="s">
        <v>218</v>
      </c>
      <c r="H3516" s="2" t="s">
        <v>218</v>
      </c>
      <c r="I3516" s="2" t="s">
        <v>10882</v>
      </c>
      <c r="J3516" s="2" t="s">
        <v>2072</v>
      </c>
      <c r="K3516" s="2" t="s">
        <v>3560</v>
      </c>
      <c r="L3516" s="3">
        <v>11.18</v>
      </c>
      <c r="M3516" s="3">
        <v>11.74</v>
      </c>
      <c r="N3516" s="3">
        <v>27.99</v>
      </c>
      <c r="O3516" s="2" t="s">
        <v>97</v>
      </c>
      <c r="P3516" s="2" t="s">
        <v>119</v>
      </c>
      <c r="Q3516" s="2" t="s">
        <v>99</v>
      </c>
      <c r="R3516" s="2" t="s">
        <v>100</v>
      </c>
      <c r="S3516" s="2" t="s">
        <v>10904</v>
      </c>
      <c r="T3516" s="2" t="s">
        <v>218</v>
      </c>
      <c r="U3516" s="2" t="s">
        <v>100</v>
      </c>
      <c r="V3516" s="2" t="s">
        <v>146</v>
      </c>
      <c r="W3516" s="2" t="s">
        <v>183</v>
      </c>
      <c r="X3516" s="2" t="s">
        <v>100</v>
      </c>
      <c r="Y3516" s="2" t="s">
        <v>240</v>
      </c>
      <c r="Z3516" s="4">
        <v>328</v>
      </c>
      <c r="AA3516" s="4">
        <f>=ROUNDDOWN(164,0)</f>
      </c>
      <c r="AB3516" s="5">
        <v>2</v>
      </c>
      <c r="AC3516" s="2" t="s">
        <v>100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/>
      <c r="AP3516" s="4">
        <v>2</v>
      </c>
      <c r="AQ3516" s="8">
        <v>21.78</v>
      </c>
      <c r="AR3516" s="4"/>
      <c r="AS3516" s="8"/>
      <c r="AT3516" s="7"/>
      <c r="AU3516" s="7"/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 t="s">
        <v>100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 t="s">
        <v>100</v>
      </c>
      <c r="BJ3516" s="4">
        <v>137</v>
      </c>
      <c r="BK3516" s="8">
        <v>1619.24</v>
      </c>
      <c r="BL3516" s="2" t="s">
        <v>10913</v>
      </c>
      <c r="BM3516" s="7">
        <v>0.0146</v>
      </c>
      <c r="BN3516" s="7">
        <v>0.0135</v>
      </c>
      <c r="BO3516" s="4">
        <v>2</v>
      </c>
      <c r="BP3516" s="8">
        <v>21.78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243</v>
      </c>
      <c r="BX3516" s="2" t="s">
        <v>10914</v>
      </c>
      <c r="BY3516" s="2" t="s">
        <v>113</v>
      </c>
      <c r="BZ3516" s="2" t="s">
        <v>100</v>
      </c>
    </row>
    <row r="3517">
      <c r="A3517" s="2" t="s">
        <v>10915</v>
      </c>
      <c r="B3517" s="2" t="s">
        <v>9668</v>
      </c>
      <c r="C3517" s="2" t="s">
        <v>3934</v>
      </c>
      <c r="D3517" s="2" t="s">
        <v>9669</v>
      </c>
      <c r="E3517" s="2" t="s">
        <v>9670</v>
      </c>
      <c r="F3517" s="2" t="s">
        <v>218</v>
      </c>
      <c r="G3517" s="2" t="s">
        <v>218</v>
      </c>
      <c r="H3517" s="2" t="s">
        <v>218</v>
      </c>
      <c r="I3517" s="2" t="s">
        <v>10877</v>
      </c>
      <c r="J3517" s="2" t="s">
        <v>717</v>
      </c>
      <c r="K3517" s="2" t="s">
        <v>3560</v>
      </c>
      <c r="L3517" s="3">
        <v>14.85</v>
      </c>
      <c r="M3517" s="3">
        <v>15.59</v>
      </c>
      <c r="N3517" s="3">
        <v>32.99</v>
      </c>
      <c r="O3517" s="2" t="s">
        <v>97</v>
      </c>
      <c r="P3517" s="2" t="s">
        <v>119</v>
      </c>
      <c r="Q3517" s="2" t="s">
        <v>99</v>
      </c>
      <c r="R3517" s="2" t="s">
        <v>100</v>
      </c>
      <c r="S3517" s="2" t="s">
        <v>10904</v>
      </c>
      <c r="T3517" s="2" t="s">
        <v>218</v>
      </c>
      <c r="U3517" s="2" t="s">
        <v>102</v>
      </c>
      <c r="V3517" s="2" t="s">
        <v>146</v>
      </c>
      <c r="W3517" s="2" t="s">
        <v>561</v>
      </c>
      <c r="X3517" s="2" t="s">
        <v>100</v>
      </c>
      <c r="Y3517" s="2" t="s">
        <v>10622</v>
      </c>
      <c r="Z3517" s="4">
        <v>117</v>
      </c>
      <c r="AA3517" s="4">
        <f>=ROUNDDOWN(18,0)</f>
      </c>
      <c r="AB3517" s="5">
        <v>6.5</v>
      </c>
      <c r="AC3517" s="2" t="s">
        <v>123</v>
      </c>
      <c r="AD3517" s="4">
        <v>40</v>
      </c>
      <c r="AE3517" s="4">
        <v>230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>
        <v>1</v>
      </c>
      <c r="AQ3517" s="8">
        <v>15.31</v>
      </c>
      <c r="AR3517" s="4"/>
      <c r="AS3517" s="8"/>
      <c r="AT3517" s="7"/>
      <c r="AU3517" s="7"/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>
        <v>0.1631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 t="s">
        <v>100</v>
      </c>
      <c r="BJ3517" s="4">
        <v>163</v>
      </c>
      <c r="BK3517" s="8">
        <v>2474.72</v>
      </c>
      <c r="BL3517" s="2" t="s">
        <v>10910</v>
      </c>
      <c r="BM3517" s="7">
        <v>0.0061</v>
      </c>
      <c r="BN3517" s="7">
        <v>0.0062</v>
      </c>
      <c r="BO3517" s="4">
        <v>1</v>
      </c>
      <c r="BP3517" s="8">
        <v>15.31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586</v>
      </c>
      <c r="BX3517" s="2" t="s">
        <v>10267</v>
      </c>
      <c r="BY3517" s="2" t="s">
        <v>113</v>
      </c>
      <c r="BZ3517" s="2" t="s">
        <v>100</v>
      </c>
    </row>
    <row r="3518">
      <c r="A3518" s="2" t="s">
        <v>10916</v>
      </c>
      <c r="B3518" s="2" t="s">
        <v>9668</v>
      </c>
      <c r="C3518" s="2" t="s">
        <v>3934</v>
      </c>
      <c r="D3518" s="2" t="s">
        <v>9669</v>
      </c>
      <c r="E3518" s="2" t="s">
        <v>9670</v>
      </c>
      <c r="F3518" s="2" t="s">
        <v>218</v>
      </c>
      <c r="G3518" s="2" t="s">
        <v>218</v>
      </c>
      <c r="H3518" s="2" t="s">
        <v>218</v>
      </c>
      <c r="I3518" s="2" t="s">
        <v>10882</v>
      </c>
      <c r="J3518" s="2" t="s">
        <v>717</v>
      </c>
      <c r="K3518" s="2" t="s">
        <v>3560</v>
      </c>
      <c r="L3518" s="3">
        <v>12.92</v>
      </c>
      <c r="M3518" s="3">
        <v>13.57</v>
      </c>
      <c r="N3518" s="3">
        <v>30.99</v>
      </c>
      <c r="O3518" s="2" t="s">
        <v>97</v>
      </c>
      <c r="P3518" s="2" t="s">
        <v>119</v>
      </c>
      <c r="Q3518" s="2" t="s">
        <v>99</v>
      </c>
      <c r="R3518" s="2" t="s">
        <v>100</v>
      </c>
      <c r="S3518" s="2" t="s">
        <v>10904</v>
      </c>
      <c r="T3518" s="2" t="s">
        <v>218</v>
      </c>
      <c r="U3518" s="2" t="s">
        <v>100</v>
      </c>
      <c r="V3518" s="2" t="s">
        <v>146</v>
      </c>
      <c r="W3518" s="2" t="s">
        <v>183</v>
      </c>
      <c r="X3518" s="2" t="s">
        <v>100</v>
      </c>
      <c r="Y3518" s="2" t="s">
        <v>240</v>
      </c>
      <c r="Z3518" s="4">
        <v>79</v>
      </c>
      <c r="AA3518" s="4">
        <f>=ROUNDDOWN(12.1538461538462,0)</f>
      </c>
      <c r="AB3518" s="5">
        <v>6.5</v>
      </c>
      <c r="AC3518" s="2" t="s">
        <v>1102</v>
      </c>
      <c r="AD3518" s="4">
        <v>50</v>
      </c>
      <c r="AE3518" s="4">
        <v>220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>
        <v>3</v>
      </c>
      <c r="AQ3518" s="8">
        <v>37.56</v>
      </c>
      <c r="AR3518" s="4"/>
      <c r="AS3518" s="8"/>
      <c r="AT3518" s="7"/>
      <c r="AU3518" s="7"/>
      <c r="AV3518" s="4" t="s">
        <v>100</v>
      </c>
      <c r="AW3518" s="8" t="s">
        <v>100</v>
      </c>
      <c r="AX3518" s="4" t="s">
        <v>100</v>
      </c>
      <c r="AY3518" s="8" t="s">
        <v>100</v>
      </c>
      <c r="AZ3518" s="7" t="s">
        <v>100</v>
      </c>
      <c r="BA3518" s="7" t="s">
        <v>100</v>
      </c>
      <c r="BB3518" s="7" t="s">
        <v>100</v>
      </c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 t="s">
        <v>100</v>
      </c>
      <c r="BJ3518" s="4">
        <v>154</v>
      </c>
      <c r="BK3518" s="8">
        <v>2047.36</v>
      </c>
      <c r="BL3518" s="2" t="s">
        <v>10917</v>
      </c>
      <c r="BM3518" s="7">
        <v>0.0195</v>
      </c>
      <c r="BN3518" s="7">
        <v>0.0183</v>
      </c>
      <c r="BO3518" s="4">
        <v>3</v>
      </c>
      <c r="BP3518" s="8">
        <v>37.56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243</v>
      </c>
      <c r="BX3518" s="2" t="s">
        <v>10918</v>
      </c>
      <c r="BY3518" s="2" t="s">
        <v>113</v>
      </c>
      <c r="BZ3518" s="2" t="s">
        <v>100</v>
      </c>
    </row>
    <row r="3519">
      <c r="A3519" s="2" t="s">
        <v>10919</v>
      </c>
      <c r="B3519" s="2" t="s">
        <v>9668</v>
      </c>
      <c r="C3519" s="2" t="s">
        <v>3934</v>
      </c>
      <c r="D3519" s="2" t="s">
        <v>9669</v>
      </c>
      <c r="E3519" s="2" t="s">
        <v>9670</v>
      </c>
      <c r="F3519" s="2" t="s">
        <v>218</v>
      </c>
      <c r="G3519" s="2" t="s">
        <v>218</v>
      </c>
      <c r="H3519" s="2" t="s">
        <v>218</v>
      </c>
      <c r="I3519" s="2" t="s">
        <v>10882</v>
      </c>
      <c r="J3519" s="2" t="s">
        <v>706</v>
      </c>
      <c r="K3519" s="2" t="s">
        <v>3560</v>
      </c>
      <c r="L3519" s="3">
        <v>14.21</v>
      </c>
      <c r="M3519" s="3">
        <v>14.92</v>
      </c>
      <c r="N3519" s="3">
        <v>32.99</v>
      </c>
      <c r="O3519" s="2" t="s">
        <v>97</v>
      </c>
      <c r="P3519" s="2" t="s">
        <v>119</v>
      </c>
      <c r="Q3519" s="2" t="s">
        <v>99</v>
      </c>
      <c r="R3519" s="2" t="s">
        <v>100</v>
      </c>
      <c r="S3519" s="2" t="s">
        <v>10904</v>
      </c>
      <c r="T3519" s="2" t="s">
        <v>218</v>
      </c>
      <c r="U3519" s="2" t="s">
        <v>100</v>
      </c>
      <c r="V3519" s="2" t="s">
        <v>146</v>
      </c>
      <c r="W3519" s="2" t="s">
        <v>183</v>
      </c>
      <c r="X3519" s="2" t="s">
        <v>100</v>
      </c>
      <c r="Y3519" s="2" t="s">
        <v>240</v>
      </c>
      <c r="Z3519" s="4">
        <v>5</v>
      </c>
      <c r="AA3519" s="4">
        <f>=ROUNDDOWN(0.112612612612613,0)</f>
      </c>
      <c r="AB3519" s="5">
        <v>44.4</v>
      </c>
      <c r="AC3519" s="2" t="s">
        <v>1102</v>
      </c>
      <c r="AD3519" s="4">
        <v>350</v>
      </c>
      <c r="AE3519" s="4">
        <v>1050</v>
      </c>
      <c r="AF3519" s="6">
        <v>65</v>
      </c>
      <c r="AG3519" s="6"/>
      <c r="AH3519" s="7">
        <v>0.8556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>
        <v>0.0472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 t="s">
        <v>100</v>
      </c>
      <c r="BJ3519" s="4">
        <v>695</v>
      </c>
      <c r="BK3519" s="8">
        <v>9924.18</v>
      </c>
      <c r="BL3519" s="2" t="s">
        <v>10920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243</v>
      </c>
      <c r="BX3519" s="2" t="s">
        <v>10918</v>
      </c>
      <c r="BY3519" s="2" t="s">
        <v>113</v>
      </c>
      <c r="BZ3519" s="2" t="s">
        <v>100</v>
      </c>
    </row>
    <row r="3520">
      <c r="A3520" s="2" t="s">
        <v>10921</v>
      </c>
      <c r="B3520" s="2" t="s">
        <v>9668</v>
      </c>
      <c r="C3520" s="2" t="s">
        <v>3934</v>
      </c>
      <c r="D3520" s="2" t="s">
        <v>9669</v>
      </c>
      <c r="E3520" s="2" t="s">
        <v>9670</v>
      </c>
      <c r="F3520" s="2" t="s">
        <v>218</v>
      </c>
      <c r="G3520" s="2" t="s">
        <v>218</v>
      </c>
      <c r="H3520" s="2" t="s">
        <v>218</v>
      </c>
      <c r="I3520" s="2" t="s">
        <v>10877</v>
      </c>
      <c r="J3520" s="2" t="s">
        <v>706</v>
      </c>
      <c r="K3520" s="2" t="s">
        <v>3560</v>
      </c>
      <c r="L3520" s="3">
        <v>14.85</v>
      </c>
      <c r="M3520" s="3">
        <v>15.59</v>
      </c>
      <c r="N3520" s="3">
        <v>32.99</v>
      </c>
      <c r="O3520" s="2" t="s">
        <v>97</v>
      </c>
      <c r="P3520" s="2" t="s">
        <v>119</v>
      </c>
      <c r="Q3520" s="2" t="s">
        <v>99</v>
      </c>
      <c r="R3520" s="2" t="s">
        <v>100</v>
      </c>
      <c r="S3520" s="2" t="s">
        <v>10904</v>
      </c>
      <c r="T3520" s="2" t="s">
        <v>218</v>
      </c>
      <c r="U3520" s="2" t="s">
        <v>102</v>
      </c>
      <c r="V3520" s="2" t="s">
        <v>146</v>
      </c>
      <c r="W3520" s="2" t="s">
        <v>561</v>
      </c>
      <c r="X3520" s="2" t="s">
        <v>100</v>
      </c>
      <c r="Y3520" s="2" t="s">
        <v>10622</v>
      </c>
      <c r="Z3520" s="4">
        <v>21</v>
      </c>
      <c r="AA3520" s="4">
        <f>=ROUNDDOWN(0.84,0)</f>
      </c>
      <c r="AB3520" s="5">
        <v>25</v>
      </c>
      <c r="AC3520" s="2" t="s">
        <v>123</v>
      </c>
      <c r="AD3520" s="4">
        <v>160</v>
      </c>
      <c r="AE3520" s="4">
        <v>880</v>
      </c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>
        <v>1</v>
      </c>
      <c r="AQ3520" s="8">
        <v>15.31</v>
      </c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 t="s">
        <v>100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 t="s">
        <v>100</v>
      </c>
      <c r="BJ3520" s="4">
        <v>688</v>
      </c>
      <c r="BK3520" s="8">
        <v>10827.67</v>
      </c>
      <c r="BL3520" s="2" t="s">
        <v>10922</v>
      </c>
      <c r="BM3520" s="7">
        <v>0.0015</v>
      </c>
      <c r="BN3520" s="7">
        <v>0.0014</v>
      </c>
      <c r="BO3520" s="4">
        <v>1</v>
      </c>
      <c r="BP3520" s="8">
        <v>15.31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586</v>
      </c>
      <c r="BX3520" s="2" t="s">
        <v>9900</v>
      </c>
      <c r="BY3520" s="2" t="s">
        <v>113</v>
      </c>
      <c r="BZ3520" s="2" t="s">
        <v>100</v>
      </c>
    </row>
    <row r="3521">
      <c r="A3521" s="2" t="s">
        <v>10923</v>
      </c>
      <c r="B3521" s="2" t="s">
        <v>9668</v>
      </c>
      <c r="C3521" s="2" t="s">
        <v>3934</v>
      </c>
      <c r="D3521" s="2" t="s">
        <v>9669</v>
      </c>
      <c r="E3521" s="2" t="s">
        <v>9670</v>
      </c>
      <c r="F3521" s="2" t="s">
        <v>218</v>
      </c>
      <c r="G3521" s="2" t="s">
        <v>218</v>
      </c>
      <c r="H3521" s="2" t="s">
        <v>218</v>
      </c>
      <c r="I3521" s="2" t="s">
        <v>10882</v>
      </c>
      <c r="J3521" s="2" t="s">
        <v>714</v>
      </c>
      <c r="K3521" s="2" t="s">
        <v>3560</v>
      </c>
      <c r="L3521" s="3">
        <v>16.75</v>
      </c>
      <c r="M3521" s="3">
        <v>17.59</v>
      </c>
      <c r="N3521" s="3">
        <v>37.99</v>
      </c>
      <c r="O3521" s="2" t="s">
        <v>97</v>
      </c>
      <c r="P3521" s="2" t="s">
        <v>119</v>
      </c>
      <c r="Q3521" s="2" t="s">
        <v>99</v>
      </c>
      <c r="R3521" s="2" t="s">
        <v>100</v>
      </c>
      <c r="S3521" s="2" t="s">
        <v>10904</v>
      </c>
      <c r="T3521" s="2" t="s">
        <v>218</v>
      </c>
      <c r="U3521" s="2" t="s">
        <v>100</v>
      </c>
      <c r="V3521" s="2" t="s">
        <v>146</v>
      </c>
      <c r="W3521" s="2" t="s">
        <v>183</v>
      </c>
      <c r="X3521" s="2" t="s">
        <v>100</v>
      </c>
      <c r="Y3521" s="2" t="s">
        <v>240</v>
      </c>
      <c r="Z3521" s="4">
        <v>222</v>
      </c>
      <c r="AA3521" s="4">
        <f>=ROUNDDOWN(20.1818181818182,0)</f>
      </c>
      <c r="AB3521" s="5">
        <v>11</v>
      </c>
      <c r="AC3521" s="2" t="s">
        <v>1102</v>
      </c>
      <c r="AD3521" s="4">
        <v>60</v>
      </c>
      <c r="AE3521" s="4">
        <v>140</v>
      </c>
      <c r="AF3521" s="6">
        <v>65</v>
      </c>
      <c r="AG3521" s="6"/>
      <c r="AH3521" s="7">
        <v>0.9144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>
        <v>4</v>
      </c>
      <c r="AQ3521" s="8">
        <v>65.32</v>
      </c>
      <c r="AR3521" s="4"/>
      <c r="AS3521" s="8"/>
      <c r="AT3521" s="7"/>
      <c r="AU3521" s="7"/>
      <c r="AV3521" s="4" t="s">
        <v>100</v>
      </c>
      <c r="AW3521" s="8" t="s">
        <v>100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>
        <v>0.2015</v>
      </c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 t="s">
        <v>100</v>
      </c>
      <c r="BJ3521" s="4">
        <v>181</v>
      </c>
      <c r="BK3521" s="8">
        <v>3184.31</v>
      </c>
      <c r="BL3521" s="2" t="s">
        <v>10924</v>
      </c>
      <c r="BM3521" s="7">
        <v>0.0221</v>
      </c>
      <c r="BN3521" s="7">
        <v>0.0205</v>
      </c>
      <c r="BO3521" s="4">
        <v>4</v>
      </c>
      <c r="BP3521" s="8">
        <v>65.32</v>
      </c>
      <c r="BQ3521" s="4"/>
      <c r="BR3521" s="8"/>
      <c r="BS3521" s="7"/>
      <c r="BT3521" s="7"/>
      <c r="BU3521" s="2" t="s">
        <v>109</v>
      </c>
      <c r="BV3521" s="2" t="s">
        <v>110</v>
      </c>
      <c r="BW3521" s="2" t="s">
        <v>243</v>
      </c>
      <c r="BX3521" s="2" t="s">
        <v>10914</v>
      </c>
      <c r="BY3521" s="2" t="s">
        <v>113</v>
      </c>
      <c r="BZ3521" s="2" t="s">
        <v>100</v>
      </c>
    </row>
    <row r="3522">
      <c r="A3522" s="2" t="s">
        <v>10925</v>
      </c>
      <c r="B3522" s="2" t="s">
        <v>9668</v>
      </c>
      <c r="C3522" s="2" t="s">
        <v>3934</v>
      </c>
      <c r="D3522" s="2" t="s">
        <v>9669</v>
      </c>
      <c r="E3522" s="2" t="s">
        <v>9670</v>
      </c>
      <c r="F3522" s="2" t="s">
        <v>218</v>
      </c>
      <c r="G3522" s="2" t="s">
        <v>218</v>
      </c>
      <c r="H3522" s="2" t="s">
        <v>218</v>
      </c>
      <c r="I3522" s="2" t="s">
        <v>10882</v>
      </c>
      <c r="J3522" s="2" t="s">
        <v>1936</v>
      </c>
      <c r="K3522" s="2" t="s">
        <v>198</v>
      </c>
      <c r="L3522" s="3">
        <v>11.18</v>
      </c>
      <c r="M3522" s="3">
        <v>11.74</v>
      </c>
      <c r="N3522" s="3">
        <v>27.99</v>
      </c>
      <c r="O3522" s="2" t="s">
        <v>97</v>
      </c>
      <c r="P3522" s="2" t="s">
        <v>119</v>
      </c>
      <c r="Q3522" s="2" t="s">
        <v>99</v>
      </c>
      <c r="R3522" s="2" t="s">
        <v>100</v>
      </c>
      <c r="S3522" s="2" t="s">
        <v>10926</v>
      </c>
      <c r="T3522" s="2" t="s">
        <v>218</v>
      </c>
      <c r="U3522" s="2" t="s">
        <v>100</v>
      </c>
      <c r="V3522" s="2" t="s">
        <v>146</v>
      </c>
      <c r="W3522" s="2" t="s">
        <v>183</v>
      </c>
      <c r="X3522" s="2" t="s">
        <v>100</v>
      </c>
      <c r="Y3522" s="2" t="s">
        <v>240</v>
      </c>
      <c r="Z3522" s="4">
        <v>181</v>
      </c>
      <c r="AA3522" s="4">
        <f>=ROUNDDOWN(40.2222222222222,0)</f>
      </c>
      <c r="AB3522" s="5">
        <v>4.5</v>
      </c>
      <c r="AC3522" s="2" t="s">
        <v>1102</v>
      </c>
      <c r="AD3522" s="4">
        <v>60</v>
      </c>
      <c r="AE3522" s="4">
        <v>200</v>
      </c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>
        <v>1</v>
      </c>
      <c r="AQ3522" s="8">
        <v>10.89</v>
      </c>
      <c r="AR3522" s="4"/>
      <c r="AS3522" s="8"/>
      <c r="AT3522" s="7"/>
      <c r="AU3522" s="7"/>
      <c r="AV3522" s="4">
        <v>24</v>
      </c>
      <c r="AW3522" s="8">
        <v>312.87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>
        <v>0.0756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0.1733</v>
      </c>
      <c r="BJ3522" s="4">
        <v>146</v>
      </c>
      <c r="BK3522" s="8">
        <v>1721.39</v>
      </c>
      <c r="BL3522" s="2" t="s">
        <v>10927</v>
      </c>
      <c r="BM3522" s="7">
        <v>0.0068</v>
      </c>
      <c r="BN3522" s="7">
        <v>0.0063</v>
      </c>
      <c r="BO3522" s="4">
        <v>1</v>
      </c>
      <c r="BP3522" s="8">
        <v>10.89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243</v>
      </c>
      <c r="BX3522" s="2" t="s">
        <v>10918</v>
      </c>
      <c r="BY3522" s="2" t="s">
        <v>113</v>
      </c>
      <c r="BZ3522" s="2" t="s">
        <v>100</v>
      </c>
    </row>
    <row r="3523">
      <c r="A3523" s="2" t="s">
        <v>10928</v>
      </c>
      <c r="B3523" s="2" t="s">
        <v>9668</v>
      </c>
      <c r="C3523" s="2" t="s">
        <v>3934</v>
      </c>
      <c r="D3523" s="2" t="s">
        <v>9669</v>
      </c>
      <c r="E3523" s="2" t="s">
        <v>9670</v>
      </c>
      <c r="F3523" s="2" t="s">
        <v>218</v>
      </c>
      <c r="G3523" s="2" t="s">
        <v>218</v>
      </c>
      <c r="H3523" s="2" t="s">
        <v>218</v>
      </c>
      <c r="I3523" s="2" t="s">
        <v>10877</v>
      </c>
      <c r="J3523" s="2" t="s">
        <v>1936</v>
      </c>
      <c r="K3523" s="2" t="s">
        <v>198</v>
      </c>
      <c r="L3523" s="3">
        <v>12.15</v>
      </c>
      <c r="M3523" s="3">
        <v>12.76</v>
      </c>
      <c r="N3523" s="3">
        <v>26.99</v>
      </c>
      <c r="O3523" s="2" t="s">
        <v>97</v>
      </c>
      <c r="P3523" s="2" t="s">
        <v>119</v>
      </c>
      <c r="Q3523" s="2" t="s">
        <v>99</v>
      </c>
      <c r="R3523" s="2" t="s">
        <v>100</v>
      </c>
      <c r="S3523" s="2" t="s">
        <v>10926</v>
      </c>
      <c r="T3523" s="2" t="s">
        <v>218</v>
      </c>
      <c r="U3523" s="2" t="s">
        <v>402</v>
      </c>
      <c r="V3523" s="2" t="s">
        <v>146</v>
      </c>
      <c r="W3523" s="2" t="s">
        <v>561</v>
      </c>
      <c r="X3523" s="2" t="s">
        <v>100</v>
      </c>
      <c r="Y3523" s="2" t="s">
        <v>10622</v>
      </c>
      <c r="Z3523" s="4">
        <v>130</v>
      </c>
      <c r="AA3523" s="4">
        <f>=ROUNDDOWN(43.3333333333333,0)</f>
      </c>
      <c r="AB3523" s="5">
        <v>3</v>
      </c>
      <c r="AC3523" s="2" t="s">
        <v>872</v>
      </c>
      <c r="AD3523" s="4">
        <v>40</v>
      </c>
      <c r="AE3523" s="4">
        <v>40</v>
      </c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>
        <v>1</v>
      </c>
      <c r="AQ3523" s="8">
        <v>12.76</v>
      </c>
      <c r="AR3523" s="4"/>
      <c r="AS3523" s="8"/>
      <c r="AT3523" s="7"/>
      <c r="AU3523" s="7"/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 t="s">
        <v>100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 t="s">
        <v>100</v>
      </c>
      <c r="BJ3523" s="4">
        <v>51</v>
      </c>
      <c r="BK3523" s="8">
        <v>645.14</v>
      </c>
      <c r="BL3523" s="2" t="s">
        <v>10929</v>
      </c>
      <c r="BM3523" s="7">
        <v>0.0196</v>
      </c>
      <c r="BN3523" s="7">
        <v>0.0198</v>
      </c>
      <c r="BO3523" s="4">
        <v>1</v>
      </c>
      <c r="BP3523" s="8">
        <v>12.76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586</v>
      </c>
      <c r="BX3523" s="2" t="s">
        <v>9042</v>
      </c>
      <c r="BY3523" s="2" t="s">
        <v>113</v>
      </c>
      <c r="BZ3523" s="2" t="s">
        <v>100</v>
      </c>
    </row>
    <row r="3524">
      <c r="A3524" s="2" t="s">
        <v>10930</v>
      </c>
      <c r="B3524" s="2" t="s">
        <v>9668</v>
      </c>
      <c r="C3524" s="2" t="s">
        <v>3934</v>
      </c>
      <c r="D3524" s="2" t="s">
        <v>9669</v>
      </c>
      <c r="E3524" s="2" t="s">
        <v>9670</v>
      </c>
      <c r="F3524" s="2" t="s">
        <v>218</v>
      </c>
      <c r="G3524" s="2" t="s">
        <v>218</v>
      </c>
      <c r="H3524" s="2" t="s">
        <v>218</v>
      </c>
      <c r="I3524" s="2" t="s">
        <v>10882</v>
      </c>
      <c r="J3524" s="2" t="s">
        <v>2072</v>
      </c>
      <c r="K3524" s="2" t="s">
        <v>198</v>
      </c>
      <c r="L3524" s="3">
        <v>11.18</v>
      </c>
      <c r="M3524" s="3">
        <v>11.74</v>
      </c>
      <c r="N3524" s="3">
        <v>27.99</v>
      </c>
      <c r="O3524" s="2" t="s">
        <v>97</v>
      </c>
      <c r="P3524" s="2" t="s">
        <v>119</v>
      </c>
      <c r="Q3524" s="2" t="s">
        <v>99</v>
      </c>
      <c r="R3524" s="2" t="s">
        <v>100</v>
      </c>
      <c r="S3524" s="2" t="s">
        <v>10926</v>
      </c>
      <c r="T3524" s="2" t="s">
        <v>218</v>
      </c>
      <c r="U3524" s="2" t="s">
        <v>100</v>
      </c>
      <c r="V3524" s="2" t="s">
        <v>146</v>
      </c>
      <c r="W3524" s="2" t="s">
        <v>183</v>
      </c>
      <c r="X3524" s="2" t="s">
        <v>100</v>
      </c>
      <c r="Y3524" s="2" t="s">
        <v>240</v>
      </c>
      <c r="Z3524" s="4">
        <v>410</v>
      </c>
      <c r="AA3524" s="4">
        <f>=ROUNDDOWN(102.5,0)</f>
      </c>
      <c r="AB3524" s="5">
        <v>4</v>
      </c>
      <c r="AC3524" s="2" t="s">
        <v>100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100</v>
      </c>
      <c r="AW3524" s="8" t="s">
        <v>100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>
        <v>0.571</v>
      </c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 t="s">
        <v>100</v>
      </c>
      <c r="BJ3524" s="4">
        <v>228</v>
      </c>
      <c r="BK3524" s="8">
        <v>2611.63</v>
      </c>
      <c r="BL3524" s="2" t="s">
        <v>10931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243</v>
      </c>
      <c r="BX3524" s="2" t="s">
        <v>10932</v>
      </c>
      <c r="BY3524" s="2" t="s">
        <v>113</v>
      </c>
      <c r="BZ3524" s="2" t="s">
        <v>100</v>
      </c>
    </row>
    <row r="3525">
      <c r="A3525" s="2" t="s">
        <v>10933</v>
      </c>
      <c r="B3525" s="2" t="s">
        <v>9668</v>
      </c>
      <c r="C3525" s="2" t="s">
        <v>3934</v>
      </c>
      <c r="D3525" s="2" t="s">
        <v>9669</v>
      </c>
      <c r="E3525" s="2" t="s">
        <v>9670</v>
      </c>
      <c r="F3525" s="2" t="s">
        <v>218</v>
      </c>
      <c r="G3525" s="2" t="s">
        <v>218</v>
      </c>
      <c r="H3525" s="2" t="s">
        <v>218</v>
      </c>
      <c r="I3525" s="2" t="s">
        <v>10877</v>
      </c>
      <c r="J3525" s="2" t="s">
        <v>2072</v>
      </c>
      <c r="K3525" s="2" t="s">
        <v>198</v>
      </c>
      <c r="L3525" s="3">
        <v>12.15</v>
      </c>
      <c r="M3525" s="3">
        <v>12.76</v>
      </c>
      <c r="N3525" s="3">
        <v>26.99</v>
      </c>
      <c r="O3525" s="2" t="s">
        <v>97</v>
      </c>
      <c r="P3525" s="2" t="s">
        <v>119</v>
      </c>
      <c r="Q3525" s="2" t="s">
        <v>99</v>
      </c>
      <c r="R3525" s="2" t="s">
        <v>100</v>
      </c>
      <c r="S3525" s="2" t="s">
        <v>10926</v>
      </c>
      <c r="T3525" s="2" t="s">
        <v>218</v>
      </c>
      <c r="U3525" s="2" t="s">
        <v>402</v>
      </c>
      <c r="V3525" s="2" t="s">
        <v>146</v>
      </c>
      <c r="W3525" s="2" t="s">
        <v>561</v>
      </c>
      <c r="X3525" s="2" t="s">
        <v>100</v>
      </c>
      <c r="Y3525" s="2" t="s">
        <v>10622</v>
      </c>
      <c r="Z3525" s="4">
        <v>554</v>
      </c>
      <c r="AA3525" s="4">
        <f>=ROUNDDOWN(117.872340425532,0)</f>
      </c>
      <c r="AB3525" s="5">
        <v>4.7</v>
      </c>
      <c r="AC3525" s="2" t="s">
        <v>100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>
        <v>14</v>
      </c>
      <c r="AQ3525" s="8">
        <v>178.64</v>
      </c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 t="s">
        <v>100</v>
      </c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 t="s">
        <v>100</v>
      </c>
      <c r="BJ3525" s="4">
        <v>601</v>
      </c>
      <c r="BK3525" s="8">
        <v>7571.76</v>
      </c>
      <c r="BL3525" s="2" t="s">
        <v>10934</v>
      </c>
      <c r="BM3525" s="7">
        <v>0.0233</v>
      </c>
      <c r="BN3525" s="7">
        <v>0.0236</v>
      </c>
      <c r="BO3525" s="4">
        <v>14</v>
      </c>
      <c r="BP3525" s="8">
        <v>178.64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586</v>
      </c>
      <c r="BX3525" s="2" t="s">
        <v>1677</v>
      </c>
      <c r="BY3525" s="2" t="s">
        <v>113</v>
      </c>
      <c r="BZ3525" s="2" t="s">
        <v>100</v>
      </c>
    </row>
    <row r="3526">
      <c r="A3526" s="2" t="s">
        <v>10935</v>
      </c>
      <c r="B3526" s="2" t="s">
        <v>9668</v>
      </c>
      <c r="C3526" s="2" t="s">
        <v>3934</v>
      </c>
      <c r="D3526" s="2" t="s">
        <v>9669</v>
      </c>
      <c r="E3526" s="2" t="s">
        <v>9670</v>
      </c>
      <c r="F3526" s="2" t="s">
        <v>218</v>
      </c>
      <c r="G3526" s="2" t="s">
        <v>218</v>
      </c>
      <c r="H3526" s="2" t="s">
        <v>218</v>
      </c>
      <c r="I3526" s="2" t="s">
        <v>10882</v>
      </c>
      <c r="J3526" s="2" t="s">
        <v>717</v>
      </c>
      <c r="K3526" s="2" t="s">
        <v>198</v>
      </c>
      <c r="L3526" s="3">
        <v>12.92</v>
      </c>
      <c r="M3526" s="3">
        <v>13.57</v>
      </c>
      <c r="N3526" s="3">
        <v>30.99</v>
      </c>
      <c r="O3526" s="2" t="s">
        <v>97</v>
      </c>
      <c r="P3526" s="2" t="s">
        <v>119</v>
      </c>
      <c r="Q3526" s="2" t="s">
        <v>99</v>
      </c>
      <c r="R3526" s="2" t="s">
        <v>100</v>
      </c>
      <c r="S3526" s="2" t="s">
        <v>10926</v>
      </c>
      <c r="T3526" s="2" t="s">
        <v>218</v>
      </c>
      <c r="U3526" s="2" t="s">
        <v>100</v>
      </c>
      <c r="V3526" s="2" t="s">
        <v>146</v>
      </c>
      <c r="W3526" s="2" t="s">
        <v>183</v>
      </c>
      <c r="X3526" s="2" t="s">
        <v>100</v>
      </c>
      <c r="Y3526" s="2" t="s">
        <v>240</v>
      </c>
      <c r="Z3526" s="4">
        <v>308</v>
      </c>
      <c r="AA3526" s="4">
        <f>=ROUNDDOWN(51.3333333333333,0)</f>
      </c>
      <c r="AB3526" s="5">
        <v>6</v>
      </c>
      <c r="AC3526" s="2" t="s">
        <v>100</v>
      </c>
      <c r="AD3526" s="4"/>
      <c r="AE3526" s="4"/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>
        <v>0.0489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 t="s">
        <v>100</v>
      </c>
      <c r="BJ3526" s="4">
        <v>91</v>
      </c>
      <c r="BK3526" s="8">
        <v>1284.27</v>
      </c>
      <c r="BL3526" s="2" t="s">
        <v>10936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243</v>
      </c>
      <c r="BX3526" s="2" t="s">
        <v>10914</v>
      </c>
      <c r="BY3526" s="2" t="s">
        <v>113</v>
      </c>
      <c r="BZ3526" s="2" t="s">
        <v>100</v>
      </c>
    </row>
    <row r="3527">
      <c r="A3527" s="2" t="s">
        <v>10937</v>
      </c>
      <c r="B3527" s="2" t="s">
        <v>9668</v>
      </c>
      <c r="C3527" s="2" t="s">
        <v>3934</v>
      </c>
      <c r="D3527" s="2" t="s">
        <v>9669</v>
      </c>
      <c r="E3527" s="2" t="s">
        <v>9670</v>
      </c>
      <c r="F3527" s="2" t="s">
        <v>218</v>
      </c>
      <c r="G3527" s="2" t="s">
        <v>218</v>
      </c>
      <c r="H3527" s="2" t="s">
        <v>218</v>
      </c>
      <c r="I3527" s="2" t="s">
        <v>10877</v>
      </c>
      <c r="J3527" s="2" t="s">
        <v>717</v>
      </c>
      <c r="K3527" s="2" t="s">
        <v>198</v>
      </c>
      <c r="L3527" s="3">
        <v>14.85</v>
      </c>
      <c r="M3527" s="3">
        <v>15.59</v>
      </c>
      <c r="N3527" s="3">
        <v>32.99</v>
      </c>
      <c r="O3527" s="2" t="s">
        <v>97</v>
      </c>
      <c r="P3527" s="2" t="s">
        <v>119</v>
      </c>
      <c r="Q3527" s="2" t="s">
        <v>99</v>
      </c>
      <c r="R3527" s="2" t="s">
        <v>100</v>
      </c>
      <c r="S3527" s="2" t="s">
        <v>10926</v>
      </c>
      <c r="T3527" s="2" t="s">
        <v>218</v>
      </c>
      <c r="U3527" s="2" t="s">
        <v>102</v>
      </c>
      <c r="V3527" s="2" t="s">
        <v>146</v>
      </c>
      <c r="W3527" s="2" t="s">
        <v>561</v>
      </c>
      <c r="X3527" s="2" t="s">
        <v>100</v>
      </c>
      <c r="Y3527" s="2" t="s">
        <v>10622</v>
      </c>
      <c r="Z3527" s="4">
        <v>100</v>
      </c>
      <c r="AA3527" s="4">
        <f>=ROUNDDOWN(16.6666666666667,0)</f>
      </c>
      <c r="AB3527" s="5">
        <v>6</v>
      </c>
      <c r="AC3527" s="2" t="s">
        <v>1102</v>
      </c>
      <c r="AD3527" s="4">
        <v>30</v>
      </c>
      <c r="AE3527" s="4">
        <v>170</v>
      </c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>
        <v>1</v>
      </c>
      <c r="AQ3527" s="8">
        <v>15.31</v>
      </c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 t="s">
        <v>100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 t="s">
        <v>100</v>
      </c>
      <c r="BJ3527" s="4">
        <v>95</v>
      </c>
      <c r="BK3527" s="8">
        <v>1434.6</v>
      </c>
      <c r="BL3527" s="2" t="s">
        <v>10938</v>
      </c>
      <c r="BM3527" s="7">
        <v>0.0105</v>
      </c>
      <c r="BN3527" s="7">
        <v>0.0107</v>
      </c>
      <c r="BO3527" s="4">
        <v>1</v>
      </c>
      <c r="BP3527" s="8">
        <v>15.31</v>
      </c>
      <c r="BQ3527" s="4"/>
      <c r="BR3527" s="8"/>
      <c r="BS3527" s="7"/>
      <c r="BT3527" s="7"/>
      <c r="BU3527" s="2" t="s">
        <v>109</v>
      </c>
      <c r="BV3527" s="2" t="s">
        <v>110</v>
      </c>
      <c r="BW3527" s="2" t="s">
        <v>586</v>
      </c>
      <c r="BX3527" s="2" t="s">
        <v>2034</v>
      </c>
      <c r="BY3527" s="2" t="s">
        <v>113</v>
      </c>
      <c r="BZ3527" s="2" t="s">
        <v>100</v>
      </c>
    </row>
    <row r="3528">
      <c r="A3528" s="2" t="s">
        <v>10939</v>
      </c>
      <c r="B3528" s="2" t="s">
        <v>9668</v>
      </c>
      <c r="C3528" s="2" t="s">
        <v>3934</v>
      </c>
      <c r="D3528" s="2" t="s">
        <v>9669</v>
      </c>
      <c r="E3528" s="2" t="s">
        <v>9670</v>
      </c>
      <c r="F3528" s="2" t="s">
        <v>218</v>
      </c>
      <c r="G3528" s="2" t="s">
        <v>218</v>
      </c>
      <c r="H3528" s="2" t="s">
        <v>218</v>
      </c>
      <c r="I3528" s="2" t="s">
        <v>10882</v>
      </c>
      <c r="J3528" s="2" t="s">
        <v>706</v>
      </c>
      <c r="K3528" s="2" t="s">
        <v>198</v>
      </c>
      <c r="L3528" s="3">
        <v>14.21</v>
      </c>
      <c r="M3528" s="3">
        <v>14.92</v>
      </c>
      <c r="N3528" s="3">
        <v>32.99</v>
      </c>
      <c r="O3528" s="2" t="s">
        <v>97</v>
      </c>
      <c r="P3528" s="2" t="s">
        <v>119</v>
      </c>
      <c r="Q3528" s="2" t="s">
        <v>99</v>
      </c>
      <c r="R3528" s="2" t="s">
        <v>100</v>
      </c>
      <c r="S3528" s="2" t="s">
        <v>10926</v>
      </c>
      <c r="T3528" s="2" t="s">
        <v>218</v>
      </c>
      <c r="U3528" s="2" t="s">
        <v>100</v>
      </c>
      <c r="V3528" s="2" t="s">
        <v>146</v>
      </c>
      <c r="W3528" s="2" t="s">
        <v>183</v>
      </c>
      <c r="X3528" s="2" t="s">
        <v>100</v>
      </c>
      <c r="Y3528" s="2" t="s">
        <v>240</v>
      </c>
      <c r="Z3528" s="4">
        <v>374</v>
      </c>
      <c r="AA3528" s="4">
        <f>=ROUNDDOWN(13.4532374100719,0)</f>
      </c>
      <c r="AB3528" s="5">
        <v>27.8</v>
      </c>
      <c r="AC3528" s="2" t="s">
        <v>872</v>
      </c>
      <c r="AD3528" s="4">
        <v>80</v>
      </c>
      <c r="AE3528" s="4">
        <v>130</v>
      </c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>
        <v>7</v>
      </c>
      <c r="AQ3528" s="8">
        <v>95.27</v>
      </c>
      <c r="AR3528" s="4"/>
      <c r="AS3528" s="8"/>
      <c r="AT3528" s="7"/>
      <c r="AU3528" s="7"/>
      <c r="AV3528" s="4" t="s">
        <v>100</v>
      </c>
      <c r="AW3528" s="8" t="s">
        <v>100</v>
      </c>
      <c r="AX3528" s="4" t="s">
        <v>100</v>
      </c>
      <c r="AY3528" s="8" t="s">
        <v>100</v>
      </c>
      <c r="AZ3528" s="7" t="s">
        <v>100</v>
      </c>
      <c r="BA3528" s="7" t="s">
        <v>100</v>
      </c>
      <c r="BB3528" s="7">
        <v>0.3045</v>
      </c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 t="s">
        <v>100</v>
      </c>
      <c r="BJ3528" s="4">
        <v>518</v>
      </c>
      <c r="BK3528" s="8">
        <v>7496.36</v>
      </c>
      <c r="BL3528" s="2" t="s">
        <v>10940</v>
      </c>
      <c r="BM3528" s="7">
        <v>0.0135</v>
      </c>
      <c r="BN3528" s="7">
        <v>0.0127</v>
      </c>
      <c r="BO3528" s="4">
        <v>7</v>
      </c>
      <c r="BP3528" s="8">
        <v>95.27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243</v>
      </c>
      <c r="BX3528" s="2" t="s">
        <v>10941</v>
      </c>
      <c r="BY3528" s="2" t="s">
        <v>113</v>
      </c>
      <c r="BZ3528" s="2" t="s">
        <v>100</v>
      </c>
    </row>
    <row r="3529">
      <c r="A3529" s="2" t="s">
        <v>10942</v>
      </c>
      <c r="B3529" s="2" t="s">
        <v>9668</v>
      </c>
      <c r="C3529" s="2" t="s">
        <v>3934</v>
      </c>
      <c r="D3529" s="2" t="s">
        <v>9669</v>
      </c>
      <c r="E3529" s="2" t="s">
        <v>9670</v>
      </c>
      <c r="F3529" s="2" t="s">
        <v>218</v>
      </c>
      <c r="G3529" s="2" t="s">
        <v>218</v>
      </c>
      <c r="H3529" s="2" t="s">
        <v>218</v>
      </c>
      <c r="I3529" s="2" t="s">
        <v>10877</v>
      </c>
      <c r="J3529" s="2" t="s">
        <v>706</v>
      </c>
      <c r="K3529" s="2" t="s">
        <v>198</v>
      </c>
      <c r="L3529" s="3">
        <v>14.85</v>
      </c>
      <c r="M3529" s="3">
        <v>15.59</v>
      </c>
      <c r="N3529" s="3">
        <v>32.99</v>
      </c>
      <c r="O3529" s="2" t="s">
        <v>97</v>
      </c>
      <c r="P3529" s="2" t="s">
        <v>119</v>
      </c>
      <c r="Q3529" s="2" t="s">
        <v>99</v>
      </c>
      <c r="R3529" s="2" t="s">
        <v>100</v>
      </c>
      <c r="S3529" s="2" t="s">
        <v>10926</v>
      </c>
      <c r="T3529" s="2" t="s">
        <v>218</v>
      </c>
      <c r="U3529" s="2" t="s">
        <v>102</v>
      </c>
      <c r="V3529" s="2" t="s">
        <v>146</v>
      </c>
      <c r="W3529" s="2" t="s">
        <v>561</v>
      </c>
      <c r="X3529" s="2" t="s">
        <v>100</v>
      </c>
      <c r="Y3529" s="2" t="s">
        <v>10622</v>
      </c>
      <c r="Z3529" s="4">
        <v>138</v>
      </c>
      <c r="AA3529" s="4">
        <f>=ROUNDDOWN(5.30769230769231,0)</f>
      </c>
      <c r="AB3529" s="5">
        <v>26</v>
      </c>
      <c r="AC3529" s="2" t="s">
        <v>1102</v>
      </c>
      <c r="AD3529" s="4">
        <v>150</v>
      </c>
      <c r="AE3529" s="4">
        <v>750</v>
      </c>
      <c r="AF3529" s="6">
        <v>65</v>
      </c>
      <c r="AG3529" s="6"/>
      <c r="AH3529" s="7">
        <v>0.9519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 t="s">
        <v>100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 t="s">
        <v>100</v>
      </c>
      <c r="BJ3529" s="4">
        <v>439</v>
      </c>
      <c r="BK3529" s="8">
        <v>6740.41</v>
      </c>
      <c r="BL3529" s="2" t="s">
        <v>10943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586</v>
      </c>
      <c r="BX3529" s="2" t="s">
        <v>10944</v>
      </c>
      <c r="BY3529" s="2" t="s">
        <v>113</v>
      </c>
      <c r="BZ3529" s="2" t="s">
        <v>100</v>
      </c>
    </row>
    <row r="3530">
      <c r="A3530" s="2" t="s">
        <v>10945</v>
      </c>
      <c r="B3530" s="2" t="s">
        <v>9668</v>
      </c>
      <c r="C3530" s="2" t="s">
        <v>3934</v>
      </c>
      <c r="D3530" s="2" t="s">
        <v>9669</v>
      </c>
      <c r="E3530" s="2" t="s">
        <v>9670</v>
      </c>
      <c r="F3530" s="2" t="s">
        <v>218</v>
      </c>
      <c r="G3530" s="2" t="s">
        <v>218</v>
      </c>
      <c r="H3530" s="2" t="s">
        <v>218</v>
      </c>
      <c r="I3530" s="2" t="s">
        <v>10882</v>
      </c>
      <c r="J3530" s="2" t="s">
        <v>1936</v>
      </c>
      <c r="K3530" s="2" t="s">
        <v>189</v>
      </c>
      <c r="L3530" s="3">
        <v>11.18</v>
      </c>
      <c r="M3530" s="3">
        <v>11.74</v>
      </c>
      <c r="N3530" s="3">
        <v>27.99</v>
      </c>
      <c r="O3530" s="2" t="s">
        <v>97</v>
      </c>
      <c r="P3530" s="2" t="s">
        <v>119</v>
      </c>
      <c r="Q3530" s="2" t="s">
        <v>99</v>
      </c>
      <c r="R3530" s="2" t="s">
        <v>100</v>
      </c>
      <c r="S3530" s="2" t="s">
        <v>10946</v>
      </c>
      <c r="T3530" s="2" t="s">
        <v>218</v>
      </c>
      <c r="U3530" s="2" t="s">
        <v>100</v>
      </c>
      <c r="V3530" s="2" t="s">
        <v>146</v>
      </c>
      <c r="W3530" s="2" t="s">
        <v>183</v>
      </c>
      <c r="X3530" s="2" t="s">
        <v>100</v>
      </c>
      <c r="Y3530" s="2" t="s">
        <v>4659</v>
      </c>
      <c r="Z3530" s="4">
        <v>186</v>
      </c>
      <c r="AA3530" s="4">
        <f>=ROUNDDOWN(17.0642201834862,0)</f>
      </c>
      <c r="AB3530" s="5">
        <v>10.9</v>
      </c>
      <c r="AC3530" s="2" t="s">
        <v>1102</v>
      </c>
      <c r="AD3530" s="4">
        <v>140</v>
      </c>
      <c r="AE3530" s="4">
        <v>280</v>
      </c>
      <c r="AF3530" s="6">
        <v>65</v>
      </c>
      <c r="AG3530" s="6"/>
      <c r="AH3530" s="7">
        <v>0.9519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>
        <v>17</v>
      </c>
      <c r="AW3530" s="8">
        <v>194.86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>
        <v>0.0606</v>
      </c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0.108</v>
      </c>
      <c r="BJ3530" s="4">
        <v>329</v>
      </c>
      <c r="BK3530" s="8">
        <v>4018.77</v>
      </c>
      <c r="BL3530" s="2" t="s">
        <v>10947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243</v>
      </c>
      <c r="BX3530" s="2" t="s">
        <v>1989</v>
      </c>
      <c r="BY3530" s="2" t="s">
        <v>113</v>
      </c>
      <c r="BZ3530" s="2" t="s">
        <v>100</v>
      </c>
    </row>
    <row r="3531">
      <c r="A3531" s="2" t="s">
        <v>10948</v>
      </c>
      <c r="B3531" s="2" t="s">
        <v>9668</v>
      </c>
      <c r="C3531" s="2" t="s">
        <v>3934</v>
      </c>
      <c r="D3531" s="2" t="s">
        <v>9669</v>
      </c>
      <c r="E3531" s="2" t="s">
        <v>9670</v>
      </c>
      <c r="F3531" s="2" t="s">
        <v>218</v>
      </c>
      <c r="G3531" s="2" t="s">
        <v>218</v>
      </c>
      <c r="H3531" s="2" t="s">
        <v>218</v>
      </c>
      <c r="I3531" s="2" t="s">
        <v>10877</v>
      </c>
      <c r="J3531" s="2" t="s">
        <v>1936</v>
      </c>
      <c r="K3531" s="2" t="s">
        <v>189</v>
      </c>
      <c r="L3531" s="3">
        <v>12.15</v>
      </c>
      <c r="M3531" s="3">
        <v>12.76</v>
      </c>
      <c r="N3531" s="3">
        <v>26.99</v>
      </c>
      <c r="O3531" s="2" t="s">
        <v>97</v>
      </c>
      <c r="P3531" s="2" t="s">
        <v>119</v>
      </c>
      <c r="Q3531" s="2" t="s">
        <v>99</v>
      </c>
      <c r="R3531" s="2" t="s">
        <v>100</v>
      </c>
      <c r="S3531" s="2" t="s">
        <v>10946</v>
      </c>
      <c r="T3531" s="2" t="s">
        <v>218</v>
      </c>
      <c r="U3531" s="2" t="s">
        <v>402</v>
      </c>
      <c r="V3531" s="2" t="s">
        <v>146</v>
      </c>
      <c r="W3531" s="2" t="s">
        <v>183</v>
      </c>
      <c r="X3531" s="2" t="s">
        <v>561</v>
      </c>
      <c r="Y3531" s="2" t="s">
        <v>10879</v>
      </c>
      <c r="Z3531" s="4">
        <v>69</v>
      </c>
      <c r="AA3531" s="4">
        <f>=ROUNDDOWN(13.8,0)</f>
      </c>
      <c r="AB3531" s="5">
        <v>5</v>
      </c>
      <c r="AC3531" s="2" t="s">
        <v>1102</v>
      </c>
      <c r="AD3531" s="4">
        <v>20</v>
      </c>
      <c r="AE3531" s="4">
        <v>160</v>
      </c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>
        <v>1</v>
      </c>
      <c r="AQ3531" s="8">
        <v>11.81</v>
      </c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 t="s">
        <v>100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 t="s">
        <v>100</v>
      </c>
      <c r="BJ3531" s="4">
        <v>94</v>
      </c>
      <c r="BK3531" s="8">
        <v>1216.93</v>
      </c>
      <c r="BL3531" s="2" t="s">
        <v>10949</v>
      </c>
      <c r="BM3531" s="7">
        <v>0.0106</v>
      </c>
      <c r="BN3531" s="7">
        <v>0.0097</v>
      </c>
      <c r="BO3531" s="4">
        <v>1</v>
      </c>
      <c r="BP3531" s="8">
        <v>11.81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5167</v>
      </c>
      <c r="BX3531" s="2" t="s">
        <v>10333</v>
      </c>
      <c r="BY3531" s="2" t="s">
        <v>113</v>
      </c>
      <c r="BZ3531" s="2" t="s">
        <v>100</v>
      </c>
    </row>
    <row r="3532">
      <c r="A3532" s="2" t="s">
        <v>10950</v>
      </c>
      <c r="B3532" s="2" t="s">
        <v>9668</v>
      </c>
      <c r="C3532" s="2" t="s">
        <v>3934</v>
      </c>
      <c r="D3532" s="2" t="s">
        <v>9669</v>
      </c>
      <c r="E3532" s="2" t="s">
        <v>9670</v>
      </c>
      <c r="F3532" s="2" t="s">
        <v>218</v>
      </c>
      <c r="G3532" s="2" t="s">
        <v>218</v>
      </c>
      <c r="H3532" s="2" t="s">
        <v>218</v>
      </c>
      <c r="I3532" s="2" t="s">
        <v>10877</v>
      </c>
      <c r="J3532" s="2" t="s">
        <v>2072</v>
      </c>
      <c r="K3532" s="2" t="s">
        <v>189</v>
      </c>
      <c r="L3532" s="3">
        <v>12.15</v>
      </c>
      <c r="M3532" s="3">
        <v>12.76</v>
      </c>
      <c r="N3532" s="3">
        <v>26.99</v>
      </c>
      <c r="O3532" s="2" t="s">
        <v>97</v>
      </c>
      <c r="P3532" s="2" t="s">
        <v>119</v>
      </c>
      <c r="Q3532" s="2" t="s">
        <v>99</v>
      </c>
      <c r="R3532" s="2" t="s">
        <v>100</v>
      </c>
      <c r="S3532" s="2" t="s">
        <v>10946</v>
      </c>
      <c r="T3532" s="2" t="s">
        <v>218</v>
      </c>
      <c r="U3532" s="2" t="s">
        <v>402</v>
      </c>
      <c r="V3532" s="2" t="s">
        <v>146</v>
      </c>
      <c r="W3532" s="2" t="s">
        <v>183</v>
      </c>
      <c r="X3532" s="2" t="s">
        <v>561</v>
      </c>
      <c r="Y3532" s="2" t="s">
        <v>10879</v>
      </c>
      <c r="Z3532" s="4">
        <v>325</v>
      </c>
      <c r="AA3532" s="4">
        <f>=ROUNDDOWN(63.7254901960784,0)</f>
      </c>
      <c r="AB3532" s="5">
        <v>5.1</v>
      </c>
      <c r="AC3532" s="2" t="s">
        <v>100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/>
      <c r="AP3532" s="4">
        <v>6</v>
      </c>
      <c r="AQ3532" s="8">
        <v>70.86</v>
      </c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>
        <v>0.8666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 t="s">
        <v>100</v>
      </c>
      <c r="BJ3532" s="4">
        <v>369</v>
      </c>
      <c r="BK3532" s="8">
        <v>4839.88</v>
      </c>
      <c r="BL3532" s="2" t="s">
        <v>10951</v>
      </c>
      <c r="BM3532" s="7">
        <v>0.0163</v>
      </c>
      <c r="BN3532" s="7">
        <v>0.0146</v>
      </c>
      <c r="BO3532" s="4">
        <v>6</v>
      </c>
      <c r="BP3532" s="8">
        <v>70.86</v>
      </c>
      <c r="BQ3532" s="4"/>
      <c r="BR3532" s="8"/>
      <c r="BS3532" s="7"/>
      <c r="BT3532" s="7"/>
      <c r="BU3532" s="2" t="s">
        <v>109</v>
      </c>
      <c r="BV3532" s="2" t="s">
        <v>110</v>
      </c>
      <c r="BW3532" s="2" t="s">
        <v>5167</v>
      </c>
      <c r="BX3532" s="2" t="s">
        <v>688</v>
      </c>
      <c r="BY3532" s="2" t="s">
        <v>113</v>
      </c>
      <c r="BZ3532" s="2" t="s">
        <v>100</v>
      </c>
    </row>
    <row r="3533">
      <c r="A3533" s="2" t="s">
        <v>10952</v>
      </c>
      <c r="B3533" s="2" t="s">
        <v>9668</v>
      </c>
      <c r="C3533" s="2" t="s">
        <v>3934</v>
      </c>
      <c r="D3533" s="2" t="s">
        <v>9669</v>
      </c>
      <c r="E3533" s="2" t="s">
        <v>9670</v>
      </c>
      <c r="F3533" s="2" t="s">
        <v>218</v>
      </c>
      <c r="G3533" s="2" t="s">
        <v>218</v>
      </c>
      <c r="H3533" s="2" t="s">
        <v>218</v>
      </c>
      <c r="I3533" s="2" t="s">
        <v>10882</v>
      </c>
      <c r="J3533" s="2" t="s">
        <v>2072</v>
      </c>
      <c r="K3533" s="2" t="s">
        <v>189</v>
      </c>
      <c r="L3533" s="3">
        <v>11.18</v>
      </c>
      <c r="M3533" s="3">
        <v>11.74</v>
      </c>
      <c r="N3533" s="3">
        <v>27.99</v>
      </c>
      <c r="O3533" s="2" t="s">
        <v>97</v>
      </c>
      <c r="P3533" s="2" t="s">
        <v>119</v>
      </c>
      <c r="Q3533" s="2" t="s">
        <v>99</v>
      </c>
      <c r="R3533" s="2" t="s">
        <v>100</v>
      </c>
      <c r="S3533" s="2" t="s">
        <v>10946</v>
      </c>
      <c r="T3533" s="2" t="s">
        <v>218</v>
      </c>
      <c r="U3533" s="2" t="s">
        <v>100</v>
      </c>
      <c r="V3533" s="2" t="s">
        <v>146</v>
      </c>
      <c r="W3533" s="2" t="s">
        <v>183</v>
      </c>
      <c r="X3533" s="2" t="s">
        <v>100</v>
      </c>
      <c r="Y3533" s="2" t="s">
        <v>240</v>
      </c>
      <c r="Z3533" s="4">
        <v>446</v>
      </c>
      <c r="AA3533" s="4">
        <f>=ROUNDDOWN(74.3333333333333,0)</f>
      </c>
      <c r="AB3533" s="5">
        <v>6</v>
      </c>
      <c r="AC3533" s="2" t="s">
        <v>100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>
        <v>9</v>
      </c>
      <c r="AQ3533" s="8">
        <v>98.01</v>
      </c>
      <c r="AR3533" s="4"/>
      <c r="AS3533" s="8"/>
      <c r="AT3533" s="7"/>
      <c r="AU3533" s="7"/>
      <c r="AV3533" s="4" t="s">
        <v>100</v>
      </c>
      <c r="AW3533" s="8" t="s">
        <v>100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 t="s">
        <v>100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 t="s">
        <v>100</v>
      </c>
      <c r="BJ3533" s="4">
        <v>232</v>
      </c>
      <c r="BK3533" s="8">
        <v>2741.15</v>
      </c>
      <c r="BL3533" s="2" t="s">
        <v>10953</v>
      </c>
      <c r="BM3533" s="7">
        <v>0.0388</v>
      </c>
      <c r="BN3533" s="7">
        <v>0.0358</v>
      </c>
      <c r="BO3533" s="4">
        <v>9</v>
      </c>
      <c r="BP3533" s="8">
        <v>98.01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243</v>
      </c>
      <c r="BX3533" s="2" t="s">
        <v>10954</v>
      </c>
      <c r="BY3533" s="2" t="s">
        <v>113</v>
      </c>
      <c r="BZ3533" s="2" t="s">
        <v>100</v>
      </c>
    </row>
    <row r="3534">
      <c r="A3534" s="2" t="s">
        <v>10955</v>
      </c>
      <c r="B3534" s="2" t="s">
        <v>9668</v>
      </c>
      <c r="C3534" s="2" t="s">
        <v>3934</v>
      </c>
      <c r="D3534" s="2" t="s">
        <v>9669</v>
      </c>
      <c r="E3534" s="2" t="s">
        <v>9670</v>
      </c>
      <c r="F3534" s="2" t="s">
        <v>218</v>
      </c>
      <c r="G3534" s="2" t="s">
        <v>218</v>
      </c>
      <c r="H3534" s="2" t="s">
        <v>218</v>
      </c>
      <c r="I3534" s="2" t="s">
        <v>10882</v>
      </c>
      <c r="J3534" s="2" t="s">
        <v>717</v>
      </c>
      <c r="K3534" s="2" t="s">
        <v>189</v>
      </c>
      <c r="L3534" s="3">
        <v>12.92</v>
      </c>
      <c r="M3534" s="3">
        <v>13.57</v>
      </c>
      <c r="N3534" s="3">
        <v>30.99</v>
      </c>
      <c r="O3534" s="2" t="s">
        <v>97</v>
      </c>
      <c r="P3534" s="2" t="s">
        <v>119</v>
      </c>
      <c r="Q3534" s="2" t="s">
        <v>99</v>
      </c>
      <c r="R3534" s="2" t="s">
        <v>100</v>
      </c>
      <c r="S3534" s="2" t="s">
        <v>10946</v>
      </c>
      <c r="T3534" s="2" t="s">
        <v>218</v>
      </c>
      <c r="U3534" s="2" t="s">
        <v>100</v>
      </c>
      <c r="V3534" s="2" t="s">
        <v>146</v>
      </c>
      <c r="W3534" s="2" t="s">
        <v>183</v>
      </c>
      <c r="X3534" s="2" t="s">
        <v>100</v>
      </c>
      <c r="Y3534" s="2" t="s">
        <v>240</v>
      </c>
      <c r="Z3534" s="4">
        <v>139</v>
      </c>
      <c r="AA3534" s="4">
        <f>=ROUNDDOWN(11.9827586206897,0)</f>
      </c>
      <c r="AB3534" s="5">
        <v>11.6</v>
      </c>
      <c r="AC3534" s="2" t="s">
        <v>1102</v>
      </c>
      <c r="AD3534" s="4">
        <v>30</v>
      </c>
      <c r="AE3534" s="4">
        <v>170</v>
      </c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 t="s">
        <v>100</v>
      </c>
      <c r="BJ3534" s="4">
        <v>295</v>
      </c>
      <c r="BK3534" s="8">
        <v>4213.83</v>
      </c>
      <c r="BL3534" s="2" t="s">
        <v>10956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243</v>
      </c>
      <c r="BX3534" s="2" t="s">
        <v>10957</v>
      </c>
      <c r="BY3534" s="2" t="s">
        <v>113</v>
      </c>
      <c r="BZ3534" s="2" t="s">
        <v>100</v>
      </c>
    </row>
    <row r="3535">
      <c r="A3535" s="2" t="s">
        <v>10958</v>
      </c>
      <c r="B3535" s="2" t="s">
        <v>9668</v>
      </c>
      <c r="C3535" s="2" t="s">
        <v>3934</v>
      </c>
      <c r="D3535" s="2" t="s">
        <v>9669</v>
      </c>
      <c r="E3535" s="2" t="s">
        <v>9670</v>
      </c>
      <c r="F3535" s="2" t="s">
        <v>218</v>
      </c>
      <c r="G3535" s="2" t="s">
        <v>218</v>
      </c>
      <c r="H3535" s="2" t="s">
        <v>218</v>
      </c>
      <c r="I3535" s="2" t="s">
        <v>10877</v>
      </c>
      <c r="J3535" s="2" t="s">
        <v>706</v>
      </c>
      <c r="K3535" s="2" t="s">
        <v>189</v>
      </c>
      <c r="L3535" s="3">
        <v>14.85</v>
      </c>
      <c r="M3535" s="3">
        <v>15.59</v>
      </c>
      <c r="N3535" s="3">
        <v>32.99</v>
      </c>
      <c r="O3535" s="2" t="s">
        <v>97</v>
      </c>
      <c r="P3535" s="2" t="s">
        <v>119</v>
      </c>
      <c r="Q3535" s="2" t="s">
        <v>99</v>
      </c>
      <c r="R3535" s="2" t="s">
        <v>100</v>
      </c>
      <c r="S3535" s="2" t="s">
        <v>10946</v>
      </c>
      <c r="T3535" s="2" t="s">
        <v>218</v>
      </c>
      <c r="U3535" s="2" t="s">
        <v>102</v>
      </c>
      <c r="V3535" s="2" t="s">
        <v>146</v>
      </c>
      <c r="W3535" s="2" t="s">
        <v>183</v>
      </c>
      <c r="X3535" s="2" t="s">
        <v>561</v>
      </c>
      <c r="Y3535" s="2" t="s">
        <v>10879</v>
      </c>
      <c r="Z3535" s="4">
        <v>76</v>
      </c>
      <c r="AA3535" s="4">
        <f>=ROUNDDOWN(2.5938566552901,0)</f>
      </c>
      <c r="AB3535" s="5">
        <v>29.3</v>
      </c>
      <c r="AC3535" s="2" t="s">
        <v>123</v>
      </c>
      <c r="AD3535" s="4">
        <v>110</v>
      </c>
      <c r="AE3535" s="4">
        <v>620</v>
      </c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>
        <v>1</v>
      </c>
      <c r="AQ3535" s="8">
        <v>14.18</v>
      </c>
      <c r="AR3535" s="4"/>
      <c r="AS3535" s="8"/>
      <c r="AT3535" s="7"/>
      <c r="AU3535" s="7"/>
      <c r="AV3535" s="4" t="s">
        <v>100</v>
      </c>
      <c r="AW3535" s="8" t="s">
        <v>100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>
        <v>0.0728</v>
      </c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 t="s">
        <v>100</v>
      </c>
      <c r="BJ3535" s="4">
        <v>490</v>
      </c>
      <c r="BK3535" s="8">
        <v>7732.02</v>
      </c>
      <c r="BL3535" s="2" t="s">
        <v>10959</v>
      </c>
      <c r="BM3535" s="7">
        <v>0.002</v>
      </c>
      <c r="BN3535" s="7">
        <v>0.0018</v>
      </c>
      <c r="BO3535" s="4">
        <v>1</v>
      </c>
      <c r="BP3535" s="8">
        <v>14.18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5167</v>
      </c>
      <c r="BX3535" s="2" t="s">
        <v>5233</v>
      </c>
      <c r="BY3535" s="2" t="s">
        <v>113</v>
      </c>
      <c r="BZ3535" s="2" t="s">
        <v>100</v>
      </c>
    </row>
    <row r="3536">
      <c r="A3536" s="2" t="s">
        <v>10960</v>
      </c>
      <c r="B3536" s="2" t="s">
        <v>9668</v>
      </c>
      <c r="C3536" s="2" t="s">
        <v>3934</v>
      </c>
      <c r="D3536" s="2" t="s">
        <v>9669</v>
      </c>
      <c r="E3536" s="2" t="s">
        <v>9670</v>
      </c>
      <c r="F3536" s="2" t="s">
        <v>218</v>
      </c>
      <c r="G3536" s="2" t="s">
        <v>218</v>
      </c>
      <c r="H3536" s="2" t="s">
        <v>218</v>
      </c>
      <c r="I3536" s="2" t="s">
        <v>10882</v>
      </c>
      <c r="J3536" s="2" t="s">
        <v>1936</v>
      </c>
      <c r="K3536" s="2" t="s">
        <v>578</v>
      </c>
      <c r="L3536" s="3">
        <v>11.18</v>
      </c>
      <c r="M3536" s="3">
        <v>11.74</v>
      </c>
      <c r="N3536" s="3">
        <v>27.99</v>
      </c>
      <c r="O3536" s="2" t="s">
        <v>97</v>
      </c>
      <c r="P3536" s="2" t="s">
        <v>119</v>
      </c>
      <c r="Q3536" s="2" t="s">
        <v>99</v>
      </c>
      <c r="R3536" s="2" t="s">
        <v>100</v>
      </c>
      <c r="S3536" s="2" t="s">
        <v>10961</v>
      </c>
      <c r="T3536" s="2" t="s">
        <v>218</v>
      </c>
      <c r="U3536" s="2" t="s">
        <v>100</v>
      </c>
      <c r="V3536" s="2" t="s">
        <v>146</v>
      </c>
      <c r="W3536" s="2" t="s">
        <v>183</v>
      </c>
      <c r="X3536" s="2" t="s">
        <v>100</v>
      </c>
      <c r="Y3536" s="2" t="s">
        <v>240</v>
      </c>
      <c r="Z3536" s="4">
        <v>189</v>
      </c>
      <c r="AA3536" s="4">
        <f>=ROUNDDOWN(25.2,0)</f>
      </c>
      <c r="AB3536" s="5">
        <v>7.5</v>
      </c>
      <c r="AC3536" s="2" t="s">
        <v>123</v>
      </c>
      <c r="AD3536" s="4">
        <v>30</v>
      </c>
      <c r="AE3536" s="4">
        <v>160</v>
      </c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>
        <v>3</v>
      </c>
      <c r="AQ3536" s="8">
        <v>32.67</v>
      </c>
      <c r="AR3536" s="4"/>
      <c r="AS3536" s="8"/>
      <c r="AT3536" s="7"/>
      <c r="AU3536" s="7"/>
      <c r="AV3536" s="4">
        <v>12</v>
      </c>
      <c r="AW3536" s="8">
        <v>155.16</v>
      </c>
      <c r="AX3536" s="4" t="s">
        <v>100</v>
      </c>
      <c r="AY3536" s="8" t="s">
        <v>100</v>
      </c>
      <c r="AZ3536" s="7" t="s">
        <v>100</v>
      </c>
      <c r="BA3536" s="7" t="s">
        <v>100</v>
      </c>
      <c r="BB3536" s="7">
        <v>0.2106</v>
      </c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0.086</v>
      </c>
      <c r="BJ3536" s="4">
        <v>205</v>
      </c>
      <c r="BK3536" s="8">
        <v>2373.42</v>
      </c>
      <c r="BL3536" s="2" t="s">
        <v>10962</v>
      </c>
      <c r="BM3536" s="7">
        <v>0.0146</v>
      </c>
      <c r="BN3536" s="7">
        <v>0.0138</v>
      </c>
      <c r="BO3536" s="4">
        <v>3</v>
      </c>
      <c r="BP3536" s="8">
        <v>32.67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10884</v>
      </c>
      <c r="BX3536" s="2" t="s">
        <v>10963</v>
      </c>
      <c r="BY3536" s="2" t="s">
        <v>113</v>
      </c>
      <c r="BZ3536" s="2" t="s">
        <v>100</v>
      </c>
    </row>
    <row r="3537">
      <c r="A3537" s="2" t="s">
        <v>10964</v>
      </c>
      <c r="B3537" s="2" t="s">
        <v>9668</v>
      </c>
      <c r="C3537" s="2" t="s">
        <v>3934</v>
      </c>
      <c r="D3537" s="2" t="s">
        <v>9669</v>
      </c>
      <c r="E3537" s="2" t="s">
        <v>9670</v>
      </c>
      <c r="F3537" s="2" t="s">
        <v>218</v>
      </c>
      <c r="G3537" s="2" t="s">
        <v>218</v>
      </c>
      <c r="H3537" s="2" t="s">
        <v>218</v>
      </c>
      <c r="I3537" s="2" t="s">
        <v>10882</v>
      </c>
      <c r="J3537" s="2" t="s">
        <v>2072</v>
      </c>
      <c r="K3537" s="2" t="s">
        <v>578</v>
      </c>
      <c r="L3537" s="3">
        <v>11.18</v>
      </c>
      <c r="M3537" s="3">
        <v>11.74</v>
      </c>
      <c r="N3537" s="3">
        <v>27.99</v>
      </c>
      <c r="O3537" s="2" t="s">
        <v>97</v>
      </c>
      <c r="P3537" s="2" t="s">
        <v>119</v>
      </c>
      <c r="Q3537" s="2" t="s">
        <v>99</v>
      </c>
      <c r="R3537" s="2" t="s">
        <v>100</v>
      </c>
      <c r="S3537" s="2" t="s">
        <v>10961</v>
      </c>
      <c r="T3537" s="2" t="s">
        <v>218</v>
      </c>
      <c r="U3537" s="2" t="s">
        <v>100</v>
      </c>
      <c r="V3537" s="2" t="s">
        <v>146</v>
      </c>
      <c r="W3537" s="2" t="s">
        <v>183</v>
      </c>
      <c r="X3537" s="2" t="s">
        <v>100</v>
      </c>
      <c r="Y3537" s="2" t="s">
        <v>240</v>
      </c>
      <c r="Z3537" s="4">
        <v>388</v>
      </c>
      <c r="AA3537" s="4">
        <f>=ROUNDDOWN(97,0)</f>
      </c>
      <c r="AB3537" s="5">
        <v>4</v>
      </c>
      <c r="AC3537" s="2" t="s">
        <v>100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>
        <v>2</v>
      </c>
      <c r="AQ3537" s="8">
        <v>21.78</v>
      </c>
      <c r="AR3537" s="4"/>
      <c r="AS3537" s="8"/>
      <c r="AT3537" s="7"/>
      <c r="AU3537" s="7"/>
      <c r="AV3537" s="4" t="s">
        <v>100</v>
      </c>
      <c r="AW3537" s="8" t="s">
        <v>100</v>
      </c>
      <c r="AX3537" s="4" t="s">
        <v>100</v>
      </c>
      <c r="AY3537" s="8" t="s">
        <v>100</v>
      </c>
      <c r="AZ3537" s="7" t="s">
        <v>100</v>
      </c>
      <c r="BA3537" s="7" t="s">
        <v>100</v>
      </c>
      <c r="BB3537" s="7">
        <v>0.1404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 t="s">
        <v>100</v>
      </c>
      <c r="BJ3537" s="4">
        <v>163</v>
      </c>
      <c r="BK3537" s="8">
        <v>1925.31</v>
      </c>
      <c r="BL3537" s="2" t="s">
        <v>10965</v>
      </c>
      <c r="BM3537" s="7">
        <v>0.0123</v>
      </c>
      <c r="BN3537" s="7">
        <v>0.0113</v>
      </c>
      <c r="BO3537" s="4">
        <v>2</v>
      </c>
      <c r="BP3537" s="8">
        <v>21.78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10884</v>
      </c>
      <c r="BX3537" s="2" t="s">
        <v>258</v>
      </c>
      <c r="BY3537" s="2" t="s">
        <v>113</v>
      </c>
      <c r="BZ3537" s="2" t="s">
        <v>100</v>
      </c>
    </row>
    <row r="3538">
      <c r="A3538" s="2" t="s">
        <v>10966</v>
      </c>
      <c r="B3538" s="2" t="s">
        <v>9668</v>
      </c>
      <c r="C3538" s="2" t="s">
        <v>3934</v>
      </c>
      <c r="D3538" s="2" t="s">
        <v>9669</v>
      </c>
      <c r="E3538" s="2" t="s">
        <v>9670</v>
      </c>
      <c r="F3538" s="2" t="s">
        <v>218</v>
      </c>
      <c r="G3538" s="2" t="s">
        <v>218</v>
      </c>
      <c r="H3538" s="2" t="s">
        <v>218</v>
      </c>
      <c r="I3538" s="2" t="s">
        <v>10882</v>
      </c>
      <c r="J3538" s="2" t="s">
        <v>717</v>
      </c>
      <c r="K3538" s="2" t="s">
        <v>578</v>
      </c>
      <c r="L3538" s="3">
        <v>12.92</v>
      </c>
      <c r="M3538" s="3">
        <v>13.57</v>
      </c>
      <c r="N3538" s="3">
        <v>30.99</v>
      </c>
      <c r="O3538" s="2" t="s">
        <v>97</v>
      </c>
      <c r="P3538" s="2" t="s">
        <v>119</v>
      </c>
      <c r="Q3538" s="2" t="s">
        <v>99</v>
      </c>
      <c r="R3538" s="2" t="s">
        <v>100</v>
      </c>
      <c r="S3538" s="2" t="s">
        <v>10961</v>
      </c>
      <c r="T3538" s="2" t="s">
        <v>218</v>
      </c>
      <c r="U3538" s="2" t="s">
        <v>100</v>
      </c>
      <c r="V3538" s="2" t="s">
        <v>146</v>
      </c>
      <c r="W3538" s="2" t="s">
        <v>183</v>
      </c>
      <c r="X3538" s="2" t="s">
        <v>100</v>
      </c>
      <c r="Y3538" s="2" t="s">
        <v>240</v>
      </c>
      <c r="Z3538" s="4">
        <v>163</v>
      </c>
      <c r="AA3538" s="4">
        <f>=ROUNDDOWN(29.1071428571429,0)</f>
      </c>
      <c r="AB3538" s="5">
        <v>5.6</v>
      </c>
      <c r="AC3538" s="2" t="s">
        <v>100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100</v>
      </c>
      <c r="AW3538" s="8" t="s">
        <v>100</v>
      </c>
      <c r="AX3538" s="4" t="s">
        <v>100</v>
      </c>
      <c r="AY3538" s="8" t="s">
        <v>100</v>
      </c>
      <c r="AZ3538" s="7" t="s">
        <v>100</v>
      </c>
      <c r="BA3538" s="7" t="s">
        <v>100</v>
      </c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 t="s">
        <v>100</v>
      </c>
      <c r="BJ3538" s="4">
        <v>112</v>
      </c>
      <c r="BK3538" s="8">
        <v>1533.05</v>
      </c>
      <c r="BL3538" s="2" t="s">
        <v>10967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10884</v>
      </c>
      <c r="BX3538" s="2" t="s">
        <v>10968</v>
      </c>
      <c r="BY3538" s="2" t="s">
        <v>113</v>
      </c>
      <c r="BZ3538" s="2" t="s">
        <v>100</v>
      </c>
    </row>
    <row r="3539">
      <c r="A3539" s="2" t="s">
        <v>10969</v>
      </c>
      <c r="B3539" s="2" t="s">
        <v>9668</v>
      </c>
      <c r="C3539" s="2" t="s">
        <v>3934</v>
      </c>
      <c r="D3539" s="2" t="s">
        <v>9669</v>
      </c>
      <c r="E3539" s="2" t="s">
        <v>9670</v>
      </c>
      <c r="F3539" s="2" t="s">
        <v>218</v>
      </c>
      <c r="G3539" s="2" t="s">
        <v>218</v>
      </c>
      <c r="H3539" s="2" t="s">
        <v>218</v>
      </c>
      <c r="I3539" s="2" t="s">
        <v>10882</v>
      </c>
      <c r="J3539" s="2" t="s">
        <v>706</v>
      </c>
      <c r="K3539" s="2" t="s">
        <v>578</v>
      </c>
      <c r="L3539" s="3">
        <v>14.21</v>
      </c>
      <c r="M3539" s="3">
        <v>14.92</v>
      </c>
      <c r="N3539" s="3">
        <v>32.99</v>
      </c>
      <c r="O3539" s="2" t="s">
        <v>97</v>
      </c>
      <c r="P3539" s="2" t="s">
        <v>119</v>
      </c>
      <c r="Q3539" s="2" t="s">
        <v>99</v>
      </c>
      <c r="R3539" s="2" t="s">
        <v>100</v>
      </c>
      <c r="S3539" s="2" t="s">
        <v>10961</v>
      </c>
      <c r="T3539" s="2" t="s">
        <v>218</v>
      </c>
      <c r="U3539" s="2" t="s">
        <v>100</v>
      </c>
      <c r="V3539" s="2" t="s">
        <v>146</v>
      </c>
      <c r="W3539" s="2" t="s">
        <v>183</v>
      </c>
      <c r="X3539" s="2" t="s">
        <v>100</v>
      </c>
      <c r="Y3539" s="2" t="s">
        <v>240</v>
      </c>
      <c r="Z3539" s="4">
        <v>445</v>
      </c>
      <c r="AA3539" s="4">
        <f>=ROUNDDOWN(12.027027027027,0)</f>
      </c>
      <c r="AB3539" s="5">
        <v>37</v>
      </c>
      <c r="AC3539" s="2" t="s">
        <v>1102</v>
      </c>
      <c r="AD3539" s="4">
        <v>150</v>
      </c>
      <c r="AE3539" s="4">
        <v>1430</v>
      </c>
      <c r="AF3539" s="6">
        <v>65</v>
      </c>
      <c r="AG3539" s="6"/>
      <c r="AH3539" s="7">
        <v>0.9305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/>
      <c r="AP3539" s="4">
        <v>5</v>
      </c>
      <c r="AQ3539" s="8">
        <v>68.05</v>
      </c>
      <c r="AR3539" s="4"/>
      <c r="AS3539" s="8"/>
      <c r="AT3539" s="7"/>
      <c r="AU3539" s="7"/>
      <c r="AV3539" s="4" t="s">
        <v>100</v>
      </c>
      <c r="AW3539" s="8" t="s">
        <v>100</v>
      </c>
      <c r="AX3539" s="4" t="s">
        <v>100</v>
      </c>
      <c r="AY3539" s="8" t="s">
        <v>100</v>
      </c>
      <c r="AZ3539" s="7" t="s">
        <v>100</v>
      </c>
      <c r="BA3539" s="7" t="s">
        <v>100</v>
      </c>
      <c r="BB3539" s="7">
        <v>0.4386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 t="s">
        <v>100</v>
      </c>
      <c r="BJ3539" s="4">
        <v>1013</v>
      </c>
      <c r="BK3539" s="8">
        <v>14734.23</v>
      </c>
      <c r="BL3539" s="2" t="s">
        <v>10970</v>
      </c>
      <c r="BM3539" s="7">
        <v>0.0049</v>
      </c>
      <c r="BN3539" s="7">
        <v>0.0046</v>
      </c>
      <c r="BO3539" s="4">
        <v>5</v>
      </c>
      <c r="BP3539" s="8">
        <v>68.05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10884</v>
      </c>
      <c r="BX3539" s="2" t="s">
        <v>10898</v>
      </c>
      <c r="BY3539" s="2" t="s">
        <v>113</v>
      </c>
      <c r="BZ3539" s="2" t="s">
        <v>100</v>
      </c>
    </row>
    <row r="3540">
      <c r="A3540" s="2" t="s">
        <v>10971</v>
      </c>
      <c r="B3540" s="2" t="s">
        <v>9668</v>
      </c>
      <c r="C3540" s="2" t="s">
        <v>3934</v>
      </c>
      <c r="D3540" s="2" t="s">
        <v>9669</v>
      </c>
      <c r="E3540" s="2" t="s">
        <v>9670</v>
      </c>
      <c r="F3540" s="2" t="s">
        <v>218</v>
      </c>
      <c r="G3540" s="2" t="s">
        <v>218</v>
      </c>
      <c r="H3540" s="2" t="s">
        <v>218</v>
      </c>
      <c r="I3540" s="2" t="s">
        <v>10882</v>
      </c>
      <c r="J3540" s="2" t="s">
        <v>714</v>
      </c>
      <c r="K3540" s="2" t="s">
        <v>578</v>
      </c>
      <c r="L3540" s="3">
        <v>16.75</v>
      </c>
      <c r="M3540" s="3">
        <v>17.59</v>
      </c>
      <c r="N3540" s="3">
        <v>37.99</v>
      </c>
      <c r="O3540" s="2" t="s">
        <v>97</v>
      </c>
      <c r="P3540" s="2" t="s">
        <v>119</v>
      </c>
      <c r="Q3540" s="2" t="s">
        <v>99</v>
      </c>
      <c r="R3540" s="2" t="s">
        <v>100</v>
      </c>
      <c r="S3540" s="2" t="s">
        <v>10961</v>
      </c>
      <c r="T3540" s="2" t="s">
        <v>218</v>
      </c>
      <c r="U3540" s="2" t="s">
        <v>100</v>
      </c>
      <c r="V3540" s="2" t="s">
        <v>146</v>
      </c>
      <c r="W3540" s="2" t="s">
        <v>183</v>
      </c>
      <c r="X3540" s="2" t="s">
        <v>100</v>
      </c>
      <c r="Y3540" s="2" t="s">
        <v>240</v>
      </c>
      <c r="Z3540" s="4">
        <v>192</v>
      </c>
      <c r="AA3540" s="4">
        <f>=ROUNDDOWN(21.3333333333333,0)</f>
      </c>
      <c r="AB3540" s="5">
        <v>9</v>
      </c>
      <c r="AC3540" s="2" t="s">
        <v>123</v>
      </c>
      <c r="AD3540" s="4">
        <v>30</v>
      </c>
      <c r="AE3540" s="4">
        <v>30</v>
      </c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>
        <v>2</v>
      </c>
      <c r="AQ3540" s="8">
        <v>32.66</v>
      </c>
      <c r="AR3540" s="4"/>
      <c r="AS3540" s="8"/>
      <c r="AT3540" s="7"/>
      <c r="AU3540" s="7"/>
      <c r="AV3540" s="4" t="s">
        <v>100</v>
      </c>
      <c r="AW3540" s="8" t="s">
        <v>100</v>
      </c>
      <c r="AX3540" s="4" t="s">
        <v>100</v>
      </c>
      <c r="AY3540" s="8" t="s">
        <v>100</v>
      </c>
      <c r="AZ3540" s="7" t="s">
        <v>100</v>
      </c>
      <c r="BA3540" s="7" t="s">
        <v>100</v>
      </c>
      <c r="BB3540" s="7">
        <v>0.2105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 t="s">
        <v>100</v>
      </c>
      <c r="BJ3540" s="4">
        <v>225</v>
      </c>
      <c r="BK3540" s="8">
        <v>4074.53</v>
      </c>
      <c r="BL3540" s="2" t="s">
        <v>10972</v>
      </c>
      <c r="BM3540" s="7">
        <v>0.0089</v>
      </c>
      <c r="BN3540" s="7">
        <v>0.008</v>
      </c>
      <c r="BO3540" s="4">
        <v>2</v>
      </c>
      <c r="BP3540" s="8">
        <v>32.66</v>
      </c>
      <c r="BQ3540" s="4"/>
      <c r="BR3540" s="8"/>
      <c r="BS3540" s="7"/>
      <c r="BT3540" s="7"/>
      <c r="BU3540" s="2" t="s">
        <v>109</v>
      </c>
      <c r="BV3540" s="2" t="s">
        <v>110</v>
      </c>
      <c r="BW3540" s="2" t="s">
        <v>10884</v>
      </c>
      <c r="BX3540" s="2" t="s">
        <v>4253</v>
      </c>
      <c r="BY3540" s="2" t="s">
        <v>113</v>
      </c>
      <c r="BZ3540" s="2" t="s">
        <v>100</v>
      </c>
    </row>
    <row r="3541">
      <c r="A3541" s="2" t="s">
        <v>10973</v>
      </c>
      <c r="B3541" s="2" t="s">
        <v>9668</v>
      </c>
      <c r="C3541" s="2" t="s">
        <v>3934</v>
      </c>
      <c r="D3541" s="2" t="s">
        <v>9669</v>
      </c>
      <c r="E3541" s="2" t="s">
        <v>9670</v>
      </c>
      <c r="F3541" s="2" t="s">
        <v>218</v>
      </c>
      <c r="G3541" s="2" t="s">
        <v>218</v>
      </c>
      <c r="H3541" s="2" t="s">
        <v>218</v>
      </c>
      <c r="I3541" s="2" t="s">
        <v>10882</v>
      </c>
      <c r="J3541" s="2" t="s">
        <v>1936</v>
      </c>
      <c r="K3541" s="2" t="s">
        <v>118</v>
      </c>
      <c r="L3541" s="3">
        <v>11.18</v>
      </c>
      <c r="M3541" s="3">
        <v>11.74</v>
      </c>
      <c r="N3541" s="3">
        <v>27.99</v>
      </c>
      <c r="O3541" s="2" t="s">
        <v>97</v>
      </c>
      <c r="P3541" s="2" t="s">
        <v>119</v>
      </c>
      <c r="Q3541" s="2" t="s">
        <v>99</v>
      </c>
      <c r="R3541" s="2" t="s">
        <v>100</v>
      </c>
      <c r="S3541" s="2" t="s">
        <v>10974</v>
      </c>
      <c r="T3541" s="2" t="s">
        <v>218</v>
      </c>
      <c r="U3541" s="2" t="s">
        <v>480</v>
      </c>
      <c r="V3541" s="2" t="s">
        <v>146</v>
      </c>
      <c r="W3541" s="2" t="s">
        <v>183</v>
      </c>
      <c r="X3541" s="2" t="s">
        <v>100</v>
      </c>
      <c r="Y3541" s="2" t="s">
        <v>10975</v>
      </c>
      <c r="Z3541" s="4">
        <v>76</v>
      </c>
      <c r="AA3541" s="4">
        <f>=ROUNDDOWN(25.3333333333333,0)</f>
      </c>
      <c r="AB3541" s="5">
        <v>3</v>
      </c>
      <c r="AC3541" s="2" t="s">
        <v>100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100</v>
      </c>
      <c r="AW3541" s="8" t="s">
        <v>100</v>
      </c>
      <c r="AX3541" s="4" t="s">
        <v>100</v>
      </c>
      <c r="AY3541" s="8" t="s">
        <v>100</v>
      </c>
      <c r="AZ3541" s="7" t="s">
        <v>100</v>
      </c>
      <c r="BA3541" s="7" t="s">
        <v>100</v>
      </c>
      <c r="BB3541" s="7"/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 t="s">
        <v>100</v>
      </c>
      <c r="BJ3541" s="4">
        <v>68</v>
      </c>
      <c r="BK3541" s="8">
        <v>859.38</v>
      </c>
      <c r="BL3541" s="2" t="s">
        <v>10976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207</v>
      </c>
      <c r="BV3541" s="2" t="s">
        <v>97</v>
      </c>
      <c r="BW3541" s="2" t="s">
        <v>100</v>
      </c>
      <c r="BX3541" s="2" t="s">
        <v>100</v>
      </c>
      <c r="BY3541" s="2" t="s">
        <v>113</v>
      </c>
      <c r="BZ3541" s="2" t="s">
        <v>100</v>
      </c>
    </row>
    <row r="3542">
      <c r="A3542" s="2" t="s">
        <v>10977</v>
      </c>
      <c r="B3542" s="2" t="s">
        <v>9668</v>
      </c>
      <c r="C3542" s="2" t="s">
        <v>3934</v>
      </c>
      <c r="D3542" s="2" t="s">
        <v>9669</v>
      </c>
      <c r="E3542" s="2" t="s">
        <v>9670</v>
      </c>
      <c r="F3542" s="2" t="s">
        <v>218</v>
      </c>
      <c r="G3542" s="2" t="s">
        <v>218</v>
      </c>
      <c r="H3542" s="2" t="s">
        <v>218</v>
      </c>
      <c r="I3542" s="2" t="s">
        <v>10882</v>
      </c>
      <c r="J3542" s="2" t="s">
        <v>2072</v>
      </c>
      <c r="K3542" s="2" t="s">
        <v>118</v>
      </c>
      <c r="L3542" s="3">
        <v>11.18</v>
      </c>
      <c r="M3542" s="3">
        <v>11.74</v>
      </c>
      <c r="N3542" s="3">
        <v>27.99</v>
      </c>
      <c r="O3542" s="2" t="s">
        <v>97</v>
      </c>
      <c r="P3542" s="2" t="s">
        <v>119</v>
      </c>
      <c r="Q3542" s="2" t="s">
        <v>99</v>
      </c>
      <c r="R3542" s="2" t="s">
        <v>100</v>
      </c>
      <c r="S3542" s="2" t="s">
        <v>10974</v>
      </c>
      <c r="T3542" s="2" t="s">
        <v>218</v>
      </c>
      <c r="U3542" s="2" t="s">
        <v>480</v>
      </c>
      <c r="V3542" s="2" t="s">
        <v>146</v>
      </c>
      <c r="W3542" s="2" t="s">
        <v>183</v>
      </c>
      <c r="X3542" s="2" t="s">
        <v>100</v>
      </c>
      <c r="Y3542" s="2" t="s">
        <v>10975</v>
      </c>
      <c r="Z3542" s="4">
        <v>195</v>
      </c>
      <c r="AA3542" s="4">
        <f>=ROUNDDOWN(97.5,0)</f>
      </c>
      <c r="AB3542" s="5">
        <v>2</v>
      </c>
      <c r="AC3542" s="2" t="s">
        <v>100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100</v>
      </c>
      <c r="AW3542" s="8" t="s">
        <v>100</v>
      </c>
      <c r="AX3542" s="4" t="s">
        <v>100</v>
      </c>
      <c r="AY3542" s="8" t="s">
        <v>100</v>
      </c>
      <c r="AZ3542" s="7" t="s">
        <v>100</v>
      </c>
      <c r="BA3542" s="7" t="s">
        <v>100</v>
      </c>
      <c r="BB3542" s="7"/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 t="s">
        <v>100</v>
      </c>
      <c r="BJ3542" s="4">
        <v>70</v>
      </c>
      <c r="BK3542" s="8">
        <v>868.66</v>
      </c>
      <c r="BL3542" s="2" t="s">
        <v>10978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207</v>
      </c>
      <c r="BV3542" s="2" t="s">
        <v>97</v>
      </c>
      <c r="BW3542" s="2" t="s">
        <v>100</v>
      </c>
      <c r="BX3542" s="2" t="s">
        <v>100</v>
      </c>
      <c r="BY3542" s="2" t="s">
        <v>113</v>
      </c>
      <c r="BZ3542" s="2" t="s">
        <v>100</v>
      </c>
    </row>
    <row r="3543">
      <c r="A3543" s="2" t="s">
        <v>10979</v>
      </c>
      <c r="B3543" s="2" t="s">
        <v>9668</v>
      </c>
      <c r="C3543" s="2" t="s">
        <v>3934</v>
      </c>
      <c r="D3543" s="2" t="s">
        <v>9669</v>
      </c>
      <c r="E3543" s="2" t="s">
        <v>9670</v>
      </c>
      <c r="F3543" s="2" t="s">
        <v>218</v>
      </c>
      <c r="G3543" s="2" t="s">
        <v>218</v>
      </c>
      <c r="H3543" s="2" t="s">
        <v>218</v>
      </c>
      <c r="I3543" s="2" t="s">
        <v>10882</v>
      </c>
      <c r="J3543" s="2" t="s">
        <v>717</v>
      </c>
      <c r="K3543" s="2" t="s">
        <v>118</v>
      </c>
      <c r="L3543" s="3">
        <v>12.92</v>
      </c>
      <c r="M3543" s="3">
        <v>13.57</v>
      </c>
      <c r="N3543" s="3">
        <v>30.99</v>
      </c>
      <c r="O3543" s="2" t="s">
        <v>97</v>
      </c>
      <c r="P3543" s="2" t="s">
        <v>119</v>
      </c>
      <c r="Q3543" s="2" t="s">
        <v>99</v>
      </c>
      <c r="R3543" s="2" t="s">
        <v>100</v>
      </c>
      <c r="S3543" s="2" t="s">
        <v>10974</v>
      </c>
      <c r="T3543" s="2" t="s">
        <v>218</v>
      </c>
      <c r="U3543" s="2" t="s">
        <v>402</v>
      </c>
      <c r="V3543" s="2" t="s">
        <v>146</v>
      </c>
      <c r="W3543" s="2" t="s">
        <v>183</v>
      </c>
      <c r="X3543" s="2" t="s">
        <v>100</v>
      </c>
      <c r="Y3543" s="2" t="s">
        <v>10975</v>
      </c>
      <c r="Z3543" s="4">
        <v>124</v>
      </c>
      <c r="AA3543" s="4">
        <f>=ROUNDDOWN(53.9130434782609,0)</f>
      </c>
      <c r="AB3543" s="5">
        <v>2.3</v>
      </c>
      <c r="AC3543" s="2" t="s">
        <v>100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100</v>
      </c>
      <c r="AW3543" s="8" t="s">
        <v>100</v>
      </c>
      <c r="AX3543" s="4" t="s">
        <v>100</v>
      </c>
      <c r="AY3543" s="8" t="s">
        <v>100</v>
      </c>
      <c r="AZ3543" s="7" t="s">
        <v>100</v>
      </c>
      <c r="BA3543" s="7" t="s">
        <v>100</v>
      </c>
      <c r="BB3543" s="7"/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 t="s">
        <v>100</v>
      </c>
      <c r="BJ3543" s="4">
        <v>51</v>
      </c>
      <c r="BK3543" s="8">
        <v>725.21</v>
      </c>
      <c r="BL3543" s="2" t="s">
        <v>2191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207</v>
      </c>
      <c r="BV3543" s="2" t="s">
        <v>97</v>
      </c>
      <c r="BW3543" s="2" t="s">
        <v>100</v>
      </c>
      <c r="BX3543" s="2" t="s">
        <v>100</v>
      </c>
      <c r="BY3543" s="2" t="s">
        <v>113</v>
      </c>
      <c r="BZ3543" s="2" t="s">
        <v>100</v>
      </c>
    </row>
    <row r="3544">
      <c r="A3544" s="2" t="s">
        <v>10980</v>
      </c>
      <c r="B3544" s="2" t="s">
        <v>9668</v>
      </c>
      <c r="C3544" s="2" t="s">
        <v>3934</v>
      </c>
      <c r="D3544" s="2" t="s">
        <v>9669</v>
      </c>
      <c r="E3544" s="2" t="s">
        <v>9670</v>
      </c>
      <c r="F3544" s="2" t="s">
        <v>218</v>
      </c>
      <c r="G3544" s="2" t="s">
        <v>218</v>
      </c>
      <c r="H3544" s="2" t="s">
        <v>218</v>
      </c>
      <c r="I3544" s="2" t="s">
        <v>10882</v>
      </c>
      <c r="J3544" s="2" t="s">
        <v>706</v>
      </c>
      <c r="K3544" s="2" t="s">
        <v>118</v>
      </c>
      <c r="L3544" s="3">
        <v>14.21</v>
      </c>
      <c r="M3544" s="3">
        <v>14.92</v>
      </c>
      <c r="N3544" s="3">
        <v>32.99</v>
      </c>
      <c r="O3544" s="2" t="s">
        <v>97</v>
      </c>
      <c r="P3544" s="2" t="s">
        <v>119</v>
      </c>
      <c r="Q3544" s="2" t="s">
        <v>99</v>
      </c>
      <c r="R3544" s="2" t="s">
        <v>100</v>
      </c>
      <c r="S3544" s="2" t="s">
        <v>10974</v>
      </c>
      <c r="T3544" s="2" t="s">
        <v>218</v>
      </c>
      <c r="U3544" s="2" t="s">
        <v>402</v>
      </c>
      <c r="V3544" s="2" t="s">
        <v>146</v>
      </c>
      <c r="W3544" s="2" t="s">
        <v>183</v>
      </c>
      <c r="X3544" s="2" t="s">
        <v>100</v>
      </c>
      <c r="Y3544" s="2" t="s">
        <v>10975</v>
      </c>
      <c r="Z3544" s="4">
        <v>168</v>
      </c>
      <c r="AA3544" s="4">
        <f>=ROUNDDOWN(33.6,0)</f>
      </c>
      <c r="AB3544" s="5">
        <v>5</v>
      </c>
      <c r="AC3544" s="2" t="s">
        <v>100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100</v>
      </c>
      <c r="AW3544" s="8" t="s">
        <v>100</v>
      </c>
      <c r="AX3544" s="4" t="s">
        <v>100</v>
      </c>
      <c r="AY3544" s="8" t="s">
        <v>100</v>
      </c>
      <c r="AZ3544" s="7" t="s">
        <v>100</v>
      </c>
      <c r="BA3544" s="7" t="s">
        <v>100</v>
      </c>
      <c r="BB3544" s="7"/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 t="s">
        <v>100</v>
      </c>
      <c r="BJ3544" s="4">
        <v>57</v>
      </c>
      <c r="BK3544" s="8">
        <v>893.89</v>
      </c>
      <c r="BL3544" s="2" t="s">
        <v>10981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207</v>
      </c>
      <c r="BV3544" s="2" t="s">
        <v>97</v>
      </c>
      <c r="BW3544" s="2" t="s">
        <v>100</v>
      </c>
      <c r="BX3544" s="2" t="s">
        <v>100</v>
      </c>
      <c r="BY3544" s="2" t="s">
        <v>113</v>
      </c>
      <c r="BZ3544" s="2" t="s">
        <v>100</v>
      </c>
    </row>
    <row r="3545">
      <c r="A3545" s="2" t="s">
        <v>10982</v>
      </c>
      <c r="B3545" s="2" t="s">
        <v>9668</v>
      </c>
      <c r="C3545" s="2" t="s">
        <v>3934</v>
      </c>
      <c r="D3545" s="2" t="s">
        <v>9669</v>
      </c>
      <c r="E3545" s="2" t="s">
        <v>9670</v>
      </c>
      <c r="F3545" s="2" t="s">
        <v>218</v>
      </c>
      <c r="G3545" s="2" t="s">
        <v>218</v>
      </c>
      <c r="H3545" s="2" t="s">
        <v>218</v>
      </c>
      <c r="I3545" s="2" t="s">
        <v>10882</v>
      </c>
      <c r="J3545" s="2" t="s">
        <v>714</v>
      </c>
      <c r="K3545" s="2" t="s">
        <v>118</v>
      </c>
      <c r="L3545" s="3">
        <v>16.75</v>
      </c>
      <c r="M3545" s="3">
        <v>17.59</v>
      </c>
      <c r="N3545" s="3">
        <v>37.99</v>
      </c>
      <c r="O3545" s="2" t="s">
        <v>97</v>
      </c>
      <c r="P3545" s="2" t="s">
        <v>119</v>
      </c>
      <c r="Q3545" s="2" t="s">
        <v>99</v>
      </c>
      <c r="R3545" s="2" t="s">
        <v>100</v>
      </c>
      <c r="S3545" s="2" t="s">
        <v>10974</v>
      </c>
      <c r="T3545" s="2" t="s">
        <v>218</v>
      </c>
      <c r="U3545" s="2" t="s">
        <v>402</v>
      </c>
      <c r="V3545" s="2" t="s">
        <v>146</v>
      </c>
      <c r="W3545" s="2" t="s">
        <v>183</v>
      </c>
      <c r="X3545" s="2" t="s">
        <v>100</v>
      </c>
      <c r="Y3545" s="2" t="s">
        <v>10975</v>
      </c>
      <c r="Z3545" s="4">
        <v>178</v>
      </c>
      <c r="AA3545" s="4">
        <f>=ROUNDDOWN(59.3333333333333,0)</f>
      </c>
      <c r="AB3545" s="5">
        <v>3</v>
      </c>
      <c r="AC3545" s="2" t="s">
        <v>100</v>
      </c>
      <c r="AD3545" s="4"/>
      <c r="AE3545" s="4"/>
      <c r="AF3545" s="6">
        <v>65</v>
      </c>
      <c r="AG3545" s="6"/>
      <c r="AH3545" s="7">
        <v>0.984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100</v>
      </c>
      <c r="AW3545" s="8" t="s">
        <v>100</v>
      </c>
      <c r="AX3545" s="4" t="s">
        <v>100</v>
      </c>
      <c r="AY3545" s="8" t="s">
        <v>100</v>
      </c>
      <c r="AZ3545" s="7" t="s">
        <v>100</v>
      </c>
      <c r="BA3545" s="7" t="s">
        <v>100</v>
      </c>
      <c r="BB3545" s="7"/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 t="s">
        <v>100</v>
      </c>
      <c r="BJ3545" s="4">
        <v>86</v>
      </c>
      <c r="BK3545" s="8">
        <v>1619.63</v>
      </c>
      <c r="BL3545" s="2" t="s">
        <v>10983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207</v>
      </c>
      <c r="BV3545" s="2" t="s">
        <v>97</v>
      </c>
      <c r="BW3545" s="2" t="s">
        <v>100</v>
      </c>
      <c r="BX3545" s="2" t="s">
        <v>100</v>
      </c>
      <c r="BY3545" s="2" t="s">
        <v>113</v>
      </c>
      <c r="BZ3545" s="2" t="s">
        <v>100</v>
      </c>
    </row>
    <row r="3546">
      <c r="A3546" s="2" t="s">
        <v>10984</v>
      </c>
      <c r="B3546" s="2" t="s">
        <v>9668</v>
      </c>
      <c r="C3546" s="2" t="s">
        <v>3934</v>
      </c>
      <c r="D3546" s="2" t="s">
        <v>9669</v>
      </c>
      <c r="E3546" s="2" t="s">
        <v>9670</v>
      </c>
      <c r="F3546" s="2" t="s">
        <v>218</v>
      </c>
      <c r="G3546" s="2" t="s">
        <v>218</v>
      </c>
      <c r="H3546" s="2" t="s">
        <v>218</v>
      </c>
      <c r="I3546" s="2" t="s">
        <v>10882</v>
      </c>
      <c r="J3546" s="2" t="s">
        <v>1936</v>
      </c>
      <c r="K3546" s="2" t="s">
        <v>432</v>
      </c>
      <c r="L3546" s="3">
        <v>11.18</v>
      </c>
      <c r="M3546" s="3">
        <v>11.74</v>
      </c>
      <c r="N3546" s="3">
        <v>27.99</v>
      </c>
      <c r="O3546" s="2" t="s">
        <v>97</v>
      </c>
      <c r="P3546" s="2" t="s">
        <v>119</v>
      </c>
      <c r="Q3546" s="2" t="s">
        <v>99</v>
      </c>
      <c r="R3546" s="2" t="s">
        <v>100</v>
      </c>
      <c r="S3546" s="2" t="s">
        <v>10985</v>
      </c>
      <c r="T3546" s="2" t="s">
        <v>218</v>
      </c>
      <c r="U3546" s="2" t="s">
        <v>480</v>
      </c>
      <c r="V3546" s="2" t="s">
        <v>146</v>
      </c>
      <c r="W3546" s="2" t="s">
        <v>183</v>
      </c>
      <c r="X3546" s="2" t="s">
        <v>100</v>
      </c>
      <c r="Y3546" s="2" t="s">
        <v>10975</v>
      </c>
      <c r="Z3546" s="4">
        <v>181</v>
      </c>
      <c r="AA3546" s="4">
        <f>=ROUNDDOWN(75.4166666666667,0)</f>
      </c>
      <c r="AB3546" s="5">
        <v>2.4</v>
      </c>
      <c r="AC3546" s="2" t="s">
        <v>100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100</v>
      </c>
      <c r="AW3546" s="8" t="s">
        <v>100</v>
      </c>
      <c r="AX3546" s="4" t="s">
        <v>100</v>
      </c>
      <c r="AY3546" s="8" t="s">
        <v>100</v>
      </c>
      <c r="AZ3546" s="7" t="s">
        <v>100</v>
      </c>
      <c r="BA3546" s="7" t="s">
        <v>100</v>
      </c>
      <c r="BB3546" s="7"/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 t="s">
        <v>100</v>
      </c>
      <c r="BJ3546" s="4">
        <v>68</v>
      </c>
      <c r="BK3546" s="8">
        <v>838.68</v>
      </c>
      <c r="BL3546" s="2" t="s">
        <v>10986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207</v>
      </c>
      <c r="BV3546" s="2" t="s">
        <v>97</v>
      </c>
      <c r="BW3546" s="2" t="s">
        <v>100</v>
      </c>
      <c r="BX3546" s="2" t="s">
        <v>100</v>
      </c>
      <c r="BY3546" s="2" t="s">
        <v>113</v>
      </c>
      <c r="BZ3546" s="2" t="s">
        <v>100</v>
      </c>
    </row>
    <row r="3547">
      <c r="A3547" s="2" t="s">
        <v>10987</v>
      </c>
      <c r="B3547" s="2" t="s">
        <v>9668</v>
      </c>
      <c r="C3547" s="2" t="s">
        <v>3934</v>
      </c>
      <c r="D3547" s="2" t="s">
        <v>9669</v>
      </c>
      <c r="E3547" s="2" t="s">
        <v>9670</v>
      </c>
      <c r="F3547" s="2" t="s">
        <v>218</v>
      </c>
      <c r="G3547" s="2" t="s">
        <v>218</v>
      </c>
      <c r="H3547" s="2" t="s">
        <v>218</v>
      </c>
      <c r="I3547" s="2" t="s">
        <v>10882</v>
      </c>
      <c r="J3547" s="2" t="s">
        <v>2072</v>
      </c>
      <c r="K3547" s="2" t="s">
        <v>432</v>
      </c>
      <c r="L3547" s="3">
        <v>11.18</v>
      </c>
      <c r="M3547" s="3">
        <v>11.74</v>
      </c>
      <c r="N3547" s="3">
        <v>27.99</v>
      </c>
      <c r="O3547" s="2" t="s">
        <v>97</v>
      </c>
      <c r="P3547" s="2" t="s">
        <v>119</v>
      </c>
      <c r="Q3547" s="2" t="s">
        <v>99</v>
      </c>
      <c r="R3547" s="2" t="s">
        <v>100</v>
      </c>
      <c r="S3547" s="2" t="s">
        <v>10985</v>
      </c>
      <c r="T3547" s="2" t="s">
        <v>218</v>
      </c>
      <c r="U3547" s="2" t="s">
        <v>480</v>
      </c>
      <c r="V3547" s="2" t="s">
        <v>146</v>
      </c>
      <c r="W3547" s="2" t="s">
        <v>183</v>
      </c>
      <c r="X3547" s="2" t="s">
        <v>100</v>
      </c>
      <c r="Y3547" s="2" t="s">
        <v>10975</v>
      </c>
      <c r="Z3547" s="4">
        <v>191</v>
      </c>
      <c r="AA3547" s="4">
        <f>=ROUNDDOWN(95.5,0)</f>
      </c>
      <c r="AB3547" s="5">
        <v>2</v>
      </c>
      <c r="AC3547" s="2" t="s">
        <v>100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100</v>
      </c>
      <c r="AW3547" s="8" t="s">
        <v>100</v>
      </c>
      <c r="AX3547" s="4" t="s">
        <v>100</v>
      </c>
      <c r="AY3547" s="8" t="s">
        <v>100</v>
      </c>
      <c r="AZ3547" s="7" t="s">
        <v>100</v>
      </c>
      <c r="BA3547" s="7" t="s">
        <v>100</v>
      </c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 t="s">
        <v>100</v>
      </c>
      <c r="BJ3547" s="4">
        <v>85</v>
      </c>
      <c r="BK3547" s="8">
        <v>1099.34</v>
      </c>
      <c r="BL3547" s="2" t="s">
        <v>2188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207</v>
      </c>
      <c r="BV3547" s="2" t="s">
        <v>97</v>
      </c>
      <c r="BW3547" s="2" t="s">
        <v>100</v>
      </c>
      <c r="BX3547" s="2" t="s">
        <v>100</v>
      </c>
      <c r="BY3547" s="2" t="s">
        <v>113</v>
      </c>
      <c r="BZ3547" s="2" t="s">
        <v>100</v>
      </c>
    </row>
    <row r="3548">
      <c r="A3548" s="2" t="s">
        <v>10988</v>
      </c>
      <c r="B3548" s="2" t="s">
        <v>9668</v>
      </c>
      <c r="C3548" s="2" t="s">
        <v>3934</v>
      </c>
      <c r="D3548" s="2" t="s">
        <v>9669</v>
      </c>
      <c r="E3548" s="2" t="s">
        <v>9670</v>
      </c>
      <c r="F3548" s="2" t="s">
        <v>218</v>
      </c>
      <c r="G3548" s="2" t="s">
        <v>218</v>
      </c>
      <c r="H3548" s="2" t="s">
        <v>218</v>
      </c>
      <c r="I3548" s="2" t="s">
        <v>10882</v>
      </c>
      <c r="J3548" s="2" t="s">
        <v>717</v>
      </c>
      <c r="K3548" s="2" t="s">
        <v>432</v>
      </c>
      <c r="L3548" s="3">
        <v>12.92</v>
      </c>
      <c r="M3548" s="3">
        <v>13.57</v>
      </c>
      <c r="N3548" s="3">
        <v>30.99</v>
      </c>
      <c r="O3548" s="2" t="s">
        <v>97</v>
      </c>
      <c r="P3548" s="2" t="s">
        <v>119</v>
      </c>
      <c r="Q3548" s="2" t="s">
        <v>99</v>
      </c>
      <c r="R3548" s="2" t="s">
        <v>100</v>
      </c>
      <c r="S3548" s="2" t="s">
        <v>10985</v>
      </c>
      <c r="T3548" s="2" t="s">
        <v>218</v>
      </c>
      <c r="U3548" s="2" t="s">
        <v>402</v>
      </c>
      <c r="V3548" s="2" t="s">
        <v>146</v>
      </c>
      <c r="W3548" s="2" t="s">
        <v>183</v>
      </c>
      <c r="X3548" s="2" t="s">
        <v>100</v>
      </c>
      <c r="Y3548" s="2" t="s">
        <v>10975</v>
      </c>
      <c r="Z3548" s="4">
        <v>67</v>
      </c>
      <c r="AA3548" s="4">
        <f>=ROUNDDOWN(9.57142857142857,0)</f>
      </c>
      <c r="AB3548" s="5">
        <v>7</v>
      </c>
      <c r="AC3548" s="2" t="s">
        <v>872</v>
      </c>
      <c r="AD3548" s="4">
        <v>100</v>
      </c>
      <c r="AE3548" s="4">
        <v>250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100</v>
      </c>
      <c r="AW3548" s="8" t="s">
        <v>100</v>
      </c>
      <c r="AX3548" s="4" t="s">
        <v>100</v>
      </c>
      <c r="AY3548" s="8" t="s">
        <v>100</v>
      </c>
      <c r="AZ3548" s="7" t="s">
        <v>100</v>
      </c>
      <c r="BA3548" s="7" t="s">
        <v>100</v>
      </c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 t="s">
        <v>100</v>
      </c>
      <c r="BJ3548" s="4">
        <v>116</v>
      </c>
      <c r="BK3548" s="8">
        <v>1656.52</v>
      </c>
      <c r="BL3548" s="2" t="s">
        <v>10989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207</v>
      </c>
      <c r="BV3548" s="2" t="s">
        <v>97</v>
      </c>
      <c r="BW3548" s="2" t="s">
        <v>100</v>
      </c>
      <c r="BX3548" s="2" t="s">
        <v>100</v>
      </c>
      <c r="BY3548" s="2" t="s">
        <v>113</v>
      </c>
      <c r="BZ3548" s="2" t="s">
        <v>100</v>
      </c>
    </row>
    <row r="3549">
      <c r="A3549" s="2" t="s">
        <v>10990</v>
      </c>
      <c r="B3549" s="2" t="s">
        <v>9668</v>
      </c>
      <c r="C3549" s="2" t="s">
        <v>3934</v>
      </c>
      <c r="D3549" s="2" t="s">
        <v>9669</v>
      </c>
      <c r="E3549" s="2" t="s">
        <v>9670</v>
      </c>
      <c r="F3549" s="2" t="s">
        <v>218</v>
      </c>
      <c r="G3549" s="2" t="s">
        <v>218</v>
      </c>
      <c r="H3549" s="2" t="s">
        <v>218</v>
      </c>
      <c r="I3549" s="2" t="s">
        <v>10882</v>
      </c>
      <c r="J3549" s="2" t="s">
        <v>706</v>
      </c>
      <c r="K3549" s="2" t="s">
        <v>432</v>
      </c>
      <c r="L3549" s="3">
        <v>14.21</v>
      </c>
      <c r="M3549" s="3">
        <v>14.92</v>
      </c>
      <c r="N3549" s="3">
        <v>32.99</v>
      </c>
      <c r="O3549" s="2" t="s">
        <v>97</v>
      </c>
      <c r="P3549" s="2" t="s">
        <v>119</v>
      </c>
      <c r="Q3549" s="2" t="s">
        <v>99</v>
      </c>
      <c r="R3549" s="2" t="s">
        <v>100</v>
      </c>
      <c r="S3549" s="2" t="s">
        <v>10985</v>
      </c>
      <c r="T3549" s="2" t="s">
        <v>218</v>
      </c>
      <c r="U3549" s="2" t="s">
        <v>402</v>
      </c>
      <c r="V3549" s="2" t="s">
        <v>146</v>
      </c>
      <c r="W3549" s="2" t="s">
        <v>183</v>
      </c>
      <c r="X3549" s="2" t="s">
        <v>100</v>
      </c>
      <c r="Y3549" s="2" t="s">
        <v>10975</v>
      </c>
      <c r="Z3549" s="4">
        <v>179</v>
      </c>
      <c r="AA3549" s="4">
        <f>=ROUNDDOWN(43.6585365853659,0)</f>
      </c>
      <c r="AB3549" s="5">
        <v>4.1</v>
      </c>
      <c r="AC3549" s="2" t="s">
        <v>1164</v>
      </c>
      <c r="AD3549" s="4">
        <v>120</v>
      </c>
      <c r="AE3549" s="4">
        <v>120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100</v>
      </c>
      <c r="AW3549" s="8" t="s">
        <v>100</v>
      </c>
      <c r="AX3549" s="4" t="s">
        <v>100</v>
      </c>
      <c r="AY3549" s="8" t="s">
        <v>100</v>
      </c>
      <c r="AZ3549" s="7" t="s">
        <v>100</v>
      </c>
      <c r="BA3549" s="7" t="s">
        <v>100</v>
      </c>
      <c r="BB3549" s="7"/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 t="s">
        <v>100</v>
      </c>
      <c r="BJ3549" s="4">
        <v>104</v>
      </c>
      <c r="BK3549" s="8">
        <v>1643.05</v>
      </c>
      <c r="BL3549" s="2" t="s">
        <v>10991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207</v>
      </c>
      <c r="BV3549" s="2" t="s">
        <v>97</v>
      </c>
      <c r="BW3549" s="2" t="s">
        <v>100</v>
      </c>
      <c r="BX3549" s="2" t="s">
        <v>100</v>
      </c>
      <c r="BY3549" s="2" t="s">
        <v>113</v>
      </c>
      <c r="BZ3549" s="2" t="s">
        <v>100</v>
      </c>
    </row>
    <row r="3550">
      <c r="A3550" s="2" t="s">
        <v>10992</v>
      </c>
      <c r="B3550" s="2" t="s">
        <v>9668</v>
      </c>
      <c r="C3550" s="2" t="s">
        <v>3934</v>
      </c>
      <c r="D3550" s="2" t="s">
        <v>9669</v>
      </c>
      <c r="E3550" s="2" t="s">
        <v>9670</v>
      </c>
      <c r="F3550" s="2" t="s">
        <v>218</v>
      </c>
      <c r="G3550" s="2" t="s">
        <v>218</v>
      </c>
      <c r="H3550" s="2" t="s">
        <v>218</v>
      </c>
      <c r="I3550" s="2" t="s">
        <v>10882</v>
      </c>
      <c r="J3550" s="2" t="s">
        <v>714</v>
      </c>
      <c r="K3550" s="2" t="s">
        <v>432</v>
      </c>
      <c r="L3550" s="3">
        <v>16.75</v>
      </c>
      <c r="M3550" s="3">
        <v>17.59</v>
      </c>
      <c r="N3550" s="3">
        <v>37.99</v>
      </c>
      <c r="O3550" s="2" t="s">
        <v>97</v>
      </c>
      <c r="P3550" s="2" t="s">
        <v>119</v>
      </c>
      <c r="Q3550" s="2" t="s">
        <v>99</v>
      </c>
      <c r="R3550" s="2" t="s">
        <v>100</v>
      </c>
      <c r="S3550" s="2" t="s">
        <v>10985</v>
      </c>
      <c r="T3550" s="2" t="s">
        <v>218</v>
      </c>
      <c r="U3550" s="2" t="s">
        <v>402</v>
      </c>
      <c r="V3550" s="2" t="s">
        <v>146</v>
      </c>
      <c r="W3550" s="2" t="s">
        <v>183</v>
      </c>
      <c r="X3550" s="2" t="s">
        <v>100</v>
      </c>
      <c r="Y3550" s="2" t="s">
        <v>10975</v>
      </c>
      <c r="Z3550" s="4">
        <v>80</v>
      </c>
      <c r="AA3550" s="4">
        <f>=ROUNDDOWN(53.3333333333333,0)</f>
      </c>
      <c r="AB3550" s="5">
        <v>1.5</v>
      </c>
      <c r="AC3550" s="2" t="s">
        <v>1164</v>
      </c>
      <c r="AD3550" s="4">
        <v>30</v>
      </c>
      <c r="AE3550" s="4">
        <v>30</v>
      </c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100</v>
      </c>
      <c r="AW3550" s="8" t="s">
        <v>100</v>
      </c>
      <c r="AX3550" s="4" t="s">
        <v>100</v>
      </c>
      <c r="AY3550" s="8" t="s">
        <v>100</v>
      </c>
      <c r="AZ3550" s="7" t="s">
        <v>100</v>
      </c>
      <c r="BA3550" s="7" t="s">
        <v>100</v>
      </c>
      <c r="BB3550" s="7"/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 t="s">
        <v>100</v>
      </c>
      <c r="BJ3550" s="4">
        <v>25</v>
      </c>
      <c r="BK3550" s="8">
        <v>462.57</v>
      </c>
      <c r="BL3550" s="2" t="s">
        <v>3166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207</v>
      </c>
      <c r="BV3550" s="2" t="s">
        <v>97</v>
      </c>
      <c r="BW3550" s="2" t="s">
        <v>100</v>
      </c>
      <c r="BX3550" s="2" t="s">
        <v>100</v>
      </c>
      <c r="BY3550" s="2" t="s">
        <v>113</v>
      </c>
      <c r="BZ3550" s="2" t="s">
        <v>100</v>
      </c>
    </row>
    <row r="3551">
      <c r="A3551" s="2" t="s">
        <v>10993</v>
      </c>
      <c r="B3551" s="2" t="s">
        <v>9668</v>
      </c>
      <c r="C3551" s="2" t="s">
        <v>3934</v>
      </c>
      <c r="D3551" s="2" t="s">
        <v>9669</v>
      </c>
      <c r="E3551" s="2" t="s">
        <v>9670</v>
      </c>
      <c r="F3551" s="2" t="s">
        <v>218</v>
      </c>
      <c r="G3551" s="2" t="s">
        <v>218</v>
      </c>
      <c r="H3551" s="2" t="s">
        <v>218</v>
      </c>
      <c r="I3551" s="2" t="s">
        <v>10882</v>
      </c>
      <c r="J3551" s="2" t="s">
        <v>1936</v>
      </c>
      <c r="K3551" s="2" t="s">
        <v>5794</v>
      </c>
      <c r="L3551" s="3">
        <v>11.18</v>
      </c>
      <c r="M3551" s="3">
        <v>11.74</v>
      </c>
      <c r="N3551" s="3">
        <v>27.99</v>
      </c>
      <c r="O3551" s="2" t="s">
        <v>97</v>
      </c>
      <c r="P3551" s="2" t="s">
        <v>119</v>
      </c>
      <c r="Q3551" s="2" t="s">
        <v>99</v>
      </c>
      <c r="R3551" s="2" t="s">
        <v>100</v>
      </c>
      <c r="S3551" s="2" t="s">
        <v>10994</v>
      </c>
      <c r="T3551" s="2" t="s">
        <v>218</v>
      </c>
      <c r="U3551" s="2" t="s">
        <v>480</v>
      </c>
      <c r="V3551" s="2" t="s">
        <v>146</v>
      </c>
      <c r="W3551" s="2" t="s">
        <v>183</v>
      </c>
      <c r="X3551" s="2" t="s">
        <v>100</v>
      </c>
      <c r="Y3551" s="2" t="s">
        <v>10975</v>
      </c>
      <c r="Z3551" s="4">
        <v>71</v>
      </c>
      <c r="AA3551" s="4">
        <f>=ROUNDDOWN(8.875,0)</f>
      </c>
      <c r="AB3551" s="5">
        <v>8</v>
      </c>
      <c r="AC3551" s="2" t="s">
        <v>872</v>
      </c>
      <c r="AD3551" s="4">
        <v>40</v>
      </c>
      <c r="AE3551" s="4">
        <v>100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100</v>
      </c>
      <c r="AW3551" s="8" t="s">
        <v>100</v>
      </c>
      <c r="AX3551" s="4" t="s">
        <v>100</v>
      </c>
      <c r="AY3551" s="8" t="s">
        <v>100</v>
      </c>
      <c r="AZ3551" s="7" t="s">
        <v>100</v>
      </c>
      <c r="BA3551" s="7" t="s">
        <v>100</v>
      </c>
      <c r="BB3551" s="7"/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 t="s">
        <v>100</v>
      </c>
      <c r="BJ3551" s="4">
        <v>111</v>
      </c>
      <c r="BK3551" s="8">
        <v>1366.23</v>
      </c>
      <c r="BL3551" s="2" t="s">
        <v>10995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207</v>
      </c>
      <c r="BV3551" s="2" t="s">
        <v>97</v>
      </c>
      <c r="BW3551" s="2" t="s">
        <v>100</v>
      </c>
      <c r="BX3551" s="2" t="s">
        <v>100</v>
      </c>
      <c r="BY3551" s="2" t="s">
        <v>113</v>
      </c>
      <c r="BZ3551" s="2" t="s">
        <v>100</v>
      </c>
    </row>
    <row r="3552">
      <c r="A3552" s="2" t="s">
        <v>10996</v>
      </c>
      <c r="B3552" s="2" t="s">
        <v>9668</v>
      </c>
      <c r="C3552" s="2" t="s">
        <v>3934</v>
      </c>
      <c r="D3552" s="2" t="s">
        <v>9669</v>
      </c>
      <c r="E3552" s="2" t="s">
        <v>9670</v>
      </c>
      <c r="F3552" s="2" t="s">
        <v>218</v>
      </c>
      <c r="G3552" s="2" t="s">
        <v>218</v>
      </c>
      <c r="H3552" s="2" t="s">
        <v>218</v>
      </c>
      <c r="I3552" s="2" t="s">
        <v>10882</v>
      </c>
      <c r="J3552" s="2" t="s">
        <v>2072</v>
      </c>
      <c r="K3552" s="2" t="s">
        <v>5794</v>
      </c>
      <c r="L3552" s="3">
        <v>11.18</v>
      </c>
      <c r="M3552" s="3">
        <v>11.74</v>
      </c>
      <c r="N3552" s="3">
        <v>27.99</v>
      </c>
      <c r="O3552" s="2" t="s">
        <v>97</v>
      </c>
      <c r="P3552" s="2" t="s">
        <v>119</v>
      </c>
      <c r="Q3552" s="2" t="s">
        <v>99</v>
      </c>
      <c r="R3552" s="2" t="s">
        <v>100</v>
      </c>
      <c r="S3552" s="2" t="s">
        <v>10994</v>
      </c>
      <c r="T3552" s="2" t="s">
        <v>218</v>
      </c>
      <c r="U3552" s="2" t="s">
        <v>480</v>
      </c>
      <c r="V3552" s="2" t="s">
        <v>146</v>
      </c>
      <c r="W3552" s="2" t="s">
        <v>183</v>
      </c>
      <c r="X3552" s="2" t="s">
        <v>100</v>
      </c>
      <c r="Y3552" s="2" t="s">
        <v>10975</v>
      </c>
      <c r="Z3552" s="4">
        <v>436</v>
      </c>
      <c r="AA3552" s="4">
        <f>=ROUNDDOWN(145.333333333333,0)</f>
      </c>
      <c r="AB3552" s="5">
        <v>3</v>
      </c>
      <c r="AC3552" s="2" t="s">
        <v>100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100</v>
      </c>
      <c r="AW3552" s="8" t="s">
        <v>100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 t="s">
        <v>100</v>
      </c>
      <c r="BJ3552" s="4">
        <v>37</v>
      </c>
      <c r="BK3552" s="8">
        <v>469.61</v>
      </c>
      <c r="BL3552" s="2" t="s">
        <v>10997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207</v>
      </c>
      <c r="BV3552" s="2" t="s">
        <v>97</v>
      </c>
      <c r="BW3552" s="2" t="s">
        <v>100</v>
      </c>
      <c r="BX3552" s="2" t="s">
        <v>100</v>
      </c>
      <c r="BY3552" s="2" t="s">
        <v>113</v>
      </c>
      <c r="BZ3552" s="2" t="s">
        <v>100</v>
      </c>
    </row>
    <row r="3553">
      <c r="A3553" s="2" t="s">
        <v>10998</v>
      </c>
      <c r="B3553" s="2" t="s">
        <v>9668</v>
      </c>
      <c r="C3553" s="2" t="s">
        <v>3934</v>
      </c>
      <c r="D3553" s="2" t="s">
        <v>9669</v>
      </c>
      <c r="E3553" s="2" t="s">
        <v>9670</v>
      </c>
      <c r="F3553" s="2" t="s">
        <v>218</v>
      </c>
      <c r="G3553" s="2" t="s">
        <v>218</v>
      </c>
      <c r="H3553" s="2" t="s">
        <v>218</v>
      </c>
      <c r="I3553" s="2" t="s">
        <v>10882</v>
      </c>
      <c r="J3553" s="2" t="s">
        <v>717</v>
      </c>
      <c r="K3553" s="2" t="s">
        <v>5794</v>
      </c>
      <c r="L3553" s="3">
        <v>12.92</v>
      </c>
      <c r="M3553" s="3">
        <v>13.57</v>
      </c>
      <c r="N3553" s="3">
        <v>30.99</v>
      </c>
      <c r="O3553" s="2" t="s">
        <v>97</v>
      </c>
      <c r="P3553" s="2" t="s">
        <v>119</v>
      </c>
      <c r="Q3553" s="2" t="s">
        <v>99</v>
      </c>
      <c r="R3553" s="2" t="s">
        <v>100</v>
      </c>
      <c r="S3553" s="2" t="s">
        <v>10994</v>
      </c>
      <c r="T3553" s="2" t="s">
        <v>218</v>
      </c>
      <c r="U3553" s="2" t="s">
        <v>402</v>
      </c>
      <c r="V3553" s="2" t="s">
        <v>146</v>
      </c>
      <c r="W3553" s="2" t="s">
        <v>183</v>
      </c>
      <c r="X3553" s="2" t="s">
        <v>100</v>
      </c>
      <c r="Y3553" s="2" t="s">
        <v>10975</v>
      </c>
      <c r="Z3553" s="4">
        <v>129</v>
      </c>
      <c r="AA3553" s="4">
        <f>=ROUNDDOWN(32.25,0)</f>
      </c>
      <c r="AB3553" s="5">
        <v>4</v>
      </c>
      <c r="AC3553" s="2" t="s">
        <v>872</v>
      </c>
      <c r="AD3553" s="4">
        <v>60</v>
      </c>
      <c r="AE3553" s="4">
        <v>160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100</v>
      </c>
      <c r="AW3553" s="8" t="s">
        <v>100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 t="s">
        <v>100</v>
      </c>
      <c r="BJ3553" s="4">
        <v>116</v>
      </c>
      <c r="BK3553" s="8">
        <v>1632.44</v>
      </c>
      <c r="BL3553" s="2" t="s">
        <v>2197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207</v>
      </c>
      <c r="BV3553" s="2" t="s">
        <v>97</v>
      </c>
      <c r="BW3553" s="2" t="s">
        <v>100</v>
      </c>
      <c r="BX3553" s="2" t="s">
        <v>100</v>
      </c>
      <c r="BY3553" s="2" t="s">
        <v>113</v>
      </c>
      <c r="BZ3553" s="2" t="s">
        <v>100</v>
      </c>
    </row>
    <row r="3554">
      <c r="A3554" s="2" t="s">
        <v>10999</v>
      </c>
      <c r="B3554" s="2" t="s">
        <v>9668</v>
      </c>
      <c r="C3554" s="2" t="s">
        <v>3934</v>
      </c>
      <c r="D3554" s="2" t="s">
        <v>9669</v>
      </c>
      <c r="E3554" s="2" t="s">
        <v>9670</v>
      </c>
      <c r="F3554" s="2" t="s">
        <v>218</v>
      </c>
      <c r="G3554" s="2" t="s">
        <v>218</v>
      </c>
      <c r="H3554" s="2" t="s">
        <v>218</v>
      </c>
      <c r="I3554" s="2" t="s">
        <v>10882</v>
      </c>
      <c r="J3554" s="2" t="s">
        <v>706</v>
      </c>
      <c r="K3554" s="2" t="s">
        <v>5794</v>
      </c>
      <c r="L3554" s="3">
        <v>14.21</v>
      </c>
      <c r="M3554" s="3">
        <v>14.92</v>
      </c>
      <c r="N3554" s="3">
        <v>32.99</v>
      </c>
      <c r="O3554" s="2" t="s">
        <v>97</v>
      </c>
      <c r="P3554" s="2" t="s">
        <v>119</v>
      </c>
      <c r="Q3554" s="2" t="s">
        <v>99</v>
      </c>
      <c r="R3554" s="2" t="s">
        <v>100</v>
      </c>
      <c r="S3554" s="2" t="s">
        <v>10994</v>
      </c>
      <c r="T3554" s="2" t="s">
        <v>218</v>
      </c>
      <c r="U3554" s="2" t="s">
        <v>402</v>
      </c>
      <c r="V3554" s="2" t="s">
        <v>146</v>
      </c>
      <c r="W3554" s="2" t="s">
        <v>183</v>
      </c>
      <c r="X3554" s="2" t="s">
        <v>100</v>
      </c>
      <c r="Y3554" s="2" t="s">
        <v>10975</v>
      </c>
      <c r="Z3554" s="4">
        <v>242</v>
      </c>
      <c r="AA3554" s="4">
        <f>=ROUNDDOWN(67.2222222222222,0)</f>
      </c>
      <c r="AB3554" s="5">
        <v>3.6</v>
      </c>
      <c r="AC3554" s="2" t="s">
        <v>1164</v>
      </c>
      <c r="AD3554" s="4">
        <v>140</v>
      </c>
      <c r="AE3554" s="4">
        <v>140</v>
      </c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100</v>
      </c>
      <c r="AW3554" s="8" t="s">
        <v>100</v>
      </c>
      <c r="AX3554" s="4" t="s">
        <v>100</v>
      </c>
      <c r="AY3554" s="8" t="s">
        <v>100</v>
      </c>
      <c r="AZ3554" s="7" t="s">
        <v>100</v>
      </c>
      <c r="BA3554" s="7" t="s">
        <v>100</v>
      </c>
      <c r="BB3554" s="7"/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 t="s">
        <v>100</v>
      </c>
      <c r="BJ3554" s="4">
        <v>117</v>
      </c>
      <c r="BK3554" s="8">
        <v>1783.91</v>
      </c>
      <c r="BL3554" s="2" t="s">
        <v>2191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207</v>
      </c>
      <c r="BV3554" s="2" t="s">
        <v>97</v>
      </c>
      <c r="BW3554" s="2" t="s">
        <v>100</v>
      </c>
      <c r="BX3554" s="2" t="s">
        <v>100</v>
      </c>
      <c r="BY3554" s="2" t="s">
        <v>113</v>
      </c>
      <c r="BZ3554" s="2" t="s">
        <v>100</v>
      </c>
    </row>
    <row r="3555">
      <c r="A3555" s="2" t="s">
        <v>11000</v>
      </c>
      <c r="B3555" s="2" t="s">
        <v>9668</v>
      </c>
      <c r="C3555" s="2" t="s">
        <v>3934</v>
      </c>
      <c r="D3555" s="2" t="s">
        <v>9669</v>
      </c>
      <c r="E3555" s="2" t="s">
        <v>9670</v>
      </c>
      <c r="F3555" s="2" t="s">
        <v>218</v>
      </c>
      <c r="G3555" s="2" t="s">
        <v>218</v>
      </c>
      <c r="H3555" s="2" t="s">
        <v>218</v>
      </c>
      <c r="I3555" s="2" t="s">
        <v>10882</v>
      </c>
      <c r="J3555" s="2" t="s">
        <v>714</v>
      </c>
      <c r="K3555" s="2" t="s">
        <v>5794</v>
      </c>
      <c r="L3555" s="3">
        <v>16.75</v>
      </c>
      <c r="M3555" s="3">
        <v>17.59</v>
      </c>
      <c r="N3555" s="3">
        <v>37.99</v>
      </c>
      <c r="O3555" s="2" t="s">
        <v>97</v>
      </c>
      <c r="P3555" s="2" t="s">
        <v>119</v>
      </c>
      <c r="Q3555" s="2" t="s">
        <v>99</v>
      </c>
      <c r="R3555" s="2" t="s">
        <v>100</v>
      </c>
      <c r="S3555" s="2" t="s">
        <v>10994</v>
      </c>
      <c r="T3555" s="2" t="s">
        <v>218</v>
      </c>
      <c r="U3555" s="2" t="s">
        <v>402</v>
      </c>
      <c r="V3555" s="2" t="s">
        <v>146</v>
      </c>
      <c r="W3555" s="2" t="s">
        <v>183</v>
      </c>
      <c r="X3555" s="2" t="s">
        <v>100</v>
      </c>
      <c r="Y3555" s="2" t="s">
        <v>10975</v>
      </c>
      <c r="Z3555" s="4">
        <v>109</v>
      </c>
      <c r="AA3555" s="4">
        <f>=ROUNDDOWN(54.5,0)</f>
      </c>
      <c r="AB3555" s="5">
        <v>2</v>
      </c>
      <c r="AC3555" s="2" t="s">
        <v>100</v>
      </c>
      <c r="AD3555" s="4"/>
      <c r="AE3555" s="4"/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100</v>
      </c>
      <c r="AW3555" s="8" t="s">
        <v>100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/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 t="s">
        <v>100</v>
      </c>
      <c r="BJ3555" s="4">
        <v>29</v>
      </c>
      <c r="BK3555" s="8">
        <v>521.65</v>
      </c>
      <c r="BL3555" s="2" t="s">
        <v>11001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207</v>
      </c>
      <c r="BV3555" s="2" t="s">
        <v>97</v>
      </c>
      <c r="BW3555" s="2" t="s">
        <v>100</v>
      </c>
      <c r="BX3555" s="2" t="s">
        <v>100</v>
      </c>
      <c r="BY3555" s="2" t="s">
        <v>113</v>
      </c>
      <c r="BZ3555" s="2" t="s">
        <v>100</v>
      </c>
    </row>
    <row r="3556">
      <c r="A3556" s="2" t="s">
        <v>11002</v>
      </c>
      <c r="B3556" s="2" t="s">
        <v>9668</v>
      </c>
      <c r="C3556" s="2" t="s">
        <v>3934</v>
      </c>
      <c r="D3556" s="2" t="s">
        <v>9669</v>
      </c>
      <c r="E3556" s="2" t="s">
        <v>9670</v>
      </c>
      <c r="F3556" s="2" t="s">
        <v>11003</v>
      </c>
      <c r="G3556" s="2" t="s">
        <v>11003</v>
      </c>
      <c r="H3556" s="2" t="s">
        <v>11003</v>
      </c>
      <c r="I3556" s="2" t="s">
        <v>11004</v>
      </c>
      <c r="J3556" s="2" t="s">
        <v>2072</v>
      </c>
      <c r="K3556" s="2" t="s">
        <v>189</v>
      </c>
      <c r="L3556" s="3">
        <v>20.16</v>
      </c>
      <c r="M3556" s="3">
        <v>21.17</v>
      </c>
      <c r="N3556" s="3">
        <v>41.99</v>
      </c>
      <c r="O3556" s="2" t="s">
        <v>97</v>
      </c>
      <c r="P3556" s="2" t="s">
        <v>119</v>
      </c>
      <c r="Q3556" s="2" t="s">
        <v>99</v>
      </c>
      <c r="R3556" s="2" t="s">
        <v>100</v>
      </c>
      <c r="S3556" s="2" t="s">
        <v>11005</v>
      </c>
      <c r="T3556" s="2" t="s">
        <v>5039</v>
      </c>
      <c r="U3556" s="2" t="s">
        <v>480</v>
      </c>
      <c r="V3556" s="2" t="s">
        <v>146</v>
      </c>
      <c r="W3556" s="2" t="s">
        <v>183</v>
      </c>
      <c r="X3556" s="2" t="s">
        <v>100</v>
      </c>
      <c r="Y3556" s="2" t="s">
        <v>240</v>
      </c>
      <c r="Z3556" s="4">
        <v>102</v>
      </c>
      <c r="AA3556" s="4">
        <f>=ROUNDDOWN(9.27272727272727,0)</f>
      </c>
      <c r="AB3556" s="5">
        <v>11</v>
      </c>
      <c r="AC3556" s="2" t="s">
        <v>562</v>
      </c>
      <c r="AD3556" s="4">
        <v>80</v>
      </c>
      <c r="AE3556" s="4">
        <v>510</v>
      </c>
      <c r="AF3556" s="6">
        <v>65</v>
      </c>
      <c r="AG3556" s="6"/>
      <c r="AH3556" s="7">
        <v>0.7914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>
        <v>1</v>
      </c>
      <c r="AQ3556" s="8">
        <v>20.97</v>
      </c>
      <c r="AR3556" s="4"/>
      <c r="AS3556" s="8"/>
      <c r="AT3556" s="7"/>
      <c r="AU3556" s="7"/>
      <c r="AV3556" s="4">
        <v>6</v>
      </c>
      <c r="AW3556" s="8">
        <v>148.52</v>
      </c>
      <c r="AX3556" s="4" t="s">
        <v>100</v>
      </c>
      <c r="AY3556" s="8" t="s">
        <v>100</v>
      </c>
      <c r="AZ3556" s="7" t="s">
        <v>100</v>
      </c>
      <c r="BA3556" s="7" t="s">
        <v>100</v>
      </c>
      <c r="BB3556" s="7">
        <v>0.1412</v>
      </c>
      <c r="BC3556" s="4">
        <v>19</v>
      </c>
      <c r="BD3556" s="8">
        <v>428.03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>
        <v>0.347</v>
      </c>
      <c r="BJ3556" s="4">
        <v>510</v>
      </c>
      <c r="BK3556" s="8">
        <v>10857.09</v>
      </c>
      <c r="BL3556" s="2" t="s">
        <v>9691</v>
      </c>
      <c r="BM3556" s="7">
        <v>0.002</v>
      </c>
      <c r="BN3556" s="7">
        <v>0.0019</v>
      </c>
      <c r="BO3556" s="4">
        <v>1</v>
      </c>
      <c r="BP3556" s="8">
        <v>20.97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4344</v>
      </c>
      <c r="BX3556" s="2" t="s">
        <v>5239</v>
      </c>
      <c r="BY3556" s="2" t="s">
        <v>113</v>
      </c>
      <c r="BZ3556" s="2" t="s">
        <v>100</v>
      </c>
    </row>
    <row r="3557">
      <c r="A3557" s="2" t="s">
        <v>11006</v>
      </c>
      <c r="B3557" s="2" t="s">
        <v>9668</v>
      </c>
      <c r="C3557" s="2" t="s">
        <v>3934</v>
      </c>
      <c r="D3557" s="2" t="s">
        <v>9669</v>
      </c>
      <c r="E3557" s="2" t="s">
        <v>9670</v>
      </c>
      <c r="F3557" s="2" t="s">
        <v>11003</v>
      </c>
      <c r="G3557" s="2" t="s">
        <v>11003</v>
      </c>
      <c r="H3557" s="2" t="s">
        <v>11003</v>
      </c>
      <c r="I3557" s="2" t="s">
        <v>11004</v>
      </c>
      <c r="J3557" s="2" t="s">
        <v>706</v>
      </c>
      <c r="K3557" s="2" t="s">
        <v>189</v>
      </c>
      <c r="L3557" s="3">
        <v>24.5</v>
      </c>
      <c r="M3557" s="3">
        <v>25.72</v>
      </c>
      <c r="N3557" s="3">
        <v>49.99</v>
      </c>
      <c r="O3557" s="2" t="s">
        <v>97</v>
      </c>
      <c r="P3557" s="2" t="s">
        <v>119</v>
      </c>
      <c r="Q3557" s="2" t="s">
        <v>99</v>
      </c>
      <c r="R3557" s="2" t="s">
        <v>100</v>
      </c>
      <c r="S3557" s="2" t="s">
        <v>11005</v>
      </c>
      <c r="T3557" s="2" t="s">
        <v>5039</v>
      </c>
      <c r="U3557" s="2" t="s">
        <v>402</v>
      </c>
      <c r="V3557" s="2" t="s">
        <v>146</v>
      </c>
      <c r="W3557" s="2" t="s">
        <v>183</v>
      </c>
      <c r="X3557" s="2" t="s">
        <v>100</v>
      </c>
      <c r="Y3557" s="2" t="s">
        <v>240</v>
      </c>
      <c r="Z3557" s="4">
        <v>375</v>
      </c>
      <c r="AA3557" s="4">
        <f>=ROUNDDOWN(28.8461538461538,0)</f>
      </c>
      <c r="AB3557" s="5">
        <v>13</v>
      </c>
      <c r="AC3557" s="2" t="s">
        <v>562</v>
      </c>
      <c r="AD3557" s="4">
        <v>60</v>
      </c>
      <c r="AE3557" s="4">
        <v>680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>
        <v>5</v>
      </c>
      <c r="AQ3557" s="8">
        <v>127.55</v>
      </c>
      <c r="AR3557" s="4"/>
      <c r="AS3557" s="8"/>
      <c r="AT3557" s="7"/>
      <c r="AU3557" s="7"/>
      <c r="AV3557" s="4" t="s">
        <v>100</v>
      </c>
      <c r="AW3557" s="8" t="s">
        <v>100</v>
      </c>
      <c r="AX3557" s="4" t="s">
        <v>100</v>
      </c>
      <c r="AY3557" s="8" t="s">
        <v>100</v>
      </c>
      <c r="AZ3557" s="7" t="s">
        <v>100</v>
      </c>
      <c r="BA3557" s="7" t="s">
        <v>100</v>
      </c>
      <c r="BB3557" s="7">
        <v>0.8588</v>
      </c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 t="s">
        <v>100</v>
      </c>
      <c r="BJ3557" s="4">
        <v>469</v>
      </c>
      <c r="BK3557" s="8">
        <v>12114.54</v>
      </c>
      <c r="BL3557" s="2" t="s">
        <v>259</v>
      </c>
      <c r="BM3557" s="7">
        <v>0.0107</v>
      </c>
      <c r="BN3557" s="7">
        <v>0.0105</v>
      </c>
      <c r="BO3557" s="4">
        <v>5</v>
      </c>
      <c r="BP3557" s="8">
        <v>127.55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4344</v>
      </c>
      <c r="BX3557" s="2" t="s">
        <v>11007</v>
      </c>
      <c r="BY3557" s="2" t="s">
        <v>113</v>
      </c>
      <c r="BZ3557" s="2" t="s">
        <v>100</v>
      </c>
    </row>
    <row r="3558">
      <c r="A3558" s="2" t="s">
        <v>11008</v>
      </c>
      <c r="B3558" s="2" t="s">
        <v>9668</v>
      </c>
      <c r="C3558" s="2" t="s">
        <v>3934</v>
      </c>
      <c r="D3558" s="2" t="s">
        <v>9669</v>
      </c>
      <c r="E3558" s="2" t="s">
        <v>9670</v>
      </c>
      <c r="F3558" s="2" t="s">
        <v>11003</v>
      </c>
      <c r="G3558" s="2" t="s">
        <v>11003</v>
      </c>
      <c r="H3558" s="2" t="s">
        <v>11003</v>
      </c>
      <c r="I3558" s="2" t="s">
        <v>11004</v>
      </c>
      <c r="J3558" s="2" t="s">
        <v>714</v>
      </c>
      <c r="K3558" s="2" t="s">
        <v>189</v>
      </c>
      <c r="L3558" s="3">
        <v>26.95</v>
      </c>
      <c r="M3558" s="3">
        <v>28.3</v>
      </c>
      <c r="N3558" s="3">
        <v>54.99</v>
      </c>
      <c r="O3558" s="2" t="s">
        <v>97</v>
      </c>
      <c r="P3558" s="2" t="s">
        <v>119</v>
      </c>
      <c r="Q3558" s="2" t="s">
        <v>99</v>
      </c>
      <c r="R3558" s="2" t="s">
        <v>100</v>
      </c>
      <c r="S3558" s="2" t="s">
        <v>11005</v>
      </c>
      <c r="T3558" s="2" t="s">
        <v>5039</v>
      </c>
      <c r="U3558" s="2" t="s">
        <v>402</v>
      </c>
      <c r="V3558" s="2" t="s">
        <v>146</v>
      </c>
      <c r="W3558" s="2" t="s">
        <v>183</v>
      </c>
      <c r="X3558" s="2" t="s">
        <v>100</v>
      </c>
      <c r="Y3558" s="2" t="s">
        <v>990</v>
      </c>
      <c r="Z3558" s="4">
        <v>220</v>
      </c>
      <c r="AA3558" s="4">
        <f>=ROUNDDOWN(31.4285714285714,0)</f>
      </c>
      <c r="AB3558" s="5">
        <v>7</v>
      </c>
      <c r="AC3558" s="2" t="s">
        <v>100</v>
      </c>
      <c r="AD3558" s="4"/>
      <c r="AE3558" s="4"/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100</v>
      </c>
      <c r="AW3558" s="8" t="s">
        <v>100</v>
      </c>
      <c r="AX3558" s="4" t="s">
        <v>100</v>
      </c>
      <c r="AY3558" s="8" t="s">
        <v>100</v>
      </c>
      <c r="AZ3558" s="7" t="s">
        <v>100</v>
      </c>
      <c r="BA3558" s="7" t="s">
        <v>100</v>
      </c>
      <c r="BB3558" s="7"/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 t="s">
        <v>100</v>
      </c>
      <c r="BJ3558" s="4">
        <v>159</v>
      </c>
      <c r="BK3558" s="8">
        <v>4747.7</v>
      </c>
      <c r="BL3558" s="2" t="s">
        <v>11009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1863</v>
      </c>
      <c r="BX3558" s="2" t="s">
        <v>4479</v>
      </c>
      <c r="BY3558" s="2" t="s">
        <v>113</v>
      </c>
      <c r="BZ3558" s="2" t="s">
        <v>100</v>
      </c>
    </row>
    <row r="3559">
      <c r="A3559" s="2" t="s">
        <v>11010</v>
      </c>
      <c r="B3559" s="2" t="s">
        <v>9668</v>
      </c>
      <c r="C3559" s="2" t="s">
        <v>3934</v>
      </c>
      <c r="D3559" s="2" t="s">
        <v>9669</v>
      </c>
      <c r="E3559" s="2" t="s">
        <v>9670</v>
      </c>
      <c r="F3559" s="2" t="s">
        <v>11003</v>
      </c>
      <c r="G3559" s="2" t="s">
        <v>11003</v>
      </c>
      <c r="H3559" s="2" t="s">
        <v>11003</v>
      </c>
      <c r="I3559" s="2" t="s">
        <v>11004</v>
      </c>
      <c r="J3559" s="2" t="s">
        <v>1936</v>
      </c>
      <c r="K3559" s="2" t="s">
        <v>96</v>
      </c>
      <c r="L3559" s="3">
        <v>18.8</v>
      </c>
      <c r="M3559" s="3">
        <v>19.74</v>
      </c>
      <c r="N3559" s="3">
        <v>39.99</v>
      </c>
      <c r="O3559" s="2" t="s">
        <v>97</v>
      </c>
      <c r="P3559" s="2" t="s">
        <v>119</v>
      </c>
      <c r="Q3559" s="2" t="s">
        <v>99</v>
      </c>
      <c r="R3559" s="2" t="s">
        <v>100</v>
      </c>
      <c r="S3559" s="2" t="s">
        <v>11011</v>
      </c>
      <c r="T3559" s="2" t="s">
        <v>5039</v>
      </c>
      <c r="U3559" s="2" t="s">
        <v>480</v>
      </c>
      <c r="V3559" s="2" t="s">
        <v>146</v>
      </c>
      <c r="W3559" s="2" t="s">
        <v>183</v>
      </c>
      <c r="X3559" s="2" t="s">
        <v>100</v>
      </c>
      <c r="Y3559" s="2" t="s">
        <v>240</v>
      </c>
      <c r="Z3559" s="4">
        <v>235</v>
      </c>
      <c r="AA3559" s="4">
        <f>=ROUNDDOWN(23.0392156862745,0)</f>
      </c>
      <c r="AB3559" s="5">
        <v>10.2</v>
      </c>
      <c r="AC3559" s="2" t="s">
        <v>135</v>
      </c>
      <c r="AD3559" s="4">
        <v>100</v>
      </c>
      <c r="AE3559" s="4">
        <v>320</v>
      </c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>
        <v>2</v>
      </c>
      <c r="AQ3559" s="8">
        <v>39.7</v>
      </c>
      <c r="AR3559" s="4"/>
      <c r="AS3559" s="8"/>
      <c r="AT3559" s="7"/>
      <c r="AU3559" s="7"/>
      <c r="AV3559" s="4">
        <v>6</v>
      </c>
      <c r="AW3559" s="8">
        <v>123.58</v>
      </c>
      <c r="AX3559" s="4" t="s">
        <v>100</v>
      </c>
      <c r="AY3559" s="8" t="s">
        <v>100</v>
      </c>
      <c r="AZ3559" s="7" t="s">
        <v>100</v>
      </c>
      <c r="BA3559" s="7" t="s">
        <v>100</v>
      </c>
      <c r="BB3559" s="7">
        <v>0.3212</v>
      </c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0.2887</v>
      </c>
      <c r="BJ3559" s="4">
        <v>367</v>
      </c>
      <c r="BK3559" s="8">
        <v>7328.66</v>
      </c>
      <c r="BL3559" s="2" t="s">
        <v>9730</v>
      </c>
      <c r="BM3559" s="7">
        <v>0.0054</v>
      </c>
      <c r="BN3559" s="7">
        <v>0.0054</v>
      </c>
      <c r="BO3559" s="4">
        <v>2</v>
      </c>
      <c r="BP3559" s="8">
        <v>39.7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4710</v>
      </c>
      <c r="BX3559" s="2" t="s">
        <v>187</v>
      </c>
      <c r="BY3559" s="2" t="s">
        <v>113</v>
      </c>
      <c r="BZ3559" s="2" t="s">
        <v>100</v>
      </c>
    </row>
    <row r="3560">
      <c r="A3560" s="2" t="s">
        <v>11012</v>
      </c>
      <c r="B3560" s="2" t="s">
        <v>9668</v>
      </c>
      <c r="C3560" s="2" t="s">
        <v>3934</v>
      </c>
      <c r="D3560" s="2" t="s">
        <v>9669</v>
      </c>
      <c r="E3560" s="2" t="s">
        <v>9670</v>
      </c>
      <c r="F3560" s="2" t="s">
        <v>11003</v>
      </c>
      <c r="G3560" s="2" t="s">
        <v>11003</v>
      </c>
      <c r="H3560" s="2" t="s">
        <v>11003</v>
      </c>
      <c r="I3560" s="2" t="s">
        <v>11004</v>
      </c>
      <c r="J3560" s="2" t="s">
        <v>2072</v>
      </c>
      <c r="K3560" s="2" t="s">
        <v>96</v>
      </c>
      <c r="L3560" s="3">
        <v>20.16</v>
      </c>
      <c r="M3560" s="3">
        <v>21.17</v>
      </c>
      <c r="N3560" s="3">
        <v>41.99</v>
      </c>
      <c r="O3560" s="2" t="s">
        <v>97</v>
      </c>
      <c r="P3560" s="2" t="s">
        <v>119</v>
      </c>
      <c r="Q3560" s="2" t="s">
        <v>99</v>
      </c>
      <c r="R3560" s="2" t="s">
        <v>100</v>
      </c>
      <c r="S3560" s="2" t="s">
        <v>11011</v>
      </c>
      <c r="T3560" s="2" t="s">
        <v>5039</v>
      </c>
      <c r="U3560" s="2" t="s">
        <v>480</v>
      </c>
      <c r="V3560" s="2" t="s">
        <v>146</v>
      </c>
      <c r="W3560" s="2" t="s">
        <v>183</v>
      </c>
      <c r="X3560" s="2" t="s">
        <v>100</v>
      </c>
      <c r="Y3560" s="2" t="s">
        <v>240</v>
      </c>
      <c r="Z3560" s="4">
        <v>318</v>
      </c>
      <c r="AA3560" s="4">
        <f>=ROUNDDOWN(53,0)</f>
      </c>
      <c r="AB3560" s="5">
        <v>6</v>
      </c>
      <c r="AC3560" s="2" t="s">
        <v>562</v>
      </c>
      <c r="AD3560" s="4">
        <v>20</v>
      </c>
      <c r="AE3560" s="4">
        <v>20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>
        <v>4</v>
      </c>
      <c r="AQ3560" s="8">
        <v>83.88</v>
      </c>
      <c r="AR3560" s="4"/>
      <c r="AS3560" s="8"/>
      <c r="AT3560" s="7"/>
      <c r="AU3560" s="7"/>
      <c r="AV3560" s="4" t="s">
        <v>100</v>
      </c>
      <c r="AW3560" s="8" t="s">
        <v>100</v>
      </c>
      <c r="AX3560" s="4" t="s">
        <v>100</v>
      </c>
      <c r="AY3560" s="8" t="s">
        <v>100</v>
      </c>
      <c r="AZ3560" s="7" t="s">
        <v>100</v>
      </c>
      <c r="BA3560" s="7" t="s">
        <v>100</v>
      </c>
      <c r="BB3560" s="7">
        <v>0.6788</v>
      </c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 t="s">
        <v>100</v>
      </c>
      <c r="BJ3560" s="4">
        <v>269</v>
      </c>
      <c r="BK3560" s="8">
        <v>5730.79</v>
      </c>
      <c r="BL3560" s="2" t="s">
        <v>11013</v>
      </c>
      <c r="BM3560" s="7">
        <v>0.0149</v>
      </c>
      <c r="BN3560" s="7">
        <v>0.0146</v>
      </c>
      <c r="BO3560" s="4">
        <v>4</v>
      </c>
      <c r="BP3560" s="8">
        <v>83.88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4344</v>
      </c>
      <c r="BX3560" s="2" t="s">
        <v>10587</v>
      </c>
      <c r="BY3560" s="2" t="s">
        <v>113</v>
      </c>
      <c r="BZ3560" s="2" t="s">
        <v>100</v>
      </c>
    </row>
    <row r="3561">
      <c r="A3561" s="2" t="s">
        <v>11014</v>
      </c>
      <c r="B3561" s="2" t="s">
        <v>9668</v>
      </c>
      <c r="C3561" s="2" t="s">
        <v>3934</v>
      </c>
      <c r="D3561" s="2" t="s">
        <v>9669</v>
      </c>
      <c r="E3561" s="2" t="s">
        <v>9670</v>
      </c>
      <c r="F3561" s="2" t="s">
        <v>11003</v>
      </c>
      <c r="G3561" s="2" t="s">
        <v>11003</v>
      </c>
      <c r="H3561" s="2" t="s">
        <v>11003</v>
      </c>
      <c r="I3561" s="2" t="s">
        <v>11004</v>
      </c>
      <c r="J3561" s="2" t="s">
        <v>706</v>
      </c>
      <c r="K3561" s="2" t="s">
        <v>96</v>
      </c>
      <c r="L3561" s="3">
        <v>24.5</v>
      </c>
      <c r="M3561" s="3">
        <v>25.72</v>
      </c>
      <c r="N3561" s="3">
        <v>49.99</v>
      </c>
      <c r="O3561" s="2" t="s">
        <v>97</v>
      </c>
      <c r="P3561" s="2" t="s">
        <v>119</v>
      </c>
      <c r="Q3561" s="2" t="s">
        <v>99</v>
      </c>
      <c r="R3561" s="2" t="s">
        <v>100</v>
      </c>
      <c r="S3561" s="2" t="s">
        <v>11011</v>
      </c>
      <c r="T3561" s="2" t="s">
        <v>5039</v>
      </c>
      <c r="U3561" s="2" t="s">
        <v>402</v>
      </c>
      <c r="V3561" s="2" t="s">
        <v>146</v>
      </c>
      <c r="W3561" s="2" t="s">
        <v>183</v>
      </c>
      <c r="X3561" s="2" t="s">
        <v>100</v>
      </c>
      <c r="Y3561" s="2" t="s">
        <v>240</v>
      </c>
      <c r="Z3561" s="4">
        <v>315</v>
      </c>
      <c r="AA3561" s="4">
        <f>=ROUNDDOWN(26.25,0)</f>
      </c>
      <c r="AB3561" s="5">
        <v>12</v>
      </c>
      <c r="AC3561" s="2" t="s">
        <v>135</v>
      </c>
      <c r="AD3561" s="4">
        <v>100</v>
      </c>
      <c r="AE3561" s="4">
        <v>460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100</v>
      </c>
      <c r="AW3561" s="8" t="s">
        <v>100</v>
      </c>
      <c r="AX3561" s="4" t="s">
        <v>100</v>
      </c>
      <c r="AY3561" s="8" t="s">
        <v>100</v>
      </c>
      <c r="AZ3561" s="7" t="s">
        <v>100</v>
      </c>
      <c r="BA3561" s="7" t="s">
        <v>100</v>
      </c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 t="s">
        <v>100</v>
      </c>
      <c r="BJ3561" s="4">
        <v>379</v>
      </c>
      <c r="BK3561" s="8">
        <v>9830.71</v>
      </c>
      <c r="BL3561" s="2" t="s">
        <v>11015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1863</v>
      </c>
      <c r="BX3561" s="2" t="s">
        <v>751</v>
      </c>
      <c r="BY3561" s="2" t="s">
        <v>113</v>
      </c>
      <c r="BZ3561" s="2" t="s">
        <v>100</v>
      </c>
    </row>
    <row r="3562">
      <c r="A3562" s="2" t="s">
        <v>11016</v>
      </c>
      <c r="B3562" s="2" t="s">
        <v>9668</v>
      </c>
      <c r="C3562" s="2" t="s">
        <v>3934</v>
      </c>
      <c r="D3562" s="2" t="s">
        <v>9669</v>
      </c>
      <c r="E3562" s="2" t="s">
        <v>9670</v>
      </c>
      <c r="F3562" s="2" t="s">
        <v>11003</v>
      </c>
      <c r="G3562" s="2" t="s">
        <v>11003</v>
      </c>
      <c r="H3562" s="2" t="s">
        <v>11003</v>
      </c>
      <c r="I3562" s="2" t="s">
        <v>11004</v>
      </c>
      <c r="J3562" s="2" t="s">
        <v>717</v>
      </c>
      <c r="K3562" s="2" t="s">
        <v>578</v>
      </c>
      <c r="L3562" s="3">
        <v>21.6</v>
      </c>
      <c r="M3562" s="3">
        <v>22.68</v>
      </c>
      <c r="N3562" s="3">
        <v>44.99</v>
      </c>
      <c r="O3562" s="2" t="s">
        <v>97</v>
      </c>
      <c r="P3562" s="2" t="s">
        <v>119</v>
      </c>
      <c r="Q3562" s="2" t="s">
        <v>99</v>
      </c>
      <c r="R3562" s="2" t="s">
        <v>100</v>
      </c>
      <c r="S3562" s="2" t="s">
        <v>11017</v>
      </c>
      <c r="T3562" s="2" t="s">
        <v>5039</v>
      </c>
      <c r="U3562" s="2" t="s">
        <v>402</v>
      </c>
      <c r="V3562" s="2" t="s">
        <v>146</v>
      </c>
      <c r="W3562" s="2" t="s">
        <v>183</v>
      </c>
      <c r="X3562" s="2" t="s">
        <v>100</v>
      </c>
      <c r="Y3562" s="2" t="s">
        <v>11018</v>
      </c>
      <c r="Z3562" s="4">
        <v>236</v>
      </c>
      <c r="AA3562" s="4">
        <f>=ROUNDDOWN(16.8571428571429,0)</f>
      </c>
      <c r="AB3562" s="5">
        <v>14</v>
      </c>
      <c r="AC3562" s="2" t="s">
        <v>3887</v>
      </c>
      <c r="AD3562" s="4">
        <v>250</v>
      </c>
      <c r="AE3562" s="4">
        <v>350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>
        <v>5</v>
      </c>
      <c r="AQ3562" s="8">
        <v>113.4</v>
      </c>
      <c r="AR3562" s="4"/>
      <c r="AS3562" s="8"/>
      <c r="AT3562" s="7"/>
      <c r="AU3562" s="7"/>
      <c r="AV3562" s="4">
        <v>5</v>
      </c>
      <c r="AW3562" s="8">
        <v>113.4</v>
      </c>
      <c r="AX3562" s="4" t="s">
        <v>100</v>
      </c>
      <c r="AY3562" s="8" t="s">
        <v>100</v>
      </c>
      <c r="AZ3562" s="7" t="s">
        <v>100</v>
      </c>
      <c r="BA3562" s="7" t="s">
        <v>100</v>
      </c>
      <c r="BB3562" s="7">
        <v>1</v>
      </c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>
        <v>0.2649</v>
      </c>
      <c r="BJ3562" s="4">
        <v>404</v>
      </c>
      <c r="BK3562" s="8">
        <v>9255.18</v>
      </c>
      <c r="BL3562" s="2" t="s">
        <v>7239</v>
      </c>
      <c r="BM3562" s="7">
        <v>0.0124</v>
      </c>
      <c r="BN3562" s="7">
        <v>0.0123</v>
      </c>
      <c r="BO3562" s="4">
        <v>5</v>
      </c>
      <c r="BP3562" s="8">
        <v>113.4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1863</v>
      </c>
      <c r="BX3562" s="2" t="s">
        <v>173</v>
      </c>
      <c r="BY3562" s="2" t="s">
        <v>113</v>
      </c>
      <c r="BZ3562" s="2" t="s">
        <v>100</v>
      </c>
    </row>
    <row r="3563">
      <c r="A3563" s="2" t="s">
        <v>11019</v>
      </c>
      <c r="B3563" s="2" t="s">
        <v>9668</v>
      </c>
      <c r="C3563" s="2" t="s">
        <v>3934</v>
      </c>
      <c r="D3563" s="2" t="s">
        <v>9669</v>
      </c>
      <c r="E3563" s="2" t="s">
        <v>9670</v>
      </c>
      <c r="F3563" s="2" t="s">
        <v>11003</v>
      </c>
      <c r="G3563" s="2" t="s">
        <v>11003</v>
      </c>
      <c r="H3563" s="2" t="s">
        <v>11003</v>
      </c>
      <c r="I3563" s="2" t="s">
        <v>11004</v>
      </c>
      <c r="J3563" s="2" t="s">
        <v>706</v>
      </c>
      <c r="K3563" s="2" t="s">
        <v>578</v>
      </c>
      <c r="L3563" s="3">
        <v>24.5</v>
      </c>
      <c r="M3563" s="3">
        <v>25.72</v>
      </c>
      <c r="N3563" s="3">
        <v>49.99</v>
      </c>
      <c r="O3563" s="2" t="s">
        <v>97</v>
      </c>
      <c r="P3563" s="2" t="s">
        <v>119</v>
      </c>
      <c r="Q3563" s="2" t="s">
        <v>99</v>
      </c>
      <c r="R3563" s="2" t="s">
        <v>100</v>
      </c>
      <c r="S3563" s="2" t="s">
        <v>11017</v>
      </c>
      <c r="T3563" s="2" t="s">
        <v>5039</v>
      </c>
      <c r="U3563" s="2" t="s">
        <v>402</v>
      </c>
      <c r="V3563" s="2" t="s">
        <v>146</v>
      </c>
      <c r="W3563" s="2" t="s">
        <v>183</v>
      </c>
      <c r="X3563" s="2" t="s">
        <v>100</v>
      </c>
      <c r="Y3563" s="2" t="s">
        <v>11018</v>
      </c>
      <c r="Z3563" s="4">
        <v>426</v>
      </c>
      <c r="AA3563" s="4">
        <f>=ROUNDDOWN(22.4210526315789,0)</f>
      </c>
      <c r="AB3563" s="5">
        <v>19</v>
      </c>
      <c r="AC3563" s="2" t="s">
        <v>3887</v>
      </c>
      <c r="AD3563" s="4">
        <v>200</v>
      </c>
      <c r="AE3563" s="4">
        <v>350</v>
      </c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100</v>
      </c>
      <c r="AW3563" s="8" t="s">
        <v>100</v>
      </c>
      <c r="AX3563" s="4" t="s">
        <v>100</v>
      </c>
      <c r="AY3563" s="8" t="s">
        <v>100</v>
      </c>
      <c r="AZ3563" s="7" t="s">
        <v>100</v>
      </c>
      <c r="BA3563" s="7" t="s">
        <v>100</v>
      </c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 t="s">
        <v>100</v>
      </c>
      <c r="BJ3563" s="4">
        <v>540</v>
      </c>
      <c r="BK3563" s="8">
        <v>13953.71</v>
      </c>
      <c r="BL3563" s="2" t="s">
        <v>11020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1863</v>
      </c>
      <c r="BX3563" s="2" t="s">
        <v>9782</v>
      </c>
      <c r="BY3563" s="2" t="s">
        <v>113</v>
      </c>
      <c r="BZ3563" s="2" t="s">
        <v>100</v>
      </c>
    </row>
    <row r="3564">
      <c r="A3564" s="2" t="s">
        <v>11021</v>
      </c>
      <c r="B3564" s="2" t="s">
        <v>9668</v>
      </c>
      <c r="C3564" s="2" t="s">
        <v>3934</v>
      </c>
      <c r="D3564" s="2" t="s">
        <v>9669</v>
      </c>
      <c r="E3564" s="2" t="s">
        <v>9670</v>
      </c>
      <c r="F3564" s="2" t="s">
        <v>11003</v>
      </c>
      <c r="G3564" s="2" t="s">
        <v>11003</v>
      </c>
      <c r="H3564" s="2" t="s">
        <v>11003</v>
      </c>
      <c r="I3564" s="2" t="s">
        <v>11004</v>
      </c>
      <c r="J3564" s="2" t="s">
        <v>1936</v>
      </c>
      <c r="K3564" s="2" t="s">
        <v>718</v>
      </c>
      <c r="L3564" s="3">
        <v>18.8</v>
      </c>
      <c r="M3564" s="3">
        <v>19.74</v>
      </c>
      <c r="N3564" s="3">
        <v>39.99</v>
      </c>
      <c r="O3564" s="2" t="s">
        <v>97</v>
      </c>
      <c r="P3564" s="2" t="s">
        <v>119</v>
      </c>
      <c r="Q3564" s="2" t="s">
        <v>99</v>
      </c>
      <c r="R3564" s="2" t="s">
        <v>100</v>
      </c>
      <c r="S3564" s="2" t="s">
        <v>11022</v>
      </c>
      <c r="T3564" s="2" t="s">
        <v>5039</v>
      </c>
      <c r="U3564" s="2" t="s">
        <v>480</v>
      </c>
      <c r="V3564" s="2" t="s">
        <v>146</v>
      </c>
      <c r="W3564" s="2" t="s">
        <v>183</v>
      </c>
      <c r="X3564" s="2" t="s">
        <v>100</v>
      </c>
      <c r="Y3564" s="2" t="s">
        <v>240</v>
      </c>
      <c r="Z3564" s="4">
        <v>135</v>
      </c>
      <c r="AA3564" s="4">
        <f>=ROUNDDOWN(27,0)</f>
      </c>
      <c r="AB3564" s="5">
        <v>5</v>
      </c>
      <c r="AC3564" s="2" t="s">
        <v>135</v>
      </c>
      <c r="AD3564" s="4">
        <v>60</v>
      </c>
      <c r="AE3564" s="4">
        <v>190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/>
      <c r="AP3564" s="4">
        <v>1</v>
      </c>
      <c r="AQ3564" s="8">
        <v>19.85</v>
      </c>
      <c r="AR3564" s="4"/>
      <c r="AS3564" s="8"/>
      <c r="AT3564" s="7"/>
      <c r="AU3564" s="7"/>
      <c r="AV3564" s="4">
        <v>2</v>
      </c>
      <c r="AW3564" s="8">
        <v>42.53</v>
      </c>
      <c r="AX3564" s="4" t="s">
        <v>100</v>
      </c>
      <c r="AY3564" s="8" t="s">
        <v>100</v>
      </c>
      <c r="AZ3564" s="7" t="s">
        <v>100</v>
      </c>
      <c r="BA3564" s="7" t="s">
        <v>100</v>
      </c>
      <c r="BB3564" s="7">
        <v>0.4667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>
        <v>0.0994</v>
      </c>
      <c r="BJ3564" s="4">
        <v>204</v>
      </c>
      <c r="BK3564" s="8">
        <v>4106.18</v>
      </c>
      <c r="BL3564" s="2" t="s">
        <v>5127</v>
      </c>
      <c r="BM3564" s="7">
        <v>0.0049</v>
      </c>
      <c r="BN3564" s="7">
        <v>0.0048</v>
      </c>
      <c r="BO3564" s="4">
        <v>1</v>
      </c>
      <c r="BP3564" s="8">
        <v>19.85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4344</v>
      </c>
      <c r="BX3564" s="2" t="s">
        <v>11023</v>
      </c>
      <c r="BY3564" s="2" t="s">
        <v>113</v>
      </c>
      <c r="BZ3564" s="2" t="s">
        <v>100</v>
      </c>
    </row>
    <row r="3565">
      <c r="A3565" s="2" t="s">
        <v>11024</v>
      </c>
      <c r="B3565" s="2" t="s">
        <v>9668</v>
      </c>
      <c r="C3565" s="2" t="s">
        <v>3934</v>
      </c>
      <c r="D3565" s="2" t="s">
        <v>9669</v>
      </c>
      <c r="E3565" s="2" t="s">
        <v>9670</v>
      </c>
      <c r="F3565" s="2" t="s">
        <v>11003</v>
      </c>
      <c r="G3565" s="2" t="s">
        <v>11003</v>
      </c>
      <c r="H3565" s="2" t="s">
        <v>11003</v>
      </c>
      <c r="I3565" s="2" t="s">
        <v>11004</v>
      </c>
      <c r="J3565" s="2" t="s">
        <v>2072</v>
      </c>
      <c r="K3565" s="2" t="s">
        <v>718</v>
      </c>
      <c r="L3565" s="3">
        <v>20.16</v>
      </c>
      <c r="M3565" s="3">
        <v>21.17</v>
      </c>
      <c r="N3565" s="3">
        <v>41.99</v>
      </c>
      <c r="O3565" s="2" t="s">
        <v>97</v>
      </c>
      <c r="P3565" s="2" t="s">
        <v>119</v>
      </c>
      <c r="Q3565" s="2" t="s">
        <v>99</v>
      </c>
      <c r="R3565" s="2" t="s">
        <v>100</v>
      </c>
      <c r="S3565" s="2" t="s">
        <v>11022</v>
      </c>
      <c r="T3565" s="2" t="s">
        <v>5039</v>
      </c>
      <c r="U3565" s="2" t="s">
        <v>480</v>
      </c>
      <c r="V3565" s="2" t="s">
        <v>146</v>
      </c>
      <c r="W3565" s="2" t="s">
        <v>183</v>
      </c>
      <c r="X3565" s="2" t="s">
        <v>100</v>
      </c>
      <c r="Y3565" s="2" t="s">
        <v>240</v>
      </c>
      <c r="Z3565" s="4">
        <v>193</v>
      </c>
      <c r="AA3565" s="4">
        <f>=ROUNDDOWN(16.0833333333333,0)</f>
      </c>
      <c r="AB3565" s="5">
        <v>12</v>
      </c>
      <c r="AC3565" s="2" t="s">
        <v>562</v>
      </c>
      <c r="AD3565" s="4">
        <v>40</v>
      </c>
      <c r="AE3565" s="4">
        <v>380</v>
      </c>
      <c r="AF3565" s="6">
        <v>65</v>
      </c>
      <c r="AG3565" s="6"/>
      <c r="AH3565" s="7">
        <v>0.7594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100</v>
      </c>
      <c r="AW3565" s="8" t="s">
        <v>100</v>
      </c>
      <c r="AX3565" s="4" t="s">
        <v>100</v>
      </c>
      <c r="AY3565" s="8" t="s">
        <v>100</v>
      </c>
      <c r="AZ3565" s="7" t="s">
        <v>100</v>
      </c>
      <c r="BA3565" s="7" t="s">
        <v>100</v>
      </c>
      <c r="BB3565" s="7"/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 t="s">
        <v>100</v>
      </c>
      <c r="BJ3565" s="4">
        <v>609</v>
      </c>
      <c r="BK3565" s="8">
        <v>12920.18</v>
      </c>
      <c r="BL3565" s="2" t="s">
        <v>11025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4710</v>
      </c>
      <c r="BX3565" s="2" t="s">
        <v>5672</v>
      </c>
      <c r="BY3565" s="2" t="s">
        <v>113</v>
      </c>
      <c r="BZ3565" s="2" t="s">
        <v>100</v>
      </c>
    </row>
    <row r="3566">
      <c r="A3566" s="2" t="s">
        <v>11026</v>
      </c>
      <c r="B3566" s="2" t="s">
        <v>9668</v>
      </c>
      <c r="C3566" s="2" t="s">
        <v>3934</v>
      </c>
      <c r="D3566" s="2" t="s">
        <v>9669</v>
      </c>
      <c r="E3566" s="2" t="s">
        <v>9670</v>
      </c>
      <c r="F3566" s="2" t="s">
        <v>11003</v>
      </c>
      <c r="G3566" s="2" t="s">
        <v>11003</v>
      </c>
      <c r="H3566" s="2" t="s">
        <v>11003</v>
      </c>
      <c r="I3566" s="2" t="s">
        <v>11004</v>
      </c>
      <c r="J3566" s="2" t="s">
        <v>717</v>
      </c>
      <c r="K3566" s="2" t="s">
        <v>718</v>
      </c>
      <c r="L3566" s="3">
        <v>21.6</v>
      </c>
      <c r="M3566" s="3">
        <v>22.68</v>
      </c>
      <c r="N3566" s="3">
        <v>44.99</v>
      </c>
      <c r="O3566" s="2" t="s">
        <v>97</v>
      </c>
      <c r="P3566" s="2" t="s">
        <v>119</v>
      </c>
      <c r="Q3566" s="2" t="s">
        <v>99</v>
      </c>
      <c r="R3566" s="2" t="s">
        <v>100</v>
      </c>
      <c r="S3566" s="2" t="s">
        <v>11022</v>
      </c>
      <c r="T3566" s="2" t="s">
        <v>5039</v>
      </c>
      <c r="U3566" s="2" t="s">
        <v>402</v>
      </c>
      <c r="V3566" s="2" t="s">
        <v>146</v>
      </c>
      <c r="W3566" s="2" t="s">
        <v>183</v>
      </c>
      <c r="X3566" s="2" t="s">
        <v>100</v>
      </c>
      <c r="Y3566" s="2" t="s">
        <v>240</v>
      </c>
      <c r="Z3566" s="4">
        <v>331</v>
      </c>
      <c r="AA3566" s="4">
        <f>=ROUNDDOWN(25.4615384615385,0)</f>
      </c>
      <c r="AB3566" s="5">
        <v>13</v>
      </c>
      <c r="AC3566" s="2" t="s">
        <v>135</v>
      </c>
      <c r="AD3566" s="4">
        <v>100</v>
      </c>
      <c r="AE3566" s="4">
        <v>310</v>
      </c>
      <c r="AF3566" s="6">
        <v>65</v>
      </c>
      <c r="AG3566" s="6"/>
      <c r="AH3566" s="7">
        <v>0.8877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/>
      <c r="AP3566" s="4">
        <v>1</v>
      </c>
      <c r="AQ3566" s="8">
        <v>22.68</v>
      </c>
      <c r="AR3566" s="4"/>
      <c r="AS3566" s="8"/>
      <c r="AT3566" s="7"/>
      <c r="AU3566" s="7"/>
      <c r="AV3566" s="4" t="s">
        <v>100</v>
      </c>
      <c r="AW3566" s="8" t="s">
        <v>100</v>
      </c>
      <c r="AX3566" s="4" t="s">
        <v>100</v>
      </c>
      <c r="AY3566" s="8" t="s">
        <v>100</v>
      </c>
      <c r="AZ3566" s="7" t="s">
        <v>100</v>
      </c>
      <c r="BA3566" s="7" t="s">
        <v>100</v>
      </c>
      <c r="BB3566" s="7">
        <v>0.5333</v>
      </c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 t="s">
        <v>100</v>
      </c>
      <c r="BJ3566" s="4">
        <v>464</v>
      </c>
      <c r="BK3566" s="8">
        <v>10586.39</v>
      </c>
      <c r="BL3566" s="2" t="s">
        <v>9730</v>
      </c>
      <c r="BM3566" s="7">
        <v>0.0022</v>
      </c>
      <c r="BN3566" s="7">
        <v>0.0021</v>
      </c>
      <c r="BO3566" s="4">
        <v>1</v>
      </c>
      <c r="BP3566" s="8">
        <v>22.68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4344</v>
      </c>
      <c r="BX3566" s="2" t="s">
        <v>111</v>
      </c>
      <c r="BY3566" s="2" t="s">
        <v>113</v>
      </c>
      <c r="BZ3566" s="2" t="s">
        <v>100</v>
      </c>
    </row>
    <row r="3567">
      <c r="A3567" s="2" t="s">
        <v>11027</v>
      </c>
      <c r="B3567" s="2" t="s">
        <v>9668</v>
      </c>
      <c r="C3567" s="2" t="s">
        <v>3934</v>
      </c>
      <c r="D3567" s="2" t="s">
        <v>9669</v>
      </c>
      <c r="E3567" s="2" t="s">
        <v>9670</v>
      </c>
      <c r="F3567" s="2" t="s">
        <v>11003</v>
      </c>
      <c r="G3567" s="2" t="s">
        <v>11003</v>
      </c>
      <c r="H3567" s="2" t="s">
        <v>11003</v>
      </c>
      <c r="I3567" s="2" t="s">
        <v>11004</v>
      </c>
      <c r="J3567" s="2" t="s">
        <v>706</v>
      </c>
      <c r="K3567" s="2" t="s">
        <v>718</v>
      </c>
      <c r="L3567" s="3">
        <v>24.5</v>
      </c>
      <c r="M3567" s="3">
        <v>25.72</v>
      </c>
      <c r="N3567" s="3">
        <v>49.99</v>
      </c>
      <c r="O3567" s="2" t="s">
        <v>97</v>
      </c>
      <c r="P3567" s="2" t="s">
        <v>119</v>
      </c>
      <c r="Q3567" s="2" t="s">
        <v>99</v>
      </c>
      <c r="R3567" s="2" t="s">
        <v>100</v>
      </c>
      <c r="S3567" s="2" t="s">
        <v>11022</v>
      </c>
      <c r="T3567" s="2" t="s">
        <v>5039</v>
      </c>
      <c r="U3567" s="2" t="s">
        <v>402</v>
      </c>
      <c r="V3567" s="2" t="s">
        <v>146</v>
      </c>
      <c r="W3567" s="2" t="s">
        <v>183</v>
      </c>
      <c r="X3567" s="2" t="s">
        <v>100</v>
      </c>
      <c r="Y3567" s="2" t="s">
        <v>240</v>
      </c>
      <c r="Z3567" s="4">
        <v>294</v>
      </c>
      <c r="AA3567" s="4">
        <f>=ROUNDDOWN(24.5,0)</f>
      </c>
      <c r="AB3567" s="5">
        <v>12</v>
      </c>
      <c r="AC3567" s="2" t="s">
        <v>135</v>
      </c>
      <c r="AD3567" s="4">
        <v>90</v>
      </c>
      <c r="AE3567" s="4">
        <v>370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100</v>
      </c>
      <c r="AW3567" s="8" t="s">
        <v>100</v>
      </c>
      <c r="AX3567" s="4" t="s">
        <v>100</v>
      </c>
      <c r="AY3567" s="8" t="s">
        <v>100</v>
      </c>
      <c r="AZ3567" s="7" t="s">
        <v>100</v>
      </c>
      <c r="BA3567" s="7" t="s">
        <v>100</v>
      </c>
      <c r="BB3567" s="7"/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 t="s">
        <v>100</v>
      </c>
      <c r="BJ3567" s="4">
        <v>329</v>
      </c>
      <c r="BK3567" s="8">
        <v>8577.74</v>
      </c>
      <c r="BL3567" s="2" t="s">
        <v>11028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4344</v>
      </c>
      <c r="BX3567" s="2" t="s">
        <v>4253</v>
      </c>
      <c r="BY3567" s="2" t="s">
        <v>113</v>
      </c>
      <c r="BZ3567" s="2" t="s">
        <v>100</v>
      </c>
    </row>
    <row r="3568">
      <c r="A3568" s="2" t="s">
        <v>11029</v>
      </c>
      <c r="B3568" s="2" t="s">
        <v>9668</v>
      </c>
      <c r="C3568" s="2" t="s">
        <v>3934</v>
      </c>
      <c r="D3568" s="2" t="s">
        <v>9669</v>
      </c>
      <c r="E3568" s="2" t="s">
        <v>9670</v>
      </c>
      <c r="F3568" s="2" t="s">
        <v>11003</v>
      </c>
      <c r="G3568" s="2" t="s">
        <v>11003</v>
      </c>
      <c r="H3568" s="2" t="s">
        <v>11003</v>
      </c>
      <c r="I3568" s="2" t="s">
        <v>11004</v>
      </c>
      <c r="J3568" s="2" t="s">
        <v>714</v>
      </c>
      <c r="K3568" s="2" t="s">
        <v>718</v>
      </c>
      <c r="L3568" s="3">
        <v>26.95</v>
      </c>
      <c r="M3568" s="3">
        <v>28.3</v>
      </c>
      <c r="N3568" s="3">
        <v>54.99</v>
      </c>
      <c r="O3568" s="2" t="s">
        <v>97</v>
      </c>
      <c r="P3568" s="2" t="s">
        <v>119</v>
      </c>
      <c r="Q3568" s="2" t="s">
        <v>99</v>
      </c>
      <c r="R3568" s="2" t="s">
        <v>100</v>
      </c>
      <c r="S3568" s="2" t="s">
        <v>11022</v>
      </c>
      <c r="T3568" s="2" t="s">
        <v>5039</v>
      </c>
      <c r="U3568" s="2" t="s">
        <v>402</v>
      </c>
      <c r="V3568" s="2" t="s">
        <v>146</v>
      </c>
      <c r="W3568" s="2" t="s">
        <v>183</v>
      </c>
      <c r="X3568" s="2" t="s">
        <v>100</v>
      </c>
      <c r="Y3568" s="2" t="s">
        <v>990</v>
      </c>
      <c r="Z3568" s="4">
        <v>154</v>
      </c>
      <c r="AA3568" s="4">
        <f>=ROUNDDOWN(22,0)</f>
      </c>
      <c r="AB3568" s="5">
        <v>7</v>
      </c>
      <c r="AC3568" s="2" t="s">
        <v>562</v>
      </c>
      <c r="AD3568" s="4">
        <v>40</v>
      </c>
      <c r="AE3568" s="4">
        <v>200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100</v>
      </c>
      <c r="AW3568" s="8" t="s">
        <v>100</v>
      </c>
      <c r="AX3568" s="4" t="s">
        <v>100</v>
      </c>
      <c r="AY3568" s="8" t="s">
        <v>100</v>
      </c>
      <c r="AZ3568" s="7" t="s">
        <v>100</v>
      </c>
      <c r="BA3568" s="7" t="s">
        <v>100</v>
      </c>
      <c r="BB3568" s="7"/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 t="s">
        <v>100</v>
      </c>
      <c r="BJ3568" s="4">
        <v>183</v>
      </c>
      <c r="BK3568" s="8">
        <v>5495.22</v>
      </c>
      <c r="BL3568" s="2" t="s">
        <v>11030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1863</v>
      </c>
      <c r="BX3568" s="2" t="s">
        <v>11031</v>
      </c>
      <c r="BY3568" s="2" t="s">
        <v>113</v>
      </c>
      <c r="BZ3568" s="2" t="s">
        <v>100</v>
      </c>
    </row>
    <row r="3569">
      <c r="A3569" s="2" t="s">
        <v>11032</v>
      </c>
      <c r="B3569" s="2" t="s">
        <v>9668</v>
      </c>
      <c r="C3569" s="2" t="s">
        <v>3934</v>
      </c>
      <c r="D3569" s="2" t="s">
        <v>9669</v>
      </c>
      <c r="E3569" s="2" t="s">
        <v>9670</v>
      </c>
      <c r="F3569" s="2" t="s">
        <v>11003</v>
      </c>
      <c r="G3569" s="2" t="s">
        <v>11003</v>
      </c>
      <c r="H3569" s="2" t="s">
        <v>11003</v>
      </c>
      <c r="I3569" s="2" t="s">
        <v>11004</v>
      </c>
      <c r="J3569" s="2" t="s">
        <v>1936</v>
      </c>
      <c r="K3569" s="2" t="s">
        <v>432</v>
      </c>
      <c r="L3569" s="3">
        <v>18.8</v>
      </c>
      <c r="M3569" s="3">
        <v>19.74</v>
      </c>
      <c r="N3569" s="3">
        <v>39.99</v>
      </c>
      <c r="O3569" s="2" t="s">
        <v>97</v>
      </c>
      <c r="P3569" s="2" t="s">
        <v>225</v>
      </c>
      <c r="Q3569" s="2" t="s">
        <v>99</v>
      </c>
      <c r="R3569" s="2" t="s">
        <v>100</v>
      </c>
      <c r="S3569" s="2" t="s">
        <v>11033</v>
      </c>
      <c r="T3569" s="2" t="s">
        <v>5039</v>
      </c>
      <c r="U3569" s="2" t="s">
        <v>480</v>
      </c>
      <c r="V3569" s="2" t="s">
        <v>146</v>
      </c>
      <c r="W3569" s="2" t="s">
        <v>183</v>
      </c>
      <c r="X3569" s="2" t="s">
        <v>100</v>
      </c>
      <c r="Y3569" s="2" t="s">
        <v>417</v>
      </c>
      <c r="Z3569" s="4">
        <v>218</v>
      </c>
      <c r="AA3569" s="4">
        <f>=ROUNDDOWN({0},0)</f>
      </c>
      <c r="AB3569" s="5"/>
      <c r="AC3569" s="2" t="s">
        <v>562</v>
      </c>
      <c r="AD3569" s="4">
        <v>210</v>
      </c>
      <c r="AE3569" s="4">
        <v>210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100</v>
      </c>
      <c r="AW3569" s="8" t="s">
        <v>100</v>
      </c>
      <c r="AX3569" s="4" t="s">
        <v>100</v>
      </c>
      <c r="AY3569" s="8" t="s">
        <v>100</v>
      </c>
      <c r="AZ3569" s="7" t="s">
        <v>100</v>
      </c>
      <c r="BA3569" s="7" t="s">
        <v>100</v>
      </c>
      <c r="BB3569" s="7"/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 t="s">
        <v>100</v>
      </c>
      <c r="BJ3569" s="4"/>
      <c r="BK3569" s="8"/>
      <c r="BL3569" s="2" t="s">
        <v>100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207</v>
      </c>
      <c r="BV3569" s="2" t="s">
        <v>97</v>
      </c>
      <c r="BW3569" s="2" t="s">
        <v>100</v>
      </c>
      <c r="BX3569" s="2" t="s">
        <v>100</v>
      </c>
      <c r="BY3569" s="2" t="s">
        <v>113</v>
      </c>
      <c r="BZ3569" s="2" t="s">
        <v>100</v>
      </c>
    </row>
    <row r="3570">
      <c r="A3570" s="2" t="s">
        <v>11034</v>
      </c>
      <c r="B3570" s="2" t="s">
        <v>9668</v>
      </c>
      <c r="C3570" s="2" t="s">
        <v>3934</v>
      </c>
      <c r="D3570" s="2" t="s">
        <v>9669</v>
      </c>
      <c r="E3570" s="2" t="s">
        <v>9670</v>
      </c>
      <c r="F3570" s="2" t="s">
        <v>11003</v>
      </c>
      <c r="G3570" s="2" t="s">
        <v>11003</v>
      </c>
      <c r="H3570" s="2" t="s">
        <v>11003</v>
      </c>
      <c r="I3570" s="2" t="s">
        <v>11004</v>
      </c>
      <c r="J3570" s="2" t="s">
        <v>2072</v>
      </c>
      <c r="K3570" s="2" t="s">
        <v>432</v>
      </c>
      <c r="L3570" s="3">
        <v>20.16</v>
      </c>
      <c r="M3570" s="3">
        <v>21.17</v>
      </c>
      <c r="N3570" s="3">
        <v>41.99</v>
      </c>
      <c r="O3570" s="2" t="s">
        <v>97</v>
      </c>
      <c r="P3570" s="2" t="s">
        <v>225</v>
      </c>
      <c r="Q3570" s="2" t="s">
        <v>99</v>
      </c>
      <c r="R3570" s="2" t="s">
        <v>100</v>
      </c>
      <c r="S3570" s="2" t="s">
        <v>11033</v>
      </c>
      <c r="T3570" s="2" t="s">
        <v>5039</v>
      </c>
      <c r="U3570" s="2" t="s">
        <v>480</v>
      </c>
      <c r="V3570" s="2" t="s">
        <v>146</v>
      </c>
      <c r="W3570" s="2" t="s">
        <v>183</v>
      </c>
      <c r="X3570" s="2" t="s">
        <v>100</v>
      </c>
      <c r="Y3570" s="2" t="s">
        <v>417</v>
      </c>
      <c r="Z3570" s="4">
        <v>90</v>
      </c>
      <c r="AA3570" s="4">
        <f>=ROUNDDOWN({0},0)</f>
      </c>
      <c r="AB3570" s="5"/>
      <c r="AC3570" s="2" t="s">
        <v>562</v>
      </c>
      <c r="AD3570" s="4">
        <v>80</v>
      </c>
      <c r="AE3570" s="4">
        <v>80</v>
      </c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100</v>
      </c>
      <c r="AW3570" s="8" t="s">
        <v>100</v>
      </c>
      <c r="AX3570" s="4" t="s">
        <v>100</v>
      </c>
      <c r="AY3570" s="8" t="s">
        <v>100</v>
      </c>
      <c r="AZ3570" s="7" t="s">
        <v>100</v>
      </c>
      <c r="BA3570" s="7" t="s">
        <v>100</v>
      </c>
      <c r="BB3570" s="7"/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 t="s">
        <v>100</v>
      </c>
      <c r="BJ3570" s="4"/>
      <c r="BK3570" s="8"/>
      <c r="BL3570" s="2" t="s">
        <v>100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207</v>
      </c>
      <c r="BV3570" s="2" t="s">
        <v>97</v>
      </c>
      <c r="BW3570" s="2" t="s">
        <v>100</v>
      </c>
      <c r="BX3570" s="2" t="s">
        <v>100</v>
      </c>
      <c r="BY3570" s="2" t="s">
        <v>113</v>
      </c>
      <c r="BZ3570" s="2" t="s">
        <v>100</v>
      </c>
    </row>
    <row r="3571">
      <c r="A3571" s="2" t="s">
        <v>11035</v>
      </c>
      <c r="B3571" s="2" t="s">
        <v>9668</v>
      </c>
      <c r="C3571" s="2" t="s">
        <v>3934</v>
      </c>
      <c r="D3571" s="2" t="s">
        <v>9669</v>
      </c>
      <c r="E3571" s="2" t="s">
        <v>9670</v>
      </c>
      <c r="F3571" s="2" t="s">
        <v>11003</v>
      </c>
      <c r="G3571" s="2" t="s">
        <v>11003</v>
      </c>
      <c r="H3571" s="2" t="s">
        <v>11003</v>
      </c>
      <c r="I3571" s="2" t="s">
        <v>11004</v>
      </c>
      <c r="J3571" s="2" t="s">
        <v>717</v>
      </c>
      <c r="K3571" s="2" t="s">
        <v>432</v>
      </c>
      <c r="L3571" s="3">
        <v>21.6</v>
      </c>
      <c r="M3571" s="3">
        <v>22.68</v>
      </c>
      <c r="N3571" s="3">
        <v>44.99</v>
      </c>
      <c r="O3571" s="2" t="s">
        <v>97</v>
      </c>
      <c r="P3571" s="2" t="s">
        <v>225</v>
      </c>
      <c r="Q3571" s="2" t="s">
        <v>99</v>
      </c>
      <c r="R3571" s="2" t="s">
        <v>100</v>
      </c>
      <c r="S3571" s="2" t="s">
        <v>11033</v>
      </c>
      <c r="T3571" s="2" t="s">
        <v>5039</v>
      </c>
      <c r="U3571" s="2" t="s">
        <v>402</v>
      </c>
      <c r="V3571" s="2" t="s">
        <v>146</v>
      </c>
      <c r="W3571" s="2" t="s">
        <v>183</v>
      </c>
      <c r="X3571" s="2" t="s">
        <v>100</v>
      </c>
      <c r="Y3571" s="2" t="s">
        <v>1069</v>
      </c>
      <c r="Z3571" s="4">
        <v>298</v>
      </c>
      <c r="AA3571" s="4">
        <f>=ROUNDDOWN({0},0)</f>
      </c>
      <c r="AB3571" s="5"/>
      <c r="AC3571" s="2" t="s">
        <v>562</v>
      </c>
      <c r="AD3571" s="4">
        <v>300</v>
      </c>
      <c r="AE3571" s="4">
        <v>300</v>
      </c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100</v>
      </c>
      <c r="AW3571" s="8" t="s">
        <v>100</v>
      </c>
      <c r="AX3571" s="4" t="s">
        <v>100</v>
      </c>
      <c r="AY3571" s="8" t="s">
        <v>100</v>
      </c>
      <c r="AZ3571" s="7" t="s">
        <v>100</v>
      </c>
      <c r="BA3571" s="7" t="s">
        <v>100</v>
      </c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 t="s">
        <v>100</v>
      </c>
      <c r="BJ3571" s="4"/>
      <c r="BK3571" s="8"/>
      <c r="BL3571" s="2" t="s">
        <v>100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207</v>
      </c>
      <c r="BV3571" s="2" t="s">
        <v>97</v>
      </c>
      <c r="BW3571" s="2" t="s">
        <v>100</v>
      </c>
      <c r="BX3571" s="2" t="s">
        <v>100</v>
      </c>
      <c r="BY3571" s="2" t="s">
        <v>113</v>
      </c>
      <c r="BZ3571" s="2" t="s">
        <v>100</v>
      </c>
    </row>
    <row r="3572">
      <c r="A3572" s="2" t="s">
        <v>11036</v>
      </c>
      <c r="B3572" s="2" t="s">
        <v>9668</v>
      </c>
      <c r="C3572" s="2" t="s">
        <v>3934</v>
      </c>
      <c r="D3572" s="2" t="s">
        <v>9669</v>
      </c>
      <c r="E3572" s="2" t="s">
        <v>9670</v>
      </c>
      <c r="F3572" s="2" t="s">
        <v>11003</v>
      </c>
      <c r="G3572" s="2" t="s">
        <v>11003</v>
      </c>
      <c r="H3572" s="2" t="s">
        <v>11003</v>
      </c>
      <c r="I3572" s="2" t="s">
        <v>11004</v>
      </c>
      <c r="J3572" s="2" t="s">
        <v>706</v>
      </c>
      <c r="K3572" s="2" t="s">
        <v>432</v>
      </c>
      <c r="L3572" s="3">
        <v>24.5</v>
      </c>
      <c r="M3572" s="3">
        <v>25.73</v>
      </c>
      <c r="N3572" s="3">
        <v>49.99</v>
      </c>
      <c r="O3572" s="2" t="s">
        <v>97</v>
      </c>
      <c r="P3572" s="2" t="s">
        <v>225</v>
      </c>
      <c r="Q3572" s="2" t="s">
        <v>99</v>
      </c>
      <c r="R3572" s="2" t="s">
        <v>100</v>
      </c>
      <c r="S3572" s="2" t="s">
        <v>11033</v>
      </c>
      <c r="T3572" s="2" t="s">
        <v>5039</v>
      </c>
      <c r="U3572" s="2" t="s">
        <v>402</v>
      </c>
      <c r="V3572" s="2" t="s">
        <v>146</v>
      </c>
      <c r="W3572" s="2" t="s">
        <v>183</v>
      </c>
      <c r="X3572" s="2" t="s">
        <v>100</v>
      </c>
      <c r="Y3572" s="2" t="s">
        <v>1069</v>
      </c>
      <c r="Z3572" s="4">
        <v>349</v>
      </c>
      <c r="AA3572" s="4">
        <f>=ROUNDDOWN({0},0)</f>
      </c>
      <c r="AB3572" s="5"/>
      <c r="AC3572" s="2" t="s">
        <v>562</v>
      </c>
      <c r="AD3572" s="4">
        <v>350</v>
      </c>
      <c r="AE3572" s="4">
        <v>350</v>
      </c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100</v>
      </c>
      <c r="AW3572" s="8" t="s">
        <v>100</v>
      </c>
      <c r="AX3572" s="4" t="s">
        <v>100</v>
      </c>
      <c r="AY3572" s="8" t="s">
        <v>100</v>
      </c>
      <c r="AZ3572" s="7" t="s">
        <v>100</v>
      </c>
      <c r="BA3572" s="7" t="s">
        <v>100</v>
      </c>
      <c r="BB3572" s="7"/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 t="s">
        <v>100</v>
      </c>
      <c r="BJ3572" s="4"/>
      <c r="BK3572" s="8"/>
      <c r="BL3572" s="2" t="s">
        <v>100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207</v>
      </c>
      <c r="BV3572" s="2" t="s">
        <v>97</v>
      </c>
      <c r="BW3572" s="2" t="s">
        <v>100</v>
      </c>
      <c r="BX3572" s="2" t="s">
        <v>100</v>
      </c>
      <c r="BY3572" s="2" t="s">
        <v>113</v>
      </c>
      <c r="BZ3572" s="2" t="s">
        <v>100</v>
      </c>
    </row>
    <row r="3573">
      <c r="A3573" s="2" t="s">
        <v>11037</v>
      </c>
      <c r="B3573" s="2" t="s">
        <v>9668</v>
      </c>
      <c r="C3573" s="2" t="s">
        <v>3934</v>
      </c>
      <c r="D3573" s="2" t="s">
        <v>9669</v>
      </c>
      <c r="E3573" s="2" t="s">
        <v>9670</v>
      </c>
      <c r="F3573" s="2" t="s">
        <v>11003</v>
      </c>
      <c r="G3573" s="2" t="s">
        <v>11003</v>
      </c>
      <c r="H3573" s="2" t="s">
        <v>11003</v>
      </c>
      <c r="I3573" s="2" t="s">
        <v>11004</v>
      </c>
      <c r="J3573" s="2" t="s">
        <v>1936</v>
      </c>
      <c r="K3573" s="2" t="s">
        <v>604</v>
      </c>
      <c r="L3573" s="3">
        <v>18.8</v>
      </c>
      <c r="M3573" s="3">
        <v>19.74</v>
      </c>
      <c r="N3573" s="3">
        <v>39.99</v>
      </c>
      <c r="O3573" s="2" t="s">
        <v>97</v>
      </c>
      <c r="P3573" s="2" t="s">
        <v>225</v>
      </c>
      <c r="Q3573" s="2" t="s">
        <v>99</v>
      </c>
      <c r="R3573" s="2" t="s">
        <v>100</v>
      </c>
      <c r="S3573" s="2" t="s">
        <v>11038</v>
      </c>
      <c r="T3573" s="2" t="s">
        <v>5039</v>
      </c>
      <c r="U3573" s="2" t="s">
        <v>480</v>
      </c>
      <c r="V3573" s="2" t="s">
        <v>146</v>
      </c>
      <c r="W3573" s="2" t="s">
        <v>183</v>
      </c>
      <c r="X3573" s="2" t="s">
        <v>100</v>
      </c>
      <c r="Y3573" s="2" t="s">
        <v>417</v>
      </c>
      <c r="Z3573" s="4">
        <v>100</v>
      </c>
      <c r="AA3573" s="4">
        <f>=ROUNDDOWN({0},0)</f>
      </c>
      <c r="AB3573" s="5"/>
      <c r="AC3573" s="2" t="s">
        <v>562</v>
      </c>
      <c r="AD3573" s="4">
        <v>100</v>
      </c>
      <c r="AE3573" s="4">
        <v>100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100</v>
      </c>
      <c r="AW3573" s="8" t="s">
        <v>100</v>
      </c>
      <c r="AX3573" s="4" t="s">
        <v>100</v>
      </c>
      <c r="AY3573" s="8" t="s">
        <v>100</v>
      </c>
      <c r="AZ3573" s="7" t="s">
        <v>100</v>
      </c>
      <c r="BA3573" s="7" t="s">
        <v>100</v>
      </c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 t="s">
        <v>100</v>
      </c>
      <c r="BJ3573" s="4"/>
      <c r="BK3573" s="8"/>
      <c r="BL3573" s="2" t="s">
        <v>100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207</v>
      </c>
      <c r="BV3573" s="2" t="s">
        <v>97</v>
      </c>
      <c r="BW3573" s="2" t="s">
        <v>100</v>
      </c>
      <c r="BX3573" s="2" t="s">
        <v>100</v>
      </c>
      <c r="BY3573" s="2" t="s">
        <v>113</v>
      </c>
      <c r="BZ3573" s="2" t="s">
        <v>100</v>
      </c>
    </row>
    <row r="3574">
      <c r="A3574" s="2" t="s">
        <v>11039</v>
      </c>
      <c r="B3574" s="2" t="s">
        <v>9668</v>
      </c>
      <c r="C3574" s="2" t="s">
        <v>3934</v>
      </c>
      <c r="D3574" s="2" t="s">
        <v>9669</v>
      </c>
      <c r="E3574" s="2" t="s">
        <v>9670</v>
      </c>
      <c r="F3574" s="2" t="s">
        <v>11003</v>
      </c>
      <c r="G3574" s="2" t="s">
        <v>11003</v>
      </c>
      <c r="H3574" s="2" t="s">
        <v>11003</v>
      </c>
      <c r="I3574" s="2" t="s">
        <v>11004</v>
      </c>
      <c r="J3574" s="2" t="s">
        <v>2072</v>
      </c>
      <c r="K3574" s="2" t="s">
        <v>604</v>
      </c>
      <c r="L3574" s="3">
        <v>20.16</v>
      </c>
      <c r="M3574" s="3">
        <v>21.17</v>
      </c>
      <c r="N3574" s="3">
        <v>41.99</v>
      </c>
      <c r="O3574" s="2" t="s">
        <v>97</v>
      </c>
      <c r="P3574" s="2" t="s">
        <v>225</v>
      </c>
      <c r="Q3574" s="2" t="s">
        <v>99</v>
      </c>
      <c r="R3574" s="2" t="s">
        <v>100</v>
      </c>
      <c r="S3574" s="2" t="s">
        <v>11038</v>
      </c>
      <c r="T3574" s="2" t="s">
        <v>5039</v>
      </c>
      <c r="U3574" s="2" t="s">
        <v>480</v>
      </c>
      <c r="V3574" s="2" t="s">
        <v>146</v>
      </c>
      <c r="W3574" s="2" t="s">
        <v>183</v>
      </c>
      <c r="X3574" s="2" t="s">
        <v>100</v>
      </c>
      <c r="Y3574" s="2" t="s">
        <v>417</v>
      </c>
      <c r="Z3574" s="4">
        <v>70</v>
      </c>
      <c r="AA3574" s="4">
        <f>=ROUNDDOWN({0},0)</f>
      </c>
      <c r="AB3574" s="5"/>
      <c r="AC3574" s="2" t="s">
        <v>562</v>
      </c>
      <c r="AD3574" s="4">
        <v>60</v>
      </c>
      <c r="AE3574" s="4">
        <v>60</v>
      </c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100</v>
      </c>
      <c r="AW3574" s="8" t="s">
        <v>100</v>
      </c>
      <c r="AX3574" s="4" t="s">
        <v>100</v>
      </c>
      <c r="AY3574" s="8" t="s">
        <v>100</v>
      </c>
      <c r="AZ3574" s="7" t="s">
        <v>100</v>
      </c>
      <c r="BA3574" s="7" t="s">
        <v>100</v>
      </c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 t="s">
        <v>100</v>
      </c>
      <c r="BJ3574" s="4"/>
      <c r="BK3574" s="8"/>
      <c r="BL3574" s="2" t="s">
        <v>100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207</v>
      </c>
      <c r="BV3574" s="2" t="s">
        <v>97</v>
      </c>
      <c r="BW3574" s="2" t="s">
        <v>100</v>
      </c>
      <c r="BX3574" s="2" t="s">
        <v>100</v>
      </c>
      <c r="BY3574" s="2" t="s">
        <v>113</v>
      </c>
      <c r="BZ3574" s="2" t="s">
        <v>100</v>
      </c>
    </row>
    <row r="3575">
      <c r="A3575" s="2" t="s">
        <v>11040</v>
      </c>
      <c r="B3575" s="2" t="s">
        <v>9668</v>
      </c>
      <c r="C3575" s="2" t="s">
        <v>3934</v>
      </c>
      <c r="D3575" s="2" t="s">
        <v>9669</v>
      </c>
      <c r="E3575" s="2" t="s">
        <v>9670</v>
      </c>
      <c r="F3575" s="2" t="s">
        <v>11003</v>
      </c>
      <c r="G3575" s="2" t="s">
        <v>11003</v>
      </c>
      <c r="H3575" s="2" t="s">
        <v>11003</v>
      </c>
      <c r="I3575" s="2" t="s">
        <v>11004</v>
      </c>
      <c r="J3575" s="2" t="s">
        <v>717</v>
      </c>
      <c r="K3575" s="2" t="s">
        <v>604</v>
      </c>
      <c r="L3575" s="3">
        <v>21.6</v>
      </c>
      <c r="M3575" s="3">
        <v>22.68</v>
      </c>
      <c r="N3575" s="3">
        <v>44.99</v>
      </c>
      <c r="O3575" s="2" t="s">
        <v>97</v>
      </c>
      <c r="P3575" s="2" t="s">
        <v>225</v>
      </c>
      <c r="Q3575" s="2" t="s">
        <v>99</v>
      </c>
      <c r="R3575" s="2" t="s">
        <v>100</v>
      </c>
      <c r="S3575" s="2" t="s">
        <v>11038</v>
      </c>
      <c r="T3575" s="2" t="s">
        <v>5039</v>
      </c>
      <c r="U3575" s="2" t="s">
        <v>402</v>
      </c>
      <c r="V3575" s="2" t="s">
        <v>146</v>
      </c>
      <c r="W3575" s="2" t="s">
        <v>183</v>
      </c>
      <c r="X3575" s="2" t="s">
        <v>100</v>
      </c>
      <c r="Y3575" s="2" t="s">
        <v>1069</v>
      </c>
      <c r="Z3575" s="4">
        <v>90</v>
      </c>
      <c r="AA3575" s="4">
        <f>=ROUNDDOWN({0},0)</f>
      </c>
      <c r="AB3575" s="5"/>
      <c r="AC3575" s="2" t="s">
        <v>562</v>
      </c>
      <c r="AD3575" s="4">
        <v>80</v>
      </c>
      <c r="AE3575" s="4">
        <v>80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100</v>
      </c>
      <c r="AW3575" s="8" t="s">
        <v>100</v>
      </c>
      <c r="AX3575" s="4" t="s">
        <v>100</v>
      </c>
      <c r="AY3575" s="8" t="s">
        <v>100</v>
      </c>
      <c r="AZ3575" s="7" t="s">
        <v>100</v>
      </c>
      <c r="BA3575" s="7" t="s">
        <v>100</v>
      </c>
      <c r="BB3575" s="7"/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 t="s">
        <v>100</v>
      </c>
      <c r="BJ3575" s="4"/>
      <c r="BK3575" s="8"/>
      <c r="BL3575" s="2" t="s">
        <v>100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207</v>
      </c>
      <c r="BV3575" s="2" t="s">
        <v>97</v>
      </c>
      <c r="BW3575" s="2" t="s">
        <v>100</v>
      </c>
      <c r="BX3575" s="2" t="s">
        <v>100</v>
      </c>
      <c r="BY3575" s="2" t="s">
        <v>113</v>
      </c>
      <c r="BZ3575" s="2" t="s">
        <v>100</v>
      </c>
    </row>
    <row r="3576">
      <c r="A3576" s="2" t="s">
        <v>11041</v>
      </c>
      <c r="B3576" s="2" t="s">
        <v>9668</v>
      </c>
      <c r="C3576" s="2" t="s">
        <v>3934</v>
      </c>
      <c r="D3576" s="2" t="s">
        <v>9669</v>
      </c>
      <c r="E3576" s="2" t="s">
        <v>9670</v>
      </c>
      <c r="F3576" s="2" t="s">
        <v>11003</v>
      </c>
      <c r="G3576" s="2" t="s">
        <v>11003</v>
      </c>
      <c r="H3576" s="2" t="s">
        <v>11003</v>
      </c>
      <c r="I3576" s="2" t="s">
        <v>11004</v>
      </c>
      <c r="J3576" s="2" t="s">
        <v>706</v>
      </c>
      <c r="K3576" s="2" t="s">
        <v>604</v>
      </c>
      <c r="L3576" s="3">
        <v>24.5</v>
      </c>
      <c r="M3576" s="3">
        <v>25.73</v>
      </c>
      <c r="N3576" s="3">
        <v>49.99</v>
      </c>
      <c r="O3576" s="2" t="s">
        <v>97</v>
      </c>
      <c r="P3576" s="2" t="s">
        <v>225</v>
      </c>
      <c r="Q3576" s="2" t="s">
        <v>99</v>
      </c>
      <c r="R3576" s="2" t="s">
        <v>100</v>
      </c>
      <c r="S3576" s="2" t="s">
        <v>11038</v>
      </c>
      <c r="T3576" s="2" t="s">
        <v>5039</v>
      </c>
      <c r="U3576" s="2" t="s">
        <v>402</v>
      </c>
      <c r="V3576" s="2" t="s">
        <v>146</v>
      </c>
      <c r="W3576" s="2" t="s">
        <v>183</v>
      </c>
      <c r="X3576" s="2" t="s">
        <v>100</v>
      </c>
      <c r="Y3576" s="2" t="s">
        <v>1069</v>
      </c>
      <c r="Z3576" s="4">
        <v>179</v>
      </c>
      <c r="AA3576" s="4">
        <f>=ROUNDDOWN({0},0)</f>
      </c>
      <c r="AB3576" s="5"/>
      <c r="AC3576" s="2" t="s">
        <v>562</v>
      </c>
      <c r="AD3576" s="4">
        <v>180</v>
      </c>
      <c r="AE3576" s="4">
        <v>180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100</v>
      </c>
      <c r="AW3576" s="8" t="s">
        <v>100</v>
      </c>
      <c r="AX3576" s="4" t="s">
        <v>100</v>
      </c>
      <c r="AY3576" s="8" t="s">
        <v>100</v>
      </c>
      <c r="AZ3576" s="7" t="s">
        <v>100</v>
      </c>
      <c r="BA3576" s="7" t="s">
        <v>100</v>
      </c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 t="s">
        <v>100</v>
      </c>
      <c r="BJ3576" s="4"/>
      <c r="BK3576" s="8"/>
      <c r="BL3576" s="2" t="s">
        <v>100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207</v>
      </c>
      <c r="BV3576" s="2" t="s">
        <v>97</v>
      </c>
      <c r="BW3576" s="2" t="s">
        <v>100</v>
      </c>
      <c r="BX3576" s="2" t="s">
        <v>100</v>
      </c>
      <c r="BY3576" s="2" t="s">
        <v>113</v>
      </c>
      <c r="BZ3576" s="2" t="s">
        <v>100</v>
      </c>
    </row>
    <row r="3577">
      <c r="A3577" s="2" t="s">
        <v>11042</v>
      </c>
      <c r="B3577" s="2" t="s">
        <v>9668</v>
      </c>
      <c r="C3577" s="2" t="s">
        <v>3934</v>
      </c>
      <c r="D3577" s="2" t="s">
        <v>9669</v>
      </c>
      <c r="E3577" s="2" t="s">
        <v>9670</v>
      </c>
      <c r="F3577" s="2" t="s">
        <v>11003</v>
      </c>
      <c r="G3577" s="2" t="s">
        <v>11003</v>
      </c>
      <c r="H3577" s="2" t="s">
        <v>11003</v>
      </c>
      <c r="I3577" s="2" t="s">
        <v>11004</v>
      </c>
      <c r="J3577" s="2" t="s">
        <v>714</v>
      </c>
      <c r="K3577" s="2" t="s">
        <v>604</v>
      </c>
      <c r="L3577" s="3">
        <v>26.95</v>
      </c>
      <c r="M3577" s="3">
        <v>28.3</v>
      </c>
      <c r="N3577" s="3">
        <v>54.99</v>
      </c>
      <c r="O3577" s="2" t="s">
        <v>97</v>
      </c>
      <c r="P3577" s="2" t="s">
        <v>225</v>
      </c>
      <c r="Q3577" s="2" t="s">
        <v>99</v>
      </c>
      <c r="R3577" s="2" t="s">
        <v>100</v>
      </c>
      <c r="S3577" s="2" t="s">
        <v>11038</v>
      </c>
      <c r="T3577" s="2" t="s">
        <v>5039</v>
      </c>
      <c r="U3577" s="2" t="s">
        <v>402</v>
      </c>
      <c r="V3577" s="2" t="s">
        <v>146</v>
      </c>
      <c r="W3577" s="2" t="s">
        <v>183</v>
      </c>
      <c r="X3577" s="2" t="s">
        <v>100</v>
      </c>
      <c r="Y3577" s="2" t="s">
        <v>1069</v>
      </c>
      <c r="Z3577" s="4">
        <v>140</v>
      </c>
      <c r="AA3577" s="4">
        <f>=ROUNDDOWN({0},0)</f>
      </c>
      <c r="AB3577" s="5"/>
      <c r="AC3577" s="2" t="s">
        <v>562</v>
      </c>
      <c r="AD3577" s="4">
        <v>130</v>
      </c>
      <c r="AE3577" s="4">
        <v>130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100</v>
      </c>
      <c r="AW3577" s="8" t="s">
        <v>100</v>
      </c>
      <c r="AX3577" s="4" t="s">
        <v>100</v>
      </c>
      <c r="AY3577" s="8" t="s">
        <v>100</v>
      </c>
      <c r="AZ3577" s="7" t="s">
        <v>100</v>
      </c>
      <c r="BA3577" s="7" t="s">
        <v>100</v>
      </c>
      <c r="BB3577" s="7"/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 t="s">
        <v>100</v>
      </c>
      <c r="BJ3577" s="4"/>
      <c r="BK3577" s="8"/>
      <c r="BL3577" s="2" t="s">
        <v>100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207</v>
      </c>
      <c r="BV3577" s="2" t="s">
        <v>97</v>
      </c>
      <c r="BW3577" s="2" t="s">
        <v>100</v>
      </c>
      <c r="BX3577" s="2" t="s">
        <v>100</v>
      </c>
      <c r="BY3577" s="2" t="s">
        <v>113</v>
      </c>
      <c r="BZ3577" s="2" t="s">
        <v>100</v>
      </c>
    </row>
    <row r="3578">
      <c r="A3578" s="2" t="s">
        <v>11043</v>
      </c>
      <c r="B3578" s="2" t="s">
        <v>9668</v>
      </c>
      <c r="C3578" s="2" t="s">
        <v>3934</v>
      </c>
      <c r="D3578" s="2" t="s">
        <v>9669</v>
      </c>
      <c r="E3578" s="2" t="s">
        <v>9670</v>
      </c>
      <c r="F3578" s="2" t="s">
        <v>11003</v>
      </c>
      <c r="G3578" s="2" t="s">
        <v>11003</v>
      </c>
      <c r="H3578" s="2" t="s">
        <v>11003</v>
      </c>
      <c r="I3578" s="2" t="s">
        <v>11004</v>
      </c>
      <c r="J3578" s="2" t="s">
        <v>1936</v>
      </c>
      <c r="K3578" s="2" t="s">
        <v>198</v>
      </c>
      <c r="L3578" s="3">
        <v>18.8</v>
      </c>
      <c r="M3578" s="3">
        <v>19.74</v>
      </c>
      <c r="N3578" s="3">
        <v>39.99</v>
      </c>
      <c r="O3578" s="2" t="s">
        <v>97</v>
      </c>
      <c r="P3578" s="2" t="s">
        <v>225</v>
      </c>
      <c r="Q3578" s="2" t="s">
        <v>99</v>
      </c>
      <c r="R3578" s="2" t="s">
        <v>100</v>
      </c>
      <c r="S3578" s="2" t="s">
        <v>11044</v>
      </c>
      <c r="T3578" s="2" t="s">
        <v>5039</v>
      </c>
      <c r="U3578" s="2" t="s">
        <v>480</v>
      </c>
      <c r="V3578" s="2" t="s">
        <v>146</v>
      </c>
      <c r="W3578" s="2" t="s">
        <v>183</v>
      </c>
      <c r="X3578" s="2" t="s">
        <v>100</v>
      </c>
      <c r="Y3578" s="2" t="s">
        <v>100</v>
      </c>
      <c r="Z3578" s="4"/>
      <c r="AA3578" s="4">
        <f>=ROUNDDOWN({0},0)</f>
      </c>
      <c r="AB3578" s="5"/>
      <c r="AC3578" s="2" t="s">
        <v>135</v>
      </c>
      <c r="AD3578" s="4">
        <v>60</v>
      </c>
      <c r="AE3578" s="4">
        <v>110</v>
      </c>
      <c r="AF3578" s="6">
        <v>65</v>
      </c>
      <c r="AG3578" s="6"/>
      <c r="AH3578" s="7"/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100</v>
      </c>
      <c r="AW3578" s="8" t="s">
        <v>100</v>
      </c>
      <c r="AX3578" s="4" t="s">
        <v>100</v>
      </c>
      <c r="AY3578" s="8" t="s">
        <v>100</v>
      </c>
      <c r="AZ3578" s="7" t="s">
        <v>100</v>
      </c>
      <c r="BA3578" s="7" t="s">
        <v>100</v>
      </c>
      <c r="BB3578" s="7"/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 t="s">
        <v>100</v>
      </c>
      <c r="BJ3578" s="4"/>
      <c r="BK3578" s="8"/>
      <c r="BL3578" s="2" t="s">
        <v>100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2480</v>
      </c>
      <c r="BV3578" s="2" t="s">
        <v>97</v>
      </c>
      <c r="BW3578" s="2" t="s">
        <v>100</v>
      </c>
      <c r="BX3578" s="2" t="s">
        <v>100</v>
      </c>
      <c r="BY3578" s="2" t="s">
        <v>113</v>
      </c>
      <c r="BZ3578" s="2" t="s">
        <v>100</v>
      </c>
    </row>
    <row r="3579">
      <c r="A3579" s="2" t="s">
        <v>11045</v>
      </c>
      <c r="B3579" s="2" t="s">
        <v>9668</v>
      </c>
      <c r="C3579" s="2" t="s">
        <v>3934</v>
      </c>
      <c r="D3579" s="2" t="s">
        <v>9669</v>
      </c>
      <c r="E3579" s="2" t="s">
        <v>9670</v>
      </c>
      <c r="F3579" s="2" t="s">
        <v>11003</v>
      </c>
      <c r="G3579" s="2" t="s">
        <v>11003</v>
      </c>
      <c r="H3579" s="2" t="s">
        <v>11003</v>
      </c>
      <c r="I3579" s="2" t="s">
        <v>11004</v>
      </c>
      <c r="J3579" s="2" t="s">
        <v>2072</v>
      </c>
      <c r="K3579" s="2" t="s">
        <v>198</v>
      </c>
      <c r="L3579" s="3">
        <v>20.16</v>
      </c>
      <c r="M3579" s="3">
        <v>21.17</v>
      </c>
      <c r="N3579" s="3">
        <v>41.99</v>
      </c>
      <c r="O3579" s="2" t="s">
        <v>97</v>
      </c>
      <c r="P3579" s="2" t="s">
        <v>225</v>
      </c>
      <c r="Q3579" s="2" t="s">
        <v>99</v>
      </c>
      <c r="R3579" s="2" t="s">
        <v>100</v>
      </c>
      <c r="S3579" s="2" t="s">
        <v>11044</v>
      </c>
      <c r="T3579" s="2" t="s">
        <v>5039</v>
      </c>
      <c r="U3579" s="2" t="s">
        <v>480</v>
      </c>
      <c r="V3579" s="2" t="s">
        <v>146</v>
      </c>
      <c r="W3579" s="2" t="s">
        <v>183</v>
      </c>
      <c r="X3579" s="2" t="s">
        <v>100</v>
      </c>
      <c r="Y3579" s="2" t="s">
        <v>100</v>
      </c>
      <c r="Z3579" s="4"/>
      <c r="AA3579" s="4">
        <f>=ROUNDDOWN({0},0)</f>
      </c>
      <c r="AB3579" s="5"/>
      <c r="AC3579" s="2" t="s">
        <v>135</v>
      </c>
      <c r="AD3579" s="4">
        <v>100</v>
      </c>
      <c r="AE3579" s="4">
        <v>190</v>
      </c>
      <c r="AF3579" s="6">
        <v>65</v>
      </c>
      <c r="AG3579" s="6"/>
      <c r="AH3579" s="7"/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100</v>
      </c>
      <c r="AW3579" s="8" t="s">
        <v>100</v>
      </c>
      <c r="AX3579" s="4" t="s">
        <v>100</v>
      </c>
      <c r="AY3579" s="8" t="s">
        <v>100</v>
      </c>
      <c r="AZ3579" s="7" t="s">
        <v>100</v>
      </c>
      <c r="BA3579" s="7" t="s">
        <v>100</v>
      </c>
      <c r="BB3579" s="7"/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 t="s">
        <v>100</v>
      </c>
      <c r="BJ3579" s="4"/>
      <c r="BK3579" s="8"/>
      <c r="BL3579" s="2" t="s">
        <v>100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2480</v>
      </c>
      <c r="BV3579" s="2" t="s">
        <v>97</v>
      </c>
      <c r="BW3579" s="2" t="s">
        <v>100</v>
      </c>
      <c r="BX3579" s="2" t="s">
        <v>100</v>
      </c>
      <c r="BY3579" s="2" t="s">
        <v>113</v>
      </c>
      <c r="BZ3579" s="2" t="s">
        <v>100</v>
      </c>
    </row>
    <row r="3580">
      <c r="A3580" s="2" t="s">
        <v>11046</v>
      </c>
      <c r="B3580" s="2" t="s">
        <v>9668</v>
      </c>
      <c r="C3580" s="2" t="s">
        <v>3934</v>
      </c>
      <c r="D3580" s="2" t="s">
        <v>9669</v>
      </c>
      <c r="E3580" s="2" t="s">
        <v>9670</v>
      </c>
      <c r="F3580" s="2" t="s">
        <v>11003</v>
      </c>
      <c r="G3580" s="2" t="s">
        <v>11003</v>
      </c>
      <c r="H3580" s="2" t="s">
        <v>11003</v>
      </c>
      <c r="I3580" s="2" t="s">
        <v>11004</v>
      </c>
      <c r="J3580" s="2" t="s">
        <v>717</v>
      </c>
      <c r="K3580" s="2" t="s">
        <v>198</v>
      </c>
      <c r="L3580" s="3">
        <v>21.6</v>
      </c>
      <c r="M3580" s="3">
        <v>22.68</v>
      </c>
      <c r="N3580" s="3">
        <v>44.99</v>
      </c>
      <c r="O3580" s="2" t="s">
        <v>97</v>
      </c>
      <c r="P3580" s="2" t="s">
        <v>225</v>
      </c>
      <c r="Q3580" s="2" t="s">
        <v>99</v>
      </c>
      <c r="R3580" s="2" t="s">
        <v>100</v>
      </c>
      <c r="S3580" s="2" t="s">
        <v>11044</v>
      </c>
      <c r="T3580" s="2" t="s">
        <v>5039</v>
      </c>
      <c r="U3580" s="2" t="s">
        <v>402</v>
      </c>
      <c r="V3580" s="2" t="s">
        <v>146</v>
      </c>
      <c r="W3580" s="2" t="s">
        <v>183</v>
      </c>
      <c r="X3580" s="2" t="s">
        <v>100</v>
      </c>
      <c r="Y3580" s="2" t="s">
        <v>100</v>
      </c>
      <c r="Z3580" s="4"/>
      <c r="AA3580" s="4">
        <f>=ROUNDDOWN({0},0)</f>
      </c>
      <c r="AB3580" s="5"/>
      <c r="AC3580" s="2" t="s">
        <v>135</v>
      </c>
      <c r="AD3580" s="4">
        <v>120</v>
      </c>
      <c r="AE3580" s="4">
        <v>230</v>
      </c>
      <c r="AF3580" s="6">
        <v>65</v>
      </c>
      <c r="AG3580" s="6"/>
      <c r="AH3580" s="7"/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100</v>
      </c>
      <c r="AW3580" s="8" t="s">
        <v>100</v>
      </c>
      <c r="AX3580" s="4" t="s">
        <v>100</v>
      </c>
      <c r="AY3580" s="8" t="s">
        <v>100</v>
      </c>
      <c r="AZ3580" s="7" t="s">
        <v>100</v>
      </c>
      <c r="BA3580" s="7" t="s">
        <v>100</v>
      </c>
      <c r="BB3580" s="7"/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 t="s">
        <v>100</v>
      </c>
      <c r="BJ3580" s="4"/>
      <c r="BK3580" s="8"/>
      <c r="BL3580" s="2" t="s">
        <v>100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2480</v>
      </c>
      <c r="BV3580" s="2" t="s">
        <v>97</v>
      </c>
      <c r="BW3580" s="2" t="s">
        <v>100</v>
      </c>
      <c r="BX3580" s="2" t="s">
        <v>100</v>
      </c>
      <c r="BY3580" s="2" t="s">
        <v>113</v>
      </c>
      <c r="BZ3580" s="2" t="s">
        <v>100</v>
      </c>
    </row>
    <row r="3581">
      <c r="A3581" s="2" t="s">
        <v>11047</v>
      </c>
      <c r="B3581" s="2" t="s">
        <v>9668</v>
      </c>
      <c r="C3581" s="2" t="s">
        <v>3934</v>
      </c>
      <c r="D3581" s="2" t="s">
        <v>9669</v>
      </c>
      <c r="E3581" s="2" t="s">
        <v>9670</v>
      </c>
      <c r="F3581" s="2" t="s">
        <v>11003</v>
      </c>
      <c r="G3581" s="2" t="s">
        <v>11003</v>
      </c>
      <c r="H3581" s="2" t="s">
        <v>11003</v>
      </c>
      <c r="I3581" s="2" t="s">
        <v>11004</v>
      </c>
      <c r="J3581" s="2" t="s">
        <v>706</v>
      </c>
      <c r="K3581" s="2" t="s">
        <v>198</v>
      </c>
      <c r="L3581" s="3">
        <v>24.5</v>
      </c>
      <c r="M3581" s="3">
        <v>25.73</v>
      </c>
      <c r="N3581" s="3">
        <v>49.99</v>
      </c>
      <c r="O3581" s="2" t="s">
        <v>97</v>
      </c>
      <c r="P3581" s="2" t="s">
        <v>225</v>
      </c>
      <c r="Q3581" s="2" t="s">
        <v>99</v>
      </c>
      <c r="R3581" s="2" t="s">
        <v>100</v>
      </c>
      <c r="S3581" s="2" t="s">
        <v>11044</v>
      </c>
      <c r="T3581" s="2" t="s">
        <v>5039</v>
      </c>
      <c r="U3581" s="2" t="s">
        <v>402</v>
      </c>
      <c r="V3581" s="2" t="s">
        <v>146</v>
      </c>
      <c r="W3581" s="2" t="s">
        <v>183</v>
      </c>
      <c r="X3581" s="2" t="s">
        <v>100</v>
      </c>
      <c r="Y3581" s="2" t="s">
        <v>100</v>
      </c>
      <c r="Z3581" s="4"/>
      <c r="AA3581" s="4">
        <f>=ROUNDDOWN({0},0)</f>
      </c>
      <c r="AB3581" s="5"/>
      <c r="AC3581" s="2" t="s">
        <v>135</v>
      </c>
      <c r="AD3581" s="4">
        <v>160</v>
      </c>
      <c r="AE3581" s="4">
        <v>310</v>
      </c>
      <c r="AF3581" s="6">
        <v>65</v>
      </c>
      <c r="AG3581" s="6"/>
      <c r="AH3581" s="7"/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100</v>
      </c>
      <c r="AW3581" s="8" t="s">
        <v>100</v>
      </c>
      <c r="AX3581" s="4" t="s">
        <v>100</v>
      </c>
      <c r="AY3581" s="8" t="s">
        <v>100</v>
      </c>
      <c r="AZ3581" s="7" t="s">
        <v>100</v>
      </c>
      <c r="BA3581" s="7" t="s">
        <v>100</v>
      </c>
      <c r="BB3581" s="7"/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 t="s">
        <v>100</v>
      </c>
      <c r="BJ3581" s="4"/>
      <c r="BK3581" s="8"/>
      <c r="BL3581" s="2" t="s">
        <v>100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2480</v>
      </c>
      <c r="BV3581" s="2" t="s">
        <v>97</v>
      </c>
      <c r="BW3581" s="2" t="s">
        <v>100</v>
      </c>
      <c r="BX3581" s="2" t="s">
        <v>100</v>
      </c>
      <c r="BY3581" s="2" t="s">
        <v>113</v>
      </c>
      <c r="BZ3581" s="2" t="s">
        <v>100</v>
      </c>
    </row>
    <row r="3582">
      <c r="A3582" s="2" t="s">
        <v>11048</v>
      </c>
      <c r="B3582" s="2" t="s">
        <v>9668</v>
      </c>
      <c r="C3582" s="2" t="s">
        <v>3934</v>
      </c>
      <c r="D3582" s="2" t="s">
        <v>9669</v>
      </c>
      <c r="E3582" s="2" t="s">
        <v>9670</v>
      </c>
      <c r="F3582" s="2" t="s">
        <v>11003</v>
      </c>
      <c r="G3582" s="2" t="s">
        <v>11003</v>
      </c>
      <c r="H3582" s="2" t="s">
        <v>11003</v>
      </c>
      <c r="I3582" s="2" t="s">
        <v>11004</v>
      </c>
      <c r="J3582" s="2" t="s">
        <v>714</v>
      </c>
      <c r="K3582" s="2" t="s">
        <v>198</v>
      </c>
      <c r="L3582" s="3">
        <v>26.95</v>
      </c>
      <c r="M3582" s="3">
        <v>28.3</v>
      </c>
      <c r="N3582" s="3">
        <v>54.99</v>
      </c>
      <c r="O3582" s="2" t="s">
        <v>97</v>
      </c>
      <c r="P3582" s="2" t="s">
        <v>225</v>
      </c>
      <c r="Q3582" s="2" t="s">
        <v>99</v>
      </c>
      <c r="R3582" s="2" t="s">
        <v>100</v>
      </c>
      <c r="S3582" s="2" t="s">
        <v>11044</v>
      </c>
      <c r="T3582" s="2" t="s">
        <v>5039</v>
      </c>
      <c r="U3582" s="2" t="s">
        <v>402</v>
      </c>
      <c r="V3582" s="2" t="s">
        <v>146</v>
      </c>
      <c r="W3582" s="2" t="s">
        <v>183</v>
      </c>
      <c r="X3582" s="2" t="s">
        <v>100</v>
      </c>
      <c r="Y3582" s="2" t="s">
        <v>100</v>
      </c>
      <c r="Z3582" s="4"/>
      <c r="AA3582" s="4">
        <f>=ROUNDDOWN({0},0)</f>
      </c>
      <c r="AB3582" s="5"/>
      <c r="AC3582" s="2" t="s">
        <v>135</v>
      </c>
      <c r="AD3582" s="4">
        <v>140</v>
      </c>
      <c r="AE3582" s="4">
        <v>270</v>
      </c>
      <c r="AF3582" s="6">
        <v>65</v>
      </c>
      <c r="AG3582" s="6"/>
      <c r="AH3582" s="7"/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/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 t="s">
        <v>100</v>
      </c>
      <c r="BJ3582" s="4"/>
      <c r="BK3582" s="8"/>
      <c r="BL3582" s="2" t="s">
        <v>100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2480</v>
      </c>
      <c r="BV3582" s="2" t="s">
        <v>97</v>
      </c>
      <c r="BW3582" s="2" t="s">
        <v>100</v>
      </c>
      <c r="BX3582" s="2" t="s">
        <v>100</v>
      </c>
      <c r="BY3582" s="2" t="s">
        <v>113</v>
      </c>
      <c r="BZ3582" s="2" t="s">
        <v>100</v>
      </c>
    </row>
    <row r="3583">
      <c r="A3583" s="2" t="s">
        <v>11049</v>
      </c>
      <c r="B3583" s="2" t="s">
        <v>9668</v>
      </c>
      <c r="C3583" s="2" t="s">
        <v>3934</v>
      </c>
      <c r="D3583" s="2" t="s">
        <v>9669</v>
      </c>
      <c r="E3583" s="2" t="s">
        <v>9670</v>
      </c>
      <c r="F3583" s="2" t="s">
        <v>11003</v>
      </c>
      <c r="G3583" s="2" t="s">
        <v>11003</v>
      </c>
      <c r="H3583" s="2" t="s">
        <v>11003</v>
      </c>
      <c r="I3583" s="2" t="s">
        <v>11004</v>
      </c>
      <c r="J3583" s="2" t="s">
        <v>2072</v>
      </c>
      <c r="K3583" s="2" t="s">
        <v>878</v>
      </c>
      <c r="L3583" s="3">
        <v>20.16</v>
      </c>
      <c r="M3583" s="3">
        <v>21.17</v>
      </c>
      <c r="N3583" s="3">
        <v>41.99</v>
      </c>
      <c r="O3583" s="2" t="s">
        <v>97</v>
      </c>
      <c r="P3583" s="2" t="s">
        <v>119</v>
      </c>
      <c r="Q3583" s="2" t="s">
        <v>99</v>
      </c>
      <c r="R3583" s="2" t="s">
        <v>100</v>
      </c>
      <c r="S3583" s="2" t="s">
        <v>11050</v>
      </c>
      <c r="T3583" s="2" t="s">
        <v>5039</v>
      </c>
      <c r="U3583" s="2" t="s">
        <v>480</v>
      </c>
      <c r="V3583" s="2" t="s">
        <v>146</v>
      </c>
      <c r="W3583" s="2" t="s">
        <v>183</v>
      </c>
      <c r="X3583" s="2" t="s">
        <v>100</v>
      </c>
      <c r="Y3583" s="2" t="s">
        <v>240</v>
      </c>
      <c r="Z3583" s="4">
        <v>448</v>
      </c>
      <c r="AA3583" s="4">
        <f>=ROUNDDOWN(64,0)</f>
      </c>
      <c r="AB3583" s="5">
        <v>7</v>
      </c>
      <c r="AC3583" s="2" t="s">
        <v>100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/>
      <c r="BJ3583" s="4">
        <v>453</v>
      </c>
      <c r="BK3583" s="8">
        <v>9686.02</v>
      </c>
      <c r="BL3583" s="2" t="s">
        <v>1241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4710</v>
      </c>
      <c r="BX3583" s="2" t="s">
        <v>11051</v>
      </c>
      <c r="BY3583" s="2" t="s">
        <v>113</v>
      </c>
      <c r="BZ3583" s="2" t="s">
        <v>100</v>
      </c>
    </row>
    <row r="3584">
      <c r="A3584" s="2" t="s">
        <v>11052</v>
      </c>
      <c r="B3584" s="2" t="s">
        <v>9668</v>
      </c>
      <c r="C3584" s="2" t="s">
        <v>3934</v>
      </c>
      <c r="D3584" s="2" t="s">
        <v>9669</v>
      </c>
      <c r="E3584" s="2" t="s">
        <v>9670</v>
      </c>
      <c r="F3584" s="2" t="s">
        <v>11053</v>
      </c>
      <c r="G3584" s="2" t="s">
        <v>11053</v>
      </c>
      <c r="H3584" s="2" t="s">
        <v>11053</v>
      </c>
      <c r="I3584" s="2" t="s">
        <v>9672</v>
      </c>
      <c r="J3584" s="2" t="s">
        <v>1936</v>
      </c>
      <c r="K3584" s="2" t="s">
        <v>8996</v>
      </c>
      <c r="L3584" s="3">
        <v>15.4</v>
      </c>
      <c r="M3584" s="3">
        <v>16.17</v>
      </c>
      <c r="N3584" s="3">
        <v>34.99</v>
      </c>
      <c r="O3584" s="2" t="s">
        <v>97</v>
      </c>
      <c r="P3584" s="2" t="s">
        <v>119</v>
      </c>
      <c r="Q3584" s="2" t="s">
        <v>99</v>
      </c>
      <c r="R3584" s="2" t="s">
        <v>100</v>
      </c>
      <c r="S3584" s="2" t="s">
        <v>11054</v>
      </c>
      <c r="T3584" s="2" t="s">
        <v>218</v>
      </c>
      <c r="U3584" s="2" t="s">
        <v>480</v>
      </c>
      <c r="V3584" s="2" t="s">
        <v>5245</v>
      </c>
      <c r="W3584" s="2" t="s">
        <v>561</v>
      </c>
      <c r="X3584" s="2" t="s">
        <v>100</v>
      </c>
      <c r="Y3584" s="2" t="s">
        <v>10622</v>
      </c>
      <c r="Z3584" s="4">
        <v>274</v>
      </c>
      <c r="AA3584" s="4">
        <f>=ROUNDDOWN(22.8333333333333,0)</f>
      </c>
      <c r="AB3584" s="5">
        <v>12</v>
      </c>
      <c r="AC3584" s="2" t="s">
        <v>1102</v>
      </c>
      <c r="AD3584" s="4">
        <v>130</v>
      </c>
      <c r="AE3584" s="4">
        <v>270</v>
      </c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>
        <v>16</v>
      </c>
      <c r="AQ3584" s="8">
        <v>255.68</v>
      </c>
      <c r="AR3584" s="4"/>
      <c r="AS3584" s="8"/>
      <c r="AT3584" s="7"/>
      <c r="AU3584" s="7"/>
      <c r="AV3584" s="4">
        <v>20</v>
      </c>
      <c r="AW3584" s="8">
        <v>330.28</v>
      </c>
      <c r="AX3584" s="4" t="s">
        <v>100</v>
      </c>
      <c r="AY3584" s="8" t="s">
        <v>100</v>
      </c>
      <c r="AZ3584" s="7" t="s">
        <v>100</v>
      </c>
      <c r="BA3584" s="7" t="s">
        <v>100</v>
      </c>
      <c r="BB3584" s="7">
        <v>0.7741</v>
      </c>
      <c r="BC3584" s="4">
        <v>23</v>
      </c>
      <c r="BD3584" s="8">
        <v>378.22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0.8732</v>
      </c>
      <c r="BJ3584" s="4">
        <v>296</v>
      </c>
      <c r="BK3584" s="8">
        <v>5222.07</v>
      </c>
      <c r="BL3584" s="2" t="s">
        <v>11055</v>
      </c>
      <c r="BM3584" s="7">
        <v>0.0541</v>
      </c>
      <c r="BN3584" s="7">
        <v>0.049</v>
      </c>
      <c r="BO3584" s="4">
        <v>16</v>
      </c>
      <c r="BP3584" s="8">
        <v>255.68</v>
      </c>
      <c r="BQ3584" s="4"/>
      <c r="BR3584" s="8"/>
      <c r="BS3584" s="7"/>
      <c r="BT3584" s="7"/>
      <c r="BU3584" s="2" t="s">
        <v>109</v>
      </c>
      <c r="BV3584" s="2" t="s">
        <v>110</v>
      </c>
      <c r="BW3584" s="2" t="s">
        <v>1539</v>
      </c>
      <c r="BX3584" s="2" t="s">
        <v>11056</v>
      </c>
      <c r="BY3584" s="2" t="s">
        <v>113</v>
      </c>
      <c r="BZ3584" s="2" t="s">
        <v>100</v>
      </c>
    </row>
    <row r="3585">
      <c r="A3585" s="2" t="s">
        <v>11057</v>
      </c>
      <c r="B3585" s="2" t="s">
        <v>9668</v>
      </c>
      <c r="C3585" s="2" t="s">
        <v>3934</v>
      </c>
      <c r="D3585" s="2" t="s">
        <v>9669</v>
      </c>
      <c r="E3585" s="2" t="s">
        <v>9670</v>
      </c>
      <c r="F3585" s="2" t="s">
        <v>11053</v>
      </c>
      <c r="G3585" s="2" t="s">
        <v>11053</v>
      </c>
      <c r="H3585" s="2" t="s">
        <v>11053</v>
      </c>
      <c r="I3585" s="2" t="s">
        <v>9672</v>
      </c>
      <c r="J3585" s="2" t="s">
        <v>717</v>
      </c>
      <c r="K3585" s="2" t="s">
        <v>8996</v>
      </c>
      <c r="L3585" s="3">
        <v>18</v>
      </c>
      <c r="M3585" s="3">
        <v>18.9</v>
      </c>
      <c r="N3585" s="3">
        <v>39.99</v>
      </c>
      <c r="O3585" s="2" t="s">
        <v>97</v>
      </c>
      <c r="P3585" s="2" t="s">
        <v>119</v>
      </c>
      <c r="Q3585" s="2" t="s">
        <v>99</v>
      </c>
      <c r="R3585" s="2" t="s">
        <v>100</v>
      </c>
      <c r="S3585" s="2" t="s">
        <v>11054</v>
      </c>
      <c r="T3585" s="2" t="s">
        <v>218</v>
      </c>
      <c r="U3585" s="2" t="s">
        <v>402</v>
      </c>
      <c r="V3585" s="2" t="s">
        <v>5245</v>
      </c>
      <c r="W3585" s="2" t="s">
        <v>561</v>
      </c>
      <c r="X3585" s="2" t="s">
        <v>100</v>
      </c>
      <c r="Y3585" s="2" t="s">
        <v>10622</v>
      </c>
      <c r="Z3585" s="4">
        <v>236</v>
      </c>
      <c r="AA3585" s="4">
        <f>=ROUNDDOWN(14.75,0)</f>
      </c>
      <c r="AB3585" s="5">
        <v>16</v>
      </c>
      <c r="AC3585" s="2" t="s">
        <v>1102</v>
      </c>
      <c r="AD3585" s="4">
        <v>150</v>
      </c>
      <c r="AE3585" s="4">
        <v>470</v>
      </c>
      <c r="AF3585" s="6">
        <v>66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>
        <v>4</v>
      </c>
      <c r="AQ3585" s="8">
        <v>74.6</v>
      </c>
      <c r="AR3585" s="4"/>
      <c r="AS3585" s="8"/>
      <c r="AT3585" s="7"/>
      <c r="AU3585" s="7"/>
      <c r="AV3585" s="4" t="s">
        <v>100</v>
      </c>
      <c r="AW3585" s="8" t="s">
        <v>100</v>
      </c>
      <c r="AX3585" s="4" t="s">
        <v>100</v>
      </c>
      <c r="AY3585" s="8" t="s">
        <v>100</v>
      </c>
      <c r="AZ3585" s="7" t="s">
        <v>100</v>
      </c>
      <c r="BA3585" s="7" t="s">
        <v>100</v>
      </c>
      <c r="BB3585" s="7">
        <v>0.2259</v>
      </c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 t="s">
        <v>100</v>
      </c>
      <c r="BJ3585" s="4">
        <v>387</v>
      </c>
      <c r="BK3585" s="8">
        <v>7711.2</v>
      </c>
      <c r="BL3585" s="2" t="s">
        <v>5889</v>
      </c>
      <c r="BM3585" s="7">
        <v>0.0103</v>
      </c>
      <c r="BN3585" s="7">
        <v>0.0097</v>
      </c>
      <c r="BO3585" s="4">
        <v>4</v>
      </c>
      <c r="BP3585" s="8">
        <v>74.6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1539</v>
      </c>
      <c r="BX3585" s="2" t="s">
        <v>4201</v>
      </c>
      <c r="BY3585" s="2" t="s">
        <v>113</v>
      </c>
      <c r="BZ3585" s="2" t="s">
        <v>100</v>
      </c>
    </row>
    <row r="3586">
      <c r="A3586" s="2" t="s">
        <v>11058</v>
      </c>
      <c r="B3586" s="2" t="s">
        <v>9668</v>
      </c>
      <c r="C3586" s="2" t="s">
        <v>3934</v>
      </c>
      <c r="D3586" s="2" t="s">
        <v>9669</v>
      </c>
      <c r="E3586" s="2" t="s">
        <v>9670</v>
      </c>
      <c r="F3586" s="2" t="s">
        <v>11053</v>
      </c>
      <c r="G3586" s="2" t="s">
        <v>11053</v>
      </c>
      <c r="H3586" s="2" t="s">
        <v>11053</v>
      </c>
      <c r="I3586" s="2" t="s">
        <v>9672</v>
      </c>
      <c r="J3586" s="2" t="s">
        <v>2072</v>
      </c>
      <c r="K3586" s="2" t="s">
        <v>11059</v>
      </c>
      <c r="L3586" s="3">
        <v>15.4</v>
      </c>
      <c r="M3586" s="3">
        <v>16.17</v>
      </c>
      <c r="N3586" s="3">
        <v>34.99</v>
      </c>
      <c r="O3586" s="2" t="s">
        <v>97</v>
      </c>
      <c r="P3586" s="2" t="s">
        <v>119</v>
      </c>
      <c r="Q3586" s="2" t="s">
        <v>99</v>
      </c>
      <c r="R3586" s="2" t="s">
        <v>100</v>
      </c>
      <c r="S3586" s="2" t="s">
        <v>11054</v>
      </c>
      <c r="T3586" s="2" t="s">
        <v>218</v>
      </c>
      <c r="U3586" s="2" t="s">
        <v>480</v>
      </c>
      <c r="V3586" s="2" t="s">
        <v>5245</v>
      </c>
      <c r="W3586" s="2" t="s">
        <v>561</v>
      </c>
      <c r="X3586" s="2" t="s">
        <v>100</v>
      </c>
      <c r="Y3586" s="2" t="s">
        <v>10622</v>
      </c>
      <c r="Z3586" s="4">
        <v>247</v>
      </c>
      <c r="AA3586" s="4">
        <f>=ROUNDDOWN(117.619047619048,0)</f>
      </c>
      <c r="AB3586" s="5">
        <v>2.1</v>
      </c>
      <c r="AC3586" s="2" t="s">
        <v>100</v>
      </c>
      <c r="AD3586" s="4"/>
      <c r="AE3586" s="4"/>
      <c r="AF3586" s="6">
        <v>66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>
        <v>3</v>
      </c>
      <c r="AQ3586" s="8">
        <v>47.94</v>
      </c>
      <c r="AR3586" s="4"/>
      <c r="AS3586" s="8"/>
      <c r="AT3586" s="7"/>
      <c r="AU3586" s="7"/>
      <c r="AV3586" s="4">
        <v>3</v>
      </c>
      <c r="AW3586" s="8">
        <v>47.94</v>
      </c>
      <c r="AX3586" s="4"/>
      <c r="AY3586" s="8"/>
      <c r="AZ3586" s="7"/>
      <c r="BA3586" s="7"/>
      <c r="BB3586" s="7">
        <v>1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>
        <v>0.1268</v>
      </c>
      <c r="BJ3586" s="4">
        <v>125</v>
      </c>
      <c r="BK3586" s="8">
        <v>2226.7</v>
      </c>
      <c r="BL3586" s="2" t="s">
        <v>6404</v>
      </c>
      <c r="BM3586" s="7">
        <v>0.024</v>
      </c>
      <c r="BN3586" s="7">
        <v>0.0215</v>
      </c>
      <c r="BO3586" s="4">
        <v>3</v>
      </c>
      <c r="BP3586" s="8">
        <v>47.94</v>
      </c>
      <c r="BQ3586" s="4"/>
      <c r="BR3586" s="8"/>
      <c r="BS3586" s="7"/>
      <c r="BT3586" s="7"/>
      <c r="BU3586" s="2" t="s">
        <v>109</v>
      </c>
      <c r="BV3586" s="2" t="s">
        <v>110</v>
      </c>
      <c r="BW3586" s="2" t="s">
        <v>1928</v>
      </c>
      <c r="BX3586" s="2" t="s">
        <v>4538</v>
      </c>
      <c r="BY3586" s="2" t="s">
        <v>113</v>
      </c>
      <c r="BZ3586" s="2" t="s">
        <v>100</v>
      </c>
    </row>
    <row r="3587">
      <c r="A3587" s="2" t="s">
        <v>11060</v>
      </c>
      <c r="B3587" s="2" t="s">
        <v>9668</v>
      </c>
      <c r="C3587" s="2" t="s">
        <v>3934</v>
      </c>
      <c r="D3587" s="2" t="s">
        <v>9669</v>
      </c>
      <c r="E3587" s="2" t="s">
        <v>9670</v>
      </c>
      <c r="F3587" s="2" t="s">
        <v>3937</v>
      </c>
      <c r="G3587" s="2" t="s">
        <v>3937</v>
      </c>
      <c r="H3587" s="2" t="s">
        <v>3937</v>
      </c>
      <c r="I3587" s="2" t="s">
        <v>11061</v>
      </c>
      <c r="J3587" s="2" t="s">
        <v>11062</v>
      </c>
      <c r="K3587" s="2" t="s">
        <v>11063</v>
      </c>
      <c r="L3587" s="3">
        <v>12.6</v>
      </c>
      <c r="M3587" s="3">
        <v>13.23</v>
      </c>
      <c r="N3587" s="3">
        <v>27.99</v>
      </c>
      <c r="O3587" s="2" t="s">
        <v>97</v>
      </c>
      <c r="P3587" s="2" t="s">
        <v>119</v>
      </c>
      <c r="Q3587" s="2" t="s">
        <v>99</v>
      </c>
      <c r="R3587" s="2" t="s">
        <v>100</v>
      </c>
      <c r="S3587" s="2" t="s">
        <v>11064</v>
      </c>
      <c r="T3587" s="2" t="s">
        <v>218</v>
      </c>
      <c r="U3587" s="2" t="s">
        <v>480</v>
      </c>
      <c r="V3587" s="2" t="s">
        <v>3937</v>
      </c>
      <c r="W3587" s="2" t="s">
        <v>183</v>
      </c>
      <c r="X3587" s="2" t="s">
        <v>100</v>
      </c>
      <c r="Y3587" s="2" t="s">
        <v>10626</v>
      </c>
      <c r="Z3587" s="4">
        <v>186</v>
      </c>
      <c r="AA3587" s="4">
        <f>=ROUNDDOWN(41.3333333333333,0)</f>
      </c>
      <c r="AB3587" s="5">
        <v>4.5</v>
      </c>
      <c r="AC3587" s="2" t="s">
        <v>100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>
        <v>4</v>
      </c>
      <c r="AW3587" s="8">
        <v>62.6</v>
      </c>
      <c r="AX3587" s="4" t="s">
        <v>100</v>
      </c>
      <c r="AY3587" s="8" t="s">
        <v>100</v>
      </c>
      <c r="AZ3587" s="7" t="s">
        <v>100</v>
      </c>
      <c r="BA3587" s="7" t="s">
        <v>100</v>
      </c>
      <c r="BB3587" s="7"/>
      <c r="BC3587" s="4">
        <v>11</v>
      </c>
      <c r="BD3587" s="8">
        <v>158.6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0.3947</v>
      </c>
      <c r="BJ3587" s="4">
        <v>101</v>
      </c>
      <c r="BK3587" s="8">
        <v>1431.54</v>
      </c>
      <c r="BL3587" s="2" t="s">
        <v>658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162</v>
      </c>
      <c r="BX3587" s="2" t="s">
        <v>11065</v>
      </c>
      <c r="BY3587" s="2" t="s">
        <v>113</v>
      </c>
      <c r="BZ3587" s="2" t="s">
        <v>100</v>
      </c>
    </row>
    <row r="3588">
      <c r="A3588" s="2" t="s">
        <v>11066</v>
      </c>
      <c r="B3588" s="2" t="s">
        <v>9668</v>
      </c>
      <c r="C3588" s="2" t="s">
        <v>3934</v>
      </c>
      <c r="D3588" s="2" t="s">
        <v>9669</v>
      </c>
      <c r="E3588" s="2" t="s">
        <v>9670</v>
      </c>
      <c r="F3588" s="2" t="s">
        <v>3937</v>
      </c>
      <c r="G3588" s="2" t="s">
        <v>3937</v>
      </c>
      <c r="H3588" s="2" t="s">
        <v>3937</v>
      </c>
      <c r="I3588" s="2" t="s">
        <v>11061</v>
      </c>
      <c r="J3588" s="2" t="s">
        <v>706</v>
      </c>
      <c r="K3588" s="2" t="s">
        <v>11063</v>
      </c>
      <c r="L3588" s="3">
        <v>14.85</v>
      </c>
      <c r="M3588" s="3">
        <v>15.59</v>
      </c>
      <c r="N3588" s="3">
        <v>32.99</v>
      </c>
      <c r="O3588" s="2" t="s">
        <v>97</v>
      </c>
      <c r="P3588" s="2" t="s">
        <v>119</v>
      </c>
      <c r="Q3588" s="2" t="s">
        <v>99</v>
      </c>
      <c r="R3588" s="2" t="s">
        <v>100</v>
      </c>
      <c r="S3588" s="2" t="s">
        <v>11064</v>
      </c>
      <c r="T3588" s="2" t="s">
        <v>218</v>
      </c>
      <c r="U3588" s="2" t="s">
        <v>402</v>
      </c>
      <c r="V3588" s="2" t="s">
        <v>3937</v>
      </c>
      <c r="W3588" s="2" t="s">
        <v>183</v>
      </c>
      <c r="X3588" s="2" t="s">
        <v>100</v>
      </c>
      <c r="Y3588" s="2" t="s">
        <v>10626</v>
      </c>
      <c r="Z3588" s="4">
        <v>472</v>
      </c>
      <c r="AA3588" s="4">
        <f>=ROUNDDOWN(47.2,0)</f>
      </c>
      <c r="AB3588" s="5">
        <v>10</v>
      </c>
      <c r="AC3588" s="2" t="s">
        <v>6525</v>
      </c>
      <c r="AD3588" s="4">
        <v>350</v>
      </c>
      <c r="AE3588" s="4">
        <v>350</v>
      </c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/>
      <c r="AP3588" s="4">
        <v>4</v>
      </c>
      <c r="AQ3588" s="8">
        <v>62.6</v>
      </c>
      <c r="AR3588" s="4"/>
      <c r="AS3588" s="8"/>
      <c r="AT3588" s="7"/>
      <c r="AU3588" s="7"/>
      <c r="AV3588" s="4" t="s">
        <v>100</v>
      </c>
      <c r="AW3588" s="8" t="s">
        <v>100</v>
      </c>
      <c r="AX3588" s="4" t="s">
        <v>100</v>
      </c>
      <c r="AY3588" s="8" t="s">
        <v>100</v>
      </c>
      <c r="AZ3588" s="7" t="s">
        <v>100</v>
      </c>
      <c r="BA3588" s="7" t="s">
        <v>100</v>
      </c>
      <c r="BB3588" s="7">
        <v>1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 t="s">
        <v>100</v>
      </c>
      <c r="BJ3588" s="4">
        <v>396</v>
      </c>
      <c r="BK3588" s="8">
        <v>6788.78</v>
      </c>
      <c r="BL3588" s="2" t="s">
        <v>11067</v>
      </c>
      <c r="BM3588" s="7">
        <v>0.0101</v>
      </c>
      <c r="BN3588" s="7">
        <v>0.0092</v>
      </c>
      <c r="BO3588" s="4">
        <v>4</v>
      </c>
      <c r="BP3588" s="8">
        <v>62.6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162</v>
      </c>
      <c r="BX3588" s="2" t="s">
        <v>11068</v>
      </c>
      <c r="BY3588" s="2" t="s">
        <v>113</v>
      </c>
      <c r="BZ3588" s="2" t="s">
        <v>100</v>
      </c>
    </row>
    <row r="3589">
      <c r="A3589" s="2" t="s">
        <v>11069</v>
      </c>
      <c r="B3589" s="2" t="s">
        <v>9668</v>
      </c>
      <c r="C3589" s="2" t="s">
        <v>3934</v>
      </c>
      <c r="D3589" s="2" t="s">
        <v>9669</v>
      </c>
      <c r="E3589" s="2" t="s">
        <v>9670</v>
      </c>
      <c r="F3589" s="2" t="s">
        <v>3937</v>
      </c>
      <c r="G3589" s="2" t="s">
        <v>3937</v>
      </c>
      <c r="H3589" s="2" t="s">
        <v>3937</v>
      </c>
      <c r="I3589" s="2" t="s">
        <v>11061</v>
      </c>
      <c r="J3589" s="2" t="s">
        <v>11062</v>
      </c>
      <c r="K3589" s="2" t="s">
        <v>11070</v>
      </c>
      <c r="L3589" s="3">
        <v>12.6</v>
      </c>
      <c r="M3589" s="3">
        <v>13.23</v>
      </c>
      <c r="N3589" s="3">
        <v>27.99</v>
      </c>
      <c r="O3589" s="2" t="s">
        <v>97</v>
      </c>
      <c r="P3589" s="2" t="s">
        <v>119</v>
      </c>
      <c r="Q3589" s="2" t="s">
        <v>99</v>
      </c>
      <c r="R3589" s="2" t="s">
        <v>100</v>
      </c>
      <c r="S3589" s="2" t="s">
        <v>11071</v>
      </c>
      <c r="T3589" s="2" t="s">
        <v>218</v>
      </c>
      <c r="U3589" s="2" t="s">
        <v>100</v>
      </c>
      <c r="V3589" s="2" t="s">
        <v>3937</v>
      </c>
      <c r="W3589" s="2" t="s">
        <v>183</v>
      </c>
      <c r="X3589" s="2" t="s">
        <v>100</v>
      </c>
      <c r="Y3589" s="2" t="s">
        <v>10626</v>
      </c>
      <c r="Z3589" s="4">
        <v>20</v>
      </c>
      <c r="AA3589" s="4">
        <f>=ROUNDDOWN(4,0)</f>
      </c>
      <c r="AB3589" s="5">
        <v>5</v>
      </c>
      <c r="AC3589" s="2" t="s">
        <v>1035</v>
      </c>
      <c r="AD3589" s="4">
        <v>150</v>
      </c>
      <c r="AE3589" s="4">
        <v>150</v>
      </c>
      <c r="AF3589" s="6">
        <v>65</v>
      </c>
      <c r="AG3589" s="6"/>
      <c r="AH3589" s="7">
        <v>0.9091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>
        <v>4</v>
      </c>
      <c r="AQ3589" s="8">
        <v>52.2</v>
      </c>
      <c r="AR3589" s="4"/>
      <c r="AS3589" s="8"/>
      <c r="AT3589" s="7"/>
      <c r="AU3589" s="7"/>
      <c r="AV3589" s="4">
        <v>4</v>
      </c>
      <c r="AW3589" s="8">
        <v>52.2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>
        <v>1</v>
      </c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>
        <v>0.3291</v>
      </c>
      <c r="BJ3589" s="4">
        <v>151</v>
      </c>
      <c r="BK3589" s="8">
        <v>2141.57</v>
      </c>
      <c r="BL3589" s="2" t="s">
        <v>10026</v>
      </c>
      <c r="BM3589" s="7">
        <v>0.0265</v>
      </c>
      <c r="BN3589" s="7">
        <v>0.0244</v>
      </c>
      <c r="BO3589" s="4">
        <v>4</v>
      </c>
      <c r="BP3589" s="8">
        <v>52.2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162</v>
      </c>
      <c r="BX3589" s="2" t="s">
        <v>5531</v>
      </c>
      <c r="BY3589" s="2" t="s">
        <v>113</v>
      </c>
      <c r="BZ3589" s="2" t="s">
        <v>100</v>
      </c>
    </row>
    <row r="3590">
      <c r="A3590" s="2" t="s">
        <v>11072</v>
      </c>
      <c r="B3590" s="2" t="s">
        <v>9668</v>
      </c>
      <c r="C3590" s="2" t="s">
        <v>3934</v>
      </c>
      <c r="D3590" s="2" t="s">
        <v>9669</v>
      </c>
      <c r="E3590" s="2" t="s">
        <v>9670</v>
      </c>
      <c r="F3590" s="2" t="s">
        <v>3937</v>
      </c>
      <c r="G3590" s="2" t="s">
        <v>3937</v>
      </c>
      <c r="H3590" s="2" t="s">
        <v>3937</v>
      </c>
      <c r="I3590" s="2" t="s">
        <v>11061</v>
      </c>
      <c r="J3590" s="2" t="s">
        <v>706</v>
      </c>
      <c r="K3590" s="2" t="s">
        <v>11070</v>
      </c>
      <c r="L3590" s="3">
        <v>14.85</v>
      </c>
      <c r="M3590" s="3">
        <v>15.59</v>
      </c>
      <c r="N3590" s="3">
        <v>32.99</v>
      </c>
      <c r="O3590" s="2" t="s">
        <v>97</v>
      </c>
      <c r="P3590" s="2" t="s">
        <v>119</v>
      </c>
      <c r="Q3590" s="2" t="s">
        <v>99</v>
      </c>
      <c r="R3590" s="2" t="s">
        <v>100</v>
      </c>
      <c r="S3590" s="2" t="s">
        <v>11071</v>
      </c>
      <c r="T3590" s="2" t="s">
        <v>218</v>
      </c>
      <c r="U3590" s="2" t="s">
        <v>100</v>
      </c>
      <c r="V3590" s="2" t="s">
        <v>3937</v>
      </c>
      <c r="W3590" s="2" t="s">
        <v>183</v>
      </c>
      <c r="X3590" s="2" t="s">
        <v>100</v>
      </c>
      <c r="Y3590" s="2" t="s">
        <v>10626</v>
      </c>
      <c r="Z3590" s="4">
        <v>141</v>
      </c>
      <c r="AA3590" s="4">
        <f>=ROUNDDOWN(12.8181818181818,0)</f>
      </c>
      <c r="AB3590" s="5">
        <v>11</v>
      </c>
      <c r="AC3590" s="2" t="s">
        <v>1035</v>
      </c>
      <c r="AD3590" s="4">
        <v>130</v>
      </c>
      <c r="AE3590" s="4">
        <v>130</v>
      </c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100</v>
      </c>
      <c r="AW3590" s="8" t="s">
        <v>100</v>
      </c>
      <c r="AX3590" s="4" t="s">
        <v>100</v>
      </c>
      <c r="AY3590" s="8" t="s">
        <v>100</v>
      </c>
      <c r="AZ3590" s="7" t="s">
        <v>100</v>
      </c>
      <c r="BA3590" s="7" t="s">
        <v>100</v>
      </c>
      <c r="BB3590" s="7"/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 t="s">
        <v>100</v>
      </c>
      <c r="BJ3590" s="4">
        <v>285</v>
      </c>
      <c r="BK3590" s="8">
        <v>4799.59</v>
      </c>
      <c r="BL3590" s="2" t="s">
        <v>11073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162</v>
      </c>
      <c r="BX3590" s="2" t="s">
        <v>11074</v>
      </c>
      <c r="BY3590" s="2" t="s">
        <v>113</v>
      </c>
      <c r="BZ3590" s="2" t="s">
        <v>100</v>
      </c>
    </row>
    <row r="3591">
      <c r="A3591" s="2" t="s">
        <v>11075</v>
      </c>
      <c r="B3591" s="2" t="s">
        <v>9668</v>
      </c>
      <c r="C3591" s="2" t="s">
        <v>3934</v>
      </c>
      <c r="D3591" s="2" t="s">
        <v>9669</v>
      </c>
      <c r="E3591" s="2" t="s">
        <v>9670</v>
      </c>
      <c r="F3591" s="2" t="s">
        <v>3937</v>
      </c>
      <c r="G3591" s="2" t="s">
        <v>3937</v>
      </c>
      <c r="H3591" s="2" t="s">
        <v>3937</v>
      </c>
      <c r="I3591" s="2" t="s">
        <v>11061</v>
      </c>
      <c r="J3591" s="2" t="s">
        <v>1936</v>
      </c>
      <c r="K3591" s="2" t="s">
        <v>11076</v>
      </c>
      <c r="L3591" s="3">
        <v>12.6</v>
      </c>
      <c r="M3591" s="3">
        <v>13.23</v>
      </c>
      <c r="N3591" s="3">
        <v>27.99</v>
      </c>
      <c r="O3591" s="2" t="s">
        <v>97</v>
      </c>
      <c r="P3591" s="2" t="s">
        <v>119</v>
      </c>
      <c r="Q3591" s="2" t="s">
        <v>99</v>
      </c>
      <c r="R3591" s="2" t="s">
        <v>100</v>
      </c>
      <c r="S3591" s="2" t="s">
        <v>11077</v>
      </c>
      <c r="T3591" s="2" t="s">
        <v>218</v>
      </c>
      <c r="U3591" s="2" t="s">
        <v>100</v>
      </c>
      <c r="V3591" s="2" t="s">
        <v>3937</v>
      </c>
      <c r="W3591" s="2" t="s">
        <v>183</v>
      </c>
      <c r="X3591" s="2" t="s">
        <v>100</v>
      </c>
      <c r="Y3591" s="2" t="s">
        <v>10626</v>
      </c>
      <c r="Z3591" s="4">
        <v>41</v>
      </c>
      <c r="AA3591" s="4">
        <f>=ROUNDDOWN(5.125,0)</f>
      </c>
      <c r="AB3591" s="5">
        <v>8</v>
      </c>
      <c r="AC3591" s="2" t="s">
        <v>1035</v>
      </c>
      <c r="AD3591" s="4">
        <v>180</v>
      </c>
      <c r="AE3591" s="4">
        <v>180</v>
      </c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>
        <v>3</v>
      </c>
      <c r="AW3591" s="8">
        <v>43.8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/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0.2762</v>
      </c>
      <c r="BJ3591" s="4">
        <v>195</v>
      </c>
      <c r="BK3591" s="8">
        <v>2738.41</v>
      </c>
      <c r="BL3591" s="2" t="s">
        <v>11078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162</v>
      </c>
      <c r="BX3591" s="2" t="s">
        <v>2286</v>
      </c>
      <c r="BY3591" s="2" t="s">
        <v>113</v>
      </c>
      <c r="BZ3591" s="2" t="s">
        <v>100</v>
      </c>
    </row>
    <row r="3592">
      <c r="A3592" s="2" t="s">
        <v>11079</v>
      </c>
      <c r="B3592" s="2" t="s">
        <v>9668</v>
      </c>
      <c r="C3592" s="2" t="s">
        <v>3934</v>
      </c>
      <c r="D3592" s="2" t="s">
        <v>9669</v>
      </c>
      <c r="E3592" s="2" t="s">
        <v>9670</v>
      </c>
      <c r="F3592" s="2" t="s">
        <v>3937</v>
      </c>
      <c r="G3592" s="2" t="s">
        <v>3937</v>
      </c>
      <c r="H3592" s="2" t="s">
        <v>3937</v>
      </c>
      <c r="I3592" s="2" t="s">
        <v>11061</v>
      </c>
      <c r="J3592" s="2" t="s">
        <v>717</v>
      </c>
      <c r="K3592" s="2" t="s">
        <v>11076</v>
      </c>
      <c r="L3592" s="3">
        <v>13.95</v>
      </c>
      <c r="M3592" s="3">
        <v>14.65</v>
      </c>
      <c r="N3592" s="3">
        <v>30.99</v>
      </c>
      <c r="O3592" s="2" t="s">
        <v>97</v>
      </c>
      <c r="P3592" s="2" t="s">
        <v>119</v>
      </c>
      <c r="Q3592" s="2" t="s">
        <v>99</v>
      </c>
      <c r="R3592" s="2" t="s">
        <v>100</v>
      </c>
      <c r="S3592" s="2" t="s">
        <v>11077</v>
      </c>
      <c r="T3592" s="2" t="s">
        <v>218</v>
      </c>
      <c r="U3592" s="2" t="s">
        <v>100</v>
      </c>
      <c r="V3592" s="2" t="s">
        <v>3937</v>
      </c>
      <c r="W3592" s="2" t="s">
        <v>183</v>
      </c>
      <c r="X3592" s="2" t="s">
        <v>100</v>
      </c>
      <c r="Y3592" s="2" t="s">
        <v>10626</v>
      </c>
      <c r="Z3592" s="4">
        <v>112</v>
      </c>
      <c r="AA3592" s="4">
        <f>=ROUNDDOWN(13.3333333333333,0)</f>
      </c>
      <c r="AB3592" s="5">
        <v>8.4</v>
      </c>
      <c r="AC3592" s="2" t="s">
        <v>1035</v>
      </c>
      <c r="AD3592" s="4">
        <v>130</v>
      </c>
      <c r="AE3592" s="4">
        <v>130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>
        <v>3</v>
      </c>
      <c r="AQ3592" s="8">
        <v>43.8</v>
      </c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>
        <v>1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141</v>
      </c>
      <c r="BK3592" s="8">
        <v>2298.85</v>
      </c>
      <c r="BL3592" s="2" t="s">
        <v>11080</v>
      </c>
      <c r="BM3592" s="7">
        <v>0.0213</v>
      </c>
      <c r="BN3592" s="7">
        <v>0.0191</v>
      </c>
      <c r="BO3592" s="4">
        <v>3</v>
      </c>
      <c r="BP3592" s="8">
        <v>43.8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162</v>
      </c>
      <c r="BX3592" s="2" t="s">
        <v>1718</v>
      </c>
      <c r="BY3592" s="2" t="s">
        <v>113</v>
      </c>
      <c r="BZ3592" s="2" t="s">
        <v>100</v>
      </c>
    </row>
    <row r="3593">
      <c r="A3593" s="2" t="s">
        <v>11081</v>
      </c>
      <c r="B3593" s="2" t="s">
        <v>9668</v>
      </c>
      <c r="C3593" s="2" t="s">
        <v>3934</v>
      </c>
      <c r="D3593" s="2" t="s">
        <v>9669</v>
      </c>
      <c r="E3593" s="2" t="s">
        <v>9670</v>
      </c>
      <c r="F3593" s="2" t="s">
        <v>3937</v>
      </c>
      <c r="G3593" s="2" t="s">
        <v>3937</v>
      </c>
      <c r="H3593" s="2" t="s">
        <v>3937</v>
      </c>
      <c r="I3593" s="2" t="s">
        <v>11061</v>
      </c>
      <c r="J3593" s="2" t="s">
        <v>706</v>
      </c>
      <c r="K3593" s="2" t="s">
        <v>11076</v>
      </c>
      <c r="L3593" s="3">
        <v>14.85</v>
      </c>
      <c r="M3593" s="3">
        <v>15.59</v>
      </c>
      <c r="N3593" s="3">
        <v>32.99</v>
      </c>
      <c r="O3593" s="2" t="s">
        <v>97</v>
      </c>
      <c r="P3593" s="2" t="s">
        <v>119</v>
      </c>
      <c r="Q3593" s="2" t="s">
        <v>99</v>
      </c>
      <c r="R3593" s="2" t="s">
        <v>100</v>
      </c>
      <c r="S3593" s="2" t="s">
        <v>11077</v>
      </c>
      <c r="T3593" s="2" t="s">
        <v>218</v>
      </c>
      <c r="U3593" s="2" t="s">
        <v>100</v>
      </c>
      <c r="V3593" s="2" t="s">
        <v>3937</v>
      </c>
      <c r="W3593" s="2" t="s">
        <v>183</v>
      </c>
      <c r="X3593" s="2" t="s">
        <v>100</v>
      </c>
      <c r="Y3593" s="2" t="s">
        <v>10626</v>
      </c>
      <c r="Z3593" s="4">
        <v>156</v>
      </c>
      <c r="AA3593" s="4">
        <f>=ROUNDDOWN(14.3119266055046,0)</f>
      </c>
      <c r="AB3593" s="5">
        <v>10.9</v>
      </c>
      <c r="AC3593" s="2" t="s">
        <v>1035</v>
      </c>
      <c r="AD3593" s="4">
        <v>100</v>
      </c>
      <c r="AE3593" s="4">
        <v>100</v>
      </c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100</v>
      </c>
      <c r="AW3593" s="8" t="s">
        <v>100</v>
      </c>
      <c r="AX3593" s="4" t="s">
        <v>100</v>
      </c>
      <c r="AY3593" s="8" t="s">
        <v>100</v>
      </c>
      <c r="AZ3593" s="7" t="s">
        <v>100</v>
      </c>
      <c r="BA3593" s="7" t="s">
        <v>100</v>
      </c>
      <c r="BB3593" s="7"/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 t="s">
        <v>100</v>
      </c>
      <c r="BJ3593" s="4">
        <v>203</v>
      </c>
      <c r="BK3593" s="8">
        <v>3398.75</v>
      </c>
      <c r="BL3593" s="2" t="s">
        <v>11082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162</v>
      </c>
      <c r="BX3593" s="2" t="s">
        <v>11074</v>
      </c>
      <c r="BY3593" s="2" t="s">
        <v>113</v>
      </c>
      <c r="BZ3593" s="2" t="s">
        <v>100</v>
      </c>
    </row>
    <row r="3594">
      <c r="A3594" s="2" t="s">
        <v>11083</v>
      </c>
      <c r="B3594" s="2" t="s">
        <v>9668</v>
      </c>
      <c r="C3594" s="2" t="s">
        <v>3934</v>
      </c>
      <c r="D3594" s="2" t="s">
        <v>9669</v>
      </c>
      <c r="E3594" s="2" t="s">
        <v>9670</v>
      </c>
      <c r="F3594" s="2" t="s">
        <v>11084</v>
      </c>
      <c r="G3594" s="2" t="s">
        <v>11084</v>
      </c>
      <c r="H3594" s="2" t="s">
        <v>11084</v>
      </c>
      <c r="I3594" s="2" t="s">
        <v>10016</v>
      </c>
      <c r="J3594" s="2" t="s">
        <v>1936</v>
      </c>
      <c r="K3594" s="2" t="s">
        <v>11085</v>
      </c>
      <c r="L3594" s="3">
        <v>11.95</v>
      </c>
      <c r="M3594" s="3">
        <v>12.55</v>
      </c>
      <c r="N3594" s="3">
        <v>24.99</v>
      </c>
      <c r="O3594" s="2" t="s">
        <v>97</v>
      </c>
      <c r="P3594" s="2" t="s">
        <v>225</v>
      </c>
      <c r="Q3594" s="2" t="s">
        <v>99</v>
      </c>
      <c r="R3594" s="2" t="s">
        <v>100</v>
      </c>
      <c r="S3594" s="2" t="s">
        <v>11086</v>
      </c>
      <c r="T3594" s="2" t="s">
        <v>218</v>
      </c>
      <c r="U3594" s="2" t="s">
        <v>480</v>
      </c>
      <c r="V3594" s="2" t="s">
        <v>2661</v>
      </c>
      <c r="W3594" s="2" t="s">
        <v>183</v>
      </c>
      <c r="X3594" s="2" t="s">
        <v>100</v>
      </c>
      <c r="Y3594" s="2" t="s">
        <v>11087</v>
      </c>
      <c r="Z3594" s="4">
        <v>116</v>
      </c>
      <c r="AA3594" s="4">
        <f>=ROUNDDOWN(58,0)</f>
      </c>
      <c r="AB3594" s="5">
        <v>2</v>
      </c>
      <c r="AC3594" s="2" t="s">
        <v>100</v>
      </c>
      <c r="AD3594" s="4"/>
      <c r="AE3594" s="4"/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100</v>
      </c>
      <c r="AW3594" s="8" t="s">
        <v>100</v>
      </c>
      <c r="AX3594" s="4" t="s">
        <v>100</v>
      </c>
      <c r="AY3594" s="8" t="s">
        <v>100</v>
      </c>
      <c r="AZ3594" s="7" t="s">
        <v>100</v>
      </c>
      <c r="BA3594" s="7" t="s">
        <v>100</v>
      </c>
      <c r="BB3594" s="7"/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/>
      <c r="BJ3594" s="4">
        <v>12</v>
      </c>
      <c r="BK3594" s="8">
        <v>162.93</v>
      </c>
      <c r="BL3594" s="2" t="s">
        <v>11088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207</v>
      </c>
      <c r="BV3594" s="2" t="s">
        <v>97</v>
      </c>
      <c r="BW3594" s="2" t="s">
        <v>100</v>
      </c>
      <c r="BX3594" s="2" t="s">
        <v>100</v>
      </c>
      <c r="BY3594" s="2" t="s">
        <v>113</v>
      </c>
      <c r="BZ3594" s="2" t="s">
        <v>100</v>
      </c>
    </row>
    <row r="3595">
      <c r="A3595" s="2" t="s">
        <v>11089</v>
      </c>
      <c r="B3595" s="2" t="s">
        <v>9668</v>
      </c>
      <c r="C3595" s="2" t="s">
        <v>3934</v>
      </c>
      <c r="D3595" s="2" t="s">
        <v>9669</v>
      </c>
      <c r="E3595" s="2" t="s">
        <v>9670</v>
      </c>
      <c r="F3595" s="2" t="s">
        <v>11084</v>
      </c>
      <c r="G3595" s="2" t="s">
        <v>11084</v>
      </c>
      <c r="H3595" s="2" t="s">
        <v>11084</v>
      </c>
      <c r="I3595" s="2" t="s">
        <v>10016</v>
      </c>
      <c r="J3595" s="2" t="s">
        <v>717</v>
      </c>
      <c r="K3595" s="2" t="s">
        <v>11085</v>
      </c>
      <c r="L3595" s="3">
        <v>13.55</v>
      </c>
      <c r="M3595" s="3">
        <v>14.23</v>
      </c>
      <c r="N3595" s="3">
        <v>27.99</v>
      </c>
      <c r="O3595" s="2" t="s">
        <v>97</v>
      </c>
      <c r="P3595" s="2" t="s">
        <v>225</v>
      </c>
      <c r="Q3595" s="2" t="s">
        <v>99</v>
      </c>
      <c r="R3595" s="2" t="s">
        <v>100</v>
      </c>
      <c r="S3595" s="2" t="s">
        <v>11086</v>
      </c>
      <c r="T3595" s="2" t="s">
        <v>218</v>
      </c>
      <c r="U3595" s="2" t="s">
        <v>402</v>
      </c>
      <c r="V3595" s="2" t="s">
        <v>2661</v>
      </c>
      <c r="W3595" s="2" t="s">
        <v>183</v>
      </c>
      <c r="X3595" s="2" t="s">
        <v>100</v>
      </c>
      <c r="Y3595" s="2" t="s">
        <v>11087</v>
      </c>
      <c r="Z3595" s="4">
        <v>82</v>
      </c>
      <c r="AA3595" s="4">
        <f>=ROUNDDOWN(27.3333333333333,0)</f>
      </c>
      <c r="AB3595" s="5">
        <v>3</v>
      </c>
      <c r="AC3595" s="2" t="s">
        <v>100</v>
      </c>
      <c r="AD3595" s="4"/>
      <c r="AE3595" s="4"/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100</v>
      </c>
      <c r="AW3595" s="8" t="s">
        <v>100</v>
      </c>
      <c r="AX3595" s="4" t="s">
        <v>100</v>
      </c>
      <c r="AY3595" s="8" t="s">
        <v>100</v>
      </c>
      <c r="AZ3595" s="7" t="s">
        <v>100</v>
      </c>
      <c r="BA3595" s="7" t="s">
        <v>100</v>
      </c>
      <c r="BB3595" s="7"/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/>
      <c r="BJ3595" s="4">
        <v>38</v>
      </c>
      <c r="BK3595" s="8">
        <v>547.99</v>
      </c>
      <c r="BL3595" s="2" t="s">
        <v>11088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207</v>
      </c>
      <c r="BV3595" s="2" t="s">
        <v>97</v>
      </c>
      <c r="BW3595" s="2" t="s">
        <v>100</v>
      </c>
      <c r="BX3595" s="2" t="s">
        <v>100</v>
      </c>
      <c r="BY3595" s="2" t="s">
        <v>113</v>
      </c>
      <c r="BZ3595" s="2" t="s">
        <v>100</v>
      </c>
    </row>
    <row r="3596">
      <c r="A3596" s="2" t="s">
        <v>11090</v>
      </c>
      <c r="B3596" s="2" t="s">
        <v>9668</v>
      </c>
      <c r="C3596" s="2" t="s">
        <v>3934</v>
      </c>
      <c r="D3596" s="2" t="s">
        <v>9669</v>
      </c>
      <c r="E3596" s="2" t="s">
        <v>9670</v>
      </c>
      <c r="F3596" s="2" t="s">
        <v>11084</v>
      </c>
      <c r="G3596" s="2" t="s">
        <v>11084</v>
      </c>
      <c r="H3596" s="2" t="s">
        <v>11084</v>
      </c>
      <c r="I3596" s="2" t="s">
        <v>10016</v>
      </c>
      <c r="J3596" s="2" t="s">
        <v>706</v>
      </c>
      <c r="K3596" s="2" t="s">
        <v>11085</v>
      </c>
      <c r="L3596" s="3">
        <v>14.75</v>
      </c>
      <c r="M3596" s="3">
        <v>15.49</v>
      </c>
      <c r="N3596" s="3">
        <v>29.99</v>
      </c>
      <c r="O3596" s="2" t="s">
        <v>97</v>
      </c>
      <c r="P3596" s="2" t="s">
        <v>225</v>
      </c>
      <c r="Q3596" s="2" t="s">
        <v>99</v>
      </c>
      <c r="R3596" s="2" t="s">
        <v>100</v>
      </c>
      <c r="S3596" s="2" t="s">
        <v>11086</v>
      </c>
      <c r="T3596" s="2" t="s">
        <v>218</v>
      </c>
      <c r="U3596" s="2" t="s">
        <v>402</v>
      </c>
      <c r="V3596" s="2" t="s">
        <v>2661</v>
      </c>
      <c r="W3596" s="2" t="s">
        <v>183</v>
      </c>
      <c r="X3596" s="2" t="s">
        <v>100</v>
      </c>
      <c r="Y3596" s="2" t="s">
        <v>11087</v>
      </c>
      <c r="Z3596" s="4">
        <v>198</v>
      </c>
      <c r="AA3596" s="4">
        <f>=ROUNDDOWN(49.5,0)</f>
      </c>
      <c r="AB3596" s="5">
        <v>4</v>
      </c>
      <c r="AC3596" s="2" t="s">
        <v>100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100</v>
      </c>
      <c r="AW3596" s="8" t="s">
        <v>100</v>
      </c>
      <c r="AX3596" s="4" t="s">
        <v>100</v>
      </c>
      <c r="AY3596" s="8" t="s">
        <v>100</v>
      </c>
      <c r="AZ3596" s="7" t="s">
        <v>100</v>
      </c>
      <c r="BA3596" s="7" t="s">
        <v>100</v>
      </c>
      <c r="BB3596" s="7"/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/>
      <c r="BJ3596" s="4">
        <v>52</v>
      </c>
      <c r="BK3596" s="8">
        <v>852.71</v>
      </c>
      <c r="BL3596" s="2" t="s">
        <v>11091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207</v>
      </c>
      <c r="BV3596" s="2" t="s">
        <v>97</v>
      </c>
      <c r="BW3596" s="2" t="s">
        <v>100</v>
      </c>
      <c r="BX3596" s="2" t="s">
        <v>100</v>
      </c>
      <c r="BY3596" s="2" t="s">
        <v>113</v>
      </c>
      <c r="BZ3596" s="2" t="s">
        <v>100</v>
      </c>
    </row>
    <row r="3597">
      <c r="A3597" s="2" t="s">
        <v>11092</v>
      </c>
      <c r="B3597" s="2" t="s">
        <v>9668</v>
      </c>
      <c r="C3597" s="2" t="s">
        <v>3934</v>
      </c>
      <c r="D3597" s="2" t="s">
        <v>9669</v>
      </c>
      <c r="E3597" s="2" t="s">
        <v>9670</v>
      </c>
      <c r="F3597" s="2" t="s">
        <v>11084</v>
      </c>
      <c r="G3597" s="2" t="s">
        <v>11084</v>
      </c>
      <c r="H3597" s="2" t="s">
        <v>11084</v>
      </c>
      <c r="I3597" s="2" t="s">
        <v>10016</v>
      </c>
      <c r="J3597" s="2" t="s">
        <v>714</v>
      </c>
      <c r="K3597" s="2" t="s">
        <v>11085</v>
      </c>
      <c r="L3597" s="3">
        <v>16.35</v>
      </c>
      <c r="M3597" s="3">
        <v>17.17</v>
      </c>
      <c r="N3597" s="3">
        <v>34.99</v>
      </c>
      <c r="O3597" s="2" t="s">
        <v>97</v>
      </c>
      <c r="P3597" s="2" t="s">
        <v>225</v>
      </c>
      <c r="Q3597" s="2" t="s">
        <v>99</v>
      </c>
      <c r="R3597" s="2" t="s">
        <v>100</v>
      </c>
      <c r="S3597" s="2" t="s">
        <v>11086</v>
      </c>
      <c r="T3597" s="2" t="s">
        <v>218</v>
      </c>
      <c r="U3597" s="2" t="s">
        <v>402</v>
      </c>
      <c r="V3597" s="2" t="s">
        <v>2661</v>
      </c>
      <c r="W3597" s="2" t="s">
        <v>183</v>
      </c>
      <c r="X3597" s="2" t="s">
        <v>100</v>
      </c>
      <c r="Y3597" s="2" t="s">
        <v>11087</v>
      </c>
      <c r="Z3597" s="4">
        <v>77</v>
      </c>
      <c r="AA3597" s="4">
        <f>=ROUNDDOWN(38.5,0)</f>
      </c>
      <c r="AB3597" s="5">
        <v>2</v>
      </c>
      <c r="AC3597" s="2" t="s">
        <v>100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100</v>
      </c>
      <c r="AW3597" s="8" t="s">
        <v>100</v>
      </c>
      <c r="AX3597" s="4" t="s">
        <v>100</v>
      </c>
      <c r="AY3597" s="8" t="s">
        <v>100</v>
      </c>
      <c r="AZ3597" s="7" t="s">
        <v>100</v>
      </c>
      <c r="BA3597" s="7" t="s">
        <v>100</v>
      </c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/>
      <c r="BJ3597" s="4">
        <v>21</v>
      </c>
      <c r="BK3597" s="8">
        <v>378.32</v>
      </c>
      <c r="BL3597" s="2" t="s">
        <v>11093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207</v>
      </c>
      <c r="BV3597" s="2" t="s">
        <v>97</v>
      </c>
      <c r="BW3597" s="2" t="s">
        <v>100</v>
      </c>
      <c r="BX3597" s="2" t="s">
        <v>100</v>
      </c>
      <c r="BY3597" s="2" t="s">
        <v>113</v>
      </c>
      <c r="BZ3597" s="2" t="s">
        <v>100</v>
      </c>
    </row>
    <row r="3598">
      <c r="A3598" s="2" t="s">
        <v>11094</v>
      </c>
      <c r="B3598" s="2" t="s">
        <v>9668</v>
      </c>
      <c r="C3598" s="2" t="s">
        <v>3934</v>
      </c>
      <c r="D3598" s="2" t="s">
        <v>9669</v>
      </c>
      <c r="E3598" s="2" t="s">
        <v>9670</v>
      </c>
      <c r="F3598" s="2" t="s">
        <v>11084</v>
      </c>
      <c r="G3598" s="2" t="s">
        <v>11084</v>
      </c>
      <c r="H3598" s="2" t="s">
        <v>11084</v>
      </c>
      <c r="I3598" s="2" t="s">
        <v>10016</v>
      </c>
      <c r="J3598" s="2" t="s">
        <v>1936</v>
      </c>
      <c r="K3598" s="2" t="s">
        <v>11095</v>
      </c>
      <c r="L3598" s="3">
        <v>11.95</v>
      </c>
      <c r="M3598" s="3">
        <v>12.55</v>
      </c>
      <c r="N3598" s="3">
        <v>24.99</v>
      </c>
      <c r="O3598" s="2" t="s">
        <v>97</v>
      </c>
      <c r="P3598" s="2" t="s">
        <v>119</v>
      </c>
      <c r="Q3598" s="2" t="s">
        <v>99</v>
      </c>
      <c r="R3598" s="2" t="s">
        <v>100</v>
      </c>
      <c r="S3598" s="2" t="s">
        <v>11096</v>
      </c>
      <c r="T3598" s="2" t="s">
        <v>218</v>
      </c>
      <c r="U3598" s="2" t="s">
        <v>480</v>
      </c>
      <c r="V3598" s="2" t="s">
        <v>256</v>
      </c>
      <c r="W3598" s="2" t="s">
        <v>183</v>
      </c>
      <c r="X3598" s="2" t="s">
        <v>100</v>
      </c>
      <c r="Y3598" s="2" t="s">
        <v>11097</v>
      </c>
      <c r="Z3598" s="4">
        <v>135</v>
      </c>
      <c r="AA3598" s="4">
        <f>=ROUNDDOWN(45,0)</f>
      </c>
      <c r="AB3598" s="5">
        <v>3</v>
      </c>
      <c r="AC3598" s="2" t="s">
        <v>100</v>
      </c>
      <c r="AD3598" s="4"/>
      <c r="AE3598" s="4"/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100</v>
      </c>
      <c r="AW3598" s="8" t="s">
        <v>100</v>
      </c>
      <c r="AX3598" s="4" t="s">
        <v>100</v>
      </c>
      <c r="AY3598" s="8" t="s">
        <v>100</v>
      </c>
      <c r="AZ3598" s="7" t="s">
        <v>100</v>
      </c>
      <c r="BA3598" s="7" t="s">
        <v>100</v>
      </c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/>
      <c r="BJ3598" s="4">
        <v>69</v>
      </c>
      <c r="BK3598" s="8">
        <v>905.22</v>
      </c>
      <c r="BL3598" s="2" t="s">
        <v>537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207</v>
      </c>
      <c r="BV3598" s="2" t="s">
        <v>97</v>
      </c>
      <c r="BW3598" s="2" t="s">
        <v>100</v>
      </c>
      <c r="BX3598" s="2" t="s">
        <v>100</v>
      </c>
      <c r="BY3598" s="2" t="s">
        <v>113</v>
      </c>
      <c r="BZ3598" s="2" t="s">
        <v>100</v>
      </c>
    </row>
    <row r="3599">
      <c r="A3599" s="2" t="s">
        <v>11098</v>
      </c>
      <c r="B3599" s="2" t="s">
        <v>9668</v>
      </c>
      <c r="C3599" s="2" t="s">
        <v>3934</v>
      </c>
      <c r="D3599" s="2" t="s">
        <v>9669</v>
      </c>
      <c r="E3599" s="2" t="s">
        <v>9670</v>
      </c>
      <c r="F3599" s="2" t="s">
        <v>11084</v>
      </c>
      <c r="G3599" s="2" t="s">
        <v>11084</v>
      </c>
      <c r="H3599" s="2" t="s">
        <v>11084</v>
      </c>
      <c r="I3599" s="2" t="s">
        <v>10016</v>
      </c>
      <c r="J3599" s="2" t="s">
        <v>717</v>
      </c>
      <c r="K3599" s="2" t="s">
        <v>11095</v>
      </c>
      <c r="L3599" s="3">
        <v>13.55</v>
      </c>
      <c r="M3599" s="3">
        <v>14.23</v>
      </c>
      <c r="N3599" s="3">
        <v>27.99</v>
      </c>
      <c r="O3599" s="2" t="s">
        <v>97</v>
      </c>
      <c r="P3599" s="2" t="s">
        <v>119</v>
      </c>
      <c r="Q3599" s="2" t="s">
        <v>99</v>
      </c>
      <c r="R3599" s="2" t="s">
        <v>100</v>
      </c>
      <c r="S3599" s="2" t="s">
        <v>11096</v>
      </c>
      <c r="T3599" s="2" t="s">
        <v>218</v>
      </c>
      <c r="U3599" s="2" t="s">
        <v>402</v>
      </c>
      <c r="V3599" s="2" t="s">
        <v>256</v>
      </c>
      <c r="W3599" s="2" t="s">
        <v>183</v>
      </c>
      <c r="X3599" s="2" t="s">
        <v>100</v>
      </c>
      <c r="Y3599" s="2" t="s">
        <v>11097</v>
      </c>
      <c r="Z3599" s="4">
        <v>95</v>
      </c>
      <c r="AA3599" s="4">
        <f>=ROUNDDOWN(15.8333333333333,0)</f>
      </c>
      <c r="AB3599" s="5">
        <v>6</v>
      </c>
      <c r="AC3599" s="2" t="s">
        <v>1102</v>
      </c>
      <c r="AD3599" s="4">
        <v>80</v>
      </c>
      <c r="AE3599" s="4">
        <v>80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100</v>
      </c>
      <c r="AW3599" s="8" t="s">
        <v>100</v>
      </c>
      <c r="AX3599" s="4" t="s">
        <v>100</v>
      </c>
      <c r="AY3599" s="8" t="s">
        <v>100</v>
      </c>
      <c r="AZ3599" s="7" t="s">
        <v>100</v>
      </c>
      <c r="BA3599" s="7" t="s">
        <v>100</v>
      </c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/>
      <c r="BJ3599" s="4">
        <v>177</v>
      </c>
      <c r="BK3599" s="8">
        <v>2627.82</v>
      </c>
      <c r="BL3599" s="2" t="s">
        <v>1056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207</v>
      </c>
      <c r="BV3599" s="2" t="s">
        <v>97</v>
      </c>
      <c r="BW3599" s="2" t="s">
        <v>100</v>
      </c>
      <c r="BX3599" s="2" t="s">
        <v>100</v>
      </c>
      <c r="BY3599" s="2" t="s">
        <v>113</v>
      </c>
      <c r="BZ3599" s="2" t="s">
        <v>100</v>
      </c>
    </row>
    <row r="3600">
      <c r="A3600" s="2" t="s">
        <v>11099</v>
      </c>
      <c r="B3600" s="2" t="s">
        <v>9668</v>
      </c>
      <c r="C3600" s="2" t="s">
        <v>3934</v>
      </c>
      <c r="D3600" s="2" t="s">
        <v>9669</v>
      </c>
      <c r="E3600" s="2" t="s">
        <v>9670</v>
      </c>
      <c r="F3600" s="2" t="s">
        <v>11084</v>
      </c>
      <c r="G3600" s="2" t="s">
        <v>11084</v>
      </c>
      <c r="H3600" s="2" t="s">
        <v>11084</v>
      </c>
      <c r="I3600" s="2" t="s">
        <v>10016</v>
      </c>
      <c r="J3600" s="2" t="s">
        <v>706</v>
      </c>
      <c r="K3600" s="2" t="s">
        <v>11095</v>
      </c>
      <c r="L3600" s="3">
        <v>14.75</v>
      </c>
      <c r="M3600" s="3">
        <v>15.49</v>
      </c>
      <c r="N3600" s="3">
        <v>29.99</v>
      </c>
      <c r="O3600" s="2" t="s">
        <v>97</v>
      </c>
      <c r="P3600" s="2" t="s">
        <v>119</v>
      </c>
      <c r="Q3600" s="2" t="s">
        <v>99</v>
      </c>
      <c r="R3600" s="2" t="s">
        <v>100</v>
      </c>
      <c r="S3600" s="2" t="s">
        <v>11096</v>
      </c>
      <c r="T3600" s="2" t="s">
        <v>218</v>
      </c>
      <c r="U3600" s="2" t="s">
        <v>402</v>
      </c>
      <c r="V3600" s="2" t="s">
        <v>256</v>
      </c>
      <c r="W3600" s="2" t="s">
        <v>183</v>
      </c>
      <c r="X3600" s="2" t="s">
        <v>100</v>
      </c>
      <c r="Y3600" s="2" t="s">
        <v>11097</v>
      </c>
      <c r="Z3600" s="4">
        <v>103</v>
      </c>
      <c r="AA3600" s="4">
        <f>=ROUNDDOWN(9.53703703703704,0)</f>
      </c>
      <c r="AB3600" s="5">
        <v>10.8</v>
      </c>
      <c r="AC3600" s="2" t="s">
        <v>1102</v>
      </c>
      <c r="AD3600" s="4">
        <v>400</v>
      </c>
      <c r="AE3600" s="4">
        <v>400</v>
      </c>
      <c r="AF3600" s="6">
        <v>65</v>
      </c>
      <c r="AG3600" s="6"/>
      <c r="AH3600" s="7">
        <v>0.8877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100</v>
      </c>
      <c r="AW3600" s="8" t="s">
        <v>100</v>
      </c>
      <c r="AX3600" s="4" t="s">
        <v>100</v>
      </c>
      <c r="AY3600" s="8" t="s">
        <v>100</v>
      </c>
      <c r="AZ3600" s="7" t="s">
        <v>100</v>
      </c>
      <c r="BA3600" s="7" t="s">
        <v>100</v>
      </c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/>
      <c r="BJ3600" s="4">
        <v>420</v>
      </c>
      <c r="BK3600" s="8">
        <v>6938.56</v>
      </c>
      <c r="BL3600" s="2" t="s">
        <v>1056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207</v>
      </c>
      <c r="BV3600" s="2" t="s">
        <v>97</v>
      </c>
      <c r="BW3600" s="2" t="s">
        <v>100</v>
      </c>
      <c r="BX3600" s="2" t="s">
        <v>100</v>
      </c>
      <c r="BY3600" s="2" t="s">
        <v>113</v>
      </c>
      <c r="BZ3600" s="2" t="s">
        <v>100</v>
      </c>
    </row>
    <row r="3601">
      <c r="A3601" s="2" t="s">
        <v>11100</v>
      </c>
      <c r="B3601" s="2" t="s">
        <v>9668</v>
      </c>
      <c r="C3601" s="2" t="s">
        <v>3934</v>
      </c>
      <c r="D3601" s="2" t="s">
        <v>9669</v>
      </c>
      <c r="E3601" s="2" t="s">
        <v>9670</v>
      </c>
      <c r="F3601" s="2" t="s">
        <v>11084</v>
      </c>
      <c r="G3601" s="2" t="s">
        <v>11084</v>
      </c>
      <c r="H3601" s="2" t="s">
        <v>11084</v>
      </c>
      <c r="I3601" s="2" t="s">
        <v>10016</v>
      </c>
      <c r="J3601" s="2" t="s">
        <v>714</v>
      </c>
      <c r="K3601" s="2" t="s">
        <v>11095</v>
      </c>
      <c r="L3601" s="3">
        <v>16.35</v>
      </c>
      <c r="M3601" s="3">
        <v>17.17</v>
      </c>
      <c r="N3601" s="3">
        <v>34.99</v>
      </c>
      <c r="O3601" s="2" t="s">
        <v>97</v>
      </c>
      <c r="P3601" s="2" t="s">
        <v>119</v>
      </c>
      <c r="Q3601" s="2" t="s">
        <v>99</v>
      </c>
      <c r="R3601" s="2" t="s">
        <v>100</v>
      </c>
      <c r="S3601" s="2" t="s">
        <v>11096</v>
      </c>
      <c r="T3601" s="2" t="s">
        <v>218</v>
      </c>
      <c r="U3601" s="2" t="s">
        <v>402</v>
      </c>
      <c r="V3601" s="2" t="s">
        <v>256</v>
      </c>
      <c r="W3601" s="2" t="s">
        <v>183</v>
      </c>
      <c r="X3601" s="2" t="s">
        <v>100</v>
      </c>
      <c r="Y3601" s="2" t="s">
        <v>11097</v>
      </c>
      <c r="Z3601" s="4">
        <v>70</v>
      </c>
      <c r="AA3601" s="4">
        <f>=ROUNDDOWN(9.45945945945946,0)</f>
      </c>
      <c r="AB3601" s="5">
        <v>7.4</v>
      </c>
      <c r="AC3601" s="2" t="s">
        <v>1102</v>
      </c>
      <c r="AD3601" s="4">
        <v>100</v>
      </c>
      <c r="AE3601" s="4">
        <v>100</v>
      </c>
      <c r="AF3601" s="6">
        <v>65</v>
      </c>
      <c r="AG3601" s="6"/>
      <c r="AH3601" s="7">
        <v>0.8342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100</v>
      </c>
      <c r="AW3601" s="8" t="s">
        <v>100</v>
      </c>
      <c r="AX3601" s="4" t="s">
        <v>100</v>
      </c>
      <c r="AY3601" s="8" t="s">
        <v>100</v>
      </c>
      <c r="AZ3601" s="7" t="s">
        <v>100</v>
      </c>
      <c r="BA3601" s="7" t="s">
        <v>100</v>
      </c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/>
      <c r="BJ3601" s="4">
        <v>201</v>
      </c>
      <c r="BK3601" s="8">
        <v>3727.93</v>
      </c>
      <c r="BL3601" s="2" t="s">
        <v>1198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207</v>
      </c>
      <c r="BV3601" s="2" t="s">
        <v>97</v>
      </c>
      <c r="BW3601" s="2" t="s">
        <v>100</v>
      </c>
      <c r="BX3601" s="2" t="s">
        <v>100</v>
      </c>
      <c r="BY3601" s="2" t="s">
        <v>113</v>
      </c>
      <c r="BZ3601" s="2" t="s">
        <v>100</v>
      </c>
    </row>
    <row r="3602">
      <c r="A3602" s="2" t="s">
        <v>11101</v>
      </c>
      <c r="B3602" s="2" t="s">
        <v>9668</v>
      </c>
      <c r="C3602" s="2" t="s">
        <v>3934</v>
      </c>
      <c r="D3602" s="2" t="s">
        <v>9669</v>
      </c>
      <c r="E3602" s="2" t="s">
        <v>9670</v>
      </c>
      <c r="F3602" s="2" t="s">
        <v>11084</v>
      </c>
      <c r="G3602" s="2" t="s">
        <v>11084</v>
      </c>
      <c r="H3602" s="2" t="s">
        <v>11084</v>
      </c>
      <c r="I3602" s="2" t="s">
        <v>10016</v>
      </c>
      <c r="J3602" s="2" t="s">
        <v>1936</v>
      </c>
      <c r="K3602" s="2" t="s">
        <v>11102</v>
      </c>
      <c r="L3602" s="3">
        <v>11.95</v>
      </c>
      <c r="M3602" s="3">
        <v>12.55</v>
      </c>
      <c r="N3602" s="3">
        <v>24.99</v>
      </c>
      <c r="O3602" s="2" t="s">
        <v>97</v>
      </c>
      <c r="P3602" s="2" t="s">
        <v>119</v>
      </c>
      <c r="Q3602" s="2" t="s">
        <v>99</v>
      </c>
      <c r="R3602" s="2" t="s">
        <v>100</v>
      </c>
      <c r="S3602" s="2" t="s">
        <v>11103</v>
      </c>
      <c r="T3602" s="2" t="s">
        <v>218</v>
      </c>
      <c r="U3602" s="2" t="s">
        <v>480</v>
      </c>
      <c r="V3602" s="2" t="s">
        <v>3066</v>
      </c>
      <c r="W3602" s="2" t="s">
        <v>183</v>
      </c>
      <c r="X3602" s="2" t="s">
        <v>100</v>
      </c>
      <c r="Y3602" s="2" t="s">
        <v>11097</v>
      </c>
      <c r="Z3602" s="4">
        <v>123</v>
      </c>
      <c r="AA3602" s="4">
        <f>=ROUNDDOWN(30.75,0)</f>
      </c>
      <c r="AB3602" s="5">
        <v>4</v>
      </c>
      <c r="AC3602" s="2" t="s">
        <v>100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100</v>
      </c>
      <c r="AW3602" s="8" t="s">
        <v>100</v>
      </c>
      <c r="AX3602" s="4" t="s">
        <v>100</v>
      </c>
      <c r="AY3602" s="8" t="s">
        <v>100</v>
      </c>
      <c r="AZ3602" s="7" t="s">
        <v>100</v>
      </c>
      <c r="BA3602" s="7" t="s">
        <v>100</v>
      </c>
      <c r="BB3602" s="7"/>
      <c r="BC3602" s="4" t="s">
        <v>100</v>
      </c>
      <c r="BD3602" s="8" t="s">
        <v>100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/>
      <c r="BJ3602" s="4">
        <v>108</v>
      </c>
      <c r="BK3602" s="8">
        <v>1408.51</v>
      </c>
      <c r="BL3602" s="2" t="s">
        <v>11104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207</v>
      </c>
      <c r="BV3602" s="2" t="s">
        <v>97</v>
      </c>
      <c r="BW3602" s="2" t="s">
        <v>100</v>
      </c>
      <c r="BX3602" s="2" t="s">
        <v>100</v>
      </c>
      <c r="BY3602" s="2" t="s">
        <v>113</v>
      </c>
      <c r="BZ3602" s="2" t="s">
        <v>100</v>
      </c>
    </row>
    <row r="3603">
      <c r="A3603" s="2" t="s">
        <v>11105</v>
      </c>
      <c r="B3603" s="2" t="s">
        <v>9668</v>
      </c>
      <c r="C3603" s="2" t="s">
        <v>3934</v>
      </c>
      <c r="D3603" s="2" t="s">
        <v>9669</v>
      </c>
      <c r="E3603" s="2" t="s">
        <v>9670</v>
      </c>
      <c r="F3603" s="2" t="s">
        <v>11084</v>
      </c>
      <c r="G3603" s="2" t="s">
        <v>11084</v>
      </c>
      <c r="H3603" s="2" t="s">
        <v>11084</v>
      </c>
      <c r="I3603" s="2" t="s">
        <v>10016</v>
      </c>
      <c r="J3603" s="2" t="s">
        <v>717</v>
      </c>
      <c r="K3603" s="2" t="s">
        <v>11102</v>
      </c>
      <c r="L3603" s="3">
        <v>13.55</v>
      </c>
      <c r="M3603" s="3">
        <v>14.23</v>
      </c>
      <c r="N3603" s="3">
        <v>27.99</v>
      </c>
      <c r="O3603" s="2" t="s">
        <v>97</v>
      </c>
      <c r="P3603" s="2" t="s">
        <v>119</v>
      </c>
      <c r="Q3603" s="2" t="s">
        <v>99</v>
      </c>
      <c r="R3603" s="2" t="s">
        <v>100</v>
      </c>
      <c r="S3603" s="2" t="s">
        <v>11103</v>
      </c>
      <c r="T3603" s="2" t="s">
        <v>218</v>
      </c>
      <c r="U3603" s="2" t="s">
        <v>402</v>
      </c>
      <c r="V3603" s="2" t="s">
        <v>3066</v>
      </c>
      <c r="W3603" s="2" t="s">
        <v>183</v>
      </c>
      <c r="X3603" s="2" t="s">
        <v>100</v>
      </c>
      <c r="Y3603" s="2" t="s">
        <v>11097</v>
      </c>
      <c r="Z3603" s="4">
        <v>212</v>
      </c>
      <c r="AA3603" s="4">
        <f>=ROUNDDOWN(60.5714285714286,0)</f>
      </c>
      <c r="AB3603" s="5">
        <v>3.5</v>
      </c>
      <c r="AC3603" s="2" t="s">
        <v>1164</v>
      </c>
      <c r="AD3603" s="4">
        <v>60</v>
      </c>
      <c r="AE3603" s="4">
        <v>60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100</v>
      </c>
      <c r="AW3603" s="8" t="s">
        <v>100</v>
      </c>
      <c r="AX3603" s="4" t="s">
        <v>100</v>
      </c>
      <c r="AY3603" s="8" t="s">
        <v>100</v>
      </c>
      <c r="AZ3603" s="7" t="s">
        <v>100</v>
      </c>
      <c r="BA3603" s="7" t="s">
        <v>100</v>
      </c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>
        <v>113</v>
      </c>
      <c r="BK3603" s="8">
        <v>1643.19</v>
      </c>
      <c r="BL3603" s="2" t="s">
        <v>11106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207</v>
      </c>
      <c r="BV3603" s="2" t="s">
        <v>97</v>
      </c>
      <c r="BW3603" s="2" t="s">
        <v>100</v>
      </c>
      <c r="BX3603" s="2" t="s">
        <v>100</v>
      </c>
      <c r="BY3603" s="2" t="s">
        <v>113</v>
      </c>
      <c r="BZ3603" s="2" t="s">
        <v>100</v>
      </c>
    </row>
    <row r="3604">
      <c r="A3604" s="2" t="s">
        <v>11107</v>
      </c>
      <c r="B3604" s="2" t="s">
        <v>9668</v>
      </c>
      <c r="C3604" s="2" t="s">
        <v>3934</v>
      </c>
      <c r="D3604" s="2" t="s">
        <v>9669</v>
      </c>
      <c r="E3604" s="2" t="s">
        <v>9670</v>
      </c>
      <c r="F3604" s="2" t="s">
        <v>11084</v>
      </c>
      <c r="G3604" s="2" t="s">
        <v>11084</v>
      </c>
      <c r="H3604" s="2" t="s">
        <v>11084</v>
      </c>
      <c r="I3604" s="2" t="s">
        <v>10016</v>
      </c>
      <c r="J3604" s="2" t="s">
        <v>706</v>
      </c>
      <c r="K3604" s="2" t="s">
        <v>11102</v>
      </c>
      <c r="L3604" s="3">
        <v>14.75</v>
      </c>
      <c r="M3604" s="3">
        <v>15.49</v>
      </c>
      <c r="N3604" s="3">
        <v>29.99</v>
      </c>
      <c r="O3604" s="2" t="s">
        <v>97</v>
      </c>
      <c r="P3604" s="2" t="s">
        <v>119</v>
      </c>
      <c r="Q3604" s="2" t="s">
        <v>99</v>
      </c>
      <c r="R3604" s="2" t="s">
        <v>100</v>
      </c>
      <c r="S3604" s="2" t="s">
        <v>11103</v>
      </c>
      <c r="T3604" s="2" t="s">
        <v>218</v>
      </c>
      <c r="U3604" s="2" t="s">
        <v>402</v>
      </c>
      <c r="V3604" s="2" t="s">
        <v>3066</v>
      </c>
      <c r="W3604" s="2" t="s">
        <v>183</v>
      </c>
      <c r="X3604" s="2" t="s">
        <v>100</v>
      </c>
      <c r="Y3604" s="2" t="s">
        <v>11097</v>
      </c>
      <c r="Z3604" s="4">
        <v>239</v>
      </c>
      <c r="AA3604" s="4">
        <f>=ROUNDDOWN(26.5555555555556,0)</f>
      </c>
      <c r="AB3604" s="5">
        <v>9</v>
      </c>
      <c r="AC3604" s="2" t="s">
        <v>872</v>
      </c>
      <c r="AD3604" s="4">
        <v>100</v>
      </c>
      <c r="AE3604" s="4">
        <v>390</v>
      </c>
      <c r="AF3604" s="6">
        <v>65</v>
      </c>
      <c r="AG3604" s="6"/>
      <c r="AH3604" s="7">
        <v>0.9144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100</v>
      </c>
      <c r="AW3604" s="8" t="s">
        <v>100</v>
      </c>
      <c r="AX3604" s="4" t="s">
        <v>100</v>
      </c>
      <c r="AY3604" s="8" t="s">
        <v>100</v>
      </c>
      <c r="AZ3604" s="7" t="s">
        <v>100</v>
      </c>
      <c r="BA3604" s="7" t="s">
        <v>100</v>
      </c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/>
      <c r="BJ3604" s="4">
        <v>179</v>
      </c>
      <c r="BK3604" s="8">
        <v>2884.22</v>
      </c>
      <c r="BL3604" s="2" t="s">
        <v>1336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207</v>
      </c>
      <c r="BV3604" s="2" t="s">
        <v>97</v>
      </c>
      <c r="BW3604" s="2" t="s">
        <v>100</v>
      </c>
      <c r="BX3604" s="2" t="s">
        <v>100</v>
      </c>
      <c r="BY3604" s="2" t="s">
        <v>113</v>
      </c>
      <c r="BZ3604" s="2" t="s">
        <v>100</v>
      </c>
    </row>
    <row r="3605">
      <c r="A3605" s="2" t="s">
        <v>11108</v>
      </c>
      <c r="B3605" s="2" t="s">
        <v>9668</v>
      </c>
      <c r="C3605" s="2" t="s">
        <v>3934</v>
      </c>
      <c r="D3605" s="2" t="s">
        <v>9669</v>
      </c>
      <c r="E3605" s="2" t="s">
        <v>9670</v>
      </c>
      <c r="F3605" s="2" t="s">
        <v>11084</v>
      </c>
      <c r="G3605" s="2" t="s">
        <v>11084</v>
      </c>
      <c r="H3605" s="2" t="s">
        <v>11084</v>
      </c>
      <c r="I3605" s="2" t="s">
        <v>10016</v>
      </c>
      <c r="J3605" s="2" t="s">
        <v>714</v>
      </c>
      <c r="K3605" s="2" t="s">
        <v>11102</v>
      </c>
      <c r="L3605" s="3">
        <v>16.35</v>
      </c>
      <c r="M3605" s="3">
        <v>17.17</v>
      </c>
      <c r="N3605" s="3">
        <v>34.99</v>
      </c>
      <c r="O3605" s="2" t="s">
        <v>97</v>
      </c>
      <c r="P3605" s="2" t="s">
        <v>119</v>
      </c>
      <c r="Q3605" s="2" t="s">
        <v>99</v>
      </c>
      <c r="R3605" s="2" t="s">
        <v>100</v>
      </c>
      <c r="S3605" s="2" t="s">
        <v>11103</v>
      </c>
      <c r="T3605" s="2" t="s">
        <v>218</v>
      </c>
      <c r="U3605" s="2" t="s">
        <v>402</v>
      </c>
      <c r="V3605" s="2" t="s">
        <v>3066</v>
      </c>
      <c r="W3605" s="2" t="s">
        <v>183</v>
      </c>
      <c r="X3605" s="2" t="s">
        <v>100</v>
      </c>
      <c r="Y3605" s="2" t="s">
        <v>11097</v>
      </c>
      <c r="Z3605" s="4">
        <v>79</v>
      </c>
      <c r="AA3605" s="4">
        <f>=ROUNDDOWN(23.2352941176471,0)</f>
      </c>
      <c r="AB3605" s="5">
        <v>3.4</v>
      </c>
      <c r="AC3605" s="2" t="s">
        <v>872</v>
      </c>
      <c r="AD3605" s="4">
        <v>50</v>
      </c>
      <c r="AE3605" s="4">
        <v>150</v>
      </c>
      <c r="AF3605" s="6">
        <v>65</v>
      </c>
      <c r="AG3605" s="6"/>
      <c r="AH3605" s="7">
        <v>0.8663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100</v>
      </c>
      <c r="AW3605" s="8" t="s">
        <v>100</v>
      </c>
      <c r="AX3605" s="4" t="s">
        <v>100</v>
      </c>
      <c r="AY3605" s="8" t="s">
        <v>100</v>
      </c>
      <c r="AZ3605" s="7" t="s">
        <v>100</v>
      </c>
      <c r="BA3605" s="7" t="s">
        <v>100</v>
      </c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/>
      <c r="BJ3605" s="4">
        <v>78</v>
      </c>
      <c r="BK3605" s="8">
        <v>1403.92</v>
      </c>
      <c r="BL3605" s="2" t="s">
        <v>11109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207</v>
      </c>
      <c r="BV3605" s="2" t="s">
        <v>97</v>
      </c>
      <c r="BW3605" s="2" t="s">
        <v>100</v>
      </c>
      <c r="BX3605" s="2" t="s">
        <v>100</v>
      </c>
      <c r="BY3605" s="2" t="s">
        <v>113</v>
      </c>
      <c r="BZ3605" s="2" t="s">
        <v>100</v>
      </c>
    </row>
    <row r="3606">
      <c r="A3606" s="2" t="s">
        <v>11110</v>
      </c>
      <c r="B3606" s="2" t="s">
        <v>9668</v>
      </c>
      <c r="C3606" s="2" t="s">
        <v>3934</v>
      </c>
      <c r="D3606" s="2" t="s">
        <v>9669</v>
      </c>
      <c r="E3606" s="2" t="s">
        <v>9670</v>
      </c>
      <c r="F3606" s="2" t="s">
        <v>11084</v>
      </c>
      <c r="G3606" s="2" t="s">
        <v>11084</v>
      </c>
      <c r="H3606" s="2" t="s">
        <v>11084</v>
      </c>
      <c r="I3606" s="2" t="s">
        <v>10016</v>
      </c>
      <c r="J3606" s="2" t="s">
        <v>1936</v>
      </c>
      <c r="K3606" s="2" t="s">
        <v>11111</v>
      </c>
      <c r="L3606" s="3">
        <v>11.95</v>
      </c>
      <c r="M3606" s="3">
        <v>12.55</v>
      </c>
      <c r="N3606" s="3">
        <v>24.99</v>
      </c>
      <c r="O3606" s="2" t="s">
        <v>97</v>
      </c>
      <c r="P3606" s="2" t="s">
        <v>225</v>
      </c>
      <c r="Q3606" s="2" t="s">
        <v>99</v>
      </c>
      <c r="R3606" s="2" t="s">
        <v>100</v>
      </c>
      <c r="S3606" s="2" t="s">
        <v>11112</v>
      </c>
      <c r="T3606" s="2" t="s">
        <v>218</v>
      </c>
      <c r="U3606" s="2" t="s">
        <v>480</v>
      </c>
      <c r="V3606" s="2" t="s">
        <v>1150</v>
      </c>
      <c r="W3606" s="2" t="s">
        <v>183</v>
      </c>
      <c r="X3606" s="2" t="s">
        <v>100</v>
      </c>
      <c r="Y3606" s="2" t="s">
        <v>11087</v>
      </c>
      <c r="Z3606" s="4">
        <v>111</v>
      </c>
      <c r="AA3606" s="4">
        <f>=ROUNDDOWN(55.5,0)</f>
      </c>
      <c r="AB3606" s="5">
        <v>2</v>
      </c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100</v>
      </c>
      <c r="AW3606" s="8" t="s">
        <v>100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>
        <v>18</v>
      </c>
      <c r="BK3606" s="8">
        <v>240.19</v>
      </c>
      <c r="BL3606" s="2" t="s">
        <v>11113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207</v>
      </c>
      <c r="BV3606" s="2" t="s">
        <v>97</v>
      </c>
      <c r="BW3606" s="2" t="s">
        <v>100</v>
      </c>
      <c r="BX3606" s="2" t="s">
        <v>100</v>
      </c>
      <c r="BY3606" s="2" t="s">
        <v>113</v>
      </c>
      <c r="BZ3606" s="2" t="s">
        <v>100</v>
      </c>
    </row>
    <row r="3607">
      <c r="A3607" s="2" t="s">
        <v>11114</v>
      </c>
      <c r="B3607" s="2" t="s">
        <v>9668</v>
      </c>
      <c r="C3607" s="2" t="s">
        <v>3934</v>
      </c>
      <c r="D3607" s="2" t="s">
        <v>9669</v>
      </c>
      <c r="E3607" s="2" t="s">
        <v>9670</v>
      </c>
      <c r="F3607" s="2" t="s">
        <v>11084</v>
      </c>
      <c r="G3607" s="2" t="s">
        <v>11084</v>
      </c>
      <c r="H3607" s="2" t="s">
        <v>11084</v>
      </c>
      <c r="I3607" s="2" t="s">
        <v>10016</v>
      </c>
      <c r="J3607" s="2" t="s">
        <v>717</v>
      </c>
      <c r="K3607" s="2" t="s">
        <v>11111</v>
      </c>
      <c r="L3607" s="3">
        <v>13.55</v>
      </c>
      <c r="M3607" s="3">
        <v>14.23</v>
      </c>
      <c r="N3607" s="3">
        <v>27.99</v>
      </c>
      <c r="O3607" s="2" t="s">
        <v>97</v>
      </c>
      <c r="P3607" s="2" t="s">
        <v>225</v>
      </c>
      <c r="Q3607" s="2" t="s">
        <v>99</v>
      </c>
      <c r="R3607" s="2" t="s">
        <v>100</v>
      </c>
      <c r="S3607" s="2" t="s">
        <v>11112</v>
      </c>
      <c r="T3607" s="2" t="s">
        <v>218</v>
      </c>
      <c r="U3607" s="2" t="s">
        <v>402</v>
      </c>
      <c r="V3607" s="2" t="s">
        <v>1150</v>
      </c>
      <c r="W3607" s="2" t="s">
        <v>183</v>
      </c>
      <c r="X3607" s="2" t="s">
        <v>100</v>
      </c>
      <c r="Y3607" s="2" t="s">
        <v>11087</v>
      </c>
      <c r="Z3607" s="4">
        <v>74</v>
      </c>
      <c r="AA3607" s="4">
        <f>=ROUNDDOWN(18.5,0)</f>
      </c>
      <c r="AB3607" s="5">
        <v>4</v>
      </c>
      <c r="AC3607" s="2" t="s">
        <v>872</v>
      </c>
      <c r="AD3607" s="4">
        <v>100</v>
      </c>
      <c r="AE3607" s="4">
        <v>280</v>
      </c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>
        <v>46</v>
      </c>
      <c r="BK3607" s="8">
        <v>664.71</v>
      </c>
      <c r="BL3607" s="2" t="s">
        <v>4894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207</v>
      </c>
      <c r="BV3607" s="2" t="s">
        <v>97</v>
      </c>
      <c r="BW3607" s="2" t="s">
        <v>100</v>
      </c>
      <c r="BX3607" s="2" t="s">
        <v>100</v>
      </c>
      <c r="BY3607" s="2" t="s">
        <v>113</v>
      </c>
      <c r="BZ3607" s="2" t="s">
        <v>100</v>
      </c>
    </row>
    <row r="3608">
      <c r="A3608" s="2" t="s">
        <v>11115</v>
      </c>
      <c r="B3608" s="2" t="s">
        <v>9668</v>
      </c>
      <c r="C3608" s="2" t="s">
        <v>3934</v>
      </c>
      <c r="D3608" s="2" t="s">
        <v>9669</v>
      </c>
      <c r="E3608" s="2" t="s">
        <v>9670</v>
      </c>
      <c r="F3608" s="2" t="s">
        <v>11084</v>
      </c>
      <c r="G3608" s="2" t="s">
        <v>11084</v>
      </c>
      <c r="H3608" s="2" t="s">
        <v>11084</v>
      </c>
      <c r="I3608" s="2" t="s">
        <v>10016</v>
      </c>
      <c r="J3608" s="2" t="s">
        <v>706</v>
      </c>
      <c r="K3608" s="2" t="s">
        <v>11111</v>
      </c>
      <c r="L3608" s="3">
        <v>14.75</v>
      </c>
      <c r="M3608" s="3">
        <v>15.49</v>
      </c>
      <c r="N3608" s="3">
        <v>29.99</v>
      </c>
      <c r="O3608" s="2" t="s">
        <v>97</v>
      </c>
      <c r="P3608" s="2" t="s">
        <v>225</v>
      </c>
      <c r="Q3608" s="2" t="s">
        <v>99</v>
      </c>
      <c r="R3608" s="2" t="s">
        <v>100</v>
      </c>
      <c r="S3608" s="2" t="s">
        <v>11112</v>
      </c>
      <c r="T3608" s="2" t="s">
        <v>218</v>
      </c>
      <c r="U3608" s="2" t="s">
        <v>402</v>
      </c>
      <c r="V3608" s="2" t="s">
        <v>1150</v>
      </c>
      <c r="W3608" s="2" t="s">
        <v>183</v>
      </c>
      <c r="X3608" s="2" t="s">
        <v>100</v>
      </c>
      <c r="Y3608" s="2" t="s">
        <v>11087</v>
      </c>
      <c r="Z3608" s="4">
        <v>177</v>
      </c>
      <c r="AA3608" s="4">
        <f>=ROUNDDOWN(25.2857142857143,0)</f>
      </c>
      <c r="AB3608" s="5">
        <v>7</v>
      </c>
      <c r="AC3608" s="2" t="s">
        <v>872</v>
      </c>
      <c r="AD3608" s="4">
        <v>40</v>
      </c>
      <c r="AE3608" s="4">
        <v>200</v>
      </c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100</v>
      </c>
      <c r="AW3608" s="8" t="s">
        <v>100</v>
      </c>
      <c r="AX3608" s="4" t="s">
        <v>100</v>
      </c>
      <c r="AY3608" s="8" t="s">
        <v>100</v>
      </c>
      <c r="AZ3608" s="7" t="s">
        <v>100</v>
      </c>
      <c r="BA3608" s="7" t="s">
        <v>100</v>
      </c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/>
      <c r="BJ3608" s="4">
        <v>69</v>
      </c>
      <c r="BK3608" s="8">
        <v>1131.25</v>
      </c>
      <c r="BL3608" s="2" t="s">
        <v>11116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207</v>
      </c>
      <c r="BV3608" s="2" t="s">
        <v>97</v>
      </c>
      <c r="BW3608" s="2" t="s">
        <v>100</v>
      </c>
      <c r="BX3608" s="2" t="s">
        <v>100</v>
      </c>
      <c r="BY3608" s="2" t="s">
        <v>113</v>
      </c>
      <c r="BZ3608" s="2" t="s">
        <v>100</v>
      </c>
    </row>
    <row r="3609">
      <c r="A3609" s="2" t="s">
        <v>11117</v>
      </c>
      <c r="B3609" s="2" t="s">
        <v>9668</v>
      </c>
      <c r="C3609" s="2" t="s">
        <v>3934</v>
      </c>
      <c r="D3609" s="2" t="s">
        <v>9669</v>
      </c>
      <c r="E3609" s="2" t="s">
        <v>9670</v>
      </c>
      <c r="F3609" s="2" t="s">
        <v>11084</v>
      </c>
      <c r="G3609" s="2" t="s">
        <v>11084</v>
      </c>
      <c r="H3609" s="2" t="s">
        <v>11084</v>
      </c>
      <c r="I3609" s="2" t="s">
        <v>10016</v>
      </c>
      <c r="J3609" s="2" t="s">
        <v>714</v>
      </c>
      <c r="K3609" s="2" t="s">
        <v>11111</v>
      </c>
      <c r="L3609" s="3">
        <v>16.35</v>
      </c>
      <c r="M3609" s="3">
        <v>17.17</v>
      </c>
      <c r="N3609" s="3">
        <v>34.99</v>
      </c>
      <c r="O3609" s="2" t="s">
        <v>97</v>
      </c>
      <c r="P3609" s="2" t="s">
        <v>225</v>
      </c>
      <c r="Q3609" s="2" t="s">
        <v>99</v>
      </c>
      <c r="R3609" s="2" t="s">
        <v>100</v>
      </c>
      <c r="S3609" s="2" t="s">
        <v>11112</v>
      </c>
      <c r="T3609" s="2" t="s">
        <v>218</v>
      </c>
      <c r="U3609" s="2" t="s">
        <v>402</v>
      </c>
      <c r="V3609" s="2" t="s">
        <v>1150</v>
      </c>
      <c r="W3609" s="2" t="s">
        <v>183</v>
      </c>
      <c r="X3609" s="2" t="s">
        <v>100</v>
      </c>
      <c r="Y3609" s="2" t="s">
        <v>11087</v>
      </c>
      <c r="Z3609" s="4">
        <v>68</v>
      </c>
      <c r="AA3609" s="4">
        <f>=ROUNDDOWN(22.6666666666667,0)</f>
      </c>
      <c r="AB3609" s="5">
        <v>3</v>
      </c>
      <c r="AC3609" s="2" t="s">
        <v>872</v>
      </c>
      <c r="AD3609" s="4">
        <v>30</v>
      </c>
      <c r="AE3609" s="4">
        <v>120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100</v>
      </c>
      <c r="AW3609" s="8" t="s">
        <v>100</v>
      </c>
      <c r="AX3609" s="4" t="s">
        <v>100</v>
      </c>
      <c r="AY3609" s="8" t="s">
        <v>100</v>
      </c>
      <c r="AZ3609" s="7" t="s">
        <v>100</v>
      </c>
      <c r="BA3609" s="7" t="s">
        <v>100</v>
      </c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28</v>
      </c>
      <c r="BK3609" s="8">
        <v>520.73</v>
      </c>
      <c r="BL3609" s="2" t="s">
        <v>11118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207</v>
      </c>
      <c r="BV3609" s="2" t="s">
        <v>97</v>
      </c>
      <c r="BW3609" s="2" t="s">
        <v>100</v>
      </c>
      <c r="BX3609" s="2" t="s">
        <v>100</v>
      </c>
      <c r="BY3609" s="2" t="s">
        <v>113</v>
      </c>
      <c r="BZ3609" s="2" t="s">
        <v>100</v>
      </c>
    </row>
    <row r="3610">
      <c r="A3610" s="2" t="s">
        <v>11119</v>
      </c>
      <c r="B3610" s="2" t="s">
        <v>9668</v>
      </c>
      <c r="C3610" s="2" t="s">
        <v>2331</v>
      </c>
      <c r="D3610" s="2" t="s">
        <v>9669</v>
      </c>
      <c r="E3610" s="2" t="s">
        <v>9670</v>
      </c>
      <c r="F3610" s="2" t="s">
        <v>11120</v>
      </c>
      <c r="G3610" s="2" t="s">
        <v>11120</v>
      </c>
      <c r="H3610" s="2" t="s">
        <v>11120</v>
      </c>
      <c r="I3610" s="2" t="s">
        <v>10016</v>
      </c>
      <c r="J3610" s="2" t="s">
        <v>1936</v>
      </c>
      <c r="K3610" s="2" t="s">
        <v>11121</v>
      </c>
      <c r="L3610" s="3">
        <v>19.8</v>
      </c>
      <c r="M3610" s="3">
        <v>20.79</v>
      </c>
      <c r="N3610" s="3">
        <v>44.99</v>
      </c>
      <c r="O3610" s="2" t="s">
        <v>97</v>
      </c>
      <c r="P3610" s="2" t="s">
        <v>225</v>
      </c>
      <c r="Q3610" s="2" t="s">
        <v>99</v>
      </c>
      <c r="R3610" s="2" t="s">
        <v>100</v>
      </c>
      <c r="S3610" s="2" t="s">
        <v>11122</v>
      </c>
      <c r="T3610" s="2" t="s">
        <v>9675</v>
      </c>
      <c r="U3610" s="2" t="s">
        <v>480</v>
      </c>
      <c r="V3610" s="2" t="s">
        <v>3937</v>
      </c>
      <c r="W3610" s="2" t="s">
        <v>202</v>
      </c>
      <c r="X3610" s="2" t="s">
        <v>183</v>
      </c>
      <c r="Y3610" s="2" t="s">
        <v>3643</v>
      </c>
      <c r="Z3610" s="4"/>
      <c r="AA3610" s="4">
        <f>=ROUNDDOWN({0},0)</f>
      </c>
      <c r="AB3610" s="5">
        <v>19</v>
      </c>
      <c r="AC3610" s="2" t="s">
        <v>266</v>
      </c>
      <c r="AD3610" s="4">
        <v>261</v>
      </c>
      <c r="AE3610" s="4">
        <v>452</v>
      </c>
      <c r="AF3610" s="6">
        <v>69</v>
      </c>
      <c r="AG3610" s="6"/>
      <c r="AH3610" s="7">
        <v>0.0417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>
        <v>27</v>
      </c>
      <c r="AW3610" s="8">
        <v>936.72</v>
      </c>
      <c r="AX3610" s="4" t="s">
        <v>100</v>
      </c>
      <c r="AY3610" s="8" t="s">
        <v>100</v>
      </c>
      <c r="AZ3610" s="7" t="s">
        <v>100</v>
      </c>
      <c r="BA3610" s="7" t="s">
        <v>100</v>
      </c>
      <c r="BB3610" s="7"/>
      <c r="BC3610" s="4">
        <v>150</v>
      </c>
      <c r="BD3610" s="8">
        <v>5090.31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>
        <v>0.184</v>
      </c>
      <c r="BJ3610" s="4"/>
      <c r="BK3610" s="8"/>
      <c r="BL3610" s="2" t="s">
        <v>100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207</v>
      </c>
      <c r="BV3610" s="2" t="s">
        <v>97</v>
      </c>
      <c r="BW3610" s="2" t="s">
        <v>100</v>
      </c>
      <c r="BX3610" s="2" t="s">
        <v>100</v>
      </c>
      <c r="BY3610" s="2" t="s">
        <v>113</v>
      </c>
      <c r="BZ3610" s="2" t="s">
        <v>100</v>
      </c>
    </row>
    <row r="3611">
      <c r="A3611" s="2" t="s">
        <v>11123</v>
      </c>
      <c r="B3611" s="2" t="s">
        <v>9668</v>
      </c>
      <c r="C3611" s="2" t="s">
        <v>2331</v>
      </c>
      <c r="D3611" s="2" t="s">
        <v>9669</v>
      </c>
      <c r="E3611" s="2" t="s">
        <v>9670</v>
      </c>
      <c r="F3611" s="2" t="s">
        <v>11120</v>
      </c>
      <c r="G3611" s="2" t="s">
        <v>11120</v>
      </c>
      <c r="H3611" s="2" t="s">
        <v>11120</v>
      </c>
      <c r="I3611" s="2" t="s">
        <v>10016</v>
      </c>
      <c r="J3611" s="2" t="s">
        <v>717</v>
      </c>
      <c r="K3611" s="2" t="s">
        <v>11121</v>
      </c>
      <c r="L3611" s="3">
        <v>21.78</v>
      </c>
      <c r="M3611" s="3">
        <v>22.87</v>
      </c>
      <c r="N3611" s="3">
        <v>49.99</v>
      </c>
      <c r="O3611" s="2" t="s">
        <v>97</v>
      </c>
      <c r="P3611" s="2" t="s">
        <v>225</v>
      </c>
      <c r="Q3611" s="2" t="s">
        <v>99</v>
      </c>
      <c r="R3611" s="2" t="s">
        <v>100</v>
      </c>
      <c r="S3611" s="2" t="s">
        <v>11122</v>
      </c>
      <c r="T3611" s="2" t="s">
        <v>9675</v>
      </c>
      <c r="U3611" s="2" t="s">
        <v>402</v>
      </c>
      <c r="V3611" s="2" t="s">
        <v>3937</v>
      </c>
      <c r="W3611" s="2" t="s">
        <v>202</v>
      </c>
      <c r="X3611" s="2" t="s">
        <v>183</v>
      </c>
      <c r="Y3611" s="2" t="s">
        <v>3643</v>
      </c>
      <c r="Z3611" s="4"/>
      <c r="AA3611" s="4">
        <f>=ROUNDDOWN({0},0)</f>
      </c>
      <c r="AB3611" s="5">
        <v>16</v>
      </c>
      <c r="AC3611" s="2" t="s">
        <v>266</v>
      </c>
      <c r="AD3611" s="4">
        <v>202</v>
      </c>
      <c r="AE3611" s="4">
        <v>351</v>
      </c>
      <c r="AF3611" s="6">
        <v>69</v>
      </c>
      <c r="AG3611" s="6"/>
      <c r="AH3611" s="7">
        <v>0.0417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100</v>
      </c>
      <c r="AW3611" s="8" t="s">
        <v>100</v>
      </c>
      <c r="AX3611" s="4" t="s">
        <v>100</v>
      </c>
      <c r="AY3611" s="8" t="s">
        <v>100</v>
      </c>
      <c r="AZ3611" s="7" t="s">
        <v>100</v>
      </c>
      <c r="BA3611" s="7" t="s">
        <v>100</v>
      </c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 t="s">
        <v>100</v>
      </c>
      <c r="BJ3611" s="4"/>
      <c r="BK3611" s="8"/>
      <c r="BL3611" s="2" t="s">
        <v>100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207</v>
      </c>
      <c r="BV3611" s="2" t="s">
        <v>97</v>
      </c>
      <c r="BW3611" s="2" t="s">
        <v>100</v>
      </c>
      <c r="BX3611" s="2" t="s">
        <v>100</v>
      </c>
      <c r="BY3611" s="2" t="s">
        <v>113</v>
      </c>
      <c r="BZ3611" s="2" t="s">
        <v>100</v>
      </c>
    </row>
    <row r="3612">
      <c r="A3612" s="2" t="s">
        <v>11124</v>
      </c>
      <c r="B3612" s="2" t="s">
        <v>9668</v>
      </c>
      <c r="C3612" s="2" t="s">
        <v>2331</v>
      </c>
      <c r="D3612" s="2" t="s">
        <v>9669</v>
      </c>
      <c r="E3612" s="2" t="s">
        <v>9670</v>
      </c>
      <c r="F3612" s="2" t="s">
        <v>11120</v>
      </c>
      <c r="G3612" s="2" t="s">
        <v>11120</v>
      </c>
      <c r="H3612" s="2" t="s">
        <v>11120</v>
      </c>
      <c r="I3612" s="2" t="s">
        <v>10016</v>
      </c>
      <c r="J3612" s="2" t="s">
        <v>706</v>
      </c>
      <c r="K3612" s="2" t="s">
        <v>11121</v>
      </c>
      <c r="L3612" s="3">
        <v>24.3</v>
      </c>
      <c r="M3612" s="3">
        <v>25.52</v>
      </c>
      <c r="N3612" s="3">
        <v>54.99</v>
      </c>
      <c r="O3612" s="2" t="s">
        <v>97</v>
      </c>
      <c r="P3612" s="2" t="s">
        <v>307</v>
      </c>
      <c r="Q3612" s="2" t="s">
        <v>99</v>
      </c>
      <c r="R3612" s="2" t="s">
        <v>100</v>
      </c>
      <c r="S3612" s="2" t="s">
        <v>11125</v>
      </c>
      <c r="T3612" s="2" t="s">
        <v>9675</v>
      </c>
      <c r="U3612" s="2" t="s">
        <v>100</v>
      </c>
      <c r="V3612" s="2" t="s">
        <v>3937</v>
      </c>
      <c r="W3612" s="2" t="s">
        <v>202</v>
      </c>
      <c r="X3612" s="2" t="s">
        <v>183</v>
      </c>
      <c r="Y3612" s="2" t="s">
        <v>240</v>
      </c>
      <c r="Z3612" s="4">
        <v>1541</v>
      </c>
      <c r="AA3612" s="4">
        <f>=ROUNDDOWN(23,0)</f>
      </c>
      <c r="AB3612" s="5">
        <v>67</v>
      </c>
      <c r="AC3612" s="2" t="s">
        <v>768</v>
      </c>
      <c r="AD3612" s="4">
        <v>956</v>
      </c>
      <c r="AE3612" s="4">
        <v>1740</v>
      </c>
      <c r="AF3612" s="6">
        <v>69</v>
      </c>
      <c r="AG3612" s="6"/>
      <c r="AH3612" s="7">
        <v>0.7433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>
        <v>18</v>
      </c>
      <c r="AQ3612" s="8">
        <v>586.8</v>
      </c>
      <c r="AR3612" s="4"/>
      <c r="AS3612" s="8"/>
      <c r="AT3612" s="7"/>
      <c r="AU3612" s="7"/>
      <c r="AV3612" s="4" t="s">
        <v>100</v>
      </c>
      <c r="AW3612" s="8" t="s">
        <v>100</v>
      </c>
      <c r="AX3612" s="4" t="s">
        <v>100</v>
      </c>
      <c r="AY3612" s="8" t="s">
        <v>100</v>
      </c>
      <c r="AZ3612" s="7" t="s">
        <v>100</v>
      </c>
      <c r="BA3612" s="7" t="s">
        <v>100</v>
      </c>
      <c r="BB3612" s="7">
        <v>0.6264</v>
      </c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 t="s">
        <v>100</v>
      </c>
      <c r="BJ3612" s="4">
        <v>694</v>
      </c>
      <c r="BK3612" s="8">
        <v>19399.41</v>
      </c>
      <c r="BL3612" s="2" t="s">
        <v>11126</v>
      </c>
      <c r="BM3612" s="7">
        <v>0.0259</v>
      </c>
      <c r="BN3612" s="7">
        <v>0.0302</v>
      </c>
      <c r="BO3612" s="4">
        <v>18</v>
      </c>
      <c r="BP3612" s="8">
        <v>586.8</v>
      </c>
      <c r="BQ3612" s="4"/>
      <c r="BR3612" s="8"/>
      <c r="BS3612" s="7"/>
      <c r="BT3612" s="7"/>
      <c r="BU3612" s="2" t="s">
        <v>109</v>
      </c>
      <c r="BV3612" s="2" t="s">
        <v>110</v>
      </c>
      <c r="BW3612" s="2" t="s">
        <v>11127</v>
      </c>
      <c r="BX3612" s="2" t="s">
        <v>5519</v>
      </c>
      <c r="BY3612" s="2" t="s">
        <v>113</v>
      </c>
      <c r="BZ3612" s="2" t="s">
        <v>100</v>
      </c>
    </row>
    <row r="3613">
      <c r="A3613" s="2" t="s">
        <v>11128</v>
      </c>
      <c r="B3613" s="2" t="s">
        <v>9668</v>
      </c>
      <c r="C3613" s="2" t="s">
        <v>2331</v>
      </c>
      <c r="D3613" s="2" t="s">
        <v>9669</v>
      </c>
      <c r="E3613" s="2" t="s">
        <v>9670</v>
      </c>
      <c r="F3613" s="2" t="s">
        <v>11120</v>
      </c>
      <c r="G3613" s="2" t="s">
        <v>11120</v>
      </c>
      <c r="H3613" s="2" t="s">
        <v>11120</v>
      </c>
      <c r="I3613" s="2" t="s">
        <v>10016</v>
      </c>
      <c r="J3613" s="2" t="s">
        <v>714</v>
      </c>
      <c r="K3613" s="2" t="s">
        <v>11121</v>
      </c>
      <c r="L3613" s="3">
        <v>28.98</v>
      </c>
      <c r="M3613" s="3">
        <v>30.43</v>
      </c>
      <c r="N3613" s="3">
        <v>64.99</v>
      </c>
      <c r="O3613" s="2" t="s">
        <v>97</v>
      </c>
      <c r="P3613" s="2" t="s">
        <v>950</v>
      </c>
      <c r="Q3613" s="2" t="s">
        <v>99</v>
      </c>
      <c r="R3613" s="2" t="s">
        <v>100</v>
      </c>
      <c r="S3613" s="2" t="s">
        <v>11125</v>
      </c>
      <c r="T3613" s="2" t="s">
        <v>9675</v>
      </c>
      <c r="U3613" s="2" t="s">
        <v>100</v>
      </c>
      <c r="V3613" s="2" t="s">
        <v>3937</v>
      </c>
      <c r="W3613" s="2" t="s">
        <v>202</v>
      </c>
      <c r="X3613" s="2" t="s">
        <v>183</v>
      </c>
      <c r="Y3613" s="2" t="s">
        <v>240</v>
      </c>
      <c r="Z3613" s="4">
        <v>303</v>
      </c>
      <c r="AA3613" s="4">
        <f>=ROUNDDOWN(13.1739130434783,0)</f>
      </c>
      <c r="AB3613" s="5">
        <v>23</v>
      </c>
      <c r="AC3613" s="2" t="s">
        <v>768</v>
      </c>
      <c r="AD3613" s="4">
        <v>180</v>
      </c>
      <c r="AE3613" s="4">
        <v>180</v>
      </c>
      <c r="AF3613" s="6">
        <v>69</v>
      </c>
      <c r="AG3613" s="6"/>
      <c r="AH3613" s="7">
        <v>0.7647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>
        <v>3</v>
      </c>
      <c r="AQ3613" s="8">
        <v>116.64</v>
      </c>
      <c r="AR3613" s="4"/>
      <c r="AS3613" s="8"/>
      <c r="AT3613" s="7"/>
      <c r="AU3613" s="7"/>
      <c r="AV3613" s="4" t="s">
        <v>100</v>
      </c>
      <c r="AW3613" s="8" t="s">
        <v>100</v>
      </c>
      <c r="AX3613" s="4" t="s">
        <v>100</v>
      </c>
      <c r="AY3613" s="8" t="s">
        <v>100</v>
      </c>
      <c r="AZ3613" s="7" t="s">
        <v>100</v>
      </c>
      <c r="BA3613" s="7" t="s">
        <v>100</v>
      </c>
      <c r="BB3613" s="7">
        <v>0.1245</v>
      </c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 t="s">
        <v>100</v>
      </c>
      <c r="BJ3613" s="4">
        <v>256</v>
      </c>
      <c r="BK3613" s="8">
        <v>8478.01</v>
      </c>
      <c r="BL3613" s="2" t="s">
        <v>11129</v>
      </c>
      <c r="BM3613" s="7">
        <v>0.0117</v>
      </c>
      <c r="BN3613" s="7">
        <v>0.0138</v>
      </c>
      <c r="BO3613" s="4">
        <v>3</v>
      </c>
      <c r="BP3613" s="8">
        <v>116.64</v>
      </c>
      <c r="BQ3613" s="4"/>
      <c r="BR3613" s="8"/>
      <c r="BS3613" s="7"/>
      <c r="BT3613" s="7"/>
      <c r="BU3613" s="2" t="s">
        <v>109</v>
      </c>
      <c r="BV3613" s="2" t="s">
        <v>110</v>
      </c>
      <c r="BW3613" s="2" t="s">
        <v>11127</v>
      </c>
      <c r="BX3613" s="2" t="s">
        <v>5661</v>
      </c>
      <c r="BY3613" s="2" t="s">
        <v>113</v>
      </c>
      <c r="BZ3613" s="2" t="s">
        <v>100</v>
      </c>
    </row>
    <row r="3614">
      <c r="A3614" s="2" t="s">
        <v>11130</v>
      </c>
      <c r="B3614" s="2" t="s">
        <v>9668</v>
      </c>
      <c r="C3614" s="2" t="s">
        <v>2331</v>
      </c>
      <c r="D3614" s="2" t="s">
        <v>9669</v>
      </c>
      <c r="E3614" s="2" t="s">
        <v>9670</v>
      </c>
      <c r="F3614" s="2" t="s">
        <v>11120</v>
      </c>
      <c r="G3614" s="2" t="s">
        <v>11120</v>
      </c>
      <c r="H3614" s="2" t="s">
        <v>11120</v>
      </c>
      <c r="I3614" s="2" t="s">
        <v>10016</v>
      </c>
      <c r="J3614" s="2" t="s">
        <v>817</v>
      </c>
      <c r="K3614" s="2" t="s">
        <v>11121</v>
      </c>
      <c r="L3614" s="3">
        <v>28.98</v>
      </c>
      <c r="M3614" s="3">
        <v>30.43</v>
      </c>
      <c r="N3614" s="3">
        <v>64.99</v>
      </c>
      <c r="O3614" s="2" t="s">
        <v>97</v>
      </c>
      <c r="P3614" s="2" t="s">
        <v>119</v>
      </c>
      <c r="Q3614" s="2" t="s">
        <v>99</v>
      </c>
      <c r="R3614" s="2" t="s">
        <v>100</v>
      </c>
      <c r="S3614" s="2" t="s">
        <v>11125</v>
      </c>
      <c r="T3614" s="2" t="s">
        <v>9675</v>
      </c>
      <c r="U3614" s="2" t="s">
        <v>100</v>
      </c>
      <c r="V3614" s="2" t="s">
        <v>3937</v>
      </c>
      <c r="W3614" s="2" t="s">
        <v>202</v>
      </c>
      <c r="X3614" s="2" t="s">
        <v>183</v>
      </c>
      <c r="Y3614" s="2" t="s">
        <v>240</v>
      </c>
      <c r="Z3614" s="4">
        <v>241</v>
      </c>
      <c r="AA3614" s="4">
        <f>=ROUNDDOWN(21.9090909090909,0)</f>
      </c>
      <c r="AB3614" s="5">
        <v>11</v>
      </c>
      <c r="AC3614" s="2" t="s">
        <v>768</v>
      </c>
      <c r="AD3614" s="4">
        <v>120</v>
      </c>
      <c r="AE3614" s="4">
        <v>120</v>
      </c>
      <c r="AF3614" s="6">
        <v>69</v>
      </c>
      <c r="AG3614" s="6"/>
      <c r="AH3614" s="7">
        <v>0.7647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/>
      <c r="AP3614" s="4">
        <v>6</v>
      </c>
      <c r="AQ3614" s="8">
        <v>233.28</v>
      </c>
      <c r="AR3614" s="4"/>
      <c r="AS3614" s="8"/>
      <c r="AT3614" s="7"/>
      <c r="AU3614" s="7"/>
      <c r="AV3614" s="4" t="s">
        <v>100</v>
      </c>
      <c r="AW3614" s="8" t="s">
        <v>100</v>
      </c>
      <c r="AX3614" s="4" t="s">
        <v>100</v>
      </c>
      <c r="AY3614" s="8" t="s">
        <v>100</v>
      </c>
      <c r="AZ3614" s="7" t="s">
        <v>100</v>
      </c>
      <c r="BA3614" s="7" t="s">
        <v>100</v>
      </c>
      <c r="BB3614" s="7">
        <v>0.249</v>
      </c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 t="s">
        <v>100</v>
      </c>
      <c r="BJ3614" s="4">
        <v>138</v>
      </c>
      <c r="BK3614" s="8">
        <v>4663.09</v>
      </c>
      <c r="BL3614" s="2" t="s">
        <v>9754</v>
      </c>
      <c r="BM3614" s="7">
        <v>0.0435</v>
      </c>
      <c r="BN3614" s="7">
        <v>0.05</v>
      </c>
      <c r="BO3614" s="4">
        <v>6</v>
      </c>
      <c r="BP3614" s="8">
        <v>233.28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2338</v>
      </c>
      <c r="BX3614" s="2" t="s">
        <v>7129</v>
      </c>
      <c r="BY3614" s="2" t="s">
        <v>113</v>
      </c>
      <c r="BZ3614" s="2" t="s">
        <v>100</v>
      </c>
    </row>
    <row r="3615">
      <c r="A3615" s="2" t="s">
        <v>11131</v>
      </c>
      <c r="B3615" s="2" t="s">
        <v>9668</v>
      </c>
      <c r="C3615" s="2" t="s">
        <v>2331</v>
      </c>
      <c r="D3615" s="2" t="s">
        <v>9669</v>
      </c>
      <c r="E3615" s="2" t="s">
        <v>9670</v>
      </c>
      <c r="F3615" s="2" t="s">
        <v>11120</v>
      </c>
      <c r="G3615" s="2" t="s">
        <v>11120</v>
      </c>
      <c r="H3615" s="2" t="s">
        <v>11120</v>
      </c>
      <c r="I3615" s="2" t="s">
        <v>10016</v>
      </c>
      <c r="J3615" s="2" t="s">
        <v>706</v>
      </c>
      <c r="K3615" s="2" t="s">
        <v>9673</v>
      </c>
      <c r="L3615" s="3">
        <v>24.3</v>
      </c>
      <c r="M3615" s="3">
        <v>25.52</v>
      </c>
      <c r="N3615" s="3">
        <v>54.99</v>
      </c>
      <c r="O3615" s="2" t="s">
        <v>97</v>
      </c>
      <c r="P3615" s="2" t="s">
        <v>119</v>
      </c>
      <c r="Q3615" s="2" t="s">
        <v>99</v>
      </c>
      <c r="R3615" s="2" t="s">
        <v>100</v>
      </c>
      <c r="S3615" s="2" t="s">
        <v>11132</v>
      </c>
      <c r="T3615" s="2" t="s">
        <v>9675</v>
      </c>
      <c r="U3615" s="2" t="s">
        <v>100</v>
      </c>
      <c r="V3615" s="2" t="s">
        <v>201</v>
      </c>
      <c r="W3615" s="2" t="s">
        <v>202</v>
      </c>
      <c r="X3615" s="2" t="s">
        <v>183</v>
      </c>
      <c r="Y3615" s="2" t="s">
        <v>990</v>
      </c>
      <c r="Z3615" s="4">
        <v>489</v>
      </c>
      <c r="AA3615" s="4">
        <f>=ROUNDDOWN(10.1875,0)</f>
      </c>
      <c r="AB3615" s="5">
        <v>48</v>
      </c>
      <c r="AC3615" s="2" t="s">
        <v>768</v>
      </c>
      <c r="AD3615" s="4">
        <v>523</v>
      </c>
      <c r="AE3615" s="4">
        <v>622</v>
      </c>
      <c r="AF3615" s="6">
        <v>65</v>
      </c>
      <c r="AG3615" s="6"/>
      <c r="AH3615" s="7">
        <v>0.7433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>
        <v>26</v>
      </c>
      <c r="AQ3615" s="8">
        <v>847.6</v>
      </c>
      <c r="AR3615" s="4"/>
      <c r="AS3615" s="8"/>
      <c r="AT3615" s="7"/>
      <c r="AU3615" s="7"/>
      <c r="AV3615" s="4">
        <v>28</v>
      </c>
      <c r="AW3615" s="8">
        <v>925.36</v>
      </c>
      <c r="AX3615" s="4" t="s">
        <v>100</v>
      </c>
      <c r="AY3615" s="8" t="s">
        <v>100</v>
      </c>
      <c r="AZ3615" s="7" t="s">
        <v>100</v>
      </c>
      <c r="BA3615" s="7" t="s">
        <v>100</v>
      </c>
      <c r="BB3615" s="7">
        <v>0.916</v>
      </c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>
        <v>0.1818</v>
      </c>
      <c r="BJ3615" s="4">
        <v>848</v>
      </c>
      <c r="BK3615" s="8">
        <v>23678.15</v>
      </c>
      <c r="BL3615" s="2" t="s">
        <v>7251</v>
      </c>
      <c r="BM3615" s="7">
        <v>0.0307</v>
      </c>
      <c r="BN3615" s="7">
        <v>0.0358</v>
      </c>
      <c r="BO3615" s="4">
        <v>26</v>
      </c>
      <c r="BP3615" s="8">
        <v>847.6</v>
      </c>
      <c r="BQ3615" s="4"/>
      <c r="BR3615" s="8"/>
      <c r="BS3615" s="7"/>
      <c r="BT3615" s="7"/>
      <c r="BU3615" s="2" t="s">
        <v>109</v>
      </c>
      <c r="BV3615" s="2" t="s">
        <v>110</v>
      </c>
      <c r="BW3615" s="2" t="s">
        <v>11133</v>
      </c>
      <c r="BX3615" s="2" t="s">
        <v>2422</v>
      </c>
      <c r="BY3615" s="2" t="s">
        <v>113</v>
      </c>
      <c r="BZ3615" s="2" t="s">
        <v>100</v>
      </c>
    </row>
    <row r="3616">
      <c r="A3616" s="2" t="s">
        <v>11134</v>
      </c>
      <c r="B3616" s="2" t="s">
        <v>9668</v>
      </c>
      <c r="C3616" s="2" t="s">
        <v>2331</v>
      </c>
      <c r="D3616" s="2" t="s">
        <v>9669</v>
      </c>
      <c r="E3616" s="2" t="s">
        <v>9670</v>
      </c>
      <c r="F3616" s="2" t="s">
        <v>11120</v>
      </c>
      <c r="G3616" s="2" t="s">
        <v>11120</v>
      </c>
      <c r="H3616" s="2" t="s">
        <v>11120</v>
      </c>
      <c r="I3616" s="2" t="s">
        <v>10016</v>
      </c>
      <c r="J3616" s="2" t="s">
        <v>714</v>
      </c>
      <c r="K3616" s="2" t="s">
        <v>9673</v>
      </c>
      <c r="L3616" s="3">
        <v>28.98</v>
      </c>
      <c r="M3616" s="3">
        <v>30.43</v>
      </c>
      <c r="N3616" s="3">
        <v>64.99</v>
      </c>
      <c r="O3616" s="2" t="s">
        <v>97</v>
      </c>
      <c r="P3616" s="2" t="s">
        <v>119</v>
      </c>
      <c r="Q3616" s="2" t="s">
        <v>99</v>
      </c>
      <c r="R3616" s="2" t="s">
        <v>100</v>
      </c>
      <c r="S3616" s="2" t="s">
        <v>11132</v>
      </c>
      <c r="T3616" s="2" t="s">
        <v>9675</v>
      </c>
      <c r="U3616" s="2" t="s">
        <v>100</v>
      </c>
      <c r="V3616" s="2" t="s">
        <v>201</v>
      </c>
      <c r="W3616" s="2" t="s">
        <v>202</v>
      </c>
      <c r="X3616" s="2" t="s">
        <v>183</v>
      </c>
      <c r="Y3616" s="2" t="s">
        <v>990</v>
      </c>
      <c r="Z3616" s="4">
        <v>131</v>
      </c>
      <c r="AA3616" s="4">
        <f>=ROUNDDOWN(8.1875,0)</f>
      </c>
      <c r="AB3616" s="5">
        <v>16</v>
      </c>
      <c r="AC3616" s="2" t="s">
        <v>768</v>
      </c>
      <c r="AD3616" s="4">
        <v>167</v>
      </c>
      <c r="AE3616" s="4">
        <v>167</v>
      </c>
      <c r="AF3616" s="6">
        <v>65</v>
      </c>
      <c r="AG3616" s="6"/>
      <c r="AH3616" s="7">
        <v>0.7594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>
        <v>1</v>
      </c>
      <c r="AQ3616" s="8">
        <v>38.88</v>
      </c>
      <c r="AR3616" s="4"/>
      <c r="AS3616" s="8"/>
      <c r="AT3616" s="7"/>
      <c r="AU3616" s="7"/>
      <c r="AV3616" s="4" t="s">
        <v>100</v>
      </c>
      <c r="AW3616" s="8" t="s">
        <v>100</v>
      </c>
      <c r="AX3616" s="4" t="s">
        <v>100</v>
      </c>
      <c r="AY3616" s="8" t="s">
        <v>100</v>
      </c>
      <c r="AZ3616" s="7" t="s">
        <v>100</v>
      </c>
      <c r="BA3616" s="7" t="s">
        <v>100</v>
      </c>
      <c r="BB3616" s="7">
        <v>0.042</v>
      </c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 t="s">
        <v>100</v>
      </c>
      <c r="BJ3616" s="4">
        <v>282</v>
      </c>
      <c r="BK3616" s="8">
        <v>9358.94</v>
      </c>
      <c r="BL3616" s="2" t="s">
        <v>11135</v>
      </c>
      <c r="BM3616" s="7">
        <v>0.0035</v>
      </c>
      <c r="BN3616" s="7">
        <v>0.0042</v>
      </c>
      <c r="BO3616" s="4">
        <v>1</v>
      </c>
      <c r="BP3616" s="8">
        <v>38.88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2338</v>
      </c>
      <c r="BX3616" s="2" t="s">
        <v>2342</v>
      </c>
      <c r="BY3616" s="2" t="s">
        <v>113</v>
      </c>
      <c r="BZ3616" s="2" t="s">
        <v>100</v>
      </c>
    </row>
    <row r="3617">
      <c r="A3617" s="2" t="s">
        <v>11136</v>
      </c>
      <c r="B3617" s="2" t="s">
        <v>9668</v>
      </c>
      <c r="C3617" s="2" t="s">
        <v>2331</v>
      </c>
      <c r="D3617" s="2" t="s">
        <v>9669</v>
      </c>
      <c r="E3617" s="2" t="s">
        <v>9670</v>
      </c>
      <c r="F3617" s="2" t="s">
        <v>11120</v>
      </c>
      <c r="G3617" s="2" t="s">
        <v>11120</v>
      </c>
      <c r="H3617" s="2" t="s">
        <v>11120</v>
      </c>
      <c r="I3617" s="2" t="s">
        <v>10016</v>
      </c>
      <c r="J3617" s="2" t="s">
        <v>817</v>
      </c>
      <c r="K3617" s="2" t="s">
        <v>9673</v>
      </c>
      <c r="L3617" s="3">
        <v>28.98</v>
      </c>
      <c r="M3617" s="3">
        <v>30.43</v>
      </c>
      <c r="N3617" s="3">
        <v>64.99</v>
      </c>
      <c r="O3617" s="2" t="s">
        <v>97</v>
      </c>
      <c r="P3617" s="2" t="s">
        <v>119</v>
      </c>
      <c r="Q3617" s="2" t="s">
        <v>99</v>
      </c>
      <c r="R3617" s="2" t="s">
        <v>100</v>
      </c>
      <c r="S3617" s="2" t="s">
        <v>11132</v>
      </c>
      <c r="T3617" s="2" t="s">
        <v>9675</v>
      </c>
      <c r="U3617" s="2" t="s">
        <v>100</v>
      </c>
      <c r="V3617" s="2" t="s">
        <v>201</v>
      </c>
      <c r="W3617" s="2" t="s">
        <v>202</v>
      </c>
      <c r="X3617" s="2" t="s">
        <v>183</v>
      </c>
      <c r="Y3617" s="2" t="s">
        <v>990</v>
      </c>
      <c r="Z3617" s="4">
        <v>165</v>
      </c>
      <c r="AA3617" s="4">
        <f>=ROUNDDOWN(16.5,0)</f>
      </c>
      <c r="AB3617" s="5">
        <v>10</v>
      </c>
      <c r="AC3617" s="2" t="s">
        <v>768</v>
      </c>
      <c r="AD3617" s="4">
        <v>88</v>
      </c>
      <c r="AE3617" s="4">
        <v>88</v>
      </c>
      <c r="AF3617" s="6">
        <v>65</v>
      </c>
      <c r="AG3617" s="6"/>
      <c r="AH3617" s="7">
        <v>0.7647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>
        <v>1</v>
      </c>
      <c r="AQ3617" s="8">
        <v>38.88</v>
      </c>
      <c r="AR3617" s="4"/>
      <c r="AS3617" s="8"/>
      <c r="AT3617" s="7"/>
      <c r="AU3617" s="7"/>
      <c r="AV3617" s="4" t="s">
        <v>100</v>
      </c>
      <c r="AW3617" s="8" t="s">
        <v>100</v>
      </c>
      <c r="AX3617" s="4" t="s">
        <v>100</v>
      </c>
      <c r="AY3617" s="8" t="s">
        <v>100</v>
      </c>
      <c r="AZ3617" s="7" t="s">
        <v>100</v>
      </c>
      <c r="BA3617" s="7" t="s">
        <v>100</v>
      </c>
      <c r="BB3617" s="7">
        <v>0.042</v>
      </c>
      <c r="BC3617" s="4" t="s">
        <v>100</v>
      </c>
      <c r="BD3617" s="8" t="s">
        <v>100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 t="s">
        <v>100</v>
      </c>
      <c r="BJ3617" s="4">
        <v>115</v>
      </c>
      <c r="BK3617" s="8">
        <v>3867.45</v>
      </c>
      <c r="BL3617" s="2" t="s">
        <v>11137</v>
      </c>
      <c r="BM3617" s="7">
        <v>0.0087</v>
      </c>
      <c r="BN3617" s="7">
        <v>0.0101</v>
      </c>
      <c r="BO3617" s="4">
        <v>1</v>
      </c>
      <c r="BP3617" s="8">
        <v>38.88</v>
      </c>
      <c r="BQ3617" s="4"/>
      <c r="BR3617" s="8"/>
      <c r="BS3617" s="7"/>
      <c r="BT3617" s="7"/>
      <c r="BU3617" s="2" t="s">
        <v>109</v>
      </c>
      <c r="BV3617" s="2" t="s">
        <v>110</v>
      </c>
      <c r="BW3617" s="2" t="s">
        <v>2338</v>
      </c>
      <c r="BX3617" s="2" t="s">
        <v>11138</v>
      </c>
      <c r="BY3617" s="2" t="s">
        <v>113</v>
      </c>
      <c r="BZ3617" s="2" t="s">
        <v>100</v>
      </c>
    </row>
    <row r="3618">
      <c r="A3618" s="2" t="s">
        <v>11139</v>
      </c>
      <c r="B3618" s="2" t="s">
        <v>9668</v>
      </c>
      <c r="C3618" s="2" t="s">
        <v>2331</v>
      </c>
      <c r="D3618" s="2" t="s">
        <v>9669</v>
      </c>
      <c r="E3618" s="2" t="s">
        <v>9670</v>
      </c>
      <c r="F3618" s="2" t="s">
        <v>11120</v>
      </c>
      <c r="G3618" s="2" t="s">
        <v>11120</v>
      </c>
      <c r="H3618" s="2" t="s">
        <v>11120</v>
      </c>
      <c r="I3618" s="2" t="s">
        <v>10016</v>
      </c>
      <c r="J3618" s="2" t="s">
        <v>706</v>
      </c>
      <c r="K3618" s="2" t="s">
        <v>11140</v>
      </c>
      <c r="L3618" s="3">
        <v>24.3</v>
      </c>
      <c r="M3618" s="3">
        <v>25.52</v>
      </c>
      <c r="N3618" s="3">
        <v>54.99</v>
      </c>
      <c r="O3618" s="2" t="s">
        <v>97</v>
      </c>
      <c r="P3618" s="2" t="s">
        <v>950</v>
      </c>
      <c r="Q3618" s="2" t="s">
        <v>99</v>
      </c>
      <c r="R3618" s="2" t="s">
        <v>100</v>
      </c>
      <c r="S3618" s="2" t="s">
        <v>11141</v>
      </c>
      <c r="T3618" s="2" t="s">
        <v>9675</v>
      </c>
      <c r="U3618" s="2" t="s">
        <v>100</v>
      </c>
      <c r="V3618" s="2" t="s">
        <v>3937</v>
      </c>
      <c r="W3618" s="2" t="s">
        <v>202</v>
      </c>
      <c r="X3618" s="2" t="s">
        <v>183</v>
      </c>
      <c r="Y3618" s="2" t="s">
        <v>990</v>
      </c>
      <c r="Z3618" s="4">
        <v>608</v>
      </c>
      <c r="AA3618" s="4">
        <f>=ROUNDDOWN(16.8888888888889,0)</f>
      </c>
      <c r="AB3618" s="5">
        <v>36</v>
      </c>
      <c r="AC3618" s="2" t="s">
        <v>768</v>
      </c>
      <c r="AD3618" s="4">
        <v>424</v>
      </c>
      <c r="AE3618" s="4">
        <v>424</v>
      </c>
      <c r="AF3618" s="6">
        <v>65</v>
      </c>
      <c r="AG3618" s="6"/>
      <c r="AH3618" s="7">
        <v>0.7005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>
        <v>7</v>
      </c>
      <c r="AQ3618" s="8">
        <v>228.2</v>
      </c>
      <c r="AR3618" s="4"/>
      <c r="AS3618" s="8"/>
      <c r="AT3618" s="7"/>
      <c r="AU3618" s="7"/>
      <c r="AV3618" s="4">
        <v>14</v>
      </c>
      <c r="AW3618" s="8">
        <v>500.36</v>
      </c>
      <c r="AX3618" s="4" t="s">
        <v>100</v>
      </c>
      <c r="AY3618" s="8" t="s">
        <v>100</v>
      </c>
      <c r="AZ3618" s="7" t="s">
        <v>100</v>
      </c>
      <c r="BA3618" s="7" t="s">
        <v>100</v>
      </c>
      <c r="BB3618" s="7">
        <v>0.4561</v>
      </c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>
        <v>0.0983</v>
      </c>
      <c r="BJ3618" s="4">
        <v>408</v>
      </c>
      <c r="BK3618" s="8">
        <v>11510.22</v>
      </c>
      <c r="BL3618" s="2" t="s">
        <v>11142</v>
      </c>
      <c r="BM3618" s="7">
        <v>0.0172</v>
      </c>
      <c r="BN3618" s="7">
        <v>0.0198</v>
      </c>
      <c r="BO3618" s="4">
        <v>7</v>
      </c>
      <c r="BP3618" s="8">
        <v>228.2</v>
      </c>
      <c r="BQ3618" s="4"/>
      <c r="BR3618" s="8"/>
      <c r="BS3618" s="7"/>
      <c r="BT3618" s="7"/>
      <c r="BU3618" s="2" t="s">
        <v>109</v>
      </c>
      <c r="BV3618" s="2" t="s">
        <v>110</v>
      </c>
      <c r="BW3618" s="2" t="s">
        <v>11133</v>
      </c>
      <c r="BX3618" s="2" t="s">
        <v>6958</v>
      </c>
      <c r="BY3618" s="2" t="s">
        <v>113</v>
      </c>
      <c r="BZ3618" s="2" t="s">
        <v>100</v>
      </c>
    </row>
    <row r="3619">
      <c r="A3619" s="2" t="s">
        <v>11143</v>
      </c>
      <c r="B3619" s="2" t="s">
        <v>9668</v>
      </c>
      <c r="C3619" s="2" t="s">
        <v>2331</v>
      </c>
      <c r="D3619" s="2" t="s">
        <v>9669</v>
      </c>
      <c r="E3619" s="2" t="s">
        <v>9670</v>
      </c>
      <c r="F3619" s="2" t="s">
        <v>11120</v>
      </c>
      <c r="G3619" s="2" t="s">
        <v>11120</v>
      </c>
      <c r="H3619" s="2" t="s">
        <v>11120</v>
      </c>
      <c r="I3619" s="2" t="s">
        <v>10016</v>
      </c>
      <c r="J3619" s="2" t="s">
        <v>714</v>
      </c>
      <c r="K3619" s="2" t="s">
        <v>11140</v>
      </c>
      <c r="L3619" s="3">
        <v>28.98</v>
      </c>
      <c r="M3619" s="3">
        <v>30.43</v>
      </c>
      <c r="N3619" s="3">
        <v>64.99</v>
      </c>
      <c r="O3619" s="2" t="s">
        <v>97</v>
      </c>
      <c r="P3619" s="2" t="s">
        <v>119</v>
      </c>
      <c r="Q3619" s="2" t="s">
        <v>99</v>
      </c>
      <c r="R3619" s="2" t="s">
        <v>100</v>
      </c>
      <c r="S3619" s="2" t="s">
        <v>11141</v>
      </c>
      <c r="T3619" s="2" t="s">
        <v>9675</v>
      </c>
      <c r="U3619" s="2" t="s">
        <v>100</v>
      </c>
      <c r="V3619" s="2" t="s">
        <v>3937</v>
      </c>
      <c r="W3619" s="2" t="s">
        <v>202</v>
      </c>
      <c r="X3619" s="2" t="s">
        <v>183</v>
      </c>
      <c r="Y3619" s="2" t="s">
        <v>990</v>
      </c>
      <c r="Z3619" s="4">
        <v>169</v>
      </c>
      <c r="AA3619" s="4">
        <f>=ROUNDDOWN(11.2666666666667,0)</f>
      </c>
      <c r="AB3619" s="5">
        <v>15</v>
      </c>
      <c r="AC3619" s="2" t="s">
        <v>768</v>
      </c>
      <c r="AD3619" s="4">
        <v>125</v>
      </c>
      <c r="AE3619" s="4">
        <v>125</v>
      </c>
      <c r="AF3619" s="6">
        <v>65</v>
      </c>
      <c r="AG3619" s="6"/>
      <c r="AH3619" s="7">
        <v>0.7005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>
        <v>3</v>
      </c>
      <c r="AQ3619" s="8">
        <v>116.64</v>
      </c>
      <c r="AR3619" s="4"/>
      <c r="AS3619" s="8"/>
      <c r="AT3619" s="7"/>
      <c r="AU3619" s="7"/>
      <c r="AV3619" s="4" t="s">
        <v>100</v>
      </c>
      <c r="AW3619" s="8" t="s">
        <v>100</v>
      </c>
      <c r="AX3619" s="4" t="s">
        <v>100</v>
      </c>
      <c r="AY3619" s="8" t="s">
        <v>100</v>
      </c>
      <c r="AZ3619" s="7" t="s">
        <v>100</v>
      </c>
      <c r="BA3619" s="7" t="s">
        <v>100</v>
      </c>
      <c r="BB3619" s="7">
        <v>0.2331</v>
      </c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 t="s">
        <v>100</v>
      </c>
      <c r="BJ3619" s="4">
        <v>156</v>
      </c>
      <c r="BK3619" s="8">
        <v>5213.96</v>
      </c>
      <c r="BL3619" s="2" t="s">
        <v>11144</v>
      </c>
      <c r="BM3619" s="7">
        <v>0.0192</v>
      </c>
      <c r="BN3619" s="7">
        <v>0.0224</v>
      </c>
      <c r="BO3619" s="4">
        <v>3</v>
      </c>
      <c r="BP3619" s="8">
        <v>116.64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11133</v>
      </c>
      <c r="BX3619" s="2" t="s">
        <v>11145</v>
      </c>
      <c r="BY3619" s="2" t="s">
        <v>113</v>
      </c>
      <c r="BZ3619" s="2" t="s">
        <v>100</v>
      </c>
    </row>
    <row r="3620">
      <c r="A3620" s="2" t="s">
        <v>11146</v>
      </c>
      <c r="B3620" s="2" t="s">
        <v>9668</v>
      </c>
      <c r="C3620" s="2" t="s">
        <v>2331</v>
      </c>
      <c r="D3620" s="2" t="s">
        <v>9669</v>
      </c>
      <c r="E3620" s="2" t="s">
        <v>9670</v>
      </c>
      <c r="F3620" s="2" t="s">
        <v>11120</v>
      </c>
      <c r="G3620" s="2" t="s">
        <v>11120</v>
      </c>
      <c r="H3620" s="2" t="s">
        <v>11120</v>
      </c>
      <c r="I3620" s="2" t="s">
        <v>10016</v>
      </c>
      <c r="J3620" s="2" t="s">
        <v>817</v>
      </c>
      <c r="K3620" s="2" t="s">
        <v>11140</v>
      </c>
      <c r="L3620" s="3">
        <v>28.98</v>
      </c>
      <c r="M3620" s="3">
        <v>30.43</v>
      </c>
      <c r="N3620" s="3">
        <v>64.99</v>
      </c>
      <c r="O3620" s="2" t="s">
        <v>97</v>
      </c>
      <c r="P3620" s="2" t="s">
        <v>119</v>
      </c>
      <c r="Q3620" s="2" t="s">
        <v>99</v>
      </c>
      <c r="R3620" s="2" t="s">
        <v>100</v>
      </c>
      <c r="S3620" s="2" t="s">
        <v>11141</v>
      </c>
      <c r="T3620" s="2" t="s">
        <v>9675</v>
      </c>
      <c r="U3620" s="2" t="s">
        <v>100</v>
      </c>
      <c r="V3620" s="2" t="s">
        <v>3937</v>
      </c>
      <c r="W3620" s="2" t="s">
        <v>202</v>
      </c>
      <c r="X3620" s="2" t="s">
        <v>183</v>
      </c>
      <c r="Y3620" s="2" t="s">
        <v>990</v>
      </c>
      <c r="Z3620" s="4">
        <v>186</v>
      </c>
      <c r="AA3620" s="4">
        <f>=ROUNDDOWN(18.6,0)</f>
      </c>
      <c r="AB3620" s="5">
        <v>10</v>
      </c>
      <c r="AC3620" s="2" t="s">
        <v>768</v>
      </c>
      <c r="AD3620" s="4">
        <v>103</v>
      </c>
      <c r="AE3620" s="4">
        <v>103</v>
      </c>
      <c r="AF3620" s="6">
        <v>65</v>
      </c>
      <c r="AG3620" s="6"/>
      <c r="AH3620" s="7">
        <v>0.7005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>
        <v>4</v>
      </c>
      <c r="AQ3620" s="8">
        <v>155.52</v>
      </c>
      <c r="AR3620" s="4"/>
      <c r="AS3620" s="8"/>
      <c r="AT3620" s="7"/>
      <c r="AU3620" s="7"/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>
        <v>0.3108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 t="s">
        <v>100</v>
      </c>
      <c r="BJ3620" s="4">
        <v>64</v>
      </c>
      <c r="BK3620" s="8">
        <v>2165.08</v>
      </c>
      <c r="BL3620" s="2" t="s">
        <v>11147</v>
      </c>
      <c r="BM3620" s="7">
        <v>0.0625</v>
      </c>
      <c r="BN3620" s="7">
        <v>0.0718</v>
      </c>
      <c r="BO3620" s="4">
        <v>4</v>
      </c>
      <c r="BP3620" s="8">
        <v>155.52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2338</v>
      </c>
      <c r="BX3620" s="2" t="s">
        <v>2117</v>
      </c>
      <c r="BY3620" s="2" t="s">
        <v>113</v>
      </c>
      <c r="BZ3620" s="2" t="s">
        <v>100</v>
      </c>
    </row>
    <row r="3621">
      <c r="A3621" s="2" t="s">
        <v>11148</v>
      </c>
      <c r="B3621" s="2" t="s">
        <v>9668</v>
      </c>
      <c r="C3621" s="2" t="s">
        <v>2331</v>
      </c>
      <c r="D3621" s="2" t="s">
        <v>9669</v>
      </c>
      <c r="E3621" s="2" t="s">
        <v>9670</v>
      </c>
      <c r="F3621" s="2" t="s">
        <v>11120</v>
      </c>
      <c r="G3621" s="2" t="s">
        <v>11120</v>
      </c>
      <c r="H3621" s="2" t="s">
        <v>11120</v>
      </c>
      <c r="I3621" s="2" t="s">
        <v>10016</v>
      </c>
      <c r="J3621" s="2" t="s">
        <v>1936</v>
      </c>
      <c r="K3621" s="2" t="s">
        <v>11149</v>
      </c>
      <c r="L3621" s="3">
        <v>19.8</v>
      </c>
      <c r="M3621" s="3">
        <v>20.79</v>
      </c>
      <c r="N3621" s="3">
        <v>44.99</v>
      </c>
      <c r="O3621" s="2" t="s">
        <v>97</v>
      </c>
      <c r="P3621" s="2" t="s">
        <v>119</v>
      </c>
      <c r="Q3621" s="2" t="s">
        <v>99</v>
      </c>
      <c r="R3621" s="2" t="s">
        <v>100</v>
      </c>
      <c r="S3621" s="2" t="s">
        <v>11150</v>
      </c>
      <c r="T3621" s="2" t="s">
        <v>9675</v>
      </c>
      <c r="U3621" s="2" t="s">
        <v>100</v>
      </c>
      <c r="V3621" s="2" t="s">
        <v>3937</v>
      </c>
      <c r="W3621" s="2" t="s">
        <v>202</v>
      </c>
      <c r="X3621" s="2" t="s">
        <v>183</v>
      </c>
      <c r="Y3621" s="2" t="s">
        <v>2045</v>
      </c>
      <c r="Z3621" s="4">
        <v>25</v>
      </c>
      <c r="AA3621" s="4">
        <f>=ROUNDDOWN(2.5,0)</f>
      </c>
      <c r="AB3621" s="5">
        <v>10</v>
      </c>
      <c r="AC3621" s="2" t="s">
        <v>562</v>
      </c>
      <c r="AD3621" s="4">
        <v>79</v>
      </c>
      <c r="AE3621" s="4">
        <v>79</v>
      </c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>
        <v>5</v>
      </c>
      <c r="AQ3621" s="8">
        <v>132.85</v>
      </c>
      <c r="AR3621" s="4"/>
      <c r="AS3621" s="8"/>
      <c r="AT3621" s="7"/>
      <c r="AU3621" s="7"/>
      <c r="AV3621" s="4">
        <v>15</v>
      </c>
      <c r="AW3621" s="8">
        <v>464.17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>
        <v>0.2862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0.0912</v>
      </c>
      <c r="BJ3621" s="4">
        <v>173</v>
      </c>
      <c r="BK3621" s="8">
        <v>4029.58</v>
      </c>
      <c r="BL3621" s="2" t="s">
        <v>5127</v>
      </c>
      <c r="BM3621" s="7">
        <v>0.0289</v>
      </c>
      <c r="BN3621" s="7">
        <v>0.033</v>
      </c>
      <c r="BO3621" s="4">
        <v>5</v>
      </c>
      <c r="BP3621" s="8">
        <v>132.85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2338</v>
      </c>
      <c r="BX3621" s="2" t="s">
        <v>11151</v>
      </c>
      <c r="BY3621" s="2" t="s">
        <v>113</v>
      </c>
      <c r="BZ3621" s="2" t="s">
        <v>100</v>
      </c>
    </row>
    <row r="3622">
      <c r="A3622" s="2" t="s">
        <v>11152</v>
      </c>
      <c r="B3622" s="2" t="s">
        <v>9668</v>
      </c>
      <c r="C3622" s="2" t="s">
        <v>2331</v>
      </c>
      <c r="D3622" s="2" t="s">
        <v>9669</v>
      </c>
      <c r="E3622" s="2" t="s">
        <v>9670</v>
      </c>
      <c r="F3622" s="2" t="s">
        <v>11120</v>
      </c>
      <c r="G3622" s="2" t="s">
        <v>11120</v>
      </c>
      <c r="H3622" s="2" t="s">
        <v>11120</v>
      </c>
      <c r="I3622" s="2" t="s">
        <v>10016</v>
      </c>
      <c r="J3622" s="2" t="s">
        <v>717</v>
      </c>
      <c r="K3622" s="2" t="s">
        <v>11149</v>
      </c>
      <c r="L3622" s="3">
        <v>21.78</v>
      </c>
      <c r="M3622" s="3">
        <v>22.87</v>
      </c>
      <c r="N3622" s="3">
        <v>49.99</v>
      </c>
      <c r="O3622" s="2" t="s">
        <v>97</v>
      </c>
      <c r="P3622" s="2" t="s">
        <v>119</v>
      </c>
      <c r="Q3622" s="2" t="s">
        <v>99</v>
      </c>
      <c r="R3622" s="2" t="s">
        <v>100</v>
      </c>
      <c r="S3622" s="2" t="s">
        <v>11150</v>
      </c>
      <c r="T3622" s="2" t="s">
        <v>9675</v>
      </c>
      <c r="U3622" s="2" t="s">
        <v>100</v>
      </c>
      <c r="V3622" s="2" t="s">
        <v>3937</v>
      </c>
      <c r="W3622" s="2" t="s">
        <v>202</v>
      </c>
      <c r="X3622" s="2" t="s">
        <v>183</v>
      </c>
      <c r="Y3622" s="2" t="s">
        <v>2045</v>
      </c>
      <c r="Z3622" s="4">
        <v>58</v>
      </c>
      <c r="AA3622" s="4">
        <f>=ROUNDDOWN(5.27272727272727,0)</f>
      </c>
      <c r="AB3622" s="5">
        <v>11</v>
      </c>
      <c r="AC3622" s="2" t="s">
        <v>768</v>
      </c>
      <c r="AD3622" s="4">
        <v>91</v>
      </c>
      <c r="AE3622" s="4">
        <v>91</v>
      </c>
      <c r="AF3622" s="6">
        <v>65</v>
      </c>
      <c r="AG3622" s="6"/>
      <c r="AH3622" s="7">
        <v>0.7005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>
        <v>4</v>
      </c>
      <c r="AQ3622" s="8">
        <v>116.88</v>
      </c>
      <c r="AR3622" s="4"/>
      <c r="AS3622" s="8"/>
      <c r="AT3622" s="7"/>
      <c r="AU3622" s="7"/>
      <c r="AV3622" s="4" t="s">
        <v>100</v>
      </c>
      <c r="AW3622" s="8" t="s">
        <v>100</v>
      </c>
      <c r="AX3622" s="4" t="s">
        <v>100</v>
      </c>
      <c r="AY3622" s="8" t="s">
        <v>100</v>
      </c>
      <c r="AZ3622" s="7" t="s">
        <v>100</v>
      </c>
      <c r="BA3622" s="7" t="s">
        <v>100</v>
      </c>
      <c r="BB3622" s="7">
        <v>0.2518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 t="s">
        <v>100</v>
      </c>
      <c r="BJ3622" s="4">
        <v>195</v>
      </c>
      <c r="BK3622" s="8">
        <v>4921.51</v>
      </c>
      <c r="BL3622" s="2" t="s">
        <v>11153</v>
      </c>
      <c r="BM3622" s="7">
        <v>0.0205</v>
      </c>
      <c r="BN3622" s="7">
        <v>0.0237</v>
      </c>
      <c r="BO3622" s="4">
        <v>4</v>
      </c>
      <c r="BP3622" s="8">
        <v>116.88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2338</v>
      </c>
      <c r="BX3622" s="2" t="s">
        <v>11154</v>
      </c>
      <c r="BY3622" s="2" t="s">
        <v>113</v>
      </c>
      <c r="BZ3622" s="2" t="s">
        <v>100</v>
      </c>
    </row>
    <row r="3623">
      <c r="A3623" s="2" t="s">
        <v>11155</v>
      </c>
      <c r="B3623" s="2" t="s">
        <v>9668</v>
      </c>
      <c r="C3623" s="2" t="s">
        <v>2331</v>
      </c>
      <c r="D3623" s="2" t="s">
        <v>9669</v>
      </c>
      <c r="E3623" s="2" t="s">
        <v>9670</v>
      </c>
      <c r="F3623" s="2" t="s">
        <v>11120</v>
      </c>
      <c r="G3623" s="2" t="s">
        <v>11120</v>
      </c>
      <c r="H3623" s="2" t="s">
        <v>11120</v>
      </c>
      <c r="I3623" s="2" t="s">
        <v>10016</v>
      </c>
      <c r="J3623" s="2" t="s">
        <v>706</v>
      </c>
      <c r="K3623" s="2" t="s">
        <v>11149</v>
      </c>
      <c r="L3623" s="3">
        <v>24.3</v>
      </c>
      <c r="M3623" s="3">
        <v>25.52</v>
      </c>
      <c r="N3623" s="3">
        <v>54.99</v>
      </c>
      <c r="O3623" s="2" t="s">
        <v>97</v>
      </c>
      <c r="P3623" s="2" t="s">
        <v>119</v>
      </c>
      <c r="Q3623" s="2" t="s">
        <v>99</v>
      </c>
      <c r="R3623" s="2" t="s">
        <v>100</v>
      </c>
      <c r="S3623" s="2" t="s">
        <v>11156</v>
      </c>
      <c r="T3623" s="2" t="s">
        <v>9675</v>
      </c>
      <c r="U3623" s="2" t="s">
        <v>100</v>
      </c>
      <c r="V3623" s="2" t="s">
        <v>3937</v>
      </c>
      <c r="W3623" s="2" t="s">
        <v>202</v>
      </c>
      <c r="X3623" s="2" t="s">
        <v>183</v>
      </c>
      <c r="Y3623" s="2" t="s">
        <v>11157</v>
      </c>
      <c r="Z3623" s="4">
        <v>71</v>
      </c>
      <c r="AA3623" s="4">
        <f>=ROUNDDOWN(3.55,0)</f>
      </c>
      <c r="AB3623" s="5">
        <v>20</v>
      </c>
      <c r="AC3623" s="2" t="s">
        <v>768</v>
      </c>
      <c r="AD3623" s="4">
        <v>120</v>
      </c>
      <c r="AE3623" s="4">
        <v>120</v>
      </c>
      <c r="AF3623" s="6">
        <v>65</v>
      </c>
      <c r="AG3623" s="6"/>
      <c r="AH3623" s="7">
        <v>0.7005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>
        <v>3</v>
      </c>
      <c r="AQ3623" s="8">
        <v>97.8</v>
      </c>
      <c r="AR3623" s="4"/>
      <c r="AS3623" s="8"/>
      <c r="AT3623" s="7"/>
      <c r="AU3623" s="7"/>
      <c r="AV3623" s="4" t="s">
        <v>100</v>
      </c>
      <c r="AW3623" s="8" t="s">
        <v>100</v>
      </c>
      <c r="AX3623" s="4" t="s">
        <v>100</v>
      </c>
      <c r="AY3623" s="8" t="s">
        <v>100</v>
      </c>
      <c r="AZ3623" s="7" t="s">
        <v>100</v>
      </c>
      <c r="BA3623" s="7" t="s">
        <v>100</v>
      </c>
      <c r="BB3623" s="7">
        <v>0.2107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 t="s">
        <v>100</v>
      </c>
      <c r="BJ3623" s="4">
        <v>291</v>
      </c>
      <c r="BK3623" s="8">
        <v>8388.57</v>
      </c>
      <c r="BL3623" s="2" t="s">
        <v>11158</v>
      </c>
      <c r="BM3623" s="7">
        <v>0.0103</v>
      </c>
      <c r="BN3623" s="7">
        <v>0.0117</v>
      </c>
      <c r="BO3623" s="4">
        <v>3</v>
      </c>
      <c r="BP3623" s="8">
        <v>97.8</v>
      </c>
      <c r="BQ3623" s="4"/>
      <c r="BR3623" s="8"/>
      <c r="BS3623" s="7"/>
      <c r="BT3623" s="7"/>
      <c r="BU3623" s="2" t="s">
        <v>109</v>
      </c>
      <c r="BV3623" s="2" t="s">
        <v>110</v>
      </c>
      <c r="BW3623" s="2" t="s">
        <v>2338</v>
      </c>
      <c r="BX3623" s="2" t="s">
        <v>11159</v>
      </c>
      <c r="BY3623" s="2" t="s">
        <v>113</v>
      </c>
      <c r="BZ3623" s="2" t="s">
        <v>100</v>
      </c>
    </row>
    <row r="3624">
      <c r="A3624" s="2" t="s">
        <v>11160</v>
      </c>
      <c r="B3624" s="2" t="s">
        <v>9668</v>
      </c>
      <c r="C3624" s="2" t="s">
        <v>2331</v>
      </c>
      <c r="D3624" s="2" t="s">
        <v>9669</v>
      </c>
      <c r="E3624" s="2" t="s">
        <v>9670</v>
      </c>
      <c r="F3624" s="2" t="s">
        <v>11120</v>
      </c>
      <c r="G3624" s="2" t="s">
        <v>11120</v>
      </c>
      <c r="H3624" s="2" t="s">
        <v>11120</v>
      </c>
      <c r="I3624" s="2" t="s">
        <v>10016</v>
      </c>
      <c r="J3624" s="2" t="s">
        <v>714</v>
      </c>
      <c r="K3624" s="2" t="s">
        <v>11149</v>
      </c>
      <c r="L3624" s="3">
        <v>28.98</v>
      </c>
      <c r="M3624" s="3">
        <v>30.43</v>
      </c>
      <c r="N3624" s="3">
        <v>64.99</v>
      </c>
      <c r="O3624" s="2" t="s">
        <v>97</v>
      </c>
      <c r="P3624" s="2" t="s">
        <v>119</v>
      </c>
      <c r="Q3624" s="2" t="s">
        <v>99</v>
      </c>
      <c r="R3624" s="2" t="s">
        <v>100</v>
      </c>
      <c r="S3624" s="2" t="s">
        <v>11156</v>
      </c>
      <c r="T3624" s="2" t="s">
        <v>9675</v>
      </c>
      <c r="U3624" s="2" t="s">
        <v>100</v>
      </c>
      <c r="V3624" s="2" t="s">
        <v>3937</v>
      </c>
      <c r="W3624" s="2" t="s">
        <v>202</v>
      </c>
      <c r="X3624" s="2" t="s">
        <v>183</v>
      </c>
      <c r="Y3624" s="2" t="s">
        <v>2045</v>
      </c>
      <c r="Z3624" s="4">
        <v>48</v>
      </c>
      <c r="AA3624" s="4">
        <f>=ROUNDDOWN(4.36363636363636,0)</f>
      </c>
      <c r="AB3624" s="5">
        <v>11</v>
      </c>
      <c r="AC3624" s="2" t="s">
        <v>768</v>
      </c>
      <c r="AD3624" s="4">
        <v>90</v>
      </c>
      <c r="AE3624" s="4">
        <v>90</v>
      </c>
      <c r="AF3624" s="6">
        <v>65</v>
      </c>
      <c r="AG3624" s="6"/>
      <c r="AH3624" s="7">
        <v>0.7005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>
        <v>1</v>
      </c>
      <c r="AQ3624" s="8">
        <v>38.88</v>
      </c>
      <c r="AR3624" s="4"/>
      <c r="AS3624" s="8"/>
      <c r="AT3624" s="7"/>
      <c r="AU3624" s="7"/>
      <c r="AV3624" s="4" t="s">
        <v>100</v>
      </c>
      <c r="AW3624" s="8" t="s">
        <v>100</v>
      </c>
      <c r="AX3624" s="4" t="s">
        <v>100</v>
      </c>
      <c r="AY3624" s="8" t="s">
        <v>100</v>
      </c>
      <c r="AZ3624" s="7" t="s">
        <v>100</v>
      </c>
      <c r="BA3624" s="7" t="s">
        <v>100</v>
      </c>
      <c r="BB3624" s="7">
        <v>0.0838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 t="s">
        <v>100</v>
      </c>
      <c r="BJ3624" s="4">
        <v>162</v>
      </c>
      <c r="BK3624" s="8">
        <v>5505.38</v>
      </c>
      <c r="BL3624" s="2" t="s">
        <v>7228</v>
      </c>
      <c r="BM3624" s="7">
        <v>0.0062</v>
      </c>
      <c r="BN3624" s="7">
        <v>0.0071</v>
      </c>
      <c r="BO3624" s="4">
        <v>1</v>
      </c>
      <c r="BP3624" s="8">
        <v>38.88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2338</v>
      </c>
      <c r="BX3624" s="2" t="s">
        <v>7192</v>
      </c>
      <c r="BY3624" s="2" t="s">
        <v>113</v>
      </c>
      <c r="BZ3624" s="2" t="s">
        <v>100</v>
      </c>
    </row>
    <row r="3625">
      <c r="A3625" s="2" t="s">
        <v>11161</v>
      </c>
      <c r="B3625" s="2" t="s">
        <v>9668</v>
      </c>
      <c r="C3625" s="2" t="s">
        <v>2331</v>
      </c>
      <c r="D3625" s="2" t="s">
        <v>9669</v>
      </c>
      <c r="E3625" s="2" t="s">
        <v>9670</v>
      </c>
      <c r="F3625" s="2" t="s">
        <v>11120</v>
      </c>
      <c r="G3625" s="2" t="s">
        <v>11120</v>
      </c>
      <c r="H3625" s="2" t="s">
        <v>11120</v>
      </c>
      <c r="I3625" s="2" t="s">
        <v>10016</v>
      </c>
      <c r="J3625" s="2" t="s">
        <v>817</v>
      </c>
      <c r="K3625" s="2" t="s">
        <v>11149</v>
      </c>
      <c r="L3625" s="3">
        <v>28.98</v>
      </c>
      <c r="M3625" s="3">
        <v>30.43</v>
      </c>
      <c r="N3625" s="3">
        <v>64.99</v>
      </c>
      <c r="O3625" s="2" t="s">
        <v>97</v>
      </c>
      <c r="P3625" s="2" t="s">
        <v>119</v>
      </c>
      <c r="Q3625" s="2" t="s">
        <v>99</v>
      </c>
      <c r="R3625" s="2" t="s">
        <v>100</v>
      </c>
      <c r="S3625" s="2" t="s">
        <v>11156</v>
      </c>
      <c r="T3625" s="2" t="s">
        <v>9675</v>
      </c>
      <c r="U3625" s="2" t="s">
        <v>100</v>
      </c>
      <c r="V3625" s="2" t="s">
        <v>3937</v>
      </c>
      <c r="W3625" s="2" t="s">
        <v>202</v>
      </c>
      <c r="X3625" s="2" t="s">
        <v>183</v>
      </c>
      <c r="Y3625" s="2" t="s">
        <v>11157</v>
      </c>
      <c r="Z3625" s="4">
        <v>439</v>
      </c>
      <c r="AA3625" s="4">
        <f>=ROUNDDOWN(87.8,0)</f>
      </c>
      <c r="AB3625" s="5">
        <v>5</v>
      </c>
      <c r="AC3625" s="2" t="s">
        <v>100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>
        <v>2</v>
      </c>
      <c r="AQ3625" s="8">
        <v>77.76</v>
      </c>
      <c r="AR3625" s="4"/>
      <c r="AS3625" s="8"/>
      <c r="AT3625" s="7"/>
      <c r="AU3625" s="7"/>
      <c r="AV3625" s="4" t="s">
        <v>100</v>
      </c>
      <c r="AW3625" s="8" t="s">
        <v>100</v>
      </c>
      <c r="AX3625" s="4" t="s">
        <v>100</v>
      </c>
      <c r="AY3625" s="8" t="s">
        <v>100</v>
      </c>
      <c r="AZ3625" s="7" t="s">
        <v>100</v>
      </c>
      <c r="BA3625" s="7" t="s">
        <v>100</v>
      </c>
      <c r="BB3625" s="7">
        <v>0.1675</v>
      </c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 t="s">
        <v>100</v>
      </c>
      <c r="BJ3625" s="4">
        <v>54</v>
      </c>
      <c r="BK3625" s="8">
        <v>1857.26</v>
      </c>
      <c r="BL3625" s="2" t="s">
        <v>9706</v>
      </c>
      <c r="BM3625" s="7">
        <v>0.037</v>
      </c>
      <c r="BN3625" s="7">
        <v>0.0419</v>
      </c>
      <c r="BO3625" s="4">
        <v>2</v>
      </c>
      <c r="BP3625" s="8">
        <v>77.76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2338</v>
      </c>
      <c r="BX3625" s="2" t="s">
        <v>11162</v>
      </c>
      <c r="BY3625" s="2" t="s">
        <v>113</v>
      </c>
      <c r="BZ3625" s="2" t="s">
        <v>100</v>
      </c>
    </row>
    <row r="3626">
      <c r="A3626" s="2" t="s">
        <v>11163</v>
      </c>
      <c r="B3626" s="2" t="s">
        <v>9668</v>
      </c>
      <c r="C3626" s="2" t="s">
        <v>2331</v>
      </c>
      <c r="D3626" s="2" t="s">
        <v>9669</v>
      </c>
      <c r="E3626" s="2" t="s">
        <v>9670</v>
      </c>
      <c r="F3626" s="2" t="s">
        <v>11120</v>
      </c>
      <c r="G3626" s="2" t="s">
        <v>11120</v>
      </c>
      <c r="H3626" s="2" t="s">
        <v>11120</v>
      </c>
      <c r="I3626" s="2" t="s">
        <v>10016</v>
      </c>
      <c r="J3626" s="2" t="s">
        <v>1936</v>
      </c>
      <c r="K3626" s="2" t="s">
        <v>11164</v>
      </c>
      <c r="L3626" s="3">
        <v>19.8</v>
      </c>
      <c r="M3626" s="3">
        <v>20.79</v>
      </c>
      <c r="N3626" s="3">
        <v>44.99</v>
      </c>
      <c r="O3626" s="2" t="s">
        <v>97</v>
      </c>
      <c r="P3626" s="2" t="s">
        <v>119</v>
      </c>
      <c r="Q3626" s="2" t="s">
        <v>99</v>
      </c>
      <c r="R3626" s="2" t="s">
        <v>100</v>
      </c>
      <c r="S3626" s="2" t="s">
        <v>11165</v>
      </c>
      <c r="T3626" s="2" t="s">
        <v>9675</v>
      </c>
      <c r="U3626" s="2" t="s">
        <v>100</v>
      </c>
      <c r="V3626" s="2" t="s">
        <v>3937</v>
      </c>
      <c r="W3626" s="2" t="s">
        <v>202</v>
      </c>
      <c r="X3626" s="2" t="s">
        <v>183</v>
      </c>
      <c r="Y3626" s="2" t="s">
        <v>990</v>
      </c>
      <c r="Z3626" s="4">
        <v>282</v>
      </c>
      <c r="AA3626" s="4">
        <f>=ROUNDDOWN(31.3333333333333,0)</f>
      </c>
      <c r="AB3626" s="5">
        <v>9</v>
      </c>
      <c r="AC3626" s="2" t="s">
        <v>768</v>
      </c>
      <c r="AD3626" s="4">
        <v>32</v>
      </c>
      <c r="AE3626" s="4">
        <v>32</v>
      </c>
      <c r="AF3626" s="6">
        <v>65</v>
      </c>
      <c r="AG3626" s="6"/>
      <c r="AH3626" s="7">
        <v>0.7005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>
        <v>2</v>
      </c>
      <c r="AQ3626" s="8">
        <v>53.14</v>
      </c>
      <c r="AR3626" s="4"/>
      <c r="AS3626" s="8"/>
      <c r="AT3626" s="7"/>
      <c r="AU3626" s="7"/>
      <c r="AV3626" s="4">
        <v>14</v>
      </c>
      <c r="AW3626" s="8">
        <v>442.9</v>
      </c>
      <c r="AX3626" s="4" t="s">
        <v>100</v>
      </c>
      <c r="AY3626" s="8" t="s">
        <v>100</v>
      </c>
      <c r="AZ3626" s="7" t="s">
        <v>100</v>
      </c>
      <c r="BA3626" s="7" t="s">
        <v>100</v>
      </c>
      <c r="BB3626" s="7">
        <v>0.12</v>
      </c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>
        <v>0.087</v>
      </c>
      <c r="BJ3626" s="4">
        <v>86</v>
      </c>
      <c r="BK3626" s="8">
        <v>1963.12</v>
      </c>
      <c r="BL3626" s="2" t="s">
        <v>11166</v>
      </c>
      <c r="BM3626" s="7">
        <v>0.0233</v>
      </c>
      <c r="BN3626" s="7">
        <v>0.0271</v>
      </c>
      <c r="BO3626" s="4">
        <v>2</v>
      </c>
      <c r="BP3626" s="8">
        <v>53.14</v>
      </c>
      <c r="BQ3626" s="4"/>
      <c r="BR3626" s="8"/>
      <c r="BS3626" s="7"/>
      <c r="BT3626" s="7"/>
      <c r="BU3626" s="2" t="s">
        <v>109</v>
      </c>
      <c r="BV3626" s="2" t="s">
        <v>110</v>
      </c>
      <c r="BW3626" s="2" t="s">
        <v>11133</v>
      </c>
      <c r="BX3626" s="2" t="s">
        <v>5935</v>
      </c>
      <c r="BY3626" s="2" t="s">
        <v>113</v>
      </c>
      <c r="BZ3626" s="2" t="s">
        <v>100</v>
      </c>
    </row>
    <row r="3627">
      <c r="A3627" s="2" t="s">
        <v>11167</v>
      </c>
      <c r="B3627" s="2" t="s">
        <v>9668</v>
      </c>
      <c r="C3627" s="2" t="s">
        <v>2331</v>
      </c>
      <c r="D3627" s="2" t="s">
        <v>9669</v>
      </c>
      <c r="E3627" s="2" t="s">
        <v>9670</v>
      </c>
      <c r="F3627" s="2" t="s">
        <v>11120</v>
      </c>
      <c r="G3627" s="2" t="s">
        <v>11120</v>
      </c>
      <c r="H3627" s="2" t="s">
        <v>11120</v>
      </c>
      <c r="I3627" s="2" t="s">
        <v>10016</v>
      </c>
      <c r="J3627" s="2" t="s">
        <v>717</v>
      </c>
      <c r="K3627" s="2" t="s">
        <v>11164</v>
      </c>
      <c r="L3627" s="3">
        <v>21.78</v>
      </c>
      <c r="M3627" s="3">
        <v>22.87</v>
      </c>
      <c r="N3627" s="3">
        <v>49.99</v>
      </c>
      <c r="O3627" s="2" t="s">
        <v>97</v>
      </c>
      <c r="P3627" s="2" t="s">
        <v>119</v>
      </c>
      <c r="Q3627" s="2" t="s">
        <v>99</v>
      </c>
      <c r="R3627" s="2" t="s">
        <v>100</v>
      </c>
      <c r="S3627" s="2" t="s">
        <v>11165</v>
      </c>
      <c r="T3627" s="2" t="s">
        <v>9675</v>
      </c>
      <c r="U3627" s="2" t="s">
        <v>100</v>
      </c>
      <c r="V3627" s="2" t="s">
        <v>3937</v>
      </c>
      <c r="W3627" s="2" t="s">
        <v>202</v>
      </c>
      <c r="X3627" s="2" t="s">
        <v>183</v>
      </c>
      <c r="Y3627" s="2" t="s">
        <v>990</v>
      </c>
      <c r="Z3627" s="4">
        <v>230</v>
      </c>
      <c r="AA3627" s="4">
        <f>=ROUNDDOWN(17.6923076923077,0)</f>
      </c>
      <c r="AB3627" s="5">
        <v>13</v>
      </c>
      <c r="AC3627" s="2" t="s">
        <v>768</v>
      </c>
      <c r="AD3627" s="4">
        <v>105</v>
      </c>
      <c r="AE3627" s="4">
        <v>131</v>
      </c>
      <c r="AF3627" s="6">
        <v>65</v>
      </c>
      <c r="AG3627" s="6"/>
      <c r="AH3627" s="7">
        <v>0.7005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>
        <v>6</v>
      </c>
      <c r="AQ3627" s="8">
        <v>175.32</v>
      </c>
      <c r="AR3627" s="4"/>
      <c r="AS3627" s="8"/>
      <c r="AT3627" s="7"/>
      <c r="AU3627" s="7"/>
      <c r="AV3627" s="4" t="s">
        <v>100</v>
      </c>
      <c r="AW3627" s="8" t="s">
        <v>100</v>
      </c>
      <c r="AX3627" s="4" t="s">
        <v>100</v>
      </c>
      <c r="AY3627" s="8" t="s">
        <v>100</v>
      </c>
      <c r="AZ3627" s="7" t="s">
        <v>100</v>
      </c>
      <c r="BA3627" s="7" t="s">
        <v>100</v>
      </c>
      <c r="BB3627" s="7">
        <v>0.3958</v>
      </c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 t="s">
        <v>100</v>
      </c>
      <c r="BJ3627" s="4">
        <v>231</v>
      </c>
      <c r="BK3627" s="8">
        <v>5715.39</v>
      </c>
      <c r="BL3627" s="2" t="s">
        <v>11168</v>
      </c>
      <c r="BM3627" s="7">
        <v>0.026</v>
      </c>
      <c r="BN3627" s="7">
        <v>0.0307</v>
      </c>
      <c r="BO3627" s="4">
        <v>6</v>
      </c>
      <c r="BP3627" s="8">
        <v>175.32</v>
      </c>
      <c r="BQ3627" s="4"/>
      <c r="BR3627" s="8"/>
      <c r="BS3627" s="7"/>
      <c r="BT3627" s="7"/>
      <c r="BU3627" s="2" t="s">
        <v>109</v>
      </c>
      <c r="BV3627" s="2" t="s">
        <v>110</v>
      </c>
      <c r="BW3627" s="2" t="s">
        <v>6825</v>
      </c>
      <c r="BX3627" s="2" t="s">
        <v>2342</v>
      </c>
      <c r="BY3627" s="2" t="s">
        <v>113</v>
      </c>
      <c r="BZ3627" s="2" t="s">
        <v>100</v>
      </c>
    </row>
    <row r="3628">
      <c r="A3628" s="2" t="s">
        <v>11169</v>
      </c>
      <c r="B3628" s="2" t="s">
        <v>9668</v>
      </c>
      <c r="C3628" s="2" t="s">
        <v>2331</v>
      </c>
      <c r="D3628" s="2" t="s">
        <v>9669</v>
      </c>
      <c r="E3628" s="2" t="s">
        <v>9670</v>
      </c>
      <c r="F3628" s="2" t="s">
        <v>11120</v>
      </c>
      <c r="G3628" s="2" t="s">
        <v>11120</v>
      </c>
      <c r="H3628" s="2" t="s">
        <v>11120</v>
      </c>
      <c r="I3628" s="2" t="s">
        <v>10016</v>
      </c>
      <c r="J3628" s="2" t="s">
        <v>706</v>
      </c>
      <c r="K3628" s="2" t="s">
        <v>11164</v>
      </c>
      <c r="L3628" s="3">
        <v>24.3</v>
      </c>
      <c r="M3628" s="3">
        <v>25.52</v>
      </c>
      <c r="N3628" s="3">
        <v>54.99</v>
      </c>
      <c r="O3628" s="2" t="s">
        <v>97</v>
      </c>
      <c r="P3628" s="2" t="s">
        <v>950</v>
      </c>
      <c r="Q3628" s="2" t="s">
        <v>99</v>
      </c>
      <c r="R3628" s="2" t="s">
        <v>100</v>
      </c>
      <c r="S3628" s="2" t="s">
        <v>11170</v>
      </c>
      <c r="T3628" s="2" t="s">
        <v>9675</v>
      </c>
      <c r="U3628" s="2" t="s">
        <v>100</v>
      </c>
      <c r="V3628" s="2" t="s">
        <v>3937</v>
      </c>
      <c r="W3628" s="2" t="s">
        <v>202</v>
      </c>
      <c r="X3628" s="2" t="s">
        <v>183</v>
      </c>
      <c r="Y3628" s="2" t="s">
        <v>990</v>
      </c>
      <c r="Z3628" s="4">
        <v>63</v>
      </c>
      <c r="AA3628" s="4">
        <f>=ROUNDDOWN(2.25,0)</f>
      </c>
      <c r="AB3628" s="5">
        <v>28</v>
      </c>
      <c r="AC3628" s="2" t="s">
        <v>768</v>
      </c>
      <c r="AD3628" s="4">
        <v>192</v>
      </c>
      <c r="AE3628" s="4">
        <v>327</v>
      </c>
      <c r="AF3628" s="6">
        <v>65</v>
      </c>
      <c r="AG3628" s="6"/>
      <c r="AH3628" s="7">
        <v>0.6845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>
        <v>3</v>
      </c>
      <c r="AQ3628" s="8">
        <v>97.8</v>
      </c>
      <c r="AR3628" s="4"/>
      <c r="AS3628" s="8"/>
      <c r="AT3628" s="7"/>
      <c r="AU3628" s="7"/>
      <c r="AV3628" s="4" t="s">
        <v>100</v>
      </c>
      <c r="AW3628" s="8" t="s">
        <v>100</v>
      </c>
      <c r="AX3628" s="4" t="s">
        <v>100</v>
      </c>
      <c r="AY3628" s="8" t="s">
        <v>100</v>
      </c>
      <c r="AZ3628" s="7" t="s">
        <v>100</v>
      </c>
      <c r="BA3628" s="7" t="s">
        <v>100</v>
      </c>
      <c r="BB3628" s="7">
        <v>0.2208</v>
      </c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 t="s">
        <v>100</v>
      </c>
      <c r="BJ3628" s="4">
        <v>502</v>
      </c>
      <c r="BK3628" s="8">
        <v>14108.78</v>
      </c>
      <c r="BL3628" s="2" t="s">
        <v>11171</v>
      </c>
      <c r="BM3628" s="7">
        <v>0.006</v>
      </c>
      <c r="BN3628" s="7">
        <v>0.0069</v>
      </c>
      <c r="BO3628" s="4">
        <v>3</v>
      </c>
      <c r="BP3628" s="8">
        <v>97.8</v>
      </c>
      <c r="BQ3628" s="4"/>
      <c r="BR3628" s="8"/>
      <c r="BS3628" s="7"/>
      <c r="BT3628" s="7"/>
      <c r="BU3628" s="2" t="s">
        <v>109</v>
      </c>
      <c r="BV3628" s="2" t="s">
        <v>110</v>
      </c>
      <c r="BW3628" s="2" t="s">
        <v>6825</v>
      </c>
      <c r="BX3628" s="2" t="s">
        <v>5171</v>
      </c>
      <c r="BY3628" s="2" t="s">
        <v>113</v>
      </c>
      <c r="BZ3628" s="2" t="s">
        <v>100</v>
      </c>
    </row>
    <row r="3629">
      <c r="A3629" s="2" t="s">
        <v>11172</v>
      </c>
      <c r="B3629" s="2" t="s">
        <v>9668</v>
      </c>
      <c r="C3629" s="2" t="s">
        <v>2331</v>
      </c>
      <c r="D3629" s="2" t="s">
        <v>9669</v>
      </c>
      <c r="E3629" s="2" t="s">
        <v>9670</v>
      </c>
      <c r="F3629" s="2" t="s">
        <v>11120</v>
      </c>
      <c r="G3629" s="2" t="s">
        <v>11120</v>
      </c>
      <c r="H3629" s="2" t="s">
        <v>11120</v>
      </c>
      <c r="I3629" s="2" t="s">
        <v>10016</v>
      </c>
      <c r="J3629" s="2" t="s">
        <v>714</v>
      </c>
      <c r="K3629" s="2" t="s">
        <v>11164</v>
      </c>
      <c r="L3629" s="3">
        <v>28.98</v>
      </c>
      <c r="M3629" s="3">
        <v>30.43</v>
      </c>
      <c r="N3629" s="3">
        <v>64.99</v>
      </c>
      <c r="O3629" s="2" t="s">
        <v>97</v>
      </c>
      <c r="P3629" s="2" t="s">
        <v>119</v>
      </c>
      <c r="Q3629" s="2" t="s">
        <v>99</v>
      </c>
      <c r="R3629" s="2" t="s">
        <v>100</v>
      </c>
      <c r="S3629" s="2" t="s">
        <v>11170</v>
      </c>
      <c r="T3629" s="2" t="s">
        <v>9675</v>
      </c>
      <c r="U3629" s="2" t="s">
        <v>100</v>
      </c>
      <c r="V3629" s="2" t="s">
        <v>3937</v>
      </c>
      <c r="W3629" s="2" t="s">
        <v>202</v>
      </c>
      <c r="X3629" s="2" t="s">
        <v>183</v>
      </c>
      <c r="Y3629" s="2" t="s">
        <v>990</v>
      </c>
      <c r="Z3629" s="4">
        <v>114</v>
      </c>
      <c r="AA3629" s="4">
        <f>=ROUNDDOWN(8.14285714285714,0)</f>
      </c>
      <c r="AB3629" s="5">
        <v>14</v>
      </c>
      <c r="AC3629" s="2" t="s">
        <v>768</v>
      </c>
      <c r="AD3629" s="4">
        <v>98</v>
      </c>
      <c r="AE3629" s="4">
        <v>98</v>
      </c>
      <c r="AF3629" s="6">
        <v>65</v>
      </c>
      <c r="AG3629" s="6"/>
      <c r="AH3629" s="7">
        <v>0.9091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>
        <v>2</v>
      </c>
      <c r="AQ3629" s="8">
        <v>77.76</v>
      </c>
      <c r="AR3629" s="4"/>
      <c r="AS3629" s="8"/>
      <c r="AT3629" s="7"/>
      <c r="AU3629" s="7"/>
      <c r="AV3629" s="4" t="s">
        <v>100</v>
      </c>
      <c r="AW3629" s="8" t="s">
        <v>100</v>
      </c>
      <c r="AX3629" s="4" t="s">
        <v>100</v>
      </c>
      <c r="AY3629" s="8" t="s">
        <v>100</v>
      </c>
      <c r="AZ3629" s="7" t="s">
        <v>100</v>
      </c>
      <c r="BA3629" s="7" t="s">
        <v>100</v>
      </c>
      <c r="BB3629" s="7">
        <v>0.1756</v>
      </c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 t="s">
        <v>100</v>
      </c>
      <c r="BJ3629" s="4">
        <v>160</v>
      </c>
      <c r="BK3629" s="8">
        <v>5352.46</v>
      </c>
      <c r="BL3629" s="2" t="s">
        <v>11173</v>
      </c>
      <c r="BM3629" s="7">
        <v>0.0125</v>
      </c>
      <c r="BN3629" s="7">
        <v>0.0145</v>
      </c>
      <c r="BO3629" s="4">
        <v>2</v>
      </c>
      <c r="BP3629" s="8">
        <v>77.76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2338</v>
      </c>
      <c r="BX3629" s="2" t="s">
        <v>11174</v>
      </c>
      <c r="BY3629" s="2" t="s">
        <v>113</v>
      </c>
      <c r="BZ3629" s="2" t="s">
        <v>100</v>
      </c>
    </row>
    <row r="3630">
      <c r="A3630" s="2" t="s">
        <v>11175</v>
      </c>
      <c r="B3630" s="2" t="s">
        <v>9668</v>
      </c>
      <c r="C3630" s="2" t="s">
        <v>2331</v>
      </c>
      <c r="D3630" s="2" t="s">
        <v>9669</v>
      </c>
      <c r="E3630" s="2" t="s">
        <v>9670</v>
      </c>
      <c r="F3630" s="2" t="s">
        <v>11120</v>
      </c>
      <c r="G3630" s="2" t="s">
        <v>11120</v>
      </c>
      <c r="H3630" s="2" t="s">
        <v>11120</v>
      </c>
      <c r="I3630" s="2" t="s">
        <v>10016</v>
      </c>
      <c r="J3630" s="2" t="s">
        <v>817</v>
      </c>
      <c r="K3630" s="2" t="s">
        <v>11164</v>
      </c>
      <c r="L3630" s="3">
        <v>28.98</v>
      </c>
      <c r="M3630" s="3">
        <v>30.43</v>
      </c>
      <c r="N3630" s="3">
        <v>64.99</v>
      </c>
      <c r="O3630" s="2" t="s">
        <v>97</v>
      </c>
      <c r="P3630" s="2" t="s">
        <v>119</v>
      </c>
      <c r="Q3630" s="2" t="s">
        <v>99</v>
      </c>
      <c r="R3630" s="2" t="s">
        <v>100</v>
      </c>
      <c r="S3630" s="2" t="s">
        <v>11170</v>
      </c>
      <c r="T3630" s="2" t="s">
        <v>9675</v>
      </c>
      <c r="U3630" s="2" t="s">
        <v>100</v>
      </c>
      <c r="V3630" s="2" t="s">
        <v>3937</v>
      </c>
      <c r="W3630" s="2" t="s">
        <v>183</v>
      </c>
      <c r="X3630" s="2" t="s">
        <v>100</v>
      </c>
      <c r="Y3630" s="2" t="s">
        <v>990</v>
      </c>
      <c r="Z3630" s="4">
        <v>55</v>
      </c>
      <c r="AA3630" s="4">
        <f>=ROUNDDOWN(6.11111111111111,0)</f>
      </c>
      <c r="AB3630" s="5">
        <v>9</v>
      </c>
      <c r="AC3630" s="2" t="s">
        <v>768</v>
      </c>
      <c r="AD3630" s="4">
        <v>57</v>
      </c>
      <c r="AE3630" s="4">
        <v>57</v>
      </c>
      <c r="AF3630" s="6">
        <v>65</v>
      </c>
      <c r="AG3630" s="6"/>
      <c r="AH3630" s="7">
        <v>0.7005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>
        <v>1</v>
      </c>
      <c r="AQ3630" s="8">
        <v>38.88</v>
      </c>
      <c r="AR3630" s="4"/>
      <c r="AS3630" s="8"/>
      <c r="AT3630" s="7"/>
      <c r="AU3630" s="7"/>
      <c r="AV3630" s="4" t="s">
        <v>100</v>
      </c>
      <c r="AW3630" s="8" t="s">
        <v>100</v>
      </c>
      <c r="AX3630" s="4" t="s">
        <v>100</v>
      </c>
      <c r="AY3630" s="8" t="s">
        <v>100</v>
      </c>
      <c r="AZ3630" s="7" t="s">
        <v>100</v>
      </c>
      <c r="BA3630" s="7" t="s">
        <v>100</v>
      </c>
      <c r="BB3630" s="7">
        <v>0.0878</v>
      </c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 t="s">
        <v>100</v>
      </c>
      <c r="BJ3630" s="4">
        <v>102</v>
      </c>
      <c r="BK3630" s="8">
        <v>3456.4</v>
      </c>
      <c r="BL3630" s="2" t="s">
        <v>11176</v>
      </c>
      <c r="BM3630" s="7">
        <v>0.0098</v>
      </c>
      <c r="BN3630" s="7">
        <v>0.0112</v>
      </c>
      <c r="BO3630" s="4">
        <v>1</v>
      </c>
      <c r="BP3630" s="8">
        <v>38.88</v>
      </c>
      <c r="BQ3630" s="4"/>
      <c r="BR3630" s="8"/>
      <c r="BS3630" s="7"/>
      <c r="BT3630" s="7"/>
      <c r="BU3630" s="2" t="s">
        <v>109</v>
      </c>
      <c r="BV3630" s="2" t="s">
        <v>110</v>
      </c>
      <c r="BW3630" s="2" t="s">
        <v>2338</v>
      </c>
      <c r="BX3630" s="2" t="s">
        <v>11177</v>
      </c>
      <c r="BY3630" s="2" t="s">
        <v>113</v>
      </c>
      <c r="BZ3630" s="2" t="s">
        <v>100</v>
      </c>
    </row>
    <row r="3631">
      <c r="A3631" s="2" t="s">
        <v>11178</v>
      </c>
      <c r="B3631" s="2" t="s">
        <v>9668</v>
      </c>
      <c r="C3631" s="2" t="s">
        <v>2331</v>
      </c>
      <c r="D3631" s="2" t="s">
        <v>9669</v>
      </c>
      <c r="E3631" s="2" t="s">
        <v>9670</v>
      </c>
      <c r="F3631" s="2" t="s">
        <v>11120</v>
      </c>
      <c r="G3631" s="2" t="s">
        <v>11120</v>
      </c>
      <c r="H3631" s="2" t="s">
        <v>11120</v>
      </c>
      <c r="I3631" s="2" t="s">
        <v>10016</v>
      </c>
      <c r="J3631" s="2" t="s">
        <v>706</v>
      </c>
      <c r="K3631" s="2" t="s">
        <v>11179</v>
      </c>
      <c r="L3631" s="3">
        <v>24.3</v>
      </c>
      <c r="M3631" s="3">
        <v>25.52</v>
      </c>
      <c r="N3631" s="3">
        <v>54.99</v>
      </c>
      <c r="O3631" s="2" t="s">
        <v>97</v>
      </c>
      <c r="P3631" s="2" t="s">
        <v>950</v>
      </c>
      <c r="Q3631" s="2" t="s">
        <v>99</v>
      </c>
      <c r="R3631" s="2" t="s">
        <v>100</v>
      </c>
      <c r="S3631" s="2" t="s">
        <v>11180</v>
      </c>
      <c r="T3631" s="2" t="s">
        <v>9675</v>
      </c>
      <c r="U3631" s="2" t="s">
        <v>100</v>
      </c>
      <c r="V3631" s="2" t="s">
        <v>201</v>
      </c>
      <c r="W3631" s="2" t="s">
        <v>202</v>
      </c>
      <c r="X3631" s="2" t="s">
        <v>183</v>
      </c>
      <c r="Y3631" s="2" t="s">
        <v>258</v>
      </c>
      <c r="Z3631" s="4">
        <v>152</v>
      </c>
      <c r="AA3631" s="4">
        <f>=ROUNDDOWN(4.90322580645161,0)</f>
      </c>
      <c r="AB3631" s="5">
        <v>31</v>
      </c>
      <c r="AC3631" s="2" t="s">
        <v>768</v>
      </c>
      <c r="AD3631" s="4">
        <v>298</v>
      </c>
      <c r="AE3631" s="4">
        <v>398</v>
      </c>
      <c r="AF3631" s="6">
        <v>65</v>
      </c>
      <c r="AG3631" s="6"/>
      <c r="AH3631" s="7">
        <v>0.5722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>
        <v>4</v>
      </c>
      <c r="AQ3631" s="8">
        <v>130.4</v>
      </c>
      <c r="AR3631" s="4"/>
      <c r="AS3631" s="8"/>
      <c r="AT3631" s="7"/>
      <c r="AU3631" s="7"/>
      <c r="AV3631" s="4">
        <v>11</v>
      </c>
      <c r="AW3631" s="8">
        <v>402.56</v>
      </c>
      <c r="AX3631" s="4" t="s">
        <v>100</v>
      </c>
      <c r="AY3631" s="8" t="s">
        <v>100</v>
      </c>
      <c r="AZ3631" s="7" t="s">
        <v>100</v>
      </c>
      <c r="BA3631" s="7" t="s">
        <v>100</v>
      </c>
      <c r="BB3631" s="7">
        <v>0.3239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>
        <v>0.0791</v>
      </c>
      <c r="BJ3631" s="4">
        <v>902</v>
      </c>
      <c r="BK3631" s="8">
        <v>25212.75</v>
      </c>
      <c r="BL3631" s="2" t="s">
        <v>11181</v>
      </c>
      <c r="BM3631" s="7">
        <v>0.0044</v>
      </c>
      <c r="BN3631" s="7">
        <v>0.0052</v>
      </c>
      <c r="BO3631" s="4">
        <v>4</v>
      </c>
      <c r="BP3631" s="8">
        <v>130.4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2338</v>
      </c>
      <c r="BX3631" s="2" t="s">
        <v>11182</v>
      </c>
      <c r="BY3631" s="2" t="s">
        <v>113</v>
      </c>
      <c r="BZ3631" s="2" t="s">
        <v>100</v>
      </c>
    </row>
    <row r="3632">
      <c r="A3632" s="2" t="s">
        <v>11183</v>
      </c>
      <c r="B3632" s="2" t="s">
        <v>9668</v>
      </c>
      <c r="C3632" s="2" t="s">
        <v>2331</v>
      </c>
      <c r="D3632" s="2" t="s">
        <v>9669</v>
      </c>
      <c r="E3632" s="2" t="s">
        <v>9670</v>
      </c>
      <c r="F3632" s="2" t="s">
        <v>11120</v>
      </c>
      <c r="G3632" s="2" t="s">
        <v>11120</v>
      </c>
      <c r="H3632" s="2" t="s">
        <v>11120</v>
      </c>
      <c r="I3632" s="2" t="s">
        <v>10016</v>
      </c>
      <c r="J3632" s="2" t="s">
        <v>714</v>
      </c>
      <c r="K3632" s="2" t="s">
        <v>11179</v>
      </c>
      <c r="L3632" s="3">
        <v>28.98</v>
      </c>
      <c r="M3632" s="3">
        <v>30.43</v>
      </c>
      <c r="N3632" s="3">
        <v>64.99</v>
      </c>
      <c r="O3632" s="2" t="s">
        <v>97</v>
      </c>
      <c r="P3632" s="2" t="s">
        <v>119</v>
      </c>
      <c r="Q3632" s="2" t="s">
        <v>99</v>
      </c>
      <c r="R3632" s="2" t="s">
        <v>100</v>
      </c>
      <c r="S3632" s="2" t="s">
        <v>11180</v>
      </c>
      <c r="T3632" s="2" t="s">
        <v>9675</v>
      </c>
      <c r="U3632" s="2" t="s">
        <v>100</v>
      </c>
      <c r="V3632" s="2" t="s">
        <v>201</v>
      </c>
      <c r="W3632" s="2" t="s">
        <v>202</v>
      </c>
      <c r="X3632" s="2" t="s">
        <v>183</v>
      </c>
      <c r="Y3632" s="2" t="s">
        <v>240</v>
      </c>
      <c r="Z3632" s="4">
        <v>296</v>
      </c>
      <c r="AA3632" s="4">
        <f>=ROUNDDOWN(10.962962962963,0)</f>
      </c>
      <c r="AB3632" s="5">
        <v>27</v>
      </c>
      <c r="AC3632" s="2" t="s">
        <v>768</v>
      </c>
      <c r="AD3632" s="4">
        <v>212</v>
      </c>
      <c r="AE3632" s="4">
        <v>212</v>
      </c>
      <c r="AF3632" s="6">
        <v>65</v>
      </c>
      <c r="AG3632" s="6"/>
      <c r="AH3632" s="7">
        <v>0.7005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>
        <v>4</v>
      </c>
      <c r="AQ3632" s="8">
        <v>155.52</v>
      </c>
      <c r="AR3632" s="4"/>
      <c r="AS3632" s="8"/>
      <c r="AT3632" s="7"/>
      <c r="AU3632" s="7"/>
      <c r="AV3632" s="4" t="s">
        <v>100</v>
      </c>
      <c r="AW3632" s="8" t="s">
        <v>100</v>
      </c>
      <c r="AX3632" s="4" t="s">
        <v>100</v>
      </c>
      <c r="AY3632" s="8" t="s">
        <v>100</v>
      </c>
      <c r="AZ3632" s="7" t="s">
        <v>100</v>
      </c>
      <c r="BA3632" s="7" t="s">
        <v>100</v>
      </c>
      <c r="BB3632" s="7">
        <v>0.3863</v>
      </c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 t="s">
        <v>100</v>
      </c>
      <c r="BJ3632" s="4">
        <v>263</v>
      </c>
      <c r="BK3632" s="8">
        <v>8693.67</v>
      </c>
      <c r="BL3632" s="2" t="s">
        <v>11184</v>
      </c>
      <c r="BM3632" s="7">
        <v>0.0152</v>
      </c>
      <c r="BN3632" s="7">
        <v>0.0179</v>
      </c>
      <c r="BO3632" s="4">
        <v>4</v>
      </c>
      <c r="BP3632" s="8">
        <v>155.52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2338</v>
      </c>
      <c r="BX3632" s="2" t="s">
        <v>7243</v>
      </c>
      <c r="BY3632" s="2" t="s">
        <v>113</v>
      </c>
      <c r="BZ3632" s="2" t="s">
        <v>100</v>
      </c>
    </row>
    <row r="3633">
      <c r="A3633" s="2" t="s">
        <v>11185</v>
      </c>
      <c r="B3633" s="2" t="s">
        <v>9668</v>
      </c>
      <c r="C3633" s="2" t="s">
        <v>2331</v>
      </c>
      <c r="D3633" s="2" t="s">
        <v>9669</v>
      </c>
      <c r="E3633" s="2" t="s">
        <v>9670</v>
      </c>
      <c r="F3633" s="2" t="s">
        <v>11120</v>
      </c>
      <c r="G3633" s="2" t="s">
        <v>11120</v>
      </c>
      <c r="H3633" s="2" t="s">
        <v>11120</v>
      </c>
      <c r="I3633" s="2" t="s">
        <v>10016</v>
      </c>
      <c r="J3633" s="2" t="s">
        <v>817</v>
      </c>
      <c r="K3633" s="2" t="s">
        <v>11179</v>
      </c>
      <c r="L3633" s="3">
        <v>28.98</v>
      </c>
      <c r="M3633" s="3">
        <v>30.43</v>
      </c>
      <c r="N3633" s="3">
        <v>64.99</v>
      </c>
      <c r="O3633" s="2" t="s">
        <v>97</v>
      </c>
      <c r="P3633" s="2" t="s">
        <v>119</v>
      </c>
      <c r="Q3633" s="2" t="s">
        <v>99</v>
      </c>
      <c r="R3633" s="2" t="s">
        <v>100</v>
      </c>
      <c r="S3633" s="2" t="s">
        <v>11180</v>
      </c>
      <c r="T3633" s="2" t="s">
        <v>9675</v>
      </c>
      <c r="U3633" s="2" t="s">
        <v>100</v>
      </c>
      <c r="V3633" s="2" t="s">
        <v>201</v>
      </c>
      <c r="W3633" s="2" t="s">
        <v>202</v>
      </c>
      <c r="X3633" s="2" t="s">
        <v>183</v>
      </c>
      <c r="Y3633" s="2" t="s">
        <v>240</v>
      </c>
      <c r="Z3633" s="4">
        <v>210</v>
      </c>
      <c r="AA3633" s="4">
        <f>=ROUNDDOWN(17.5,0)</f>
      </c>
      <c r="AB3633" s="5">
        <v>12</v>
      </c>
      <c r="AC3633" s="2" t="s">
        <v>768</v>
      </c>
      <c r="AD3633" s="4">
        <v>110</v>
      </c>
      <c r="AE3633" s="4">
        <v>110</v>
      </c>
      <c r="AF3633" s="6">
        <v>65</v>
      </c>
      <c r="AG3633" s="6"/>
      <c r="AH3633" s="7">
        <v>0.7005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>
        <v>3</v>
      </c>
      <c r="AQ3633" s="8">
        <v>116.64</v>
      </c>
      <c r="AR3633" s="4"/>
      <c r="AS3633" s="8"/>
      <c r="AT3633" s="7"/>
      <c r="AU3633" s="7"/>
      <c r="AV3633" s="4" t="s">
        <v>100</v>
      </c>
      <c r="AW3633" s="8" t="s">
        <v>100</v>
      </c>
      <c r="AX3633" s="4" t="s">
        <v>100</v>
      </c>
      <c r="AY3633" s="8" t="s">
        <v>100</v>
      </c>
      <c r="AZ3633" s="7" t="s">
        <v>100</v>
      </c>
      <c r="BA3633" s="7" t="s">
        <v>100</v>
      </c>
      <c r="BB3633" s="7">
        <v>0.2897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 t="s">
        <v>100</v>
      </c>
      <c r="BJ3633" s="4">
        <v>99</v>
      </c>
      <c r="BK3633" s="8">
        <v>3297.16</v>
      </c>
      <c r="BL3633" s="2" t="s">
        <v>11186</v>
      </c>
      <c r="BM3633" s="7">
        <v>0.0303</v>
      </c>
      <c r="BN3633" s="7">
        <v>0.0354</v>
      </c>
      <c r="BO3633" s="4">
        <v>3</v>
      </c>
      <c r="BP3633" s="8">
        <v>116.64</v>
      </c>
      <c r="BQ3633" s="4"/>
      <c r="BR3633" s="8"/>
      <c r="BS3633" s="7"/>
      <c r="BT3633" s="7"/>
      <c r="BU3633" s="2" t="s">
        <v>109</v>
      </c>
      <c r="BV3633" s="2" t="s">
        <v>110</v>
      </c>
      <c r="BW3633" s="2" t="s">
        <v>2338</v>
      </c>
      <c r="BX3633" s="2" t="s">
        <v>11187</v>
      </c>
      <c r="BY3633" s="2" t="s">
        <v>113</v>
      </c>
      <c r="BZ3633" s="2" t="s">
        <v>100</v>
      </c>
    </row>
    <row r="3634">
      <c r="A3634" s="2" t="s">
        <v>11188</v>
      </c>
      <c r="B3634" s="2" t="s">
        <v>9668</v>
      </c>
      <c r="C3634" s="2" t="s">
        <v>2331</v>
      </c>
      <c r="D3634" s="2" t="s">
        <v>9669</v>
      </c>
      <c r="E3634" s="2" t="s">
        <v>9670</v>
      </c>
      <c r="F3634" s="2" t="s">
        <v>11120</v>
      </c>
      <c r="G3634" s="2" t="s">
        <v>11120</v>
      </c>
      <c r="H3634" s="2" t="s">
        <v>11120</v>
      </c>
      <c r="I3634" s="2" t="s">
        <v>10016</v>
      </c>
      <c r="J3634" s="2" t="s">
        <v>1936</v>
      </c>
      <c r="K3634" s="2" t="s">
        <v>11189</v>
      </c>
      <c r="L3634" s="3">
        <v>19.8</v>
      </c>
      <c r="M3634" s="3">
        <v>20.79</v>
      </c>
      <c r="N3634" s="3">
        <v>44.99</v>
      </c>
      <c r="O3634" s="2" t="s">
        <v>97</v>
      </c>
      <c r="P3634" s="2" t="s">
        <v>225</v>
      </c>
      <c r="Q3634" s="2" t="s">
        <v>99</v>
      </c>
      <c r="R3634" s="2" t="s">
        <v>100</v>
      </c>
      <c r="S3634" s="2" t="s">
        <v>11190</v>
      </c>
      <c r="T3634" s="2" t="s">
        <v>9675</v>
      </c>
      <c r="U3634" s="2" t="s">
        <v>402</v>
      </c>
      <c r="V3634" s="2" t="s">
        <v>201</v>
      </c>
      <c r="W3634" s="2" t="s">
        <v>202</v>
      </c>
      <c r="X3634" s="2" t="s">
        <v>183</v>
      </c>
      <c r="Y3634" s="2" t="s">
        <v>3609</v>
      </c>
      <c r="Z3634" s="4"/>
      <c r="AA3634" s="4">
        <f>=ROUNDDOWN({0},0)</f>
      </c>
      <c r="AB3634" s="5">
        <v>32</v>
      </c>
      <c r="AC3634" s="2" t="s">
        <v>266</v>
      </c>
      <c r="AD3634" s="4">
        <v>461</v>
      </c>
      <c r="AE3634" s="4">
        <v>778</v>
      </c>
      <c r="AF3634" s="6">
        <v>69</v>
      </c>
      <c r="AG3634" s="6"/>
      <c r="AH3634" s="7">
        <v>0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>
        <v>11</v>
      </c>
      <c r="AW3634" s="8">
        <v>364.88</v>
      </c>
      <c r="AX3634" s="4" t="s">
        <v>100</v>
      </c>
      <c r="AY3634" s="8" t="s">
        <v>100</v>
      </c>
      <c r="AZ3634" s="7" t="s">
        <v>100</v>
      </c>
      <c r="BA3634" s="7" t="s">
        <v>100</v>
      </c>
      <c r="BB3634" s="7"/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0.0717</v>
      </c>
      <c r="BJ3634" s="4"/>
      <c r="BK3634" s="8"/>
      <c r="BL3634" s="2" t="s">
        <v>100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207</v>
      </c>
      <c r="BV3634" s="2" t="s">
        <v>97</v>
      </c>
      <c r="BW3634" s="2" t="s">
        <v>100</v>
      </c>
      <c r="BX3634" s="2" t="s">
        <v>100</v>
      </c>
      <c r="BY3634" s="2" t="s">
        <v>113</v>
      </c>
      <c r="BZ3634" s="2" t="s">
        <v>100</v>
      </c>
    </row>
    <row r="3635">
      <c r="A3635" s="2" t="s">
        <v>11191</v>
      </c>
      <c r="B3635" s="2" t="s">
        <v>9668</v>
      </c>
      <c r="C3635" s="2" t="s">
        <v>2331</v>
      </c>
      <c r="D3635" s="2" t="s">
        <v>9669</v>
      </c>
      <c r="E3635" s="2" t="s">
        <v>9670</v>
      </c>
      <c r="F3635" s="2" t="s">
        <v>11120</v>
      </c>
      <c r="G3635" s="2" t="s">
        <v>11120</v>
      </c>
      <c r="H3635" s="2" t="s">
        <v>11120</v>
      </c>
      <c r="I3635" s="2" t="s">
        <v>10016</v>
      </c>
      <c r="J3635" s="2" t="s">
        <v>717</v>
      </c>
      <c r="K3635" s="2" t="s">
        <v>11189</v>
      </c>
      <c r="L3635" s="3">
        <v>21.78</v>
      </c>
      <c r="M3635" s="3">
        <v>22.87</v>
      </c>
      <c r="N3635" s="3">
        <v>49.99</v>
      </c>
      <c r="O3635" s="2" t="s">
        <v>97</v>
      </c>
      <c r="P3635" s="2" t="s">
        <v>225</v>
      </c>
      <c r="Q3635" s="2" t="s">
        <v>99</v>
      </c>
      <c r="R3635" s="2" t="s">
        <v>100</v>
      </c>
      <c r="S3635" s="2" t="s">
        <v>11190</v>
      </c>
      <c r="T3635" s="2" t="s">
        <v>9675</v>
      </c>
      <c r="U3635" s="2" t="s">
        <v>402</v>
      </c>
      <c r="V3635" s="2" t="s">
        <v>201</v>
      </c>
      <c r="W3635" s="2" t="s">
        <v>202</v>
      </c>
      <c r="X3635" s="2" t="s">
        <v>183</v>
      </c>
      <c r="Y3635" s="2" t="s">
        <v>3609</v>
      </c>
      <c r="Z3635" s="4"/>
      <c r="AA3635" s="4">
        <f>=ROUNDDOWN({0},0)</f>
      </c>
      <c r="AB3635" s="5">
        <v>24</v>
      </c>
      <c r="AC3635" s="2" t="s">
        <v>266</v>
      </c>
      <c r="AD3635" s="4">
        <v>356</v>
      </c>
      <c r="AE3635" s="4">
        <v>618</v>
      </c>
      <c r="AF3635" s="6">
        <v>69</v>
      </c>
      <c r="AG3635" s="6"/>
      <c r="AH3635" s="7">
        <v>0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100</v>
      </c>
      <c r="AW3635" s="8" t="s">
        <v>100</v>
      </c>
      <c r="AX3635" s="4" t="s">
        <v>100</v>
      </c>
      <c r="AY3635" s="8" t="s">
        <v>100</v>
      </c>
      <c r="AZ3635" s="7" t="s">
        <v>100</v>
      </c>
      <c r="BA3635" s="7" t="s">
        <v>100</v>
      </c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 t="s">
        <v>100</v>
      </c>
      <c r="BJ3635" s="4"/>
      <c r="BK3635" s="8"/>
      <c r="BL3635" s="2" t="s">
        <v>100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207</v>
      </c>
      <c r="BV3635" s="2" t="s">
        <v>97</v>
      </c>
      <c r="BW3635" s="2" t="s">
        <v>100</v>
      </c>
      <c r="BX3635" s="2" t="s">
        <v>100</v>
      </c>
      <c r="BY3635" s="2" t="s">
        <v>113</v>
      </c>
      <c r="BZ3635" s="2" t="s">
        <v>100</v>
      </c>
    </row>
    <row r="3636">
      <c r="A3636" s="2" t="s">
        <v>11192</v>
      </c>
      <c r="B3636" s="2" t="s">
        <v>9668</v>
      </c>
      <c r="C3636" s="2" t="s">
        <v>2331</v>
      </c>
      <c r="D3636" s="2" t="s">
        <v>9669</v>
      </c>
      <c r="E3636" s="2" t="s">
        <v>9670</v>
      </c>
      <c r="F3636" s="2" t="s">
        <v>11120</v>
      </c>
      <c r="G3636" s="2" t="s">
        <v>11120</v>
      </c>
      <c r="H3636" s="2" t="s">
        <v>11120</v>
      </c>
      <c r="I3636" s="2" t="s">
        <v>10016</v>
      </c>
      <c r="J3636" s="2" t="s">
        <v>706</v>
      </c>
      <c r="K3636" s="2" t="s">
        <v>11189</v>
      </c>
      <c r="L3636" s="3">
        <v>24.3</v>
      </c>
      <c r="M3636" s="3">
        <v>25.52</v>
      </c>
      <c r="N3636" s="3">
        <v>54.99</v>
      </c>
      <c r="O3636" s="2" t="s">
        <v>97</v>
      </c>
      <c r="P3636" s="2" t="s">
        <v>372</v>
      </c>
      <c r="Q3636" s="2" t="s">
        <v>99</v>
      </c>
      <c r="R3636" s="2" t="s">
        <v>100</v>
      </c>
      <c r="S3636" s="2" t="s">
        <v>11193</v>
      </c>
      <c r="T3636" s="2" t="s">
        <v>9675</v>
      </c>
      <c r="U3636" s="2" t="s">
        <v>100</v>
      </c>
      <c r="V3636" s="2" t="s">
        <v>201</v>
      </c>
      <c r="W3636" s="2" t="s">
        <v>202</v>
      </c>
      <c r="X3636" s="2" t="s">
        <v>183</v>
      </c>
      <c r="Y3636" s="2" t="s">
        <v>240</v>
      </c>
      <c r="Z3636" s="4">
        <v>423</v>
      </c>
      <c r="AA3636" s="4">
        <f>=ROUNDDOWN(6.3134328358209,0)</f>
      </c>
      <c r="AB3636" s="5">
        <v>67</v>
      </c>
      <c r="AC3636" s="2" t="s">
        <v>768</v>
      </c>
      <c r="AD3636" s="4">
        <v>595</v>
      </c>
      <c r="AE3636" s="4">
        <v>1739</v>
      </c>
      <c r="AF3636" s="6">
        <v>69</v>
      </c>
      <c r="AG3636" s="6"/>
      <c r="AH3636" s="7">
        <v>0.7005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/>
      <c r="AP3636" s="4">
        <v>10</v>
      </c>
      <c r="AQ3636" s="8">
        <v>326</v>
      </c>
      <c r="AR3636" s="4"/>
      <c r="AS3636" s="8"/>
      <c r="AT3636" s="7"/>
      <c r="AU3636" s="7"/>
      <c r="AV3636" s="4" t="s">
        <v>100</v>
      </c>
      <c r="AW3636" s="8" t="s">
        <v>100</v>
      </c>
      <c r="AX3636" s="4" t="s">
        <v>100</v>
      </c>
      <c r="AY3636" s="8" t="s">
        <v>100</v>
      </c>
      <c r="AZ3636" s="7" t="s">
        <v>100</v>
      </c>
      <c r="BA3636" s="7" t="s">
        <v>100</v>
      </c>
      <c r="BB3636" s="7">
        <v>0.8934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 t="s">
        <v>100</v>
      </c>
      <c r="BJ3636" s="4">
        <v>1162</v>
      </c>
      <c r="BK3636" s="8">
        <v>32367.76</v>
      </c>
      <c r="BL3636" s="2" t="s">
        <v>11194</v>
      </c>
      <c r="BM3636" s="7">
        <v>0.0086</v>
      </c>
      <c r="BN3636" s="7">
        <v>0.0101</v>
      </c>
      <c r="BO3636" s="4">
        <v>10</v>
      </c>
      <c r="BP3636" s="8">
        <v>326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2338</v>
      </c>
      <c r="BX3636" s="2" t="s">
        <v>7185</v>
      </c>
      <c r="BY3636" s="2" t="s">
        <v>113</v>
      </c>
      <c r="BZ3636" s="2" t="s">
        <v>100</v>
      </c>
    </row>
    <row r="3637">
      <c r="A3637" s="2" t="s">
        <v>11195</v>
      </c>
      <c r="B3637" s="2" t="s">
        <v>9668</v>
      </c>
      <c r="C3637" s="2" t="s">
        <v>2331</v>
      </c>
      <c r="D3637" s="2" t="s">
        <v>9669</v>
      </c>
      <c r="E3637" s="2" t="s">
        <v>9670</v>
      </c>
      <c r="F3637" s="2" t="s">
        <v>11120</v>
      </c>
      <c r="G3637" s="2" t="s">
        <v>11120</v>
      </c>
      <c r="H3637" s="2" t="s">
        <v>11120</v>
      </c>
      <c r="I3637" s="2" t="s">
        <v>10016</v>
      </c>
      <c r="J3637" s="2" t="s">
        <v>714</v>
      </c>
      <c r="K3637" s="2" t="s">
        <v>11189</v>
      </c>
      <c r="L3637" s="3">
        <v>28.98</v>
      </c>
      <c r="M3637" s="3">
        <v>30.43</v>
      </c>
      <c r="N3637" s="3">
        <v>64.99</v>
      </c>
      <c r="O3637" s="2" t="s">
        <v>97</v>
      </c>
      <c r="P3637" s="2" t="s">
        <v>950</v>
      </c>
      <c r="Q3637" s="2" t="s">
        <v>99</v>
      </c>
      <c r="R3637" s="2" t="s">
        <v>100</v>
      </c>
      <c r="S3637" s="2" t="s">
        <v>11193</v>
      </c>
      <c r="T3637" s="2" t="s">
        <v>9675</v>
      </c>
      <c r="U3637" s="2" t="s">
        <v>100</v>
      </c>
      <c r="V3637" s="2" t="s">
        <v>201</v>
      </c>
      <c r="W3637" s="2" t="s">
        <v>202</v>
      </c>
      <c r="X3637" s="2" t="s">
        <v>183</v>
      </c>
      <c r="Y3637" s="2" t="s">
        <v>240</v>
      </c>
      <c r="Z3637" s="4">
        <v>512</v>
      </c>
      <c r="AA3637" s="4">
        <f>=ROUNDDOWN(14.6285714285714,0)</f>
      </c>
      <c r="AB3637" s="5">
        <v>35</v>
      </c>
      <c r="AC3637" s="2" t="s">
        <v>768</v>
      </c>
      <c r="AD3637" s="4">
        <v>350</v>
      </c>
      <c r="AE3637" s="4">
        <v>641</v>
      </c>
      <c r="AF3637" s="6">
        <v>69</v>
      </c>
      <c r="AG3637" s="6"/>
      <c r="AH3637" s="7">
        <v>0.6738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/>
      <c r="AP3637" s="4">
        <v>1</v>
      </c>
      <c r="AQ3637" s="8">
        <v>38.88</v>
      </c>
      <c r="AR3637" s="4"/>
      <c r="AS3637" s="8"/>
      <c r="AT3637" s="7"/>
      <c r="AU3637" s="7"/>
      <c r="AV3637" s="4" t="s">
        <v>100</v>
      </c>
      <c r="AW3637" s="8" t="s">
        <v>100</v>
      </c>
      <c r="AX3637" s="4" t="s">
        <v>100</v>
      </c>
      <c r="AY3637" s="8" t="s">
        <v>100</v>
      </c>
      <c r="AZ3637" s="7" t="s">
        <v>100</v>
      </c>
      <c r="BA3637" s="7" t="s">
        <v>100</v>
      </c>
      <c r="BB3637" s="7">
        <v>0.1066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 t="s">
        <v>100</v>
      </c>
      <c r="BJ3637" s="4">
        <v>487</v>
      </c>
      <c r="BK3637" s="8">
        <v>16032.97</v>
      </c>
      <c r="BL3637" s="2" t="s">
        <v>11196</v>
      </c>
      <c r="BM3637" s="7">
        <v>0.0021</v>
      </c>
      <c r="BN3637" s="7">
        <v>0.0024</v>
      </c>
      <c r="BO3637" s="4">
        <v>1</v>
      </c>
      <c r="BP3637" s="8">
        <v>38.88</v>
      </c>
      <c r="BQ3637" s="4"/>
      <c r="BR3637" s="8"/>
      <c r="BS3637" s="7"/>
      <c r="BT3637" s="7"/>
      <c r="BU3637" s="2" t="s">
        <v>109</v>
      </c>
      <c r="BV3637" s="2" t="s">
        <v>110</v>
      </c>
      <c r="BW3637" s="2" t="s">
        <v>2338</v>
      </c>
      <c r="BX3637" s="2" t="s">
        <v>11197</v>
      </c>
      <c r="BY3637" s="2" t="s">
        <v>113</v>
      </c>
      <c r="BZ3637" s="2" t="s">
        <v>100</v>
      </c>
    </row>
    <row r="3638">
      <c r="A3638" s="2" t="s">
        <v>11198</v>
      </c>
      <c r="B3638" s="2" t="s">
        <v>9668</v>
      </c>
      <c r="C3638" s="2" t="s">
        <v>2331</v>
      </c>
      <c r="D3638" s="2" t="s">
        <v>9669</v>
      </c>
      <c r="E3638" s="2" t="s">
        <v>9670</v>
      </c>
      <c r="F3638" s="2" t="s">
        <v>11120</v>
      </c>
      <c r="G3638" s="2" t="s">
        <v>11120</v>
      </c>
      <c r="H3638" s="2" t="s">
        <v>11120</v>
      </c>
      <c r="I3638" s="2" t="s">
        <v>10016</v>
      </c>
      <c r="J3638" s="2" t="s">
        <v>817</v>
      </c>
      <c r="K3638" s="2" t="s">
        <v>11189</v>
      </c>
      <c r="L3638" s="3">
        <v>28.98</v>
      </c>
      <c r="M3638" s="3">
        <v>30.43</v>
      </c>
      <c r="N3638" s="3">
        <v>64.99</v>
      </c>
      <c r="O3638" s="2" t="s">
        <v>97</v>
      </c>
      <c r="P3638" s="2" t="s">
        <v>225</v>
      </c>
      <c r="Q3638" s="2" t="s">
        <v>99</v>
      </c>
      <c r="R3638" s="2" t="s">
        <v>100</v>
      </c>
      <c r="S3638" s="2" t="s">
        <v>11190</v>
      </c>
      <c r="T3638" s="2" t="s">
        <v>9675</v>
      </c>
      <c r="U3638" s="2" t="s">
        <v>402</v>
      </c>
      <c r="V3638" s="2" t="s">
        <v>201</v>
      </c>
      <c r="W3638" s="2" t="s">
        <v>202</v>
      </c>
      <c r="X3638" s="2" t="s">
        <v>183</v>
      </c>
      <c r="Y3638" s="2" t="s">
        <v>3643</v>
      </c>
      <c r="Z3638" s="4"/>
      <c r="AA3638" s="4">
        <f>=ROUNDDOWN({0},0)</f>
      </c>
      <c r="AB3638" s="5">
        <v>13</v>
      </c>
      <c r="AC3638" s="2" t="s">
        <v>266</v>
      </c>
      <c r="AD3638" s="4">
        <v>189</v>
      </c>
      <c r="AE3638" s="4">
        <v>326</v>
      </c>
      <c r="AF3638" s="6">
        <v>69</v>
      </c>
      <c r="AG3638" s="6"/>
      <c r="AH3638" s="7">
        <v>0.0417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100</v>
      </c>
      <c r="AW3638" s="8" t="s">
        <v>100</v>
      </c>
      <c r="AX3638" s="4" t="s">
        <v>100</v>
      </c>
      <c r="AY3638" s="8" t="s">
        <v>100</v>
      </c>
      <c r="AZ3638" s="7" t="s">
        <v>100</v>
      </c>
      <c r="BA3638" s="7" t="s">
        <v>100</v>
      </c>
      <c r="BB3638" s="7"/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 t="s">
        <v>100</v>
      </c>
      <c r="BJ3638" s="4"/>
      <c r="BK3638" s="8"/>
      <c r="BL3638" s="2" t="s">
        <v>100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207</v>
      </c>
      <c r="BV3638" s="2" t="s">
        <v>97</v>
      </c>
      <c r="BW3638" s="2" t="s">
        <v>100</v>
      </c>
      <c r="BX3638" s="2" t="s">
        <v>100</v>
      </c>
      <c r="BY3638" s="2" t="s">
        <v>113</v>
      </c>
      <c r="BZ3638" s="2" t="s">
        <v>100</v>
      </c>
    </row>
    <row r="3639">
      <c r="A3639" s="2" t="s">
        <v>11199</v>
      </c>
      <c r="B3639" s="2" t="s">
        <v>9668</v>
      </c>
      <c r="C3639" s="2" t="s">
        <v>2331</v>
      </c>
      <c r="D3639" s="2" t="s">
        <v>9669</v>
      </c>
      <c r="E3639" s="2" t="s">
        <v>9670</v>
      </c>
      <c r="F3639" s="2" t="s">
        <v>11120</v>
      </c>
      <c r="G3639" s="2" t="s">
        <v>11120</v>
      </c>
      <c r="H3639" s="2" t="s">
        <v>11120</v>
      </c>
      <c r="I3639" s="2" t="s">
        <v>10016</v>
      </c>
      <c r="J3639" s="2" t="s">
        <v>706</v>
      </c>
      <c r="K3639" s="2" t="s">
        <v>7359</v>
      </c>
      <c r="L3639" s="3">
        <v>24.3</v>
      </c>
      <c r="M3639" s="3">
        <v>25.52</v>
      </c>
      <c r="N3639" s="3">
        <v>54.99</v>
      </c>
      <c r="O3639" s="2" t="s">
        <v>97</v>
      </c>
      <c r="P3639" s="2" t="s">
        <v>950</v>
      </c>
      <c r="Q3639" s="2" t="s">
        <v>99</v>
      </c>
      <c r="R3639" s="2" t="s">
        <v>100</v>
      </c>
      <c r="S3639" s="2" t="s">
        <v>11200</v>
      </c>
      <c r="T3639" s="2" t="s">
        <v>9675</v>
      </c>
      <c r="U3639" s="2" t="s">
        <v>402</v>
      </c>
      <c r="V3639" s="2" t="s">
        <v>2661</v>
      </c>
      <c r="W3639" s="2" t="s">
        <v>202</v>
      </c>
      <c r="X3639" s="2" t="s">
        <v>183</v>
      </c>
      <c r="Y3639" s="2" t="s">
        <v>9790</v>
      </c>
      <c r="Z3639" s="4">
        <v>577</v>
      </c>
      <c r="AA3639" s="4">
        <f>=ROUNDDOWN(18.03125,0)</f>
      </c>
      <c r="AB3639" s="5">
        <v>32</v>
      </c>
      <c r="AC3639" s="2" t="s">
        <v>768</v>
      </c>
      <c r="AD3639" s="4">
        <v>305</v>
      </c>
      <c r="AE3639" s="4">
        <v>405</v>
      </c>
      <c r="AF3639" s="6">
        <v>65</v>
      </c>
      <c r="AG3639" s="6"/>
      <c r="AH3639" s="7">
        <v>0.7005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>
        <v>6</v>
      </c>
      <c r="AQ3639" s="8">
        <v>195.6</v>
      </c>
      <c r="AR3639" s="4"/>
      <c r="AS3639" s="8"/>
      <c r="AT3639" s="7"/>
      <c r="AU3639" s="7"/>
      <c r="AV3639" s="4">
        <v>10</v>
      </c>
      <c r="AW3639" s="8">
        <v>351.12</v>
      </c>
      <c r="AX3639" s="4" t="s">
        <v>100</v>
      </c>
      <c r="AY3639" s="8" t="s">
        <v>100</v>
      </c>
      <c r="AZ3639" s="7" t="s">
        <v>100</v>
      </c>
      <c r="BA3639" s="7" t="s">
        <v>100</v>
      </c>
      <c r="BB3639" s="7">
        <v>0.5571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0.069</v>
      </c>
      <c r="BJ3639" s="4">
        <v>323</v>
      </c>
      <c r="BK3639" s="8">
        <v>9140.83</v>
      </c>
      <c r="BL3639" s="2" t="s">
        <v>11201</v>
      </c>
      <c r="BM3639" s="7">
        <v>0.0186</v>
      </c>
      <c r="BN3639" s="7">
        <v>0.0214</v>
      </c>
      <c r="BO3639" s="4">
        <v>6</v>
      </c>
      <c r="BP3639" s="8">
        <v>195.6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2338</v>
      </c>
      <c r="BX3639" s="2" t="s">
        <v>7192</v>
      </c>
      <c r="BY3639" s="2" t="s">
        <v>113</v>
      </c>
      <c r="BZ3639" s="2" t="s">
        <v>100</v>
      </c>
    </row>
    <row r="3640">
      <c r="A3640" s="2" t="s">
        <v>11202</v>
      </c>
      <c r="B3640" s="2" t="s">
        <v>9668</v>
      </c>
      <c r="C3640" s="2" t="s">
        <v>2331</v>
      </c>
      <c r="D3640" s="2" t="s">
        <v>9669</v>
      </c>
      <c r="E3640" s="2" t="s">
        <v>9670</v>
      </c>
      <c r="F3640" s="2" t="s">
        <v>11120</v>
      </c>
      <c r="G3640" s="2" t="s">
        <v>11120</v>
      </c>
      <c r="H3640" s="2" t="s">
        <v>11120</v>
      </c>
      <c r="I3640" s="2" t="s">
        <v>10016</v>
      </c>
      <c r="J3640" s="2" t="s">
        <v>714</v>
      </c>
      <c r="K3640" s="2" t="s">
        <v>7359</v>
      </c>
      <c r="L3640" s="3">
        <v>28.98</v>
      </c>
      <c r="M3640" s="3">
        <v>30.43</v>
      </c>
      <c r="N3640" s="3">
        <v>64.99</v>
      </c>
      <c r="O3640" s="2" t="s">
        <v>97</v>
      </c>
      <c r="P3640" s="2" t="s">
        <v>119</v>
      </c>
      <c r="Q3640" s="2" t="s">
        <v>99</v>
      </c>
      <c r="R3640" s="2" t="s">
        <v>100</v>
      </c>
      <c r="S3640" s="2" t="s">
        <v>11200</v>
      </c>
      <c r="T3640" s="2" t="s">
        <v>9675</v>
      </c>
      <c r="U3640" s="2" t="s">
        <v>402</v>
      </c>
      <c r="V3640" s="2" t="s">
        <v>2661</v>
      </c>
      <c r="W3640" s="2" t="s">
        <v>202</v>
      </c>
      <c r="X3640" s="2" t="s">
        <v>183</v>
      </c>
      <c r="Y3640" s="2" t="s">
        <v>9790</v>
      </c>
      <c r="Z3640" s="4">
        <v>315</v>
      </c>
      <c r="AA3640" s="4">
        <f>=ROUNDDOWN(18.5294117647059,0)</f>
      </c>
      <c r="AB3640" s="5">
        <v>17</v>
      </c>
      <c r="AC3640" s="2" t="s">
        <v>768</v>
      </c>
      <c r="AD3640" s="4">
        <v>194</v>
      </c>
      <c r="AE3640" s="4">
        <v>194</v>
      </c>
      <c r="AF3640" s="6">
        <v>65</v>
      </c>
      <c r="AG3640" s="6"/>
      <c r="AH3640" s="7">
        <v>0.6952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>
        <v>4</v>
      </c>
      <c r="AQ3640" s="8">
        <v>155.52</v>
      </c>
      <c r="AR3640" s="4"/>
      <c r="AS3640" s="8"/>
      <c r="AT3640" s="7"/>
      <c r="AU3640" s="7"/>
      <c r="AV3640" s="4" t="s">
        <v>100</v>
      </c>
      <c r="AW3640" s="8" t="s">
        <v>100</v>
      </c>
      <c r="AX3640" s="4" t="s">
        <v>100</v>
      </c>
      <c r="AY3640" s="8" t="s">
        <v>100</v>
      </c>
      <c r="AZ3640" s="7" t="s">
        <v>100</v>
      </c>
      <c r="BA3640" s="7" t="s">
        <v>100</v>
      </c>
      <c r="BB3640" s="7">
        <v>0.4429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 t="s">
        <v>100</v>
      </c>
      <c r="BJ3640" s="4">
        <v>128</v>
      </c>
      <c r="BK3640" s="8">
        <v>4388.35</v>
      </c>
      <c r="BL3640" s="2" t="s">
        <v>11203</v>
      </c>
      <c r="BM3640" s="7">
        <v>0.0312</v>
      </c>
      <c r="BN3640" s="7">
        <v>0.0354</v>
      </c>
      <c r="BO3640" s="4">
        <v>4</v>
      </c>
      <c r="BP3640" s="8">
        <v>155.52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2338</v>
      </c>
      <c r="BX3640" s="2" t="s">
        <v>11204</v>
      </c>
      <c r="BY3640" s="2" t="s">
        <v>113</v>
      </c>
      <c r="BZ3640" s="2" t="s">
        <v>100</v>
      </c>
    </row>
    <row r="3641">
      <c r="A3641" s="2" t="s">
        <v>11205</v>
      </c>
      <c r="B3641" s="2" t="s">
        <v>9668</v>
      </c>
      <c r="C3641" s="2" t="s">
        <v>2331</v>
      </c>
      <c r="D3641" s="2" t="s">
        <v>9669</v>
      </c>
      <c r="E3641" s="2" t="s">
        <v>9670</v>
      </c>
      <c r="F3641" s="2" t="s">
        <v>11120</v>
      </c>
      <c r="G3641" s="2" t="s">
        <v>11120</v>
      </c>
      <c r="H3641" s="2" t="s">
        <v>11120</v>
      </c>
      <c r="I3641" s="2" t="s">
        <v>10016</v>
      </c>
      <c r="J3641" s="2" t="s">
        <v>817</v>
      </c>
      <c r="K3641" s="2" t="s">
        <v>7359</v>
      </c>
      <c r="L3641" s="3">
        <v>28.98</v>
      </c>
      <c r="M3641" s="3">
        <v>30.43</v>
      </c>
      <c r="N3641" s="3">
        <v>64.99</v>
      </c>
      <c r="O3641" s="2" t="s">
        <v>97</v>
      </c>
      <c r="P3641" s="2" t="s">
        <v>119</v>
      </c>
      <c r="Q3641" s="2" t="s">
        <v>99</v>
      </c>
      <c r="R3641" s="2" t="s">
        <v>100</v>
      </c>
      <c r="S3641" s="2" t="s">
        <v>11200</v>
      </c>
      <c r="T3641" s="2" t="s">
        <v>9675</v>
      </c>
      <c r="U3641" s="2" t="s">
        <v>402</v>
      </c>
      <c r="V3641" s="2" t="s">
        <v>2661</v>
      </c>
      <c r="W3641" s="2" t="s">
        <v>202</v>
      </c>
      <c r="X3641" s="2" t="s">
        <v>183</v>
      </c>
      <c r="Y3641" s="2" t="s">
        <v>9790</v>
      </c>
      <c r="Z3641" s="4">
        <v>173</v>
      </c>
      <c r="AA3641" s="4">
        <f>=ROUNDDOWN(19.2222222222222,0)</f>
      </c>
      <c r="AB3641" s="5">
        <v>9</v>
      </c>
      <c r="AC3641" s="2" t="s">
        <v>768</v>
      </c>
      <c r="AD3641" s="4">
        <v>92</v>
      </c>
      <c r="AE3641" s="4">
        <v>92</v>
      </c>
      <c r="AF3641" s="6">
        <v>65</v>
      </c>
      <c r="AG3641" s="6"/>
      <c r="AH3641" s="7">
        <v>0.6952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100</v>
      </c>
      <c r="AW3641" s="8" t="s">
        <v>100</v>
      </c>
      <c r="AX3641" s="4" t="s">
        <v>100</v>
      </c>
      <c r="AY3641" s="8" t="s">
        <v>100</v>
      </c>
      <c r="AZ3641" s="7" t="s">
        <v>100</v>
      </c>
      <c r="BA3641" s="7" t="s">
        <v>100</v>
      </c>
      <c r="BB3641" s="7"/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 t="s">
        <v>100</v>
      </c>
      <c r="BJ3641" s="4">
        <v>61</v>
      </c>
      <c r="BK3641" s="8">
        <v>2251.5</v>
      </c>
      <c r="BL3641" s="2" t="s">
        <v>11206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2338</v>
      </c>
      <c r="BX3641" s="2" t="s">
        <v>8551</v>
      </c>
      <c r="BY3641" s="2" t="s">
        <v>113</v>
      </c>
      <c r="BZ3641" s="2" t="s">
        <v>100</v>
      </c>
    </row>
    <row r="3642">
      <c r="A3642" s="2" t="s">
        <v>11207</v>
      </c>
      <c r="B3642" s="2" t="s">
        <v>9668</v>
      </c>
      <c r="C3642" s="2" t="s">
        <v>2331</v>
      </c>
      <c r="D3642" s="2" t="s">
        <v>9669</v>
      </c>
      <c r="E3642" s="2" t="s">
        <v>9670</v>
      </c>
      <c r="F3642" s="2" t="s">
        <v>11120</v>
      </c>
      <c r="G3642" s="2" t="s">
        <v>11120</v>
      </c>
      <c r="H3642" s="2" t="s">
        <v>11120</v>
      </c>
      <c r="I3642" s="2" t="s">
        <v>10016</v>
      </c>
      <c r="J3642" s="2" t="s">
        <v>706</v>
      </c>
      <c r="K3642" s="2" t="s">
        <v>11208</v>
      </c>
      <c r="L3642" s="3">
        <v>24.3</v>
      </c>
      <c r="M3642" s="3">
        <v>25.52</v>
      </c>
      <c r="N3642" s="3">
        <v>54.99</v>
      </c>
      <c r="O3642" s="2" t="s">
        <v>97</v>
      </c>
      <c r="P3642" s="2" t="s">
        <v>950</v>
      </c>
      <c r="Q3642" s="2" t="s">
        <v>99</v>
      </c>
      <c r="R3642" s="2" t="s">
        <v>100</v>
      </c>
      <c r="S3642" s="2" t="s">
        <v>11209</v>
      </c>
      <c r="T3642" s="2" t="s">
        <v>9675</v>
      </c>
      <c r="U3642" s="2" t="s">
        <v>402</v>
      </c>
      <c r="V3642" s="2" t="s">
        <v>3937</v>
      </c>
      <c r="W3642" s="2" t="s">
        <v>183</v>
      </c>
      <c r="X3642" s="2" t="s">
        <v>100</v>
      </c>
      <c r="Y3642" s="2" t="s">
        <v>9790</v>
      </c>
      <c r="Z3642" s="4">
        <v>483</v>
      </c>
      <c r="AA3642" s="4">
        <f>=ROUNDDOWN(13.4166666666667,0)</f>
      </c>
      <c r="AB3642" s="5">
        <v>36</v>
      </c>
      <c r="AC3642" s="2" t="s">
        <v>768</v>
      </c>
      <c r="AD3642" s="4">
        <v>261</v>
      </c>
      <c r="AE3642" s="4">
        <v>443</v>
      </c>
      <c r="AF3642" s="6">
        <v>70</v>
      </c>
      <c r="AG3642" s="6"/>
      <c r="AH3642" s="7">
        <v>0.7433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>
        <v>6</v>
      </c>
      <c r="AQ3642" s="8">
        <v>195.6</v>
      </c>
      <c r="AR3642" s="4"/>
      <c r="AS3642" s="8"/>
      <c r="AT3642" s="7"/>
      <c r="AU3642" s="7"/>
      <c r="AV3642" s="4">
        <v>8</v>
      </c>
      <c r="AW3642" s="8">
        <v>273.36</v>
      </c>
      <c r="AX3642" s="4" t="s">
        <v>100</v>
      </c>
      <c r="AY3642" s="8" t="s">
        <v>100</v>
      </c>
      <c r="AZ3642" s="7" t="s">
        <v>100</v>
      </c>
      <c r="BA3642" s="7" t="s">
        <v>100</v>
      </c>
      <c r="BB3642" s="7">
        <v>0.7155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>
        <v>0.0537</v>
      </c>
      <c r="BJ3642" s="4">
        <v>470</v>
      </c>
      <c r="BK3642" s="8">
        <v>13730.18</v>
      </c>
      <c r="BL3642" s="2" t="s">
        <v>11210</v>
      </c>
      <c r="BM3642" s="7">
        <v>0.0128</v>
      </c>
      <c r="BN3642" s="7">
        <v>0.0142</v>
      </c>
      <c r="BO3642" s="4">
        <v>6</v>
      </c>
      <c r="BP3642" s="8">
        <v>195.6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11211</v>
      </c>
      <c r="BX3642" s="2" t="s">
        <v>5733</v>
      </c>
      <c r="BY3642" s="2" t="s">
        <v>113</v>
      </c>
      <c r="BZ3642" s="2" t="s">
        <v>100</v>
      </c>
    </row>
    <row r="3643">
      <c r="A3643" s="2" t="s">
        <v>11212</v>
      </c>
      <c r="B3643" s="2" t="s">
        <v>9668</v>
      </c>
      <c r="C3643" s="2" t="s">
        <v>2331</v>
      </c>
      <c r="D3643" s="2" t="s">
        <v>9669</v>
      </c>
      <c r="E3643" s="2" t="s">
        <v>9670</v>
      </c>
      <c r="F3643" s="2" t="s">
        <v>11120</v>
      </c>
      <c r="G3643" s="2" t="s">
        <v>11120</v>
      </c>
      <c r="H3643" s="2" t="s">
        <v>11120</v>
      </c>
      <c r="I3643" s="2" t="s">
        <v>10016</v>
      </c>
      <c r="J3643" s="2" t="s">
        <v>714</v>
      </c>
      <c r="K3643" s="2" t="s">
        <v>11208</v>
      </c>
      <c r="L3643" s="3">
        <v>28.98</v>
      </c>
      <c r="M3643" s="3">
        <v>30.43</v>
      </c>
      <c r="N3643" s="3">
        <v>64.99</v>
      </c>
      <c r="O3643" s="2" t="s">
        <v>97</v>
      </c>
      <c r="P3643" s="2" t="s">
        <v>119</v>
      </c>
      <c r="Q3643" s="2" t="s">
        <v>99</v>
      </c>
      <c r="R3643" s="2" t="s">
        <v>100</v>
      </c>
      <c r="S3643" s="2" t="s">
        <v>11213</v>
      </c>
      <c r="T3643" s="2" t="s">
        <v>9675</v>
      </c>
      <c r="U3643" s="2" t="s">
        <v>402</v>
      </c>
      <c r="V3643" s="2" t="s">
        <v>3937</v>
      </c>
      <c r="W3643" s="2" t="s">
        <v>202</v>
      </c>
      <c r="X3643" s="2" t="s">
        <v>183</v>
      </c>
      <c r="Y3643" s="2" t="s">
        <v>9790</v>
      </c>
      <c r="Z3643" s="4">
        <v>162</v>
      </c>
      <c r="AA3643" s="4">
        <f>=ROUNDDOWN(9,0)</f>
      </c>
      <c r="AB3643" s="5">
        <v>18</v>
      </c>
      <c r="AC3643" s="2" t="s">
        <v>768</v>
      </c>
      <c r="AD3643" s="4">
        <v>228</v>
      </c>
      <c r="AE3643" s="4">
        <v>245</v>
      </c>
      <c r="AF3643" s="6">
        <v>70</v>
      </c>
      <c r="AG3643" s="6"/>
      <c r="AH3643" s="7">
        <v>0.7594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>
        <v>2</v>
      </c>
      <c r="AQ3643" s="8">
        <v>77.76</v>
      </c>
      <c r="AR3643" s="4"/>
      <c r="AS3643" s="8"/>
      <c r="AT3643" s="7"/>
      <c r="AU3643" s="7"/>
      <c r="AV3643" s="4" t="s">
        <v>100</v>
      </c>
      <c r="AW3643" s="8" t="s">
        <v>100</v>
      </c>
      <c r="AX3643" s="4" t="s">
        <v>100</v>
      </c>
      <c r="AY3643" s="8" t="s">
        <v>100</v>
      </c>
      <c r="AZ3643" s="7" t="s">
        <v>100</v>
      </c>
      <c r="BA3643" s="7" t="s">
        <v>100</v>
      </c>
      <c r="BB3643" s="7">
        <v>0.2845</v>
      </c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 t="s">
        <v>100</v>
      </c>
      <c r="BJ3643" s="4">
        <v>206</v>
      </c>
      <c r="BK3643" s="8">
        <v>7125.92</v>
      </c>
      <c r="BL3643" s="2" t="s">
        <v>11214</v>
      </c>
      <c r="BM3643" s="7">
        <v>0.0097</v>
      </c>
      <c r="BN3643" s="7">
        <v>0.0109</v>
      </c>
      <c r="BO3643" s="4">
        <v>2</v>
      </c>
      <c r="BP3643" s="8">
        <v>77.76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2338</v>
      </c>
      <c r="BX3643" s="2" t="s">
        <v>6818</v>
      </c>
      <c r="BY3643" s="2" t="s">
        <v>113</v>
      </c>
      <c r="BZ3643" s="2" t="s">
        <v>100</v>
      </c>
    </row>
    <row r="3644">
      <c r="A3644" s="2" t="s">
        <v>11215</v>
      </c>
      <c r="B3644" s="2" t="s">
        <v>9668</v>
      </c>
      <c r="C3644" s="2" t="s">
        <v>2331</v>
      </c>
      <c r="D3644" s="2" t="s">
        <v>9669</v>
      </c>
      <c r="E3644" s="2" t="s">
        <v>9670</v>
      </c>
      <c r="F3644" s="2" t="s">
        <v>11120</v>
      </c>
      <c r="G3644" s="2" t="s">
        <v>11120</v>
      </c>
      <c r="H3644" s="2" t="s">
        <v>11120</v>
      </c>
      <c r="I3644" s="2" t="s">
        <v>10016</v>
      </c>
      <c r="J3644" s="2" t="s">
        <v>817</v>
      </c>
      <c r="K3644" s="2" t="s">
        <v>11208</v>
      </c>
      <c r="L3644" s="3">
        <v>28.98</v>
      </c>
      <c r="M3644" s="3">
        <v>30.43</v>
      </c>
      <c r="N3644" s="3">
        <v>64.99</v>
      </c>
      <c r="O3644" s="2" t="s">
        <v>97</v>
      </c>
      <c r="P3644" s="2" t="s">
        <v>119</v>
      </c>
      <c r="Q3644" s="2" t="s">
        <v>99</v>
      </c>
      <c r="R3644" s="2" t="s">
        <v>100</v>
      </c>
      <c r="S3644" s="2" t="s">
        <v>11200</v>
      </c>
      <c r="T3644" s="2" t="s">
        <v>9675</v>
      </c>
      <c r="U3644" s="2" t="s">
        <v>402</v>
      </c>
      <c r="V3644" s="2" t="s">
        <v>3937</v>
      </c>
      <c r="W3644" s="2" t="s">
        <v>202</v>
      </c>
      <c r="X3644" s="2" t="s">
        <v>183</v>
      </c>
      <c r="Y3644" s="2" t="s">
        <v>9790</v>
      </c>
      <c r="Z3644" s="4">
        <v>211</v>
      </c>
      <c r="AA3644" s="4">
        <f>=ROUNDDOWN(23.4444444444444,0)</f>
      </c>
      <c r="AB3644" s="5">
        <v>9</v>
      </c>
      <c r="AC3644" s="2" t="s">
        <v>768</v>
      </c>
      <c r="AD3644" s="4">
        <v>80</v>
      </c>
      <c r="AE3644" s="4">
        <v>80</v>
      </c>
      <c r="AF3644" s="6">
        <v>70</v>
      </c>
      <c r="AG3644" s="6"/>
      <c r="AH3644" s="7">
        <v>0.7647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100</v>
      </c>
      <c r="AW3644" s="8" t="s">
        <v>100</v>
      </c>
      <c r="AX3644" s="4" t="s">
        <v>100</v>
      </c>
      <c r="AY3644" s="8" t="s">
        <v>100</v>
      </c>
      <c r="AZ3644" s="7" t="s">
        <v>100</v>
      </c>
      <c r="BA3644" s="7" t="s">
        <v>100</v>
      </c>
      <c r="BB3644" s="7"/>
      <c r="BC3644" s="4" t="s">
        <v>100</v>
      </c>
      <c r="BD3644" s="8" t="s">
        <v>100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 t="s">
        <v>100</v>
      </c>
      <c r="BJ3644" s="4">
        <v>59</v>
      </c>
      <c r="BK3644" s="8">
        <v>2038.86</v>
      </c>
      <c r="BL3644" s="2" t="s">
        <v>529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11211</v>
      </c>
      <c r="BX3644" s="2" t="s">
        <v>11216</v>
      </c>
      <c r="BY3644" s="2" t="s">
        <v>113</v>
      </c>
      <c r="BZ3644" s="2" t="s">
        <v>100</v>
      </c>
    </row>
    <row r="3645">
      <c r="A3645" s="2" t="s">
        <v>11217</v>
      </c>
      <c r="B3645" s="2" t="s">
        <v>9668</v>
      </c>
      <c r="C3645" s="2" t="s">
        <v>2331</v>
      </c>
      <c r="D3645" s="2" t="s">
        <v>9669</v>
      </c>
      <c r="E3645" s="2" t="s">
        <v>9670</v>
      </c>
      <c r="F3645" s="2" t="s">
        <v>11120</v>
      </c>
      <c r="G3645" s="2" t="s">
        <v>11120</v>
      </c>
      <c r="H3645" s="2" t="s">
        <v>11120</v>
      </c>
      <c r="I3645" s="2" t="s">
        <v>10016</v>
      </c>
      <c r="J3645" s="2" t="s">
        <v>706</v>
      </c>
      <c r="K3645" s="2" t="s">
        <v>10017</v>
      </c>
      <c r="L3645" s="3">
        <v>24.3</v>
      </c>
      <c r="M3645" s="3">
        <v>25.52</v>
      </c>
      <c r="N3645" s="3">
        <v>54.99</v>
      </c>
      <c r="O3645" s="2" t="s">
        <v>97</v>
      </c>
      <c r="P3645" s="2" t="s">
        <v>950</v>
      </c>
      <c r="Q3645" s="2" t="s">
        <v>99</v>
      </c>
      <c r="R3645" s="2" t="s">
        <v>100</v>
      </c>
      <c r="S3645" s="2" t="s">
        <v>11218</v>
      </c>
      <c r="T3645" s="2" t="s">
        <v>9675</v>
      </c>
      <c r="U3645" s="2" t="s">
        <v>100</v>
      </c>
      <c r="V3645" s="2" t="s">
        <v>201</v>
      </c>
      <c r="W3645" s="2" t="s">
        <v>202</v>
      </c>
      <c r="X3645" s="2" t="s">
        <v>183</v>
      </c>
      <c r="Y3645" s="2" t="s">
        <v>2045</v>
      </c>
      <c r="Z3645" s="4">
        <v>742</v>
      </c>
      <c r="AA3645" s="4">
        <f>=ROUNDDOWN(18.0975609756098,0)</f>
      </c>
      <c r="AB3645" s="5">
        <v>41</v>
      </c>
      <c r="AC3645" s="2" t="s">
        <v>768</v>
      </c>
      <c r="AD3645" s="4">
        <v>391</v>
      </c>
      <c r="AE3645" s="4">
        <v>546</v>
      </c>
      <c r="AF3645" s="6">
        <v>65</v>
      </c>
      <c r="AG3645" s="6"/>
      <c r="AH3645" s="7">
        <v>0.6952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>
        <v>1</v>
      </c>
      <c r="AQ3645" s="8">
        <v>32.6</v>
      </c>
      <c r="AR3645" s="4"/>
      <c r="AS3645" s="8"/>
      <c r="AT3645" s="7"/>
      <c r="AU3645" s="7"/>
      <c r="AV3645" s="4">
        <v>5</v>
      </c>
      <c r="AW3645" s="8">
        <v>188.12</v>
      </c>
      <c r="AX3645" s="4" t="s">
        <v>100</v>
      </c>
      <c r="AY3645" s="8" t="s">
        <v>100</v>
      </c>
      <c r="AZ3645" s="7" t="s">
        <v>100</v>
      </c>
      <c r="BA3645" s="7" t="s">
        <v>100</v>
      </c>
      <c r="BB3645" s="7">
        <v>0.1733</v>
      </c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>
        <v>0.037</v>
      </c>
      <c r="BJ3645" s="4">
        <v>630</v>
      </c>
      <c r="BK3645" s="8">
        <v>17466.65</v>
      </c>
      <c r="BL3645" s="2" t="s">
        <v>11219</v>
      </c>
      <c r="BM3645" s="7">
        <v>0.0016</v>
      </c>
      <c r="BN3645" s="7">
        <v>0.0019</v>
      </c>
      <c r="BO3645" s="4">
        <v>1</v>
      </c>
      <c r="BP3645" s="8">
        <v>32.6</v>
      </c>
      <c r="BQ3645" s="4"/>
      <c r="BR3645" s="8"/>
      <c r="BS3645" s="7"/>
      <c r="BT3645" s="7"/>
      <c r="BU3645" s="2" t="s">
        <v>109</v>
      </c>
      <c r="BV3645" s="2" t="s">
        <v>110</v>
      </c>
      <c r="BW3645" s="2" t="s">
        <v>11133</v>
      </c>
      <c r="BX3645" s="2" t="s">
        <v>6966</v>
      </c>
      <c r="BY3645" s="2" t="s">
        <v>113</v>
      </c>
      <c r="BZ3645" s="2" t="s">
        <v>100</v>
      </c>
    </row>
    <row r="3646">
      <c r="A3646" s="2" t="s">
        <v>11220</v>
      </c>
      <c r="B3646" s="2" t="s">
        <v>9668</v>
      </c>
      <c r="C3646" s="2" t="s">
        <v>2331</v>
      </c>
      <c r="D3646" s="2" t="s">
        <v>9669</v>
      </c>
      <c r="E3646" s="2" t="s">
        <v>9670</v>
      </c>
      <c r="F3646" s="2" t="s">
        <v>11120</v>
      </c>
      <c r="G3646" s="2" t="s">
        <v>11120</v>
      </c>
      <c r="H3646" s="2" t="s">
        <v>11120</v>
      </c>
      <c r="I3646" s="2" t="s">
        <v>10016</v>
      </c>
      <c r="J3646" s="2" t="s">
        <v>714</v>
      </c>
      <c r="K3646" s="2" t="s">
        <v>10017</v>
      </c>
      <c r="L3646" s="3">
        <v>28.98</v>
      </c>
      <c r="M3646" s="3">
        <v>30.43</v>
      </c>
      <c r="N3646" s="3">
        <v>64.99</v>
      </c>
      <c r="O3646" s="2" t="s">
        <v>97</v>
      </c>
      <c r="P3646" s="2" t="s">
        <v>119</v>
      </c>
      <c r="Q3646" s="2" t="s">
        <v>99</v>
      </c>
      <c r="R3646" s="2" t="s">
        <v>100</v>
      </c>
      <c r="S3646" s="2" t="s">
        <v>11218</v>
      </c>
      <c r="T3646" s="2" t="s">
        <v>9675</v>
      </c>
      <c r="U3646" s="2" t="s">
        <v>100</v>
      </c>
      <c r="V3646" s="2" t="s">
        <v>201</v>
      </c>
      <c r="W3646" s="2" t="s">
        <v>202</v>
      </c>
      <c r="X3646" s="2" t="s">
        <v>183</v>
      </c>
      <c r="Y3646" s="2" t="s">
        <v>2045</v>
      </c>
      <c r="Z3646" s="4">
        <v>134</v>
      </c>
      <c r="AA3646" s="4">
        <f>=ROUNDDOWN(8.375,0)</f>
      </c>
      <c r="AB3646" s="5">
        <v>16</v>
      </c>
      <c r="AC3646" s="2" t="s">
        <v>768</v>
      </c>
      <c r="AD3646" s="4">
        <v>160</v>
      </c>
      <c r="AE3646" s="4">
        <v>160</v>
      </c>
      <c r="AF3646" s="6">
        <v>65</v>
      </c>
      <c r="AG3646" s="6"/>
      <c r="AH3646" s="7">
        <v>0.7005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100</v>
      </c>
      <c r="AW3646" s="8" t="s">
        <v>100</v>
      </c>
      <c r="AX3646" s="4" t="s">
        <v>100</v>
      </c>
      <c r="AY3646" s="8" t="s">
        <v>100</v>
      </c>
      <c r="AZ3646" s="7" t="s">
        <v>100</v>
      </c>
      <c r="BA3646" s="7" t="s">
        <v>100</v>
      </c>
      <c r="BB3646" s="7"/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 t="s">
        <v>100</v>
      </c>
      <c r="BJ3646" s="4">
        <v>238</v>
      </c>
      <c r="BK3646" s="8">
        <v>7786.26</v>
      </c>
      <c r="BL3646" s="2" t="s">
        <v>11221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11133</v>
      </c>
      <c r="BX3646" s="2" t="s">
        <v>11222</v>
      </c>
      <c r="BY3646" s="2" t="s">
        <v>113</v>
      </c>
      <c r="BZ3646" s="2" t="s">
        <v>100</v>
      </c>
    </row>
    <row r="3647">
      <c r="A3647" s="2" t="s">
        <v>11223</v>
      </c>
      <c r="B3647" s="2" t="s">
        <v>9668</v>
      </c>
      <c r="C3647" s="2" t="s">
        <v>2331</v>
      </c>
      <c r="D3647" s="2" t="s">
        <v>9669</v>
      </c>
      <c r="E3647" s="2" t="s">
        <v>9670</v>
      </c>
      <c r="F3647" s="2" t="s">
        <v>11120</v>
      </c>
      <c r="G3647" s="2" t="s">
        <v>11120</v>
      </c>
      <c r="H3647" s="2" t="s">
        <v>11120</v>
      </c>
      <c r="I3647" s="2" t="s">
        <v>10016</v>
      </c>
      <c r="J3647" s="2" t="s">
        <v>817</v>
      </c>
      <c r="K3647" s="2" t="s">
        <v>10017</v>
      </c>
      <c r="L3647" s="3">
        <v>28.98</v>
      </c>
      <c r="M3647" s="3">
        <v>30.43</v>
      </c>
      <c r="N3647" s="3">
        <v>64.99</v>
      </c>
      <c r="O3647" s="2" t="s">
        <v>97</v>
      </c>
      <c r="P3647" s="2" t="s">
        <v>119</v>
      </c>
      <c r="Q3647" s="2" t="s">
        <v>99</v>
      </c>
      <c r="R3647" s="2" t="s">
        <v>100</v>
      </c>
      <c r="S3647" s="2" t="s">
        <v>11218</v>
      </c>
      <c r="T3647" s="2" t="s">
        <v>9675</v>
      </c>
      <c r="U3647" s="2" t="s">
        <v>100</v>
      </c>
      <c r="V3647" s="2" t="s">
        <v>201</v>
      </c>
      <c r="W3647" s="2" t="s">
        <v>202</v>
      </c>
      <c r="X3647" s="2" t="s">
        <v>183</v>
      </c>
      <c r="Y3647" s="2" t="s">
        <v>2045</v>
      </c>
      <c r="Z3647" s="4">
        <v>159</v>
      </c>
      <c r="AA3647" s="4">
        <f>=ROUNDDOWN(19.875,0)</f>
      </c>
      <c r="AB3647" s="5">
        <v>8</v>
      </c>
      <c r="AC3647" s="2" t="s">
        <v>768</v>
      </c>
      <c r="AD3647" s="4">
        <v>90</v>
      </c>
      <c r="AE3647" s="4">
        <v>90</v>
      </c>
      <c r="AF3647" s="6">
        <v>65</v>
      </c>
      <c r="AG3647" s="6"/>
      <c r="AH3647" s="7">
        <v>0.6952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>
        <v>4</v>
      </c>
      <c r="AQ3647" s="8">
        <v>155.52</v>
      </c>
      <c r="AR3647" s="4"/>
      <c r="AS3647" s="8"/>
      <c r="AT3647" s="7"/>
      <c r="AU3647" s="7"/>
      <c r="AV3647" s="4" t="s">
        <v>100</v>
      </c>
      <c r="AW3647" s="8" t="s">
        <v>100</v>
      </c>
      <c r="AX3647" s="4" t="s">
        <v>100</v>
      </c>
      <c r="AY3647" s="8" t="s">
        <v>100</v>
      </c>
      <c r="AZ3647" s="7" t="s">
        <v>100</v>
      </c>
      <c r="BA3647" s="7" t="s">
        <v>100</v>
      </c>
      <c r="BB3647" s="7">
        <v>0.8267</v>
      </c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 t="s">
        <v>100</v>
      </c>
      <c r="BJ3647" s="4">
        <v>63</v>
      </c>
      <c r="BK3647" s="8">
        <v>2075.37</v>
      </c>
      <c r="BL3647" s="2" t="s">
        <v>11171</v>
      </c>
      <c r="BM3647" s="7">
        <v>0.0635</v>
      </c>
      <c r="BN3647" s="7">
        <v>0.0749</v>
      </c>
      <c r="BO3647" s="4">
        <v>4</v>
      </c>
      <c r="BP3647" s="8">
        <v>155.52</v>
      </c>
      <c r="BQ3647" s="4"/>
      <c r="BR3647" s="8"/>
      <c r="BS3647" s="7"/>
      <c r="BT3647" s="7"/>
      <c r="BU3647" s="2" t="s">
        <v>109</v>
      </c>
      <c r="BV3647" s="2" t="s">
        <v>110</v>
      </c>
      <c r="BW3647" s="2" t="s">
        <v>2338</v>
      </c>
      <c r="BX3647" s="2" t="s">
        <v>11224</v>
      </c>
      <c r="BY3647" s="2" t="s">
        <v>113</v>
      </c>
      <c r="BZ3647" s="2" t="s">
        <v>100</v>
      </c>
    </row>
    <row r="3648">
      <c r="A3648" s="2" t="s">
        <v>11225</v>
      </c>
      <c r="B3648" s="2" t="s">
        <v>9668</v>
      </c>
      <c r="C3648" s="2" t="s">
        <v>2331</v>
      </c>
      <c r="D3648" s="2" t="s">
        <v>9669</v>
      </c>
      <c r="E3648" s="2" t="s">
        <v>9670</v>
      </c>
      <c r="F3648" s="2" t="s">
        <v>11120</v>
      </c>
      <c r="G3648" s="2" t="s">
        <v>11120</v>
      </c>
      <c r="H3648" s="2" t="s">
        <v>11120</v>
      </c>
      <c r="I3648" s="2" t="s">
        <v>10016</v>
      </c>
      <c r="J3648" s="2" t="s">
        <v>1936</v>
      </c>
      <c r="K3648" s="2" t="s">
        <v>7348</v>
      </c>
      <c r="L3648" s="3">
        <v>19.8</v>
      </c>
      <c r="M3648" s="3">
        <v>20.79</v>
      </c>
      <c r="N3648" s="3">
        <v>44.99</v>
      </c>
      <c r="O3648" s="2" t="s">
        <v>97</v>
      </c>
      <c r="P3648" s="2" t="s">
        <v>225</v>
      </c>
      <c r="Q3648" s="2" t="s">
        <v>99</v>
      </c>
      <c r="R3648" s="2" t="s">
        <v>100</v>
      </c>
      <c r="S3648" s="2" t="s">
        <v>11226</v>
      </c>
      <c r="T3648" s="2" t="s">
        <v>9675</v>
      </c>
      <c r="U3648" s="2" t="s">
        <v>480</v>
      </c>
      <c r="V3648" s="2" t="s">
        <v>201</v>
      </c>
      <c r="W3648" s="2" t="s">
        <v>202</v>
      </c>
      <c r="X3648" s="2" t="s">
        <v>183</v>
      </c>
      <c r="Y3648" s="2" t="s">
        <v>3643</v>
      </c>
      <c r="Z3648" s="4"/>
      <c r="AA3648" s="4">
        <f>=ROUNDDOWN({0},0)</f>
      </c>
      <c r="AB3648" s="5">
        <v>31</v>
      </c>
      <c r="AC3648" s="2" t="s">
        <v>266</v>
      </c>
      <c r="AD3648" s="4">
        <v>452</v>
      </c>
      <c r="AE3648" s="4">
        <v>772</v>
      </c>
      <c r="AF3648" s="6">
        <v>69</v>
      </c>
      <c r="AG3648" s="6"/>
      <c r="AH3648" s="7">
        <v>0.0417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>
        <v>4</v>
      </c>
      <c r="AW3648" s="8">
        <v>136.68</v>
      </c>
      <c r="AX3648" s="4" t="s">
        <v>100</v>
      </c>
      <c r="AY3648" s="8" t="s">
        <v>100</v>
      </c>
      <c r="AZ3648" s="7" t="s">
        <v>100</v>
      </c>
      <c r="BA3648" s="7" t="s">
        <v>100</v>
      </c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0.0269</v>
      </c>
      <c r="BJ3648" s="4"/>
      <c r="BK3648" s="8"/>
      <c r="BL3648" s="2" t="s">
        <v>100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207</v>
      </c>
      <c r="BV3648" s="2" t="s">
        <v>97</v>
      </c>
      <c r="BW3648" s="2" t="s">
        <v>100</v>
      </c>
      <c r="BX3648" s="2" t="s">
        <v>100</v>
      </c>
      <c r="BY3648" s="2" t="s">
        <v>113</v>
      </c>
      <c r="BZ3648" s="2" t="s">
        <v>100</v>
      </c>
    </row>
    <row r="3649">
      <c r="A3649" s="2" t="s">
        <v>11227</v>
      </c>
      <c r="B3649" s="2" t="s">
        <v>9668</v>
      </c>
      <c r="C3649" s="2" t="s">
        <v>2331</v>
      </c>
      <c r="D3649" s="2" t="s">
        <v>9669</v>
      </c>
      <c r="E3649" s="2" t="s">
        <v>9670</v>
      </c>
      <c r="F3649" s="2" t="s">
        <v>11120</v>
      </c>
      <c r="G3649" s="2" t="s">
        <v>11120</v>
      </c>
      <c r="H3649" s="2" t="s">
        <v>11120</v>
      </c>
      <c r="I3649" s="2" t="s">
        <v>10016</v>
      </c>
      <c r="J3649" s="2" t="s">
        <v>717</v>
      </c>
      <c r="K3649" s="2" t="s">
        <v>7348</v>
      </c>
      <c r="L3649" s="3">
        <v>21.78</v>
      </c>
      <c r="M3649" s="3">
        <v>22.87</v>
      </c>
      <c r="N3649" s="3">
        <v>49.99</v>
      </c>
      <c r="O3649" s="2" t="s">
        <v>97</v>
      </c>
      <c r="P3649" s="2" t="s">
        <v>225</v>
      </c>
      <c r="Q3649" s="2" t="s">
        <v>99</v>
      </c>
      <c r="R3649" s="2" t="s">
        <v>100</v>
      </c>
      <c r="S3649" s="2" t="s">
        <v>11226</v>
      </c>
      <c r="T3649" s="2" t="s">
        <v>9675</v>
      </c>
      <c r="U3649" s="2" t="s">
        <v>402</v>
      </c>
      <c r="V3649" s="2" t="s">
        <v>201</v>
      </c>
      <c r="W3649" s="2" t="s">
        <v>202</v>
      </c>
      <c r="X3649" s="2" t="s">
        <v>183</v>
      </c>
      <c r="Y3649" s="2" t="s">
        <v>3643</v>
      </c>
      <c r="Z3649" s="4">
        <v>1</v>
      </c>
      <c r="AA3649" s="4">
        <f>=ROUNDDOWN(0.04,0)</f>
      </c>
      <c r="AB3649" s="5">
        <v>25</v>
      </c>
      <c r="AC3649" s="2" t="s">
        <v>266</v>
      </c>
      <c r="AD3649" s="4">
        <v>349</v>
      </c>
      <c r="AE3649" s="4">
        <v>606</v>
      </c>
      <c r="AF3649" s="6">
        <v>69</v>
      </c>
      <c r="AG3649" s="6"/>
      <c r="AH3649" s="7">
        <v>0.1042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100</v>
      </c>
      <c r="AW3649" s="8" t="s">
        <v>100</v>
      </c>
      <c r="AX3649" s="4" t="s">
        <v>100</v>
      </c>
      <c r="AY3649" s="8" t="s">
        <v>100</v>
      </c>
      <c r="AZ3649" s="7" t="s">
        <v>100</v>
      </c>
      <c r="BA3649" s="7" t="s">
        <v>100</v>
      </c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 t="s">
        <v>100</v>
      </c>
      <c r="BJ3649" s="4">
        <v>1</v>
      </c>
      <c r="BK3649" s="8">
        <v>22.87</v>
      </c>
      <c r="BL3649" s="2" t="s">
        <v>8063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207</v>
      </c>
      <c r="BV3649" s="2" t="s">
        <v>97</v>
      </c>
      <c r="BW3649" s="2" t="s">
        <v>100</v>
      </c>
      <c r="BX3649" s="2" t="s">
        <v>100</v>
      </c>
      <c r="BY3649" s="2" t="s">
        <v>113</v>
      </c>
      <c r="BZ3649" s="2" t="s">
        <v>100</v>
      </c>
    </row>
    <row r="3650">
      <c r="A3650" s="2" t="s">
        <v>11228</v>
      </c>
      <c r="B3650" s="2" t="s">
        <v>9668</v>
      </c>
      <c r="C3650" s="2" t="s">
        <v>2331</v>
      </c>
      <c r="D3650" s="2" t="s">
        <v>9669</v>
      </c>
      <c r="E3650" s="2" t="s">
        <v>9670</v>
      </c>
      <c r="F3650" s="2" t="s">
        <v>11120</v>
      </c>
      <c r="G3650" s="2" t="s">
        <v>11120</v>
      </c>
      <c r="H3650" s="2" t="s">
        <v>11120</v>
      </c>
      <c r="I3650" s="2" t="s">
        <v>10016</v>
      </c>
      <c r="J3650" s="2" t="s">
        <v>706</v>
      </c>
      <c r="K3650" s="2" t="s">
        <v>7348</v>
      </c>
      <c r="L3650" s="3">
        <v>24.3</v>
      </c>
      <c r="M3650" s="3">
        <v>25.52</v>
      </c>
      <c r="N3650" s="3">
        <v>54.99</v>
      </c>
      <c r="O3650" s="2" t="s">
        <v>97</v>
      </c>
      <c r="P3650" s="2" t="s">
        <v>372</v>
      </c>
      <c r="Q3650" s="2" t="s">
        <v>99</v>
      </c>
      <c r="R3650" s="2" t="s">
        <v>100</v>
      </c>
      <c r="S3650" s="2" t="s">
        <v>11229</v>
      </c>
      <c r="T3650" s="2" t="s">
        <v>9675</v>
      </c>
      <c r="U3650" s="2" t="s">
        <v>100</v>
      </c>
      <c r="V3650" s="2" t="s">
        <v>201</v>
      </c>
      <c r="W3650" s="2" t="s">
        <v>202</v>
      </c>
      <c r="X3650" s="2" t="s">
        <v>183</v>
      </c>
      <c r="Y3650" s="2" t="s">
        <v>240</v>
      </c>
      <c r="Z3650" s="4">
        <v>374</v>
      </c>
      <c r="AA3650" s="4">
        <f>=ROUNDDOWN(5.58208955223881,0)</f>
      </c>
      <c r="AB3650" s="5">
        <v>67</v>
      </c>
      <c r="AC3650" s="2" t="s">
        <v>768</v>
      </c>
      <c r="AD3650" s="4">
        <v>534</v>
      </c>
      <c r="AE3650" s="4">
        <v>1066</v>
      </c>
      <c r="AF3650" s="6">
        <v>69</v>
      </c>
      <c r="AG3650" s="6"/>
      <c r="AH3650" s="7">
        <v>0.6631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>
        <v>3</v>
      </c>
      <c r="AQ3650" s="8">
        <v>97.8</v>
      </c>
      <c r="AR3650" s="4"/>
      <c r="AS3650" s="8"/>
      <c r="AT3650" s="7"/>
      <c r="AU3650" s="7"/>
      <c r="AV3650" s="4" t="s">
        <v>100</v>
      </c>
      <c r="AW3650" s="8" t="s">
        <v>100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>
        <v>0.7155</v>
      </c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 t="s">
        <v>100</v>
      </c>
      <c r="BJ3650" s="4">
        <v>1412</v>
      </c>
      <c r="BK3650" s="8">
        <v>39621.83</v>
      </c>
      <c r="BL3650" s="2" t="s">
        <v>11230</v>
      </c>
      <c r="BM3650" s="7">
        <v>0.0021</v>
      </c>
      <c r="BN3650" s="7">
        <v>0.0025</v>
      </c>
      <c r="BO3650" s="4">
        <v>3</v>
      </c>
      <c r="BP3650" s="8">
        <v>97.8</v>
      </c>
      <c r="BQ3650" s="4"/>
      <c r="BR3650" s="8"/>
      <c r="BS3650" s="7"/>
      <c r="BT3650" s="7"/>
      <c r="BU3650" s="2" t="s">
        <v>109</v>
      </c>
      <c r="BV3650" s="2" t="s">
        <v>110</v>
      </c>
      <c r="BW3650" s="2" t="s">
        <v>2338</v>
      </c>
      <c r="BX3650" s="2" t="s">
        <v>6144</v>
      </c>
      <c r="BY3650" s="2" t="s">
        <v>113</v>
      </c>
      <c r="BZ3650" s="2" t="s">
        <v>100</v>
      </c>
    </row>
    <row r="3651">
      <c r="A3651" s="2" t="s">
        <v>11231</v>
      </c>
      <c r="B3651" s="2" t="s">
        <v>9668</v>
      </c>
      <c r="C3651" s="2" t="s">
        <v>2331</v>
      </c>
      <c r="D3651" s="2" t="s">
        <v>9669</v>
      </c>
      <c r="E3651" s="2" t="s">
        <v>9670</v>
      </c>
      <c r="F3651" s="2" t="s">
        <v>11120</v>
      </c>
      <c r="G3651" s="2" t="s">
        <v>11120</v>
      </c>
      <c r="H3651" s="2" t="s">
        <v>11120</v>
      </c>
      <c r="I3651" s="2" t="s">
        <v>10016</v>
      </c>
      <c r="J3651" s="2" t="s">
        <v>817</v>
      </c>
      <c r="K3651" s="2" t="s">
        <v>7348</v>
      </c>
      <c r="L3651" s="3">
        <v>28.98</v>
      </c>
      <c r="M3651" s="3">
        <v>30.43</v>
      </c>
      <c r="N3651" s="3">
        <v>64.99</v>
      </c>
      <c r="O3651" s="2" t="s">
        <v>97</v>
      </c>
      <c r="P3651" s="2" t="s">
        <v>950</v>
      </c>
      <c r="Q3651" s="2" t="s">
        <v>99</v>
      </c>
      <c r="R3651" s="2" t="s">
        <v>100</v>
      </c>
      <c r="S3651" s="2" t="s">
        <v>11229</v>
      </c>
      <c r="T3651" s="2" t="s">
        <v>9675</v>
      </c>
      <c r="U3651" s="2" t="s">
        <v>100</v>
      </c>
      <c r="V3651" s="2" t="s">
        <v>201</v>
      </c>
      <c r="W3651" s="2" t="s">
        <v>202</v>
      </c>
      <c r="X3651" s="2" t="s">
        <v>183</v>
      </c>
      <c r="Y3651" s="2" t="s">
        <v>11232</v>
      </c>
      <c r="Z3651" s="4">
        <v>420</v>
      </c>
      <c r="AA3651" s="4">
        <f>=ROUNDDOWN(30,0)</f>
      </c>
      <c r="AB3651" s="5">
        <v>14</v>
      </c>
      <c r="AC3651" s="2" t="s">
        <v>768</v>
      </c>
      <c r="AD3651" s="4">
        <v>125</v>
      </c>
      <c r="AE3651" s="4">
        <v>155</v>
      </c>
      <c r="AF3651" s="6">
        <v>69</v>
      </c>
      <c r="AG3651" s="6"/>
      <c r="AH3651" s="7">
        <v>0.6898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/>
      <c r="AP3651" s="4">
        <v>1</v>
      </c>
      <c r="AQ3651" s="8">
        <v>38.88</v>
      </c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>
        <v>0.2845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>
        <v>120</v>
      </c>
      <c r="BK3651" s="8">
        <v>3998.01</v>
      </c>
      <c r="BL3651" s="2" t="s">
        <v>11233</v>
      </c>
      <c r="BM3651" s="7">
        <v>0.0083</v>
      </c>
      <c r="BN3651" s="7">
        <v>0.0097</v>
      </c>
      <c r="BO3651" s="4">
        <v>1</v>
      </c>
      <c r="BP3651" s="8">
        <v>38.88</v>
      </c>
      <c r="BQ3651" s="4"/>
      <c r="BR3651" s="8"/>
      <c r="BS3651" s="7"/>
      <c r="BT3651" s="7"/>
      <c r="BU3651" s="2" t="s">
        <v>109</v>
      </c>
      <c r="BV3651" s="2" t="s">
        <v>110</v>
      </c>
      <c r="BW3651" s="2" t="s">
        <v>2338</v>
      </c>
      <c r="BX3651" s="2" t="s">
        <v>11234</v>
      </c>
      <c r="BY3651" s="2" t="s">
        <v>113</v>
      </c>
      <c r="BZ3651" s="2" t="s">
        <v>100</v>
      </c>
    </row>
    <row r="3652">
      <c r="A3652" s="2" t="s">
        <v>11235</v>
      </c>
      <c r="B3652" s="2" t="s">
        <v>9668</v>
      </c>
      <c r="C3652" s="2" t="s">
        <v>2331</v>
      </c>
      <c r="D3652" s="2" t="s">
        <v>9669</v>
      </c>
      <c r="E3652" s="2" t="s">
        <v>9670</v>
      </c>
      <c r="F3652" s="2" t="s">
        <v>11120</v>
      </c>
      <c r="G3652" s="2" t="s">
        <v>11120</v>
      </c>
      <c r="H3652" s="2" t="s">
        <v>11120</v>
      </c>
      <c r="I3652" s="2" t="s">
        <v>10016</v>
      </c>
      <c r="J3652" s="2" t="s">
        <v>706</v>
      </c>
      <c r="K3652" s="2" t="s">
        <v>11236</v>
      </c>
      <c r="L3652" s="3">
        <v>24.3</v>
      </c>
      <c r="M3652" s="3">
        <v>25.52</v>
      </c>
      <c r="N3652" s="3">
        <v>54.99</v>
      </c>
      <c r="O3652" s="2" t="s">
        <v>97</v>
      </c>
      <c r="P3652" s="2" t="s">
        <v>119</v>
      </c>
      <c r="Q3652" s="2" t="s">
        <v>99</v>
      </c>
      <c r="R3652" s="2" t="s">
        <v>100</v>
      </c>
      <c r="S3652" s="2" t="s">
        <v>11213</v>
      </c>
      <c r="T3652" s="2" t="s">
        <v>9675</v>
      </c>
      <c r="U3652" s="2" t="s">
        <v>402</v>
      </c>
      <c r="V3652" s="2" t="s">
        <v>3937</v>
      </c>
      <c r="W3652" s="2" t="s">
        <v>202</v>
      </c>
      <c r="X3652" s="2" t="s">
        <v>183</v>
      </c>
      <c r="Y3652" s="2" t="s">
        <v>9790</v>
      </c>
      <c r="Z3652" s="4">
        <v>261</v>
      </c>
      <c r="AA3652" s="4">
        <f>=ROUNDDOWN(9.66666666666667,0)</f>
      </c>
      <c r="AB3652" s="5">
        <v>27</v>
      </c>
      <c r="AC3652" s="2" t="s">
        <v>768</v>
      </c>
      <c r="AD3652" s="4">
        <v>248</v>
      </c>
      <c r="AE3652" s="4">
        <v>248</v>
      </c>
      <c r="AF3652" s="6">
        <v>65</v>
      </c>
      <c r="AG3652" s="6"/>
      <c r="AH3652" s="7">
        <v>0.7005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>
        <v>2</v>
      </c>
      <c r="AQ3652" s="8">
        <v>65.2</v>
      </c>
      <c r="AR3652" s="4"/>
      <c r="AS3652" s="8"/>
      <c r="AT3652" s="7"/>
      <c r="AU3652" s="7"/>
      <c r="AV3652" s="4">
        <v>3</v>
      </c>
      <c r="AW3652" s="8">
        <v>104.08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>
        <v>0.6264</v>
      </c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0.0204</v>
      </c>
      <c r="BJ3652" s="4">
        <v>407</v>
      </c>
      <c r="BK3652" s="8">
        <v>11265.95</v>
      </c>
      <c r="BL3652" s="2" t="s">
        <v>11237</v>
      </c>
      <c r="BM3652" s="7">
        <v>0.0049</v>
      </c>
      <c r="BN3652" s="7">
        <v>0.0058</v>
      </c>
      <c r="BO3652" s="4">
        <v>2</v>
      </c>
      <c r="BP3652" s="8">
        <v>65.2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11211</v>
      </c>
      <c r="BX3652" s="2" t="s">
        <v>5171</v>
      </c>
      <c r="BY3652" s="2" t="s">
        <v>113</v>
      </c>
      <c r="BZ3652" s="2" t="s">
        <v>100</v>
      </c>
    </row>
    <row r="3653">
      <c r="A3653" s="2" t="s">
        <v>11238</v>
      </c>
      <c r="B3653" s="2" t="s">
        <v>9668</v>
      </c>
      <c r="C3653" s="2" t="s">
        <v>2331</v>
      </c>
      <c r="D3653" s="2" t="s">
        <v>9669</v>
      </c>
      <c r="E3653" s="2" t="s">
        <v>9670</v>
      </c>
      <c r="F3653" s="2" t="s">
        <v>11120</v>
      </c>
      <c r="G3653" s="2" t="s">
        <v>11120</v>
      </c>
      <c r="H3653" s="2" t="s">
        <v>11120</v>
      </c>
      <c r="I3653" s="2" t="s">
        <v>10016</v>
      </c>
      <c r="J3653" s="2" t="s">
        <v>817</v>
      </c>
      <c r="K3653" s="2" t="s">
        <v>11236</v>
      </c>
      <c r="L3653" s="3">
        <v>28.98</v>
      </c>
      <c r="M3653" s="3">
        <v>30.43</v>
      </c>
      <c r="N3653" s="3">
        <v>64.99</v>
      </c>
      <c r="O3653" s="2" t="s">
        <v>97</v>
      </c>
      <c r="P3653" s="2" t="s">
        <v>119</v>
      </c>
      <c r="Q3653" s="2" t="s">
        <v>99</v>
      </c>
      <c r="R3653" s="2" t="s">
        <v>100</v>
      </c>
      <c r="S3653" s="2" t="s">
        <v>11213</v>
      </c>
      <c r="T3653" s="2" t="s">
        <v>9675</v>
      </c>
      <c r="U3653" s="2" t="s">
        <v>402</v>
      </c>
      <c r="V3653" s="2" t="s">
        <v>3937</v>
      </c>
      <c r="W3653" s="2" t="s">
        <v>202</v>
      </c>
      <c r="X3653" s="2" t="s">
        <v>183</v>
      </c>
      <c r="Y3653" s="2" t="s">
        <v>9790</v>
      </c>
      <c r="Z3653" s="4">
        <v>136</v>
      </c>
      <c r="AA3653" s="4">
        <f>=ROUNDDOWN(17,0)</f>
      </c>
      <c r="AB3653" s="5">
        <v>8</v>
      </c>
      <c r="AC3653" s="2" t="s">
        <v>768</v>
      </c>
      <c r="AD3653" s="4">
        <v>100</v>
      </c>
      <c r="AE3653" s="4">
        <v>100</v>
      </c>
      <c r="AF3653" s="6">
        <v>65</v>
      </c>
      <c r="AG3653" s="6"/>
      <c r="AH3653" s="7">
        <v>0.6952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>
        <v>1</v>
      </c>
      <c r="AQ3653" s="8">
        <v>38.88</v>
      </c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>
        <v>0.3736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>
        <v>60</v>
      </c>
      <c r="BK3653" s="8">
        <v>2085.23</v>
      </c>
      <c r="BL3653" s="2" t="s">
        <v>11239</v>
      </c>
      <c r="BM3653" s="7">
        <v>0.0167</v>
      </c>
      <c r="BN3653" s="7">
        <v>0.0186</v>
      </c>
      <c r="BO3653" s="4">
        <v>1</v>
      </c>
      <c r="BP3653" s="8">
        <v>38.88</v>
      </c>
      <c r="BQ3653" s="4"/>
      <c r="BR3653" s="8"/>
      <c r="BS3653" s="7"/>
      <c r="BT3653" s="7"/>
      <c r="BU3653" s="2" t="s">
        <v>109</v>
      </c>
      <c r="BV3653" s="2" t="s">
        <v>110</v>
      </c>
      <c r="BW3653" s="2" t="s">
        <v>11211</v>
      </c>
      <c r="BX3653" s="2" t="s">
        <v>11240</v>
      </c>
      <c r="BY3653" s="2" t="s">
        <v>113</v>
      </c>
      <c r="BZ3653" s="2" t="s">
        <v>100</v>
      </c>
    </row>
    <row r="3654">
      <c r="A3654" s="2" t="s">
        <v>11241</v>
      </c>
      <c r="B3654" s="2" t="s">
        <v>9668</v>
      </c>
      <c r="C3654" s="2" t="s">
        <v>2331</v>
      </c>
      <c r="D3654" s="2" t="s">
        <v>9669</v>
      </c>
      <c r="E3654" s="2" t="s">
        <v>9670</v>
      </c>
      <c r="F3654" s="2" t="s">
        <v>11120</v>
      </c>
      <c r="G3654" s="2" t="s">
        <v>11120</v>
      </c>
      <c r="H3654" s="2" t="s">
        <v>11120</v>
      </c>
      <c r="I3654" s="2" t="s">
        <v>10016</v>
      </c>
      <c r="J3654" s="2" t="s">
        <v>1936</v>
      </c>
      <c r="K3654" s="2" t="s">
        <v>11242</v>
      </c>
      <c r="L3654" s="3">
        <v>19.8</v>
      </c>
      <c r="M3654" s="3">
        <v>20.79</v>
      </c>
      <c r="N3654" s="3">
        <v>44.99</v>
      </c>
      <c r="O3654" s="2" t="s">
        <v>97</v>
      </c>
      <c r="P3654" s="2" t="s">
        <v>119</v>
      </c>
      <c r="Q3654" s="2" t="s">
        <v>99</v>
      </c>
      <c r="R3654" s="2" t="s">
        <v>100</v>
      </c>
      <c r="S3654" s="2" t="s">
        <v>11243</v>
      </c>
      <c r="T3654" s="2" t="s">
        <v>9675</v>
      </c>
      <c r="U3654" s="2" t="s">
        <v>480</v>
      </c>
      <c r="V3654" s="2" t="s">
        <v>3937</v>
      </c>
      <c r="W3654" s="2" t="s">
        <v>202</v>
      </c>
      <c r="X3654" s="2" t="s">
        <v>183</v>
      </c>
      <c r="Y3654" s="2" t="s">
        <v>11244</v>
      </c>
      <c r="Z3654" s="4">
        <v>394</v>
      </c>
      <c r="AA3654" s="4">
        <f>=ROUNDDOWN(43.7777777777778,0)</f>
      </c>
      <c r="AB3654" s="5">
        <v>9</v>
      </c>
      <c r="AC3654" s="2" t="s">
        <v>768</v>
      </c>
      <c r="AD3654" s="4">
        <v>81</v>
      </c>
      <c r="AE3654" s="4">
        <v>81</v>
      </c>
      <c r="AF3654" s="6">
        <v>74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100</v>
      </c>
      <c r="AW3654" s="8" t="s">
        <v>100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 t="s">
        <v>100</v>
      </c>
      <c r="BJ3654" s="4">
        <v>67</v>
      </c>
      <c r="BK3654" s="8">
        <v>1462.74</v>
      </c>
      <c r="BL3654" s="2" t="s">
        <v>6012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207</v>
      </c>
      <c r="BV3654" s="2" t="s">
        <v>97</v>
      </c>
      <c r="BW3654" s="2" t="s">
        <v>100</v>
      </c>
      <c r="BX3654" s="2" t="s">
        <v>100</v>
      </c>
      <c r="BY3654" s="2" t="s">
        <v>113</v>
      </c>
      <c r="BZ3654" s="2" t="s">
        <v>100</v>
      </c>
    </row>
    <row r="3655">
      <c r="A3655" s="2" t="s">
        <v>11245</v>
      </c>
      <c r="B3655" s="2" t="s">
        <v>9668</v>
      </c>
      <c r="C3655" s="2" t="s">
        <v>2331</v>
      </c>
      <c r="D3655" s="2" t="s">
        <v>9669</v>
      </c>
      <c r="E3655" s="2" t="s">
        <v>9670</v>
      </c>
      <c r="F3655" s="2" t="s">
        <v>11120</v>
      </c>
      <c r="G3655" s="2" t="s">
        <v>11120</v>
      </c>
      <c r="H3655" s="2" t="s">
        <v>11120</v>
      </c>
      <c r="I3655" s="2" t="s">
        <v>10016</v>
      </c>
      <c r="J3655" s="2" t="s">
        <v>717</v>
      </c>
      <c r="K3655" s="2" t="s">
        <v>11242</v>
      </c>
      <c r="L3655" s="3">
        <v>21.78</v>
      </c>
      <c r="M3655" s="3">
        <v>22.87</v>
      </c>
      <c r="N3655" s="3">
        <v>49.99</v>
      </c>
      <c r="O3655" s="2" t="s">
        <v>97</v>
      </c>
      <c r="P3655" s="2" t="s">
        <v>119</v>
      </c>
      <c r="Q3655" s="2" t="s">
        <v>99</v>
      </c>
      <c r="R3655" s="2" t="s">
        <v>100</v>
      </c>
      <c r="S3655" s="2" t="s">
        <v>11243</v>
      </c>
      <c r="T3655" s="2" t="s">
        <v>9675</v>
      </c>
      <c r="U3655" s="2" t="s">
        <v>402</v>
      </c>
      <c r="V3655" s="2" t="s">
        <v>3937</v>
      </c>
      <c r="W3655" s="2" t="s">
        <v>202</v>
      </c>
      <c r="X3655" s="2" t="s">
        <v>183</v>
      </c>
      <c r="Y3655" s="2" t="s">
        <v>11244</v>
      </c>
      <c r="Z3655" s="4">
        <v>265</v>
      </c>
      <c r="AA3655" s="4">
        <f>=ROUNDDOWN(22.0833333333333,0)</f>
      </c>
      <c r="AB3655" s="5">
        <v>12</v>
      </c>
      <c r="AC3655" s="2" t="s">
        <v>100</v>
      </c>
      <c r="AD3655" s="4"/>
      <c r="AE3655" s="4"/>
      <c r="AF3655" s="6">
        <v>74</v>
      </c>
      <c r="AG3655" s="6"/>
      <c r="AH3655" s="7">
        <v>0.8128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100</v>
      </c>
      <c r="AW3655" s="8" t="s">
        <v>100</v>
      </c>
      <c r="AX3655" s="4" t="s">
        <v>100</v>
      </c>
      <c r="AY3655" s="8" t="s">
        <v>100</v>
      </c>
      <c r="AZ3655" s="7" t="s">
        <v>100</v>
      </c>
      <c r="BA3655" s="7" t="s">
        <v>100</v>
      </c>
      <c r="BB3655" s="7"/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 t="s">
        <v>100</v>
      </c>
      <c r="BJ3655" s="4">
        <v>119</v>
      </c>
      <c r="BK3655" s="8">
        <v>2980.2</v>
      </c>
      <c r="BL3655" s="2" t="s">
        <v>1738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207</v>
      </c>
      <c r="BV3655" s="2" t="s">
        <v>97</v>
      </c>
      <c r="BW3655" s="2" t="s">
        <v>100</v>
      </c>
      <c r="BX3655" s="2" t="s">
        <v>100</v>
      </c>
      <c r="BY3655" s="2" t="s">
        <v>113</v>
      </c>
      <c r="BZ3655" s="2" t="s">
        <v>100</v>
      </c>
    </row>
    <row r="3656">
      <c r="A3656" s="2" t="s">
        <v>11246</v>
      </c>
      <c r="B3656" s="2" t="s">
        <v>9668</v>
      </c>
      <c r="C3656" s="2" t="s">
        <v>2331</v>
      </c>
      <c r="D3656" s="2" t="s">
        <v>9669</v>
      </c>
      <c r="E3656" s="2" t="s">
        <v>9670</v>
      </c>
      <c r="F3656" s="2" t="s">
        <v>11120</v>
      </c>
      <c r="G3656" s="2" t="s">
        <v>11120</v>
      </c>
      <c r="H3656" s="2" t="s">
        <v>11120</v>
      </c>
      <c r="I3656" s="2" t="s">
        <v>10016</v>
      </c>
      <c r="J3656" s="2" t="s">
        <v>706</v>
      </c>
      <c r="K3656" s="2" t="s">
        <v>11242</v>
      </c>
      <c r="L3656" s="3">
        <v>24.3</v>
      </c>
      <c r="M3656" s="3">
        <v>25.52</v>
      </c>
      <c r="N3656" s="3">
        <v>54.99</v>
      </c>
      <c r="O3656" s="2" t="s">
        <v>97</v>
      </c>
      <c r="P3656" s="2" t="s">
        <v>950</v>
      </c>
      <c r="Q3656" s="2" t="s">
        <v>99</v>
      </c>
      <c r="R3656" s="2" t="s">
        <v>100</v>
      </c>
      <c r="S3656" s="2" t="s">
        <v>11243</v>
      </c>
      <c r="T3656" s="2" t="s">
        <v>9675</v>
      </c>
      <c r="U3656" s="2" t="s">
        <v>402</v>
      </c>
      <c r="V3656" s="2" t="s">
        <v>3937</v>
      </c>
      <c r="W3656" s="2" t="s">
        <v>202</v>
      </c>
      <c r="X3656" s="2" t="s">
        <v>183</v>
      </c>
      <c r="Y3656" s="2" t="s">
        <v>11244</v>
      </c>
      <c r="Z3656" s="4">
        <v>385</v>
      </c>
      <c r="AA3656" s="4">
        <f>=ROUNDDOWN(12.8333333333333,0)</f>
      </c>
      <c r="AB3656" s="5">
        <v>30</v>
      </c>
      <c r="AC3656" s="2" t="s">
        <v>768</v>
      </c>
      <c r="AD3656" s="4">
        <v>376</v>
      </c>
      <c r="AE3656" s="4">
        <v>496</v>
      </c>
      <c r="AF3656" s="6">
        <v>74</v>
      </c>
      <c r="AG3656" s="6"/>
      <c r="AH3656" s="7">
        <v>0.7433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100</v>
      </c>
      <c r="AW3656" s="8" t="s">
        <v>100</v>
      </c>
      <c r="AX3656" s="4" t="s">
        <v>100</v>
      </c>
      <c r="AY3656" s="8" t="s">
        <v>100</v>
      </c>
      <c r="AZ3656" s="7" t="s">
        <v>100</v>
      </c>
      <c r="BA3656" s="7" t="s">
        <v>100</v>
      </c>
      <c r="BB3656" s="7"/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 t="s">
        <v>100</v>
      </c>
      <c r="BJ3656" s="4">
        <v>329</v>
      </c>
      <c r="BK3656" s="8">
        <v>9283.26</v>
      </c>
      <c r="BL3656" s="2" t="s">
        <v>3163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207</v>
      </c>
      <c r="BV3656" s="2" t="s">
        <v>97</v>
      </c>
      <c r="BW3656" s="2" t="s">
        <v>100</v>
      </c>
      <c r="BX3656" s="2" t="s">
        <v>100</v>
      </c>
      <c r="BY3656" s="2" t="s">
        <v>113</v>
      </c>
      <c r="BZ3656" s="2" t="s">
        <v>100</v>
      </c>
    </row>
    <row r="3657">
      <c r="A3657" s="2" t="s">
        <v>11247</v>
      </c>
      <c r="B3657" s="2" t="s">
        <v>9668</v>
      </c>
      <c r="C3657" s="2" t="s">
        <v>2331</v>
      </c>
      <c r="D3657" s="2" t="s">
        <v>9669</v>
      </c>
      <c r="E3657" s="2" t="s">
        <v>9670</v>
      </c>
      <c r="F3657" s="2" t="s">
        <v>11120</v>
      </c>
      <c r="G3657" s="2" t="s">
        <v>11120</v>
      </c>
      <c r="H3657" s="2" t="s">
        <v>11120</v>
      </c>
      <c r="I3657" s="2" t="s">
        <v>10016</v>
      </c>
      <c r="J3657" s="2" t="s">
        <v>714</v>
      </c>
      <c r="K3657" s="2" t="s">
        <v>11242</v>
      </c>
      <c r="L3657" s="3">
        <v>28.98</v>
      </c>
      <c r="M3657" s="3">
        <v>30.43</v>
      </c>
      <c r="N3657" s="3">
        <v>64.99</v>
      </c>
      <c r="O3657" s="2" t="s">
        <v>97</v>
      </c>
      <c r="P3657" s="2" t="s">
        <v>119</v>
      </c>
      <c r="Q3657" s="2" t="s">
        <v>99</v>
      </c>
      <c r="R3657" s="2" t="s">
        <v>100</v>
      </c>
      <c r="S3657" s="2" t="s">
        <v>11243</v>
      </c>
      <c r="T3657" s="2" t="s">
        <v>9675</v>
      </c>
      <c r="U3657" s="2" t="s">
        <v>402</v>
      </c>
      <c r="V3657" s="2" t="s">
        <v>3937</v>
      </c>
      <c r="W3657" s="2" t="s">
        <v>202</v>
      </c>
      <c r="X3657" s="2" t="s">
        <v>183</v>
      </c>
      <c r="Y3657" s="2" t="s">
        <v>11244</v>
      </c>
      <c r="Z3657" s="4">
        <v>327</v>
      </c>
      <c r="AA3657" s="4">
        <f>=ROUNDDOWN(16.35,0)</f>
      </c>
      <c r="AB3657" s="5">
        <v>20</v>
      </c>
      <c r="AC3657" s="2" t="s">
        <v>768</v>
      </c>
      <c r="AD3657" s="4">
        <v>213</v>
      </c>
      <c r="AE3657" s="4">
        <v>213</v>
      </c>
      <c r="AF3657" s="6">
        <v>74</v>
      </c>
      <c r="AG3657" s="6"/>
      <c r="AH3657" s="7">
        <v>0.7594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100</v>
      </c>
      <c r="AW3657" s="8" t="s">
        <v>100</v>
      </c>
      <c r="AX3657" s="4" t="s">
        <v>100</v>
      </c>
      <c r="AY3657" s="8" t="s">
        <v>100</v>
      </c>
      <c r="AZ3657" s="7" t="s">
        <v>100</v>
      </c>
      <c r="BA3657" s="7" t="s">
        <v>100</v>
      </c>
      <c r="BB3657" s="7"/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 t="s">
        <v>100</v>
      </c>
      <c r="BJ3657" s="4">
        <v>187</v>
      </c>
      <c r="BK3657" s="8">
        <v>6282.88</v>
      </c>
      <c r="BL3657" s="2" t="s">
        <v>11248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207</v>
      </c>
      <c r="BV3657" s="2" t="s">
        <v>97</v>
      </c>
      <c r="BW3657" s="2" t="s">
        <v>100</v>
      </c>
      <c r="BX3657" s="2" t="s">
        <v>100</v>
      </c>
      <c r="BY3657" s="2" t="s">
        <v>113</v>
      </c>
      <c r="BZ3657" s="2" t="s">
        <v>100</v>
      </c>
    </row>
    <row r="3658">
      <c r="A3658" s="2" t="s">
        <v>11249</v>
      </c>
      <c r="B3658" s="2" t="s">
        <v>9668</v>
      </c>
      <c r="C3658" s="2" t="s">
        <v>2331</v>
      </c>
      <c r="D3658" s="2" t="s">
        <v>9669</v>
      </c>
      <c r="E3658" s="2" t="s">
        <v>9670</v>
      </c>
      <c r="F3658" s="2" t="s">
        <v>11120</v>
      </c>
      <c r="G3658" s="2" t="s">
        <v>11120</v>
      </c>
      <c r="H3658" s="2" t="s">
        <v>11120</v>
      </c>
      <c r="I3658" s="2" t="s">
        <v>10016</v>
      </c>
      <c r="J3658" s="2" t="s">
        <v>817</v>
      </c>
      <c r="K3658" s="2" t="s">
        <v>11242</v>
      </c>
      <c r="L3658" s="3">
        <v>28.98</v>
      </c>
      <c r="M3658" s="3">
        <v>30.43</v>
      </c>
      <c r="N3658" s="3">
        <v>64.99</v>
      </c>
      <c r="O3658" s="2" t="s">
        <v>97</v>
      </c>
      <c r="P3658" s="2" t="s">
        <v>119</v>
      </c>
      <c r="Q3658" s="2" t="s">
        <v>99</v>
      </c>
      <c r="R3658" s="2" t="s">
        <v>100</v>
      </c>
      <c r="S3658" s="2" t="s">
        <v>11243</v>
      </c>
      <c r="T3658" s="2" t="s">
        <v>9675</v>
      </c>
      <c r="U3658" s="2" t="s">
        <v>402</v>
      </c>
      <c r="V3658" s="2" t="s">
        <v>3937</v>
      </c>
      <c r="W3658" s="2" t="s">
        <v>202</v>
      </c>
      <c r="X3658" s="2" t="s">
        <v>183</v>
      </c>
      <c r="Y3658" s="2" t="s">
        <v>11244</v>
      </c>
      <c r="Z3658" s="4">
        <v>184</v>
      </c>
      <c r="AA3658" s="4">
        <f>=ROUNDDOWN(23,0)</f>
      </c>
      <c r="AB3658" s="5">
        <v>8</v>
      </c>
      <c r="AC3658" s="2" t="s">
        <v>768</v>
      </c>
      <c r="AD3658" s="4">
        <v>186</v>
      </c>
      <c r="AE3658" s="4">
        <v>186</v>
      </c>
      <c r="AF3658" s="6">
        <v>74</v>
      </c>
      <c r="AG3658" s="6"/>
      <c r="AH3658" s="7">
        <v>0.7647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100</v>
      </c>
      <c r="AW3658" s="8" t="s">
        <v>100</v>
      </c>
      <c r="AX3658" s="4" t="s">
        <v>100</v>
      </c>
      <c r="AY3658" s="8" t="s">
        <v>100</v>
      </c>
      <c r="AZ3658" s="7" t="s">
        <v>100</v>
      </c>
      <c r="BA3658" s="7" t="s">
        <v>100</v>
      </c>
      <c r="BB3658" s="7"/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 t="s">
        <v>100</v>
      </c>
      <c r="BJ3658" s="4">
        <v>66</v>
      </c>
      <c r="BK3658" s="8">
        <v>2239.51</v>
      </c>
      <c r="BL3658" s="2" t="s">
        <v>11250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207</v>
      </c>
      <c r="BV3658" s="2" t="s">
        <v>97</v>
      </c>
      <c r="BW3658" s="2" t="s">
        <v>100</v>
      </c>
      <c r="BX3658" s="2" t="s">
        <v>100</v>
      </c>
      <c r="BY3658" s="2" t="s">
        <v>113</v>
      </c>
      <c r="BZ3658" s="2" t="s">
        <v>100</v>
      </c>
    </row>
    <row r="3659">
      <c r="A3659" s="2" t="s">
        <v>11251</v>
      </c>
      <c r="B3659" s="2" t="s">
        <v>9668</v>
      </c>
      <c r="C3659" s="2" t="s">
        <v>2331</v>
      </c>
      <c r="D3659" s="2" t="s">
        <v>9669</v>
      </c>
      <c r="E3659" s="2" t="s">
        <v>9670</v>
      </c>
      <c r="F3659" s="2" t="s">
        <v>11120</v>
      </c>
      <c r="G3659" s="2" t="s">
        <v>11120</v>
      </c>
      <c r="H3659" s="2" t="s">
        <v>11120</v>
      </c>
      <c r="I3659" s="2" t="s">
        <v>10016</v>
      </c>
      <c r="J3659" s="2" t="s">
        <v>1936</v>
      </c>
      <c r="K3659" s="2" t="s">
        <v>11252</v>
      </c>
      <c r="L3659" s="3">
        <v>19.8</v>
      </c>
      <c r="M3659" s="3">
        <v>20.79</v>
      </c>
      <c r="N3659" s="3">
        <v>44.99</v>
      </c>
      <c r="O3659" s="2" t="s">
        <v>97</v>
      </c>
      <c r="P3659" s="2" t="s">
        <v>225</v>
      </c>
      <c r="Q3659" s="2" t="s">
        <v>99</v>
      </c>
      <c r="R3659" s="2" t="s">
        <v>100</v>
      </c>
      <c r="S3659" s="2" t="s">
        <v>11253</v>
      </c>
      <c r="T3659" s="2" t="s">
        <v>9675</v>
      </c>
      <c r="U3659" s="2" t="s">
        <v>480</v>
      </c>
      <c r="V3659" s="2" t="s">
        <v>11254</v>
      </c>
      <c r="W3659" s="2" t="s">
        <v>202</v>
      </c>
      <c r="X3659" s="2" t="s">
        <v>183</v>
      </c>
      <c r="Y3659" s="2" t="s">
        <v>3643</v>
      </c>
      <c r="Z3659" s="4">
        <v>88</v>
      </c>
      <c r="AA3659" s="4">
        <f>=ROUNDDOWN(8,0)</f>
      </c>
      <c r="AB3659" s="5">
        <v>11</v>
      </c>
      <c r="AC3659" s="2" t="s">
        <v>266</v>
      </c>
      <c r="AD3659" s="4">
        <v>227</v>
      </c>
      <c r="AE3659" s="4">
        <v>343</v>
      </c>
      <c r="AF3659" s="6">
        <v>69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/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>
        <v>89</v>
      </c>
      <c r="BK3659" s="8">
        <v>1970.97</v>
      </c>
      <c r="BL3659" s="2" t="s">
        <v>3806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207</v>
      </c>
      <c r="BV3659" s="2" t="s">
        <v>97</v>
      </c>
      <c r="BW3659" s="2" t="s">
        <v>100</v>
      </c>
      <c r="BX3659" s="2" t="s">
        <v>100</v>
      </c>
      <c r="BY3659" s="2" t="s">
        <v>113</v>
      </c>
      <c r="BZ3659" s="2" t="s">
        <v>100</v>
      </c>
    </row>
    <row r="3660">
      <c r="A3660" s="2" t="s">
        <v>11255</v>
      </c>
      <c r="B3660" s="2" t="s">
        <v>9668</v>
      </c>
      <c r="C3660" s="2" t="s">
        <v>2331</v>
      </c>
      <c r="D3660" s="2" t="s">
        <v>9669</v>
      </c>
      <c r="E3660" s="2" t="s">
        <v>9670</v>
      </c>
      <c r="F3660" s="2" t="s">
        <v>11120</v>
      </c>
      <c r="G3660" s="2" t="s">
        <v>11120</v>
      </c>
      <c r="H3660" s="2" t="s">
        <v>11120</v>
      </c>
      <c r="I3660" s="2" t="s">
        <v>10016</v>
      </c>
      <c r="J3660" s="2" t="s">
        <v>717</v>
      </c>
      <c r="K3660" s="2" t="s">
        <v>11252</v>
      </c>
      <c r="L3660" s="3">
        <v>21.78</v>
      </c>
      <c r="M3660" s="3">
        <v>22.87</v>
      </c>
      <c r="N3660" s="3">
        <v>49.99</v>
      </c>
      <c r="O3660" s="2" t="s">
        <v>97</v>
      </c>
      <c r="P3660" s="2" t="s">
        <v>225</v>
      </c>
      <c r="Q3660" s="2" t="s">
        <v>99</v>
      </c>
      <c r="R3660" s="2" t="s">
        <v>100</v>
      </c>
      <c r="S3660" s="2" t="s">
        <v>11253</v>
      </c>
      <c r="T3660" s="2" t="s">
        <v>9675</v>
      </c>
      <c r="U3660" s="2" t="s">
        <v>402</v>
      </c>
      <c r="V3660" s="2" t="s">
        <v>11254</v>
      </c>
      <c r="W3660" s="2" t="s">
        <v>202</v>
      </c>
      <c r="X3660" s="2" t="s">
        <v>183</v>
      </c>
      <c r="Y3660" s="2" t="s">
        <v>3643</v>
      </c>
      <c r="Z3660" s="4"/>
      <c r="AA3660" s="4">
        <f>=ROUNDDOWN({0},0)</f>
      </c>
      <c r="AB3660" s="5">
        <v>12</v>
      </c>
      <c r="AC3660" s="2" t="s">
        <v>266</v>
      </c>
      <c r="AD3660" s="4">
        <v>264</v>
      </c>
      <c r="AE3660" s="4">
        <v>377</v>
      </c>
      <c r="AF3660" s="6">
        <v>69</v>
      </c>
      <c r="AG3660" s="6"/>
      <c r="AH3660" s="7">
        <v>0.7917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100</v>
      </c>
      <c r="AW3660" s="8" t="s">
        <v>100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/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 t="s">
        <v>100</v>
      </c>
      <c r="BJ3660" s="4">
        <v>245</v>
      </c>
      <c r="BK3660" s="8">
        <v>5986.51</v>
      </c>
      <c r="BL3660" s="2" t="s">
        <v>3774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207</v>
      </c>
      <c r="BV3660" s="2" t="s">
        <v>97</v>
      </c>
      <c r="BW3660" s="2" t="s">
        <v>100</v>
      </c>
      <c r="BX3660" s="2" t="s">
        <v>100</v>
      </c>
      <c r="BY3660" s="2" t="s">
        <v>113</v>
      </c>
      <c r="BZ3660" s="2" t="s">
        <v>100</v>
      </c>
    </row>
    <row r="3661">
      <c r="A3661" s="2" t="s">
        <v>11256</v>
      </c>
      <c r="B3661" s="2" t="s">
        <v>9668</v>
      </c>
      <c r="C3661" s="2" t="s">
        <v>2331</v>
      </c>
      <c r="D3661" s="2" t="s">
        <v>9669</v>
      </c>
      <c r="E3661" s="2" t="s">
        <v>9670</v>
      </c>
      <c r="F3661" s="2" t="s">
        <v>11120</v>
      </c>
      <c r="G3661" s="2" t="s">
        <v>11120</v>
      </c>
      <c r="H3661" s="2" t="s">
        <v>11120</v>
      </c>
      <c r="I3661" s="2" t="s">
        <v>10016</v>
      </c>
      <c r="J3661" s="2" t="s">
        <v>706</v>
      </c>
      <c r="K3661" s="2" t="s">
        <v>11252</v>
      </c>
      <c r="L3661" s="3">
        <v>24.3</v>
      </c>
      <c r="M3661" s="3">
        <v>25.52</v>
      </c>
      <c r="N3661" s="3">
        <v>54.99</v>
      </c>
      <c r="O3661" s="2" t="s">
        <v>97</v>
      </c>
      <c r="P3661" s="2" t="s">
        <v>225</v>
      </c>
      <c r="Q3661" s="2" t="s">
        <v>99</v>
      </c>
      <c r="R3661" s="2" t="s">
        <v>100</v>
      </c>
      <c r="S3661" s="2" t="s">
        <v>11253</v>
      </c>
      <c r="T3661" s="2" t="s">
        <v>9675</v>
      </c>
      <c r="U3661" s="2" t="s">
        <v>402</v>
      </c>
      <c r="V3661" s="2" t="s">
        <v>11254</v>
      </c>
      <c r="W3661" s="2" t="s">
        <v>202</v>
      </c>
      <c r="X3661" s="2" t="s">
        <v>183</v>
      </c>
      <c r="Y3661" s="2" t="s">
        <v>3643</v>
      </c>
      <c r="Z3661" s="4">
        <v>178</v>
      </c>
      <c r="AA3661" s="4">
        <f>=ROUNDDOWN(6.84615384615385,0)</f>
      </c>
      <c r="AB3661" s="5">
        <v>26</v>
      </c>
      <c r="AC3661" s="2" t="s">
        <v>266</v>
      </c>
      <c r="AD3661" s="4">
        <v>625</v>
      </c>
      <c r="AE3661" s="4">
        <v>893</v>
      </c>
      <c r="AF3661" s="6">
        <v>69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100</v>
      </c>
      <c r="AW3661" s="8" t="s">
        <v>100</v>
      </c>
      <c r="AX3661" s="4" t="s">
        <v>100</v>
      </c>
      <c r="AY3661" s="8" t="s">
        <v>100</v>
      </c>
      <c r="AZ3661" s="7" t="s">
        <v>100</v>
      </c>
      <c r="BA3661" s="7" t="s">
        <v>100</v>
      </c>
      <c r="BB3661" s="7"/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 t="s">
        <v>100</v>
      </c>
      <c r="BJ3661" s="4">
        <v>319</v>
      </c>
      <c r="BK3661" s="8">
        <v>8599.87</v>
      </c>
      <c r="BL3661" s="2" t="s">
        <v>11257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207</v>
      </c>
      <c r="BV3661" s="2" t="s">
        <v>97</v>
      </c>
      <c r="BW3661" s="2" t="s">
        <v>100</v>
      </c>
      <c r="BX3661" s="2" t="s">
        <v>100</v>
      </c>
      <c r="BY3661" s="2" t="s">
        <v>113</v>
      </c>
      <c r="BZ3661" s="2" t="s">
        <v>100</v>
      </c>
    </row>
    <row r="3662">
      <c r="A3662" s="2" t="s">
        <v>11258</v>
      </c>
      <c r="B3662" s="2" t="s">
        <v>9668</v>
      </c>
      <c r="C3662" s="2" t="s">
        <v>2331</v>
      </c>
      <c r="D3662" s="2" t="s">
        <v>9669</v>
      </c>
      <c r="E3662" s="2" t="s">
        <v>9670</v>
      </c>
      <c r="F3662" s="2" t="s">
        <v>11120</v>
      </c>
      <c r="G3662" s="2" t="s">
        <v>11120</v>
      </c>
      <c r="H3662" s="2" t="s">
        <v>11120</v>
      </c>
      <c r="I3662" s="2" t="s">
        <v>10016</v>
      </c>
      <c r="J3662" s="2" t="s">
        <v>714</v>
      </c>
      <c r="K3662" s="2" t="s">
        <v>11252</v>
      </c>
      <c r="L3662" s="3">
        <v>28.98</v>
      </c>
      <c r="M3662" s="3">
        <v>30.43</v>
      </c>
      <c r="N3662" s="3">
        <v>64.99</v>
      </c>
      <c r="O3662" s="2" t="s">
        <v>97</v>
      </c>
      <c r="P3662" s="2" t="s">
        <v>225</v>
      </c>
      <c r="Q3662" s="2" t="s">
        <v>99</v>
      </c>
      <c r="R3662" s="2" t="s">
        <v>100</v>
      </c>
      <c r="S3662" s="2" t="s">
        <v>11253</v>
      </c>
      <c r="T3662" s="2" t="s">
        <v>9675</v>
      </c>
      <c r="U3662" s="2" t="s">
        <v>402</v>
      </c>
      <c r="V3662" s="2" t="s">
        <v>11254</v>
      </c>
      <c r="W3662" s="2" t="s">
        <v>202</v>
      </c>
      <c r="X3662" s="2" t="s">
        <v>183</v>
      </c>
      <c r="Y3662" s="2" t="s">
        <v>3643</v>
      </c>
      <c r="Z3662" s="4">
        <v>48</v>
      </c>
      <c r="AA3662" s="4">
        <f>=ROUNDDOWN(3,0)</f>
      </c>
      <c r="AB3662" s="5">
        <v>16</v>
      </c>
      <c r="AC3662" s="2" t="s">
        <v>266</v>
      </c>
      <c r="AD3662" s="4">
        <v>352</v>
      </c>
      <c r="AE3662" s="4">
        <v>520</v>
      </c>
      <c r="AF3662" s="6">
        <v>69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100</v>
      </c>
      <c r="AW3662" s="8" t="s">
        <v>100</v>
      </c>
      <c r="AX3662" s="4" t="s">
        <v>100</v>
      </c>
      <c r="AY3662" s="8" t="s">
        <v>100</v>
      </c>
      <c r="AZ3662" s="7" t="s">
        <v>100</v>
      </c>
      <c r="BA3662" s="7" t="s">
        <v>100</v>
      </c>
      <c r="BB3662" s="7"/>
      <c r="BC3662" s="4" t="s">
        <v>100</v>
      </c>
      <c r="BD3662" s="8" t="s">
        <v>100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 t="s">
        <v>100</v>
      </c>
      <c r="BJ3662" s="4">
        <v>260</v>
      </c>
      <c r="BK3662" s="8">
        <v>8471.44</v>
      </c>
      <c r="BL3662" s="2" t="s">
        <v>11259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207</v>
      </c>
      <c r="BV3662" s="2" t="s">
        <v>97</v>
      </c>
      <c r="BW3662" s="2" t="s">
        <v>100</v>
      </c>
      <c r="BX3662" s="2" t="s">
        <v>100</v>
      </c>
      <c r="BY3662" s="2" t="s">
        <v>113</v>
      </c>
      <c r="BZ3662" s="2" t="s">
        <v>100</v>
      </c>
    </row>
    <row r="3663">
      <c r="A3663" s="2" t="s">
        <v>11260</v>
      </c>
      <c r="B3663" s="2" t="s">
        <v>9668</v>
      </c>
      <c r="C3663" s="2" t="s">
        <v>2331</v>
      </c>
      <c r="D3663" s="2" t="s">
        <v>9669</v>
      </c>
      <c r="E3663" s="2" t="s">
        <v>9670</v>
      </c>
      <c r="F3663" s="2" t="s">
        <v>11120</v>
      </c>
      <c r="G3663" s="2" t="s">
        <v>11120</v>
      </c>
      <c r="H3663" s="2" t="s">
        <v>11120</v>
      </c>
      <c r="I3663" s="2" t="s">
        <v>10016</v>
      </c>
      <c r="J3663" s="2" t="s">
        <v>817</v>
      </c>
      <c r="K3663" s="2" t="s">
        <v>11252</v>
      </c>
      <c r="L3663" s="3">
        <v>28.98</v>
      </c>
      <c r="M3663" s="3">
        <v>30.43</v>
      </c>
      <c r="N3663" s="3">
        <v>64.99</v>
      </c>
      <c r="O3663" s="2" t="s">
        <v>97</v>
      </c>
      <c r="P3663" s="2" t="s">
        <v>225</v>
      </c>
      <c r="Q3663" s="2" t="s">
        <v>99</v>
      </c>
      <c r="R3663" s="2" t="s">
        <v>100</v>
      </c>
      <c r="S3663" s="2" t="s">
        <v>11253</v>
      </c>
      <c r="T3663" s="2" t="s">
        <v>9675</v>
      </c>
      <c r="U3663" s="2" t="s">
        <v>402</v>
      </c>
      <c r="V3663" s="2" t="s">
        <v>11254</v>
      </c>
      <c r="W3663" s="2" t="s">
        <v>202</v>
      </c>
      <c r="X3663" s="2" t="s">
        <v>183</v>
      </c>
      <c r="Y3663" s="2" t="s">
        <v>3643</v>
      </c>
      <c r="Z3663" s="4">
        <v>116</v>
      </c>
      <c r="AA3663" s="4">
        <f>=ROUNDDOWN(14.5,0)</f>
      </c>
      <c r="AB3663" s="5">
        <v>8</v>
      </c>
      <c r="AC3663" s="2" t="s">
        <v>266</v>
      </c>
      <c r="AD3663" s="4">
        <v>156</v>
      </c>
      <c r="AE3663" s="4">
        <v>235</v>
      </c>
      <c r="AF3663" s="6">
        <v>69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100</v>
      </c>
      <c r="AW3663" s="8" t="s">
        <v>100</v>
      </c>
      <c r="AX3663" s="4" t="s">
        <v>100</v>
      </c>
      <c r="AY3663" s="8" t="s">
        <v>100</v>
      </c>
      <c r="AZ3663" s="7" t="s">
        <v>100</v>
      </c>
      <c r="BA3663" s="7" t="s">
        <v>100</v>
      </c>
      <c r="BB3663" s="7"/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 t="s">
        <v>100</v>
      </c>
      <c r="BJ3663" s="4">
        <v>44</v>
      </c>
      <c r="BK3663" s="8">
        <v>1420.31</v>
      </c>
      <c r="BL3663" s="2" t="s">
        <v>11261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207</v>
      </c>
      <c r="BV3663" s="2" t="s">
        <v>97</v>
      </c>
      <c r="BW3663" s="2" t="s">
        <v>100</v>
      </c>
      <c r="BX3663" s="2" t="s">
        <v>100</v>
      </c>
      <c r="BY3663" s="2" t="s">
        <v>113</v>
      </c>
      <c r="BZ3663" s="2" t="s">
        <v>100</v>
      </c>
    </row>
    <row r="3664">
      <c r="A3664" s="2" t="s">
        <v>11262</v>
      </c>
      <c r="B3664" s="2" t="s">
        <v>9668</v>
      </c>
      <c r="C3664" s="2" t="s">
        <v>2331</v>
      </c>
      <c r="D3664" s="2" t="s">
        <v>9669</v>
      </c>
      <c r="E3664" s="2" t="s">
        <v>9670</v>
      </c>
      <c r="F3664" s="2" t="s">
        <v>11120</v>
      </c>
      <c r="G3664" s="2" t="s">
        <v>11120</v>
      </c>
      <c r="H3664" s="2" t="s">
        <v>11120</v>
      </c>
      <c r="I3664" s="2" t="s">
        <v>10016</v>
      </c>
      <c r="J3664" s="2" t="s">
        <v>1936</v>
      </c>
      <c r="K3664" s="2" t="s">
        <v>11263</v>
      </c>
      <c r="L3664" s="3">
        <v>19.8</v>
      </c>
      <c r="M3664" s="3">
        <v>20.79</v>
      </c>
      <c r="N3664" s="3">
        <v>44.99</v>
      </c>
      <c r="O3664" s="2" t="s">
        <v>97</v>
      </c>
      <c r="P3664" s="2" t="s">
        <v>119</v>
      </c>
      <c r="Q3664" s="2" t="s">
        <v>99</v>
      </c>
      <c r="R3664" s="2" t="s">
        <v>100</v>
      </c>
      <c r="S3664" s="2" t="s">
        <v>11264</v>
      </c>
      <c r="T3664" s="2" t="s">
        <v>9675</v>
      </c>
      <c r="U3664" s="2" t="s">
        <v>480</v>
      </c>
      <c r="V3664" s="2" t="s">
        <v>3937</v>
      </c>
      <c r="W3664" s="2" t="s">
        <v>202</v>
      </c>
      <c r="X3664" s="2" t="s">
        <v>183</v>
      </c>
      <c r="Y3664" s="2" t="s">
        <v>11244</v>
      </c>
      <c r="Z3664" s="4">
        <v>953</v>
      </c>
      <c r="AA3664" s="4">
        <f>=ROUNDDOWN(41.4347826086957,0)</f>
      </c>
      <c r="AB3664" s="5">
        <v>23</v>
      </c>
      <c r="AC3664" s="2" t="s">
        <v>768</v>
      </c>
      <c r="AD3664" s="4">
        <v>306</v>
      </c>
      <c r="AE3664" s="4">
        <v>306</v>
      </c>
      <c r="AF3664" s="6">
        <v>74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100</v>
      </c>
      <c r="AW3664" s="8" t="s">
        <v>100</v>
      </c>
      <c r="AX3664" s="4" t="s">
        <v>100</v>
      </c>
      <c r="AY3664" s="8" t="s">
        <v>100</v>
      </c>
      <c r="AZ3664" s="7" t="s">
        <v>100</v>
      </c>
      <c r="BA3664" s="7" t="s">
        <v>100</v>
      </c>
      <c r="BB3664" s="7"/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 t="s">
        <v>100</v>
      </c>
      <c r="BJ3664" s="4">
        <v>81</v>
      </c>
      <c r="BK3664" s="8">
        <v>1728.29</v>
      </c>
      <c r="BL3664" s="2" t="s">
        <v>10147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207</v>
      </c>
      <c r="BV3664" s="2" t="s">
        <v>97</v>
      </c>
      <c r="BW3664" s="2" t="s">
        <v>100</v>
      </c>
      <c r="BX3664" s="2" t="s">
        <v>100</v>
      </c>
      <c r="BY3664" s="2" t="s">
        <v>113</v>
      </c>
      <c r="BZ3664" s="2" t="s">
        <v>100</v>
      </c>
    </row>
    <row r="3665">
      <c r="A3665" s="2" t="s">
        <v>11265</v>
      </c>
      <c r="B3665" s="2" t="s">
        <v>9668</v>
      </c>
      <c r="C3665" s="2" t="s">
        <v>2331</v>
      </c>
      <c r="D3665" s="2" t="s">
        <v>9669</v>
      </c>
      <c r="E3665" s="2" t="s">
        <v>9670</v>
      </c>
      <c r="F3665" s="2" t="s">
        <v>11120</v>
      </c>
      <c r="G3665" s="2" t="s">
        <v>11120</v>
      </c>
      <c r="H3665" s="2" t="s">
        <v>11120</v>
      </c>
      <c r="I3665" s="2" t="s">
        <v>10016</v>
      </c>
      <c r="J3665" s="2" t="s">
        <v>717</v>
      </c>
      <c r="K3665" s="2" t="s">
        <v>11263</v>
      </c>
      <c r="L3665" s="3">
        <v>21.78</v>
      </c>
      <c r="M3665" s="3">
        <v>22.87</v>
      </c>
      <c r="N3665" s="3">
        <v>49.99</v>
      </c>
      <c r="O3665" s="2" t="s">
        <v>97</v>
      </c>
      <c r="P3665" s="2" t="s">
        <v>950</v>
      </c>
      <c r="Q3665" s="2" t="s">
        <v>99</v>
      </c>
      <c r="R3665" s="2" t="s">
        <v>100</v>
      </c>
      <c r="S3665" s="2" t="s">
        <v>11264</v>
      </c>
      <c r="T3665" s="2" t="s">
        <v>9675</v>
      </c>
      <c r="U3665" s="2" t="s">
        <v>402</v>
      </c>
      <c r="V3665" s="2" t="s">
        <v>3937</v>
      </c>
      <c r="W3665" s="2" t="s">
        <v>202</v>
      </c>
      <c r="X3665" s="2" t="s">
        <v>183</v>
      </c>
      <c r="Y3665" s="2" t="s">
        <v>11244</v>
      </c>
      <c r="Z3665" s="4">
        <v>1657</v>
      </c>
      <c r="AA3665" s="4">
        <f>=ROUNDDOWN(37.6590909090909,0)</f>
      </c>
      <c r="AB3665" s="5">
        <v>44</v>
      </c>
      <c r="AC3665" s="2" t="s">
        <v>768</v>
      </c>
      <c r="AD3665" s="4">
        <v>563</v>
      </c>
      <c r="AE3665" s="4">
        <v>583</v>
      </c>
      <c r="AF3665" s="6">
        <v>74</v>
      </c>
      <c r="AG3665" s="6"/>
      <c r="AH3665" s="7">
        <v>0.7647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100</v>
      </c>
      <c r="AW3665" s="8" t="s">
        <v>100</v>
      </c>
      <c r="AX3665" s="4" t="s">
        <v>100</v>
      </c>
      <c r="AY3665" s="8" t="s">
        <v>100</v>
      </c>
      <c r="AZ3665" s="7" t="s">
        <v>100</v>
      </c>
      <c r="BA3665" s="7" t="s">
        <v>100</v>
      </c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 t="s">
        <v>100</v>
      </c>
      <c r="BJ3665" s="4">
        <v>148</v>
      </c>
      <c r="BK3665" s="8">
        <v>3583.51</v>
      </c>
      <c r="BL3665" s="2" t="s">
        <v>229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207</v>
      </c>
      <c r="BV3665" s="2" t="s">
        <v>97</v>
      </c>
      <c r="BW3665" s="2" t="s">
        <v>100</v>
      </c>
      <c r="BX3665" s="2" t="s">
        <v>100</v>
      </c>
      <c r="BY3665" s="2" t="s">
        <v>113</v>
      </c>
      <c r="BZ3665" s="2" t="s">
        <v>100</v>
      </c>
    </row>
    <row r="3666">
      <c r="A3666" s="2" t="s">
        <v>11266</v>
      </c>
      <c r="B3666" s="2" t="s">
        <v>9668</v>
      </c>
      <c r="C3666" s="2" t="s">
        <v>2331</v>
      </c>
      <c r="D3666" s="2" t="s">
        <v>9669</v>
      </c>
      <c r="E3666" s="2" t="s">
        <v>9670</v>
      </c>
      <c r="F3666" s="2" t="s">
        <v>11120</v>
      </c>
      <c r="G3666" s="2" t="s">
        <v>11120</v>
      </c>
      <c r="H3666" s="2" t="s">
        <v>11120</v>
      </c>
      <c r="I3666" s="2" t="s">
        <v>10016</v>
      </c>
      <c r="J3666" s="2" t="s">
        <v>706</v>
      </c>
      <c r="K3666" s="2" t="s">
        <v>11263</v>
      </c>
      <c r="L3666" s="3">
        <v>24.3</v>
      </c>
      <c r="M3666" s="3">
        <v>25.52</v>
      </c>
      <c r="N3666" s="3">
        <v>54.99</v>
      </c>
      <c r="O3666" s="2" t="s">
        <v>97</v>
      </c>
      <c r="P3666" s="2" t="s">
        <v>950</v>
      </c>
      <c r="Q3666" s="2" t="s">
        <v>99</v>
      </c>
      <c r="R3666" s="2" t="s">
        <v>100</v>
      </c>
      <c r="S3666" s="2" t="s">
        <v>11264</v>
      </c>
      <c r="T3666" s="2" t="s">
        <v>9675</v>
      </c>
      <c r="U3666" s="2" t="s">
        <v>402</v>
      </c>
      <c r="V3666" s="2" t="s">
        <v>3937</v>
      </c>
      <c r="W3666" s="2" t="s">
        <v>202</v>
      </c>
      <c r="X3666" s="2" t="s">
        <v>183</v>
      </c>
      <c r="Y3666" s="2" t="s">
        <v>11244</v>
      </c>
      <c r="Z3666" s="4">
        <v>2559</v>
      </c>
      <c r="AA3666" s="4">
        <f>=ROUNDDOWN(35.0547945205479,0)</f>
      </c>
      <c r="AB3666" s="5">
        <v>73</v>
      </c>
      <c r="AC3666" s="2" t="s">
        <v>768</v>
      </c>
      <c r="AD3666" s="4">
        <v>880</v>
      </c>
      <c r="AE3666" s="4">
        <v>982</v>
      </c>
      <c r="AF3666" s="6">
        <v>74</v>
      </c>
      <c r="AG3666" s="6"/>
      <c r="AH3666" s="7">
        <v>0.7594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100</v>
      </c>
      <c r="AW3666" s="8" t="s">
        <v>100</v>
      </c>
      <c r="AX3666" s="4" t="s">
        <v>100</v>
      </c>
      <c r="AY3666" s="8" t="s">
        <v>100</v>
      </c>
      <c r="AZ3666" s="7" t="s">
        <v>100</v>
      </c>
      <c r="BA3666" s="7" t="s">
        <v>100</v>
      </c>
      <c r="BB3666" s="7"/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 t="s">
        <v>100</v>
      </c>
      <c r="BJ3666" s="4">
        <v>364</v>
      </c>
      <c r="BK3666" s="8">
        <v>10127.74</v>
      </c>
      <c r="BL3666" s="2" t="s">
        <v>5426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207</v>
      </c>
      <c r="BV3666" s="2" t="s">
        <v>97</v>
      </c>
      <c r="BW3666" s="2" t="s">
        <v>100</v>
      </c>
      <c r="BX3666" s="2" t="s">
        <v>100</v>
      </c>
      <c r="BY3666" s="2" t="s">
        <v>113</v>
      </c>
      <c r="BZ3666" s="2" t="s">
        <v>100</v>
      </c>
    </row>
    <row r="3667">
      <c r="A3667" s="2" t="s">
        <v>11267</v>
      </c>
      <c r="B3667" s="2" t="s">
        <v>9668</v>
      </c>
      <c r="C3667" s="2" t="s">
        <v>2331</v>
      </c>
      <c r="D3667" s="2" t="s">
        <v>9669</v>
      </c>
      <c r="E3667" s="2" t="s">
        <v>9670</v>
      </c>
      <c r="F3667" s="2" t="s">
        <v>11120</v>
      </c>
      <c r="G3667" s="2" t="s">
        <v>11120</v>
      </c>
      <c r="H3667" s="2" t="s">
        <v>11120</v>
      </c>
      <c r="I3667" s="2" t="s">
        <v>10016</v>
      </c>
      <c r="J3667" s="2" t="s">
        <v>714</v>
      </c>
      <c r="K3667" s="2" t="s">
        <v>11263</v>
      </c>
      <c r="L3667" s="3">
        <v>28.98</v>
      </c>
      <c r="M3667" s="3">
        <v>30.43</v>
      </c>
      <c r="N3667" s="3">
        <v>64.99</v>
      </c>
      <c r="O3667" s="2" t="s">
        <v>97</v>
      </c>
      <c r="P3667" s="2" t="s">
        <v>950</v>
      </c>
      <c r="Q3667" s="2" t="s">
        <v>99</v>
      </c>
      <c r="R3667" s="2" t="s">
        <v>100</v>
      </c>
      <c r="S3667" s="2" t="s">
        <v>11264</v>
      </c>
      <c r="T3667" s="2" t="s">
        <v>9675</v>
      </c>
      <c r="U3667" s="2" t="s">
        <v>402</v>
      </c>
      <c r="V3667" s="2" t="s">
        <v>3937</v>
      </c>
      <c r="W3667" s="2" t="s">
        <v>202</v>
      </c>
      <c r="X3667" s="2" t="s">
        <v>183</v>
      </c>
      <c r="Y3667" s="2" t="s">
        <v>11244</v>
      </c>
      <c r="Z3667" s="4">
        <v>1014</v>
      </c>
      <c r="AA3667" s="4">
        <f>=ROUNDDOWN(31.6875,0)</f>
      </c>
      <c r="AB3667" s="5">
        <v>32</v>
      </c>
      <c r="AC3667" s="2" t="s">
        <v>768</v>
      </c>
      <c r="AD3667" s="4">
        <v>397</v>
      </c>
      <c r="AE3667" s="4">
        <v>397</v>
      </c>
      <c r="AF3667" s="6">
        <v>74</v>
      </c>
      <c r="AG3667" s="6"/>
      <c r="AH3667" s="7">
        <v>0.7594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100</v>
      </c>
      <c r="AW3667" s="8" t="s">
        <v>100</v>
      </c>
      <c r="AX3667" s="4" t="s">
        <v>100</v>
      </c>
      <c r="AY3667" s="8" t="s">
        <v>100</v>
      </c>
      <c r="AZ3667" s="7" t="s">
        <v>100</v>
      </c>
      <c r="BA3667" s="7" t="s">
        <v>100</v>
      </c>
      <c r="BB3667" s="7"/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 t="s">
        <v>100</v>
      </c>
      <c r="BJ3667" s="4">
        <v>192</v>
      </c>
      <c r="BK3667" s="8">
        <v>6445.81</v>
      </c>
      <c r="BL3667" s="2" t="s">
        <v>10397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207</v>
      </c>
      <c r="BV3667" s="2" t="s">
        <v>97</v>
      </c>
      <c r="BW3667" s="2" t="s">
        <v>100</v>
      </c>
      <c r="BX3667" s="2" t="s">
        <v>100</v>
      </c>
      <c r="BY3667" s="2" t="s">
        <v>113</v>
      </c>
      <c r="BZ3667" s="2" t="s">
        <v>100</v>
      </c>
    </row>
    <row r="3668">
      <c r="A3668" s="2" t="s">
        <v>11268</v>
      </c>
      <c r="B3668" s="2" t="s">
        <v>9668</v>
      </c>
      <c r="C3668" s="2" t="s">
        <v>2331</v>
      </c>
      <c r="D3668" s="2" t="s">
        <v>9669</v>
      </c>
      <c r="E3668" s="2" t="s">
        <v>9670</v>
      </c>
      <c r="F3668" s="2" t="s">
        <v>11120</v>
      </c>
      <c r="G3668" s="2" t="s">
        <v>11120</v>
      </c>
      <c r="H3668" s="2" t="s">
        <v>11120</v>
      </c>
      <c r="I3668" s="2" t="s">
        <v>10016</v>
      </c>
      <c r="J3668" s="2" t="s">
        <v>817</v>
      </c>
      <c r="K3668" s="2" t="s">
        <v>11263</v>
      </c>
      <c r="L3668" s="3">
        <v>28.98</v>
      </c>
      <c r="M3668" s="3">
        <v>30.43</v>
      </c>
      <c r="N3668" s="3">
        <v>64.99</v>
      </c>
      <c r="O3668" s="2" t="s">
        <v>97</v>
      </c>
      <c r="P3668" s="2" t="s">
        <v>119</v>
      </c>
      <c r="Q3668" s="2" t="s">
        <v>99</v>
      </c>
      <c r="R3668" s="2" t="s">
        <v>100</v>
      </c>
      <c r="S3668" s="2" t="s">
        <v>11264</v>
      </c>
      <c r="T3668" s="2" t="s">
        <v>9675</v>
      </c>
      <c r="U3668" s="2" t="s">
        <v>402</v>
      </c>
      <c r="V3668" s="2" t="s">
        <v>3937</v>
      </c>
      <c r="W3668" s="2" t="s">
        <v>202</v>
      </c>
      <c r="X3668" s="2" t="s">
        <v>183</v>
      </c>
      <c r="Y3668" s="2" t="s">
        <v>11244</v>
      </c>
      <c r="Z3668" s="4">
        <v>367</v>
      </c>
      <c r="AA3668" s="4">
        <f>=ROUNDDOWN(28.2307692307692,0)</f>
      </c>
      <c r="AB3668" s="5">
        <v>13</v>
      </c>
      <c r="AC3668" s="2" t="s">
        <v>768</v>
      </c>
      <c r="AD3668" s="4">
        <v>153</v>
      </c>
      <c r="AE3668" s="4">
        <v>153</v>
      </c>
      <c r="AF3668" s="6">
        <v>74</v>
      </c>
      <c r="AG3668" s="6"/>
      <c r="AH3668" s="7">
        <v>0.7647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100</v>
      </c>
      <c r="AW3668" s="8" t="s">
        <v>100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/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 t="s">
        <v>100</v>
      </c>
      <c r="BJ3668" s="4">
        <v>78</v>
      </c>
      <c r="BK3668" s="8">
        <v>2624.21</v>
      </c>
      <c r="BL3668" s="2" t="s">
        <v>11269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207</v>
      </c>
      <c r="BV3668" s="2" t="s">
        <v>97</v>
      </c>
      <c r="BW3668" s="2" t="s">
        <v>100</v>
      </c>
      <c r="BX3668" s="2" t="s">
        <v>100</v>
      </c>
      <c r="BY3668" s="2" t="s">
        <v>113</v>
      </c>
      <c r="BZ3668" s="2" t="s">
        <v>100</v>
      </c>
    </row>
    <row r="3669">
      <c r="A3669" s="2" t="s">
        <v>11270</v>
      </c>
      <c r="B3669" s="2" t="s">
        <v>9668</v>
      </c>
      <c r="C3669" s="2" t="s">
        <v>2331</v>
      </c>
      <c r="D3669" s="2" t="s">
        <v>9669</v>
      </c>
      <c r="E3669" s="2" t="s">
        <v>9670</v>
      </c>
      <c r="F3669" s="2" t="s">
        <v>11120</v>
      </c>
      <c r="G3669" s="2" t="s">
        <v>11120</v>
      </c>
      <c r="H3669" s="2" t="s">
        <v>11120</v>
      </c>
      <c r="I3669" s="2" t="s">
        <v>10016</v>
      </c>
      <c r="J3669" s="2" t="s">
        <v>1936</v>
      </c>
      <c r="K3669" s="2" t="s">
        <v>11271</v>
      </c>
      <c r="L3669" s="3">
        <v>19.8</v>
      </c>
      <c r="M3669" s="3">
        <v>20.79</v>
      </c>
      <c r="N3669" s="3">
        <v>44.99</v>
      </c>
      <c r="O3669" s="2" t="s">
        <v>97</v>
      </c>
      <c r="P3669" s="2" t="s">
        <v>225</v>
      </c>
      <c r="Q3669" s="2" t="s">
        <v>99</v>
      </c>
      <c r="R3669" s="2" t="s">
        <v>100</v>
      </c>
      <c r="S3669" s="2" t="s">
        <v>11272</v>
      </c>
      <c r="T3669" s="2" t="s">
        <v>9675</v>
      </c>
      <c r="U3669" s="2" t="s">
        <v>480</v>
      </c>
      <c r="V3669" s="2" t="s">
        <v>3937</v>
      </c>
      <c r="W3669" s="2" t="s">
        <v>202</v>
      </c>
      <c r="X3669" s="2" t="s">
        <v>183</v>
      </c>
      <c r="Y3669" s="2" t="s">
        <v>3643</v>
      </c>
      <c r="Z3669" s="4">
        <v>311</v>
      </c>
      <c r="AA3669" s="4">
        <f>=ROUNDDOWN(16.3684210526316,0)</f>
      </c>
      <c r="AB3669" s="5">
        <v>19</v>
      </c>
      <c r="AC3669" s="2" t="s">
        <v>2746</v>
      </c>
      <c r="AD3669" s="4">
        <v>203</v>
      </c>
      <c r="AE3669" s="4">
        <v>203</v>
      </c>
      <c r="AF3669" s="6">
        <v>69</v>
      </c>
      <c r="AG3669" s="6"/>
      <c r="AH3669" s="7">
        <v>0.25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100</v>
      </c>
      <c r="AW3669" s="8" t="s">
        <v>100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 t="s">
        <v>100</v>
      </c>
      <c r="BJ3669" s="4">
        <v>9</v>
      </c>
      <c r="BK3669" s="8">
        <v>220.13</v>
      </c>
      <c r="BL3669" s="2" t="s">
        <v>6929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207</v>
      </c>
      <c r="BV3669" s="2" t="s">
        <v>97</v>
      </c>
      <c r="BW3669" s="2" t="s">
        <v>100</v>
      </c>
      <c r="BX3669" s="2" t="s">
        <v>100</v>
      </c>
      <c r="BY3669" s="2" t="s">
        <v>113</v>
      </c>
      <c r="BZ3669" s="2" t="s">
        <v>100</v>
      </c>
    </row>
    <row r="3670">
      <c r="A3670" s="2" t="s">
        <v>11273</v>
      </c>
      <c r="B3670" s="2" t="s">
        <v>9668</v>
      </c>
      <c r="C3670" s="2" t="s">
        <v>2331</v>
      </c>
      <c r="D3670" s="2" t="s">
        <v>9669</v>
      </c>
      <c r="E3670" s="2" t="s">
        <v>9670</v>
      </c>
      <c r="F3670" s="2" t="s">
        <v>11120</v>
      </c>
      <c r="G3670" s="2" t="s">
        <v>11120</v>
      </c>
      <c r="H3670" s="2" t="s">
        <v>11120</v>
      </c>
      <c r="I3670" s="2" t="s">
        <v>10016</v>
      </c>
      <c r="J3670" s="2" t="s">
        <v>717</v>
      </c>
      <c r="K3670" s="2" t="s">
        <v>11271</v>
      </c>
      <c r="L3670" s="3">
        <v>21.78</v>
      </c>
      <c r="M3670" s="3">
        <v>22.87</v>
      </c>
      <c r="N3670" s="3">
        <v>49.99</v>
      </c>
      <c r="O3670" s="2" t="s">
        <v>97</v>
      </c>
      <c r="P3670" s="2" t="s">
        <v>225</v>
      </c>
      <c r="Q3670" s="2" t="s">
        <v>99</v>
      </c>
      <c r="R3670" s="2" t="s">
        <v>100</v>
      </c>
      <c r="S3670" s="2" t="s">
        <v>11272</v>
      </c>
      <c r="T3670" s="2" t="s">
        <v>9675</v>
      </c>
      <c r="U3670" s="2" t="s">
        <v>402</v>
      </c>
      <c r="V3670" s="2" t="s">
        <v>3937</v>
      </c>
      <c r="W3670" s="2" t="s">
        <v>202</v>
      </c>
      <c r="X3670" s="2" t="s">
        <v>183</v>
      </c>
      <c r="Y3670" s="2" t="s">
        <v>3643</v>
      </c>
      <c r="Z3670" s="4">
        <v>1537</v>
      </c>
      <c r="AA3670" s="4">
        <f>=ROUNDDOWN(37.4878048780488,0)</f>
      </c>
      <c r="AB3670" s="5">
        <v>41</v>
      </c>
      <c r="AC3670" s="2" t="s">
        <v>2746</v>
      </c>
      <c r="AD3670" s="4">
        <v>399</v>
      </c>
      <c r="AE3670" s="4">
        <v>399</v>
      </c>
      <c r="AF3670" s="6">
        <v>69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 t="s">
        <v>100</v>
      </c>
      <c r="BJ3670" s="4">
        <v>105</v>
      </c>
      <c r="BK3670" s="8">
        <v>2638.49</v>
      </c>
      <c r="BL3670" s="2" t="s">
        <v>3780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207</v>
      </c>
      <c r="BV3670" s="2" t="s">
        <v>97</v>
      </c>
      <c r="BW3670" s="2" t="s">
        <v>100</v>
      </c>
      <c r="BX3670" s="2" t="s">
        <v>100</v>
      </c>
      <c r="BY3670" s="2" t="s">
        <v>113</v>
      </c>
      <c r="BZ3670" s="2" t="s">
        <v>100</v>
      </c>
    </row>
    <row r="3671">
      <c r="A3671" s="2" t="s">
        <v>11274</v>
      </c>
      <c r="B3671" s="2" t="s">
        <v>9668</v>
      </c>
      <c r="C3671" s="2" t="s">
        <v>2331</v>
      </c>
      <c r="D3671" s="2" t="s">
        <v>9669</v>
      </c>
      <c r="E3671" s="2" t="s">
        <v>9670</v>
      </c>
      <c r="F3671" s="2" t="s">
        <v>11120</v>
      </c>
      <c r="G3671" s="2" t="s">
        <v>11120</v>
      </c>
      <c r="H3671" s="2" t="s">
        <v>11120</v>
      </c>
      <c r="I3671" s="2" t="s">
        <v>10016</v>
      </c>
      <c r="J3671" s="2" t="s">
        <v>706</v>
      </c>
      <c r="K3671" s="2" t="s">
        <v>11271</v>
      </c>
      <c r="L3671" s="3">
        <v>24.3</v>
      </c>
      <c r="M3671" s="3">
        <v>25.52</v>
      </c>
      <c r="N3671" s="3">
        <v>54.99</v>
      </c>
      <c r="O3671" s="2" t="s">
        <v>97</v>
      </c>
      <c r="P3671" s="2" t="s">
        <v>225</v>
      </c>
      <c r="Q3671" s="2" t="s">
        <v>99</v>
      </c>
      <c r="R3671" s="2" t="s">
        <v>100</v>
      </c>
      <c r="S3671" s="2" t="s">
        <v>11272</v>
      </c>
      <c r="T3671" s="2" t="s">
        <v>9675</v>
      </c>
      <c r="U3671" s="2" t="s">
        <v>402</v>
      </c>
      <c r="V3671" s="2" t="s">
        <v>3937</v>
      </c>
      <c r="W3671" s="2" t="s">
        <v>202</v>
      </c>
      <c r="X3671" s="2" t="s">
        <v>183</v>
      </c>
      <c r="Y3671" s="2" t="s">
        <v>3643</v>
      </c>
      <c r="Z3671" s="4">
        <v>2609</v>
      </c>
      <c r="AA3671" s="4">
        <f>=ROUNDDOWN(40.1384615384615,0)</f>
      </c>
      <c r="AB3671" s="5">
        <v>65</v>
      </c>
      <c r="AC3671" s="2" t="s">
        <v>2746</v>
      </c>
      <c r="AD3671" s="4">
        <v>637</v>
      </c>
      <c r="AE3671" s="4">
        <v>637</v>
      </c>
      <c r="AF3671" s="6">
        <v>69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100</v>
      </c>
      <c r="AW3671" s="8" t="s">
        <v>100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 t="s">
        <v>100</v>
      </c>
      <c r="BJ3671" s="4">
        <v>110</v>
      </c>
      <c r="BK3671" s="8">
        <v>3095.26</v>
      </c>
      <c r="BL3671" s="2" t="s">
        <v>11275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207</v>
      </c>
      <c r="BV3671" s="2" t="s">
        <v>97</v>
      </c>
      <c r="BW3671" s="2" t="s">
        <v>100</v>
      </c>
      <c r="BX3671" s="2" t="s">
        <v>100</v>
      </c>
      <c r="BY3671" s="2" t="s">
        <v>113</v>
      </c>
      <c r="BZ3671" s="2" t="s">
        <v>100</v>
      </c>
    </row>
    <row r="3672">
      <c r="A3672" s="2" t="s">
        <v>11276</v>
      </c>
      <c r="B3672" s="2" t="s">
        <v>9668</v>
      </c>
      <c r="C3672" s="2" t="s">
        <v>2331</v>
      </c>
      <c r="D3672" s="2" t="s">
        <v>9669</v>
      </c>
      <c r="E3672" s="2" t="s">
        <v>9670</v>
      </c>
      <c r="F3672" s="2" t="s">
        <v>11120</v>
      </c>
      <c r="G3672" s="2" t="s">
        <v>11120</v>
      </c>
      <c r="H3672" s="2" t="s">
        <v>11120</v>
      </c>
      <c r="I3672" s="2" t="s">
        <v>10016</v>
      </c>
      <c r="J3672" s="2" t="s">
        <v>714</v>
      </c>
      <c r="K3672" s="2" t="s">
        <v>11271</v>
      </c>
      <c r="L3672" s="3">
        <v>28.98</v>
      </c>
      <c r="M3672" s="3">
        <v>30.43</v>
      </c>
      <c r="N3672" s="3">
        <v>64.99</v>
      </c>
      <c r="O3672" s="2" t="s">
        <v>97</v>
      </c>
      <c r="P3672" s="2" t="s">
        <v>225</v>
      </c>
      <c r="Q3672" s="2" t="s">
        <v>99</v>
      </c>
      <c r="R3672" s="2" t="s">
        <v>100</v>
      </c>
      <c r="S3672" s="2" t="s">
        <v>11272</v>
      </c>
      <c r="T3672" s="2" t="s">
        <v>9675</v>
      </c>
      <c r="U3672" s="2" t="s">
        <v>402</v>
      </c>
      <c r="V3672" s="2" t="s">
        <v>3937</v>
      </c>
      <c r="W3672" s="2" t="s">
        <v>202</v>
      </c>
      <c r="X3672" s="2" t="s">
        <v>183</v>
      </c>
      <c r="Y3672" s="2" t="s">
        <v>3643</v>
      </c>
      <c r="Z3672" s="4">
        <v>1113</v>
      </c>
      <c r="AA3672" s="4">
        <f>=ROUNDDOWN(41.2222222222222,0)</f>
      </c>
      <c r="AB3672" s="5">
        <v>27</v>
      </c>
      <c r="AC3672" s="2" t="s">
        <v>2746</v>
      </c>
      <c r="AD3672" s="4">
        <v>261</v>
      </c>
      <c r="AE3672" s="4">
        <v>261</v>
      </c>
      <c r="AF3672" s="6">
        <v>69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 t="s">
        <v>100</v>
      </c>
      <c r="BJ3672" s="4">
        <v>27</v>
      </c>
      <c r="BK3672" s="8">
        <v>887.04</v>
      </c>
      <c r="BL3672" s="2" t="s">
        <v>6094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207</v>
      </c>
      <c r="BV3672" s="2" t="s">
        <v>97</v>
      </c>
      <c r="BW3672" s="2" t="s">
        <v>100</v>
      </c>
      <c r="BX3672" s="2" t="s">
        <v>100</v>
      </c>
      <c r="BY3672" s="2" t="s">
        <v>113</v>
      </c>
      <c r="BZ3672" s="2" t="s">
        <v>100</v>
      </c>
    </row>
    <row r="3673">
      <c r="A3673" s="2" t="s">
        <v>11277</v>
      </c>
      <c r="B3673" s="2" t="s">
        <v>9668</v>
      </c>
      <c r="C3673" s="2" t="s">
        <v>2331</v>
      </c>
      <c r="D3673" s="2" t="s">
        <v>9669</v>
      </c>
      <c r="E3673" s="2" t="s">
        <v>9670</v>
      </c>
      <c r="F3673" s="2" t="s">
        <v>11120</v>
      </c>
      <c r="G3673" s="2" t="s">
        <v>11120</v>
      </c>
      <c r="H3673" s="2" t="s">
        <v>11120</v>
      </c>
      <c r="I3673" s="2" t="s">
        <v>10016</v>
      </c>
      <c r="J3673" s="2" t="s">
        <v>817</v>
      </c>
      <c r="K3673" s="2" t="s">
        <v>11271</v>
      </c>
      <c r="L3673" s="3">
        <v>28.98</v>
      </c>
      <c r="M3673" s="3">
        <v>30.43</v>
      </c>
      <c r="N3673" s="3">
        <v>64.99</v>
      </c>
      <c r="O3673" s="2" t="s">
        <v>97</v>
      </c>
      <c r="P3673" s="2" t="s">
        <v>225</v>
      </c>
      <c r="Q3673" s="2" t="s">
        <v>99</v>
      </c>
      <c r="R3673" s="2" t="s">
        <v>100</v>
      </c>
      <c r="S3673" s="2" t="s">
        <v>11272</v>
      </c>
      <c r="T3673" s="2" t="s">
        <v>9675</v>
      </c>
      <c r="U3673" s="2" t="s">
        <v>402</v>
      </c>
      <c r="V3673" s="2" t="s">
        <v>3937</v>
      </c>
      <c r="W3673" s="2" t="s">
        <v>202</v>
      </c>
      <c r="X3673" s="2" t="s">
        <v>183</v>
      </c>
      <c r="Y3673" s="2" t="s">
        <v>3643</v>
      </c>
      <c r="Z3673" s="4">
        <v>477</v>
      </c>
      <c r="AA3673" s="4">
        <f>=ROUNDDOWN(39.75,0)</f>
      </c>
      <c r="AB3673" s="5">
        <v>12</v>
      </c>
      <c r="AC3673" s="2" t="s">
        <v>2746</v>
      </c>
      <c r="AD3673" s="4">
        <v>128</v>
      </c>
      <c r="AE3673" s="4">
        <v>128</v>
      </c>
      <c r="AF3673" s="6">
        <v>69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100</v>
      </c>
      <c r="AW3673" s="8" t="s">
        <v>100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 t="s">
        <v>100</v>
      </c>
      <c r="BJ3673" s="4">
        <v>25</v>
      </c>
      <c r="BK3673" s="8">
        <v>850.23</v>
      </c>
      <c r="BL3673" s="2" t="s">
        <v>11278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207</v>
      </c>
      <c r="BV3673" s="2" t="s">
        <v>97</v>
      </c>
      <c r="BW3673" s="2" t="s">
        <v>100</v>
      </c>
      <c r="BX3673" s="2" t="s">
        <v>100</v>
      </c>
      <c r="BY3673" s="2" t="s">
        <v>113</v>
      </c>
      <c r="BZ3673" s="2" t="s">
        <v>100</v>
      </c>
    </row>
    <row r="3674">
      <c r="A3674" s="2" t="s">
        <v>11279</v>
      </c>
      <c r="B3674" s="2" t="s">
        <v>9668</v>
      </c>
      <c r="C3674" s="2" t="s">
        <v>2331</v>
      </c>
      <c r="D3674" s="2" t="s">
        <v>9669</v>
      </c>
      <c r="E3674" s="2" t="s">
        <v>9670</v>
      </c>
      <c r="F3674" s="2" t="s">
        <v>11120</v>
      </c>
      <c r="G3674" s="2" t="s">
        <v>11120</v>
      </c>
      <c r="H3674" s="2" t="s">
        <v>11120</v>
      </c>
      <c r="I3674" s="2" t="s">
        <v>10016</v>
      </c>
      <c r="J3674" s="2" t="s">
        <v>1936</v>
      </c>
      <c r="K3674" s="2" t="s">
        <v>11280</v>
      </c>
      <c r="L3674" s="3">
        <v>19.8</v>
      </c>
      <c r="M3674" s="3">
        <v>20.79</v>
      </c>
      <c r="N3674" s="3">
        <v>44.99</v>
      </c>
      <c r="O3674" s="2" t="s">
        <v>97</v>
      </c>
      <c r="P3674" s="2" t="s">
        <v>225</v>
      </c>
      <c r="Q3674" s="2" t="s">
        <v>99</v>
      </c>
      <c r="R3674" s="2" t="s">
        <v>100</v>
      </c>
      <c r="S3674" s="2" t="s">
        <v>11281</v>
      </c>
      <c r="T3674" s="2" t="s">
        <v>9675</v>
      </c>
      <c r="U3674" s="2" t="s">
        <v>480</v>
      </c>
      <c r="V3674" s="2" t="s">
        <v>3937</v>
      </c>
      <c r="W3674" s="2" t="s">
        <v>202</v>
      </c>
      <c r="X3674" s="2" t="s">
        <v>183</v>
      </c>
      <c r="Y3674" s="2" t="s">
        <v>3643</v>
      </c>
      <c r="Z3674" s="4">
        <v>874</v>
      </c>
      <c r="AA3674" s="4">
        <f>=ROUNDDOWN(33.6153846153846,0)</f>
      </c>
      <c r="AB3674" s="5">
        <v>26</v>
      </c>
      <c r="AC3674" s="2" t="s">
        <v>2746</v>
      </c>
      <c r="AD3674" s="4">
        <v>268</v>
      </c>
      <c r="AE3674" s="4">
        <v>268</v>
      </c>
      <c r="AF3674" s="6">
        <v>69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 t="s">
        <v>100</v>
      </c>
      <c r="BJ3674" s="4">
        <v>72</v>
      </c>
      <c r="BK3674" s="8">
        <v>1609.01</v>
      </c>
      <c r="BL3674" s="2" t="s">
        <v>11282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207</v>
      </c>
      <c r="BV3674" s="2" t="s">
        <v>97</v>
      </c>
      <c r="BW3674" s="2" t="s">
        <v>100</v>
      </c>
      <c r="BX3674" s="2" t="s">
        <v>100</v>
      </c>
      <c r="BY3674" s="2" t="s">
        <v>113</v>
      </c>
      <c r="BZ3674" s="2" t="s">
        <v>100</v>
      </c>
    </row>
    <row r="3675">
      <c r="A3675" s="2" t="s">
        <v>11283</v>
      </c>
      <c r="B3675" s="2" t="s">
        <v>9668</v>
      </c>
      <c r="C3675" s="2" t="s">
        <v>2331</v>
      </c>
      <c r="D3675" s="2" t="s">
        <v>9669</v>
      </c>
      <c r="E3675" s="2" t="s">
        <v>9670</v>
      </c>
      <c r="F3675" s="2" t="s">
        <v>11120</v>
      </c>
      <c r="G3675" s="2" t="s">
        <v>11120</v>
      </c>
      <c r="H3675" s="2" t="s">
        <v>11120</v>
      </c>
      <c r="I3675" s="2" t="s">
        <v>10016</v>
      </c>
      <c r="J3675" s="2" t="s">
        <v>717</v>
      </c>
      <c r="K3675" s="2" t="s">
        <v>11280</v>
      </c>
      <c r="L3675" s="3">
        <v>21.78</v>
      </c>
      <c r="M3675" s="3">
        <v>22.87</v>
      </c>
      <c r="N3675" s="3">
        <v>49.99</v>
      </c>
      <c r="O3675" s="2" t="s">
        <v>97</v>
      </c>
      <c r="P3675" s="2" t="s">
        <v>225</v>
      </c>
      <c r="Q3675" s="2" t="s">
        <v>99</v>
      </c>
      <c r="R3675" s="2" t="s">
        <v>100</v>
      </c>
      <c r="S3675" s="2" t="s">
        <v>11281</v>
      </c>
      <c r="T3675" s="2" t="s">
        <v>9675</v>
      </c>
      <c r="U3675" s="2" t="s">
        <v>402</v>
      </c>
      <c r="V3675" s="2" t="s">
        <v>3937</v>
      </c>
      <c r="W3675" s="2" t="s">
        <v>202</v>
      </c>
      <c r="X3675" s="2" t="s">
        <v>183</v>
      </c>
      <c r="Y3675" s="2" t="s">
        <v>3643</v>
      </c>
      <c r="Z3675" s="4">
        <v>547</v>
      </c>
      <c r="AA3675" s="4">
        <f>=ROUNDDOWN(13.675,0)</f>
      </c>
      <c r="AB3675" s="5">
        <v>40</v>
      </c>
      <c r="AC3675" s="2" t="s">
        <v>2746</v>
      </c>
      <c r="AD3675" s="4">
        <v>428</v>
      </c>
      <c r="AE3675" s="4">
        <v>428</v>
      </c>
      <c r="AF3675" s="6">
        <v>69</v>
      </c>
      <c r="AG3675" s="6"/>
      <c r="AH3675" s="7">
        <v>0.2708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100</v>
      </c>
      <c r="AW3675" s="8" t="s">
        <v>100</v>
      </c>
      <c r="AX3675" s="4" t="s">
        <v>100</v>
      </c>
      <c r="AY3675" s="8" t="s">
        <v>100</v>
      </c>
      <c r="AZ3675" s="7" t="s">
        <v>100</v>
      </c>
      <c r="BA3675" s="7" t="s">
        <v>100</v>
      </c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 t="s">
        <v>100</v>
      </c>
      <c r="BJ3675" s="4">
        <v>8</v>
      </c>
      <c r="BK3675" s="8">
        <v>214.06</v>
      </c>
      <c r="BL3675" s="2" t="s">
        <v>11284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207</v>
      </c>
      <c r="BV3675" s="2" t="s">
        <v>97</v>
      </c>
      <c r="BW3675" s="2" t="s">
        <v>100</v>
      </c>
      <c r="BX3675" s="2" t="s">
        <v>100</v>
      </c>
      <c r="BY3675" s="2" t="s">
        <v>113</v>
      </c>
      <c r="BZ3675" s="2" t="s">
        <v>100</v>
      </c>
    </row>
    <row r="3676">
      <c r="A3676" s="2" t="s">
        <v>11285</v>
      </c>
      <c r="B3676" s="2" t="s">
        <v>9668</v>
      </c>
      <c r="C3676" s="2" t="s">
        <v>2331</v>
      </c>
      <c r="D3676" s="2" t="s">
        <v>9669</v>
      </c>
      <c r="E3676" s="2" t="s">
        <v>9670</v>
      </c>
      <c r="F3676" s="2" t="s">
        <v>11120</v>
      </c>
      <c r="G3676" s="2" t="s">
        <v>11120</v>
      </c>
      <c r="H3676" s="2" t="s">
        <v>11120</v>
      </c>
      <c r="I3676" s="2" t="s">
        <v>10016</v>
      </c>
      <c r="J3676" s="2" t="s">
        <v>706</v>
      </c>
      <c r="K3676" s="2" t="s">
        <v>11280</v>
      </c>
      <c r="L3676" s="3">
        <v>24.3</v>
      </c>
      <c r="M3676" s="3">
        <v>25.52</v>
      </c>
      <c r="N3676" s="3">
        <v>54.99</v>
      </c>
      <c r="O3676" s="2" t="s">
        <v>97</v>
      </c>
      <c r="P3676" s="2" t="s">
        <v>225</v>
      </c>
      <c r="Q3676" s="2" t="s">
        <v>99</v>
      </c>
      <c r="R3676" s="2" t="s">
        <v>100</v>
      </c>
      <c r="S3676" s="2" t="s">
        <v>11281</v>
      </c>
      <c r="T3676" s="2" t="s">
        <v>9675</v>
      </c>
      <c r="U3676" s="2" t="s">
        <v>402</v>
      </c>
      <c r="V3676" s="2" t="s">
        <v>3937</v>
      </c>
      <c r="W3676" s="2" t="s">
        <v>202</v>
      </c>
      <c r="X3676" s="2" t="s">
        <v>183</v>
      </c>
      <c r="Y3676" s="2" t="s">
        <v>3643</v>
      </c>
      <c r="Z3676" s="4">
        <v>848</v>
      </c>
      <c r="AA3676" s="4">
        <f>=ROUNDDOWN(13.0461538461538,0)</f>
      </c>
      <c r="AB3676" s="5">
        <v>65</v>
      </c>
      <c r="AC3676" s="2" t="s">
        <v>2746</v>
      </c>
      <c r="AD3676" s="4">
        <v>628</v>
      </c>
      <c r="AE3676" s="4">
        <v>628</v>
      </c>
      <c r="AF3676" s="6">
        <v>69</v>
      </c>
      <c r="AG3676" s="6"/>
      <c r="AH3676" s="7">
        <v>0.2708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100</v>
      </c>
      <c r="AW3676" s="8" t="s">
        <v>100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 t="s">
        <v>100</v>
      </c>
      <c r="BJ3676" s="4">
        <v>21</v>
      </c>
      <c r="BK3676" s="8">
        <v>622.54</v>
      </c>
      <c r="BL3676" s="2" t="s">
        <v>10206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207</v>
      </c>
      <c r="BV3676" s="2" t="s">
        <v>97</v>
      </c>
      <c r="BW3676" s="2" t="s">
        <v>100</v>
      </c>
      <c r="BX3676" s="2" t="s">
        <v>100</v>
      </c>
      <c r="BY3676" s="2" t="s">
        <v>113</v>
      </c>
      <c r="BZ3676" s="2" t="s">
        <v>100</v>
      </c>
    </row>
    <row r="3677">
      <c r="A3677" s="2" t="s">
        <v>11286</v>
      </c>
      <c r="B3677" s="2" t="s">
        <v>9668</v>
      </c>
      <c r="C3677" s="2" t="s">
        <v>2331</v>
      </c>
      <c r="D3677" s="2" t="s">
        <v>9669</v>
      </c>
      <c r="E3677" s="2" t="s">
        <v>9670</v>
      </c>
      <c r="F3677" s="2" t="s">
        <v>11120</v>
      </c>
      <c r="G3677" s="2" t="s">
        <v>11120</v>
      </c>
      <c r="H3677" s="2" t="s">
        <v>11120</v>
      </c>
      <c r="I3677" s="2" t="s">
        <v>10016</v>
      </c>
      <c r="J3677" s="2" t="s">
        <v>714</v>
      </c>
      <c r="K3677" s="2" t="s">
        <v>11280</v>
      </c>
      <c r="L3677" s="3">
        <v>28.98</v>
      </c>
      <c r="M3677" s="3">
        <v>30.43</v>
      </c>
      <c r="N3677" s="3">
        <v>64.99</v>
      </c>
      <c r="O3677" s="2" t="s">
        <v>97</v>
      </c>
      <c r="P3677" s="2" t="s">
        <v>225</v>
      </c>
      <c r="Q3677" s="2" t="s">
        <v>99</v>
      </c>
      <c r="R3677" s="2" t="s">
        <v>100</v>
      </c>
      <c r="S3677" s="2" t="s">
        <v>11281</v>
      </c>
      <c r="T3677" s="2" t="s">
        <v>9675</v>
      </c>
      <c r="U3677" s="2" t="s">
        <v>402</v>
      </c>
      <c r="V3677" s="2" t="s">
        <v>3937</v>
      </c>
      <c r="W3677" s="2" t="s">
        <v>202</v>
      </c>
      <c r="X3677" s="2" t="s">
        <v>183</v>
      </c>
      <c r="Y3677" s="2" t="s">
        <v>3643</v>
      </c>
      <c r="Z3677" s="4">
        <v>364</v>
      </c>
      <c r="AA3677" s="4">
        <f>=ROUNDDOWN(13.4814814814815,0)</f>
      </c>
      <c r="AB3677" s="5">
        <v>27</v>
      </c>
      <c r="AC3677" s="2" t="s">
        <v>2746</v>
      </c>
      <c r="AD3677" s="4">
        <v>267</v>
      </c>
      <c r="AE3677" s="4">
        <v>267</v>
      </c>
      <c r="AF3677" s="6">
        <v>69</v>
      </c>
      <c r="AG3677" s="6"/>
      <c r="AH3677" s="7">
        <v>0.2708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100</v>
      </c>
      <c r="AW3677" s="8" t="s">
        <v>100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/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 t="s">
        <v>100</v>
      </c>
      <c r="BJ3677" s="4">
        <v>14</v>
      </c>
      <c r="BK3677" s="8">
        <v>491.1</v>
      </c>
      <c r="BL3677" s="2" t="s">
        <v>11287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207</v>
      </c>
      <c r="BV3677" s="2" t="s">
        <v>97</v>
      </c>
      <c r="BW3677" s="2" t="s">
        <v>100</v>
      </c>
      <c r="BX3677" s="2" t="s">
        <v>100</v>
      </c>
      <c r="BY3677" s="2" t="s">
        <v>113</v>
      </c>
      <c r="BZ3677" s="2" t="s">
        <v>100</v>
      </c>
    </row>
    <row r="3678">
      <c r="A3678" s="2" t="s">
        <v>11288</v>
      </c>
      <c r="B3678" s="2" t="s">
        <v>9668</v>
      </c>
      <c r="C3678" s="2" t="s">
        <v>2331</v>
      </c>
      <c r="D3678" s="2" t="s">
        <v>9669</v>
      </c>
      <c r="E3678" s="2" t="s">
        <v>9670</v>
      </c>
      <c r="F3678" s="2" t="s">
        <v>11120</v>
      </c>
      <c r="G3678" s="2" t="s">
        <v>11120</v>
      </c>
      <c r="H3678" s="2" t="s">
        <v>11120</v>
      </c>
      <c r="I3678" s="2" t="s">
        <v>10016</v>
      </c>
      <c r="J3678" s="2" t="s">
        <v>817</v>
      </c>
      <c r="K3678" s="2" t="s">
        <v>11280</v>
      </c>
      <c r="L3678" s="3">
        <v>28.98</v>
      </c>
      <c r="M3678" s="3">
        <v>30.43</v>
      </c>
      <c r="N3678" s="3">
        <v>64.99</v>
      </c>
      <c r="O3678" s="2" t="s">
        <v>97</v>
      </c>
      <c r="P3678" s="2" t="s">
        <v>225</v>
      </c>
      <c r="Q3678" s="2" t="s">
        <v>99</v>
      </c>
      <c r="R3678" s="2" t="s">
        <v>100</v>
      </c>
      <c r="S3678" s="2" t="s">
        <v>11281</v>
      </c>
      <c r="T3678" s="2" t="s">
        <v>9675</v>
      </c>
      <c r="U3678" s="2" t="s">
        <v>402</v>
      </c>
      <c r="V3678" s="2" t="s">
        <v>3937</v>
      </c>
      <c r="W3678" s="2" t="s">
        <v>202</v>
      </c>
      <c r="X3678" s="2" t="s">
        <v>183</v>
      </c>
      <c r="Y3678" s="2" t="s">
        <v>3643</v>
      </c>
      <c r="Z3678" s="4">
        <v>173</v>
      </c>
      <c r="AA3678" s="4">
        <f>=ROUNDDOWN(13.3076923076923,0)</f>
      </c>
      <c r="AB3678" s="5">
        <v>13</v>
      </c>
      <c r="AC3678" s="2" t="s">
        <v>2746</v>
      </c>
      <c r="AD3678" s="4">
        <v>128</v>
      </c>
      <c r="AE3678" s="4">
        <v>128</v>
      </c>
      <c r="AF3678" s="6">
        <v>69</v>
      </c>
      <c r="AG3678" s="6"/>
      <c r="AH3678" s="7">
        <v>0.2708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100</v>
      </c>
      <c r="AW3678" s="8" t="s">
        <v>100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 t="s">
        <v>100</v>
      </c>
      <c r="BJ3678" s="4">
        <v>3</v>
      </c>
      <c r="BK3678" s="8">
        <v>106.11</v>
      </c>
      <c r="BL3678" s="2" t="s">
        <v>11287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207</v>
      </c>
      <c r="BV3678" s="2" t="s">
        <v>97</v>
      </c>
      <c r="BW3678" s="2" t="s">
        <v>100</v>
      </c>
      <c r="BX3678" s="2" t="s">
        <v>100</v>
      </c>
      <c r="BY3678" s="2" t="s">
        <v>113</v>
      </c>
      <c r="BZ3678" s="2" t="s">
        <v>100</v>
      </c>
    </row>
    <row r="3679">
      <c r="A3679" s="2" t="s">
        <v>11289</v>
      </c>
      <c r="B3679" s="2" t="s">
        <v>9668</v>
      </c>
      <c r="C3679" s="2" t="s">
        <v>2331</v>
      </c>
      <c r="D3679" s="2" t="s">
        <v>9669</v>
      </c>
      <c r="E3679" s="2" t="s">
        <v>9670</v>
      </c>
      <c r="F3679" s="2" t="s">
        <v>11120</v>
      </c>
      <c r="G3679" s="2" t="s">
        <v>11120</v>
      </c>
      <c r="H3679" s="2" t="s">
        <v>11120</v>
      </c>
      <c r="I3679" s="2" t="s">
        <v>10016</v>
      </c>
      <c r="J3679" s="2" t="s">
        <v>1936</v>
      </c>
      <c r="K3679" s="2" t="s">
        <v>7365</v>
      </c>
      <c r="L3679" s="3">
        <v>19.8</v>
      </c>
      <c r="M3679" s="3">
        <v>20.79</v>
      </c>
      <c r="N3679" s="3">
        <v>44.99</v>
      </c>
      <c r="O3679" s="2" t="s">
        <v>97</v>
      </c>
      <c r="P3679" s="2" t="s">
        <v>225</v>
      </c>
      <c r="Q3679" s="2" t="s">
        <v>99</v>
      </c>
      <c r="R3679" s="2" t="s">
        <v>100</v>
      </c>
      <c r="S3679" s="2" t="s">
        <v>11290</v>
      </c>
      <c r="T3679" s="2" t="s">
        <v>9675</v>
      </c>
      <c r="U3679" s="2" t="s">
        <v>480</v>
      </c>
      <c r="V3679" s="2" t="s">
        <v>201</v>
      </c>
      <c r="W3679" s="2" t="s">
        <v>202</v>
      </c>
      <c r="X3679" s="2" t="s">
        <v>183</v>
      </c>
      <c r="Y3679" s="2" t="s">
        <v>3643</v>
      </c>
      <c r="Z3679" s="4">
        <v>370</v>
      </c>
      <c r="AA3679" s="4">
        <f>=ROUNDDOWN(20.5555555555556,0)</f>
      </c>
      <c r="AB3679" s="5">
        <v>18</v>
      </c>
      <c r="AC3679" s="2" t="s">
        <v>266</v>
      </c>
      <c r="AD3679" s="4">
        <v>267</v>
      </c>
      <c r="AE3679" s="4">
        <v>463</v>
      </c>
      <c r="AF3679" s="6">
        <v>69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100</v>
      </c>
      <c r="AW3679" s="8" t="s">
        <v>100</v>
      </c>
      <c r="AX3679" s="4" t="s">
        <v>100</v>
      </c>
      <c r="AY3679" s="8" t="s">
        <v>100</v>
      </c>
      <c r="AZ3679" s="7" t="s">
        <v>100</v>
      </c>
      <c r="BA3679" s="7" t="s">
        <v>100</v>
      </c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 t="s">
        <v>100</v>
      </c>
      <c r="BJ3679" s="4">
        <v>42</v>
      </c>
      <c r="BK3679" s="8">
        <v>936.95</v>
      </c>
      <c r="BL3679" s="2" t="s">
        <v>10402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207</v>
      </c>
      <c r="BV3679" s="2" t="s">
        <v>97</v>
      </c>
      <c r="BW3679" s="2" t="s">
        <v>100</v>
      </c>
      <c r="BX3679" s="2" t="s">
        <v>100</v>
      </c>
      <c r="BY3679" s="2" t="s">
        <v>113</v>
      </c>
      <c r="BZ3679" s="2" t="s">
        <v>100</v>
      </c>
    </row>
    <row r="3680">
      <c r="A3680" s="2" t="s">
        <v>11291</v>
      </c>
      <c r="B3680" s="2" t="s">
        <v>9668</v>
      </c>
      <c r="C3680" s="2" t="s">
        <v>2331</v>
      </c>
      <c r="D3680" s="2" t="s">
        <v>9669</v>
      </c>
      <c r="E3680" s="2" t="s">
        <v>9670</v>
      </c>
      <c r="F3680" s="2" t="s">
        <v>11120</v>
      </c>
      <c r="G3680" s="2" t="s">
        <v>11120</v>
      </c>
      <c r="H3680" s="2" t="s">
        <v>11120</v>
      </c>
      <c r="I3680" s="2" t="s">
        <v>10016</v>
      </c>
      <c r="J3680" s="2" t="s">
        <v>717</v>
      </c>
      <c r="K3680" s="2" t="s">
        <v>7365</v>
      </c>
      <c r="L3680" s="3">
        <v>21.78</v>
      </c>
      <c r="M3680" s="3">
        <v>22.87</v>
      </c>
      <c r="N3680" s="3">
        <v>49.99</v>
      </c>
      <c r="O3680" s="2" t="s">
        <v>97</v>
      </c>
      <c r="P3680" s="2" t="s">
        <v>225</v>
      </c>
      <c r="Q3680" s="2" t="s">
        <v>99</v>
      </c>
      <c r="R3680" s="2" t="s">
        <v>100</v>
      </c>
      <c r="S3680" s="2" t="s">
        <v>11290</v>
      </c>
      <c r="T3680" s="2" t="s">
        <v>9675</v>
      </c>
      <c r="U3680" s="2" t="s">
        <v>402</v>
      </c>
      <c r="V3680" s="2" t="s">
        <v>201</v>
      </c>
      <c r="W3680" s="2" t="s">
        <v>202</v>
      </c>
      <c r="X3680" s="2" t="s">
        <v>183</v>
      </c>
      <c r="Y3680" s="2" t="s">
        <v>3643</v>
      </c>
      <c r="Z3680" s="4">
        <v>208</v>
      </c>
      <c r="AA3680" s="4">
        <f>=ROUNDDOWN(13.8666666666667,0)</f>
      </c>
      <c r="AB3680" s="5">
        <v>15</v>
      </c>
      <c r="AC3680" s="2" t="s">
        <v>266</v>
      </c>
      <c r="AD3680" s="4">
        <v>216</v>
      </c>
      <c r="AE3680" s="4">
        <v>367</v>
      </c>
      <c r="AF3680" s="6">
        <v>69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 t="s">
        <v>100</v>
      </c>
      <c r="BJ3680" s="4">
        <v>121</v>
      </c>
      <c r="BK3680" s="8">
        <v>2943.1</v>
      </c>
      <c r="BL3680" s="2" t="s">
        <v>10402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207</v>
      </c>
      <c r="BV3680" s="2" t="s">
        <v>97</v>
      </c>
      <c r="BW3680" s="2" t="s">
        <v>100</v>
      </c>
      <c r="BX3680" s="2" t="s">
        <v>100</v>
      </c>
      <c r="BY3680" s="2" t="s">
        <v>113</v>
      </c>
      <c r="BZ3680" s="2" t="s">
        <v>100</v>
      </c>
    </row>
    <row r="3681">
      <c r="A3681" s="2" t="s">
        <v>11292</v>
      </c>
      <c r="B3681" s="2" t="s">
        <v>9668</v>
      </c>
      <c r="C3681" s="2" t="s">
        <v>2331</v>
      </c>
      <c r="D3681" s="2" t="s">
        <v>9669</v>
      </c>
      <c r="E3681" s="2" t="s">
        <v>9670</v>
      </c>
      <c r="F3681" s="2" t="s">
        <v>11120</v>
      </c>
      <c r="G3681" s="2" t="s">
        <v>11120</v>
      </c>
      <c r="H3681" s="2" t="s">
        <v>11120</v>
      </c>
      <c r="I3681" s="2" t="s">
        <v>10016</v>
      </c>
      <c r="J3681" s="2" t="s">
        <v>706</v>
      </c>
      <c r="K3681" s="2" t="s">
        <v>7365</v>
      </c>
      <c r="L3681" s="3">
        <v>24.3</v>
      </c>
      <c r="M3681" s="3">
        <v>25.52</v>
      </c>
      <c r="N3681" s="3">
        <v>54.99</v>
      </c>
      <c r="O3681" s="2" t="s">
        <v>97</v>
      </c>
      <c r="P3681" s="2" t="s">
        <v>225</v>
      </c>
      <c r="Q3681" s="2" t="s">
        <v>99</v>
      </c>
      <c r="R3681" s="2" t="s">
        <v>100</v>
      </c>
      <c r="S3681" s="2" t="s">
        <v>11290</v>
      </c>
      <c r="T3681" s="2" t="s">
        <v>9675</v>
      </c>
      <c r="U3681" s="2" t="s">
        <v>402</v>
      </c>
      <c r="V3681" s="2" t="s">
        <v>201</v>
      </c>
      <c r="W3681" s="2" t="s">
        <v>202</v>
      </c>
      <c r="X3681" s="2" t="s">
        <v>183</v>
      </c>
      <c r="Y3681" s="2" t="s">
        <v>3643</v>
      </c>
      <c r="Z3681" s="4">
        <v>495</v>
      </c>
      <c r="AA3681" s="4">
        <f>=ROUNDDOWN(15,0)</f>
      </c>
      <c r="AB3681" s="5">
        <v>33</v>
      </c>
      <c r="AC3681" s="2" t="s">
        <v>266</v>
      </c>
      <c r="AD3681" s="4">
        <v>471</v>
      </c>
      <c r="AE3681" s="4">
        <v>816</v>
      </c>
      <c r="AF3681" s="6">
        <v>69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100</v>
      </c>
      <c r="AW3681" s="8" t="s">
        <v>100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 t="s">
        <v>100</v>
      </c>
      <c r="BJ3681" s="4">
        <v>201</v>
      </c>
      <c r="BK3681" s="8">
        <v>5498.65</v>
      </c>
      <c r="BL3681" s="2" t="s">
        <v>529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207</v>
      </c>
      <c r="BV3681" s="2" t="s">
        <v>97</v>
      </c>
      <c r="BW3681" s="2" t="s">
        <v>100</v>
      </c>
      <c r="BX3681" s="2" t="s">
        <v>100</v>
      </c>
      <c r="BY3681" s="2" t="s">
        <v>113</v>
      </c>
      <c r="BZ3681" s="2" t="s">
        <v>100</v>
      </c>
    </row>
    <row r="3682">
      <c r="A3682" s="2" t="s">
        <v>11293</v>
      </c>
      <c r="B3682" s="2" t="s">
        <v>9668</v>
      </c>
      <c r="C3682" s="2" t="s">
        <v>2331</v>
      </c>
      <c r="D3682" s="2" t="s">
        <v>9669</v>
      </c>
      <c r="E3682" s="2" t="s">
        <v>9670</v>
      </c>
      <c r="F3682" s="2" t="s">
        <v>11120</v>
      </c>
      <c r="G3682" s="2" t="s">
        <v>11120</v>
      </c>
      <c r="H3682" s="2" t="s">
        <v>11120</v>
      </c>
      <c r="I3682" s="2" t="s">
        <v>10016</v>
      </c>
      <c r="J3682" s="2" t="s">
        <v>714</v>
      </c>
      <c r="K3682" s="2" t="s">
        <v>7365</v>
      </c>
      <c r="L3682" s="3">
        <v>28.98</v>
      </c>
      <c r="M3682" s="3">
        <v>30.43</v>
      </c>
      <c r="N3682" s="3">
        <v>64.99</v>
      </c>
      <c r="O3682" s="2" t="s">
        <v>97</v>
      </c>
      <c r="P3682" s="2" t="s">
        <v>225</v>
      </c>
      <c r="Q3682" s="2" t="s">
        <v>99</v>
      </c>
      <c r="R3682" s="2" t="s">
        <v>100</v>
      </c>
      <c r="S3682" s="2" t="s">
        <v>11290</v>
      </c>
      <c r="T3682" s="2" t="s">
        <v>9675</v>
      </c>
      <c r="U3682" s="2" t="s">
        <v>402</v>
      </c>
      <c r="V3682" s="2" t="s">
        <v>201</v>
      </c>
      <c r="W3682" s="2" t="s">
        <v>202</v>
      </c>
      <c r="X3682" s="2" t="s">
        <v>183</v>
      </c>
      <c r="Y3682" s="2" t="s">
        <v>3643</v>
      </c>
      <c r="Z3682" s="4">
        <v>58</v>
      </c>
      <c r="AA3682" s="4">
        <f>=ROUNDDOWN(5.8,0)</f>
      </c>
      <c r="AB3682" s="5">
        <v>10</v>
      </c>
      <c r="AC3682" s="2" t="s">
        <v>266</v>
      </c>
      <c r="AD3682" s="4">
        <v>137</v>
      </c>
      <c r="AE3682" s="4">
        <v>237</v>
      </c>
      <c r="AF3682" s="6">
        <v>69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100</v>
      </c>
      <c r="AW3682" s="8" t="s">
        <v>100</v>
      </c>
      <c r="AX3682" s="4" t="s">
        <v>100</v>
      </c>
      <c r="AY3682" s="8" t="s">
        <v>100</v>
      </c>
      <c r="AZ3682" s="7" t="s">
        <v>100</v>
      </c>
      <c r="BA3682" s="7" t="s">
        <v>100</v>
      </c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 t="s">
        <v>100</v>
      </c>
      <c r="BJ3682" s="4">
        <v>124</v>
      </c>
      <c r="BK3682" s="8">
        <v>4065.29</v>
      </c>
      <c r="BL3682" s="2" t="s">
        <v>10875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207</v>
      </c>
      <c r="BV3682" s="2" t="s">
        <v>97</v>
      </c>
      <c r="BW3682" s="2" t="s">
        <v>100</v>
      </c>
      <c r="BX3682" s="2" t="s">
        <v>100</v>
      </c>
      <c r="BY3682" s="2" t="s">
        <v>113</v>
      </c>
      <c r="BZ3682" s="2" t="s">
        <v>100</v>
      </c>
    </row>
    <row r="3683">
      <c r="A3683" s="2" t="s">
        <v>11294</v>
      </c>
      <c r="B3683" s="2" t="s">
        <v>9668</v>
      </c>
      <c r="C3683" s="2" t="s">
        <v>2331</v>
      </c>
      <c r="D3683" s="2" t="s">
        <v>9669</v>
      </c>
      <c r="E3683" s="2" t="s">
        <v>9670</v>
      </c>
      <c r="F3683" s="2" t="s">
        <v>11120</v>
      </c>
      <c r="G3683" s="2" t="s">
        <v>11120</v>
      </c>
      <c r="H3683" s="2" t="s">
        <v>11120</v>
      </c>
      <c r="I3683" s="2" t="s">
        <v>10016</v>
      </c>
      <c r="J3683" s="2" t="s">
        <v>817</v>
      </c>
      <c r="K3683" s="2" t="s">
        <v>7365</v>
      </c>
      <c r="L3683" s="3">
        <v>28.98</v>
      </c>
      <c r="M3683" s="3">
        <v>30.43</v>
      </c>
      <c r="N3683" s="3">
        <v>64.99</v>
      </c>
      <c r="O3683" s="2" t="s">
        <v>97</v>
      </c>
      <c r="P3683" s="2" t="s">
        <v>225</v>
      </c>
      <c r="Q3683" s="2" t="s">
        <v>99</v>
      </c>
      <c r="R3683" s="2" t="s">
        <v>100</v>
      </c>
      <c r="S3683" s="2" t="s">
        <v>11290</v>
      </c>
      <c r="T3683" s="2" t="s">
        <v>9675</v>
      </c>
      <c r="U3683" s="2" t="s">
        <v>402</v>
      </c>
      <c r="V3683" s="2" t="s">
        <v>201</v>
      </c>
      <c r="W3683" s="2" t="s">
        <v>202</v>
      </c>
      <c r="X3683" s="2" t="s">
        <v>183</v>
      </c>
      <c r="Y3683" s="2" t="s">
        <v>3643</v>
      </c>
      <c r="Z3683" s="4">
        <v>50</v>
      </c>
      <c r="AA3683" s="4">
        <f>=ROUNDDOWN(8.33333333333333,0)</f>
      </c>
      <c r="AB3683" s="5">
        <v>6</v>
      </c>
      <c r="AC3683" s="2" t="s">
        <v>266</v>
      </c>
      <c r="AD3683" s="4">
        <v>78</v>
      </c>
      <c r="AE3683" s="4">
        <v>135</v>
      </c>
      <c r="AF3683" s="6">
        <v>69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100</v>
      </c>
      <c r="AW3683" s="8" t="s">
        <v>100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 t="s">
        <v>100</v>
      </c>
      <c r="BJ3683" s="4">
        <v>49</v>
      </c>
      <c r="BK3683" s="8">
        <v>1623.45</v>
      </c>
      <c r="BL3683" s="2" t="s">
        <v>11295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207</v>
      </c>
      <c r="BV3683" s="2" t="s">
        <v>97</v>
      </c>
      <c r="BW3683" s="2" t="s">
        <v>100</v>
      </c>
      <c r="BX3683" s="2" t="s">
        <v>100</v>
      </c>
      <c r="BY3683" s="2" t="s">
        <v>113</v>
      </c>
      <c r="BZ3683" s="2" t="s">
        <v>100</v>
      </c>
    </row>
    <row r="3684">
      <c r="A3684" s="2" t="s">
        <v>11296</v>
      </c>
      <c r="B3684" s="2" t="s">
        <v>9668</v>
      </c>
      <c r="C3684" s="2" t="s">
        <v>1867</v>
      </c>
      <c r="D3684" s="2" t="s">
        <v>9669</v>
      </c>
      <c r="E3684" s="2" t="s">
        <v>9670</v>
      </c>
      <c r="F3684" s="2" t="s">
        <v>4940</v>
      </c>
      <c r="G3684" s="2" t="s">
        <v>4940</v>
      </c>
      <c r="H3684" s="2" t="s">
        <v>4940</v>
      </c>
      <c r="I3684" s="2" t="s">
        <v>11297</v>
      </c>
      <c r="J3684" s="2" t="s">
        <v>1936</v>
      </c>
      <c r="K3684" s="2" t="s">
        <v>335</v>
      </c>
      <c r="L3684" s="3">
        <v>12.48</v>
      </c>
      <c r="M3684" s="3">
        <v>13.1</v>
      </c>
      <c r="N3684" s="3">
        <v>27.99</v>
      </c>
      <c r="O3684" s="2" t="s">
        <v>97</v>
      </c>
      <c r="P3684" s="2" t="s">
        <v>225</v>
      </c>
      <c r="Q3684" s="2" t="s">
        <v>99</v>
      </c>
      <c r="R3684" s="2" t="s">
        <v>100</v>
      </c>
      <c r="S3684" s="2" t="s">
        <v>11298</v>
      </c>
      <c r="T3684" s="2" t="s">
        <v>4940</v>
      </c>
      <c r="U3684" s="2" t="s">
        <v>402</v>
      </c>
      <c r="V3684" s="2" t="s">
        <v>146</v>
      </c>
      <c r="W3684" s="2" t="s">
        <v>183</v>
      </c>
      <c r="X3684" s="2" t="s">
        <v>561</v>
      </c>
      <c r="Y3684" s="2" t="s">
        <v>11299</v>
      </c>
      <c r="Z3684" s="4">
        <v>5631</v>
      </c>
      <c r="AA3684" s="4">
        <f>=ROUNDDOWN(170.636363636364,0)</f>
      </c>
      <c r="AB3684" s="5">
        <v>33</v>
      </c>
      <c r="AC3684" s="2" t="s">
        <v>100</v>
      </c>
      <c r="AD3684" s="4"/>
      <c r="AE3684" s="4"/>
      <c r="AF3684" s="6">
        <v>65</v>
      </c>
      <c r="AG3684" s="6">
        <v>48</v>
      </c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>
        <v>80</v>
      </c>
      <c r="AW3684" s="8">
        <v>1604.98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/>
      <c r="BC3684" s="4">
        <v>134</v>
      </c>
      <c r="BD3684" s="8">
        <v>2712.5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0.5917</v>
      </c>
      <c r="BJ3684" s="4">
        <v>266</v>
      </c>
      <c r="BK3684" s="8">
        <v>6474.49</v>
      </c>
      <c r="BL3684" s="2" t="s">
        <v>3641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207</v>
      </c>
      <c r="BV3684" s="2" t="s">
        <v>97</v>
      </c>
      <c r="BW3684" s="2" t="s">
        <v>100</v>
      </c>
      <c r="BX3684" s="2" t="s">
        <v>100</v>
      </c>
      <c r="BY3684" s="2" t="s">
        <v>113</v>
      </c>
      <c r="BZ3684" s="2" t="s">
        <v>100</v>
      </c>
    </row>
    <row r="3685">
      <c r="A3685" s="2" t="s">
        <v>11300</v>
      </c>
      <c r="B3685" s="2" t="s">
        <v>9668</v>
      </c>
      <c r="C3685" s="2" t="s">
        <v>1867</v>
      </c>
      <c r="D3685" s="2" t="s">
        <v>9669</v>
      </c>
      <c r="E3685" s="2" t="s">
        <v>9670</v>
      </c>
      <c r="F3685" s="2" t="s">
        <v>4940</v>
      </c>
      <c r="G3685" s="2" t="s">
        <v>4940</v>
      </c>
      <c r="H3685" s="2" t="s">
        <v>4940</v>
      </c>
      <c r="I3685" s="2" t="s">
        <v>11301</v>
      </c>
      <c r="J3685" s="2" t="s">
        <v>706</v>
      </c>
      <c r="K3685" s="2" t="s">
        <v>335</v>
      </c>
      <c r="L3685" s="3">
        <v>19</v>
      </c>
      <c r="M3685" s="3">
        <v>19.95</v>
      </c>
      <c r="N3685" s="3">
        <v>37.99</v>
      </c>
      <c r="O3685" s="2" t="s">
        <v>97</v>
      </c>
      <c r="P3685" s="2" t="s">
        <v>307</v>
      </c>
      <c r="Q3685" s="2" t="s">
        <v>99</v>
      </c>
      <c r="R3685" s="2" t="s">
        <v>100</v>
      </c>
      <c r="S3685" s="2" t="s">
        <v>11302</v>
      </c>
      <c r="T3685" s="2" t="s">
        <v>4940</v>
      </c>
      <c r="U3685" s="2" t="s">
        <v>100</v>
      </c>
      <c r="V3685" s="2" t="s">
        <v>146</v>
      </c>
      <c r="W3685" s="2" t="s">
        <v>183</v>
      </c>
      <c r="X3685" s="2" t="s">
        <v>100</v>
      </c>
      <c r="Y3685" s="2" t="s">
        <v>240</v>
      </c>
      <c r="Z3685" s="4">
        <v>13812</v>
      </c>
      <c r="AA3685" s="4">
        <f>=ROUNDDOWN(47.4639175257732,0)</f>
      </c>
      <c r="AB3685" s="5">
        <v>291</v>
      </c>
      <c r="AC3685" s="2" t="s">
        <v>1035</v>
      </c>
      <c r="AD3685" s="4">
        <v>3000</v>
      </c>
      <c r="AE3685" s="4">
        <v>3000</v>
      </c>
      <c r="AF3685" s="6">
        <v>65</v>
      </c>
      <c r="AG3685" s="6">
        <v>48</v>
      </c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>
        <v>74</v>
      </c>
      <c r="AQ3685" s="8">
        <v>1468.9</v>
      </c>
      <c r="AR3685" s="4"/>
      <c r="AS3685" s="8"/>
      <c r="AT3685" s="7"/>
      <c r="AU3685" s="7"/>
      <c r="AV3685" s="4" t="s">
        <v>100</v>
      </c>
      <c r="AW3685" s="8" t="s">
        <v>100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>
        <v>0.9152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 t="s">
        <v>100</v>
      </c>
      <c r="BJ3685" s="4">
        <v>5672</v>
      </c>
      <c r="BK3685" s="8">
        <v>136208.39</v>
      </c>
      <c r="BL3685" s="2" t="s">
        <v>11303</v>
      </c>
      <c r="BM3685" s="7">
        <v>0.013</v>
      </c>
      <c r="BN3685" s="7">
        <v>0.0108</v>
      </c>
      <c r="BO3685" s="4">
        <v>74</v>
      </c>
      <c r="BP3685" s="8">
        <v>1468.9</v>
      </c>
      <c r="BQ3685" s="4"/>
      <c r="BR3685" s="8"/>
      <c r="BS3685" s="7"/>
      <c r="BT3685" s="7"/>
      <c r="BU3685" s="2" t="s">
        <v>109</v>
      </c>
      <c r="BV3685" s="2" t="s">
        <v>110</v>
      </c>
      <c r="BW3685" s="2" t="s">
        <v>5872</v>
      </c>
      <c r="BX3685" s="2" t="s">
        <v>11304</v>
      </c>
      <c r="BY3685" s="2" t="s">
        <v>113</v>
      </c>
      <c r="BZ3685" s="2" t="s">
        <v>100</v>
      </c>
    </row>
    <row r="3686">
      <c r="A3686" s="2" t="s">
        <v>11305</v>
      </c>
      <c r="B3686" s="2" t="s">
        <v>9668</v>
      </c>
      <c r="C3686" s="2" t="s">
        <v>1867</v>
      </c>
      <c r="D3686" s="2" t="s">
        <v>9669</v>
      </c>
      <c r="E3686" s="2" t="s">
        <v>9670</v>
      </c>
      <c r="F3686" s="2" t="s">
        <v>4940</v>
      </c>
      <c r="G3686" s="2" t="s">
        <v>4940</v>
      </c>
      <c r="H3686" s="2" t="s">
        <v>4940</v>
      </c>
      <c r="I3686" s="2" t="s">
        <v>11301</v>
      </c>
      <c r="J3686" s="2" t="s">
        <v>714</v>
      </c>
      <c r="K3686" s="2" t="s">
        <v>335</v>
      </c>
      <c r="L3686" s="3">
        <v>21.5</v>
      </c>
      <c r="M3686" s="3">
        <v>22.58</v>
      </c>
      <c r="N3686" s="3">
        <v>42.99</v>
      </c>
      <c r="O3686" s="2" t="s">
        <v>97</v>
      </c>
      <c r="P3686" s="2" t="s">
        <v>307</v>
      </c>
      <c r="Q3686" s="2" t="s">
        <v>99</v>
      </c>
      <c r="R3686" s="2" t="s">
        <v>100</v>
      </c>
      <c r="S3686" s="2" t="s">
        <v>11302</v>
      </c>
      <c r="T3686" s="2" t="s">
        <v>4940</v>
      </c>
      <c r="U3686" s="2" t="s">
        <v>100</v>
      </c>
      <c r="V3686" s="2" t="s">
        <v>146</v>
      </c>
      <c r="W3686" s="2" t="s">
        <v>183</v>
      </c>
      <c r="X3686" s="2" t="s">
        <v>100</v>
      </c>
      <c r="Y3686" s="2" t="s">
        <v>240</v>
      </c>
      <c r="Z3686" s="4">
        <v>6982</v>
      </c>
      <c r="AA3686" s="4">
        <f>=ROUNDDOWN(52.4962406015038,0)</f>
      </c>
      <c r="AB3686" s="5">
        <v>133</v>
      </c>
      <c r="AC3686" s="2" t="s">
        <v>100</v>
      </c>
      <c r="AD3686" s="4"/>
      <c r="AE3686" s="4"/>
      <c r="AF3686" s="6">
        <v>65</v>
      </c>
      <c r="AG3686" s="6">
        <v>48</v>
      </c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>
        <v>6</v>
      </c>
      <c r="AQ3686" s="8">
        <v>136.08</v>
      </c>
      <c r="AR3686" s="4"/>
      <c r="AS3686" s="8"/>
      <c r="AT3686" s="7"/>
      <c r="AU3686" s="7"/>
      <c r="AV3686" s="4" t="s">
        <v>100</v>
      </c>
      <c r="AW3686" s="8" t="s">
        <v>100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>
        <v>0.0848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 t="s">
        <v>100</v>
      </c>
      <c r="BJ3686" s="4">
        <v>2130</v>
      </c>
      <c r="BK3686" s="8">
        <v>65377.51</v>
      </c>
      <c r="BL3686" s="2" t="s">
        <v>11306</v>
      </c>
      <c r="BM3686" s="7">
        <v>0.0028</v>
      </c>
      <c r="BN3686" s="7">
        <v>0.0021</v>
      </c>
      <c r="BO3686" s="4">
        <v>6</v>
      </c>
      <c r="BP3686" s="8">
        <v>136.08</v>
      </c>
      <c r="BQ3686" s="4"/>
      <c r="BR3686" s="8"/>
      <c r="BS3686" s="7"/>
      <c r="BT3686" s="7"/>
      <c r="BU3686" s="2" t="s">
        <v>109</v>
      </c>
      <c r="BV3686" s="2" t="s">
        <v>110</v>
      </c>
      <c r="BW3686" s="2" t="s">
        <v>5872</v>
      </c>
      <c r="BX3686" s="2" t="s">
        <v>11307</v>
      </c>
      <c r="BY3686" s="2" t="s">
        <v>113</v>
      </c>
      <c r="BZ3686" s="2" t="s">
        <v>100</v>
      </c>
    </row>
    <row r="3687">
      <c r="A3687" s="2" t="s">
        <v>11308</v>
      </c>
      <c r="B3687" s="2" t="s">
        <v>9668</v>
      </c>
      <c r="C3687" s="2" t="s">
        <v>1867</v>
      </c>
      <c r="D3687" s="2" t="s">
        <v>9669</v>
      </c>
      <c r="E3687" s="2" t="s">
        <v>9670</v>
      </c>
      <c r="F3687" s="2" t="s">
        <v>4940</v>
      </c>
      <c r="G3687" s="2" t="s">
        <v>4940</v>
      </c>
      <c r="H3687" s="2" t="s">
        <v>4940</v>
      </c>
      <c r="I3687" s="2" t="s">
        <v>11297</v>
      </c>
      <c r="J3687" s="2" t="s">
        <v>10472</v>
      </c>
      <c r="K3687" s="2" t="s">
        <v>335</v>
      </c>
      <c r="L3687" s="3">
        <v>25</v>
      </c>
      <c r="M3687" s="3">
        <v>26.25</v>
      </c>
      <c r="N3687" s="3">
        <v>49.99</v>
      </c>
      <c r="O3687" s="2" t="s">
        <v>97</v>
      </c>
      <c r="P3687" s="2" t="s">
        <v>225</v>
      </c>
      <c r="Q3687" s="2" t="s">
        <v>99</v>
      </c>
      <c r="R3687" s="2" t="s">
        <v>100</v>
      </c>
      <c r="S3687" s="2" t="s">
        <v>11298</v>
      </c>
      <c r="T3687" s="2" t="s">
        <v>4940</v>
      </c>
      <c r="U3687" s="2" t="s">
        <v>337</v>
      </c>
      <c r="V3687" s="2" t="s">
        <v>146</v>
      </c>
      <c r="W3687" s="2" t="s">
        <v>183</v>
      </c>
      <c r="X3687" s="2" t="s">
        <v>561</v>
      </c>
      <c r="Y3687" s="2" t="s">
        <v>11299</v>
      </c>
      <c r="Z3687" s="4">
        <v>947</v>
      </c>
      <c r="AA3687" s="4">
        <f>=ROUNDDOWN(94.7,0)</f>
      </c>
      <c r="AB3687" s="5">
        <v>10</v>
      </c>
      <c r="AC3687" s="2" t="s">
        <v>100</v>
      </c>
      <c r="AD3687" s="4"/>
      <c r="AE3687" s="4"/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/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 t="s">
        <v>100</v>
      </c>
      <c r="BJ3687" s="4">
        <v>37</v>
      </c>
      <c r="BK3687" s="8">
        <v>1144.62</v>
      </c>
      <c r="BL3687" s="2" t="s">
        <v>11309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207</v>
      </c>
      <c r="BV3687" s="2" t="s">
        <v>97</v>
      </c>
      <c r="BW3687" s="2" t="s">
        <v>100</v>
      </c>
      <c r="BX3687" s="2" t="s">
        <v>100</v>
      </c>
      <c r="BY3687" s="2" t="s">
        <v>113</v>
      </c>
      <c r="BZ3687" s="2" t="s">
        <v>100</v>
      </c>
    </row>
    <row r="3688">
      <c r="A3688" s="2" t="s">
        <v>11310</v>
      </c>
      <c r="B3688" s="2" t="s">
        <v>9668</v>
      </c>
      <c r="C3688" s="2" t="s">
        <v>1867</v>
      </c>
      <c r="D3688" s="2" t="s">
        <v>9669</v>
      </c>
      <c r="E3688" s="2" t="s">
        <v>9670</v>
      </c>
      <c r="F3688" s="2" t="s">
        <v>4940</v>
      </c>
      <c r="G3688" s="2" t="s">
        <v>4940</v>
      </c>
      <c r="H3688" s="2" t="s">
        <v>4940</v>
      </c>
      <c r="I3688" s="2" t="s">
        <v>11297</v>
      </c>
      <c r="J3688" s="2" t="s">
        <v>1936</v>
      </c>
      <c r="K3688" s="2" t="s">
        <v>1614</v>
      </c>
      <c r="L3688" s="3">
        <v>12.48</v>
      </c>
      <c r="M3688" s="3">
        <v>13.1</v>
      </c>
      <c r="N3688" s="3">
        <v>27.99</v>
      </c>
      <c r="O3688" s="2" t="s">
        <v>97</v>
      </c>
      <c r="P3688" s="2" t="s">
        <v>225</v>
      </c>
      <c r="Q3688" s="2" t="s">
        <v>99</v>
      </c>
      <c r="R3688" s="2" t="s">
        <v>100</v>
      </c>
      <c r="S3688" s="2" t="s">
        <v>11311</v>
      </c>
      <c r="T3688" s="2" t="s">
        <v>4940</v>
      </c>
      <c r="U3688" s="2" t="s">
        <v>402</v>
      </c>
      <c r="V3688" s="2" t="s">
        <v>146</v>
      </c>
      <c r="W3688" s="2" t="s">
        <v>183</v>
      </c>
      <c r="X3688" s="2" t="s">
        <v>561</v>
      </c>
      <c r="Y3688" s="2" t="s">
        <v>11312</v>
      </c>
      <c r="Z3688" s="4">
        <v>1349</v>
      </c>
      <c r="AA3688" s="4">
        <f>=ROUNDDOWN(112.416666666667,0)</f>
      </c>
      <c r="AB3688" s="5">
        <v>12</v>
      </c>
      <c r="AC3688" s="2" t="s">
        <v>100</v>
      </c>
      <c r="AD3688" s="4"/>
      <c r="AE3688" s="4"/>
      <c r="AF3688" s="6">
        <v>65</v>
      </c>
      <c r="AG3688" s="6">
        <v>48</v>
      </c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>
        <v>16</v>
      </c>
      <c r="AW3688" s="8">
        <v>322.9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/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0.119</v>
      </c>
      <c r="BJ3688" s="4">
        <v>62</v>
      </c>
      <c r="BK3688" s="8">
        <v>1086.63</v>
      </c>
      <c r="BL3688" s="2" t="s">
        <v>11309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207</v>
      </c>
      <c r="BV3688" s="2" t="s">
        <v>97</v>
      </c>
      <c r="BW3688" s="2" t="s">
        <v>100</v>
      </c>
      <c r="BX3688" s="2" t="s">
        <v>100</v>
      </c>
      <c r="BY3688" s="2" t="s">
        <v>113</v>
      </c>
      <c r="BZ3688" s="2" t="s">
        <v>100</v>
      </c>
    </row>
    <row r="3689">
      <c r="A3689" s="2" t="s">
        <v>11313</v>
      </c>
      <c r="B3689" s="2" t="s">
        <v>9668</v>
      </c>
      <c r="C3689" s="2" t="s">
        <v>1867</v>
      </c>
      <c r="D3689" s="2" t="s">
        <v>9669</v>
      </c>
      <c r="E3689" s="2" t="s">
        <v>9670</v>
      </c>
      <c r="F3689" s="2" t="s">
        <v>4940</v>
      </c>
      <c r="G3689" s="2" t="s">
        <v>4940</v>
      </c>
      <c r="H3689" s="2" t="s">
        <v>4940</v>
      </c>
      <c r="I3689" s="2" t="s">
        <v>11301</v>
      </c>
      <c r="J3689" s="2" t="s">
        <v>706</v>
      </c>
      <c r="K3689" s="2" t="s">
        <v>1614</v>
      </c>
      <c r="L3689" s="3">
        <v>19</v>
      </c>
      <c r="M3689" s="3">
        <v>19.95</v>
      </c>
      <c r="N3689" s="3">
        <v>37.99</v>
      </c>
      <c r="O3689" s="2" t="s">
        <v>97</v>
      </c>
      <c r="P3689" s="2" t="s">
        <v>372</v>
      </c>
      <c r="Q3689" s="2" t="s">
        <v>99</v>
      </c>
      <c r="R3689" s="2" t="s">
        <v>100</v>
      </c>
      <c r="S3689" s="2" t="s">
        <v>11311</v>
      </c>
      <c r="T3689" s="2" t="s">
        <v>4940</v>
      </c>
      <c r="U3689" s="2" t="s">
        <v>102</v>
      </c>
      <c r="V3689" s="2" t="s">
        <v>146</v>
      </c>
      <c r="W3689" s="2" t="s">
        <v>183</v>
      </c>
      <c r="X3689" s="2" t="s">
        <v>561</v>
      </c>
      <c r="Y3689" s="2" t="s">
        <v>8928</v>
      </c>
      <c r="Z3689" s="4">
        <v>1671</v>
      </c>
      <c r="AA3689" s="4">
        <f>=ROUNDDOWN(23.5352112676056,0)</f>
      </c>
      <c r="AB3689" s="5">
        <v>71</v>
      </c>
      <c r="AC3689" s="2" t="s">
        <v>768</v>
      </c>
      <c r="AD3689" s="4">
        <v>1700</v>
      </c>
      <c r="AE3689" s="4">
        <v>3100</v>
      </c>
      <c r="AF3689" s="6">
        <v>65</v>
      </c>
      <c r="AG3689" s="6">
        <v>48</v>
      </c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>
        <v>5</v>
      </c>
      <c r="AQ3689" s="8">
        <v>91.9</v>
      </c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>
        <v>0.2846</v>
      </c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 t="s">
        <v>100</v>
      </c>
      <c r="BJ3689" s="4">
        <v>2023</v>
      </c>
      <c r="BK3689" s="8">
        <v>43858.89</v>
      </c>
      <c r="BL3689" s="2" t="s">
        <v>11314</v>
      </c>
      <c r="BM3689" s="7">
        <v>0.0025</v>
      </c>
      <c r="BN3689" s="7">
        <v>0.0021</v>
      </c>
      <c r="BO3689" s="4">
        <v>5</v>
      </c>
      <c r="BP3689" s="8">
        <v>91.9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10273</v>
      </c>
      <c r="BX3689" s="2" t="s">
        <v>8924</v>
      </c>
      <c r="BY3689" s="2" t="s">
        <v>113</v>
      </c>
      <c r="BZ3689" s="2" t="s">
        <v>100</v>
      </c>
    </row>
    <row r="3690">
      <c r="A3690" s="2" t="s">
        <v>11315</v>
      </c>
      <c r="B3690" s="2" t="s">
        <v>9668</v>
      </c>
      <c r="C3690" s="2" t="s">
        <v>1867</v>
      </c>
      <c r="D3690" s="2" t="s">
        <v>9669</v>
      </c>
      <c r="E3690" s="2" t="s">
        <v>9670</v>
      </c>
      <c r="F3690" s="2" t="s">
        <v>4940</v>
      </c>
      <c r="G3690" s="2" t="s">
        <v>4940</v>
      </c>
      <c r="H3690" s="2" t="s">
        <v>4940</v>
      </c>
      <c r="I3690" s="2" t="s">
        <v>11301</v>
      </c>
      <c r="J3690" s="2" t="s">
        <v>714</v>
      </c>
      <c r="K3690" s="2" t="s">
        <v>1614</v>
      </c>
      <c r="L3690" s="3">
        <v>21.5</v>
      </c>
      <c r="M3690" s="3">
        <v>22.58</v>
      </c>
      <c r="N3690" s="3">
        <v>42.99</v>
      </c>
      <c r="O3690" s="2" t="s">
        <v>97</v>
      </c>
      <c r="P3690" s="2" t="s">
        <v>98</v>
      </c>
      <c r="Q3690" s="2" t="s">
        <v>99</v>
      </c>
      <c r="R3690" s="2" t="s">
        <v>100</v>
      </c>
      <c r="S3690" s="2" t="s">
        <v>11311</v>
      </c>
      <c r="T3690" s="2" t="s">
        <v>4940</v>
      </c>
      <c r="U3690" s="2" t="s">
        <v>102</v>
      </c>
      <c r="V3690" s="2" t="s">
        <v>146</v>
      </c>
      <c r="W3690" s="2" t="s">
        <v>183</v>
      </c>
      <c r="X3690" s="2" t="s">
        <v>561</v>
      </c>
      <c r="Y3690" s="2" t="s">
        <v>8928</v>
      </c>
      <c r="Z3690" s="4">
        <v>874</v>
      </c>
      <c r="AA3690" s="4">
        <f>=ROUNDDOWN(24.2777777777778,0)</f>
      </c>
      <c r="AB3690" s="5">
        <v>36</v>
      </c>
      <c r="AC3690" s="2" t="s">
        <v>768</v>
      </c>
      <c r="AD3690" s="4">
        <v>1200</v>
      </c>
      <c r="AE3690" s="4">
        <v>1350</v>
      </c>
      <c r="AF3690" s="6">
        <v>65</v>
      </c>
      <c r="AG3690" s="6">
        <v>48</v>
      </c>
      <c r="AH3690" s="7">
        <v>0.9626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>
        <v>9</v>
      </c>
      <c r="AQ3690" s="8">
        <v>189</v>
      </c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>
        <v>0.5853</v>
      </c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 t="s">
        <v>100</v>
      </c>
      <c r="BJ3690" s="4">
        <v>785</v>
      </c>
      <c r="BK3690" s="8">
        <v>20353.85</v>
      </c>
      <c r="BL3690" s="2" t="s">
        <v>11314</v>
      </c>
      <c r="BM3690" s="7">
        <v>0.0115</v>
      </c>
      <c r="BN3690" s="7">
        <v>0.0093</v>
      </c>
      <c r="BO3690" s="4">
        <v>9</v>
      </c>
      <c r="BP3690" s="8">
        <v>189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10890</v>
      </c>
      <c r="BX3690" s="2" t="s">
        <v>11316</v>
      </c>
      <c r="BY3690" s="2" t="s">
        <v>113</v>
      </c>
      <c r="BZ3690" s="2" t="s">
        <v>100</v>
      </c>
    </row>
    <row r="3691">
      <c r="A3691" s="2" t="s">
        <v>11317</v>
      </c>
      <c r="B3691" s="2" t="s">
        <v>9668</v>
      </c>
      <c r="C3691" s="2" t="s">
        <v>1867</v>
      </c>
      <c r="D3691" s="2" t="s">
        <v>9669</v>
      </c>
      <c r="E3691" s="2" t="s">
        <v>9670</v>
      </c>
      <c r="F3691" s="2" t="s">
        <v>4940</v>
      </c>
      <c r="G3691" s="2" t="s">
        <v>4940</v>
      </c>
      <c r="H3691" s="2" t="s">
        <v>4940</v>
      </c>
      <c r="I3691" s="2" t="s">
        <v>11301</v>
      </c>
      <c r="J3691" s="2" t="s">
        <v>817</v>
      </c>
      <c r="K3691" s="2" t="s">
        <v>1614</v>
      </c>
      <c r="L3691" s="3">
        <v>21.5</v>
      </c>
      <c r="M3691" s="3">
        <v>22.58</v>
      </c>
      <c r="N3691" s="3">
        <v>42.99</v>
      </c>
      <c r="O3691" s="2" t="s">
        <v>97</v>
      </c>
      <c r="P3691" s="2" t="s">
        <v>119</v>
      </c>
      <c r="Q3691" s="2" t="s">
        <v>99</v>
      </c>
      <c r="R3691" s="2" t="s">
        <v>100</v>
      </c>
      <c r="S3691" s="2" t="s">
        <v>11311</v>
      </c>
      <c r="T3691" s="2" t="s">
        <v>4940</v>
      </c>
      <c r="U3691" s="2" t="s">
        <v>102</v>
      </c>
      <c r="V3691" s="2" t="s">
        <v>146</v>
      </c>
      <c r="W3691" s="2" t="s">
        <v>183</v>
      </c>
      <c r="X3691" s="2" t="s">
        <v>561</v>
      </c>
      <c r="Y3691" s="2" t="s">
        <v>8928</v>
      </c>
      <c r="Z3691" s="4">
        <v>287</v>
      </c>
      <c r="AA3691" s="4">
        <f>=ROUNDDOWN(26.0909090909091,0)</f>
      </c>
      <c r="AB3691" s="5">
        <v>11</v>
      </c>
      <c r="AC3691" s="2" t="s">
        <v>768</v>
      </c>
      <c r="AD3691" s="4">
        <v>100</v>
      </c>
      <c r="AE3691" s="4">
        <v>310</v>
      </c>
      <c r="AF3691" s="6">
        <v>65</v>
      </c>
      <c r="AG3691" s="6">
        <v>48</v>
      </c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>
        <v>2</v>
      </c>
      <c r="AQ3691" s="8">
        <v>42</v>
      </c>
      <c r="AR3691" s="4"/>
      <c r="AS3691" s="8"/>
      <c r="AT3691" s="7"/>
      <c r="AU3691" s="7"/>
      <c r="AV3691" s="4" t="s">
        <v>100</v>
      </c>
      <c r="AW3691" s="8" t="s">
        <v>100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>
        <v>0.1301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 t="s">
        <v>100</v>
      </c>
      <c r="BJ3691" s="4">
        <v>211</v>
      </c>
      <c r="BK3691" s="8">
        <v>5558.92</v>
      </c>
      <c r="BL3691" s="2" t="s">
        <v>11318</v>
      </c>
      <c r="BM3691" s="7">
        <v>0.0095</v>
      </c>
      <c r="BN3691" s="7">
        <v>0.0076</v>
      </c>
      <c r="BO3691" s="4">
        <v>2</v>
      </c>
      <c r="BP3691" s="8">
        <v>42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5167</v>
      </c>
      <c r="BX3691" s="2" t="s">
        <v>11154</v>
      </c>
      <c r="BY3691" s="2" t="s">
        <v>113</v>
      </c>
      <c r="BZ3691" s="2" t="s">
        <v>100</v>
      </c>
    </row>
    <row r="3692">
      <c r="A3692" s="2" t="s">
        <v>11319</v>
      </c>
      <c r="B3692" s="2" t="s">
        <v>9668</v>
      </c>
      <c r="C3692" s="2" t="s">
        <v>1867</v>
      </c>
      <c r="D3692" s="2" t="s">
        <v>9669</v>
      </c>
      <c r="E3692" s="2" t="s">
        <v>9670</v>
      </c>
      <c r="F3692" s="2" t="s">
        <v>4940</v>
      </c>
      <c r="G3692" s="2" t="s">
        <v>4940</v>
      </c>
      <c r="H3692" s="2" t="s">
        <v>4940</v>
      </c>
      <c r="I3692" s="2" t="s">
        <v>11297</v>
      </c>
      <c r="J3692" s="2" t="s">
        <v>10472</v>
      </c>
      <c r="K3692" s="2" t="s">
        <v>1614</v>
      </c>
      <c r="L3692" s="3">
        <v>25</v>
      </c>
      <c r="M3692" s="3">
        <v>26.25</v>
      </c>
      <c r="N3692" s="3">
        <v>49.99</v>
      </c>
      <c r="O3692" s="2" t="s">
        <v>97</v>
      </c>
      <c r="P3692" s="2" t="s">
        <v>225</v>
      </c>
      <c r="Q3692" s="2" t="s">
        <v>99</v>
      </c>
      <c r="R3692" s="2" t="s">
        <v>100</v>
      </c>
      <c r="S3692" s="2" t="s">
        <v>11311</v>
      </c>
      <c r="T3692" s="2" t="s">
        <v>4940</v>
      </c>
      <c r="U3692" s="2" t="s">
        <v>337</v>
      </c>
      <c r="V3692" s="2" t="s">
        <v>146</v>
      </c>
      <c r="W3692" s="2" t="s">
        <v>183</v>
      </c>
      <c r="X3692" s="2" t="s">
        <v>561</v>
      </c>
      <c r="Y3692" s="2" t="s">
        <v>11312</v>
      </c>
      <c r="Z3692" s="4">
        <v>325</v>
      </c>
      <c r="AA3692" s="4">
        <f>=ROUNDDOWN(32.5,0)</f>
      </c>
      <c r="AB3692" s="5">
        <v>10</v>
      </c>
      <c r="AC3692" s="2" t="s">
        <v>100</v>
      </c>
      <c r="AD3692" s="4"/>
      <c r="AE3692" s="4"/>
      <c r="AF3692" s="6">
        <v>65</v>
      </c>
      <c r="AG3692" s="6">
        <v>48</v>
      </c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100</v>
      </c>
      <c r="AW3692" s="8" t="s">
        <v>100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/>
      <c r="BC3692" s="4" t="s">
        <v>100</v>
      </c>
      <c r="BD3692" s="8" t="s">
        <v>100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 t="s">
        <v>100</v>
      </c>
      <c r="BJ3692" s="4">
        <v>24</v>
      </c>
      <c r="BK3692" s="8">
        <v>720.89</v>
      </c>
      <c r="BL3692" s="2" t="s">
        <v>3621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207</v>
      </c>
      <c r="BV3692" s="2" t="s">
        <v>97</v>
      </c>
      <c r="BW3692" s="2" t="s">
        <v>100</v>
      </c>
      <c r="BX3692" s="2" t="s">
        <v>100</v>
      </c>
      <c r="BY3692" s="2" t="s">
        <v>113</v>
      </c>
      <c r="BZ3692" s="2" t="s">
        <v>100</v>
      </c>
    </row>
    <row r="3693">
      <c r="A3693" s="2" t="s">
        <v>11320</v>
      </c>
      <c r="B3693" s="2" t="s">
        <v>9668</v>
      </c>
      <c r="C3693" s="2" t="s">
        <v>1867</v>
      </c>
      <c r="D3693" s="2" t="s">
        <v>9669</v>
      </c>
      <c r="E3693" s="2" t="s">
        <v>9670</v>
      </c>
      <c r="F3693" s="2" t="s">
        <v>4940</v>
      </c>
      <c r="G3693" s="2" t="s">
        <v>4940</v>
      </c>
      <c r="H3693" s="2" t="s">
        <v>4940</v>
      </c>
      <c r="I3693" s="2" t="s">
        <v>11297</v>
      </c>
      <c r="J3693" s="2" t="s">
        <v>1936</v>
      </c>
      <c r="K3693" s="2" t="s">
        <v>432</v>
      </c>
      <c r="L3693" s="3">
        <v>12.48</v>
      </c>
      <c r="M3693" s="3">
        <v>13.1</v>
      </c>
      <c r="N3693" s="3">
        <v>27.99</v>
      </c>
      <c r="O3693" s="2" t="s">
        <v>97</v>
      </c>
      <c r="P3693" s="2" t="s">
        <v>225</v>
      </c>
      <c r="Q3693" s="2" t="s">
        <v>99</v>
      </c>
      <c r="R3693" s="2" t="s">
        <v>100</v>
      </c>
      <c r="S3693" s="2" t="s">
        <v>11321</v>
      </c>
      <c r="T3693" s="2" t="s">
        <v>4940</v>
      </c>
      <c r="U3693" s="2" t="s">
        <v>402</v>
      </c>
      <c r="V3693" s="2" t="s">
        <v>146</v>
      </c>
      <c r="W3693" s="2" t="s">
        <v>183</v>
      </c>
      <c r="X3693" s="2" t="s">
        <v>561</v>
      </c>
      <c r="Y3693" s="2" t="s">
        <v>11299</v>
      </c>
      <c r="Z3693" s="4">
        <v>1710</v>
      </c>
      <c r="AA3693" s="4">
        <f>=ROUNDDOWN(95,0)</f>
      </c>
      <c r="AB3693" s="5">
        <v>18</v>
      </c>
      <c r="AC3693" s="2" t="s">
        <v>100</v>
      </c>
      <c r="AD3693" s="4"/>
      <c r="AE3693" s="4"/>
      <c r="AF3693" s="6">
        <v>65</v>
      </c>
      <c r="AG3693" s="6">
        <v>48</v>
      </c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>
        <v>13</v>
      </c>
      <c r="AW3693" s="8">
        <v>294.84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/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>
        <v>0.1087</v>
      </c>
      <c r="BJ3693" s="4">
        <v>128</v>
      </c>
      <c r="BK3693" s="8">
        <v>2001.9</v>
      </c>
      <c r="BL3693" s="2" t="s">
        <v>3641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207</v>
      </c>
      <c r="BV3693" s="2" t="s">
        <v>97</v>
      </c>
      <c r="BW3693" s="2" t="s">
        <v>100</v>
      </c>
      <c r="BX3693" s="2" t="s">
        <v>100</v>
      </c>
      <c r="BY3693" s="2" t="s">
        <v>113</v>
      </c>
      <c r="BZ3693" s="2" t="s">
        <v>100</v>
      </c>
    </row>
    <row r="3694">
      <c r="A3694" s="2" t="s">
        <v>11322</v>
      </c>
      <c r="B3694" s="2" t="s">
        <v>9668</v>
      </c>
      <c r="C3694" s="2" t="s">
        <v>1867</v>
      </c>
      <c r="D3694" s="2" t="s">
        <v>9669</v>
      </c>
      <c r="E3694" s="2" t="s">
        <v>9670</v>
      </c>
      <c r="F3694" s="2" t="s">
        <v>4940</v>
      </c>
      <c r="G3694" s="2" t="s">
        <v>4940</v>
      </c>
      <c r="H3694" s="2" t="s">
        <v>4940</v>
      </c>
      <c r="I3694" s="2" t="s">
        <v>11301</v>
      </c>
      <c r="J3694" s="2" t="s">
        <v>817</v>
      </c>
      <c r="K3694" s="2" t="s">
        <v>432</v>
      </c>
      <c r="L3694" s="3">
        <v>21.5</v>
      </c>
      <c r="M3694" s="3">
        <v>22.58</v>
      </c>
      <c r="N3694" s="3">
        <v>42.99</v>
      </c>
      <c r="O3694" s="2" t="s">
        <v>97</v>
      </c>
      <c r="P3694" s="2" t="s">
        <v>119</v>
      </c>
      <c r="Q3694" s="2" t="s">
        <v>99</v>
      </c>
      <c r="R3694" s="2" t="s">
        <v>100</v>
      </c>
      <c r="S3694" s="2" t="s">
        <v>11321</v>
      </c>
      <c r="T3694" s="2" t="s">
        <v>4940</v>
      </c>
      <c r="U3694" s="2" t="s">
        <v>102</v>
      </c>
      <c r="V3694" s="2" t="s">
        <v>146</v>
      </c>
      <c r="W3694" s="2" t="s">
        <v>673</v>
      </c>
      <c r="X3694" s="2" t="s">
        <v>183</v>
      </c>
      <c r="Y3694" s="2" t="s">
        <v>11323</v>
      </c>
      <c r="Z3694" s="4">
        <v>377</v>
      </c>
      <c r="AA3694" s="4">
        <f>=ROUNDDOWN(31.4166666666667,0)</f>
      </c>
      <c r="AB3694" s="5">
        <v>12</v>
      </c>
      <c r="AC3694" s="2" t="s">
        <v>872</v>
      </c>
      <c r="AD3694" s="4">
        <v>150</v>
      </c>
      <c r="AE3694" s="4">
        <v>200</v>
      </c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>
        <v>13</v>
      </c>
      <c r="AQ3694" s="8">
        <v>294.84</v>
      </c>
      <c r="AR3694" s="4"/>
      <c r="AS3694" s="8"/>
      <c r="AT3694" s="7"/>
      <c r="AU3694" s="7"/>
      <c r="AV3694" s="4" t="s">
        <v>100</v>
      </c>
      <c r="AW3694" s="8" t="s">
        <v>100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>
        <v>1</v>
      </c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 t="s">
        <v>100</v>
      </c>
      <c r="BJ3694" s="4">
        <v>207</v>
      </c>
      <c r="BK3694" s="8">
        <v>5101.91</v>
      </c>
      <c r="BL3694" s="2" t="s">
        <v>11324</v>
      </c>
      <c r="BM3694" s="7">
        <v>0.0628</v>
      </c>
      <c r="BN3694" s="7">
        <v>0.0578</v>
      </c>
      <c r="BO3694" s="4">
        <v>13</v>
      </c>
      <c r="BP3694" s="8">
        <v>294.84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725</v>
      </c>
      <c r="BX3694" s="2" t="s">
        <v>11325</v>
      </c>
      <c r="BY3694" s="2" t="s">
        <v>113</v>
      </c>
      <c r="BZ3694" s="2" t="s">
        <v>100</v>
      </c>
    </row>
    <row r="3695">
      <c r="A3695" s="2" t="s">
        <v>11326</v>
      </c>
      <c r="B3695" s="2" t="s">
        <v>9668</v>
      </c>
      <c r="C3695" s="2" t="s">
        <v>1867</v>
      </c>
      <c r="D3695" s="2" t="s">
        <v>9669</v>
      </c>
      <c r="E3695" s="2" t="s">
        <v>9670</v>
      </c>
      <c r="F3695" s="2" t="s">
        <v>4940</v>
      </c>
      <c r="G3695" s="2" t="s">
        <v>4940</v>
      </c>
      <c r="H3695" s="2" t="s">
        <v>4940</v>
      </c>
      <c r="I3695" s="2" t="s">
        <v>11297</v>
      </c>
      <c r="J3695" s="2" t="s">
        <v>1936</v>
      </c>
      <c r="K3695" s="2" t="s">
        <v>198</v>
      </c>
      <c r="L3695" s="3">
        <v>12.48</v>
      </c>
      <c r="M3695" s="3">
        <v>13.1</v>
      </c>
      <c r="N3695" s="3">
        <v>27.99</v>
      </c>
      <c r="O3695" s="2" t="s">
        <v>97</v>
      </c>
      <c r="P3695" s="2" t="s">
        <v>225</v>
      </c>
      <c r="Q3695" s="2" t="s">
        <v>99</v>
      </c>
      <c r="R3695" s="2" t="s">
        <v>100</v>
      </c>
      <c r="S3695" s="2" t="s">
        <v>11327</v>
      </c>
      <c r="T3695" s="2" t="s">
        <v>4940</v>
      </c>
      <c r="U3695" s="2" t="s">
        <v>402</v>
      </c>
      <c r="V3695" s="2" t="s">
        <v>146</v>
      </c>
      <c r="W3695" s="2" t="s">
        <v>183</v>
      </c>
      <c r="X3695" s="2" t="s">
        <v>561</v>
      </c>
      <c r="Y3695" s="2" t="s">
        <v>11299</v>
      </c>
      <c r="Z3695" s="4">
        <v>2731</v>
      </c>
      <c r="AA3695" s="4">
        <f>=ROUNDDOWN(170.6875,0)</f>
      </c>
      <c r="AB3695" s="5">
        <v>16</v>
      </c>
      <c r="AC3695" s="2" t="s">
        <v>100</v>
      </c>
      <c r="AD3695" s="4"/>
      <c r="AE3695" s="4"/>
      <c r="AF3695" s="6">
        <v>65</v>
      </c>
      <c r="AG3695" s="6">
        <v>48</v>
      </c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>
        <v>13</v>
      </c>
      <c r="AW3695" s="8">
        <v>260.88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/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>
        <v>0.0962</v>
      </c>
      <c r="BJ3695" s="4">
        <v>99</v>
      </c>
      <c r="BK3695" s="8">
        <v>2121.35</v>
      </c>
      <c r="BL3695" s="2" t="s">
        <v>11328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207</v>
      </c>
      <c r="BV3695" s="2" t="s">
        <v>97</v>
      </c>
      <c r="BW3695" s="2" t="s">
        <v>100</v>
      </c>
      <c r="BX3695" s="2" t="s">
        <v>100</v>
      </c>
      <c r="BY3695" s="2" t="s">
        <v>113</v>
      </c>
      <c r="BZ3695" s="2" t="s">
        <v>100</v>
      </c>
    </row>
    <row r="3696">
      <c r="A3696" s="2" t="s">
        <v>11329</v>
      </c>
      <c r="B3696" s="2" t="s">
        <v>9668</v>
      </c>
      <c r="C3696" s="2" t="s">
        <v>1867</v>
      </c>
      <c r="D3696" s="2" t="s">
        <v>9669</v>
      </c>
      <c r="E3696" s="2" t="s">
        <v>9670</v>
      </c>
      <c r="F3696" s="2" t="s">
        <v>4940</v>
      </c>
      <c r="G3696" s="2" t="s">
        <v>4940</v>
      </c>
      <c r="H3696" s="2" t="s">
        <v>4940</v>
      </c>
      <c r="I3696" s="2" t="s">
        <v>11301</v>
      </c>
      <c r="J3696" s="2" t="s">
        <v>706</v>
      </c>
      <c r="K3696" s="2" t="s">
        <v>198</v>
      </c>
      <c r="L3696" s="3">
        <v>19</v>
      </c>
      <c r="M3696" s="3">
        <v>19.95</v>
      </c>
      <c r="N3696" s="3">
        <v>37.99</v>
      </c>
      <c r="O3696" s="2" t="s">
        <v>97</v>
      </c>
      <c r="P3696" s="2" t="s">
        <v>307</v>
      </c>
      <c r="Q3696" s="2" t="s">
        <v>99</v>
      </c>
      <c r="R3696" s="2" t="s">
        <v>100</v>
      </c>
      <c r="S3696" s="2" t="s">
        <v>11327</v>
      </c>
      <c r="T3696" s="2" t="s">
        <v>4940</v>
      </c>
      <c r="U3696" s="2" t="s">
        <v>102</v>
      </c>
      <c r="V3696" s="2" t="s">
        <v>146</v>
      </c>
      <c r="W3696" s="2" t="s">
        <v>673</v>
      </c>
      <c r="X3696" s="2" t="s">
        <v>183</v>
      </c>
      <c r="Y3696" s="2" t="s">
        <v>11323</v>
      </c>
      <c r="Z3696" s="4">
        <v>7981</v>
      </c>
      <c r="AA3696" s="4">
        <f>=ROUNDDOWN(60.9236641221374,0)</f>
      </c>
      <c r="AB3696" s="5">
        <v>131</v>
      </c>
      <c r="AC3696" s="2" t="s">
        <v>148</v>
      </c>
      <c r="AD3696" s="4">
        <v>250</v>
      </c>
      <c r="AE3696" s="4">
        <v>250</v>
      </c>
      <c r="AF3696" s="6">
        <v>65</v>
      </c>
      <c r="AG3696" s="6">
        <v>48</v>
      </c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12</v>
      </c>
      <c r="AQ3696" s="8">
        <v>238.2</v>
      </c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>
        <v>0.9131</v>
      </c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 t="s">
        <v>100</v>
      </c>
      <c r="BJ3696" s="4">
        <v>2885</v>
      </c>
      <c r="BK3696" s="8">
        <v>75901.01</v>
      </c>
      <c r="BL3696" s="2" t="s">
        <v>11330</v>
      </c>
      <c r="BM3696" s="7">
        <v>0.0042</v>
      </c>
      <c r="BN3696" s="7">
        <v>0.0031</v>
      </c>
      <c r="BO3696" s="4">
        <v>12</v>
      </c>
      <c r="BP3696" s="8">
        <v>238.2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725</v>
      </c>
      <c r="BX3696" s="2" t="s">
        <v>11331</v>
      </c>
      <c r="BY3696" s="2" t="s">
        <v>113</v>
      </c>
      <c r="BZ3696" s="2" t="s">
        <v>100</v>
      </c>
    </row>
    <row r="3697">
      <c r="A3697" s="2" t="s">
        <v>11332</v>
      </c>
      <c r="B3697" s="2" t="s">
        <v>9668</v>
      </c>
      <c r="C3697" s="2" t="s">
        <v>1867</v>
      </c>
      <c r="D3697" s="2" t="s">
        <v>9669</v>
      </c>
      <c r="E3697" s="2" t="s">
        <v>9670</v>
      </c>
      <c r="F3697" s="2" t="s">
        <v>4940</v>
      </c>
      <c r="G3697" s="2" t="s">
        <v>4940</v>
      </c>
      <c r="H3697" s="2" t="s">
        <v>4940</v>
      </c>
      <c r="I3697" s="2" t="s">
        <v>11301</v>
      </c>
      <c r="J3697" s="2" t="s">
        <v>817</v>
      </c>
      <c r="K3697" s="2" t="s">
        <v>198</v>
      </c>
      <c r="L3697" s="3">
        <v>21.5</v>
      </c>
      <c r="M3697" s="3">
        <v>22.58</v>
      </c>
      <c r="N3697" s="3">
        <v>42.99</v>
      </c>
      <c r="O3697" s="2" t="s">
        <v>97</v>
      </c>
      <c r="P3697" s="2" t="s">
        <v>950</v>
      </c>
      <c r="Q3697" s="2" t="s">
        <v>99</v>
      </c>
      <c r="R3697" s="2" t="s">
        <v>100</v>
      </c>
      <c r="S3697" s="2" t="s">
        <v>11327</v>
      </c>
      <c r="T3697" s="2" t="s">
        <v>4940</v>
      </c>
      <c r="U3697" s="2" t="s">
        <v>102</v>
      </c>
      <c r="V3697" s="2" t="s">
        <v>146</v>
      </c>
      <c r="W3697" s="2" t="s">
        <v>673</v>
      </c>
      <c r="X3697" s="2" t="s">
        <v>183</v>
      </c>
      <c r="Y3697" s="2" t="s">
        <v>11323</v>
      </c>
      <c r="Z3697" s="4">
        <v>738</v>
      </c>
      <c r="AA3697" s="4">
        <f>=ROUNDDOWN(30.75,0)</f>
      </c>
      <c r="AB3697" s="5">
        <v>24</v>
      </c>
      <c r="AC3697" s="2" t="s">
        <v>872</v>
      </c>
      <c r="AD3697" s="4">
        <v>200</v>
      </c>
      <c r="AE3697" s="4">
        <v>400</v>
      </c>
      <c r="AF3697" s="6">
        <v>65</v>
      </c>
      <c r="AG3697" s="6">
        <v>48</v>
      </c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/>
      <c r="AP3697" s="4">
        <v>1</v>
      </c>
      <c r="AQ3697" s="8">
        <v>22.68</v>
      </c>
      <c r="AR3697" s="4"/>
      <c r="AS3697" s="8"/>
      <c r="AT3697" s="7"/>
      <c r="AU3697" s="7"/>
      <c r="AV3697" s="4" t="s">
        <v>100</v>
      </c>
      <c r="AW3697" s="8" t="s">
        <v>100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>
        <v>0.0869</v>
      </c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 t="s">
        <v>100</v>
      </c>
      <c r="BJ3697" s="4">
        <v>510</v>
      </c>
      <c r="BK3697" s="8">
        <v>15504.36</v>
      </c>
      <c r="BL3697" s="2" t="s">
        <v>11306</v>
      </c>
      <c r="BM3697" s="7">
        <v>0.002</v>
      </c>
      <c r="BN3697" s="7">
        <v>0.0015</v>
      </c>
      <c r="BO3697" s="4">
        <v>1</v>
      </c>
      <c r="BP3697" s="8">
        <v>22.68</v>
      </c>
      <c r="BQ3697" s="4"/>
      <c r="BR3697" s="8"/>
      <c r="BS3697" s="7"/>
      <c r="BT3697" s="7"/>
      <c r="BU3697" s="2" t="s">
        <v>109</v>
      </c>
      <c r="BV3697" s="2" t="s">
        <v>110</v>
      </c>
      <c r="BW3697" s="2" t="s">
        <v>725</v>
      </c>
      <c r="BX3697" s="2" t="s">
        <v>11333</v>
      </c>
      <c r="BY3697" s="2" t="s">
        <v>113</v>
      </c>
      <c r="BZ3697" s="2" t="s">
        <v>100</v>
      </c>
    </row>
    <row r="3698">
      <c r="A3698" s="2" t="s">
        <v>11334</v>
      </c>
      <c r="B3698" s="2" t="s">
        <v>9668</v>
      </c>
      <c r="C3698" s="2" t="s">
        <v>1867</v>
      </c>
      <c r="D3698" s="2" t="s">
        <v>9669</v>
      </c>
      <c r="E3698" s="2" t="s">
        <v>9670</v>
      </c>
      <c r="F3698" s="2" t="s">
        <v>4940</v>
      </c>
      <c r="G3698" s="2" t="s">
        <v>4940</v>
      </c>
      <c r="H3698" s="2" t="s">
        <v>4940</v>
      </c>
      <c r="I3698" s="2" t="s">
        <v>11297</v>
      </c>
      <c r="J3698" s="2" t="s">
        <v>10472</v>
      </c>
      <c r="K3698" s="2" t="s">
        <v>198</v>
      </c>
      <c r="L3698" s="3">
        <v>25</v>
      </c>
      <c r="M3698" s="3">
        <v>26.25</v>
      </c>
      <c r="N3698" s="3">
        <v>49.99</v>
      </c>
      <c r="O3698" s="2" t="s">
        <v>97</v>
      </c>
      <c r="P3698" s="2" t="s">
        <v>225</v>
      </c>
      <c r="Q3698" s="2" t="s">
        <v>99</v>
      </c>
      <c r="R3698" s="2" t="s">
        <v>100</v>
      </c>
      <c r="S3698" s="2" t="s">
        <v>11327</v>
      </c>
      <c r="T3698" s="2" t="s">
        <v>4940</v>
      </c>
      <c r="U3698" s="2" t="s">
        <v>337</v>
      </c>
      <c r="V3698" s="2" t="s">
        <v>146</v>
      </c>
      <c r="W3698" s="2" t="s">
        <v>183</v>
      </c>
      <c r="X3698" s="2" t="s">
        <v>561</v>
      </c>
      <c r="Y3698" s="2" t="s">
        <v>11299</v>
      </c>
      <c r="Z3698" s="4">
        <v>519</v>
      </c>
      <c r="AA3698" s="4">
        <f>=ROUNDDOWN(64.875,0)</f>
      </c>
      <c r="AB3698" s="5">
        <v>8</v>
      </c>
      <c r="AC3698" s="2" t="s">
        <v>100</v>
      </c>
      <c r="AD3698" s="4"/>
      <c r="AE3698" s="4"/>
      <c r="AF3698" s="6">
        <v>65</v>
      </c>
      <c r="AG3698" s="6">
        <v>48</v>
      </c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/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 t="s">
        <v>100</v>
      </c>
      <c r="BJ3698" s="4">
        <v>61</v>
      </c>
      <c r="BK3698" s="8">
        <v>1839.22</v>
      </c>
      <c r="BL3698" s="2" t="s">
        <v>3641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207</v>
      </c>
      <c r="BV3698" s="2" t="s">
        <v>97</v>
      </c>
      <c r="BW3698" s="2" t="s">
        <v>100</v>
      </c>
      <c r="BX3698" s="2" t="s">
        <v>100</v>
      </c>
      <c r="BY3698" s="2" t="s">
        <v>113</v>
      </c>
      <c r="BZ3698" s="2" t="s">
        <v>100</v>
      </c>
    </row>
    <row r="3699">
      <c r="A3699" s="2" t="s">
        <v>11335</v>
      </c>
      <c r="B3699" s="2" t="s">
        <v>9668</v>
      </c>
      <c r="C3699" s="2" t="s">
        <v>1867</v>
      </c>
      <c r="D3699" s="2" t="s">
        <v>9669</v>
      </c>
      <c r="E3699" s="2" t="s">
        <v>9670</v>
      </c>
      <c r="F3699" s="2" t="s">
        <v>4940</v>
      </c>
      <c r="G3699" s="2" t="s">
        <v>4940</v>
      </c>
      <c r="H3699" s="2" t="s">
        <v>4940</v>
      </c>
      <c r="I3699" s="2" t="s">
        <v>11297</v>
      </c>
      <c r="J3699" s="2" t="s">
        <v>1936</v>
      </c>
      <c r="K3699" s="2" t="s">
        <v>3515</v>
      </c>
      <c r="L3699" s="3">
        <v>12.48</v>
      </c>
      <c r="M3699" s="3">
        <v>13.1</v>
      </c>
      <c r="N3699" s="3">
        <v>27.99</v>
      </c>
      <c r="O3699" s="2" t="s">
        <v>97</v>
      </c>
      <c r="P3699" s="2" t="s">
        <v>225</v>
      </c>
      <c r="Q3699" s="2" t="s">
        <v>99</v>
      </c>
      <c r="R3699" s="2" t="s">
        <v>100</v>
      </c>
      <c r="S3699" s="2" t="s">
        <v>11336</v>
      </c>
      <c r="T3699" s="2" t="s">
        <v>4940</v>
      </c>
      <c r="U3699" s="2" t="s">
        <v>402</v>
      </c>
      <c r="V3699" s="2" t="s">
        <v>146</v>
      </c>
      <c r="W3699" s="2" t="s">
        <v>183</v>
      </c>
      <c r="X3699" s="2" t="s">
        <v>561</v>
      </c>
      <c r="Y3699" s="2" t="s">
        <v>11299</v>
      </c>
      <c r="Z3699" s="4">
        <v>1402</v>
      </c>
      <c r="AA3699" s="4">
        <f>=ROUNDDOWN(140.2,0)</f>
      </c>
      <c r="AB3699" s="5">
        <v>10</v>
      </c>
      <c r="AC3699" s="2" t="s">
        <v>100</v>
      </c>
      <c r="AD3699" s="4"/>
      <c r="AE3699" s="4"/>
      <c r="AF3699" s="6">
        <v>65</v>
      </c>
      <c r="AG3699" s="6">
        <v>48</v>
      </c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>
        <v>7</v>
      </c>
      <c r="AW3699" s="8">
        <v>133.14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0.0491</v>
      </c>
      <c r="BJ3699" s="4">
        <v>72</v>
      </c>
      <c r="BK3699" s="8">
        <v>1250.23</v>
      </c>
      <c r="BL3699" s="2" t="s">
        <v>11309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207</v>
      </c>
      <c r="BV3699" s="2" t="s">
        <v>97</v>
      </c>
      <c r="BW3699" s="2" t="s">
        <v>100</v>
      </c>
      <c r="BX3699" s="2" t="s">
        <v>100</v>
      </c>
      <c r="BY3699" s="2" t="s">
        <v>113</v>
      </c>
      <c r="BZ3699" s="2" t="s">
        <v>100</v>
      </c>
    </row>
    <row r="3700">
      <c r="A3700" s="2" t="s">
        <v>11337</v>
      </c>
      <c r="B3700" s="2" t="s">
        <v>9668</v>
      </c>
      <c r="C3700" s="2" t="s">
        <v>1867</v>
      </c>
      <c r="D3700" s="2" t="s">
        <v>9669</v>
      </c>
      <c r="E3700" s="2" t="s">
        <v>9670</v>
      </c>
      <c r="F3700" s="2" t="s">
        <v>4940</v>
      </c>
      <c r="G3700" s="2" t="s">
        <v>4940</v>
      </c>
      <c r="H3700" s="2" t="s">
        <v>4940</v>
      </c>
      <c r="I3700" s="2" t="s">
        <v>11301</v>
      </c>
      <c r="J3700" s="2" t="s">
        <v>717</v>
      </c>
      <c r="K3700" s="2" t="s">
        <v>3515</v>
      </c>
      <c r="L3700" s="3">
        <v>16.5</v>
      </c>
      <c r="M3700" s="3">
        <v>17.32</v>
      </c>
      <c r="N3700" s="3">
        <v>32.99</v>
      </c>
      <c r="O3700" s="2" t="s">
        <v>97</v>
      </c>
      <c r="P3700" s="2" t="s">
        <v>950</v>
      </c>
      <c r="Q3700" s="2" t="s">
        <v>99</v>
      </c>
      <c r="R3700" s="2" t="s">
        <v>100</v>
      </c>
      <c r="S3700" s="2" t="s">
        <v>11336</v>
      </c>
      <c r="T3700" s="2" t="s">
        <v>4940</v>
      </c>
      <c r="U3700" s="2" t="s">
        <v>102</v>
      </c>
      <c r="V3700" s="2" t="s">
        <v>146</v>
      </c>
      <c r="W3700" s="2" t="s">
        <v>183</v>
      </c>
      <c r="X3700" s="2" t="s">
        <v>561</v>
      </c>
      <c r="Y3700" s="2" t="s">
        <v>8928</v>
      </c>
      <c r="Z3700" s="4">
        <v>1595</v>
      </c>
      <c r="AA3700" s="4">
        <f>=ROUNDDOWN(63.8,0)</f>
      </c>
      <c r="AB3700" s="5">
        <v>25</v>
      </c>
      <c r="AC3700" s="2" t="s">
        <v>768</v>
      </c>
      <c r="AD3700" s="4">
        <v>200</v>
      </c>
      <c r="AE3700" s="4">
        <v>900</v>
      </c>
      <c r="AF3700" s="6">
        <v>65</v>
      </c>
      <c r="AG3700" s="6">
        <v>48</v>
      </c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>
        <v>3</v>
      </c>
      <c r="AQ3700" s="8">
        <v>49.14</v>
      </c>
      <c r="AR3700" s="4"/>
      <c r="AS3700" s="8"/>
      <c r="AT3700" s="7"/>
      <c r="AU3700" s="7"/>
      <c r="AV3700" s="4" t="s">
        <v>100</v>
      </c>
      <c r="AW3700" s="8" t="s">
        <v>100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>
        <v>0.3691</v>
      </c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 t="s">
        <v>100</v>
      </c>
      <c r="BJ3700" s="4">
        <v>745</v>
      </c>
      <c r="BK3700" s="8">
        <v>14320.09</v>
      </c>
      <c r="BL3700" s="2" t="s">
        <v>11338</v>
      </c>
      <c r="BM3700" s="7">
        <v>0.004</v>
      </c>
      <c r="BN3700" s="7">
        <v>0.0034</v>
      </c>
      <c r="BO3700" s="4">
        <v>3</v>
      </c>
      <c r="BP3700" s="8">
        <v>49.14</v>
      </c>
      <c r="BQ3700" s="4"/>
      <c r="BR3700" s="8"/>
      <c r="BS3700" s="7"/>
      <c r="BT3700" s="7"/>
      <c r="BU3700" s="2" t="s">
        <v>109</v>
      </c>
      <c r="BV3700" s="2" t="s">
        <v>110</v>
      </c>
      <c r="BW3700" s="2" t="s">
        <v>4847</v>
      </c>
      <c r="BX3700" s="2" t="s">
        <v>11339</v>
      </c>
      <c r="BY3700" s="2" t="s">
        <v>113</v>
      </c>
      <c r="BZ3700" s="2" t="s">
        <v>100</v>
      </c>
    </row>
    <row r="3701">
      <c r="A3701" s="2" t="s">
        <v>11340</v>
      </c>
      <c r="B3701" s="2" t="s">
        <v>9668</v>
      </c>
      <c r="C3701" s="2" t="s">
        <v>1867</v>
      </c>
      <c r="D3701" s="2" t="s">
        <v>9669</v>
      </c>
      <c r="E3701" s="2" t="s">
        <v>9670</v>
      </c>
      <c r="F3701" s="2" t="s">
        <v>4940</v>
      </c>
      <c r="G3701" s="2" t="s">
        <v>4940</v>
      </c>
      <c r="H3701" s="2" t="s">
        <v>4940</v>
      </c>
      <c r="I3701" s="2" t="s">
        <v>11301</v>
      </c>
      <c r="J3701" s="2" t="s">
        <v>714</v>
      </c>
      <c r="K3701" s="2" t="s">
        <v>3515</v>
      </c>
      <c r="L3701" s="3">
        <v>21.5</v>
      </c>
      <c r="M3701" s="3">
        <v>22.58</v>
      </c>
      <c r="N3701" s="3">
        <v>42.99</v>
      </c>
      <c r="O3701" s="2" t="s">
        <v>97</v>
      </c>
      <c r="P3701" s="2" t="s">
        <v>950</v>
      </c>
      <c r="Q3701" s="2" t="s">
        <v>99</v>
      </c>
      <c r="R3701" s="2" t="s">
        <v>100</v>
      </c>
      <c r="S3701" s="2" t="s">
        <v>11336</v>
      </c>
      <c r="T3701" s="2" t="s">
        <v>4940</v>
      </c>
      <c r="U3701" s="2" t="s">
        <v>102</v>
      </c>
      <c r="V3701" s="2" t="s">
        <v>146</v>
      </c>
      <c r="W3701" s="2" t="s">
        <v>183</v>
      </c>
      <c r="X3701" s="2" t="s">
        <v>561</v>
      </c>
      <c r="Y3701" s="2" t="s">
        <v>8928</v>
      </c>
      <c r="Z3701" s="4">
        <v>1788</v>
      </c>
      <c r="AA3701" s="4">
        <f>=ROUNDDOWN(71.52,0)</f>
      </c>
      <c r="AB3701" s="5">
        <v>25</v>
      </c>
      <c r="AC3701" s="2" t="s">
        <v>768</v>
      </c>
      <c r="AD3701" s="4">
        <v>200</v>
      </c>
      <c r="AE3701" s="4">
        <v>200</v>
      </c>
      <c r="AF3701" s="6">
        <v>65</v>
      </c>
      <c r="AG3701" s="6">
        <v>48</v>
      </c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>
        <v>4</v>
      </c>
      <c r="AQ3701" s="8">
        <v>84</v>
      </c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>
        <v>0.6309</v>
      </c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 t="s">
        <v>100</v>
      </c>
      <c r="BJ3701" s="4">
        <v>820</v>
      </c>
      <c r="BK3701" s="8">
        <v>23435.11</v>
      </c>
      <c r="BL3701" s="2" t="s">
        <v>11341</v>
      </c>
      <c r="BM3701" s="7">
        <v>0.0049</v>
      </c>
      <c r="BN3701" s="7">
        <v>0.0036</v>
      </c>
      <c r="BO3701" s="4">
        <v>4</v>
      </c>
      <c r="BP3701" s="8">
        <v>84</v>
      </c>
      <c r="BQ3701" s="4"/>
      <c r="BR3701" s="8"/>
      <c r="BS3701" s="7"/>
      <c r="BT3701" s="7"/>
      <c r="BU3701" s="2" t="s">
        <v>109</v>
      </c>
      <c r="BV3701" s="2" t="s">
        <v>110</v>
      </c>
      <c r="BW3701" s="2" t="s">
        <v>11342</v>
      </c>
      <c r="BX3701" s="2" t="s">
        <v>4484</v>
      </c>
      <c r="BY3701" s="2" t="s">
        <v>113</v>
      </c>
      <c r="BZ3701" s="2" t="s">
        <v>100</v>
      </c>
    </row>
    <row r="3702">
      <c r="A3702" s="2" t="s">
        <v>11343</v>
      </c>
      <c r="B3702" s="2" t="s">
        <v>9668</v>
      </c>
      <c r="C3702" s="2" t="s">
        <v>1867</v>
      </c>
      <c r="D3702" s="2" t="s">
        <v>9669</v>
      </c>
      <c r="E3702" s="2" t="s">
        <v>9670</v>
      </c>
      <c r="F3702" s="2" t="s">
        <v>4940</v>
      </c>
      <c r="G3702" s="2" t="s">
        <v>4940</v>
      </c>
      <c r="H3702" s="2" t="s">
        <v>4940</v>
      </c>
      <c r="I3702" s="2" t="s">
        <v>11297</v>
      </c>
      <c r="J3702" s="2" t="s">
        <v>1936</v>
      </c>
      <c r="K3702" s="2" t="s">
        <v>189</v>
      </c>
      <c r="L3702" s="3">
        <v>12.48</v>
      </c>
      <c r="M3702" s="3">
        <v>13.1</v>
      </c>
      <c r="N3702" s="3">
        <v>27.99</v>
      </c>
      <c r="O3702" s="2" t="s">
        <v>97</v>
      </c>
      <c r="P3702" s="2" t="s">
        <v>225</v>
      </c>
      <c r="Q3702" s="2" t="s">
        <v>99</v>
      </c>
      <c r="R3702" s="2" t="s">
        <v>100</v>
      </c>
      <c r="S3702" s="2" t="s">
        <v>11344</v>
      </c>
      <c r="T3702" s="2" t="s">
        <v>4940</v>
      </c>
      <c r="U3702" s="2" t="s">
        <v>402</v>
      </c>
      <c r="V3702" s="2" t="s">
        <v>146</v>
      </c>
      <c r="W3702" s="2" t="s">
        <v>183</v>
      </c>
      <c r="X3702" s="2" t="s">
        <v>561</v>
      </c>
      <c r="Y3702" s="2" t="s">
        <v>1233</v>
      </c>
      <c r="Z3702" s="4">
        <v>1156</v>
      </c>
      <c r="AA3702" s="4">
        <f>=ROUNDDOWN(88.9230769230769,0)</f>
      </c>
      <c r="AB3702" s="5">
        <v>13</v>
      </c>
      <c r="AC3702" s="2" t="s">
        <v>100</v>
      </c>
      <c r="AD3702" s="4"/>
      <c r="AE3702" s="4"/>
      <c r="AF3702" s="6">
        <v>65</v>
      </c>
      <c r="AG3702" s="6">
        <v>48</v>
      </c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>
        <v>5</v>
      </c>
      <c r="AW3702" s="8">
        <v>95.76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0.0353</v>
      </c>
      <c r="BJ3702" s="4">
        <v>52</v>
      </c>
      <c r="BK3702" s="8">
        <v>750.49</v>
      </c>
      <c r="BL3702" s="2" t="s">
        <v>3641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207</v>
      </c>
      <c r="BV3702" s="2" t="s">
        <v>97</v>
      </c>
      <c r="BW3702" s="2" t="s">
        <v>100</v>
      </c>
      <c r="BX3702" s="2" t="s">
        <v>100</v>
      </c>
      <c r="BY3702" s="2" t="s">
        <v>113</v>
      </c>
      <c r="BZ3702" s="2" t="s">
        <v>100</v>
      </c>
    </row>
    <row r="3703">
      <c r="A3703" s="2" t="s">
        <v>11345</v>
      </c>
      <c r="B3703" s="2" t="s">
        <v>9668</v>
      </c>
      <c r="C3703" s="2" t="s">
        <v>1867</v>
      </c>
      <c r="D3703" s="2" t="s">
        <v>9669</v>
      </c>
      <c r="E3703" s="2" t="s">
        <v>9670</v>
      </c>
      <c r="F3703" s="2" t="s">
        <v>4940</v>
      </c>
      <c r="G3703" s="2" t="s">
        <v>4940</v>
      </c>
      <c r="H3703" s="2" t="s">
        <v>4940</v>
      </c>
      <c r="I3703" s="2" t="s">
        <v>11301</v>
      </c>
      <c r="J3703" s="2" t="s">
        <v>717</v>
      </c>
      <c r="K3703" s="2" t="s">
        <v>189</v>
      </c>
      <c r="L3703" s="3">
        <v>16.5</v>
      </c>
      <c r="M3703" s="3">
        <v>17.32</v>
      </c>
      <c r="N3703" s="3">
        <v>32.99</v>
      </c>
      <c r="O3703" s="2" t="s">
        <v>97</v>
      </c>
      <c r="P3703" s="2" t="s">
        <v>119</v>
      </c>
      <c r="Q3703" s="2" t="s">
        <v>99</v>
      </c>
      <c r="R3703" s="2" t="s">
        <v>100</v>
      </c>
      <c r="S3703" s="2" t="s">
        <v>11344</v>
      </c>
      <c r="T3703" s="2" t="s">
        <v>4940</v>
      </c>
      <c r="U3703" s="2" t="s">
        <v>102</v>
      </c>
      <c r="V3703" s="2" t="s">
        <v>146</v>
      </c>
      <c r="W3703" s="2" t="s">
        <v>183</v>
      </c>
      <c r="X3703" s="2" t="s">
        <v>561</v>
      </c>
      <c r="Y3703" s="2" t="s">
        <v>8928</v>
      </c>
      <c r="Z3703" s="4">
        <v>742</v>
      </c>
      <c r="AA3703" s="4">
        <f>=ROUNDDOWN(26.5,0)</f>
      </c>
      <c r="AB3703" s="5">
        <v>28</v>
      </c>
      <c r="AC3703" s="2" t="s">
        <v>768</v>
      </c>
      <c r="AD3703" s="4">
        <v>680</v>
      </c>
      <c r="AE3703" s="4">
        <v>1730</v>
      </c>
      <c r="AF3703" s="6">
        <v>65</v>
      </c>
      <c r="AG3703" s="6">
        <v>48</v>
      </c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/>
      <c r="AP3703" s="4">
        <v>2</v>
      </c>
      <c r="AQ3703" s="8">
        <v>32.76</v>
      </c>
      <c r="AR3703" s="4"/>
      <c r="AS3703" s="8"/>
      <c r="AT3703" s="7"/>
      <c r="AU3703" s="7"/>
      <c r="AV3703" s="4" t="s">
        <v>100</v>
      </c>
      <c r="AW3703" s="8" t="s">
        <v>100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>
        <v>0.3421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 t="s">
        <v>100</v>
      </c>
      <c r="BJ3703" s="4">
        <v>681</v>
      </c>
      <c r="BK3703" s="8">
        <v>12216.5</v>
      </c>
      <c r="BL3703" s="2" t="s">
        <v>11338</v>
      </c>
      <c r="BM3703" s="7">
        <v>0.0029</v>
      </c>
      <c r="BN3703" s="7">
        <v>0.0027</v>
      </c>
      <c r="BO3703" s="4">
        <v>2</v>
      </c>
      <c r="BP3703" s="8">
        <v>32.76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11346</v>
      </c>
      <c r="BX3703" s="2" t="s">
        <v>9125</v>
      </c>
      <c r="BY3703" s="2" t="s">
        <v>113</v>
      </c>
      <c r="BZ3703" s="2" t="s">
        <v>100</v>
      </c>
    </row>
    <row r="3704">
      <c r="A3704" s="2" t="s">
        <v>11347</v>
      </c>
      <c r="B3704" s="2" t="s">
        <v>9668</v>
      </c>
      <c r="C3704" s="2" t="s">
        <v>1867</v>
      </c>
      <c r="D3704" s="2" t="s">
        <v>9669</v>
      </c>
      <c r="E3704" s="2" t="s">
        <v>9670</v>
      </c>
      <c r="F3704" s="2" t="s">
        <v>4940</v>
      </c>
      <c r="G3704" s="2" t="s">
        <v>4940</v>
      </c>
      <c r="H3704" s="2" t="s">
        <v>4940</v>
      </c>
      <c r="I3704" s="2" t="s">
        <v>11301</v>
      </c>
      <c r="J3704" s="2" t="s">
        <v>714</v>
      </c>
      <c r="K3704" s="2" t="s">
        <v>189</v>
      </c>
      <c r="L3704" s="3">
        <v>21.5</v>
      </c>
      <c r="M3704" s="3">
        <v>22.58</v>
      </c>
      <c r="N3704" s="3">
        <v>42.99</v>
      </c>
      <c r="O3704" s="2" t="s">
        <v>97</v>
      </c>
      <c r="P3704" s="2" t="s">
        <v>950</v>
      </c>
      <c r="Q3704" s="2" t="s">
        <v>99</v>
      </c>
      <c r="R3704" s="2" t="s">
        <v>100</v>
      </c>
      <c r="S3704" s="2" t="s">
        <v>11344</v>
      </c>
      <c r="T3704" s="2" t="s">
        <v>4940</v>
      </c>
      <c r="U3704" s="2" t="s">
        <v>102</v>
      </c>
      <c r="V3704" s="2" t="s">
        <v>146</v>
      </c>
      <c r="W3704" s="2" t="s">
        <v>183</v>
      </c>
      <c r="X3704" s="2" t="s">
        <v>561</v>
      </c>
      <c r="Y3704" s="2" t="s">
        <v>8928</v>
      </c>
      <c r="Z3704" s="4">
        <v>753</v>
      </c>
      <c r="AA3704" s="4">
        <f>=ROUNDDOWN(31.375,0)</f>
      </c>
      <c r="AB3704" s="5">
        <v>24</v>
      </c>
      <c r="AC3704" s="2" t="s">
        <v>768</v>
      </c>
      <c r="AD3704" s="4">
        <v>540</v>
      </c>
      <c r="AE3704" s="4">
        <v>890</v>
      </c>
      <c r="AF3704" s="6">
        <v>65</v>
      </c>
      <c r="AG3704" s="6">
        <v>48</v>
      </c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>
        <v>3</v>
      </c>
      <c r="AQ3704" s="8">
        <v>63</v>
      </c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>
        <v>0.6579</v>
      </c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 t="s">
        <v>100</v>
      </c>
      <c r="BJ3704" s="4">
        <v>609</v>
      </c>
      <c r="BK3704" s="8">
        <v>15278.03</v>
      </c>
      <c r="BL3704" s="2" t="s">
        <v>11348</v>
      </c>
      <c r="BM3704" s="7">
        <v>0.0049</v>
      </c>
      <c r="BN3704" s="7">
        <v>0.0041</v>
      </c>
      <c r="BO3704" s="4">
        <v>3</v>
      </c>
      <c r="BP3704" s="8">
        <v>63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10273</v>
      </c>
      <c r="BX3704" s="2" t="s">
        <v>11349</v>
      </c>
      <c r="BY3704" s="2" t="s">
        <v>113</v>
      </c>
      <c r="BZ3704" s="2" t="s">
        <v>100</v>
      </c>
    </row>
    <row r="3705">
      <c r="A3705" s="2" t="s">
        <v>11350</v>
      </c>
      <c r="B3705" s="2" t="s">
        <v>9668</v>
      </c>
      <c r="C3705" s="2" t="s">
        <v>1867</v>
      </c>
      <c r="D3705" s="2" t="s">
        <v>9669</v>
      </c>
      <c r="E3705" s="2" t="s">
        <v>9670</v>
      </c>
      <c r="F3705" s="2" t="s">
        <v>4940</v>
      </c>
      <c r="G3705" s="2" t="s">
        <v>4940</v>
      </c>
      <c r="H3705" s="2" t="s">
        <v>4940</v>
      </c>
      <c r="I3705" s="2" t="s">
        <v>11301</v>
      </c>
      <c r="J3705" s="2" t="s">
        <v>817</v>
      </c>
      <c r="K3705" s="2" t="s">
        <v>189</v>
      </c>
      <c r="L3705" s="3">
        <v>21.5</v>
      </c>
      <c r="M3705" s="3">
        <v>22.58</v>
      </c>
      <c r="N3705" s="3">
        <v>42.99</v>
      </c>
      <c r="O3705" s="2" t="s">
        <v>97</v>
      </c>
      <c r="P3705" s="2" t="s">
        <v>119</v>
      </c>
      <c r="Q3705" s="2" t="s">
        <v>99</v>
      </c>
      <c r="R3705" s="2" t="s">
        <v>100</v>
      </c>
      <c r="S3705" s="2" t="s">
        <v>11344</v>
      </c>
      <c r="T3705" s="2" t="s">
        <v>4940</v>
      </c>
      <c r="U3705" s="2" t="s">
        <v>102</v>
      </c>
      <c r="V3705" s="2" t="s">
        <v>146</v>
      </c>
      <c r="W3705" s="2" t="s">
        <v>239</v>
      </c>
      <c r="X3705" s="2" t="s">
        <v>561</v>
      </c>
      <c r="Y3705" s="2" t="s">
        <v>8928</v>
      </c>
      <c r="Z3705" s="4">
        <v>381</v>
      </c>
      <c r="AA3705" s="4">
        <f>=ROUNDDOWN(42.3333333333333,0)</f>
      </c>
      <c r="AB3705" s="5">
        <v>9</v>
      </c>
      <c r="AC3705" s="2" t="s">
        <v>768</v>
      </c>
      <c r="AD3705" s="4">
        <v>40</v>
      </c>
      <c r="AE3705" s="4">
        <v>140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100</v>
      </c>
      <c r="AW3705" s="8" t="s">
        <v>100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/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 t="s">
        <v>100</v>
      </c>
      <c r="BJ3705" s="4">
        <v>181</v>
      </c>
      <c r="BK3705" s="8">
        <v>4646.74</v>
      </c>
      <c r="BL3705" s="2" t="s">
        <v>11351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5167</v>
      </c>
      <c r="BX3705" s="2" t="s">
        <v>6864</v>
      </c>
      <c r="BY3705" s="2" t="s">
        <v>113</v>
      </c>
      <c r="BZ3705" s="2" t="s">
        <v>100</v>
      </c>
    </row>
    <row r="3706">
      <c r="A3706" s="2" t="s">
        <v>11352</v>
      </c>
      <c r="B3706" s="2" t="s">
        <v>9668</v>
      </c>
      <c r="C3706" s="2" t="s">
        <v>1867</v>
      </c>
      <c r="D3706" s="2" t="s">
        <v>9669</v>
      </c>
      <c r="E3706" s="2" t="s">
        <v>9670</v>
      </c>
      <c r="F3706" s="2" t="s">
        <v>4940</v>
      </c>
      <c r="G3706" s="2" t="s">
        <v>4940</v>
      </c>
      <c r="H3706" s="2" t="s">
        <v>4940</v>
      </c>
      <c r="I3706" s="2" t="s">
        <v>11297</v>
      </c>
      <c r="J3706" s="2" t="s">
        <v>1936</v>
      </c>
      <c r="K3706" s="2" t="s">
        <v>118</v>
      </c>
      <c r="L3706" s="3">
        <v>12.48</v>
      </c>
      <c r="M3706" s="3">
        <v>13.1</v>
      </c>
      <c r="N3706" s="3">
        <v>27.99</v>
      </c>
      <c r="O3706" s="2" t="s">
        <v>97</v>
      </c>
      <c r="P3706" s="2" t="s">
        <v>225</v>
      </c>
      <c r="Q3706" s="2" t="s">
        <v>99</v>
      </c>
      <c r="R3706" s="2" t="s">
        <v>100</v>
      </c>
      <c r="S3706" s="2" t="s">
        <v>11353</v>
      </c>
      <c r="T3706" s="2" t="s">
        <v>4940</v>
      </c>
      <c r="U3706" s="2" t="s">
        <v>402</v>
      </c>
      <c r="V3706" s="2" t="s">
        <v>146</v>
      </c>
      <c r="W3706" s="2" t="s">
        <v>183</v>
      </c>
      <c r="X3706" s="2" t="s">
        <v>561</v>
      </c>
      <c r="Y3706" s="2" t="s">
        <v>11299</v>
      </c>
      <c r="Z3706" s="4">
        <v>598</v>
      </c>
      <c r="AA3706" s="4">
        <f>=ROUNDDOWN(29.9,0)</f>
      </c>
      <c r="AB3706" s="5">
        <v>20</v>
      </c>
      <c r="AC3706" s="2" t="s">
        <v>100</v>
      </c>
      <c r="AD3706" s="4"/>
      <c r="AE3706" s="4"/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100</v>
      </c>
      <c r="AW3706" s="8" t="s">
        <v>100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/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 t="s">
        <v>100</v>
      </c>
      <c r="BJ3706" s="4">
        <v>51</v>
      </c>
      <c r="BK3706" s="8">
        <v>944.87</v>
      </c>
      <c r="BL3706" s="2" t="s">
        <v>11354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207</v>
      </c>
      <c r="BV3706" s="2" t="s">
        <v>97</v>
      </c>
      <c r="BW3706" s="2" t="s">
        <v>100</v>
      </c>
      <c r="BX3706" s="2" t="s">
        <v>100</v>
      </c>
      <c r="BY3706" s="2" t="s">
        <v>113</v>
      </c>
      <c r="BZ3706" s="2" t="s">
        <v>100</v>
      </c>
    </row>
    <row r="3707">
      <c r="A3707" s="2" t="s">
        <v>11355</v>
      </c>
      <c r="B3707" s="2" t="s">
        <v>9668</v>
      </c>
      <c r="C3707" s="2" t="s">
        <v>1867</v>
      </c>
      <c r="D3707" s="2" t="s">
        <v>9669</v>
      </c>
      <c r="E3707" s="2" t="s">
        <v>9670</v>
      </c>
      <c r="F3707" s="2" t="s">
        <v>4940</v>
      </c>
      <c r="G3707" s="2" t="s">
        <v>4940</v>
      </c>
      <c r="H3707" s="2" t="s">
        <v>4940</v>
      </c>
      <c r="I3707" s="2" t="s">
        <v>11297</v>
      </c>
      <c r="J3707" s="2" t="s">
        <v>717</v>
      </c>
      <c r="K3707" s="2" t="s">
        <v>118</v>
      </c>
      <c r="L3707" s="3">
        <v>14.71</v>
      </c>
      <c r="M3707" s="3">
        <v>15.45</v>
      </c>
      <c r="N3707" s="3">
        <v>32.99</v>
      </c>
      <c r="O3707" s="2" t="s">
        <v>97</v>
      </c>
      <c r="P3707" s="2" t="s">
        <v>225</v>
      </c>
      <c r="Q3707" s="2" t="s">
        <v>99</v>
      </c>
      <c r="R3707" s="2" t="s">
        <v>100</v>
      </c>
      <c r="S3707" s="2" t="s">
        <v>11353</v>
      </c>
      <c r="T3707" s="2" t="s">
        <v>4940</v>
      </c>
      <c r="U3707" s="2" t="s">
        <v>102</v>
      </c>
      <c r="V3707" s="2" t="s">
        <v>146</v>
      </c>
      <c r="W3707" s="2" t="s">
        <v>183</v>
      </c>
      <c r="X3707" s="2" t="s">
        <v>561</v>
      </c>
      <c r="Y3707" s="2" t="s">
        <v>11299</v>
      </c>
      <c r="Z3707" s="4">
        <v>635</v>
      </c>
      <c r="AA3707" s="4">
        <f>=ROUNDDOWN(30.2380952380952,0)</f>
      </c>
      <c r="AB3707" s="5">
        <v>21</v>
      </c>
      <c r="AC3707" s="2" t="s">
        <v>11356</v>
      </c>
      <c r="AD3707" s="4">
        <v>220</v>
      </c>
      <c r="AE3707" s="4">
        <v>220</v>
      </c>
      <c r="AF3707" s="6">
        <v>65</v>
      </c>
      <c r="AG3707" s="6">
        <v>48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100</v>
      </c>
      <c r="AW3707" s="8" t="s">
        <v>100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/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 t="s">
        <v>100</v>
      </c>
      <c r="BJ3707" s="4">
        <v>171</v>
      </c>
      <c r="BK3707" s="8">
        <v>3290.33</v>
      </c>
      <c r="BL3707" s="2" t="s">
        <v>11357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207</v>
      </c>
      <c r="BV3707" s="2" t="s">
        <v>97</v>
      </c>
      <c r="BW3707" s="2" t="s">
        <v>100</v>
      </c>
      <c r="BX3707" s="2" t="s">
        <v>100</v>
      </c>
      <c r="BY3707" s="2" t="s">
        <v>113</v>
      </c>
      <c r="BZ3707" s="2" t="s">
        <v>100</v>
      </c>
    </row>
    <row r="3708">
      <c r="A3708" s="2" t="s">
        <v>11358</v>
      </c>
      <c r="B3708" s="2" t="s">
        <v>9668</v>
      </c>
      <c r="C3708" s="2" t="s">
        <v>1867</v>
      </c>
      <c r="D3708" s="2" t="s">
        <v>9669</v>
      </c>
      <c r="E3708" s="2" t="s">
        <v>9670</v>
      </c>
      <c r="F3708" s="2" t="s">
        <v>4940</v>
      </c>
      <c r="G3708" s="2" t="s">
        <v>4940</v>
      </c>
      <c r="H3708" s="2" t="s">
        <v>4940</v>
      </c>
      <c r="I3708" s="2" t="s">
        <v>11297</v>
      </c>
      <c r="J3708" s="2" t="s">
        <v>706</v>
      </c>
      <c r="K3708" s="2" t="s">
        <v>118</v>
      </c>
      <c r="L3708" s="3">
        <v>16.94</v>
      </c>
      <c r="M3708" s="3">
        <v>17.79</v>
      </c>
      <c r="N3708" s="3">
        <v>37.99</v>
      </c>
      <c r="O3708" s="2" t="s">
        <v>97</v>
      </c>
      <c r="P3708" s="2" t="s">
        <v>225</v>
      </c>
      <c r="Q3708" s="2" t="s">
        <v>99</v>
      </c>
      <c r="R3708" s="2" t="s">
        <v>100</v>
      </c>
      <c r="S3708" s="2" t="s">
        <v>11353</v>
      </c>
      <c r="T3708" s="2" t="s">
        <v>4940</v>
      </c>
      <c r="U3708" s="2" t="s">
        <v>102</v>
      </c>
      <c r="V3708" s="2" t="s">
        <v>146</v>
      </c>
      <c r="W3708" s="2" t="s">
        <v>183</v>
      </c>
      <c r="X3708" s="2" t="s">
        <v>561</v>
      </c>
      <c r="Y3708" s="2" t="s">
        <v>1233</v>
      </c>
      <c r="Z3708" s="4">
        <v>1595</v>
      </c>
      <c r="AA3708" s="4">
        <f>=ROUNDDOWN(48.3333333333333,0)</f>
      </c>
      <c r="AB3708" s="5">
        <v>33</v>
      </c>
      <c r="AC3708" s="2" t="s">
        <v>100</v>
      </c>
      <c r="AD3708" s="4"/>
      <c r="AE3708" s="4"/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 t="s">
        <v>100</v>
      </c>
      <c r="BJ3708" s="4">
        <v>373</v>
      </c>
      <c r="BK3708" s="8">
        <v>7803.91</v>
      </c>
      <c r="BL3708" s="2" t="s">
        <v>11359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207</v>
      </c>
      <c r="BV3708" s="2" t="s">
        <v>97</v>
      </c>
      <c r="BW3708" s="2" t="s">
        <v>100</v>
      </c>
      <c r="BX3708" s="2" t="s">
        <v>100</v>
      </c>
      <c r="BY3708" s="2" t="s">
        <v>113</v>
      </c>
      <c r="BZ3708" s="2" t="s">
        <v>100</v>
      </c>
    </row>
    <row r="3709">
      <c r="A3709" s="2" t="s">
        <v>11360</v>
      </c>
      <c r="B3709" s="2" t="s">
        <v>9668</v>
      </c>
      <c r="C3709" s="2" t="s">
        <v>1867</v>
      </c>
      <c r="D3709" s="2" t="s">
        <v>9669</v>
      </c>
      <c r="E3709" s="2" t="s">
        <v>9670</v>
      </c>
      <c r="F3709" s="2" t="s">
        <v>4940</v>
      </c>
      <c r="G3709" s="2" t="s">
        <v>4940</v>
      </c>
      <c r="H3709" s="2" t="s">
        <v>4940</v>
      </c>
      <c r="I3709" s="2" t="s">
        <v>11297</v>
      </c>
      <c r="J3709" s="2" t="s">
        <v>714</v>
      </c>
      <c r="K3709" s="2" t="s">
        <v>118</v>
      </c>
      <c r="L3709" s="3">
        <v>19.17</v>
      </c>
      <c r="M3709" s="3">
        <v>20.13</v>
      </c>
      <c r="N3709" s="3">
        <v>42.99</v>
      </c>
      <c r="O3709" s="2" t="s">
        <v>97</v>
      </c>
      <c r="P3709" s="2" t="s">
        <v>225</v>
      </c>
      <c r="Q3709" s="2" t="s">
        <v>99</v>
      </c>
      <c r="R3709" s="2" t="s">
        <v>100</v>
      </c>
      <c r="S3709" s="2" t="s">
        <v>11353</v>
      </c>
      <c r="T3709" s="2" t="s">
        <v>4940</v>
      </c>
      <c r="U3709" s="2" t="s">
        <v>102</v>
      </c>
      <c r="V3709" s="2" t="s">
        <v>146</v>
      </c>
      <c r="W3709" s="2" t="s">
        <v>183</v>
      </c>
      <c r="X3709" s="2" t="s">
        <v>561</v>
      </c>
      <c r="Y3709" s="2" t="s">
        <v>1233</v>
      </c>
      <c r="Z3709" s="4">
        <v>779</v>
      </c>
      <c r="AA3709" s="4">
        <f>=ROUNDDOWN(38.95,0)</f>
      </c>
      <c r="AB3709" s="5">
        <v>20</v>
      </c>
      <c r="AC3709" s="2" t="s">
        <v>11356</v>
      </c>
      <c r="AD3709" s="4">
        <v>160</v>
      </c>
      <c r="AE3709" s="4">
        <v>160</v>
      </c>
      <c r="AF3709" s="6">
        <v>65</v>
      </c>
      <c r="AG3709" s="6">
        <v>48</v>
      </c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100</v>
      </c>
      <c r="AW3709" s="8" t="s">
        <v>100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 t="s">
        <v>100</v>
      </c>
      <c r="BJ3709" s="4">
        <v>171</v>
      </c>
      <c r="BK3709" s="8">
        <v>4191.22</v>
      </c>
      <c r="BL3709" s="2" t="s">
        <v>11359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207</v>
      </c>
      <c r="BV3709" s="2" t="s">
        <v>97</v>
      </c>
      <c r="BW3709" s="2" t="s">
        <v>100</v>
      </c>
      <c r="BX3709" s="2" t="s">
        <v>100</v>
      </c>
      <c r="BY3709" s="2" t="s">
        <v>113</v>
      </c>
      <c r="BZ3709" s="2" t="s">
        <v>100</v>
      </c>
    </row>
    <row r="3710">
      <c r="A3710" s="2" t="s">
        <v>11361</v>
      </c>
      <c r="B3710" s="2" t="s">
        <v>9668</v>
      </c>
      <c r="C3710" s="2" t="s">
        <v>1867</v>
      </c>
      <c r="D3710" s="2" t="s">
        <v>9669</v>
      </c>
      <c r="E3710" s="2" t="s">
        <v>9670</v>
      </c>
      <c r="F3710" s="2" t="s">
        <v>4940</v>
      </c>
      <c r="G3710" s="2" t="s">
        <v>4940</v>
      </c>
      <c r="H3710" s="2" t="s">
        <v>4940</v>
      </c>
      <c r="I3710" s="2" t="s">
        <v>11297</v>
      </c>
      <c r="J3710" s="2" t="s">
        <v>817</v>
      </c>
      <c r="K3710" s="2" t="s">
        <v>118</v>
      </c>
      <c r="L3710" s="3">
        <v>19.17</v>
      </c>
      <c r="M3710" s="3">
        <v>20.13</v>
      </c>
      <c r="N3710" s="3">
        <v>42.99</v>
      </c>
      <c r="O3710" s="2" t="s">
        <v>97</v>
      </c>
      <c r="P3710" s="2" t="s">
        <v>225</v>
      </c>
      <c r="Q3710" s="2" t="s">
        <v>99</v>
      </c>
      <c r="R3710" s="2" t="s">
        <v>100</v>
      </c>
      <c r="S3710" s="2" t="s">
        <v>11353</v>
      </c>
      <c r="T3710" s="2" t="s">
        <v>4940</v>
      </c>
      <c r="U3710" s="2" t="s">
        <v>102</v>
      </c>
      <c r="V3710" s="2" t="s">
        <v>146</v>
      </c>
      <c r="W3710" s="2" t="s">
        <v>183</v>
      </c>
      <c r="X3710" s="2" t="s">
        <v>561</v>
      </c>
      <c r="Y3710" s="2" t="s">
        <v>1233</v>
      </c>
      <c r="Z3710" s="4">
        <v>222</v>
      </c>
      <c r="AA3710" s="4">
        <f>=ROUNDDOWN(20.1818181818182,0)</f>
      </c>
      <c r="AB3710" s="5">
        <v>11</v>
      </c>
      <c r="AC3710" s="2" t="s">
        <v>11356</v>
      </c>
      <c r="AD3710" s="4">
        <v>80</v>
      </c>
      <c r="AE3710" s="4">
        <v>80</v>
      </c>
      <c r="AF3710" s="6">
        <v>65</v>
      </c>
      <c r="AG3710" s="6">
        <v>48</v>
      </c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 t="s">
        <v>100</v>
      </c>
      <c r="BJ3710" s="4">
        <v>64</v>
      </c>
      <c r="BK3710" s="8">
        <v>1452.38</v>
      </c>
      <c r="BL3710" s="2" t="s">
        <v>11362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207</v>
      </c>
      <c r="BV3710" s="2" t="s">
        <v>97</v>
      </c>
      <c r="BW3710" s="2" t="s">
        <v>100</v>
      </c>
      <c r="BX3710" s="2" t="s">
        <v>100</v>
      </c>
      <c r="BY3710" s="2" t="s">
        <v>113</v>
      </c>
      <c r="BZ3710" s="2" t="s">
        <v>100</v>
      </c>
    </row>
    <row r="3711">
      <c r="A3711" s="2" t="s">
        <v>11363</v>
      </c>
      <c r="B3711" s="2" t="s">
        <v>9668</v>
      </c>
      <c r="C3711" s="2" t="s">
        <v>1867</v>
      </c>
      <c r="D3711" s="2" t="s">
        <v>9669</v>
      </c>
      <c r="E3711" s="2" t="s">
        <v>9670</v>
      </c>
      <c r="F3711" s="2" t="s">
        <v>4940</v>
      </c>
      <c r="G3711" s="2" t="s">
        <v>4940</v>
      </c>
      <c r="H3711" s="2" t="s">
        <v>4940</v>
      </c>
      <c r="I3711" s="2" t="s">
        <v>11297</v>
      </c>
      <c r="J3711" s="2" t="s">
        <v>1936</v>
      </c>
      <c r="K3711" s="2" t="s">
        <v>6430</v>
      </c>
      <c r="L3711" s="3">
        <v>12.48</v>
      </c>
      <c r="M3711" s="3">
        <v>13.1</v>
      </c>
      <c r="N3711" s="3">
        <v>27.99</v>
      </c>
      <c r="O3711" s="2" t="s">
        <v>97</v>
      </c>
      <c r="P3711" s="2" t="s">
        <v>225</v>
      </c>
      <c r="Q3711" s="2" t="s">
        <v>99</v>
      </c>
      <c r="R3711" s="2" t="s">
        <v>100</v>
      </c>
      <c r="S3711" s="2" t="s">
        <v>11364</v>
      </c>
      <c r="T3711" s="2" t="s">
        <v>4940</v>
      </c>
      <c r="U3711" s="2" t="s">
        <v>402</v>
      </c>
      <c r="V3711" s="2" t="s">
        <v>146</v>
      </c>
      <c r="W3711" s="2" t="s">
        <v>183</v>
      </c>
      <c r="X3711" s="2" t="s">
        <v>561</v>
      </c>
      <c r="Y3711" s="2" t="s">
        <v>1233</v>
      </c>
      <c r="Z3711" s="4">
        <v>508</v>
      </c>
      <c r="AA3711" s="4">
        <f>=ROUNDDOWN(39.0769230769231,0)</f>
      </c>
      <c r="AB3711" s="5">
        <v>13</v>
      </c>
      <c r="AC3711" s="2" t="s">
        <v>100</v>
      </c>
      <c r="AD3711" s="4"/>
      <c r="AE3711" s="4"/>
      <c r="AF3711" s="6">
        <v>65</v>
      </c>
      <c r="AG3711" s="6">
        <v>48</v>
      </c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 t="s">
        <v>100</v>
      </c>
      <c r="BJ3711" s="4">
        <v>32</v>
      </c>
      <c r="BK3711" s="8">
        <v>505.18</v>
      </c>
      <c r="BL3711" s="2" t="s">
        <v>11365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207</v>
      </c>
      <c r="BV3711" s="2" t="s">
        <v>97</v>
      </c>
      <c r="BW3711" s="2" t="s">
        <v>100</v>
      </c>
      <c r="BX3711" s="2" t="s">
        <v>100</v>
      </c>
      <c r="BY3711" s="2" t="s">
        <v>113</v>
      </c>
      <c r="BZ3711" s="2" t="s">
        <v>100</v>
      </c>
    </row>
    <row r="3712">
      <c r="A3712" s="2" t="s">
        <v>11366</v>
      </c>
      <c r="B3712" s="2" t="s">
        <v>9668</v>
      </c>
      <c r="C3712" s="2" t="s">
        <v>1867</v>
      </c>
      <c r="D3712" s="2" t="s">
        <v>9669</v>
      </c>
      <c r="E3712" s="2" t="s">
        <v>9670</v>
      </c>
      <c r="F3712" s="2" t="s">
        <v>4940</v>
      </c>
      <c r="G3712" s="2" t="s">
        <v>4940</v>
      </c>
      <c r="H3712" s="2" t="s">
        <v>4940</v>
      </c>
      <c r="I3712" s="2" t="s">
        <v>11297</v>
      </c>
      <c r="J3712" s="2" t="s">
        <v>717</v>
      </c>
      <c r="K3712" s="2" t="s">
        <v>6430</v>
      </c>
      <c r="L3712" s="3">
        <v>14.71</v>
      </c>
      <c r="M3712" s="3">
        <v>15.45</v>
      </c>
      <c r="N3712" s="3">
        <v>32.99</v>
      </c>
      <c r="O3712" s="2" t="s">
        <v>97</v>
      </c>
      <c r="P3712" s="2" t="s">
        <v>225</v>
      </c>
      <c r="Q3712" s="2" t="s">
        <v>99</v>
      </c>
      <c r="R3712" s="2" t="s">
        <v>100</v>
      </c>
      <c r="S3712" s="2" t="s">
        <v>11364</v>
      </c>
      <c r="T3712" s="2" t="s">
        <v>4940</v>
      </c>
      <c r="U3712" s="2" t="s">
        <v>102</v>
      </c>
      <c r="V3712" s="2" t="s">
        <v>146</v>
      </c>
      <c r="W3712" s="2" t="s">
        <v>183</v>
      </c>
      <c r="X3712" s="2" t="s">
        <v>561</v>
      </c>
      <c r="Y3712" s="2" t="s">
        <v>11312</v>
      </c>
      <c r="Z3712" s="4">
        <v>509</v>
      </c>
      <c r="AA3712" s="4">
        <f>=ROUNDDOWN(29.9411764705882,0)</f>
      </c>
      <c r="AB3712" s="5">
        <v>17</v>
      </c>
      <c r="AC3712" s="2" t="s">
        <v>11356</v>
      </c>
      <c r="AD3712" s="4">
        <v>100</v>
      </c>
      <c r="AE3712" s="4">
        <v>200</v>
      </c>
      <c r="AF3712" s="6">
        <v>65</v>
      </c>
      <c r="AG3712" s="6">
        <v>48</v>
      </c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100</v>
      </c>
      <c r="AW3712" s="8" t="s">
        <v>100</v>
      </c>
      <c r="AX3712" s="4" t="s">
        <v>100</v>
      </c>
      <c r="AY3712" s="8" t="s">
        <v>100</v>
      </c>
      <c r="AZ3712" s="7" t="s">
        <v>100</v>
      </c>
      <c r="BA3712" s="7" t="s">
        <v>100</v>
      </c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 t="s">
        <v>100</v>
      </c>
      <c r="BJ3712" s="4">
        <v>150</v>
      </c>
      <c r="BK3712" s="8">
        <v>2827.41</v>
      </c>
      <c r="BL3712" s="2" t="s">
        <v>11357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207</v>
      </c>
      <c r="BV3712" s="2" t="s">
        <v>97</v>
      </c>
      <c r="BW3712" s="2" t="s">
        <v>100</v>
      </c>
      <c r="BX3712" s="2" t="s">
        <v>100</v>
      </c>
      <c r="BY3712" s="2" t="s">
        <v>113</v>
      </c>
      <c r="BZ3712" s="2" t="s">
        <v>100</v>
      </c>
    </row>
    <row r="3713">
      <c r="A3713" s="2" t="s">
        <v>11367</v>
      </c>
      <c r="B3713" s="2" t="s">
        <v>9668</v>
      </c>
      <c r="C3713" s="2" t="s">
        <v>1867</v>
      </c>
      <c r="D3713" s="2" t="s">
        <v>9669</v>
      </c>
      <c r="E3713" s="2" t="s">
        <v>9670</v>
      </c>
      <c r="F3713" s="2" t="s">
        <v>4940</v>
      </c>
      <c r="G3713" s="2" t="s">
        <v>4940</v>
      </c>
      <c r="H3713" s="2" t="s">
        <v>4940</v>
      </c>
      <c r="I3713" s="2" t="s">
        <v>11297</v>
      </c>
      <c r="J3713" s="2" t="s">
        <v>706</v>
      </c>
      <c r="K3713" s="2" t="s">
        <v>6430</v>
      </c>
      <c r="L3713" s="3">
        <v>16.94</v>
      </c>
      <c r="M3713" s="3">
        <v>17.79</v>
      </c>
      <c r="N3713" s="3">
        <v>37.99</v>
      </c>
      <c r="O3713" s="2" t="s">
        <v>97</v>
      </c>
      <c r="P3713" s="2" t="s">
        <v>225</v>
      </c>
      <c r="Q3713" s="2" t="s">
        <v>99</v>
      </c>
      <c r="R3713" s="2" t="s">
        <v>100</v>
      </c>
      <c r="S3713" s="2" t="s">
        <v>11364</v>
      </c>
      <c r="T3713" s="2" t="s">
        <v>4940</v>
      </c>
      <c r="U3713" s="2" t="s">
        <v>102</v>
      </c>
      <c r="V3713" s="2" t="s">
        <v>146</v>
      </c>
      <c r="W3713" s="2" t="s">
        <v>183</v>
      </c>
      <c r="X3713" s="2" t="s">
        <v>561</v>
      </c>
      <c r="Y3713" s="2" t="s">
        <v>11299</v>
      </c>
      <c r="Z3713" s="4">
        <v>1374</v>
      </c>
      <c r="AA3713" s="4">
        <f>=ROUNDDOWN(34.35,0)</f>
      </c>
      <c r="AB3713" s="5">
        <v>40</v>
      </c>
      <c r="AC3713" s="2" t="s">
        <v>1516</v>
      </c>
      <c r="AD3713" s="4">
        <v>600</v>
      </c>
      <c r="AE3713" s="4">
        <v>600</v>
      </c>
      <c r="AF3713" s="6">
        <v>65</v>
      </c>
      <c r="AG3713" s="6">
        <v>48</v>
      </c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100</v>
      </c>
      <c r="AW3713" s="8" t="s">
        <v>100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 t="s">
        <v>100</v>
      </c>
      <c r="BJ3713" s="4">
        <v>471</v>
      </c>
      <c r="BK3713" s="8">
        <v>9686.69</v>
      </c>
      <c r="BL3713" s="2" t="s">
        <v>11359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207</v>
      </c>
      <c r="BV3713" s="2" t="s">
        <v>97</v>
      </c>
      <c r="BW3713" s="2" t="s">
        <v>100</v>
      </c>
      <c r="BX3713" s="2" t="s">
        <v>100</v>
      </c>
      <c r="BY3713" s="2" t="s">
        <v>113</v>
      </c>
      <c r="BZ3713" s="2" t="s">
        <v>100</v>
      </c>
    </row>
    <row r="3714">
      <c r="A3714" s="2" t="s">
        <v>11368</v>
      </c>
      <c r="B3714" s="2" t="s">
        <v>9668</v>
      </c>
      <c r="C3714" s="2" t="s">
        <v>1867</v>
      </c>
      <c r="D3714" s="2" t="s">
        <v>9669</v>
      </c>
      <c r="E3714" s="2" t="s">
        <v>9670</v>
      </c>
      <c r="F3714" s="2" t="s">
        <v>4940</v>
      </c>
      <c r="G3714" s="2" t="s">
        <v>4940</v>
      </c>
      <c r="H3714" s="2" t="s">
        <v>4940</v>
      </c>
      <c r="I3714" s="2" t="s">
        <v>11297</v>
      </c>
      <c r="J3714" s="2" t="s">
        <v>714</v>
      </c>
      <c r="K3714" s="2" t="s">
        <v>6430</v>
      </c>
      <c r="L3714" s="3">
        <v>19.17</v>
      </c>
      <c r="M3714" s="3">
        <v>20.13</v>
      </c>
      <c r="N3714" s="3">
        <v>42.99</v>
      </c>
      <c r="O3714" s="2" t="s">
        <v>97</v>
      </c>
      <c r="P3714" s="2" t="s">
        <v>225</v>
      </c>
      <c r="Q3714" s="2" t="s">
        <v>99</v>
      </c>
      <c r="R3714" s="2" t="s">
        <v>100</v>
      </c>
      <c r="S3714" s="2" t="s">
        <v>11364</v>
      </c>
      <c r="T3714" s="2" t="s">
        <v>4940</v>
      </c>
      <c r="U3714" s="2" t="s">
        <v>102</v>
      </c>
      <c r="V3714" s="2" t="s">
        <v>146</v>
      </c>
      <c r="W3714" s="2" t="s">
        <v>183</v>
      </c>
      <c r="X3714" s="2" t="s">
        <v>561</v>
      </c>
      <c r="Y3714" s="2" t="s">
        <v>1233</v>
      </c>
      <c r="Z3714" s="4">
        <v>733</v>
      </c>
      <c r="AA3714" s="4">
        <f>=ROUNDDOWN(26.1785714285714,0)</f>
      </c>
      <c r="AB3714" s="5">
        <v>28</v>
      </c>
      <c r="AC3714" s="2" t="s">
        <v>11356</v>
      </c>
      <c r="AD3714" s="4">
        <v>230</v>
      </c>
      <c r="AE3714" s="4">
        <v>660</v>
      </c>
      <c r="AF3714" s="6">
        <v>65</v>
      </c>
      <c r="AG3714" s="6">
        <v>48</v>
      </c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 t="s">
        <v>100</v>
      </c>
      <c r="BJ3714" s="4">
        <v>233</v>
      </c>
      <c r="BK3714" s="8">
        <v>5691.13</v>
      </c>
      <c r="BL3714" s="2" t="s">
        <v>11369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207</v>
      </c>
      <c r="BV3714" s="2" t="s">
        <v>97</v>
      </c>
      <c r="BW3714" s="2" t="s">
        <v>100</v>
      </c>
      <c r="BX3714" s="2" t="s">
        <v>100</v>
      </c>
      <c r="BY3714" s="2" t="s">
        <v>113</v>
      </c>
      <c r="BZ3714" s="2" t="s">
        <v>100</v>
      </c>
    </row>
    <row r="3715">
      <c r="A3715" s="2" t="s">
        <v>11370</v>
      </c>
      <c r="B3715" s="2" t="s">
        <v>9668</v>
      </c>
      <c r="C3715" s="2" t="s">
        <v>1867</v>
      </c>
      <c r="D3715" s="2" t="s">
        <v>9669</v>
      </c>
      <c r="E3715" s="2" t="s">
        <v>9670</v>
      </c>
      <c r="F3715" s="2" t="s">
        <v>4940</v>
      </c>
      <c r="G3715" s="2" t="s">
        <v>4940</v>
      </c>
      <c r="H3715" s="2" t="s">
        <v>4940</v>
      </c>
      <c r="I3715" s="2" t="s">
        <v>11297</v>
      </c>
      <c r="J3715" s="2" t="s">
        <v>817</v>
      </c>
      <c r="K3715" s="2" t="s">
        <v>6430</v>
      </c>
      <c r="L3715" s="3">
        <v>19.17</v>
      </c>
      <c r="M3715" s="3">
        <v>20.13</v>
      </c>
      <c r="N3715" s="3">
        <v>42.99</v>
      </c>
      <c r="O3715" s="2" t="s">
        <v>97</v>
      </c>
      <c r="P3715" s="2" t="s">
        <v>225</v>
      </c>
      <c r="Q3715" s="2" t="s">
        <v>99</v>
      </c>
      <c r="R3715" s="2" t="s">
        <v>100</v>
      </c>
      <c r="S3715" s="2" t="s">
        <v>11364</v>
      </c>
      <c r="T3715" s="2" t="s">
        <v>4940</v>
      </c>
      <c r="U3715" s="2" t="s">
        <v>102</v>
      </c>
      <c r="V3715" s="2" t="s">
        <v>146</v>
      </c>
      <c r="W3715" s="2" t="s">
        <v>183</v>
      </c>
      <c r="X3715" s="2" t="s">
        <v>561</v>
      </c>
      <c r="Y3715" s="2" t="s">
        <v>1233</v>
      </c>
      <c r="Z3715" s="4">
        <v>194</v>
      </c>
      <c r="AA3715" s="4">
        <f>=ROUNDDOWN(14.9230769230769,0)</f>
      </c>
      <c r="AB3715" s="5">
        <v>13</v>
      </c>
      <c r="AC3715" s="2" t="s">
        <v>11356</v>
      </c>
      <c r="AD3715" s="4">
        <v>130</v>
      </c>
      <c r="AE3715" s="4">
        <v>230</v>
      </c>
      <c r="AF3715" s="6">
        <v>65</v>
      </c>
      <c r="AG3715" s="6">
        <v>48</v>
      </c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 t="s">
        <v>100</v>
      </c>
      <c r="BJ3715" s="4">
        <v>92</v>
      </c>
      <c r="BK3715" s="8">
        <v>2327.52</v>
      </c>
      <c r="BL3715" s="2" t="s">
        <v>11359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207</v>
      </c>
      <c r="BV3715" s="2" t="s">
        <v>97</v>
      </c>
      <c r="BW3715" s="2" t="s">
        <v>100</v>
      </c>
      <c r="BX3715" s="2" t="s">
        <v>100</v>
      </c>
      <c r="BY3715" s="2" t="s">
        <v>113</v>
      </c>
      <c r="BZ3715" s="2" t="s">
        <v>100</v>
      </c>
    </row>
    <row r="3716">
      <c r="A3716" s="2" t="s">
        <v>11371</v>
      </c>
      <c r="B3716" s="2" t="s">
        <v>9668</v>
      </c>
      <c r="C3716" s="2" t="s">
        <v>1867</v>
      </c>
      <c r="D3716" s="2" t="s">
        <v>9669</v>
      </c>
      <c r="E3716" s="2" t="s">
        <v>9670</v>
      </c>
      <c r="F3716" s="2" t="s">
        <v>4940</v>
      </c>
      <c r="G3716" s="2" t="s">
        <v>4940</v>
      </c>
      <c r="H3716" s="2" t="s">
        <v>4940</v>
      </c>
      <c r="I3716" s="2" t="s">
        <v>11297</v>
      </c>
      <c r="J3716" s="2" t="s">
        <v>1936</v>
      </c>
      <c r="K3716" s="2" t="s">
        <v>11372</v>
      </c>
      <c r="L3716" s="3">
        <v>12.48</v>
      </c>
      <c r="M3716" s="3">
        <v>13.1</v>
      </c>
      <c r="N3716" s="3">
        <v>27.99</v>
      </c>
      <c r="O3716" s="2" t="s">
        <v>97</v>
      </c>
      <c r="P3716" s="2" t="s">
        <v>225</v>
      </c>
      <c r="Q3716" s="2" t="s">
        <v>99</v>
      </c>
      <c r="R3716" s="2" t="s">
        <v>100</v>
      </c>
      <c r="S3716" s="2" t="s">
        <v>11373</v>
      </c>
      <c r="T3716" s="2" t="s">
        <v>4940</v>
      </c>
      <c r="U3716" s="2" t="s">
        <v>402</v>
      </c>
      <c r="V3716" s="2" t="s">
        <v>146</v>
      </c>
      <c r="W3716" s="2" t="s">
        <v>183</v>
      </c>
      <c r="X3716" s="2" t="s">
        <v>561</v>
      </c>
      <c r="Y3716" s="2" t="s">
        <v>1233</v>
      </c>
      <c r="Z3716" s="4">
        <v>583</v>
      </c>
      <c r="AA3716" s="4">
        <f>=ROUNDDOWN(53,0)</f>
      </c>
      <c r="AB3716" s="5">
        <v>11</v>
      </c>
      <c r="AC3716" s="2" t="s">
        <v>100</v>
      </c>
      <c r="AD3716" s="4"/>
      <c r="AE3716" s="4"/>
      <c r="AF3716" s="6">
        <v>65</v>
      </c>
      <c r="AG3716" s="6">
        <v>48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/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 t="s">
        <v>100</v>
      </c>
      <c r="BJ3716" s="4">
        <v>79</v>
      </c>
      <c r="BK3716" s="8">
        <v>1316.62</v>
      </c>
      <c r="BL3716" s="2" t="s">
        <v>11374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207</v>
      </c>
      <c r="BV3716" s="2" t="s">
        <v>97</v>
      </c>
      <c r="BW3716" s="2" t="s">
        <v>100</v>
      </c>
      <c r="BX3716" s="2" t="s">
        <v>100</v>
      </c>
      <c r="BY3716" s="2" t="s">
        <v>113</v>
      </c>
      <c r="BZ3716" s="2" t="s">
        <v>100</v>
      </c>
    </row>
    <row r="3717">
      <c r="A3717" s="2" t="s">
        <v>11375</v>
      </c>
      <c r="B3717" s="2" t="s">
        <v>9668</v>
      </c>
      <c r="C3717" s="2" t="s">
        <v>1867</v>
      </c>
      <c r="D3717" s="2" t="s">
        <v>9669</v>
      </c>
      <c r="E3717" s="2" t="s">
        <v>9670</v>
      </c>
      <c r="F3717" s="2" t="s">
        <v>4940</v>
      </c>
      <c r="G3717" s="2" t="s">
        <v>4940</v>
      </c>
      <c r="H3717" s="2" t="s">
        <v>4940</v>
      </c>
      <c r="I3717" s="2" t="s">
        <v>11297</v>
      </c>
      <c r="J3717" s="2" t="s">
        <v>717</v>
      </c>
      <c r="K3717" s="2" t="s">
        <v>11372</v>
      </c>
      <c r="L3717" s="3">
        <v>14.71</v>
      </c>
      <c r="M3717" s="3">
        <v>15.45</v>
      </c>
      <c r="N3717" s="3">
        <v>32.99</v>
      </c>
      <c r="O3717" s="2" t="s">
        <v>97</v>
      </c>
      <c r="P3717" s="2" t="s">
        <v>225</v>
      </c>
      <c r="Q3717" s="2" t="s">
        <v>99</v>
      </c>
      <c r="R3717" s="2" t="s">
        <v>100</v>
      </c>
      <c r="S3717" s="2" t="s">
        <v>11373</v>
      </c>
      <c r="T3717" s="2" t="s">
        <v>4940</v>
      </c>
      <c r="U3717" s="2" t="s">
        <v>102</v>
      </c>
      <c r="V3717" s="2" t="s">
        <v>146</v>
      </c>
      <c r="W3717" s="2" t="s">
        <v>183</v>
      </c>
      <c r="X3717" s="2" t="s">
        <v>561</v>
      </c>
      <c r="Y3717" s="2" t="s">
        <v>1233</v>
      </c>
      <c r="Z3717" s="4">
        <v>674</v>
      </c>
      <c r="AA3717" s="4">
        <f>=ROUNDDOWN(39.6470588235294,0)</f>
      </c>
      <c r="AB3717" s="5">
        <v>17</v>
      </c>
      <c r="AC3717" s="2" t="s">
        <v>11356</v>
      </c>
      <c r="AD3717" s="4">
        <v>100</v>
      </c>
      <c r="AE3717" s="4">
        <v>230</v>
      </c>
      <c r="AF3717" s="6">
        <v>65</v>
      </c>
      <c r="AG3717" s="6">
        <v>48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 t="s">
        <v>100</v>
      </c>
      <c r="BJ3717" s="4">
        <v>142</v>
      </c>
      <c r="BK3717" s="8">
        <v>3134.62</v>
      </c>
      <c r="BL3717" s="2" t="s">
        <v>1803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207</v>
      </c>
      <c r="BV3717" s="2" t="s">
        <v>97</v>
      </c>
      <c r="BW3717" s="2" t="s">
        <v>100</v>
      </c>
      <c r="BX3717" s="2" t="s">
        <v>100</v>
      </c>
      <c r="BY3717" s="2" t="s">
        <v>113</v>
      </c>
      <c r="BZ3717" s="2" t="s">
        <v>100</v>
      </c>
    </row>
    <row r="3718">
      <c r="A3718" s="2" t="s">
        <v>11376</v>
      </c>
      <c r="B3718" s="2" t="s">
        <v>9668</v>
      </c>
      <c r="C3718" s="2" t="s">
        <v>1867</v>
      </c>
      <c r="D3718" s="2" t="s">
        <v>9669</v>
      </c>
      <c r="E3718" s="2" t="s">
        <v>9670</v>
      </c>
      <c r="F3718" s="2" t="s">
        <v>4940</v>
      </c>
      <c r="G3718" s="2" t="s">
        <v>4940</v>
      </c>
      <c r="H3718" s="2" t="s">
        <v>4940</v>
      </c>
      <c r="I3718" s="2" t="s">
        <v>11297</v>
      </c>
      <c r="J3718" s="2" t="s">
        <v>706</v>
      </c>
      <c r="K3718" s="2" t="s">
        <v>11372</v>
      </c>
      <c r="L3718" s="3">
        <v>16.94</v>
      </c>
      <c r="M3718" s="3">
        <v>17.79</v>
      </c>
      <c r="N3718" s="3">
        <v>37.99</v>
      </c>
      <c r="O3718" s="2" t="s">
        <v>97</v>
      </c>
      <c r="P3718" s="2" t="s">
        <v>225</v>
      </c>
      <c r="Q3718" s="2" t="s">
        <v>99</v>
      </c>
      <c r="R3718" s="2" t="s">
        <v>100</v>
      </c>
      <c r="S3718" s="2" t="s">
        <v>11373</v>
      </c>
      <c r="T3718" s="2" t="s">
        <v>4940</v>
      </c>
      <c r="U3718" s="2" t="s">
        <v>102</v>
      </c>
      <c r="V3718" s="2" t="s">
        <v>146</v>
      </c>
      <c r="W3718" s="2" t="s">
        <v>183</v>
      </c>
      <c r="X3718" s="2" t="s">
        <v>561</v>
      </c>
      <c r="Y3718" s="2" t="s">
        <v>1233</v>
      </c>
      <c r="Z3718" s="4">
        <v>1494</v>
      </c>
      <c r="AA3718" s="4">
        <f>=ROUNDDOWN(37.35,0)</f>
      </c>
      <c r="AB3718" s="5">
        <v>40</v>
      </c>
      <c r="AC3718" s="2" t="s">
        <v>1516</v>
      </c>
      <c r="AD3718" s="4">
        <v>850</v>
      </c>
      <c r="AE3718" s="4">
        <v>850</v>
      </c>
      <c r="AF3718" s="6">
        <v>65</v>
      </c>
      <c r="AG3718" s="6">
        <v>48</v>
      </c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 t="s">
        <v>100</v>
      </c>
      <c r="BJ3718" s="4">
        <v>372</v>
      </c>
      <c r="BK3718" s="8">
        <v>8864.07</v>
      </c>
      <c r="BL3718" s="2" t="s">
        <v>11359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207</v>
      </c>
      <c r="BV3718" s="2" t="s">
        <v>97</v>
      </c>
      <c r="BW3718" s="2" t="s">
        <v>100</v>
      </c>
      <c r="BX3718" s="2" t="s">
        <v>100</v>
      </c>
      <c r="BY3718" s="2" t="s">
        <v>113</v>
      </c>
      <c r="BZ3718" s="2" t="s">
        <v>100</v>
      </c>
    </row>
    <row r="3719">
      <c r="A3719" s="2" t="s">
        <v>11377</v>
      </c>
      <c r="B3719" s="2" t="s">
        <v>9668</v>
      </c>
      <c r="C3719" s="2" t="s">
        <v>1867</v>
      </c>
      <c r="D3719" s="2" t="s">
        <v>9669</v>
      </c>
      <c r="E3719" s="2" t="s">
        <v>9670</v>
      </c>
      <c r="F3719" s="2" t="s">
        <v>4940</v>
      </c>
      <c r="G3719" s="2" t="s">
        <v>4940</v>
      </c>
      <c r="H3719" s="2" t="s">
        <v>4940</v>
      </c>
      <c r="I3719" s="2" t="s">
        <v>11297</v>
      </c>
      <c r="J3719" s="2" t="s">
        <v>714</v>
      </c>
      <c r="K3719" s="2" t="s">
        <v>11372</v>
      </c>
      <c r="L3719" s="3">
        <v>19.17</v>
      </c>
      <c r="M3719" s="3">
        <v>20.13</v>
      </c>
      <c r="N3719" s="3">
        <v>42.99</v>
      </c>
      <c r="O3719" s="2" t="s">
        <v>97</v>
      </c>
      <c r="P3719" s="2" t="s">
        <v>225</v>
      </c>
      <c r="Q3719" s="2" t="s">
        <v>99</v>
      </c>
      <c r="R3719" s="2" t="s">
        <v>100</v>
      </c>
      <c r="S3719" s="2" t="s">
        <v>11373</v>
      </c>
      <c r="T3719" s="2" t="s">
        <v>4940</v>
      </c>
      <c r="U3719" s="2" t="s">
        <v>102</v>
      </c>
      <c r="V3719" s="2" t="s">
        <v>146</v>
      </c>
      <c r="W3719" s="2" t="s">
        <v>183</v>
      </c>
      <c r="X3719" s="2" t="s">
        <v>561</v>
      </c>
      <c r="Y3719" s="2" t="s">
        <v>11299</v>
      </c>
      <c r="Z3719" s="4">
        <v>673</v>
      </c>
      <c r="AA3719" s="4">
        <f>=ROUNDDOWN(29.2608695652174,0)</f>
      </c>
      <c r="AB3719" s="5">
        <v>23</v>
      </c>
      <c r="AC3719" s="2" t="s">
        <v>11356</v>
      </c>
      <c r="AD3719" s="4">
        <v>230</v>
      </c>
      <c r="AE3719" s="4">
        <v>460</v>
      </c>
      <c r="AF3719" s="6">
        <v>65</v>
      </c>
      <c r="AG3719" s="6">
        <v>48</v>
      </c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 t="s">
        <v>100</v>
      </c>
      <c r="BJ3719" s="4">
        <v>188</v>
      </c>
      <c r="BK3719" s="8">
        <v>4732.11</v>
      </c>
      <c r="BL3719" s="2" t="s">
        <v>11359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207</v>
      </c>
      <c r="BV3719" s="2" t="s">
        <v>97</v>
      </c>
      <c r="BW3719" s="2" t="s">
        <v>100</v>
      </c>
      <c r="BX3719" s="2" t="s">
        <v>100</v>
      </c>
      <c r="BY3719" s="2" t="s">
        <v>113</v>
      </c>
      <c r="BZ3719" s="2" t="s">
        <v>100</v>
      </c>
    </row>
    <row r="3720">
      <c r="A3720" s="2" t="s">
        <v>11378</v>
      </c>
      <c r="B3720" s="2" t="s">
        <v>9668</v>
      </c>
      <c r="C3720" s="2" t="s">
        <v>1867</v>
      </c>
      <c r="D3720" s="2" t="s">
        <v>9669</v>
      </c>
      <c r="E3720" s="2" t="s">
        <v>9670</v>
      </c>
      <c r="F3720" s="2" t="s">
        <v>4940</v>
      </c>
      <c r="G3720" s="2" t="s">
        <v>4940</v>
      </c>
      <c r="H3720" s="2" t="s">
        <v>4940</v>
      </c>
      <c r="I3720" s="2" t="s">
        <v>11297</v>
      </c>
      <c r="J3720" s="2" t="s">
        <v>817</v>
      </c>
      <c r="K3720" s="2" t="s">
        <v>11372</v>
      </c>
      <c r="L3720" s="3">
        <v>19.17</v>
      </c>
      <c r="M3720" s="3">
        <v>20.13</v>
      </c>
      <c r="N3720" s="3">
        <v>42.99</v>
      </c>
      <c r="O3720" s="2" t="s">
        <v>97</v>
      </c>
      <c r="P3720" s="2" t="s">
        <v>225</v>
      </c>
      <c r="Q3720" s="2" t="s">
        <v>99</v>
      </c>
      <c r="R3720" s="2" t="s">
        <v>100</v>
      </c>
      <c r="S3720" s="2" t="s">
        <v>11373</v>
      </c>
      <c r="T3720" s="2" t="s">
        <v>4940</v>
      </c>
      <c r="U3720" s="2" t="s">
        <v>102</v>
      </c>
      <c r="V3720" s="2" t="s">
        <v>146</v>
      </c>
      <c r="W3720" s="2" t="s">
        <v>183</v>
      </c>
      <c r="X3720" s="2" t="s">
        <v>561</v>
      </c>
      <c r="Y3720" s="2" t="s">
        <v>11312</v>
      </c>
      <c r="Z3720" s="4">
        <v>119</v>
      </c>
      <c r="AA3720" s="4">
        <f>=ROUNDDOWN(9.15384615384615,0)</f>
      </c>
      <c r="AB3720" s="5">
        <v>13</v>
      </c>
      <c r="AC3720" s="2" t="s">
        <v>11356</v>
      </c>
      <c r="AD3720" s="4">
        <v>150</v>
      </c>
      <c r="AE3720" s="4">
        <v>310</v>
      </c>
      <c r="AF3720" s="6">
        <v>65</v>
      </c>
      <c r="AG3720" s="6">
        <v>48</v>
      </c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100</v>
      </c>
      <c r="AW3720" s="8" t="s">
        <v>100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/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 t="s">
        <v>100</v>
      </c>
      <c r="BJ3720" s="4">
        <v>102</v>
      </c>
      <c r="BK3720" s="8">
        <v>2660.86</v>
      </c>
      <c r="BL3720" s="2" t="s">
        <v>11379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207</v>
      </c>
      <c r="BV3720" s="2" t="s">
        <v>97</v>
      </c>
      <c r="BW3720" s="2" t="s">
        <v>100</v>
      </c>
      <c r="BX3720" s="2" t="s">
        <v>100</v>
      </c>
      <c r="BY3720" s="2" t="s">
        <v>113</v>
      </c>
      <c r="BZ3720" s="2" t="s">
        <v>100</v>
      </c>
    </row>
    <row r="3721">
      <c r="A3721" s="2" t="s">
        <v>11380</v>
      </c>
      <c r="B3721" s="2" t="s">
        <v>9668</v>
      </c>
      <c r="C3721" s="2" t="s">
        <v>1867</v>
      </c>
      <c r="D3721" s="2" t="s">
        <v>9669</v>
      </c>
      <c r="E3721" s="2" t="s">
        <v>9670</v>
      </c>
      <c r="F3721" s="2" t="s">
        <v>4940</v>
      </c>
      <c r="G3721" s="2" t="s">
        <v>4940</v>
      </c>
      <c r="H3721" s="2" t="s">
        <v>4940</v>
      </c>
      <c r="I3721" s="2" t="s">
        <v>11297</v>
      </c>
      <c r="J3721" s="2" t="s">
        <v>1936</v>
      </c>
      <c r="K3721" s="2" t="s">
        <v>1603</v>
      </c>
      <c r="L3721" s="3">
        <v>12.48</v>
      </c>
      <c r="M3721" s="3">
        <v>13.1</v>
      </c>
      <c r="N3721" s="3">
        <v>27.99</v>
      </c>
      <c r="O3721" s="2" t="s">
        <v>97</v>
      </c>
      <c r="P3721" s="2" t="s">
        <v>225</v>
      </c>
      <c r="Q3721" s="2" t="s">
        <v>99</v>
      </c>
      <c r="R3721" s="2" t="s">
        <v>100</v>
      </c>
      <c r="S3721" s="2" t="s">
        <v>11381</v>
      </c>
      <c r="T3721" s="2" t="s">
        <v>4940</v>
      </c>
      <c r="U3721" s="2" t="s">
        <v>402</v>
      </c>
      <c r="V3721" s="2" t="s">
        <v>146</v>
      </c>
      <c r="W3721" s="2" t="s">
        <v>183</v>
      </c>
      <c r="X3721" s="2" t="s">
        <v>561</v>
      </c>
      <c r="Y3721" s="2" t="s">
        <v>1233</v>
      </c>
      <c r="Z3721" s="4">
        <v>634</v>
      </c>
      <c r="AA3721" s="4">
        <f>=ROUNDDOWN(35.2222222222222,0)</f>
      </c>
      <c r="AB3721" s="5">
        <v>18</v>
      </c>
      <c r="AC3721" s="2" t="s">
        <v>100</v>
      </c>
      <c r="AD3721" s="4"/>
      <c r="AE3721" s="4"/>
      <c r="AF3721" s="6">
        <v>65</v>
      </c>
      <c r="AG3721" s="6">
        <v>48</v>
      </c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/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57</v>
      </c>
      <c r="BK3721" s="8">
        <v>912.56</v>
      </c>
      <c r="BL3721" s="2" t="s">
        <v>3641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207</v>
      </c>
      <c r="BV3721" s="2" t="s">
        <v>97</v>
      </c>
      <c r="BW3721" s="2" t="s">
        <v>100</v>
      </c>
      <c r="BX3721" s="2" t="s">
        <v>100</v>
      </c>
      <c r="BY3721" s="2" t="s">
        <v>113</v>
      </c>
      <c r="BZ3721" s="2" t="s">
        <v>100</v>
      </c>
    </row>
    <row r="3722">
      <c r="A3722" s="2" t="s">
        <v>11382</v>
      </c>
      <c r="B3722" s="2" t="s">
        <v>9668</v>
      </c>
      <c r="C3722" s="2" t="s">
        <v>1867</v>
      </c>
      <c r="D3722" s="2" t="s">
        <v>9669</v>
      </c>
      <c r="E3722" s="2" t="s">
        <v>9670</v>
      </c>
      <c r="F3722" s="2" t="s">
        <v>4940</v>
      </c>
      <c r="G3722" s="2" t="s">
        <v>4940</v>
      </c>
      <c r="H3722" s="2" t="s">
        <v>4940</v>
      </c>
      <c r="I3722" s="2" t="s">
        <v>11297</v>
      </c>
      <c r="J3722" s="2" t="s">
        <v>717</v>
      </c>
      <c r="K3722" s="2" t="s">
        <v>1603</v>
      </c>
      <c r="L3722" s="3">
        <v>14.71</v>
      </c>
      <c r="M3722" s="3">
        <v>15.45</v>
      </c>
      <c r="N3722" s="3">
        <v>32.99</v>
      </c>
      <c r="O3722" s="2" t="s">
        <v>97</v>
      </c>
      <c r="P3722" s="2" t="s">
        <v>225</v>
      </c>
      <c r="Q3722" s="2" t="s">
        <v>99</v>
      </c>
      <c r="R3722" s="2" t="s">
        <v>100</v>
      </c>
      <c r="S3722" s="2" t="s">
        <v>11381</v>
      </c>
      <c r="T3722" s="2" t="s">
        <v>4940</v>
      </c>
      <c r="U3722" s="2" t="s">
        <v>102</v>
      </c>
      <c r="V3722" s="2" t="s">
        <v>146</v>
      </c>
      <c r="W3722" s="2" t="s">
        <v>183</v>
      </c>
      <c r="X3722" s="2" t="s">
        <v>561</v>
      </c>
      <c r="Y3722" s="2" t="s">
        <v>11312</v>
      </c>
      <c r="Z3722" s="4">
        <v>702</v>
      </c>
      <c r="AA3722" s="4">
        <f>=ROUNDDOWN(35.1,0)</f>
      </c>
      <c r="AB3722" s="5">
        <v>20</v>
      </c>
      <c r="AC3722" s="2" t="s">
        <v>1516</v>
      </c>
      <c r="AD3722" s="4">
        <v>200</v>
      </c>
      <c r="AE3722" s="4">
        <v>200</v>
      </c>
      <c r="AF3722" s="6">
        <v>65</v>
      </c>
      <c r="AG3722" s="6">
        <v>48</v>
      </c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 t="s">
        <v>100</v>
      </c>
      <c r="BJ3722" s="4">
        <v>139</v>
      </c>
      <c r="BK3722" s="8">
        <v>2608.39</v>
      </c>
      <c r="BL3722" s="2" t="s">
        <v>11357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207</v>
      </c>
      <c r="BV3722" s="2" t="s">
        <v>97</v>
      </c>
      <c r="BW3722" s="2" t="s">
        <v>100</v>
      </c>
      <c r="BX3722" s="2" t="s">
        <v>100</v>
      </c>
      <c r="BY3722" s="2" t="s">
        <v>113</v>
      </c>
      <c r="BZ3722" s="2" t="s">
        <v>100</v>
      </c>
    </row>
    <row r="3723">
      <c r="A3723" s="2" t="s">
        <v>11383</v>
      </c>
      <c r="B3723" s="2" t="s">
        <v>9668</v>
      </c>
      <c r="C3723" s="2" t="s">
        <v>1867</v>
      </c>
      <c r="D3723" s="2" t="s">
        <v>9669</v>
      </c>
      <c r="E3723" s="2" t="s">
        <v>9670</v>
      </c>
      <c r="F3723" s="2" t="s">
        <v>4940</v>
      </c>
      <c r="G3723" s="2" t="s">
        <v>4940</v>
      </c>
      <c r="H3723" s="2" t="s">
        <v>4940</v>
      </c>
      <c r="I3723" s="2" t="s">
        <v>11297</v>
      </c>
      <c r="J3723" s="2" t="s">
        <v>706</v>
      </c>
      <c r="K3723" s="2" t="s">
        <v>1603</v>
      </c>
      <c r="L3723" s="3">
        <v>16.94</v>
      </c>
      <c r="M3723" s="3">
        <v>17.79</v>
      </c>
      <c r="N3723" s="3">
        <v>37.99</v>
      </c>
      <c r="O3723" s="2" t="s">
        <v>97</v>
      </c>
      <c r="P3723" s="2" t="s">
        <v>225</v>
      </c>
      <c r="Q3723" s="2" t="s">
        <v>99</v>
      </c>
      <c r="R3723" s="2" t="s">
        <v>100</v>
      </c>
      <c r="S3723" s="2" t="s">
        <v>11381</v>
      </c>
      <c r="T3723" s="2" t="s">
        <v>4940</v>
      </c>
      <c r="U3723" s="2" t="s">
        <v>102</v>
      </c>
      <c r="V3723" s="2" t="s">
        <v>146</v>
      </c>
      <c r="W3723" s="2" t="s">
        <v>183</v>
      </c>
      <c r="X3723" s="2" t="s">
        <v>561</v>
      </c>
      <c r="Y3723" s="2" t="s">
        <v>11312</v>
      </c>
      <c r="Z3723" s="4">
        <v>1947</v>
      </c>
      <c r="AA3723" s="4">
        <f>=ROUNDDOWN(60.84375,0)</f>
      </c>
      <c r="AB3723" s="5">
        <v>32</v>
      </c>
      <c r="AC3723" s="2" t="s">
        <v>100</v>
      </c>
      <c r="AD3723" s="4"/>
      <c r="AE3723" s="4"/>
      <c r="AF3723" s="6">
        <v>65</v>
      </c>
      <c r="AG3723" s="6">
        <v>48</v>
      </c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 t="s">
        <v>100</v>
      </c>
      <c r="BJ3723" s="4">
        <v>242</v>
      </c>
      <c r="BK3723" s="8">
        <v>5276.2</v>
      </c>
      <c r="BL3723" s="2" t="s">
        <v>11357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207</v>
      </c>
      <c r="BV3723" s="2" t="s">
        <v>97</v>
      </c>
      <c r="BW3723" s="2" t="s">
        <v>100</v>
      </c>
      <c r="BX3723" s="2" t="s">
        <v>100</v>
      </c>
      <c r="BY3723" s="2" t="s">
        <v>113</v>
      </c>
      <c r="BZ3723" s="2" t="s">
        <v>100</v>
      </c>
    </row>
    <row r="3724">
      <c r="A3724" s="2" t="s">
        <v>11384</v>
      </c>
      <c r="B3724" s="2" t="s">
        <v>9668</v>
      </c>
      <c r="C3724" s="2" t="s">
        <v>1867</v>
      </c>
      <c r="D3724" s="2" t="s">
        <v>9669</v>
      </c>
      <c r="E3724" s="2" t="s">
        <v>9670</v>
      </c>
      <c r="F3724" s="2" t="s">
        <v>4940</v>
      </c>
      <c r="G3724" s="2" t="s">
        <v>4940</v>
      </c>
      <c r="H3724" s="2" t="s">
        <v>4940</v>
      </c>
      <c r="I3724" s="2" t="s">
        <v>11297</v>
      </c>
      <c r="J3724" s="2" t="s">
        <v>714</v>
      </c>
      <c r="K3724" s="2" t="s">
        <v>1603</v>
      </c>
      <c r="L3724" s="3">
        <v>19.17</v>
      </c>
      <c r="M3724" s="3">
        <v>20.13</v>
      </c>
      <c r="N3724" s="3">
        <v>42.99</v>
      </c>
      <c r="O3724" s="2" t="s">
        <v>97</v>
      </c>
      <c r="P3724" s="2" t="s">
        <v>225</v>
      </c>
      <c r="Q3724" s="2" t="s">
        <v>99</v>
      </c>
      <c r="R3724" s="2" t="s">
        <v>100</v>
      </c>
      <c r="S3724" s="2" t="s">
        <v>11381</v>
      </c>
      <c r="T3724" s="2" t="s">
        <v>4940</v>
      </c>
      <c r="U3724" s="2" t="s">
        <v>102</v>
      </c>
      <c r="V3724" s="2" t="s">
        <v>146</v>
      </c>
      <c r="W3724" s="2" t="s">
        <v>183</v>
      </c>
      <c r="X3724" s="2" t="s">
        <v>561</v>
      </c>
      <c r="Y3724" s="2" t="s">
        <v>11312</v>
      </c>
      <c r="Z3724" s="4">
        <v>863</v>
      </c>
      <c r="AA3724" s="4">
        <f>=ROUNDDOWN(43.15,0)</f>
      </c>
      <c r="AB3724" s="5">
        <v>20</v>
      </c>
      <c r="AC3724" s="2" t="s">
        <v>100</v>
      </c>
      <c r="AD3724" s="4"/>
      <c r="AE3724" s="4"/>
      <c r="AF3724" s="6">
        <v>65</v>
      </c>
      <c r="AG3724" s="6">
        <v>48</v>
      </c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 t="s">
        <v>100</v>
      </c>
      <c r="AW3724" s="8" t="s">
        <v>100</v>
      </c>
      <c r="AX3724" s="4" t="s">
        <v>100</v>
      </c>
      <c r="AY3724" s="8" t="s">
        <v>100</v>
      </c>
      <c r="AZ3724" s="7" t="s">
        <v>100</v>
      </c>
      <c r="BA3724" s="7" t="s">
        <v>100</v>
      </c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 t="s">
        <v>100</v>
      </c>
      <c r="BJ3724" s="4">
        <v>97</v>
      </c>
      <c r="BK3724" s="8">
        <v>2492.61</v>
      </c>
      <c r="BL3724" s="2" t="s">
        <v>11359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207</v>
      </c>
      <c r="BV3724" s="2" t="s">
        <v>97</v>
      </c>
      <c r="BW3724" s="2" t="s">
        <v>100</v>
      </c>
      <c r="BX3724" s="2" t="s">
        <v>100</v>
      </c>
      <c r="BY3724" s="2" t="s">
        <v>113</v>
      </c>
      <c r="BZ3724" s="2" t="s">
        <v>100</v>
      </c>
    </row>
    <row r="3725">
      <c r="A3725" s="2" t="s">
        <v>11385</v>
      </c>
      <c r="B3725" s="2" t="s">
        <v>9668</v>
      </c>
      <c r="C3725" s="2" t="s">
        <v>1867</v>
      </c>
      <c r="D3725" s="2" t="s">
        <v>9669</v>
      </c>
      <c r="E3725" s="2" t="s">
        <v>9670</v>
      </c>
      <c r="F3725" s="2" t="s">
        <v>4940</v>
      </c>
      <c r="G3725" s="2" t="s">
        <v>4940</v>
      </c>
      <c r="H3725" s="2" t="s">
        <v>4940</v>
      </c>
      <c r="I3725" s="2" t="s">
        <v>11297</v>
      </c>
      <c r="J3725" s="2" t="s">
        <v>817</v>
      </c>
      <c r="K3725" s="2" t="s">
        <v>1603</v>
      </c>
      <c r="L3725" s="3">
        <v>19.17</v>
      </c>
      <c r="M3725" s="3">
        <v>20.13</v>
      </c>
      <c r="N3725" s="3">
        <v>42.99</v>
      </c>
      <c r="O3725" s="2" t="s">
        <v>97</v>
      </c>
      <c r="P3725" s="2" t="s">
        <v>225</v>
      </c>
      <c r="Q3725" s="2" t="s">
        <v>99</v>
      </c>
      <c r="R3725" s="2" t="s">
        <v>100</v>
      </c>
      <c r="S3725" s="2" t="s">
        <v>11381</v>
      </c>
      <c r="T3725" s="2" t="s">
        <v>4940</v>
      </c>
      <c r="U3725" s="2" t="s">
        <v>102</v>
      </c>
      <c r="V3725" s="2" t="s">
        <v>146</v>
      </c>
      <c r="W3725" s="2" t="s">
        <v>183</v>
      </c>
      <c r="X3725" s="2" t="s">
        <v>561</v>
      </c>
      <c r="Y3725" s="2" t="s">
        <v>1233</v>
      </c>
      <c r="Z3725" s="4">
        <v>166</v>
      </c>
      <c r="AA3725" s="4">
        <f>=ROUNDDOWN(25.5384615384615,0)</f>
      </c>
      <c r="AB3725" s="5">
        <v>6.5</v>
      </c>
      <c r="AC3725" s="2" t="s">
        <v>11356</v>
      </c>
      <c r="AD3725" s="4">
        <v>120</v>
      </c>
      <c r="AE3725" s="4">
        <v>120</v>
      </c>
      <c r="AF3725" s="6">
        <v>65</v>
      </c>
      <c r="AG3725" s="6">
        <v>48</v>
      </c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/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 t="s">
        <v>100</v>
      </c>
      <c r="BJ3725" s="4">
        <v>65</v>
      </c>
      <c r="BK3725" s="8">
        <v>1499.95</v>
      </c>
      <c r="BL3725" s="2" t="s">
        <v>11386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207</v>
      </c>
      <c r="BV3725" s="2" t="s">
        <v>97</v>
      </c>
      <c r="BW3725" s="2" t="s">
        <v>100</v>
      </c>
      <c r="BX3725" s="2" t="s">
        <v>100</v>
      </c>
      <c r="BY3725" s="2" t="s">
        <v>113</v>
      </c>
      <c r="BZ3725" s="2" t="s">
        <v>100</v>
      </c>
    </row>
    <row r="3726">
      <c r="A3726" s="2" t="s">
        <v>11387</v>
      </c>
      <c r="B3726" s="2" t="s">
        <v>9668</v>
      </c>
      <c r="C3726" s="2" t="s">
        <v>1867</v>
      </c>
      <c r="D3726" s="2" t="s">
        <v>9669</v>
      </c>
      <c r="E3726" s="2" t="s">
        <v>9670</v>
      </c>
      <c r="F3726" s="2" t="s">
        <v>4940</v>
      </c>
      <c r="G3726" s="2" t="s">
        <v>4940</v>
      </c>
      <c r="H3726" s="2" t="s">
        <v>4940</v>
      </c>
      <c r="I3726" s="2" t="s">
        <v>11297</v>
      </c>
      <c r="J3726" s="2" t="s">
        <v>1936</v>
      </c>
      <c r="K3726" s="2" t="s">
        <v>11388</v>
      </c>
      <c r="L3726" s="3">
        <v>12.48</v>
      </c>
      <c r="M3726" s="3">
        <v>13.1</v>
      </c>
      <c r="N3726" s="3">
        <v>27.99</v>
      </c>
      <c r="O3726" s="2" t="s">
        <v>97</v>
      </c>
      <c r="P3726" s="2" t="s">
        <v>225</v>
      </c>
      <c r="Q3726" s="2" t="s">
        <v>99</v>
      </c>
      <c r="R3726" s="2" t="s">
        <v>100</v>
      </c>
      <c r="S3726" s="2" t="s">
        <v>11389</v>
      </c>
      <c r="T3726" s="2" t="s">
        <v>4940</v>
      </c>
      <c r="U3726" s="2" t="s">
        <v>402</v>
      </c>
      <c r="V3726" s="2" t="s">
        <v>146</v>
      </c>
      <c r="W3726" s="2" t="s">
        <v>183</v>
      </c>
      <c r="X3726" s="2" t="s">
        <v>561</v>
      </c>
      <c r="Y3726" s="2" t="s">
        <v>1233</v>
      </c>
      <c r="Z3726" s="4">
        <v>572</v>
      </c>
      <c r="AA3726" s="4">
        <f>=ROUNDDOWN(22.88,0)</f>
      </c>
      <c r="AB3726" s="5">
        <v>25</v>
      </c>
      <c r="AC3726" s="2" t="s">
        <v>100</v>
      </c>
      <c r="AD3726" s="4"/>
      <c r="AE3726" s="4"/>
      <c r="AF3726" s="6">
        <v>65</v>
      </c>
      <c r="AG3726" s="6">
        <v>48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 t="s">
        <v>100</v>
      </c>
      <c r="AW3726" s="8" t="s">
        <v>100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/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 t="s">
        <v>100</v>
      </c>
      <c r="BJ3726" s="4">
        <v>71</v>
      </c>
      <c r="BK3726" s="8">
        <v>1496.09</v>
      </c>
      <c r="BL3726" s="2" t="s">
        <v>11390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207</v>
      </c>
      <c r="BV3726" s="2" t="s">
        <v>97</v>
      </c>
      <c r="BW3726" s="2" t="s">
        <v>100</v>
      </c>
      <c r="BX3726" s="2" t="s">
        <v>100</v>
      </c>
      <c r="BY3726" s="2" t="s">
        <v>113</v>
      </c>
      <c r="BZ3726" s="2" t="s">
        <v>100</v>
      </c>
    </row>
    <row r="3727">
      <c r="A3727" s="2" t="s">
        <v>11391</v>
      </c>
      <c r="B3727" s="2" t="s">
        <v>9668</v>
      </c>
      <c r="C3727" s="2" t="s">
        <v>1867</v>
      </c>
      <c r="D3727" s="2" t="s">
        <v>9669</v>
      </c>
      <c r="E3727" s="2" t="s">
        <v>9670</v>
      </c>
      <c r="F3727" s="2" t="s">
        <v>4940</v>
      </c>
      <c r="G3727" s="2" t="s">
        <v>4940</v>
      </c>
      <c r="H3727" s="2" t="s">
        <v>4940</v>
      </c>
      <c r="I3727" s="2" t="s">
        <v>11297</v>
      </c>
      <c r="J3727" s="2" t="s">
        <v>717</v>
      </c>
      <c r="K3727" s="2" t="s">
        <v>11388</v>
      </c>
      <c r="L3727" s="3">
        <v>14.71</v>
      </c>
      <c r="M3727" s="3">
        <v>15.45</v>
      </c>
      <c r="N3727" s="3">
        <v>32.99</v>
      </c>
      <c r="O3727" s="2" t="s">
        <v>97</v>
      </c>
      <c r="P3727" s="2" t="s">
        <v>225</v>
      </c>
      <c r="Q3727" s="2" t="s">
        <v>99</v>
      </c>
      <c r="R3727" s="2" t="s">
        <v>100</v>
      </c>
      <c r="S3727" s="2" t="s">
        <v>11389</v>
      </c>
      <c r="T3727" s="2" t="s">
        <v>4940</v>
      </c>
      <c r="U3727" s="2" t="s">
        <v>102</v>
      </c>
      <c r="V3727" s="2" t="s">
        <v>146</v>
      </c>
      <c r="W3727" s="2" t="s">
        <v>183</v>
      </c>
      <c r="X3727" s="2" t="s">
        <v>561</v>
      </c>
      <c r="Y3727" s="2" t="s">
        <v>1233</v>
      </c>
      <c r="Z3727" s="4">
        <v>597</v>
      </c>
      <c r="AA3727" s="4">
        <f>=ROUNDDOWN(22.9615384615385,0)</f>
      </c>
      <c r="AB3727" s="5">
        <v>26</v>
      </c>
      <c r="AC3727" s="2" t="s">
        <v>11356</v>
      </c>
      <c r="AD3727" s="4">
        <v>50</v>
      </c>
      <c r="AE3727" s="4">
        <v>380</v>
      </c>
      <c r="AF3727" s="6">
        <v>65</v>
      </c>
      <c r="AG3727" s="6">
        <v>48</v>
      </c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/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 t="s">
        <v>100</v>
      </c>
      <c r="BJ3727" s="4">
        <v>195</v>
      </c>
      <c r="BK3727" s="8">
        <v>4945.11</v>
      </c>
      <c r="BL3727" s="2" t="s">
        <v>11359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207</v>
      </c>
      <c r="BV3727" s="2" t="s">
        <v>97</v>
      </c>
      <c r="BW3727" s="2" t="s">
        <v>100</v>
      </c>
      <c r="BX3727" s="2" t="s">
        <v>100</v>
      </c>
      <c r="BY3727" s="2" t="s">
        <v>113</v>
      </c>
      <c r="BZ3727" s="2" t="s">
        <v>100</v>
      </c>
    </row>
    <row r="3728">
      <c r="A3728" s="2" t="s">
        <v>11392</v>
      </c>
      <c r="B3728" s="2" t="s">
        <v>9668</v>
      </c>
      <c r="C3728" s="2" t="s">
        <v>1867</v>
      </c>
      <c r="D3728" s="2" t="s">
        <v>9669</v>
      </c>
      <c r="E3728" s="2" t="s">
        <v>9670</v>
      </c>
      <c r="F3728" s="2" t="s">
        <v>4940</v>
      </c>
      <c r="G3728" s="2" t="s">
        <v>4940</v>
      </c>
      <c r="H3728" s="2" t="s">
        <v>4940</v>
      </c>
      <c r="I3728" s="2" t="s">
        <v>11297</v>
      </c>
      <c r="J3728" s="2" t="s">
        <v>706</v>
      </c>
      <c r="K3728" s="2" t="s">
        <v>11388</v>
      </c>
      <c r="L3728" s="3">
        <v>16.94</v>
      </c>
      <c r="M3728" s="3">
        <v>17.79</v>
      </c>
      <c r="N3728" s="3">
        <v>37.99</v>
      </c>
      <c r="O3728" s="2" t="s">
        <v>97</v>
      </c>
      <c r="P3728" s="2" t="s">
        <v>225</v>
      </c>
      <c r="Q3728" s="2" t="s">
        <v>99</v>
      </c>
      <c r="R3728" s="2" t="s">
        <v>100</v>
      </c>
      <c r="S3728" s="2" t="s">
        <v>11389</v>
      </c>
      <c r="T3728" s="2" t="s">
        <v>4940</v>
      </c>
      <c r="U3728" s="2" t="s">
        <v>102</v>
      </c>
      <c r="V3728" s="2" t="s">
        <v>146</v>
      </c>
      <c r="W3728" s="2" t="s">
        <v>183</v>
      </c>
      <c r="X3728" s="2" t="s">
        <v>561</v>
      </c>
      <c r="Y3728" s="2" t="s">
        <v>11299</v>
      </c>
      <c r="Z3728" s="4">
        <v>1216</v>
      </c>
      <c r="AA3728" s="4">
        <f>=ROUNDDOWN(19,0)</f>
      </c>
      <c r="AB3728" s="5">
        <v>64</v>
      </c>
      <c r="AC3728" s="2" t="s">
        <v>1516</v>
      </c>
      <c r="AD3728" s="4">
        <v>1200</v>
      </c>
      <c r="AE3728" s="4">
        <v>1200</v>
      </c>
      <c r="AF3728" s="6">
        <v>65</v>
      </c>
      <c r="AG3728" s="6">
        <v>48</v>
      </c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 t="s">
        <v>100</v>
      </c>
      <c r="AW3728" s="8" t="s">
        <v>100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 t="s">
        <v>100</v>
      </c>
      <c r="BJ3728" s="4">
        <v>481</v>
      </c>
      <c r="BK3728" s="8">
        <v>12150.51</v>
      </c>
      <c r="BL3728" s="2" t="s">
        <v>11359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207</v>
      </c>
      <c r="BV3728" s="2" t="s">
        <v>97</v>
      </c>
      <c r="BW3728" s="2" t="s">
        <v>100</v>
      </c>
      <c r="BX3728" s="2" t="s">
        <v>100</v>
      </c>
      <c r="BY3728" s="2" t="s">
        <v>113</v>
      </c>
      <c r="BZ3728" s="2" t="s">
        <v>100</v>
      </c>
    </row>
    <row r="3729">
      <c r="A3729" s="2" t="s">
        <v>11393</v>
      </c>
      <c r="B3729" s="2" t="s">
        <v>9668</v>
      </c>
      <c r="C3729" s="2" t="s">
        <v>1867</v>
      </c>
      <c r="D3729" s="2" t="s">
        <v>9669</v>
      </c>
      <c r="E3729" s="2" t="s">
        <v>9670</v>
      </c>
      <c r="F3729" s="2" t="s">
        <v>4940</v>
      </c>
      <c r="G3729" s="2" t="s">
        <v>4940</v>
      </c>
      <c r="H3729" s="2" t="s">
        <v>4940</v>
      </c>
      <c r="I3729" s="2" t="s">
        <v>11297</v>
      </c>
      <c r="J3729" s="2" t="s">
        <v>714</v>
      </c>
      <c r="K3729" s="2" t="s">
        <v>11388</v>
      </c>
      <c r="L3729" s="3">
        <v>19.17</v>
      </c>
      <c r="M3729" s="3">
        <v>20.13</v>
      </c>
      <c r="N3729" s="3">
        <v>42.99</v>
      </c>
      <c r="O3729" s="2" t="s">
        <v>97</v>
      </c>
      <c r="P3729" s="2" t="s">
        <v>225</v>
      </c>
      <c r="Q3729" s="2" t="s">
        <v>99</v>
      </c>
      <c r="R3729" s="2" t="s">
        <v>100</v>
      </c>
      <c r="S3729" s="2" t="s">
        <v>11389</v>
      </c>
      <c r="T3729" s="2" t="s">
        <v>4940</v>
      </c>
      <c r="U3729" s="2" t="s">
        <v>102</v>
      </c>
      <c r="V3729" s="2" t="s">
        <v>146</v>
      </c>
      <c r="W3729" s="2" t="s">
        <v>183</v>
      </c>
      <c r="X3729" s="2" t="s">
        <v>561</v>
      </c>
      <c r="Y3729" s="2" t="s">
        <v>1233</v>
      </c>
      <c r="Z3729" s="4">
        <v>629</v>
      </c>
      <c r="AA3729" s="4">
        <f>=ROUNDDOWN(17.9714285714286,0)</f>
      </c>
      <c r="AB3729" s="5">
        <v>35</v>
      </c>
      <c r="AC3729" s="2" t="s">
        <v>1516</v>
      </c>
      <c r="AD3729" s="4">
        <v>590</v>
      </c>
      <c r="AE3729" s="4">
        <v>590</v>
      </c>
      <c r="AF3729" s="6">
        <v>65</v>
      </c>
      <c r="AG3729" s="6">
        <v>48</v>
      </c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 t="s">
        <v>100</v>
      </c>
      <c r="BJ3729" s="4">
        <v>185</v>
      </c>
      <c r="BK3729" s="8">
        <v>5232.87</v>
      </c>
      <c r="BL3729" s="2" t="s">
        <v>11359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207</v>
      </c>
      <c r="BV3729" s="2" t="s">
        <v>97</v>
      </c>
      <c r="BW3729" s="2" t="s">
        <v>100</v>
      </c>
      <c r="BX3729" s="2" t="s">
        <v>100</v>
      </c>
      <c r="BY3729" s="2" t="s">
        <v>113</v>
      </c>
      <c r="BZ3729" s="2" t="s">
        <v>100</v>
      </c>
    </row>
    <row r="3730">
      <c r="A3730" s="2" t="s">
        <v>11394</v>
      </c>
      <c r="B3730" s="2" t="s">
        <v>9668</v>
      </c>
      <c r="C3730" s="2" t="s">
        <v>1867</v>
      </c>
      <c r="D3730" s="2" t="s">
        <v>9669</v>
      </c>
      <c r="E3730" s="2" t="s">
        <v>9670</v>
      </c>
      <c r="F3730" s="2" t="s">
        <v>4940</v>
      </c>
      <c r="G3730" s="2" t="s">
        <v>4940</v>
      </c>
      <c r="H3730" s="2" t="s">
        <v>4940</v>
      </c>
      <c r="I3730" s="2" t="s">
        <v>11297</v>
      </c>
      <c r="J3730" s="2" t="s">
        <v>817</v>
      </c>
      <c r="K3730" s="2" t="s">
        <v>11388</v>
      </c>
      <c r="L3730" s="3">
        <v>19.17</v>
      </c>
      <c r="M3730" s="3">
        <v>20.13</v>
      </c>
      <c r="N3730" s="3">
        <v>42.99</v>
      </c>
      <c r="O3730" s="2" t="s">
        <v>97</v>
      </c>
      <c r="P3730" s="2" t="s">
        <v>225</v>
      </c>
      <c r="Q3730" s="2" t="s">
        <v>99</v>
      </c>
      <c r="R3730" s="2" t="s">
        <v>100</v>
      </c>
      <c r="S3730" s="2" t="s">
        <v>11389</v>
      </c>
      <c r="T3730" s="2" t="s">
        <v>4940</v>
      </c>
      <c r="U3730" s="2" t="s">
        <v>102</v>
      </c>
      <c r="V3730" s="2" t="s">
        <v>146</v>
      </c>
      <c r="W3730" s="2" t="s">
        <v>183</v>
      </c>
      <c r="X3730" s="2" t="s">
        <v>561</v>
      </c>
      <c r="Y3730" s="2" t="s">
        <v>11312</v>
      </c>
      <c r="Z3730" s="4">
        <v>143</v>
      </c>
      <c r="AA3730" s="4">
        <f>=ROUNDDOWN(8.41176470588235,0)</f>
      </c>
      <c r="AB3730" s="5">
        <v>17</v>
      </c>
      <c r="AC3730" s="2" t="s">
        <v>11356</v>
      </c>
      <c r="AD3730" s="4">
        <v>120</v>
      </c>
      <c r="AE3730" s="4">
        <v>330</v>
      </c>
      <c r="AF3730" s="6">
        <v>65</v>
      </c>
      <c r="AG3730" s="6">
        <v>48</v>
      </c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/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 t="s">
        <v>100</v>
      </c>
      <c r="BJ3730" s="4">
        <v>65</v>
      </c>
      <c r="BK3730" s="8">
        <v>2054.1</v>
      </c>
      <c r="BL3730" s="2" t="s">
        <v>11395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207</v>
      </c>
      <c r="BV3730" s="2" t="s">
        <v>97</v>
      </c>
      <c r="BW3730" s="2" t="s">
        <v>100</v>
      </c>
      <c r="BX3730" s="2" t="s">
        <v>100</v>
      </c>
      <c r="BY3730" s="2" t="s">
        <v>113</v>
      </c>
      <c r="BZ3730" s="2" t="s">
        <v>100</v>
      </c>
    </row>
    <row r="3731">
      <c r="A3731" s="2" t="s">
        <v>11396</v>
      </c>
      <c r="B3731" s="2" t="s">
        <v>9668</v>
      </c>
      <c r="C3731" s="2" t="s">
        <v>1867</v>
      </c>
      <c r="D3731" s="2" t="s">
        <v>9669</v>
      </c>
      <c r="E3731" s="2" t="s">
        <v>9670</v>
      </c>
      <c r="F3731" s="2" t="s">
        <v>4940</v>
      </c>
      <c r="G3731" s="2" t="s">
        <v>4940</v>
      </c>
      <c r="H3731" s="2" t="s">
        <v>4940</v>
      </c>
      <c r="I3731" s="2" t="s">
        <v>11297</v>
      </c>
      <c r="J3731" s="2" t="s">
        <v>1936</v>
      </c>
      <c r="K3731" s="2" t="s">
        <v>3038</v>
      </c>
      <c r="L3731" s="3">
        <v>12.48</v>
      </c>
      <c r="M3731" s="3">
        <v>13.1</v>
      </c>
      <c r="N3731" s="3">
        <v>27.99</v>
      </c>
      <c r="O3731" s="2" t="s">
        <v>97</v>
      </c>
      <c r="P3731" s="2" t="s">
        <v>225</v>
      </c>
      <c r="Q3731" s="2" t="s">
        <v>99</v>
      </c>
      <c r="R3731" s="2" t="s">
        <v>100</v>
      </c>
      <c r="S3731" s="2" t="s">
        <v>11397</v>
      </c>
      <c r="T3731" s="2" t="s">
        <v>4940</v>
      </c>
      <c r="U3731" s="2" t="s">
        <v>402</v>
      </c>
      <c r="V3731" s="2" t="s">
        <v>146</v>
      </c>
      <c r="W3731" s="2" t="s">
        <v>183</v>
      </c>
      <c r="X3731" s="2" t="s">
        <v>561</v>
      </c>
      <c r="Y3731" s="2" t="s">
        <v>1233</v>
      </c>
      <c r="Z3731" s="4">
        <v>568</v>
      </c>
      <c r="AA3731" s="4">
        <f>=ROUNDDOWN(51.6363636363636,0)</f>
      </c>
      <c r="AB3731" s="5">
        <v>11</v>
      </c>
      <c r="AC3731" s="2" t="s">
        <v>100</v>
      </c>
      <c r="AD3731" s="4"/>
      <c r="AE3731" s="4"/>
      <c r="AF3731" s="6">
        <v>65</v>
      </c>
      <c r="AG3731" s="6">
        <v>48</v>
      </c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/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 t="s">
        <v>100</v>
      </c>
      <c r="BJ3731" s="4">
        <v>49</v>
      </c>
      <c r="BK3731" s="8">
        <v>729.44</v>
      </c>
      <c r="BL3731" s="2" t="s">
        <v>3641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207</v>
      </c>
      <c r="BV3731" s="2" t="s">
        <v>97</v>
      </c>
      <c r="BW3731" s="2" t="s">
        <v>100</v>
      </c>
      <c r="BX3731" s="2" t="s">
        <v>100</v>
      </c>
      <c r="BY3731" s="2" t="s">
        <v>113</v>
      </c>
      <c r="BZ3731" s="2" t="s">
        <v>100</v>
      </c>
    </row>
    <row r="3732">
      <c r="A3732" s="2" t="s">
        <v>11398</v>
      </c>
      <c r="B3732" s="2" t="s">
        <v>9668</v>
      </c>
      <c r="C3732" s="2" t="s">
        <v>1867</v>
      </c>
      <c r="D3732" s="2" t="s">
        <v>9669</v>
      </c>
      <c r="E3732" s="2" t="s">
        <v>9670</v>
      </c>
      <c r="F3732" s="2" t="s">
        <v>4940</v>
      </c>
      <c r="G3732" s="2" t="s">
        <v>4940</v>
      </c>
      <c r="H3732" s="2" t="s">
        <v>4940</v>
      </c>
      <c r="I3732" s="2" t="s">
        <v>11297</v>
      </c>
      <c r="J3732" s="2" t="s">
        <v>717</v>
      </c>
      <c r="K3732" s="2" t="s">
        <v>3038</v>
      </c>
      <c r="L3732" s="3">
        <v>14.71</v>
      </c>
      <c r="M3732" s="3">
        <v>15.45</v>
      </c>
      <c r="N3732" s="3">
        <v>32.99</v>
      </c>
      <c r="O3732" s="2" t="s">
        <v>97</v>
      </c>
      <c r="P3732" s="2" t="s">
        <v>225</v>
      </c>
      <c r="Q3732" s="2" t="s">
        <v>99</v>
      </c>
      <c r="R3732" s="2" t="s">
        <v>100</v>
      </c>
      <c r="S3732" s="2" t="s">
        <v>11397</v>
      </c>
      <c r="T3732" s="2" t="s">
        <v>4940</v>
      </c>
      <c r="U3732" s="2" t="s">
        <v>102</v>
      </c>
      <c r="V3732" s="2" t="s">
        <v>146</v>
      </c>
      <c r="W3732" s="2" t="s">
        <v>183</v>
      </c>
      <c r="X3732" s="2" t="s">
        <v>561</v>
      </c>
      <c r="Y3732" s="2" t="s">
        <v>11312</v>
      </c>
      <c r="Z3732" s="4">
        <v>649</v>
      </c>
      <c r="AA3732" s="4">
        <f>=ROUNDDOWN(43.2666666666667,0)</f>
      </c>
      <c r="AB3732" s="5">
        <v>15</v>
      </c>
      <c r="AC3732" s="2" t="s">
        <v>1516</v>
      </c>
      <c r="AD3732" s="4">
        <v>200</v>
      </c>
      <c r="AE3732" s="4">
        <v>200</v>
      </c>
      <c r="AF3732" s="6">
        <v>65</v>
      </c>
      <c r="AG3732" s="6">
        <v>48</v>
      </c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/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100</v>
      </c>
      <c r="BK3732" s="8">
        <v>2053.62</v>
      </c>
      <c r="BL3732" s="2" t="s">
        <v>11357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207</v>
      </c>
      <c r="BV3732" s="2" t="s">
        <v>97</v>
      </c>
      <c r="BW3732" s="2" t="s">
        <v>100</v>
      </c>
      <c r="BX3732" s="2" t="s">
        <v>100</v>
      </c>
      <c r="BY3732" s="2" t="s">
        <v>113</v>
      </c>
      <c r="BZ3732" s="2" t="s">
        <v>100</v>
      </c>
    </row>
    <row r="3733">
      <c r="A3733" s="2" t="s">
        <v>11399</v>
      </c>
      <c r="B3733" s="2" t="s">
        <v>9668</v>
      </c>
      <c r="C3733" s="2" t="s">
        <v>1867</v>
      </c>
      <c r="D3733" s="2" t="s">
        <v>9669</v>
      </c>
      <c r="E3733" s="2" t="s">
        <v>9670</v>
      </c>
      <c r="F3733" s="2" t="s">
        <v>4940</v>
      </c>
      <c r="G3733" s="2" t="s">
        <v>4940</v>
      </c>
      <c r="H3733" s="2" t="s">
        <v>4940</v>
      </c>
      <c r="I3733" s="2" t="s">
        <v>11297</v>
      </c>
      <c r="J3733" s="2" t="s">
        <v>706</v>
      </c>
      <c r="K3733" s="2" t="s">
        <v>3038</v>
      </c>
      <c r="L3733" s="3">
        <v>16.94</v>
      </c>
      <c r="M3733" s="3">
        <v>17.79</v>
      </c>
      <c r="N3733" s="3">
        <v>37.99</v>
      </c>
      <c r="O3733" s="2" t="s">
        <v>97</v>
      </c>
      <c r="P3733" s="2" t="s">
        <v>225</v>
      </c>
      <c r="Q3733" s="2" t="s">
        <v>99</v>
      </c>
      <c r="R3733" s="2" t="s">
        <v>100</v>
      </c>
      <c r="S3733" s="2" t="s">
        <v>11397</v>
      </c>
      <c r="T3733" s="2" t="s">
        <v>4940</v>
      </c>
      <c r="U3733" s="2" t="s">
        <v>102</v>
      </c>
      <c r="V3733" s="2" t="s">
        <v>146</v>
      </c>
      <c r="W3733" s="2" t="s">
        <v>183</v>
      </c>
      <c r="X3733" s="2" t="s">
        <v>561</v>
      </c>
      <c r="Y3733" s="2" t="s">
        <v>1233</v>
      </c>
      <c r="Z3733" s="4">
        <v>1723</v>
      </c>
      <c r="AA3733" s="4">
        <f>=ROUNDDOWN(59.4137931034483,0)</f>
      </c>
      <c r="AB3733" s="5">
        <v>29</v>
      </c>
      <c r="AC3733" s="2" t="s">
        <v>100</v>
      </c>
      <c r="AD3733" s="4"/>
      <c r="AE3733" s="4"/>
      <c r="AF3733" s="6">
        <v>65</v>
      </c>
      <c r="AG3733" s="6">
        <v>48</v>
      </c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 t="s">
        <v>100</v>
      </c>
      <c r="BJ3733" s="4">
        <v>253</v>
      </c>
      <c r="BK3733" s="8">
        <v>5724.43</v>
      </c>
      <c r="BL3733" s="2" t="s">
        <v>11359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207</v>
      </c>
      <c r="BV3733" s="2" t="s">
        <v>97</v>
      </c>
      <c r="BW3733" s="2" t="s">
        <v>100</v>
      </c>
      <c r="BX3733" s="2" t="s">
        <v>100</v>
      </c>
      <c r="BY3733" s="2" t="s">
        <v>113</v>
      </c>
      <c r="BZ3733" s="2" t="s">
        <v>100</v>
      </c>
    </row>
    <row r="3734">
      <c r="A3734" s="2" t="s">
        <v>11400</v>
      </c>
      <c r="B3734" s="2" t="s">
        <v>9668</v>
      </c>
      <c r="C3734" s="2" t="s">
        <v>1867</v>
      </c>
      <c r="D3734" s="2" t="s">
        <v>9669</v>
      </c>
      <c r="E3734" s="2" t="s">
        <v>9670</v>
      </c>
      <c r="F3734" s="2" t="s">
        <v>4940</v>
      </c>
      <c r="G3734" s="2" t="s">
        <v>4940</v>
      </c>
      <c r="H3734" s="2" t="s">
        <v>4940</v>
      </c>
      <c r="I3734" s="2" t="s">
        <v>11297</v>
      </c>
      <c r="J3734" s="2" t="s">
        <v>714</v>
      </c>
      <c r="K3734" s="2" t="s">
        <v>3038</v>
      </c>
      <c r="L3734" s="3">
        <v>19.17</v>
      </c>
      <c r="M3734" s="3">
        <v>20.13</v>
      </c>
      <c r="N3734" s="3">
        <v>42.99</v>
      </c>
      <c r="O3734" s="2" t="s">
        <v>97</v>
      </c>
      <c r="P3734" s="2" t="s">
        <v>225</v>
      </c>
      <c r="Q3734" s="2" t="s">
        <v>99</v>
      </c>
      <c r="R3734" s="2" t="s">
        <v>100</v>
      </c>
      <c r="S3734" s="2" t="s">
        <v>11397</v>
      </c>
      <c r="T3734" s="2" t="s">
        <v>4940</v>
      </c>
      <c r="U3734" s="2" t="s">
        <v>102</v>
      </c>
      <c r="V3734" s="2" t="s">
        <v>146</v>
      </c>
      <c r="W3734" s="2" t="s">
        <v>183</v>
      </c>
      <c r="X3734" s="2" t="s">
        <v>561</v>
      </c>
      <c r="Y3734" s="2" t="s">
        <v>11299</v>
      </c>
      <c r="Z3734" s="4">
        <v>799</v>
      </c>
      <c r="AA3734" s="4">
        <f>=ROUNDDOWN(44.3888888888889,0)</f>
      </c>
      <c r="AB3734" s="5">
        <v>18</v>
      </c>
      <c r="AC3734" s="2" t="s">
        <v>1516</v>
      </c>
      <c r="AD3734" s="4">
        <v>100</v>
      </c>
      <c r="AE3734" s="4">
        <v>100</v>
      </c>
      <c r="AF3734" s="6">
        <v>65</v>
      </c>
      <c r="AG3734" s="6">
        <v>48</v>
      </c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139</v>
      </c>
      <c r="BK3734" s="8">
        <v>3660.07</v>
      </c>
      <c r="BL3734" s="2" t="s">
        <v>11357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207</v>
      </c>
      <c r="BV3734" s="2" t="s">
        <v>97</v>
      </c>
      <c r="BW3734" s="2" t="s">
        <v>100</v>
      </c>
      <c r="BX3734" s="2" t="s">
        <v>100</v>
      </c>
      <c r="BY3734" s="2" t="s">
        <v>113</v>
      </c>
      <c r="BZ3734" s="2" t="s">
        <v>100</v>
      </c>
    </row>
    <row r="3735">
      <c r="A3735" s="2" t="s">
        <v>11401</v>
      </c>
      <c r="B3735" s="2" t="s">
        <v>9668</v>
      </c>
      <c r="C3735" s="2" t="s">
        <v>1867</v>
      </c>
      <c r="D3735" s="2" t="s">
        <v>9669</v>
      </c>
      <c r="E3735" s="2" t="s">
        <v>9670</v>
      </c>
      <c r="F3735" s="2" t="s">
        <v>4940</v>
      </c>
      <c r="G3735" s="2" t="s">
        <v>4940</v>
      </c>
      <c r="H3735" s="2" t="s">
        <v>4940</v>
      </c>
      <c r="I3735" s="2" t="s">
        <v>11297</v>
      </c>
      <c r="J3735" s="2" t="s">
        <v>817</v>
      </c>
      <c r="K3735" s="2" t="s">
        <v>3038</v>
      </c>
      <c r="L3735" s="3">
        <v>19.17</v>
      </c>
      <c r="M3735" s="3">
        <v>20.13</v>
      </c>
      <c r="N3735" s="3">
        <v>42.99</v>
      </c>
      <c r="O3735" s="2" t="s">
        <v>97</v>
      </c>
      <c r="P3735" s="2" t="s">
        <v>225</v>
      </c>
      <c r="Q3735" s="2" t="s">
        <v>99</v>
      </c>
      <c r="R3735" s="2" t="s">
        <v>100</v>
      </c>
      <c r="S3735" s="2" t="s">
        <v>11397</v>
      </c>
      <c r="T3735" s="2" t="s">
        <v>4940</v>
      </c>
      <c r="U3735" s="2" t="s">
        <v>102</v>
      </c>
      <c r="V3735" s="2" t="s">
        <v>146</v>
      </c>
      <c r="W3735" s="2" t="s">
        <v>183</v>
      </c>
      <c r="X3735" s="2" t="s">
        <v>561</v>
      </c>
      <c r="Y3735" s="2" t="s">
        <v>1233</v>
      </c>
      <c r="Z3735" s="4">
        <v>170</v>
      </c>
      <c r="AA3735" s="4">
        <f>=ROUNDDOWN(14.1666666666667,0)</f>
      </c>
      <c r="AB3735" s="5">
        <v>12</v>
      </c>
      <c r="AC3735" s="2" t="s">
        <v>11356</v>
      </c>
      <c r="AD3735" s="4">
        <v>140</v>
      </c>
      <c r="AE3735" s="4">
        <v>170</v>
      </c>
      <c r="AF3735" s="6">
        <v>65</v>
      </c>
      <c r="AG3735" s="6">
        <v>48</v>
      </c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/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80</v>
      </c>
      <c r="BK3735" s="8">
        <v>1807.41</v>
      </c>
      <c r="BL3735" s="2" t="s">
        <v>3644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207</v>
      </c>
      <c r="BV3735" s="2" t="s">
        <v>97</v>
      </c>
      <c r="BW3735" s="2" t="s">
        <v>100</v>
      </c>
      <c r="BX3735" s="2" t="s">
        <v>100</v>
      </c>
      <c r="BY3735" s="2" t="s">
        <v>113</v>
      </c>
      <c r="BZ3735" s="2" t="s">
        <v>100</v>
      </c>
    </row>
    <row r="3736">
      <c r="A3736" s="2" t="s">
        <v>11402</v>
      </c>
      <c r="B3736" s="2" t="s">
        <v>9668</v>
      </c>
      <c r="C3736" s="2" t="s">
        <v>1867</v>
      </c>
      <c r="D3736" s="2" t="s">
        <v>9669</v>
      </c>
      <c r="E3736" s="2" t="s">
        <v>9670</v>
      </c>
      <c r="F3736" s="2" t="s">
        <v>11403</v>
      </c>
      <c r="G3736" s="2" t="s">
        <v>11403</v>
      </c>
      <c r="H3736" s="2" t="s">
        <v>11403</v>
      </c>
      <c r="I3736" s="2" t="s">
        <v>10016</v>
      </c>
      <c r="J3736" s="2" t="s">
        <v>717</v>
      </c>
      <c r="K3736" s="2" t="s">
        <v>11404</v>
      </c>
      <c r="L3736" s="3">
        <v>23.75</v>
      </c>
      <c r="M3736" s="3">
        <v>24.94</v>
      </c>
      <c r="N3736" s="3">
        <v>49.99</v>
      </c>
      <c r="O3736" s="2" t="s">
        <v>97</v>
      </c>
      <c r="P3736" s="2" t="s">
        <v>225</v>
      </c>
      <c r="Q3736" s="2" t="s">
        <v>99</v>
      </c>
      <c r="R3736" s="2" t="s">
        <v>100</v>
      </c>
      <c r="S3736" s="2" t="s">
        <v>11405</v>
      </c>
      <c r="T3736" s="2" t="s">
        <v>280</v>
      </c>
      <c r="U3736" s="2" t="s">
        <v>402</v>
      </c>
      <c r="V3736" s="2" t="s">
        <v>239</v>
      </c>
      <c r="W3736" s="2" t="s">
        <v>239</v>
      </c>
      <c r="X3736" s="2" t="s">
        <v>183</v>
      </c>
      <c r="Y3736" s="2" t="s">
        <v>11406</v>
      </c>
      <c r="Z3736" s="4">
        <v>88</v>
      </c>
      <c r="AA3736" s="4">
        <f>=ROUNDDOWN(44,0)</f>
      </c>
      <c r="AB3736" s="5">
        <v>2</v>
      </c>
      <c r="AC3736" s="2" t="s">
        <v>100</v>
      </c>
      <c r="AD3736" s="4"/>
      <c r="AE3736" s="4"/>
      <c r="AF3736" s="6">
        <v>70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41</v>
      </c>
      <c r="BK3736" s="8">
        <v>1097.24</v>
      </c>
      <c r="BL3736" s="2" t="s">
        <v>529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207</v>
      </c>
      <c r="BV3736" s="2" t="s">
        <v>97</v>
      </c>
      <c r="BW3736" s="2" t="s">
        <v>100</v>
      </c>
      <c r="BX3736" s="2" t="s">
        <v>100</v>
      </c>
      <c r="BY3736" s="2" t="s">
        <v>113</v>
      </c>
      <c r="BZ3736" s="2" t="s">
        <v>100</v>
      </c>
    </row>
    <row r="3737">
      <c r="A3737" s="2" t="s">
        <v>11407</v>
      </c>
      <c r="B3737" s="2" t="s">
        <v>9668</v>
      </c>
      <c r="C3737" s="2" t="s">
        <v>1867</v>
      </c>
      <c r="D3737" s="2" t="s">
        <v>9669</v>
      </c>
      <c r="E3737" s="2" t="s">
        <v>9670</v>
      </c>
      <c r="F3737" s="2" t="s">
        <v>11403</v>
      </c>
      <c r="G3737" s="2" t="s">
        <v>11403</v>
      </c>
      <c r="H3737" s="2" t="s">
        <v>11403</v>
      </c>
      <c r="I3737" s="2" t="s">
        <v>10016</v>
      </c>
      <c r="J3737" s="2" t="s">
        <v>706</v>
      </c>
      <c r="K3737" s="2" t="s">
        <v>11404</v>
      </c>
      <c r="L3737" s="3">
        <v>25</v>
      </c>
      <c r="M3737" s="3">
        <v>26.25</v>
      </c>
      <c r="N3737" s="3">
        <v>54.99</v>
      </c>
      <c r="O3737" s="2" t="s">
        <v>97</v>
      </c>
      <c r="P3737" s="2" t="s">
        <v>225</v>
      </c>
      <c r="Q3737" s="2" t="s">
        <v>99</v>
      </c>
      <c r="R3737" s="2" t="s">
        <v>100</v>
      </c>
      <c r="S3737" s="2" t="s">
        <v>11405</v>
      </c>
      <c r="T3737" s="2" t="s">
        <v>280</v>
      </c>
      <c r="U3737" s="2" t="s">
        <v>402</v>
      </c>
      <c r="V3737" s="2" t="s">
        <v>239</v>
      </c>
      <c r="W3737" s="2" t="s">
        <v>239</v>
      </c>
      <c r="X3737" s="2" t="s">
        <v>183</v>
      </c>
      <c r="Y3737" s="2" t="s">
        <v>11406</v>
      </c>
      <c r="Z3737" s="4">
        <v>204</v>
      </c>
      <c r="AA3737" s="4">
        <f>=ROUNDDOWN(68,0)</f>
      </c>
      <c r="AB3737" s="5">
        <v>3</v>
      </c>
      <c r="AC3737" s="2" t="s">
        <v>100</v>
      </c>
      <c r="AD3737" s="4"/>
      <c r="AE3737" s="4"/>
      <c r="AF3737" s="6">
        <v>70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/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/>
      <c r="BJ3737" s="4">
        <v>87</v>
      </c>
      <c r="BK3737" s="8">
        <v>2414.44</v>
      </c>
      <c r="BL3737" s="2" t="s">
        <v>537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207</v>
      </c>
      <c r="BV3737" s="2" t="s">
        <v>97</v>
      </c>
      <c r="BW3737" s="2" t="s">
        <v>100</v>
      </c>
      <c r="BX3737" s="2" t="s">
        <v>100</v>
      </c>
      <c r="BY3737" s="2" t="s">
        <v>113</v>
      </c>
      <c r="BZ3737" s="2" t="s">
        <v>100</v>
      </c>
    </row>
    <row r="3738">
      <c r="A3738" s="2" t="s">
        <v>11408</v>
      </c>
      <c r="B3738" s="2" t="s">
        <v>9668</v>
      </c>
      <c r="C3738" s="2" t="s">
        <v>1867</v>
      </c>
      <c r="D3738" s="2" t="s">
        <v>9669</v>
      </c>
      <c r="E3738" s="2" t="s">
        <v>9670</v>
      </c>
      <c r="F3738" s="2" t="s">
        <v>11403</v>
      </c>
      <c r="G3738" s="2" t="s">
        <v>11403</v>
      </c>
      <c r="H3738" s="2" t="s">
        <v>11403</v>
      </c>
      <c r="I3738" s="2" t="s">
        <v>10016</v>
      </c>
      <c r="J3738" s="2" t="s">
        <v>714</v>
      </c>
      <c r="K3738" s="2" t="s">
        <v>11404</v>
      </c>
      <c r="L3738" s="3">
        <v>28.5</v>
      </c>
      <c r="M3738" s="3">
        <v>29.93</v>
      </c>
      <c r="N3738" s="3">
        <v>59.99</v>
      </c>
      <c r="O3738" s="2" t="s">
        <v>97</v>
      </c>
      <c r="P3738" s="2" t="s">
        <v>225</v>
      </c>
      <c r="Q3738" s="2" t="s">
        <v>99</v>
      </c>
      <c r="R3738" s="2" t="s">
        <v>100</v>
      </c>
      <c r="S3738" s="2" t="s">
        <v>11405</v>
      </c>
      <c r="T3738" s="2" t="s">
        <v>280</v>
      </c>
      <c r="U3738" s="2" t="s">
        <v>402</v>
      </c>
      <c r="V3738" s="2" t="s">
        <v>239</v>
      </c>
      <c r="W3738" s="2" t="s">
        <v>239</v>
      </c>
      <c r="X3738" s="2" t="s">
        <v>183</v>
      </c>
      <c r="Y3738" s="2" t="s">
        <v>11406</v>
      </c>
      <c r="Z3738" s="4">
        <v>123</v>
      </c>
      <c r="AA3738" s="4">
        <f>=ROUNDDOWN(61.5,0)</f>
      </c>
      <c r="AB3738" s="5">
        <v>2</v>
      </c>
      <c r="AC3738" s="2" t="s">
        <v>100</v>
      </c>
      <c r="AD3738" s="4"/>
      <c r="AE3738" s="4"/>
      <c r="AF3738" s="6">
        <v>70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/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/>
      <c r="BJ3738" s="4">
        <v>56</v>
      </c>
      <c r="BK3738" s="8">
        <v>1775.7</v>
      </c>
      <c r="BL3738" s="2" t="s">
        <v>553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207</v>
      </c>
      <c r="BV3738" s="2" t="s">
        <v>97</v>
      </c>
      <c r="BW3738" s="2" t="s">
        <v>100</v>
      </c>
      <c r="BX3738" s="2" t="s">
        <v>100</v>
      </c>
      <c r="BY3738" s="2" t="s">
        <v>113</v>
      </c>
      <c r="BZ3738" s="2" t="s">
        <v>100</v>
      </c>
    </row>
    <row r="3739">
      <c r="A3739" s="2" t="s">
        <v>11409</v>
      </c>
      <c r="B3739" s="2" t="s">
        <v>9668</v>
      </c>
      <c r="C3739" s="2" t="s">
        <v>1867</v>
      </c>
      <c r="D3739" s="2" t="s">
        <v>9669</v>
      </c>
      <c r="E3739" s="2" t="s">
        <v>9670</v>
      </c>
      <c r="F3739" s="2" t="s">
        <v>11403</v>
      </c>
      <c r="G3739" s="2" t="s">
        <v>11403</v>
      </c>
      <c r="H3739" s="2" t="s">
        <v>11403</v>
      </c>
      <c r="I3739" s="2" t="s">
        <v>10016</v>
      </c>
      <c r="J3739" s="2" t="s">
        <v>717</v>
      </c>
      <c r="K3739" s="2" t="s">
        <v>11410</v>
      </c>
      <c r="L3739" s="3">
        <v>23.75</v>
      </c>
      <c r="M3739" s="3">
        <v>24.94</v>
      </c>
      <c r="N3739" s="3">
        <v>49.99</v>
      </c>
      <c r="O3739" s="2" t="s">
        <v>97</v>
      </c>
      <c r="P3739" s="2" t="s">
        <v>225</v>
      </c>
      <c r="Q3739" s="2" t="s">
        <v>99</v>
      </c>
      <c r="R3739" s="2" t="s">
        <v>100</v>
      </c>
      <c r="S3739" s="2" t="s">
        <v>11411</v>
      </c>
      <c r="T3739" s="2" t="s">
        <v>280</v>
      </c>
      <c r="U3739" s="2" t="s">
        <v>402</v>
      </c>
      <c r="V3739" s="2" t="s">
        <v>239</v>
      </c>
      <c r="W3739" s="2" t="s">
        <v>239</v>
      </c>
      <c r="X3739" s="2" t="s">
        <v>183</v>
      </c>
      <c r="Y3739" s="2" t="s">
        <v>11406</v>
      </c>
      <c r="Z3739" s="4">
        <v>93</v>
      </c>
      <c r="AA3739" s="4">
        <f>=ROUNDDOWN(46.5,0)</f>
      </c>
      <c r="AB3739" s="5">
        <v>2</v>
      </c>
      <c r="AC3739" s="2" t="s">
        <v>100</v>
      </c>
      <c r="AD3739" s="4"/>
      <c r="AE3739" s="4"/>
      <c r="AF3739" s="6">
        <v>70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>
        <v>38</v>
      </c>
      <c r="BK3739" s="8">
        <v>1021.55</v>
      </c>
      <c r="BL3739" s="2" t="s">
        <v>2163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207</v>
      </c>
      <c r="BV3739" s="2" t="s">
        <v>97</v>
      </c>
      <c r="BW3739" s="2" t="s">
        <v>100</v>
      </c>
      <c r="BX3739" s="2" t="s">
        <v>100</v>
      </c>
      <c r="BY3739" s="2" t="s">
        <v>113</v>
      </c>
      <c r="BZ3739" s="2" t="s">
        <v>100</v>
      </c>
    </row>
    <row r="3740">
      <c r="A3740" s="2" t="s">
        <v>11412</v>
      </c>
      <c r="B3740" s="2" t="s">
        <v>9668</v>
      </c>
      <c r="C3740" s="2" t="s">
        <v>1867</v>
      </c>
      <c r="D3740" s="2" t="s">
        <v>9669</v>
      </c>
      <c r="E3740" s="2" t="s">
        <v>9670</v>
      </c>
      <c r="F3740" s="2" t="s">
        <v>11403</v>
      </c>
      <c r="G3740" s="2" t="s">
        <v>11403</v>
      </c>
      <c r="H3740" s="2" t="s">
        <v>11403</v>
      </c>
      <c r="I3740" s="2" t="s">
        <v>10016</v>
      </c>
      <c r="J3740" s="2" t="s">
        <v>706</v>
      </c>
      <c r="K3740" s="2" t="s">
        <v>11410</v>
      </c>
      <c r="L3740" s="3">
        <v>25</v>
      </c>
      <c r="M3740" s="3">
        <v>26.25</v>
      </c>
      <c r="N3740" s="3">
        <v>54.99</v>
      </c>
      <c r="O3740" s="2" t="s">
        <v>97</v>
      </c>
      <c r="P3740" s="2" t="s">
        <v>225</v>
      </c>
      <c r="Q3740" s="2" t="s">
        <v>99</v>
      </c>
      <c r="R3740" s="2" t="s">
        <v>100</v>
      </c>
      <c r="S3740" s="2" t="s">
        <v>11411</v>
      </c>
      <c r="T3740" s="2" t="s">
        <v>280</v>
      </c>
      <c r="U3740" s="2" t="s">
        <v>402</v>
      </c>
      <c r="V3740" s="2" t="s">
        <v>239</v>
      </c>
      <c r="W3740" s="2" t="s">
        <v>239</v>
      </c>
      <c r="X3740" s="2" t="s">
        <v>183</v>
      </c>
      <c r="Y3740" s="2" t="s">
        <v>11406</v>
      </c>
      <c r="Z3740" s="4">
        <v>146</v>
      </c>
      <c r="AA3740" s="4">
        <f>=ROUNDDOWN(36.5,0)</f>
      </c>
      <c r="AB3740" s="5">
        <v>4</v>
      </c>
      <c r="AC3740" s="2" t="s">
        <v>100</v>
      </c>
      <c r="AD3740" s="4"/>
      <c r="AE3740" s="4"/>
      <c r="AF3740" s="6">
        <v>70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>
        <v>129</v>
      </c>
      <c r="BK3740" s="8">
        <v>3622.97</v>
      </c>
      <c r="BL3740" s="2" t="s">
        <v>1056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207</v>
      </c>
      <c r="BV3740" s="2" t="s">
        <v>97</v>
      </c>
      <c r="BW3740" s="2" t="s">
        <v>100</v>
      </c>
      <c r="BX3740" s="2" t="s">
        <v>100</v>
      </c>
      <c r="BY3740" s="2" t="s">
        <v>113</v>
      </c>
      <c r="BZ3740" s="2" t="s">
        <v>100</v>
      </c>
    </row>
    <row r="3741">
      <c r="A3741" s="2" t="s">
        <v>11413</v>
      </c>
      <c r="B3741" s="2" t="s">
        <v>9668</v>
      </c>
      <c r="C3741" s="2" t="s">
        <v>1867</v>
      </c>
      <c r="D3741" s="2" t="s">
        <v>9669</v>
      </c>
      <c r="E3741" s="2" t="s">
        <v>9670</v>
      </c>
      <c r="F3741" s="2" t="s">
        <v>11403</v>
      </c>
      <c r="G3741" s="2" t="s">
        <v>11403</v>
      </c>
      <c r="H3741" s="2" t="s">
        <v>11403</v>
      </c>
      <c r="I3741" s="2" t="s">
        <v>10016</v>
      </c>
      <c r="J3741" s="2" t="s">
        <v>714</v>
      </c>
      <c r="K3741" s="2" t="s">
        <v>11410</v>
      </c>
      <c r="L3741" s="3">
        <v>28.5</v>
      </c>
      <c r="M3741" s="3">
        <v>29.93</v>
      </c>
      <c r="N3741" s="3">
        <v>59.99</v>
      </c>
      <c r="O3741" s="2" t="s">
        <v>97</v>
      </c>
      <c r="P3741" s="2" t="s">
        <v>225</v>
      </c>
      <c r="Q3741" s="2" t="s">
        <v>99</v>
      </c>
      <c r="R3741" s="2" t="s">
        <v>100</v>
      </c>
      <c r="S3741" s="2" t="s">
        <v>11411</v>
      </c>
      <c r="T3741" s="2" t="s">
        <v>280</v>
      </c>
      <c r="U3741" s="2" t="s">
        <v>402</v>
      </c>
      <c r="V3741" s="2" t="s">
        <v>239</v>
      </c>
      <c r="W3741" s="2" t="s">
        <v>239</v>
      </c>
      <c r="X3741" s="2" t="s">
        <v>183</v>
      </c>
      <c r="Y3741" s="2" t="s">
        <v>11406</v>
      </c>
      <c r="Z3741" s="4">
        <v>79</v>
      </c>
      <c r="AA3741" s="4">
        <f>=ROUNDDOWN(26.3333333333333,0)</f>
      </c>
      <c r="AB3741" s="5">
        <v>3</v>
      </c>
      <c r="AC3741" s="2" t="s">
        <v>100</v>
      </c>
      <c r="AD3741" s="4"/>
      <c r="AE3741" s="4"/>
      <c r="AF3741" s="6">
        <v>70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>
        <v>86</v>
      </c>
      <c r="BK3741" s="8">
        <v>2761.69</v>
      </c>
      <c r="BL3741" s="2" t="s">
        <v>1056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207</v>
      </c>
      <c r="BV3741" s="2" t="s">
        <v>97</v>
      </c>
      <c r="BW3741" s="2" t="s">
        <v>100</v>
      </c>
      <c r="BX3741" s="2" t="s">
        <v>100</v>
      </c>
      <c r="BY3741" s="2" t="s">
        <v>113</v>
      </c>
      <c r="BZ3741" s="2" t="s">
        <v>100</v>
      </c>
    </row>
    <row r="3742">
      <c r="A3742" s="2" t="s">
        <v>11414</v>
      </c>
      <c r="B3742" s="2" t="s">
        <v>9668</v>
      </c>
      <c r="C3742" s="2" t="s">
        <v>1867</v>
      </c>
      <c r="D3742" s="2" t="s">
        <v>9669</v>
      </c>
      <c r="E3742" s="2" t="s">
        <v>9670</v>
      </c>
      <c r="F3742" s="2" t="s">
        <v>11403</v>
      </c>
      <c r="G3742" s="2" t="s">
        <v>11403</v>
      </c>
      <c r="H3742" s="2" t="s">
        <v>11403</v>
      </c>
      <c r="I3742" s="2" t="s">
        <v>10016</v>
      </c>
      <c r="J3742" s="2" t="s">
        <v>717</v>
      </c>
      <c r="K3742" s="2" t="s">
        <v>11415</v>
      </c>
      <c r="L3742" s="3">
        <v>23.75</v>
      </c>
      <c r="M3742" s="3">
        <v>24.94</v>
      </c>
      <c r="N3742" s="3">
        <v>49.99</v>
      </c>
      <c r="O3742" s="2" t="s">
        <v>97</v>
      </c>
      <c r="P3742" s="2" t="s">
        <v>119</v>
      </c>
      <c r="Q3742" s="2" t="s">
        <v>99</v>
      </c>
      <c r="R3742" s="2" t="s">
        <v>100</v>
      </c>
      <c r="S3742" s="2" t="s">
        <v>11416</v>
      </c>
      <c r="T3742" s="2" t="s">
        <v>280</v>
      </c>
      <c r="U3742" s="2" t="s">
        <v>402</v>
      </c>
      <c r="V3742" s="2" t="s">
        <v>350</v>
      </c>
      <c r="W3742" s="2" t="s">
        <v>183</v>
      </c>
      <c r="X3742" s="2" t="s">
        <v>100</v>
      </c>
      <c r="Y3742" s="2" t="s">
        <v>11417</v>
      </c>
      <c r="Z3742" s="4"/>
      <c r="AA3742" s="4">
        <f>=ROUNDDOWN({0},0)</f>
      </c>
      <c r="AB3742" s="5">
        <v>9</v>
      </c>
      <c r="AC3742" s="2" t="s">
        <v>562</v>
      </c>
      <c r="AD3742" s="4">
        <v>150</v>
      </c>
      <c r="AE3742" s="4">
        <v>270</v>
      </c>
      <c r="AF3742" s="6">
        <v>70</v>
      </c>
      <c r="AG3742" s="6"/>
      <c r="AH3742" s="7">
        <v>0.6257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/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/>
      <c r="BJ3742" s="4">
        <v>126</v>
      </c>
      <c r="BK3742" s="8">
        <v>3380.75</v>
      </c>
      <c r="BL3742" s="2" t="s">
        <v>5154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207</v>
      </c>
      <c r="BV3742" s="2" t="s">
        <v>97</v>
      </c>
      <c r="BW3742" s="2" t="s">
        <v>100</v>
      </c>
      <c r="BX3742" s="2" t="s">
        <v>100</v>
      </c>
      <c r="BY3742" s="2" t="s">
        <v>113</v>
      </c>
      <c r="BZ3742" s="2" t="s">
        <v>100</v>
      </c>
    </row>
    <row r="3743">
      <c r="A3743" s="2" t="s">
        <v>11418</v>
      </c>
      <c r="B3743" s="2" t="s">
        <v>9668</v>
      </c>
      <c r="C3743" s="2" t="s">
        <v>1867</v>
      </c>
      <c r="D3743" s="2" t="s">
        <v>9669</v>
      </c>
      <c r="E3743" s="2" t="s">
        <v>9670</v>
      </c>
      <c r="F3743" s="2" t="s">
        <v>11403</v>
      </c>
      <c r="G3743" s="2" t="s">
        <v>11403</v>
      </c>
      <c r="H3743" s="2" t="s">
        <v>11403</v>
      </c>
      <c r="I3743" s="2" t="s">
        <v>10016</v>
      </c>
      <c r="J3743" s="2" t="s">
        <v>706</v>
      </c>
      <c r="K3743" s="2" t="s">
        <v>11415</v>
      </c>
      <c r="L3743" s="3">
        <v>25</v>
      </c>
      <c r="M3743" s="3">
        <v>26.25</v>
      </c>
      <c r="N3743" s="3">
        <v>54.99</v>
      </c>
      <c r="O3743" s="2" t="s">
        <v>97</v>
      </c>
      <c r="P3743" s="2" t="s">
        <v>119</v>
      </c>
      <c r="Q3743" s="2" t="s">
        <v>99</v>
      </c>
      <c r="R3743" s="2" t="s">
        <v>100</v>
      </c>
      <c r="S3743" s="2" t="s">
        <v>11416</v>
      </c>
      <c r="T3743" s="2" t="s">
        <v>280</v>
      </c>
      <c r="U3743" s="2" t="s">
        <v>402</v>
      </c>
      <c r="V3743" s="2" t="s">
        <v>350</v>
      </c>
      <c r="W3743" s="2" t="s">
        <v>183</v>
      </c>
      <c r="X3743" s="2" t="s">
        <v>100</v>
      </c>
      <c r="Y3743" s="2" t="s">
        <v>11417</v>
      </c>
      <c r="Z3743" s="4"/>
      <c r="AA3743" s="4">
        <f>=ROUNDDOWN({0},0)</f>
      </c>
      <c r="AB3743" s="5">
        <v>15</v>
      </c>
      <c r="AC3743" s="2" t="s">
        <v>562</v>
      </c>
      <c r="AD3743" s="4">
        <v>250</v>
      </c>
      <c r="AE3743" s="4">
        <v>600</v>
      </c>
      <c r="AF3743" s="6">
        <v>70</v>
      </c>
      <c r="AG3743" s="6"/>
      <c r="AH3743" s="7">
        <v>0.8877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/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/>
      <c r="BJ3743" s="4">
        <v>389</v>
      </c>
      <c r="BK3743" s="8">
        <v>10950.16</v>
      </c>
      <c r="BL3743" s="2" t="s">
        <v>11419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207</v>
      </c>
      <c r="BV3743" s="2" t="s">
        <v>97</v>
      </c>
      <c r="BW3743" s="2" t="s">
        <v>100</v>
      </c>
      <c r="BX3743" s="2" t="s">
        <v>100</v>
      </c>
      <c r="BY3743" s="2" t="s">
        <v>113</v>
      </c>
      <c r="BZ3743" s="2" t="s">
        <v>100</v>
      </c>
    </row>
    <row r="3744">
      <c r="A3744" s="2" t="s">
        <v>11420</v>
      </c>
      <c r="B3744" s="2" t="s">
        <v>9668</v>
      </c>
      <c r="C3744" s="2" t="s">
        <v>1867</v>
      </c>
      <c r="D3744" s="2" t="s">
        <v>9669</v>
      </c>
      <c r="E3744" s="2" t="s">
        <v>9670</v>
      </c>
      <c r="F3744" s="2" t="s">
        <v>11403</v>
      </c>
      <c r="G3744" s="2" t="s">
        <v>11403</v>
      </c>
      <c r="H3744" s="2" t="s">
        <v>11403</v>
      </c>
      <c r="I3744" s="2" t="s">
        <v>10016</v>
      </c>
      <c r="J3744" s="2" t="s">
        <v>714</v>
      </c>
      <c r="K3744" s="2" t="s">
        <v>11415</v>
      </c>
      <c r="L3744" s="3">
        <v>28.5</v>
      </c>
      <c r="M3744" s="3">
        <v>29.93</v>
      </c>
      <c r="N3744" s="3">
        <v>59.99</v>
      </c>
      <c r="O3744" s="2" t="s">
        <v>97</v>
      </c>
      <c r="P3744" s="2" t="s">
        <v>119</v>
      </c>
      <c r="Q3744" s="2" t="s">
        <v>99</v>
      </c>
      <c r="R3744" s="2" t="s">
        <v>100</v>
      </c>
      <c r="S3744" s="2" t="s">
        <v>11416</v>
      </c>
      <c r="T3744" s="2" t="s">
        <v>280</v>
      </c>
      <c r="U3744" s="2" t="s">
        <v>402</v>
      </c>
      <c r="V3744" s="2" t="s">
        <v>350</v>
      </c>
      <c r="W3744" s="2" t="s">
        <v>183</v>
      </c>
      <c r="X3744" s="2" t="s">
        <v>100</v>
      </c>
      <c r="Y3744" s="2" t="s">
        <v>11417</v>
      </c>
      <c r="Z3744" s="4">
        <v>28</v>
      </c>
      <c r="AA3744" s="4">
        <f>=ROUNDDOWN(5.6,0)</f>
      </c>
      <c r="AB3744" s="5">
        <v>5</v>
      </c>
      <c r="AC3744" s="2" t="s">
        <v>3887</v>
      </c>
      <c r="AD3744" s="4">
        <v>30</v>
      </c>
      <c r="AE3744" s="4">
        <v>330</v>
      </c>
      <c r="AF3744" s="6">
        <v>70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/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>
        <v>155</v>
      </c>
      <c r="BK3744" s="8">
        <v>4922.82</v>
      </c>
      <c r="BL3744" s="2" t="s">
        <v>11421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207</v>
      </c>
      <c r="BV3744" s="2" t="s">
        <v>97</v>
      </c>
      <c r="BW3744" s="2" t="s">
        <v>100</v>
      </c>
      <c r="BX3744" s="2" t="s">
        <v>100</v>
      </c>
      <c r="BY3744" s="2" t="s">
        <v>113</v>
      </c>
      <c r="BZ3744" s="2" t="s">
        <v>100</v>
      </c>
    </row>
    <row r="3745">
      <c r="A3745" s="2" t="s">
        <v>11422</v>
      </c>
      <c r="B3745" s="2" t="s">
        <v>9668</v>
      </c>
      <c r="C3745" s="2" t="s">
        <v>1867</v>
      </c>
      <c r="D3745" s="2" t="s">
        <v>9669</v>
      </c>
      <c r="E3745" s="2" t="s">
        <v>9670</v>
      </c>
      <c r="F3745" s="2" t="s">
        <v>11403</v>
      </c>
      <c r="G3745" s="2" t="s">
        <v>11403</v>
      </c>
      <c r="H3745" s="2" t="s">
        <v>11403</v>
      </c>
      <c r="I3745" s="2" t="s">
        <v>10016</v>
      </c>
      <c r="J3745" s="2" t="s">
        <v>717</v>
      </c>
      <c r="K3745" s="2" t="s">
        <v>11423</v>
      </c>
      <c r="L3745" s="3">
        <v>23.75</v>
      </c>
      <c r="M3745" s="3">
        <v>24.94</v>
      </c>
      <c r="N3745" s="3">
        <v>49.99</v>
      </c>
      <c r="O3745" s="2" t="s">
        <v>97</v>
      </c>
      <c r="P3745" s="2" t="s">
        <v>119</v>
      </c>
      <c r="Q3745" s="2" t="s">
        <v>99</v>
      </c>
      <c r="R3745" s="2" t="s">
        <v>100</v>
      </c>
      <c r="S3745" s="2" t="s">
        <v>11424</v>
      </c>
      <c r="T3745" s="2" t="s">
        <v>280</v>
      </c>
      <c r="U3745" s="2" t="s">
        <v>402</v>
      </c>
      <c r="V3745" s="2" t="s">
        <v>292</v>
      </c>
      <c r="W3745" s="2" t="s">
        <v>183</v>
      </c>
      <c r="X3745" s="2" t="s">
        <v>100</v>
      </c>
      <c r="Y3745" s="2" t="s">
        <v>11417</v>
      </c>
      <c r="Z3745" s="4">
        <v>94</v>
      </c>
      <c r="AA3745" s="4">
        <f>=ROUNDDOWN(18.8,0)</f>
      </c>
      <c r="AB3745" s="5">
        <v>5</v>
      </c>
      <c r="AC3745" s="2" t="s">
        <v>562</v>
      </c>
      <c r="AD3745" s="4">
        <v>20</v>
      </c>
      <c r="AE3745" s="4">
        <v>220</v>
      </c>
      <c r="AF3745" s="6">
        <v>70</v>
      </c>
      <c r="AG3745" s="6"/>
      <c r="AH3745" s="7">
        <v>0.9465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/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/>
      <c r="BJ3745" s="4">
        <v>115</v>
      </c>
      <c r="BK3745" s="8">
        <v>3012.66</v>
      </c>
      <c r="BL3745" s="2" t="s">
        <v>11425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207</v>
      </c>
      <c r="BV3745" s="2" t="s">
        <v>97</v>
      </c>
      <c r="BW3745" s="2" t="s">
        <v>100</v>
      </c>
      <c r="BX3745" s="2" t="s">
        <v>100</v>
      </c>
      <c r="BY3745" s="2" t="s">
        <v>113</v>
      </c>
      <c r="BZ3745" s="2" t="s">
        <v>100</v>
      </c>
    </row>
    <row r="3746">
      <c r="A3746" s="2" t="s">
        <v>11426</v>
      </c>
      <c r="B3746" s="2" t="s">
        <v>9668</v>
      </c>
      <c r="C3746" s="2" t="s">
        <v>1867</v>
      </c>
      <c r="D3746" s="2" t="s">
        <v>9669</v>
      </c>
      <c r="E3746" s="2" t="s">
        <v>9670</v>
      </c>
      <c r="F3746" s="2" t="s">
        <v>11403</v>
      </c>
      <c r="G3746" s="2" t="s">
        <v>11403</v>
      </c>
      <c r="H3746" s="2" t="s">
        <v>11403</v>
      </c>
      <c r="I3746" s="2" t="s">
        <v>10016</v>
      </c>
      <c r="J3746" s="2" t="s">
        <v>706</v>
      </c>
      <c r="K3746" s="2" t="s">
        <v>11423</v>
      </c>
      <c r="L3746" s="3">
        <v>25</v>
      </c>
      <c r="M3746" s="3">
        <v>26.25</v>
      </c>
      <c r="N3746" s="3">
        <v>54.99</v>
      </c>
      <c r="O3746" s="2" t="s">
        <v>97</v>
      </c>
      <c r="P3746" s="2" t="s">
        <v>119</v>
      </c>
      <c r="Q3746" s="2" t="s">
        <v>99</v>
      </c>
      <c r="R3746" s="2" t="s">
        <v>100</v>
      </c>
      <c r="S3746" s="2" t="s">
        <v>11424</v>
      </c>
      <c r="T3746" s="2" t="s">
        <v>280</v>
      </c>
      <c r="U3746" s="2" t="s">
        <v>402</v>
      </c>
      <c r="V3746" s="2" t="s">
        <v>292</v>
      </c>
      <c r="W3746" s="2" t="s">
        <v>183</v>
      </c>
      <c r="X3746" s="2" t="s">
        <v>100</v>
      </c>
      <c r="Y3746" s="2" t="s">
        <v>11417</v>
      </c>
      <c r="Z3746" s="4">
        <v>78</v>
      </c>
      <c r="AA3746" s="4">
        <f>=ROUNDDOWN(5.13157894736842,0)</f>
      </c>
      <c r="AB3746" s="5">
        <v>15.2</v>
      </c>
      <c r="AC3746" s="2" t="s">
        <v>562</v>
      </c>
      <c r="AD3746" s="4">
        <v>220</v>
      </c>
      <c r="AE3746" s="4">
        <v>630</v>
      </c>
      <c r="AF3746" s="6">
        <v>70</v>
      </c>
      <c r="AG3746" s="6"/>
      <c r="AH3746" s="7">
        <v>0.8449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>
        <v>260</v>
      </c>
      <c r="BK3746" s="8">
        <v>7244.83</v>
      </c>
      <c r="BL3746" s="2" t="s">
        <v>364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207</v>
      </c>
      <c r="BV3746" s="2" t="s">
        <v>97</v>
      </c>
      <c r="BW3746" s="2" t="s">
        <v>100</v>
      </c>
      <c r="BX3746" s="2" t="s">
        <v>100</v>
      </c>
      <c r="BY3746" s="2" t="s">
        <v>113</v>
      </c>
      <c r="BZ3746" s="2" t="s">
        <v>100</v>
      </c>
    </row>
    <row r="3747">
      <c r="A3747" s="2" t="s">
        <v>11427</v>
      </c>
      <c r="B3747" s="2" t="s">
        <v>9668</v>
      </c>
      <c r="C3747" s="2" t="s">
        <v>1867</v>
      </c>
      <c r="D3747" s="2" t="s">
        <v>9669</v>
      </c>
      <c r="E3747" s="2" t="s">
        <v>9670</v>
      </c>
      <c r="F3747" s="2" t="s">
        <v>11403</v>
      </c>
      <c r="G3747" s="2" t="s">
        <v>11403</v>
      </c>
      <c r="H3747" s="2" t="s">
        <v>11403</v>
      </c>
      <c r="I3747" s="2" t="s">
        <v>10016</v>
      </c>
      <c r="J3747" s="2" t="s">
        <v>714</v>
      </c>
      <c r="K3747" s="2" t="s">
        <v>11423</v>
      </c>
      <c r="L3747" s="3">
        <v>28.5</v>
      </c>
      <c r="M3747" s="3">
        <v>29.93</v>
      </c>
      <c r="N3747" s="3">
        <v>59.99</v>
      </c>
      <c r="O3747" s="2" t="s">
        <v>97</v>
      </c>
      <c r="P3747" s="2" t="s">
        <v>119</v>
      </c>
      <c r="Q3747" s="2" t="s">
        <v>99</v>
      </c>
      <c r="R3747" s="2" t="s">
        <v>100</v>
      </c>
      <c r="S3747" s="2" t="s">
        <v>11424</v>
      </c>
      <c r="T3747" s="2" t="s">
        <v>280</v>
      </c>
      <c r="U3747" s="2" t="s">
        <v>402</v>
      </c>
      <c r="V3747" s="2" t="s">
        <v>292</v>
      </c>
      <c r="W3747" s="2" t="s">
        <v>183</v>
      </c>
      <c r="X3747" s="2" t="s">
        <v>100</v>
      </c>
      <c r="Y3747" s="2" t="s">
        <v>11417</v>
      </c>
      <c r="Z3747" s="4">
        <v>16</v>
      </c>
      <c r="AA3747" s="4">
        <f>=ROUNDDOWN(1.33333333333333,0)</f>
      </c>
      <c r="AB3747" s="5">
        <v>12</v>
      </c>
      <c r="AC3747" s="2" t="s">
        <v>562</v>
      </c>
      <c r="AD3747" s="4">
        <v>120</v>
      </c>
      <c r="AE3747" s="4">
        <v>500</v>
      </c>
      <c r="AF3747" s="6">
        <v>70</v>
      </c>
      <c r="AG3747" s="6"/>
      <c r="AH3747" s="7">
        <v>0.6791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/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/>
      <c r="BJ3747" s="4">
        <v>162</v>
      </c>
      <c r="BK3747" s="8">
        <v>5152.85</v>
      </c>
      <c r="BL3747" s="2" t="s">
        <v>548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207</v>
      </c>
      <c r="BV3747" s="2" t="s">
        <v>97</v>
      </c>
      <c r="BW3747" s="2" t="s">
        <v>100</v>
      </c>
      <c r="BX3747" s="2" t="s">
        <v>100</v>
      </c>
      <c r="BY3747" s="2" t="s">
        <v>113</v>
      </c>
      <c r="BZ3747" s="2" t="s">
        <v>100</v>
      </c>
    </row>
    <row r="3748">
      <c r="A3748" s="2" t="s">
        <v>11428</v>
      </c>
      <c r="B3748" s="2" t="s">
        <v>9668</v>
      </c>
      <c r="C3748" s="2" t="s">
        <v>1867</v>
      </c>
      <c r="D3748" s="2" t="s">
        <v>9669</v>
      </c>
      <c r="E3748" s="2" t="s">
        <v>9670</v>
      </c>
      <c r="F3748" s="2" t="s">
        <v>11403</v>
      </c>
      <c r="G3748" s="2" t="s">
        <v>11403</v>
      </c>
      <c r="H3748" s="2" t="s">
        <v>11403</v>
      </c>
      <c r="I3748" s="2" t="s">
        <v>10016</v>
      </c>
      <c r="J3748" s="2" t="s">
        <v>717</v>
      </c>
      <c r="K3748" s="2" t="s">
        <v>11429</v>
      </c>
      <c r="L3748" s="3">
        <v>23.75</v>
      </c>
      <c r="M3748" s="3">
        <v>24.94</v>
      </c>
      <c r="N3748" s="3">
        <v>49.99</v>
      </c>
      <c r="O3748" s="2" t="s">
        <v>97</v>
      </c>
      <c r="P3748" s="2" t="s">
        <v>119</v>
      </c>
      <c r="Q3748" s="2" t="s">
        <v>99</v>
      </c>
      <c r="R3748" s="2" t="s">
        <v>100</v>
      </c>
      <c r="S3748" s="2" t="s">
        <v>11430</v>
      </c>
      <c r="T3748" s="2" t="s">
        <v>280</v>
      </c>
      <c r="U3748" s="2" t="s">
        <v>402</v>
      </c>
      <c r="V3748" s="2" t="s">
        <v>350</v>
      </c>
      <c r="W3748" s="2" t="s">
        <v>183</v>
      </c>
      <c r="X3748" s="2" t="s">
        <v>100</v>
      </c>
      <c r="Y3748" s="2" t="s">
        <v>11417</v>
      </c>
      <c r="Z3748" s="4"/>
      <c r="AA3748" s="4">
        <f>=ROUNDDOWN({0},0)</f>
      </c>
      <c r="AB3748" s="5">
        <v>10</v>
      </c>
      <c r="AC3748" s="2" t="s">
        <v>562</v>
      </c>
      <c r="AD3748" s="4">
        <v>100</v>
      </c>
      <c r="AE3748" s="4">
        <v>250</v>
      </c>
      <c r="AF3748" s="6">
        <v>70</v>
      </c>
      <c r="AG3748" s="6"/>
      <c r="AH3748" s="7">
        <v>0.7273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100</v>
      </c>
      <c r="AW3748" s="8" t="s">
        <v>100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/>
      <c r="BJ3748" s="4">
        <v>145</v>
      </c>
      <c r="BK3748" s="8">
        <v>3832.69</v>
      </c>
      <c r="BL3748" s="2" t="s">
        <v>229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207</v>
      </c>
      <c r="BV3748" s="2" t="s">
        <v>97</v>
      </c>
      <c r="BW3748" s="2" t="s">
        <v>100</v>
      </c>
      <c r="BX3748" s="2" t="s">
        <v>100</v>
      </c>
      <c r="BY3748" s="2" t="s">
        <v>113</v>
      </c>
      <c r="BZ3748" s="2" t="s">
        <v>100</v>
      </c>
    </row>
    <row r="3749">
      <c r="A3749" s="2" t="s">
        <v>11431</v>
      </c>
      <c r="B3749" s="2" t="s">
        <v>9668</v>
      </c>
      <c r="C3749" s="2" t="s">
        <v>1867</v>
      </c>
      <c r="D3749" s="2" t="s">
        <v>9669</v>
      </c>
      <c r="E3749" s="2" t="s">
        <v>9670</v>
      </c>
      <c r="F3749" s="2" t="s">
        <v>11403</v>
      </c>
      <c r="G3749" s="2" t="s">
        <v>11403</v>
      </c>
      <c r="H3749" s="2" t="s">
        <v>11403</v>
      </c>
      <c r="I3749" s="2" t="s">
        <v>10016</v>
      </c>
      <c r="J3749" s="2" t="s">
        <v>706</v>
      </c>
      <c r="K3749" s="2" t="s">
        <v>11429</v>
      </c>
      <c r="L3749" s="3">
        <v>25</v>
      </c>
      <c r="M3749" s="3">
        <v>26.25</v>
      </c>
      <c r="N3749" s="3">
        <v>54.99</v>
      </c>
      <c r="O3749" s="2" t="s">
        <v>97</v>
      </c>
      <c r="P3749" s="2" t="s">
        <v>119</v>
      </c>
      <c r="Q3749" s="2" t="s">
        <v>99</v>
      </c>
      <c r="R3749" s="2" t="s">
        <v>100</v>
      </c>
      <c r="S3749" s="2" t="s">
        <v>11430</v>
      </c>
      <c r="T3749" s="2" t="s">
        <v>280</v>
      </c>
      <c r="U3749" s="2" t="s">
        <v>402</v>
      </c>
      <c r="V3749" s="2" t="s">
        <v>350</v>
      </c>
      <c r="W3749" s="2" t="s">
        <v>183</v>
      </c>
      <c r="X3749" s="2" t="s">
        <v>100</v>
      </c>
      <c r="Y3749" s="2" t="s">
        <v>11417</v>
      </c>
      <c r="Z3749" s="4">
        <v>3</v>
      </c>
      <c r="AA3749" s="4">
        <f>=ROUNDDOWN(0.25,0)</f>
      </c>
      <c r="AB3749" s="5">
        <v>12</v>
      </c>
      <c r="AC3749" s="2" t="s">
        <v>562</v>
      </c>
      <c r="AD3749" s="4">
        <v>150</v>
      </c>
      <c r="AE3749" s="4">
        <v>590</v>
      </c>
      <c r="AF3749" s="6">
        <v>70</v>
      </c>
      <c r="AG3749" s="6"/>
      <c r="AH3749" s="7">
        <v>0.9679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>
        <v>390</v>
      </c>
      <c r="BK3749" s="8">
        <v>10954.86</v>
      </c>
      <c r="BL3749" s="2" t="s">
        <v>11432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207</v>
      </c>
      <c r="BV3749" s="2" t="s">
        <v>97</v>
      </c>
      <c r="BW3749" s="2" t="s">
        <v>100</v>
      </c>
      <c r="BX3749" s="2" t="s">
        <v>100</v>
      </c>
      <c r="BY3749" s="2" t="s">
        <v>113</v>
      </c>
      <c r="BZ3749" s="2" t="s">
        <v>100</v>
      </c>
    </row>
    <row r="3750">
      <c r="A3750" s="2" t="s">
        <v>11433</v>
      </c>
      <c r="B3750" s="2" t="s">
        <v>9668</v>
      </c>
      <c r="C3750" s="2" t="s">
        <v>1867</v>
      </c>
      <c r="D3750" s="2" t="s">
        <v>9669</v>
      </c>
      <c r="E3750" s="2" t="s">
        <v>9670</v>
      </c>
      <c r="F3750" s="2" t="s">
        <v>11403</v>
      </c>
      <c r="G3750" s="2" t="s">
        <v>11403</v>
      </c>
      <c r="H3750" s="2" t="s">
        <v>11403</v>
      </c>
      <c r="I3750" s="2" t="s">
        <v>10016</v>
      </c>
      <c r="J3750" s="2" t="s">
        <v>714</v>
      </c>
      <c r="K3750" s="2" t="s">
        <v>11429</v>
      </c>
      <c r="L3750" s="3">
        <v>28.5</v>
      </c>
      <c r="M3750" s="3">
        <v>29.93</v>
      </c>
      <c r="N3750" s="3">
        <v>59.99</v>
      </c>
      <c r="O3750" s="2" t="s">
        <v>97</v>
      </c>
      <c r="P3750" s="2" t="s">
        <v>119</v>
      </c>
      <c r="Q3750" s="2" t="s">
        <v>99</v>
      </c>
      <c r="R3750" s="2" t="s">
        <v>100</v>
      </c>
      <c r="S3750" s="2" t="s">
        <v>11430</v>
      </c>
      <c r="T3750" s="2" t="s">
        <v>280</v>
      </c>
      <c r="U3750" s="2" t="s">
        <v>402</v>
      </c>
      <c r="V3750" s="2" t="s">
        <v>350</v>
      </c>
      <c r="W3750" s="2" t="s">
        <v>183</v>
      </c>
      <c r="X3750" s="2" t="s">
        <v>100</v>
      </c>
      <c r="Y3750" s="2" t="s">
        <v>11417</v>
      </c>
      <c r="Z3750" s="4"/>
      <c r="AA3750" s="4">
        <f>=ROUNDDOWN({0},0)</f>
      </c>
      <c r="AB3750" s="5">
        <v>11.8</v>
      </c>
      <c r="AC3750" s="2" t="s">
        <v>562</v>
      </c>
      <c r="AD3750" s="4">
        <v>70</v>
      </c>
      <c r="AE3750" s="4">
        <v>470</v>
      </c>
      <c r="AF3750" s="6">
        <v>70</v>
      </c>
      <c r="AG3750" s="6"/>
      <c r="AH3750" s="7">
        <v>0.7594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165</v>
      </c>
      <c r="BK3750" s="8">
        <v>5290.41</v>
      </c>
      <c r="BL3750" s="2" t="s">
        <v>11434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207</v>
      </c>
      <c r="BV3750" s="2" t="s">
        <v>97</v>
      </c>
      <c r="BW3750" s="2" t="s">
        <v>100</v>
      </c>
      <c r="BX3750" s="2" t="s">
        <v>100</v>
      </c>
      <c r="BY3750" s="2" t="s">
        <v>113</v>
      </c>
      <c r="BZ3750" s="2" t="s">
        <v>100</v>
      </c>
    </row>
    <row r="3751">
      <c r="A3751" s="2" t="s">
        <v>11435</v>
      </c>
      <c r="B3751" s="2" t="s">
        <v>9668</v>
      </c>
      <c r="C3751" s="2" t="s">
        <v>1867</v>
      </c>
      <c r="D3751" s="2" t="s">
        <v>9669</v>
      </c>
      <c r="E3751" s="2" t="s">
        <v>9670</v>
      </c>
      <c r="F3751" s="2" t="s">
        <v>11436</v>
      </c>
      <c r="G3751" s="2" t="s">
        <v>11436</v>
      </c>
      <c r="H3751" s="2" t="s">
        <v>11436</v>
      </c>
      <c r="I3751" s="2" t="s">
        <v>10016</v>
      </c>
      <c r="J3751" s="2" t="s">
        <v>1936</v>
      </c>
      <c r="K3751" s="2" t="s">
        <v>11437</v>
      </c>
      <c r="L3751" s="3">
        <v>15</v>
      </c>
      <c r="M3751" s="3">
        <v>15.75</v>
      </c>
      <c r="N3751" s="3">
        <v>29.99</v>
      </c>
      <c r="O3751" s="2" t="s">
        <v>97</v>
      </c>
      <c r="P3751" s="2" t="s">
        <v>119</v>
      </c>
      <c r="Q3751" s="2" t="s">
        <v>99</v>
      </c>
      <c r="R3751" s="2" t="s">
        <v>100</v>
      </c>
      <c r="S3751" s="2" t="s">
        <v>11438</v>
      </c>
      <c r="T3751" s="2" t="s">
        <v>4940</v>
      </c>
      <c r="U3751" s="2" t="s">
        <v>480</v>
      </c>
      <c r="V3751" s="2" t="s">
        <v>2661</v>
      </c>
      <c r="W3751" s="2" t="s">
        <v>673</v>
      </c>
      <c r="X3751" s="2" t="s">
        <v>183</v>
      </c>
      <c r="Y3751" s="2" t="s">
        <v>11439</v>
      </c>
      <c r="Z3751" s="4">
        <v>59</v>
      </c>
      <c r="AA3751" s="4">
        <f>=ROUNDDOWN(9.83333333333333,0)</f>
      </c>
      <c r="AB3751" s="5">
        <v>6</v>
      </c>
      <c r="AC3751" s="2" t="s">
        <v>1102</v>
      </c>
      <c r="AD3751" s="4">
        <v>110</v>
      </c>
      <c r="AE3751" s="4">
        <v>110</v>
      </c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>
        <v>82</v>
      </c>
      <c r="BK3751" s="8">
        <v>1354.29</v>
      </c>
      <c r="BL3751" s="2" t="s">
        <v>1738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207</v>
      </c>
      <c r="BV3751" s="2" t="s">
        <v>97</v>
      </c>
      <c r="BW3751" s="2" t="s">
        <v>100</v>
      </c>
      <c r="BX3751" s="2" t="s">
        <v>100</v>
      </c>
      <c r="BY3751" s="2" t="s">
        <v>113</v>
      </c>
      <c r="BZ3751" s="2" t="s">
        <v>100</v>
      </c>
    </row>
    <row r="3752">
      <c r="A3752" s="2" t="s">
        <v>11440</v>
      </c>
      <c r="B3752" s="2" t="s">
        <v>9668</v>
      </c>
      <c r="C3752" s="2" t="s">
        <v>1867</v>
      </c>
      <c r="D3752" s="2" t="s">
        <v>9669</v>
      </c>
      <c r="E3752" s="2" t="s">
        <v>9670</v>
      </c>
      <c r="F3752" s="2" t="s">
        <v>11436</v>
      </c>
      <c r="G3752" s="2" t="s">
        <v>11436</v>
      </c>
      <c r="H3752" s="2" t="s">
        <v>11436</v>
      </c>
      <c r="I3752" s="2" t="s">
        <v>10016</v>
      </c>
      <c r="J3752" s="2" t="s">
        <v>717</v>
      </c>
      <c r="K3752" s="2" t="s">
        <v>11437</v>
      </c>
      <c r="L3752" s="3">
        <v>16.5</v>
      </c>
      <c r="M3752" s="3">
        <v>17.33</v>
      </c>
      <c r="N3752" s="3">
        <v>32.99</v>
      </c>
      <c r="O3752" s="2" t="s">
        <v>97</v>
      </c>
      <c r="P3752" s="2" t="s">
        <v>119</v>
      </c>
      <c r="Q3752" s="2" t="s">
        <v>99</v>
      </c>
      <c r="R3752" s="2" t="s">
        <v>100</v>
      </c>
      <c r="S3752" s="2" t="s">
        <v>11438</v>
      </c>
      <c r="T3752" s="2" t="s">
        <v>4940</v>
      </c>
      <c r="U3752" s="2" t="s">
        <v>402</v>
      </c>
      <c r="V3752" s="2" t="s">
        <v>2661</v>
      </c>
      <c r="W3752" s="2" t="s">
        <v>673</v>
      </c>
      <c r="X3752" s="2" t="s">
        <v>183</v>
      </c>
      <c r="Y3752" s="2" t="s">
        <v>11439</v>
      </c>
      <c r="Z3752" s="4">
        <v>72</v>
      </c>
      <c r="AA3752" s="4">
        <f>=ROUNDDOWN(9,0)</f>
      </c>
      <c r="AB3752" s="5">
        <v>8</v>
      </c>
      <c r="AC3752" s="2" t="s">
        <v>1102</v>
      </c>
      <c r="AD3752" s="4">
        <v>140</v>
      </c>
      <c r="AE3752" s="4">
        <v>140</v>
      </c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100</v>
      </c>
      <c r="AW3752" s="8" t="s">
        <v>100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>
        <v>123</v>
      </c>
      <c r="BK3752" s="8">
        <v>2321.96</v>
      </c>
      <c r="BL3752" s="2" t="s">
        <v>1803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207</v>
      </c>
      <c r="BV3752" s="2" t="s">
        <v>97</v>
      </c>
      <c r="BW3752" s="2" t="s">
        <v>100</v>
      </c>
      <c r="BX3752" s="2" t="s">
        <v>100</v>
      </c>
      <c r="BY3752" s="2" t="s">
        <v>113</v>
      </c>
      <c r="BZ3752" s="2" t="s">
        <v>100</v>
      </c>
    </row>
    <row r="3753">
      <c r="A3753" s="2" t="s">
        <v>11441</v>
      </c>
      <c r="B3753" s="2" t="s">
        <v>9668</v>
      </c>
      <c r="C3753" s="2" t="s">
        <v>1867</v>
      </c>
      <c r="D3753" s="2" t="s">
        <v>9669</v>
      </c>
      <c r="E3753" s="2" t="s">
        <v>9670</v>
      </c>
      <c r="F3753" s="2" t="s">
        <v>11436</v>
      </c>
      <c r="G3753" s="2" t="s">
        <v>11436</v>
      </c>
      <c r="H3753" s="2" t="s">
        <v>11436</v>
      </c>
      <c r="I3753" s="2" t="s">
        <v>10016</v>
      </c>
      <c r="J3753" s="2" t="s">
        <v>706</v>
      </c>
      <c r="K3753" s="2" t="s">
        <v>11437</v>
      </c>
      <c r="L3753" s="3">
        <v>19</v>
      </c>
      <c r="M3753" s="3">
        <v>19.95</v>
      </c>
      <c r="N3753" s="3">
        <v>37.99</v>
      </c>
      <c r="O3753" s="2" t="s">
        <v>97</v>
      </c>
      <c r="P3753" s="2" t="s">
        <v>119</v>
      </c>
      <c r="Q3753" s="2" t="s">
        <v>99</v>
      </c>
      <c r="R3753" s="2" t="s">
        <v>100</v>
      </c>
      <c r="S3753" s="2" t="s">
        <v>11438</v>
      </c>
      <c r="T3753" s="2" t="s">
        <v>4940</v>
      </c>
      <c r="U3753" s="2" t="s">
        <v>402</v>
      </c>
      <c r="V3753" s="2" t="s">
        <v>2661</v>
      </c>
      <c r="W3753" s="2" t="s">
        <v>673</v>
      </c>
      <c r="X3753" s="2" t="s">
        <v>183</v>
      </c>
      <c r="Y3753" s="2" t="s">
        <v>11439</v>
      </c>
      <c r="Z3753" s="4">
        <v>230</v>
      </c>
      <c r="AA3753" s="4">
        <f>=ROUNDDOWN(23.7113402061856,0)</f>
      </c>
      <c r="AB3753" s="5">
        <v>9.7</v>
      </c>
      <c r="AC3753" s="2" t="s">
        <v>1102</v>
      </c>
      <c r="AD3753" s="4">
        <v>120</v>
      </c>
      <c r="AE3753" s="4">
        <v>360</v>
      </c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/>
      <c r="BJ3753" s="4">
        <v>197</v>
      </c>
      <c r="BK3753" s="8">
        <v>4184.78</v>
      </c>
      <c r="BL3753" s="2" t="s">
        <v>553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207</v>
      </c>
      <c r="BV3753" s="2" t="s">
        <v>97</v>
      </c>
      <c r="BW3753" s="2" t="s">
        <v>100</v>
      </c>
      <c r="BX3753" s="2" t="s">
        <v>100</v>
      </c>
      <c r="BY3753" s="2" t="s">
        <v>113</v>
      </c>
      <c r="BZ3753" s="2" t="s">
        <v>100</v>
      </c>
    </row>
    <row r="3754">
      <c r="A3754" s="2" t="s">
        <v>11442</v>
      </c>
      <c r="B3754" s="2" t="s">
        <v>9668</v>
      </c>
      <c r="C3754" s="2" t="s">
        <v>1867</v>
      </c>
      <c r="D3754" s="2" t="s">
        <v>9669</v>
      </c>
      <c r="E3754" s="2" t="s">
        <v>9670</v>
      </c>
      <c r="F3754" s="2" t="s">
        <v>11436</v>
      </c>
      <c r="G3754" s="2" t="s">
        <v>11436</v>
      </c>
      <c r="H3754" s="2" t="s">
        <v>11436</v>
      </c>
      <c r="I3754" s="2" t="s">
        <v>10016</v>
      </c>
      <c r="J3754" s="2" t="s">
        <v>714</v>
      </c>
      <c r="K3754" s="2" t="s">
        <v>11437</v>
      </c>
      <c r="L3754" s="3">
        <v>21.5</v>
      </c>
      <c r="M3754" s="3">
        <v>22.58</v>
      </c>
      <c r="N3754" s="3">
        <v>42.99</v>
      </c>
      <c r="O3754" s="2" t="s">
        <v>97</v>
      </c>
      <c r="P3754" s="2" t="s">
        <v>119</v>
      </c>
      <c r="Q3754" s="2" t="s">
        <v>99</v>
      </c>
      <c r="R3754" s="2" t="s">
        <v>100</v>
      </c>
      <c r="S3754" s="2" t="s">
        <v>11438</v>
      </c>
      <c r="T3754" s="2" t="s">
        <v>4940</v>
      </c>
      <c r="U3754" s="2" t="s">
        <v>402</v>
      </c>
      <c r="V3754" s="2" t="s">
        <v>2661</v>
      </c>
      <c r="W3754" s="2" t="s">
        <v>673</v>
      </c>
      <c r="X3754" s="2" t="s">
        <v>183</v>
      </c>
      <c r="Y3754" s="2" t="s">
        <v>11439</v>
      </c>
      <c r="Z3754" s="4">
        <v>83</v>
      </c>
      <c r="AA3754" s="4">
        <f>=ROUNDDOWN(9.54022988505747,0)</f>
      </c>
      <c r="AB3754" s="5">
        <v>8.7</v>
      </c>
      <c r="AC3754" s="2" t="s">
        <v>1102</v>
      </c>
      <c r="AD3754" s="4">
        <v>130</v>
      </c>
      <c r="AE3754" s="4">
        <v>390</v>
      </c>
      <c r="AF3754" s="6">
        <v>65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>
        <v>129</v>
      </c>
      <c r="BK3754" s="8">
        <v>3083.9</v>
      </c>
      <c r="BL3754" s="2" t="s">
        <v>553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207</v>
      </c>
      <c r="BV3754" s="2" t="s">
        <v>97</v>
      </c>
      <c r="BW3754" s="2" t="s">
        <v>100</v>
      </c>
      <c r="BX3754" s="2" t="s">
        <v>100</v>
      </c>
      <c r="BY3754" s="2" t="s">
        <v>113</v>
      </c>
      <c r="BZ3754" s="2" t="s">
        <v>100</v>
      </c>
    </row>
    <row r="3755">
      <c r="A3755" s="2" t="s">
        <v>11443</v>
      </c>
      <c r="B3755" s="2" t="s">
        <v>9668</v>
      </c>
      <c r="C3755" s="2" t="s">
        <v>1867</v>
      </c>
      <c r="D3755" s="2" t="s">
        <v>9669</v>
      </c>
      <c r="E3755" s="2" t="s">
        <v>9670</v>
      </c>
      <c r="F3755" s="2" t="s">
        <v>11436</v>
      </c>
      <c r="G3755" s="2" t="s">
        <v>11436</v>
      </c>
      <c r="H3755" s="2" t="s">
        <v>11436</v>
      </c>
      <c r="I3755" s="2" t="s">
        <v>10016</v>
      </c>
      <c r="J3755" s="2" t="s">
        <v>1936</v>
      </c>
      <c r="K3755" s="2" t="s">
        <v>11444</v>
      </c>
      <c r="L3755" s="3">
        <v>15</v>
      </c>
      <c r="M3755" s="3">
        <v>15.75</v>
      </c>
      <c r="N3755" s="3">
        <v>29.99</v>
      </c>
      <c r="O3755" s="2" t="s">
        <v>97</v>
      </c>
      <c r="P3755" s="2" t="s">
        <v>119</v>
      </c>
      <c r="Q3755" s="2" t="s">
        <v>99</v>
      </c>
      <c r="R3755" s="2" t="s">
        <v>100</v>
      </c>
      <c r="S3755" s="2" t="s">
        <v>11445</v>
      </c>
      <c r="T3755" s="2" t="s">
        <v>4940</v>
      </c>
      <c r="U3755" s="2" t="s">
        <v>480</v>
      </c>
      <c r="V3755" s="2" t="s">
        <v>2508</v>
      </c>
      <c r="W3755" s="2" t="s">
        <v>673</v>
      </c>
      <c r="X3755" s="2" t="s">
        <v>183</v>
      </c>
      <c r="Y3755" s="2" t="s">
        <v>11446</v>
      </c>
      <c r="Z3755" s="4">
        <v>112</v>
      </c>
      <c r="AA3755" s="4">
        <f>=ROUNDDOWN(16,0)</f>
      </c>
      <c r="AB3755" s="5">
        <v>7</v>
      </c>
      <c r="AC3755" s="2" t="s">
        <v>931</v>
      </c>
      <c r="AD3755" s="4">
        <v>200</v>
      </c>
      <c r="AE3755" s="4">
        <v>240</v>
      </c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159</v>
      </c>
      <c r="BK3755" s="8">
        <v>2670.86</v>
      </c>
      <c r="BL3755" s="2" t="s">
        <v>3774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207</v>
      </c>
      <c r="BV3755" s="2" t="s">
        <v>97</v>
      </c>
      <c r="BW3755" s="2" t="s">
        <v>100</v>
      </c>
      <c r="BX3755" s="2" t="s">
        <v>100</v>
      </c>
      <c r="BY3755" s="2" t="s">
        <v>113</v>
      </c>
      <c r="BZ3755" s="2" t="s">
        <v>100</v>
      </c>
    </row>
    <row r="3756">
      <c r="A3756" s="2" t="s">
        <v>11447</v>
      </c>
      <c r="B3756" s="2" t="s">
        <v>9668</v>
      </c>
      <c r="C3756" s="2" t="s">
        <v>1867</v>
      </c>
      <c r="D3756" s="2" t="s">
        <v>9669</v>
      </c>
      <c r="E3756" s="2" t="s">
        <v>9670</v>
      </c>
      <c r="F3756" s="2" t="s">
        <v>11436</v>
      </c>
      <c r="G3756" s="2" t="s">
        <v>11436</v>
      </c>
      <c r="H3756" s="2" t="s">
        <v>11436</v>
      </c>
      <c r="I3756" s="2" t="s">
        <v>10016</v>
      </c>
      <c r="J3756" s="2" t="s">
        <v>717</v>
      </c>
      <c r="K3756" s="2" t="s">
        <v>11444</v>
      </c>
      <c r="L3756" s="3">
        <v>16.5</v>
      </c>
      <c r="M3756" s="3">
        <v>17.33</v>
      </c>
      <c r="N3756" s="3">
        <v>32.99</v>
      </c>
      <c r="O3756" s="2" t="s">
        <v>97</v>
      </c>
      <c r="P3756" s="2" t="s">
        <v>119</v>
      </c>
      <c r="Q3756" s="2" t="s">
        <v>99</v>
      </c>
      <c r="R3756" s="2" t="s">
        <v>100</v>
      </c>
      <c r="S3756" s="2" t="s">
        <v>11445</v>
      </c>
      <c r="T3756" s="2" t="s">
        <v>4940</v>
      </c>
      <c r="U3756" s="2" t="s">
        <v>402</v>
      </c>
      <c r="V3756" s="2" t="s">
        <v>2508</v>
      </c>
      <c r="W3756" s="2" t="s">
        <v>673</v>
      </c>
      <c r="X3756" s="2" t="s">
        <v>183</v>
      </c>
      <c r="Y3756" s="2" t="s">
        <v>11446</v>
      </c>
      <c r="Z3756" s="4">
        <v>67</v>
      </c>
      <c r="AA3756" s="4">
        <f>=ROUNDDOWN(6.09090909090909,0)</f>
      </c>
      <c r="AB3756" s="5">
        <v>11</v>
      </c>
      <c r="AC3756" s="2" t="s">
        <v>184</v>
      </c>
      <c r="AD3756" s="4">
        <v>60</v>
      </c>
      <c r="AE3756" s="4">
        <v>280</v>
      </c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246</v>
      </c>
      <c r="BK3756" s="8">
        <v>4622.88</v>
      </c>
      <c r="BL3756" s="2" t="s">
        <v>11448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207</v>
      </c>
      <c r="BV3756" s="2" t="s">
        <v>97</v>
      </c>
      <c r="BW3756" s="2" t="s">
        <v>100</v>
      </c>
      <c r="BX3756" s="2" t="s">
        <v>100</v>
      </c>
      <c r="BY3756" s="2" t="s">
        <v>113</v>
      </c>
      <c r="BZ3756" s="2" t="s">
        <v>100</v>
      </c>
    </row>
    <row r="3757">
      <c r="A3757" s="2" t="s">
        <v>11449</v>
      </c>
      <c r="B3757" s="2" t="s">
        <v>9668</v>
      </c>
      <c r="C3757" s="2" t="s">
        <v>1867</v>
      </c>
      <c r="D3757" s="2" t="s">
        <v>9669</v>
      </c>
      <c r="E3757" s="2" t="s">
        <v>9670</v>
      </c>
      <c r="F3757" s="2" t="s">
        <v>11436</v>
      </c>
      <c r="G3757" s="2" t="s">
        <v>11436</v>
      </c>
      <c r="H3757" s="2" t="s">
        <v>11436</v>
      </c>
      <c r="I3757" s="2" t="s">
        <v>10016</v>
      </c>
      <c r="J3757" s="2" t="s">
        <v>706</v>
      </c>
      <c r="K3757" s="2" t="s">
        <v>11444</v>
      </c>
      <c r="L3757" s="3">
        <v>19</v>
      </c>
      <c r="M3757" s="3">
        <v>19.95</v>
      </c>
      <c r="N3757" s="3">
        <v>37.99</v>
      </c>
      <c r="O3757" s="2" t="s">
        <v>97</v>
      </c>
      <c r="P3757" s="2" t="s">
        <v>119</v>
      </c>
      <c r="Q3757" s="2" t="s">
        <v>99</v>
      </c>
      <c r="R3757" s="2" t="s">
        <v>100</v>
      </c>
      <c r="S3757" s="2" t="s">
        <v>11445</v>
      </c>
      <c r="T3757" s="2" t="s">
        <v>4940</v>
      </c>
      <c r="U3757" s="2" t="s">
        <v>402</v>
      </c>
      <c r="V3757" s="2" t="s">
        <v>2508</v>
      </c>
      <c r="W3757" s="2" t="s">
        <v>673</v>
      </c>
      <c r="X3757" s="2" t="s">
        <v>183</v>
      </c>
      <c r="Y3757" s="2" t="s">
        <v>11446</v>
      </c>
      <c r="Z3757" s="4">
        <v>249</v>
      </c>
      <c r="AA3757" s="4">
        <f>=ROUNDDOWN(18.7218045112782,0)</f>
      </c>
      <c r="AB3757" s="5">
        <v>13.3</v>
      </c>
      <c r="AC3757" s="2" t="s">
        <v>184</v>
      </c>
      <c r="AD3757" s="4">
        <v>120</v>
      </c>
      <c r="AE3757" s="4">
        <v>380</v>
      </c>
      <c r="AF3757" s="6">
        <v>65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>
        <v>299</v>
      </c>
      <c r="BK3757" s="8">
        <v>6549.47</v>
      </c>
      <c r="BL3757" s="2" t="s">
        <v>11450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207</v>
      </c>
      <c r="BV3757" s="2" t="s">
        <v>97</v>
      </c>
      <c r="BW3757" s="2" t="s">
        <v>100</v>
      </c>
      <c r="BX3757" s="2" t="s">
        <v>100</v>
      </c>
      <c r="BY3757" s="2" t="s">
        <v>113</v>
      </c>
      <c r="BZ3757" s="2" t="s">
        <v>100</v>
      </c>
    </row>
    <row r="3758">
      <c r="A3758" s="2" t="s">
        <v>11451</v>
      </c>
      <c r="B3758" s="2" t="s">
        <v>9668</v>
      </c>
      <c r="C3758" s="2" t="s">
        <v>1867</v>
      </c>
      <c r="D3758" s="2" t="s">
        <v>9669</v>
      </c>
      <c r="E3758" s="2" t="s">
        <v>9670</v>
      </c>
      <c r="F3758" s="2" t="s">
        <v>11436</v>
      </c>
      <c r="G3758" s="2" t="s">
        <v>11436</v>
      </c>
      <c r="H3758" s="2" t="s">
        <v>11436</v>
      </c>
      <c r="I3758" s="2" t="s">
        <v>10016</v>
      </c>
      <c r="J3758" s="2" t="s">
        <v>714</v>
      </c>
      <c r="K3758" s="2" t="s">
        <v>11444</v>
      </c>
      <c r="L3758" s="3">
        <v>21.5</v>
      </c>
      <c r="M3758" s="3">
        <v>22.58</v>
      </c>
      <c r="N3758" s="3">
        <v>42.99</v>
      </c>
      <c r="O3758" s="2" t="s">
        <v>97</v>
      </c>
      <c r="P3758" s="2" t="s">
        <v>119</v>
      </c>
      <c r="Q3758" s="2" t="s">
        <v>99</v>
      </c>
      <c r="R3758" s="2" t="s">
        <v>100</v>
      </c>
      <c r="S3758" s="2" t="s">
        <v>11445</v>
      </c>
      <c r="T3758" s="2" t="s">
        <v>4940</v>
      </c>
      <c r="U3758" s="2" t="s">
        <v>402</v>
      </c>
      <c r="V3758" s="2" t="s">
        <v>2508</v>
      </c>
      <c r="W3758" s="2" t="s">
        <v>673</v>
      </c>
      <c r="X3758" s="2" t="s">
        <v>183</v>
      </c>
      <c r="Y3758" s="2" t="s">
        <v>11446</v>
      </c>
      <c r="Z3758" s="4">
        <v>254</v>
      </c>
      <c r="AA3758" s="4">
        <f>=ROUNDDOWN(42.3333333333333,0)</f>
      </c>
      <c r="AB3758" s="5">
        <v>6</v>
      </c>
      <c r="AC3758" s="2" t="s">
        <v>184</v>
      </c>
      <c r="AD3758" s="4">
        <v>120</v>
      </c>
      <c r="AE3758" s="4">
        <v>160</v>
      </c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>
        <v>148</v>
      </c>
      <c r="BK3758" s="8">
        <v>3588.16</v>
      </c>
      <c r="BL3758" s="2" t="s">
        <v>11450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207</v>
      </c>
      <c r="BV3758" s="2" t="s">
        <v>97</v>
      </c>
      <c r="BW3758" s="2" t="s">
        <v>100</v>
      </c>
      <c r="BX3758" s="2" t="s">
        <v>100</v>
      </c>
      <c r="BY3758" s="2" t="s">
        <v>113</v>
      </c>
      <c r="BZ3758" s="2" t="s">
        <v>100</v>
      </c>
    </row>
    <row r="3759">
      <c r="A3759" s="2" t="s">
        <v>11452</v>
      </c>
      <c r="B3759" s="2" t="s">
        <v>9668</v>
      </c>
      <c r="C3759" s="2" t="s">
        <v>1867</v>
      </c>
      <c r="D3759" s="2" t="s">
        <v>9669</v>
      </c>
      <c r="E3759" s="2" t="s">
        <v>9670</v>
      </c>
      <c r="F3759" s="2" t="s">
        <v>11436</v>
      </c>
      <c r="G3759" s="2" t="s">
        <v>11436</v>
      </c>
      <c r="H3759" s="2" t="s">
        <v>11436</v>
      </c>
      <c r="I3759" s="2" t="s">
        <v>10016</v>
      </c>
      <c r="J3759" s="2" t="s">
        <v>1936</v>
      </c>
      <c r="K3759" s="2" t="s">
        <v>11453</v>
      </c>
      <c r="L3759" s="3">
        <v>15</v>
      </c>
      <c r="M3759" s="3">
        <v>15.75</v>
      </c>
      <c r="N3759" s="3">
        <v>29.99</v>
      </c>
      <c r="O3759" s="2" t="s">
        <v>97</v>
      </c>
      <c r="P3759" s="2" t="s">
        <v>119</v>
      </c>
      <c r="Q3759" s="2" t="s">
        <v>99</v>
      </c>
      <c r="R3759" s="2" t="s">
        <v>100</v>
      </c>
      <c r="S3759" s="2" t="s">
        <v>11454</v>
      </c>
      <c r="T3759" s="2" t="s">
        <v>4940</v>
      </c>
      <c r="U3759" s="2" t="s">
        <v>480</v>
      </c>
      <c r="V3759" s="2" t="s">
        <v>2508</v>
      </c>
      <c r="W3759" s="2" t="s">
        <v>673</v>
      </c>
      <c r="X3759" s="2" t="s">
        <v>183</v>
      </c>
      <c r="Y3759" s="2" t="s">
        <v>11446</v>
      </c>
      <c r="Z3759" s="4">
        <v>58</v>
      </c>
      <c r="AA3759" s="4">
        <f>=ROUNDDOWN(11.6,0)</f>
      </c>
      <c r="AB3759" s="5">
        <v>5</v>
      </c>
      <c r="AC3759" s="2" t="s">
        <v>1102</v>
      </c>
      <c r="AD3759" s="4">
        <v>110</v>
      </c>
      <c r="AE3759" s="4">
        <v>210</v>
      </c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>
        <v>115</v>
      </c>
      <c r="BK3759" s="8">
        <v>1945.21</v>
      </c>
      <c r="BL3759" s="2" t="s">
        <v>11455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207</v>
      </c>
      <c r="BV3759" s="2" t="s">
        <v>97</v>
      </c>
      <c r="BW3759" s="2" t="s">
        <v>100</v>
      </c>
      <c r="BX3759" s="2" t="s">
        <v>100</v>
      </c>
      <c r="BY3759" s="2" t="s">
        <v>113</v>
      </c>
      <c r="BZ3759" s="2" t="s">
        <v>100</v>
      </c>
    </row>
    <row r="3760">
      <c r="A3760" s="2" t="s">
        <v>11456</v>
      </c>
      <c r="B3760" s="2" t="s">
        <v>9668</v>
      </c>
      <c r="C3760" s="2" t="s">
        <v>1867</v>
      </c>
      <c r="D3760" s="2" t="s">
        <v>9669</v>
      </c>
      <c r="E3760" s="2" t="s">
        <v>9670</v>
      </c>
      <c r="F3760" s="2" t="s">
        <v>11436</v>
      </c>
      <c r="G3760" s="2" t="s">
        <v>11436</v>
      </c>
      <c r="H3760" s="2" t="s">
        <v>11436</v>
      </c>
      <c r="I3760" s="2" t="s">
        <v>10016</v>
      </c>
      <c r="J3760" s="2" t="s">
        <v>717</v>
      </c>
      <c r="K3760" s="2" t="s">
        <v>11453</v>
      </c>
      <c r="L3760" s="3">
        <v>16.5</v>
      </c>
      <c r="M3760" s="3">
        <v>17.33</v>
      </c>
      <c r="N3760" s="3">
        <v>32.99</v>
      </c>
      <c r="O3760" s="2" t="s">
        <v>97</v>
      </c>
      <c r="P3760" s="2" t="s">
        <v>119</v>
      </c>
      <c r="Q3760" s="2" t="s">
        <v>99</v>
      </c>
      <c r="R3760" s="2" t="s">
        <v>100</v>
      </c>
      <c r="S3760" s="2" t="s">
        <v>11454</v>
      </c>
      <c r="T3760" s="2" t="s">
        <v>4940</v>
      </c>
      <c r="U3760" s="2" t="s">
        <v>402</v>
      </c>
      <c r="V3760" s="2" t="s">
        <v>2508</v>
      </c>
      <c r="W3760" s="2" t="s">
        <v>673</v>
      </c>
      <c r="X3760" s="2" t="s">
        <v>183</v>
      </c>
      <c r="Y3760" s="2" t="s">
        <v>11446</v>
      </c>
      <c r="Z3760" s="4"/>
      <c r="AA3760" s="4">
        <f>=ROUNDDOWN({0},0)</f>
      </c>
      <c r="AB3760" s="5">
        <v>12</v>
      </c>
      <c r="AC3760" s="2" t="s">
        <v>1102</v>
      </c>
      <c r="AD3760" s="4">
        <v>160</v>
      </c>
      <c r="AE3760" s="4">
        <v>600</v>
      </c>
      <c r="AF3760" s="6">
        <v>65</v>
      </c>
      <c r="AG3760" s="6"/>
      <c r="AH3760" s="7">
        <v>0.8663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281</v>
      </c>
      <c r="BK3760" s="8">
        <v>5383.41</v>
      </c>
      <c r="BL3760" s="2" t="s">
        <v>11457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207</v>
      </c>
      <c r="BV3760" s="2" t="s">
        <v>97</v>
      </c>
      <c r="BW3760" s="2" t="s">
        <v>100</v>
      </c>
      <c r="BX3760" s="2" t="s">
        <v>100</v>
      </c>
      <c r="BY3760" s="2" t="s">
        <v>113</v>
      </c>
      <c r="BZ3760" s="2" t="s">
        <v>100</v>
      </c>
    </row>
    <row r="3761">
      <c r="A3761" s="2" t="s">
        <v>11458</v>
      </c>
      <c r="B3761" s="2" t="s">
        <v>9668</v>
      </c>
      <c r="C3761" s="2" t="s">
        <v>1867</v>
      </c>
      <c r="D3761" s="2" t="s">
        <v>9669</v>
      </c>
      <c r="E3761" s="2" t="s">
        <v>9670</v>
      </c>
      <c r="F3761" s="2" t="s">
        <v>11436</v>
      </c>
      <c r="G3761" s="2" t="s">
        <v>11436</v>
      </c>
      <c r="H3761" s="2" t="s">
        <v>11436</v>
      </c>
      <c r="I3761" s="2" t="s">
        <v>10016</v>
      </c>
      <c r="J3761" s="2" t="s">
        <v>706</v>
      </c>
      <c r="K3761" s="2" t="s">
        <v>11453</v>
      </c>
      <c r="L3761" s="3">
        <v>19</v>
      </c>
      <c r="M3761" s="3">
        <v>19.95</v>
      </c>
      <c r="N3761" s="3">
        <v>37.99</v>
      </c>
      <c r="O3761" s="2" t="s">
        <v>97</v>
      </c>
      <c r="P3761" s="2" t="s">
        <v>119</v>
      </c>
      <c r="Q3761" s="2" t="s">
        <v>99</v>
      </c>
      <c r="R3761" s="2" t="s">
        <v>100</v>
      </c>
      <c r="S3761" s="2" t="s">
        <v>11454</v>
      </c>
      <c r="T3761" s="2" t="s">
        <v>4940</v>
      </c>
      <c r="U3761" s="2" t="s">
        <v>402</v>
      </c>
      <c r="V3761" s="2" t="s">
        <v>2508</v>
      </c>
      <c r="W3761" s="2" t="s">
        <v>673</v>
      </c>
      <c r="X3761" s="2" t="s">
        <v>183</v>
      </c>
      <c r="Y3761" s="2" t="s">
        <v>11446</v>
      </c>
      <c r="Z3761" s="4">
        <v>5</v>
      </c>
      <c r="AA3761" s="4">
        <f>=ROUNDDOWN(0.217391304347826,0)</f>
      </c>
      <c r="AB3761" s="5">
        <v>23</v>
      </c>
      <c r="AC3761" s="2" t="s">
        <v>1102</v>
      </c>
      <c r="AD3761" s="4">
        <v>230</v>
      </c>
      <c r="AE3761" s="4">
        <v>660</v>
      </c>
      <c r="AF3761" s="6">
        <v>65</v>
      </c>
      <c r="AG3761" s="6"/>
      <c r="AH3761" s="7">
        <v>0.9626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>
        <v>661</v>
      </c>
      <c r="BK3761" s="8">
        <v>14372.64</v>
      </c>
      <c r="BL3761" s="2" t="s">
        <v>1326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207</v>
      </c>
      <c r="BV3761" s="2" t="s">
        <v>97</v>
      </c>
      <c r="BW3761" s="2" t="s">
        <v>100</v>
      </c>
      <c r="BX3761" s="2" t="s">
        <v>100</v>
      </c>
      <c r="BY3761" s="2" t="s">
        <v>113</v>
      </c>
      <c r="BZ3761" s="2" t="s">
        <v>100</v>
      </c>
    </row>
    <row r="3762">
      <c r="A3762" s="2" t="s">
        <v>11459</v>
      </c>
      <c r="B3762" s="2" t="s">
        <v>9668</v>
      </c>
      <c r="C3762" s="2" t="s">
        <v>1867</v>
      </c>
      <c r="D3762" s="2" t="s">
        <v>9669</v>
      </c>
      <c r="E3762" s="2" t="s">
        <v>9670</v>
      </c>
      <c r="F3762" s="2" t="s">
        <v>11436</v>
      </c>
      <c r="G3762" s="2" t="s">
        <v>11436</v>
      </c>
      <c r="H3762" s="2" t="s">
        <v>11436</v>
      </c>
      <c r="I3762" s="2" t="s">
        <v>10016</v>
      </c>
      <c r="J3762" s="2" t="s">
        <v>714</v>
      </c>
      <c r="K3762" s="2" t="s">
        <v>11453</v>
      </c>
      <c r="L3762" s="3">
        <v>21.5</v>
      </c>
      <c r="M3762" s="3">
        <v>22.58</v>
      </c>
      <c r="N3762" s="3">
        <v>42.99</v>
      </c>
      <c r="O3762" s="2" t="s">
        <v>97</v>
      </c>
      <c r="P3762" s="2" t="s">
        <v>119</v>
      </c>
      <c r="Q3762" s="2" t="s">
        <v>99</v>
      </c>
      <c r="R3762" s="2" t="s">
        <v>100</v>
      </c>
      <c r="S3762" s="2" t="s">
        <v>11454</v>
      </c>
      <c r="T3762" s="2" t="s">
        <v>4940</v>
      </c>
      <c r="U3762" s="2" t="s">
        <v>402</v>
      </c>
      <c r="V3762" s="2" t="s">
        <v>2508</v>
      </c>
      <c r="W3762" s="2" t="s">
        <v>673</v>
      </c>
      <c r="X3762" s="2" t="s">
        <v>183</v>
      </c>
      <c r="Y3762" s="2" t="s">
        <v>11446</v>
      </c>
      <c r="Z3762" s="4">
        <v>163</v>
      </c>
      <c r="AA3762" s="4">
        <f>=ROUNDDOWN(16.3,0)</f>
      </c>
      <c r="AB3762" s="5">
        <v>10</v>
      </c>
      <c r="AC3762" s="2" t="s">
        <v>184</v>
      </c>
      <c r="AD3762" s="4">
        <v>60</v>
      </c>
      <c r="AE3762" s="4">
        <v>340</v>
      </c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>
        <v>214</v>
      </c>
      <c r="BK3762" s="8">
        <v>5237.43</v>
      </c>
      <c r="BL3762" s="2" t="s">
        <v>11460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207</v>
      </c>
      <c r="BV3762" s="2" t="s">
        <v>97</v>
      </c>
      <c r="BW3762" s="2" t="s">
        <v>100</v>
      </c>
      <c r="BX3762" s="2" t="s">
        <v>100</v>
      </c>
      <c r="BY3762" s="2" t="s">
        <v>113</v>
      </c>
      <c r="BZ3762" s="2" t="s">
        <v>100</v>
      </c>
    </row>
    <row r="3763">
      <c r="A3763" s="2" t="s">
        <v>11461</v>
      </c>
      <c r="B3763" s="2" t="s">
        <v>9668</v>
      </c>
      <c r="C3763" s="2" t="s">
        <v>1867</v>
      </c>
      <c r="D3763" s="2" t="s">
        <v>4626</v>
      </c>
      <c r="E3763" s="2" t="s">
        <v>7485</v>
      </c>
      <c r="F3763" s="2" t="s">
        <v>4940</v>
      </c>
      <c r="G3763" s="2" t="s">
        <v>4940</v>
      </c>
      <c r="H3763" s="2" t="s">
        <v>4940</v>
      </c>
      <c r="I3763" s="2" t="s">
        <v>11462</v>
      </c>
      <c r="J3763" s="2" t="s">
        <v>714</v>
      </c>
      <c r="K3763" s="2" t="s">
        <v>335</v>
      </c>
      <c r="L3763" s="3">
        <v>6.24</v>
      </c>
      <c r="M3763" s="3">
        <v>6.55</v>
      </c>
      <c r="N3763" s="3">
        <v>12.99</v>
      </c>
      <c r="O3763" s="2" t="s">
        <v>97</v>
      </c>
      <c r="P3763" s="2" t="s">
        <v>119</v>
      </c>
      <c r="Q3763" s="2" t="s">
        <v>99</v>
      </c>
      <c r="R3763" s="2" t="s">
        <v>100</v>
      </c>
      <c r="S3763" s="2" t="s">
        <v>11298</v>
      </c>
      <c r="T3763" s="2" t="s">
        <v>4940</v>
      </c>
      <c r="U3763" s="2" t="s">
        <v>514</v>
      </c>
      <c r="V3763" s="2" t="s">
        <v>146</v>
      </c>
      <c r="W3763" s="2" t="s">
        <v>673</v>
      </c>
      <c r="X3763" s="2" t="s">
        <v>183</v>
      </c>
      <c r="Y3763" s="2" t="s">
        <v>11463</v>
      </c>
      <c r="Z3763" s="4">
        <v>736</v>
      </c>
      <c r="AA3763" s="4">
        <f>=ROUNDDOWN(30.6666666666667,0)</f>
      </c>
      <c r="AB3763" s="5">
        <v>24</v>
      </c>
      <c r="AC3763" s="2" t="s">
        <v>768</v>
      </c>
      <c r="AD3763" s="4">
        <v>400</v>
      </c>
      <c r="AE3763" s="4">
        <v>736</v>
      </c>
      <c r="AF3763" s="6">
        <v>65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>
        <v>2</v>
      </c>
      <c r="AQ3763" s="8">
        <v>10.4</v>
      </c>
      <c r="AR3763" s="4"/>
      <c r="AS3763" s="8"/>
      <c r="AT3763" s="7"/>
      <c r="AU3763" s="7"/>
      <c r="AV3763" s="4">
        <v>2</v>
      </c>
      <c r="AW3763" s="8">
        <v>10.4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1</v>
      </c>
      <c r="BC3763" s="4">
        <v>2</v>
      </c>
      <c r="BD3763" s="8">
        <v>10.4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>
        <v>1</v>
      </c>
      <c r="BJ3763" s="4">
        <v>599</v>
      </c>
      <c r="BK3763" s="8">
        <v>3972.19</v>
      </c>
      <c r="BL3763" s="2" t="s">
        <v>11464</v>
      </c>
      <c r="BM3763" s="7">
        <v>0.0033</v>
      </c>
      <c r="BN3763" s="7">
        <v>0.0026</v>
      </c>
      <c r="BO3763" s="4">
        <v>2</v>
      </c>
      <c r="BP3763" s="8">
        <v>10.4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11465</v>
      </c>
      <c r="BX3763" s="2" t="s">
        <v>4549</v>
      </c>
      <c r="BY3763" s="2" t="s">
        <v>113</v>
      </c>
      <c r="BZ3763" s="2" t="s">
        <v>100</v>
      </c>
    </row>
    <row r="3764">
      <c r="A3764" s="2" t="s">
        <v>11466</v>
      </c>
      <c r="B3764" s="2" t="s">
        <v>9668</v>
      </c>
      <c r="C3764" s="2" t="s">
        <v>1867</v>
      </c>
      <c r="D3764" s="2" t="s">
        <v>4626</v>
      </c>
      <c r="E3764" s="2" t="s">
        <v>7485</v>
      </c>
      <c r="F3764" s="2" t="s">
        <v>4940</v>
      </c>
      <c r="G3764" s="2" t="s">
        <v>4940</v>
      </c>
      <c r="H3764" s="2" t="s">
        <v>4940</v>
      </c>
      <c r="I3764" s="2" t="s">
        <v>11462</v>
      </c>
      <c r="J3764" s="2" t="s">
        <v>4631</v>
      </c>
      <c r="K3764" s="2" t="s">
        <v>335</v>
      </c>
      <c r="L3764" s="3">
        <v>5.76</v>
      </c>
      <c r="M3764" s="3">
        <v>6.05</v>
      </c>
      <c r="N3764" s="3">
        <v>11.99</v>
      </c>
      <c r="O3764" s="2" t="s">
        <v>97</v>
      </c>
      <c r="P3764" s="2" t="s">
        <v>119</v>
      </c>
      <c r="Q3764" s="2" t="s">
        <v>99</v>
      </c>
      <c r="R3764" s="2" t="s">
        <v>100</v>
      </c>
      <c r="S3764" s="2" t="s">
        <v>11298</v>
      </c>
      <c r="T3764" s="2" t="s">
        <v>4940</v>
      </c>
      <c r="U3764" s="2" t="s">
        <v>514</v>
      </c>
      <c r="V3764" s="2" t="s">
        <v>146</v>
      </c>
      <c r="W3764" s="2" t="s">
        <v>673</v>
      </c>
      <c r="X3764" s="2" t="s">
        <v>183</v>
      </c>
      <c r="Y3764" s="2" t="s">
        <v>11463</v>
      </c>
      <c r="Z3764" s="4">
        <v>1354</v>
      </c>
      <c r="AA3764" s="4">
        <f>=ROUNDDOWN(33.0243902439024,0)</f>
      </c>
      <c r="AB3764" s="5">
        <v>41</v>
      </c>
      <c r="AC3764" s="2" t="s">
        <v>768</v>
      </c>
      <c r="AD3764" s="4">
        <v>104</v>
      </c>
      <c r="AE3764" s="4">
        <v>704</v>
      </c>
      <c r="AF3764" s="6">
        <v>65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/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 t="s">
        <v>100</v>
      </c>
      <c r="BJ3764" s="4">
        <v>939</v>
      </c>
      <c r="BK3764" s="8">
        <v>5753.31</v>
      </c>
      <c r="BL3764" s="2" t="s">
        <v>11467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11468</v>
      </c>
      <c r="BX3764" s="2" t="s">
        <v>2011</v>
      </c>
      <c r="BY3764" s="2" t="s">
        <v>113</v>
      </c>
      <c r="BZ3764" s="2" t="s">
        <v>100</v>
      </c>
    </row>
    <row r="3765">
      <c r="A3765" s="2" t="s">
        <v>11469</v>
      </c>
      <c r="B3765" s="2" t="s">
        <v>9668</v>
      </c>
      <c r="C3765" s="2" t="s">
        <v>1867</v>
      </c>
      <c r="D3765" s="2" t="s">
        <v>4626</v>
      </c>
      <c r="E3765" s="2" t="s">
        <v>7485</v>
      </c>
      <c r="F3765" s="2" t="s">
        <v>4940</v>
      </c>
      <c r="G3765" s="2" t="s">
        <v>4940</v>
      </c>
      <c r="H3765" s="2" t="s">
        <v>4940</v>
      </c>
      <c r="I3765" s="2" t="s">
        <v>11462</v>
      </c>
      <c r="J3765" s="2" t="s">
        <v>714</v>
      </c>
      <c r="K3765" s="2" t="s">
        <v>118</v>
      </c>
      <c r="L3765" s="3">
        <v>5.79</v>
      </c>
      <c r="M3765" s="3">
        <v>6.08</v>
      </c>
      <c r="N3765" s="3">
        <v>12.99</v>
      </c>
      <c r="O3765" s="2" t="s">
        <v>97</v>
      </c>
      <c r="P3765" s="2" t="s">
        <v>225</v>
      </c>
      <c r="Q3765" s="2" t="s">
        <v>99</v>
      </c>
      <c r="R3765" s="2" t="s">
        <v>100</v>
      </c>
      <c r="S3765" s="2" t="s">
        <v>11353</v>
      </c>
      <c r="T3765" s="2" t="s">
        <v>4940</v>
      </c>
      <c r="U3765" s="2" t="s">
        <v>514</v>
      </c>
      <c r="V3765" s="2" t="s">
        <v>146</v>
      </c>
      <c r="W3765" s="2" t="s">
        <v>183</v>
      </c>
      <c r="X3765" s="2" t="s">
        <v>561</v>
      </c>
      <c r="Y3765" s="2" t="s">
        <v>11312</v>
      </c>
      <c r="Z3765" s="4">
        <v>557</v>
      </c>
      <c r="AA3765" s="4">
        <f>=ROUNDDOWN(27.1707317073171,0)</f>
      </c>
      <c r="AB3765" s="5">
        <v>20.5</v>
      </c>
      <c r="AC3765" s="2" t="s">
        <v>11356</v>
      </c>
      <c r="AD3765" s="4">
        <v>360</v>
      </c>
      <c r="AE3765" s="4">
        <v>360</v>
      </c>
      <c r="AF3765" s="6">
        <v>65</v>
      </c>
      <c r="AG3765" s="6">
        <v>48</v>
      </c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/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151</v>
      </c>
      <c r="BK3765" s="8">
        <v>779.08</v>
      </c>
      <c r="BL3765" s="2" t="s">
        <v>2302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207</v>
      </c>
      <c r="BV3765" s="2" t="s">
        <v>97</v>
      </c>
      <c r="BW3765" s="2" t="s">
        <v>100</v>
      </c>
      <c r="BX3765" s="2" t="s">
        <v>100</v>
      </c>
      <c r="BY3765" s="2" t="s">
        <v>113</v>
      </c>
      <c r="BZ3765" s="2" t="s">
        <v>100</v>
      </c>
    </row>
    <row r="3766">
      <c r="A3766" s="2" t="s">
        <v>11470</v>
      </c>
      <c r="B3766" s="2" t="s">
        <v>9668</v>
      </c>
      <c r="C3766" s="2" t="s">
        <v>1867</v>
      </c>
      <c r="D3766" s="2" t="s">
        <v>4626</v>
      </c>
      <c r="E3766" s="2" t="s">
        <v>7485</v>
      </c>
      <c r="F3766" s="2" t="s">
        <v>4940</v>
      </c>
      <c r="G3766" s="2" t="s">
        <v>4940</v>
      </c>
      <c r="H3766" s="2" t="s">
        <v>4940</v>
      </c>
      <c r="I3766" s="2" t="s">
        <v>11462</v>
      </c>
      <c r="J3766" s="2" t="s">
        <v>4631</v>
      </c>
      <c r="K3766" s="2" t="s">
        <v>118</v>
      </c>
      <c r="L3766" s="3">
        <v>5.35</v>
      </c>
      <c r="M3766" s="3">
        <v>5.62</v>
      </c>
      <c r="N3766" s="3">
        <v>11.99</v>
      </c>
      <c r="O3766" s="2" t="s">
        <v>97</v>
      </c>
      <c r="P3766" s="2" t="s">
        <v>225</v>
      </c>
      <c r="Q3766" s="2" t="s">
        <v>99</v>
      </c>
      <c r="R3766" s="2" t="s">
        <v>100</v>
      </c>
      <c r="S3766" s="2" t="s">
        <v>11353</v>
      </c>
      <c r="T3766" s="2" t="s">
        <v>4940</v>
      </c>
      <c r="U3766" s="2" t="s">
        <v>514</v>
      </c>
      <c r="V3766" s="2" t="s">
        <v>146</v>
      </c>
      <c r="W3766" s="2" t="s">
        <v>183</v>
      </c>
      <c r="X3766" s="2" t="s">
        <v>561</v>
      </c>
      <c r="Y3766" s="2" t="s">
        <v>11312</v>
      </c>
      <c r="Z3766" s="4">
        <v>1350</v>
      </c>
      <c r="AA3766" s="4">
        <f>=ROUNDDOWN(19.5652173913043,0)</f>
      </c>
      <c r="AB3766" s="5">
        <v>69</v>
      </c>
      <c r="AC3766" s="2" t="s">
        <v>11356</v>
      </c>
      <c r="AD3766" s="4">
        <v>520</v>
      </c>
      <c r="AE3766" s="4">
        <v>520</v>
      </c>
      <c r="AF3766" s="6">
        <v>65</v>
      </c>
      <c r="AG3766" s="6">
        <v>48</v>
      </c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 t="s">
        <v>100</v>
      </c>
      <c r="BJ3766" s="4">
        <v>198</v>
      </c>
      <c r="BK3766" s="8">
        <v>966.24</v>
      </c>
      <c r="BL3766" s="2" t="s">
        <v>658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207</v>
      </c>
      <c r="BV3766" s="2" t="s">
        <v>97</v>
      </c>
      <c r="BW3766" s="2" t="s">
        <v>100</v>
      </c>
      <c r="BX3766" s="2" t="s">
        <v>100</v>
      </c>
      <c r="BY3766" s="2" t="s">
        <v>113</v>
      </c>
      <c r="BZ3766" s="2" t="s">
        <v>100</v>
      </c>
    </row>
    <row r="3767">
      <c r="A3767" s="2" t="s">
        <v>11471</v>
      </c>
      <c r="B3767" s="2" t="s">
        <v>9668</v>
      </c>
      <c r="C3767" s="2" t="s">
        <v>1867</v>
      </c>
      <c r="D3767" s="2" t="s">
        <v>4626</v>
      </c>
      <c r="E3767" s="2" t="s">
        <v>7485</v>
      </c>
      <c r="F3767" s="2" t="s">
        <v>4940</v>
      </c>
      <c r="G3767" s="2" t="s">
        <v>4940</v>
      </c>
      <c r="H3767" s="2" t="s">
        <v>4940</v>
      </c>
      <c r="I3767" s="2" t="s">
        <v>11462</v>
      </c>
      <c r="J3767" s="2" t="s">
        <v>714</v>
      </c>
      <c r="K3767" s="2" t="s">
        <v>432</v>
      </c>
      <c r="L3767" s="3">
        <v>6.24</v>
      </c>
      <c r="M3767" s="3">
        <v>6.55</v>
      </c>
      <c r="N3767" s="3">
        <v>12.99</v>
      </c>
      <c r="O3767" s="2" t="s">
        <v>97</v>
      </c>
      <c r="P3767" s="2" t="s">
        <v>119</v>
      </c>
      <c r="Q3767" s="2" t="s">
        <v>99</v>
      </c>
      <c r="R3767" s="2" t="s">
        <v>100</v>
      </c>
      <c r="S3767" s="2" t="s">
        <v>11472</v>
      </c>
      <c r="T3767" s="2" t="s">
        <v>4940</v>
      </c>
      <c r="U3767" s="2" t="s">
        <v>514</v>
      </c>
      <c r="V3767" s="2" t="s">
        <v>146</v>
      </c>
      <c r="W3767" s="2" t="s">
        <v>673</v>
      </c>
      <c r="X3767" s="2" t="s">
        <v>183</v>
      </c>
      <c r="Y3767" s="2" t="s">
        <v>11224</v>
      </c>
      <c r="Z3767" s="4">
        <v>811</v>
      </c>
      <c r="AA3767" s="4">
        <f>=ROUNDDOWN(38.6190476190476,0)</f>
      </c>
      <c r="AB3767" s="5">
        <v>21</v>
      </c>
      <c r="AC3767" s="2" t="s">
        <v>872</v>
      </c>
      <c r="AD3767" s="4">
        <v>104</v>
      </c>
      <c r="AE3767" s="4">
        <v>104</v>
      </c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 t="s">
        <v>100</v>
      </c>
      <c r="BJ3767" s="4">
        <v>420</v>
      </c>
      <c r="BK3767" s="8">
        <v>2809.43</v>
      </c>
      <c r="BL3767" s="2" t="s">
        <v>11473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207</v>
      </c>
      <c r="BV3767" s="2" t="s">
        <v>97</v>
      </c>
      <c r="BW3767" s="2" t="s">
        <v>100</v>
      </c>
      <c r="BX3767" s="2" t="s">
        <v>100</v>
      </c>
      <c r="BY3767" s="2" t="s">
        <v>113</v>
      </c>
      <c r="BZ3767" s="2" t="s">
        <v>100</v>
      </c>
    </row>
    <row r="3768">
      <c r="A3768" s="2" t="s">
        <v>11474</v>
      </c>
      <c r="B3768" s="2" t="s">
        <v>9668</v>
      </c>
      <c r="C3768" s="2" t="s">
        <v>1867</v>
      </c>
      <c r="D3768" s="2" t="s">
        <v>4626</v>
      </c>
      <c r="E3768" s="2" t="s">
        <v>7485</v>
      </c>
      <c r="F3768" s="2" t="s">
        <v>4940</v>
      </c>
      <c r="G3768" s="2" t="s">
        <v>4940</v>
      </c>
      <c r="H3768" s="2" t="s">
        <v>4940</v>
      </c>
      <c r="I3768" s="2" t="s">
        <v>11462</v>
      </c>
      <c r="J3768" s="2" t="s">
        <v>4631</v>
      </c>
      <c r="K3768" s="2" t="s">
        <v>432</v>
      </c>
      <c r="L3768" s="3">
        <v>5.76</v>
      </c>
      <c r="M3768" s="3">
        <v>6.05</v>
      </c>
      <c r="N3768" s="3">
        <v>11.99</v>
      </c>
      <c r="O3768" s="2" t="s">
        <v>97</v>
      </c>
      <c r="P3768" s="2" t="s">
        <v>119</v>
      </c>
      <c r="Q3768" s="2" t="s">
        <v>99</v>
      </c>
      <c r="R3768" s="2" t="s">
        <v>100</v>
      </c>
      <c r="S3768" s="2" t="s">
        <v>11472</v>
      </c>
      <c r="T3768" s="2" t="s">
        <v>4940</v>
      </c>
      <c r="U3768" s="2" t="s">
        <v>514</v>
      </c>
      <c r="V3768" s="2" t="s">
        <v>146</v>
      </c>
      <c r="W3768" s="2" t="s">
        <v>673</v>
      </c>
      <c r="X3768" s="2" t="s">
        <v>183</v>
      </c>
      <c r="Y3768" s="2" t="s">
        <v>11224</v>
      </c>
      <c r="Z3768" s="4">
        <v>1710</v>
      </c>
      <c r="AA3768" s="4">
        <f>=ROUNDDOWN(32.8846153846154,0)</f>
      </c>
      <c r="AB3768" s="5">
        <v>52</v>
      </c>
      <c r="AC3768" s="2" t="s">
        <v>768</v>
      </c>
      <c r="AD3768" s="4">
        <v>64</v>
      </c>
      <c r="AE3768" s="4">
        <v>1320</v>
      </c>
      <c r="AF3768" s="6">
        <v>65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100</v>
      </c>
      <c r="AW3768" s="8" t="s">
        <v>100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 t="s">
        <v>100</v>
      </c>
      <c r="BJ3768" s="4">
        <v>1286</v>
      </c>
      <c r="BK3768" s="8">
        <v>7900.01</v>
      </c>
      <c r="BL3768" s="2" t="s">
        <v>11475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207</v>
      </c>
      <c r="BV3768" s="2" t="s">
        <v>97</v>
      </c>
      <c r="BW3768" s="2" t="s">
        <v>100</v>
      </c>
      <c r="BX3768" s="2" t="s">
        <v>100</v>
      </c>
      <c r="BY3768" s="2" t="s">
        <v>113</v>
      </c>
      <c r="BZ3768" s="2" t="s">
        <v>100</v>
      </c>
    </row>
    <row r="3769">
      <c r="A3769" s="2" t="s">
        <v>11476</v>
      </c>
      <c r="B3769" s="2" t="s">
        <v>9668</v>
      </c>
      <c r="C3769" s="2" t="s">
        <v>1867</v>
      </c>
      <c r="D3769" s="2" t="s">
        <v>4626</v>
      </c>
      <c r="E3769" s="2" t="s">
        <v>7485</v>
      </c>
      <c r="F3769" s="2" t="s">
        <v>4940</v>
      </c>
      <c r="G3769" s="2" t="s">
        <v>4940</v>
      </c>
      <c r="H3769" s="2" t="s">
        <v>4940</v>
      </c>
      <c r="I3769" s="2" t="s">
        <v>11462</v>
      </c>
      <c r="J3769" s="2" t="s">
        <v>714</v>
      </c>
      <c r="K3769" s="2" t="s">
        <v>6430</v>
      </c>
      <c r="L3769" s="3">
        <v>5.79</v>
      </c>
      <c r="M3769" s="3">
        <v>6.08</v>
      </c>
      <c r="N3769" s="3">
        <v>12.99</v>
      </c>
      <c r="O3769" s="2" t="s">
        <v>97</v>
      </c>
      <c r="P3769" s="2" t="s">
        <v>225</v>
      </c>
      <c r="Q3769" s="2" t="s">
        <v>99</v>
      </c>
      <c r="R3769" s="2" t="s">
        <v>100</v>
      </c>
      <c r="S3769" s="2" t="s">
        <v>11364</v>
      </c>
      <c r="T3769" s="2" t="s">
        <v>4940</v>
      </c>
      <c r="U3769" s="2" t="s">
        <v>514</v>
      </c>
      <c r="V3769" s="2" t="s">
        <v>146</v>
      </c>
      <c r="W3769" s="2" t="s">
        <v>183</v>
      </c>
      <c r="X3769" s="2" t="s">
        <v>561</v>
      </c>
      <c r="Y3769" s="2" t="s">
        <v>11312</v>
      </c>
      <c r="Z3769" s="4">
        <v>243</v>
      </c>
      <c r="AA3769" s="4">
        <f>=ROUNDDOWN(8.01980198019802,0)</f>
      </c>
      <c r="AB3769" s="5">
        <v>30.3</v>
      </c>
      <c r="AC3769" s="2" t="s">
        <v>11356</v>
      </c>
      <c r="AD3769" s="4">
        <v>320</v>
      </c>
      <c r="AE3769" s="4">
        <v>640</v>
      </c>
      <c r="AF3769" s="6">
        <v>65</v>
      </c>
      <c r="AG3769" s="6">
        <v>48</v>
      </c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/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188</v>
      </c>
      <c r="BK3769" s="8">
        <v>986.56</v>
      </c>
      <c r="BL3769" s="2" t="s">
        <v>658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207</v>
      </c>
      <c r="BV3769" s="2" t="s">
        <v>97</v>
      </c>
      <c r="BW3769" s="2" t="s">
        <v>100</v>
      </c>
      <c r="BX3769" s="2" t="s">
        <v>100</v>
      </c>
      <c r="BY3769" s="2" t="s">
        <v>113</v>
      </c>
      <c r="BZ3769" s="2" t="s">
        <v>100</v>
      </c>
    </row>
    <row r="3770">
      <c r="A3770" s="2" t="s">
        <v>11477</v>
      </c>
      <c r="B3770" s="2" t="s">
        <v>9668</v>
      </c>
      <c r="C3770" s="2" t="s">
        <v>1867</v>
      </c>
      <c r="D3770" s="2" t="s">
        <v>4626</v>
      </c>
      <c r="E3770" s="2" t="s">
        <v>7485</v>
      </c>
      <c r="F3770" s="2" t="s">
        <v>4940</v>
      </c>
      <c r="G3770" s="2" t="s">
        <v>4940</v>
      </c>
      <c r="H3770" s="2" t="s">
        <v>4940</v>
      </c>
      <c r="I3770" s="2" t="s">
        <v>11462</v>
      </c>
      <c r="J3770" s="2" t="s">
        <v>4631</v>
      </c>
      <c r="K3770" s="2" t="s">
        <v>6430</v>
      </c>
      <c r="L3770" s="3">
        <v>5.35</v>
      </c>
      <c r="M3770" s="3">
        <v>5.62</v>
      </c>
      <c r="N3770" s="3">
        <v>11.99</v>
      </c>
      <c r="O3770" s="2" t="s">
        <v>97</v>
      </c>
      <c r="P3770" s="2" t="s">
        <v>225</v>
      </c>
      <c r="Q3770" s="2" t="s">
        <v>99</v>
      </c>
      <c r="R3770" s="2" t="s">
        <v>100</v>
      </c>
      <c r="S3770" s="2" t="s">
        <v>11364</v>
      </c>
      <c r="T3770" s="2" t="s">
        <v>4940</v>
      </c>
      <c r="U3770" s="2" t="s">
        <v>514</v>
      </c>
      <c r="V3770" s="2" t="s">
        <v>146</v>
      </c>
      <c r="W3770" s="2" t="s">
        <v>183</v>
      </c>
      <c r="X3770" s="2" t="s">
        <v>561</v>
      </c>
      <c r="Y3770" s="2" t="s">
        <v>11312</v>
      </c>
      <c r="Z3770" s="4">
        <v>750</v>
      </c>
      <c r="AA3770" s="4">
        <f>=ROUNDDOWN(9.86842105263158,0)</f>
      </c>
      <c r="AB3770" s="5">
        <v>76</v>
      </c>
      <c r="AC3770" s="2" t="s">
        <v>11356</v>
      </c>
      <c r="AD3770" s="4">
        <v>360</v>
      </c>
      <c r="AE3770" s="4">
        <v>800</v>
      </c>
      <c r="AF3770" s="6">
        <v>65</v>
      </c>
      <c r="AG3770" s="6">
        <v>48</v>
      </c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/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 t="s">
        <v>100</v>
      </c>
      <c r="BJ3770" s="4">
        <v>227</v>
      </c>
      <c r="BK3770" s="8">
        <v>1160.6</v>
      </c>
      <c r="BL3770" s="2" t="s">
        <v>2073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207</v>
      </c>
      <c r="BV3770" s="2" t="s">
        <v>97</v>
      </c>
      <c r="BW3770" s="2" t="s">
        <v>100</v>
      </c>
      <c r="BX3770" s="2" t="s">
        <v>100</v>
      </c>
      <c r="BY3770" s="2" t="s">
        <v>113</v>
      </c>
      <c r="BZ3770" s="2" t="s">
        <v>100</v>
      </c>
    </row>
    <row r="3771">
      <c r="A3771" s="2" t="s">
        <v>11478</v>
      </c>
      <c r="B3771" s="2" t="s">
        <v>9668</v>
      </c>
      <c r="C3771" s="2" t="s">
        <v>1867</v>
      </c>
      <c r="D3771" s="2" t="s">
        <v>4626</v>
      </c>
      <c r="E3771" s="2" t="s">
        <v>7485</v>
      </c>
      <c r="F3771" s="2" t="s">
        <v>4940</v>
      </c>
      <c r="G3771" s="2" t="s">
        <v>4940</v>
      </c>
      <c r="H3771" s="2" t="s">
        <v>4940</v>
      </c>
      <c r="I3771" s="2" t="s">
        <v>11462</v>
      </c>
      <c r="J3771" s="2" t="s">
        <v>714</v>
      </c>
      <c r="K3771" s="2" t="s">
        <v>11372</v>
      </c>
      <c r="L3771" s="3">
        <v>5.79</v>
      </c>
      <c r="M3771" s="3">
        <v>6.08</v>
      </c>
      <c r="N3771" s="3">
        <v>12.99</v>
      </c>
      <c r="O3771" s="2" t="s">
        <v>97</v>
      </c>
      <c r="P3771" s="2" t="s">
        <v>225</v>
      </c>
      <c r="Q3771" s="2" t="s">
        <v>99</v>
      </c>
      <c r="R3771" s="2" t="s">
        <v>100</v>
      </c>
      <c r="S3771" s="2" t="s">
        <v>11373</v>
      </c>
      <c r="T3771" s="2" t="s">
        <v>4940</v>
      </c>
      <c r="U3771" s="2" t="s">
        <v>514</v>
      </c>
      <c r="V3771" s="2" t="s">
        <v>146</v>
      </c>
      <c r="W3771" s="2" t="s">
        <v>183</v>
      </c>
      <c r="X3771" s="2" t="s">
        <v>561</v>
      </c>
      <c r="Y3771" s="2" t="s">
        <v>11312</v>
      </c>
      <c r="Z3771" s="4">
        <v>677</v>
      </c>
      <c r="AA3771" s="4">
        <f>=ROUNDDOWN(22.5666666666667,0)</f>
      </c>
      <c r="AB3771" s="5">
        <v>30</v>
      </c>
      <c r="AC3771" s="2" t="s">
        <v>11356</v>
      </c>
      <c r="AD3771" s="4">
        <v>160</v>
      </c>
      <c r="AE3771" s="4">
        <v>280</v>
      </c>
      <c r="AF3771" s="6">
        <v>65</v>
      </c>
      <c r="AG3771" s="6">
        <v>48</v>
      </c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/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 t="s">
        <v>100</v>
      </c>
      <c r="BJ3771" s="4">
        <v>47</v>
      </c>
      <c r="BK3771" s="8">
        <v>283.06</v>
      </c>
      <c r="BL3771" s="2" t="s">
        <v>1210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207</v>
      </c>
      <c r="BV3771" s="2" t="s">
        <v>97</v>
      </c>
      <c r="BW3771" s="2" t="s">
        <v>100</v>
      </c>
      <c r="BX3771" s="2" t="s">
        <v>100</v>
      </c>
      <c r="BY3771" s="2" t="s">
        <v>113</v>
      </c>
      <c r="BZ3771" s="2" t="s">
        <v>100</v>
      </c>
    </row>
    <row r="3772">
      <c r="A3772" s="2" t="s">
        <v>11479</v>
      </c>
      <c r="B3772" s="2" t="s">
        <v>9668</v>
      </c>
      <c r="C3772" s="2" t="s">
        <v>1867</v>
      </c>
      <c r="D3772" s="2" t="s">
        <v>4626</v>
      </c>
      <c r="E3772" s="2" t="s">
        <v>7485</v>
      </c>
      <c r="F3772" s="2" t="s">
        <v>4940</v>
      </c>
      <c r="G3772" s="2" t="s">
        <v>4940</v>
      </c>
      <c r="H3772" s="2" t="s">
        <v>4940</v>
      </c>
      <c r="I3772" s="2" t="s">
        <v>11462</v>
      </c>
      <c r="J3772" s="2" t="s">
        <v>4631</v>
      </c>
      <c r="K3772" s="2" t="s">
        <v>11372</v>
      </c>
      <c r="L3772" s="3">
        <v>5.35</v>
      </c>
      <c r="M3772" s="3">
        <v>5.62</v>
      </c>
      <c r="N3772" s="3">
        <v>11.99</v>
      </c>
      <c r="O3772" s="2" t="s">
        <v>97</v>
      </c>
      <c r="P3772" s="2" t="s">
        <v>225</v>
      </c>
      <c r="Q3772" s="2" t="s">
        <v>99</v>
      </c>
      <c r="R3772" s="2" t="s">
        <v>100</v>
      </c>
      <c r="S3772" s="2" t="s">
        <v>11373</v>
      </c>
      <c r="T3772" s="2" t="s">
        <v>4940</v>
      </c>
      <c r="U3772" s="2" t="s">
        <v>514</v>
      </c>
      <c r="V3772" s="2" t="s">
        <v>146</v>
      </c>
      <c r="W3772" s="2" t="s">
        <v>183</v>
      </c>
      <c r="X3772" s="2" t="s">
        <v>561</v>
      </c>
      <c r="Y3772" s="2" t="s">
        <v>11312</v>
      </c>
      <c r="Z3772" s="4">
        <v>1506</v>
      </c>
      <c r="AA3772" s="4">
        <f>=ROUNDDOWN(40.7027027027027,0)</f>
      </c>
      <c r="AB3772" s="5">
        <v>37</v>
      </c>
      <c r="AC3772" s="2" t="s">
        <v>100</v>
      </c>
      <c r="AD3772" s="4"/>
      <c r="AE3772" s="4"/>
      <c r="AF3772" s="6">
        <v>65</v>
      </c>
      <c r="AG3772" s="6">
        <v>48</v>
      </c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80</v>
      </c>
      <c r="BK3772" s="8">
        <v>418.8</v>
      </c>
      <c r="BL3772" s="2" t="s">
        <v>2073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207</v>
      </c>
      <c r="BV3772" s="2" t="s">
        <v>97</v>
      </c>
      <c r="BW3772" s="2" t="s">
        <v>100</v>
      </c>
      <c r="BX3772" s="2" t="s">
        <v>100</v>
      </c>
      <c r="BY3772" s="2" t="s">
        <v>113</v>
      </c>
      <c r="BZ3772" s="2" t="s">
        <v>100</v>
      </c>
    </row>
    <row r="3773">
      <c r="A3773" s="2" t="s">
        <v>11480</v>
      </c>
      <c r="B3773" s="2" t="s">
        <v>9668</v>
      </c>
      <c r="C3773" s="2" t="s">
        <v>1867</v>
      </c>
      <c r="D3773" s="2" t="s">
        <v>4626</v>
      </c>
      <c r="E3773" s="2" t="s">
        <v>7485</v>
      </c>
      <c r="F3773" s="2" t="s">
        <v>4940</v>
      </c>
      <c r="G3773" s="2" t="s">
        <v>4940</v>
      </c>
      <c r="H3773" s="2" t="s">
        <v>4940</v>
      </c>
      <c r="I3773" s="2" t="s">
        <v>11462</v>
      </c>
      <c r="J3773" s="2" t="s">
        <v>714</v>
      </c>
      <c r="K3773" s="2" t="s">
        <v>11444</v>
      </c>
      <c r="L3773" s="3">
        <v>6.24</v>
      </c>
      <c r="M3773" s="3">
        <v>6.55</v>
      </c>
      <c r="N3773" s="3">
        <v>12.99</v>
      </c>
      <c r="O3773" s="2" t="s">
        <v>97</v>
      </c>
      <c r="P3773" s="2" t="s">
        <v>119</v>
      </c>
      <c r="Q3773" s="2" t="s">
        <v>99</v>
      </c>
      <c r="R3773" s="2" t="s">
        <v>100</v>
      </c>
      <c r="S3773" s="2" t="s">
        <v>11445</v>
      </c>
      <c r="T3773" s="2" t="s">
        <v>4940</v>
      </c>
      <c r="U3773" s="2" t="s">
        <v>514</v>
      </c>
      <c r="V3773" s="2" t="s">
        <v>2508</v>
      </c>
      <c r="W3773" s="2" t="s">
        <v>673</v>
      </c>
      <c r="X3773" s="2" t="s">
        <v>183</v>
      </c>
      <c r="Y3773" s="2" t="s">
        <v>11446</v>
      </c>
      <c r="Z3773" s="4">
        <v>335</v>
      </c>
      <c r="AA3773" s="4">
        <f>=ROUNDDOWN(25.7692307692308,0)</f>
      </c>
      <c r="AB3773" s="5">
        <v>13</v>
      </c>
      <c r="AC3773" s="2" t="s">
        <v>184</v>
      </c>
      <c r="AD3773" s="4">
        <v>80</v>
      </c>
      <c r="AE3773" s="4">
        <v>224</v>
      </c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348</v>
      </c>
      <c r="BK3773" s="8">
        <v>2413.25</v>
      </c>
      <c r="BL3773" s="2" t="s">
        <v>1328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207</v>
      </c>
      <c r="BV3773" s="2" t="s">
        <v>97</v>
      </c>
      <c r="BW3773" s="2" t="s">
        <v>100</v>
      </c>
      <c r="BX3773" s="2" t="s">
        <v>100</v>
      </c>
      <c r="BY3773" s="2" t="s">
        <v>113</v>
      </c>
      <c r="BZ3773" s="2" t="s">
        <v>100</v>
      </c>
    </row>
    <row r="3774">
      <c r="A3774" s="2" t="s">
        <v>11481</v>
      </c>
      <c r="B3774" s="2" t="s">
        <v>9668</v>
      </c>
      <c r="C3774" s="2" t="s">
        <v>1867</v>
      </c>
      <c r="D3774" s="2" t="s">
        <v>4626</v>
      </c>
      <c r="E3774" s="2" t="s">
        <v>7485</v>
      </c>
      <c r="F3774" s="2" t="s">
        <v>4940</v>
      </c>
      <c r="G3774" s="2" t="s">
        <v>4940</v>
      </c>
      <c r="H3774" s="2" t="s">
        <v>4940</v>
      </c>
      <c r="I3774" s="2" t="s">
        <v>11462</v>
      </c>
      <c r="J3774" s="2" t="s">
        <v>714</v>
      </c>
      <c r="K3774" s="2" t="s">
        <v>1614</v>
      </c>
      <c r="L3774" s="3">
        <v>6.24</v>
      </c>
      <c r="M3774" s="3">
        <v>6.55</v>
      </c>
      <c r="N3774" s="3">
        <v>12.99</v>
      </c>
      <c r="O3774" s="2" t="s">
        <v>97</v>
      </c>
      <c r="P3774" s="2" t="s">
        <v>119</v>
      </c>
      <c r="Q3774" s="2" t="s">
        <v>99</v>
      </c>
      <c r="R3774" s="2" t="s">
        <v>100</v>
      </c>
      <c r="S3774" s="2" t="s">
        <v>11311</v>
      </c>
      <c r="T3774" s="2" t="s">
        <v>4940</v>
      </c>
      <c r="U3774" s="2" t="s">
        <v>514</v>
      </c>
      <c r="V3774" s="2" t="s">
        <v>146</v>
      </c>
      <c r="W3774" s="2" t="s">
        <v>183</v>
      </c>
      <c r="X3774" s="2" t="s">
        <v>561</v>
      </c>
      <c r="Y3774" s="2" t="s">
        <v>11482</v>
      </c>
      <c r="Z3774" s="4">
        <v>471</v>
      </c>
      <c r="AA3774" s="4">
        <f>=ROUNDDOWN(24.7894736842105,0)</f>
      </c>
      <c r="AB3774" s="5">
        <v>19</v>
      </c>
      <c r="AC3774" s="2" t="s">
        <v>768</v>
      </c>
      <c r="AD3774" s="4">
        <v>280</v>
      </c>
      <c r="AE3774" s="4">
        <v>720</v>
      </c>
      <c r="AF3774" s="6">
        <v>65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442</v>
      </c>
      <c r="BK3774" s="8">
        <v>2922.7</v>
      </c>
      <c r="BL3774" s="2" t="s">
        <v>11483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207</v>
      </c>
      <c r="BV3774" s="2" t="s">
        <v>97</v>
      </c>
      <c r="BW3774" s="2" t="s">
        <v>100</v>
      </c>
      <c r="BX3774" s="2" t="s">
        <v>100</v>
      </c>
      <c r="BY3774" s="2" t="s">
        <v>113</v>
      </c>
      <c r="BZ3774" s="2" t="s">
        <v>100</v>
      </c>
    </row>
    <row r="3775">
      <c r="A3775" s="2" t="s">
        <v>11484</v>
      </c>
      <c r="B3775" s="2" t="s">
        <v>9668</v>
      </c>
      <c r="C3775" s="2" t="s">
        <v>1867</v>
      </c>
      <c r="D3775" s="2" t="s">
        <v>4626</v>
      </c>
      <c r="E3775" s="2" t="s">
        <v>7485</v>
      </c>
      <c r="F3775" s="2" t="s">
        <v>4940</v>
      </c>
      <c r="G3775" s="2" t="s">
        <v>4940</v>
      </c>
      <c r="H3775" s="2" t="s">
        <v>4940</v>
      </c>
      <c r="I3775" s="2" t="s">
        <v>11462</v>
      </c>
      <c r="J3775" s="2" t="s">
        <v>4631</v>
      </c>
      <c r="K3775" s="2" t="s">
        <v>1614</v>
      </c>
      <c r="L3775" s="3">
        <v>5.76</v>
      </c>
      <c r="M3775" s="3">
        <v>6.05</v>
      </c>
      <c r="N3775" s="3">
        <v>11.99</v>
      </c>
      <c r="O3775" s="2" t="s">
        <v>97</v>
      </c>
      <c r="P3775" s="2" t="s">
        <v>119</v>
      </c>
      <c r="Q3775" s="2" t="s">
        <v>99</v>
      </c>
      <c r="R3775" s="2" t="s">
        <v>100</v>
      </c>
      <c r="S3775" s="2" t="s">
        <v>11311</v>
      </c>
      <c r="T3775" s="2" t="s">
        <v>4940</v>
      </c>
      <c r="U3775" s="2" t="s">
        <v>514</v>
      </c>
      <c r="V3775" s="2" t="s">
        <v>146</v>
      </c>
      <c r="W3775" s="2" t="s">
        <v>183</v>
      </c>
      <c r="X3775" s="2" t="s">
        <v>561</v>
      </c>
      <c r="Y3775" s="2" t="s">
        <v>11482</v>
      </c>
      <c r="Z3775" s="4">
        <v>1107</v>
      </c>
      <c r="AA3775" s="4">
        <f>=ROUNDDOWN(27,0)</f>
      </c>
      <c r="AB3775" s="5">
        <v>41</v>
      </c>
      <c r="AC3775" s="2" t="s">
        <v>768</v>
      </c>
      <c r="AD3775" s="4">
        <v>352</v>
      </c>
      <c r="AE3775" s="4">
        <v>1464</v>
      </c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1021</v>
      </c>
      <c r="BK3775" s="8">
        <v>6243.18</v>
      </c>
      <c r="BL3775" s="2" t="s">
        <v>11485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207</v>
      </c>
      <c r="BV3775" s="2" t="s">
        <v>97</v>
      </c>
      <c r="BW3775" s="2" t="s">
        <v>100</v>
      </c>
      <c r="BX3775" s="2" t="s">
        <v>100</v>
      </c>
      <c r="BY3775" s="2" t="s">
        <v>113</v>
      </c>
      <c r="BZ3775" s="2" t="s">
        <v>100</v>
      </c>
    </row>
    <row r="3776">
      <c r="A3776" s="2" t="s">
        <v>11486</v>
      </c>
      <c r="B3776" s="2" t="s">
        <v>9668</v>
      </c>
      <c r="C3776" s="2" t="s">
        <v>1867</v>
      </c>
      <c r="D3776" s="2" t="s">
        <v>4626</v>
      </c>
      <c r="E3776" s="2" t="s">
        <v>7485</v>
      </c>
      <c r="F3776" s="2" t="s">
        <v>4940</v>
      </c>
      <c r="G3776" s="2" t="s">
        <v>4940</v>
      </c>
      <c r="H3776" s="2" t="s">
        <v>4940</v>
      </c>
      <c r="I3776" s="2" t="s">
        <v>11462</v>
      </c>
      <c r="J3776" s="2" t="s">
        <v>714</v>
      </c>
      <c r="K3776" s="2" t="s">
        <v>3515</v>
      </c>
      <c r="L3776" s="3">
        <v>6.24</v>
      </c>
      <c r="M3776" s="3">
        <v>6.55</v>
      </c>
      <c r="N3776" s="3">
        <v>12.99</v>
      </c>
      <c r="O3776" s="2" t="s">
        <v>97</v>
      </c>
      <c r="P3776" s="2" t="s">
        <v>119</v>
      </c>
      <c r="Q3776" s="2" t="s">
        <v>99</v>
      </c>
      <c r="R3776" s="2" t="s">
        <v>100</v>
      </c>
      <c r="S3776" s="2" t="s">
        <v>11336</v>
      </c>
      <c r="T3776" s="2" t="s">
        <v>4940</v>
      </c>
      <c r="U3776" s="2" t="s">
        <v>514</v>
      </c>
      <c r="V3776" s="2" t="s">
        <v>146</v>
      </c>
      <c r="W3776" s="2" t="s">
        <v>183</v>
      </c>
      <c r="X3776" s="2" t="s">
        <v>561</v>
      </c>
      <c r="Y3776" s="2" t="s">
        <v>11482</v>
      </c>
      <c r="Z3776" s="4">
        <v>634</v>
      </c>
      <c r="AA3776" s="4">
        <f>=ROUNDDOWN(24.3846153846154,0)</f>
      </c>
      <c r="AB3776" s="5">
        <v>26</v>
      </c>
      <c r="AC3776" s="2" t="s">
        <v>768</v>
      </c>
      <c r="AD3776" s="4">
        <v>72</v>
      </c>
      <c r="AE3776" s="4">
        <v>768</v>
      </c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587</v>
      </c>
      <c r="BK3776" s="8">
        <v>3845.45</v>
      </c>
      <c r="BL3776" s="2" t="s">
        <v>11467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207</v>
      </c>
      <c r="BV3776" s="2" t="s">
        <v>97</v>
      </c>
      <c r="BW3776" s="2" t="s">
        <v>100</v>
      </c>
      <c r="BX3776" s="2" t="s">
        <v>100</v>
      </c>
      <c r="BY3776" s="2" t="s">
        <v>113</v>
      </c>
      <c r="BZ3776" s="2" t="s">
        <v>100</v>
      </c>
    </row>
    <row r="3777">
      <c r="A3777" s="2" t="s">
        <v>11487</v>
      </c>
      <c r="B3777" s="2" t="s">
        <v>9668</v>
      </c>
      <c r="C3777" s="2" t="s">
        <v>1867</v>
      </c>
      <c r="D3777" s="2" t="s">
        <v>4626</v>
      </c>
      <c r="E3777" s="2" t="s">
        <v>7485</v>
      </c>
      <c r="F3777" s="2" t="s">
        <v>4940</v>
      </c>
      <c r="G3777" s="2" t="s">
        <v>4940</v>
      </c>
      <c r="H3777" s="2" t="s">
        <v>4940</v>
      </c>
      <c r="I3777" s="2" t="s">
        <v>11462</v>
      </c>
      <c r="J3777" s="2" t="s">
        <v>4631</v>
      </c>
      <c r="K3777" s="2" t="s">
        <v>3515</v>
      </c>
      <c r="L3777" s="3">
        <v>5.76</v>
      </c>
      <c r="M3777" s="3">
        <v>6.05</v>
      </c>
      <c r="N3777" s="3">
        <v>11.99</v>
      </c>
      <c r="O3777" s="2" t="s">
        <v>97</v>
      </c>
      <c r="P3777" s="2" t="s">
        <v>119</v>
      </c>
      <c r="Q3777" s="2" t="s">
        <v>99</v>
      </c>
      <c r="R3777" s="2" t="s">
        <v>100</v>
      </c>
      <c r="S3777" s="2" t="s">
        <v>11336</v>
      </c>
      <c r="T3777" s="2" t="s">
        <v>4940</v>
      </c>
      <c r="U3777" s="2" t="s">
        <v>514</v>
      </c>
      <c r="V3777" s="2" t="s">
        <v>146</v>
      </c>
      <c r="W3777" s="2" t="s">
        <v>183</v>
      </c>
      <c r="X3777" s="2" t="s">
        <v>561</v>
      </c>
      <c r="Y3777" s="2" t="s">
        <v>11482</v>
      </c>
      <c r="Z3777" s="4">
        <v>1604</v>
      </c>
      <c r="AA3777" s="4">
        <f>=ROUNDDOWN(30.2641509433962,0)</f>
      </c>
      <c r="AB3777" s="5">
        <v>53</v>
      </c>
      <c r="AC3777" s="2" t="s">
        <v>768</v>
      </c>
      <c r="AD3777" s="4">
        <v>288</v>
      </c>
      <c r="AE3777" s="4">
        <v>1304</v>
      </c>
      <c r="AF3777" s="6">
        <v>65</v>
      </c>
      <c r="AG3777" s="6">
        <v>48</v>
      </c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1235</v>
      </c>
      <c r="BK3777" s="8">
        <v>7496.83</v>
      </c>
      <c r="BL3777" s="2" t="s">
        <v>11488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207</v>
      </c>
      <c r="BV3777" s="2" t="s">
        <v>97</v>
      </c>
      <c r="BW3777" s="2" t="s">
        <v>100</v>
      </c>
      <c r="BX3777" s="2" t="s">
        <v>100</v>
      </c>
      <c r="BY3777" s="2" t="s">
        <v>113</v>
      </c>
      <c r="BZ3777" s="2" t="s">
        <v>100</v>
      </c>
    </row>
    <row r="3778">
      <c r="A3778" s="2" t="s">
        <v>11489</v>
      </c>
      <c r="B3778" s="2" t="s">
        <v>9668</v>
      </c>
      <c r="C3778" s="2" t="s">
        <v>1867</v>
      </c>
      <c r="D3778" s="2" t="s">
        <v>4626</v>
      </c>
      <c r="E3778" s="2" t="s">
        <v>7485</v>
      </c>
      <c r="F3778" s="2" t="s">
        <v>4940</v>
      </c>
      <c r="G3778" s="2" t="s">
        <v>4940</v>
      </c>
      <c r="H3778" s="2" t="s">
        <v>4940</v>
      </c>
      <c r="I3778" s="2" t="s">
        <v>11462</v>
      </c>
      <c r="J3778" s="2" t="s">
        <v>714</v>
      </c>
      <c r="K3778" s="2" t="s">
        <v>1603</v>
      </c>
      <c r="L3778" s="3">
        <v>5.79</v>
      </c>
      <c r="M3778" s="3">
        <v>6.08</v>
      </c>
      <c r="N3778" s="3">
        <v>12.99</v>
      </c>
      <c r="O3778" s="2" t="s">
        <v>97</v>
      </c>
      <c r="P3778" s="2" t="s">
        <v>225</v>
      </c>
      <c r="Q3778" s="2" t="s">
        <v>99</v>
      </c>
      <c r="R3778" s="2" t="s">
        <v>100</v>
      </c>
      <c r="S3778" s="2" t="s">
        <v>11381</v>
      </c>
      <c r="T3778" s="2" t="s">
        <v>4940</v>
      </c>
      <c r="U3778" s="2" t="s">
        <v>514</v>
      </c>
      <c r="V3778" s="2" t="s">
        <v>146</v>
      </c>
      <c r="W3778" s="2" t="s">
        <v>183</v>
      </c>
      <c r="X3778" s="2" t="s">
        <v>561</v>
      </c>
      <c r="Y3778" s="2" t="s">
        <v>11312</v>
      </c>
      <c r="Z3778" s="4">
        <v>656</v>
      </c>
      <c r="AA3778" s="4">
        <f>=ROUNDDOWN(23.4285714285714,0)</f>
      </c>
      <c r="AB3778" s="5">
        <v>28</v>
      </c>
      <c r="AC3778" s="2" t="s">
        <v>11356</v>
      </c>
      <c r="AD3778" s="4">
        <v>160</v>
      </c>
      <c r="AE3778" s="4">
        <v>360</v>
      </c>
      <c r="AF3778" s="6">
        <v>65</v>
      </c>
      <c r="AG3778" s="6">
        <v>48</v>
      </c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/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 t="s">
        <v>100</v>
      </c>
      <c r="BJ3778" s="4">
        <v>57</v>
      </c>
      <c r="BK3778" s="8">
        <v>322.28</v>
      </c>
      <c r="BL3778" s="2" t="s">
        <v>2299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207</v>
      </c>
      <c r="BV3778" s="2" t="s">
        <v>97</v>
      </c>
      <c r="BW3778" s="2" t="s">
        <v>100</v>
      </c>
      <c r="BX3778" s="2" t="s">
        <v>100</v>
      </c>
      <c r="BY3778" s="2" t="s">
        <v>113</v>
      </c>
      <c r="BZ3778" s="2" t="s">
        <v>100</v>
      </c>
    </row>
    <row r="3779">
      <c r="A3779" s="2" t="s">
        <v>11490</v>
      </c>
      <c r="B3779" s="2" t="s">
        <v>9668</v>
      </c>
      <c r="C3779" s="2" t="s">
        <v>1867</v>
      </c>
      <c r="D3779" s="2" t="s">
        <v>4626</v>
      </c>
      <c r="E3779" s="2" t="s">
        <v>7485</v>
      </c>
      <c r="F3779" s="2" t="s">
        <v>4940</v>
      </c>
      <c r="G3779" s="2" t="s">
        <v>4940</v>
      </c>
      <c r="H3779" s="2" t="s">
        <v>4940</v>
      </c>
      <c r="I3779" s="2" t="s">
        <v>11462</v>
      </c>
      <c r="J3779" s="2" t="s">
        <v>4631</v>
      </c>
      <c r="K3779" s="2" t="s">
        <v>1603</v>
      </c>
      <c r="L3779" s="3">
        <v>5.35</v>
      </c>
      <c r="M3779" s="3">
        <v>5.62</v>
      </c>
      <c r="N3779" s="3">
        <v>11.99</v>
      </c>
      <c r="O3779" s="2" t="s">
        <v>97</v>
      </c>
      <c r="P3779" s="2" t="s">
        <v>225</v>
      </c>
      <c r="Q3779" s="2" t="s">
        <v>99</v>
      </c>
      <c r="R3779" s="2" t="s">
        <v>100</v>
      </c>
      <c r="S3779" s="2" t="s">
        <v>11381</v>
      </c>
      <c r="T3779" s="2" t="s">
        <v>4940</v>
      </c>
      <c r="U3779" s="2" t="s">
        <v>514</v>
      </c>
      <c r="V3779" s="2" t="s">
        <v>146</v>
      </c>
      <c r="W3779" s="2" t="s">
        <v>183</v>
      </c>
      <c r="X3779" s="2" t="s">
        <v>561</v>
      </c>
      <c r="Y3779" s="2" t="s">
        <v>11312</v>
      </c>
      <c r="Z3779" s="4">
        <v>1454</v>
      </c>
      <c r="AA3779" s="4">
        <f>=ROUNDDOWN(29.6734693877551,0)</f>
      </c>
      <c r="AB3779" s="5">
        <v>49</v>
      </c>
      <c r="AC3779" s="2" t="s">
        <v>11356</v>
      </c>
      <c r="AD3779" s="4">
        <v>120</v>
      </c>
      <c r="AE3779" s="4">
        <v>624</v>
      </c>
      <c r="AF3779" s="6">
        <v>65</v>
      </c>
      <c r="AG3779" s="6">
        <v>48</v>
      </c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100</v>
      </c>
      <c r="AW3779" s="8" t="s">
        <v>100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 t="s">
        <v>100</v>
      </c>
      <c r="BJ3779" s="4">
        <v>124</v>
      </c>
      <c r="BK3779" s="8">
        <v>654.7</v>
      </c>
      <c r="BL3779" s="2" t="s">
        <v>656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207</v>
      </c>
      <c r="BV3779" s="2" t="s">
        <v>97</v>
      </c>
      <c r="BW3779" s="2" t="s">
        <v>100</v>
      </c>
      <c r="BX3779" s="2" t="s">
        <v>100</v>
      </c>
      <c r="BY3779" s="2" t="s">
        <v>113</v>
      </c>
      <c r="BZ3779" s="2" t="s">
        <v>100</v>
      </c>
    </row>
    <row r="3780">
      <c r="A3780" s="2" t="s">
        <v>11491</v>
      </c>
      <c r="B3780" s="2" t="s">
        <v>9668</v>
      </c>
      <c r="C3780" s="2" t="s">
        <v>1867</v>
      </c>
      <c r="D3780" s="2" t="s">
        <v>4626</v>
      </c>
      <c r="E3780" s="2" t="s">
        <v>7485</v>
      </c>
      <c r="F3780" s="2" t="s">
        <v>4940</v>
      </c>
      <c r="G3780" s="2" t="s">
        <v>4940</v>
      </c>
      <c r="H3780" s="2" t="s">
        <v>4940</v>
      </c>
      <c r="I3780" s="2" t="s">
        <v>11462</v>
      </c>
      <c r="J3780" s="2" t="s">
        <v>714</v>
      </c>
      <c r="K3780" s="2" t="s">
        <v>11388</v>
      </c>
      <c r="L3780" s="3">
        <v>5.79</v>
      </c>
      <c r="M3780" s="3">
        <v>6.08</v>
      </c>
      <c r="N3780" s="3">
        <v>12.99</v>
      </c>
      <c r="O3780" s="2" t="s">
        <v>97</v>
      </c>
      <c r="P3780" s="2" t="s">
        <v>225</v>
      </c>
      <c r="Q3780" s="2" t="s">
        <v>99</v>
      </c>
      <c r="R3780" s="2" t="s">
        <v>100</v>
      </c>
      <c r="S3780" s="2" t="s">
        <v>11389</v>
      </c>
      <c r="T3780" s="2" t="s">
        <v>4940</v>
      </c>
      <c r="U3780" s="2" t="s">
        <v>514</v>
      </c>
      <c r="V3780" s="2" t="s">
        <v>146</v>
      </c>
      <c r="W3780" s="2" t="s">
        <v>183</v>
      </c>
      <c r="X3780" s="2" t="s">
        <v>561</v>
      </c>
      <c r="Y3780" s="2" t="s">
        <v>11312</v>
      </c>
      <c r="Z3780" s="4">
        <v>589</v>
      </c>
      <c r="AA3780" s="4">
        <f>=ROUNDDOWN(22.6538461538462,0)</f>
      </c>
      <c r="AB3780" s="5">
        <v>26</v>
      </c>
      <c r="AC3780" s="2" t="s">
        <v>11356</v>
      </c>
      <c r="AD3780" s="4">
        <v>160</v>
      </c>
      <c r="AE3780" s="4">
        <v>440</v>
      </c>
      <c r="AF3780" s="6">
        <v>65</v>
      </c>
      <c r="AG3780" s="6">
        <v>48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 t="s">
        <v>100</v>
      </c>
      <c r="BJ3780" s="4">
        <v>127</v>
      </c>
      <c r="BK3780" s="8">
        <v>670.82</v>
      </c>
      <c r="BL3780" s="2" t="s">
        <v>2302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207</v>
      </c>
      <c r="BV3780" s="2" t="s">
        <v>97</v>
      </c>
      <c r="BW3780" s="2" t="s">
        <v>100</v>
      </c>
      <c r="BX3780" s="2" t="s">
        <v>100</v>
      </c>
      <c r="BY3780" s="2" t="s">
        <v>113</v>
      </c>
      <c r="BZ3780" s="2" t="s">
        <v>100</v>
      </c>
    </row>
    <row r="3781">
      <c r="A3781" s="2" t="s">
        <v>11492</v>
      </c>
      <c r="B3781" s="2" t="s">
        <v>9668</v>
      </c>
      <c r="C3781" s="2" t="s">
        <v>1867</v>
      </c>
      <c r="D3781" s="2" t="s">
        <v>4626</v>
      </c>
      <c r="E3781" s="2" t="s">
        <v>7485</v>
      </c>
      <c r="F3781" s="2" t="s">
        <v>4940</v>
      </c>
      <c r="G3781" s="2" t="s">
        <v>4940</v>
      </c>
      <c r="H3781" s="2" t="s">
        <v>4940</v>
      </c>
      <c r="I3781" s="2" t="s">
        <v>11462</v>
      </c>
      <c r="J3781" s="2" t="s">
        <v>4631</v>
      </c>
      <c r="K3781" s="2" t="s">
        <v>11388</v>
      </c>
      <c r="L3781" s="3">
        <v>5.35</v>
      </c>
      <c r="M3781" s="3">
        <v>5.62</v>
      </c>
      <c r="N3781" s="3">
        <v>11.99</v>
      </c>
      <c r="O3781" s="2" t="s">
        <v>97</v>
      </c>
      <c r="P3781" s="2" t="s">
        <v>225</v>
      </c>
      <c r="Q3781" s="2" t="s">
        <v>99</v>
      </c>
      <c r="R3781" s="2" t="s">
        <v>100</v>
      </c>
      <c r="S3781" s="2" t="s">
        <v>11389</v>
      </c>
      <c r="T3781" s="2" t="s">
        <v>4940</v>
      </c>
      <c r="U3781" s="2" t="s">
        <v>514</v>
      </c>
      <c r="V3781" s="2" t="s">
        <v>146</v>
      </c>
      <c r="W3781" s="2" t="s">
        <v>183</v>
      </c>
      <c r="X3781" s="2" t="s">
        <v>561</v>
      </c>
      <c r="Y3781" s="2" t="s">
        <v>11312</v>
      </c>
      <c r="Z3781" s="4">
        <v>1394</v>
      </c>
      <c r="AA3781" s="4">
        <f>=ROUNDDOWN(58.5714285714286,0)</f>
      </c>
      <c r="AB3781" s="5">
        <v>23.8</v>
      </c>
      <c r="AC3781" s="2" t="s">
        <v>100</v>
      </c>
      <c r="AD3781" s="4"/>
      <c r="AE3781" s="4"/>
      <c r="AF3781" s="6">
        <v>65</v>
      </c>
      <c r="AG3781" s="6">
        <v>48</v>
      </c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100</v>
      </c>
      <c r="AW3781" s="8" t="s">
        <v>100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 t="s">
        <v>100</v>
      </c>
      <c r="BJ3781" s="4">
        <v>168</v>
      </c>
      <c r="BK3781" s="8">
        <v>746.87</v>
      </c>
      <c r="BL3781" s="2" t="s">
        <v>2073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207</v>
      </c>
      <c r="BV3781" s="2" t="s">
        <v>97</v>
      </c>
      <c r="BW3781" s="2" t="s">
        <v>100</v>
      </c>
      <c r="BX3781" s="2" t="s">
        <v>100</v>
      </c>
      <c r="BY3781" s="2" t="s">
        <v>113</v>
      </c>
      <c r="BZ3781" s="2" t="s">
        <v>100</v>
      </c>
    </row>
    <row r="3782">
      <c r="A3782" s="2" t="s">
        <v>11493</v>
      </c>
      <c r="B3782" s="2" t="s">
        <v>9668</v>
      </c>
      <c r="C3782" s="2" t="s">
        <v>1867</v>
      </c>
      <c r="D3782" s="2" t="s">
        <v>4626</v>
      </c>
      <c r="E3782" s="2" t="s">
        <v>7485</v>
      </c>
      <c r="F3782" s="2" t="s">
        <v>4940</v>
      </c>
      <c r="G3782" s="2" t="s">
        <v>4940</v>
      </c>
      <c r="H3782" s="2" t="s">
        <v>4940</v>
      </c>
      <c r="I3782" s="2" t="s">
        <v>11462</v>
      </c>
      <c r="J3782" s="2" t="s">
        <v>714</v>
      </c>
      <c r="K3782" s="2" t="s">
        <v>3038</v>
      </c>
      <c r="L3782" s="3">
        <v>5.79</v>
      </c>
      <c r="M3782" s="3">
        <v>6.08</v>
      </c>
      <c r="N3782" s="3">
        <v>12.99</v>
      </c>
      <c r="O3782" s="2" t="s">
        <v>97</v>
      </c>
      <c r="P3782" s="2" t="s">
        <v>225</v>
      </c>
      <c r="Q3782" s="2" t="s">
        <v>99</v>
      </c>
      <c r="R3782" s="2" t="s">
        <v>100</v>
      </c>
      <c r="S3782" s="2" t="s">
        <v>11397</v>
      </c>
      <c r="T3782" s="2" t="s">
        <v>4940</v>
      </c>
      <c r="U3782" s="2" t="s">
        <v>514</v>
      </c>
      <c r="V3782" s="2" t="s">
        <v>146</v>
      </c>
      <c r="W3782" s="2" t="s">
        <v>183</v>
      </c>
      <c r="X3782" s="2" t="s">
        <v>561</v>
      </c>
      <c r="Y3782" s="2" t="s">
        <v>11312</v>
      </c>
      <c r="Z3782" s="4">
        <v>437</v>
      </c>
      <c r="AA3782" s="4">
        <f>=ROUNDDOWN(20.8095238095238,0)</f>
      </c>
      <c r="AB3782" s="5">
        <v>21</v>
      </c>
      <c r="AC3782" s="2" t="s">
        <v>11356</v>
      </c>
      <c r="AD3782" s="4">
        <v>160</v>
      </c>
      <c r="AE3782" s="4">
        <v>320</v>
      </c>
      <c r="AF3782" s="6">
        <v>65</v>
      </c>
      <c r="AG3782" s="6">
        <v>48</v>
      </c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 t="s">
        <v>100</v>
      </c>
      <c r="BJ3782" s="4">
        <v>81</v>
      </c>
      <c r="BK3782" s="8">
        <v>420.38</v>
      </c>
      <c r="BL3782" s="2" t="s">
        <v>7662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207</v>
      </c>
      <c r="BV3782" s="2" t="s">
        <v>97</v>
      </c>
      <c r="BW3782" s="2" t="s">
        <v>100</v>
      </c>
      <c r="BX3782" s="2" t="s">
        <v>100</v>
      </c>
      <c r="BY3782" s="2" t="s">
        <v>113</v>
      </c>
      <c r="BZ3782" s="2" t="s">
        <v>100</v>
      </c>
    </row>
    <row r="3783">
      <c r="A3783" s="2" t="s">
        <v>11494</v>
      </c>
      <c r="B3783" s="2" t="s">
        <v>9668</v>
      </c>
      <c r="C3783" s="2" t="s">
        <v>1867</v>
      </c>
      <c r="D3783" s="2" t="s">
        <v>4626</v>
      </c>
      <c r="E3783" s="2" t="s">
        <v>7485</v>
      </c>
      <c r="F3783" s="2" t="s">
        <v>4940</v>
      </c>
      <c r="G3783" s="2" t="s">
        <v>4940</v>
      </c>
      <c r="H3783" s="2" t="s">
        <v>4940</v>
      </c>
      <c r="I3783" s="2" t="s">
        <v>11462</v>
      </c>
      <c r="J3783" s="2" t="s">
        <v>4631</v>
      </c>
      <c r="K3783" s="2" t="s">
        <v>3038</v>
      </c>
      <c r="L3783" s="3">
        <v>5.35</v>
      </c>
      <c r="M3783" s="3">
        <v>5.62</v>
      </c>
      <c r="N3783" s="3">
        <v>11.99</v>
      </c>
      <c r="O3783" s="2" t="s">
        <v>97</v>
      </c>
      <c r="P3783" s="2" t="s">
        <v>225</v>
      </c>
      <c r="Q3783" s="2" t="s">
        <v>99</v>
      </c>
      <c r="R3783" s="2" t="s">
        <v>100</v>
      </c>
      <c r="S3783" s="2" t="s">
        <v>11397</v>
      </c>
      <c r="T3783" s="2" t="s">
        <v>4940</v>
      </c>
      <c r="U3783" s="2" t="s">
        <v>514</v>
      </c>
      <c r="V3783" s="2" t="s">
        <v>146</v>
      </c>
      <c r="W3783" s="2" t="s">
        <v>183</v>
      </c>
      <c r="X3783" s="2" t="s">
        <v>561</v>
      </c>
      <c r="Y3783" s="2" t="s">
        <v>11312</v>
      </c>
      <c r="Z3783" s="4">
        <v>941</v>
      </c>
      <c r="AA3783" s="4">
        <f>=ROUNDDOWN(20.4565217391304,0)</f>
      </c>
      <c r="AB3783" s="5">
        <v>46</v>
      </c>
      <c r="AC3783" s="2" t="s">
        <v>11356</v>
      </c>
      <c r="AD3783" s="4">
        <v>200</v>
      </c>
      <c r="AE3783" s="4">
        <v>640</v>
      </c>
      <c r="AF3783" s="6">
        <v>65</v>
      </c>
      <c r="AG3783" s="6">
        <v>48</v>
      </c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100</v>
      </c>
      <c r="AW3783" s="8" t="s">
        <v>100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/>
      <c r="BC3783" s="4" t="s">
        <v>100</v>
      </c>
      <c r="BD3783" s="8" t="s">
        <v>100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 t="s">
        <v>100</v>
      </c>
      <c r="BJ3783" s="4">
        <v>128</v>
      </c>
      <c r="BK3783" s="8">
        <v>666.06</v>
      </c>
      <c r="BL3783" s="2" t="s">
        <v>656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207</v>
      </c>
      <c r="BV3783" s="2" t="s">
        <v>97</v>
      </c>
      <c r="BW3783" s="2" t="s">
        <v>100</v>
      </c>
      <c r="BX3783" s="2" t="s">
        <v>100</v>
      </c>
      <c r="BY3783" s="2" t="s">
        <v>113</v>
      </c>
      <c r="BZ3783" s="2" t="s">
        <v>100</v>
      </c>
    </row>
    <row r="3784">
      <c r="A3784" s="2" t="s">
        <v>11495</v>
      </c>
      <c r="B3784" s="2" t="s">
        <v>9668</v>
      </c>
      <c r="C3784" s="2" t="s">
        <v>1867</v>
      </c>
      <c r="D3784" s="2" t="s">
        <v>4626</v>
      </c>
      <c r="E3784" s="2" t="s">
        <v>7485</v>
      </c>
      <c r="F3784" s="2" t="s">
        <v>4940</v>
      </c>
      <c r="G3784" s="2" t="s">
        <v>4940</v>
      </c>
      <c r="H3784" s="2" t="s">
        <v>4940</v>
      </c>
      <c r="I3784" s="2" t="s">
        <v>11462</v>
      </c>
      <c r="J3784" s="2" t="s">
        <v>714</v>
      </c>
      <c r="K3784" s="2" t="s">
        <v>11453</v>
      </c>
      <c r="L3784" s="3">
        <v>6.24</v>
      </c>
      <c r="M3784" s="3">
        <v>6.55</v>
      </c>
      <c r="N3784" s="3">
        <v>12.99</v>
      </c>
      <c r="O3784" s="2" t="s">
        <v>97</v>
      </c>
      <c r="P3784" s="2" t="s">
        <v>119</v>
      </c>
      <c r="Q3784" s="2" t="s">
        <v>99</v>
      </c>
      <c r="R3784" s="2" t="s">
        <v>100</v>
      </c>
      <c r="S3784" s="2" t="s">
        <v>11454</v>
      </c>
      <c r="T3784" s="2" t="s">
        <v>4940</v>
      </c>
      <c r="U3784" s="2" t="s">
        <v>514</v>
      </c>
      <c r="V3784" s="2" t="s">
        <v>2508</v>
      </c>
      <c r="W3784" s="2" t="s">
        <v>673</v>
      </c>
      <c r="X3784" s="2" t="s">
        <v>183</v>
      </c>
      <c r="Y3784" s="2" t="s">
        <v>11446</v>
      </c>
      <c r="Z3784" s="4">
        <v>341</v>
      </c>
      <c r="AA3784" s="4">
        <f>=ROUNDDOWN(42.625,0)</f>
      </c>
      <c r="AB3784" s="5">
        <v>8</v>
      </c>
      <c r="AC3784" s="2" t="s">
        <v>148</v>
      </c>
      <c r="AD3784" s="4">
        <v>32</v>
      </c>
      <c r="AE3784" s="4">
        <v>32</v>
      </c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100</v>
      </c>
      <c r="AW3784" s="8" t="s">
        <v>100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 t="s">
        <v>100</v>
      </c>
      <c r="BJ3784" s="4">
        <v>224</v>
      </c>
      <c r="BK3784" s="8">
        <v>1502.3</v>
      </c>
      <c r="BL3784" s="2" t="s">
        <v>11496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207</v>
      </c>
      <c r="BV3784" s="2" t="s">
        <v>97</v>
      </c>
      <c r="BW3784" s="2" t="s">
        <v>100</v>
      </c>
      <c r="BX3784" s="2" t="s">
        <v>100</v>
      </c>
      <c r="BY3784" s="2" t="s">
        <v>113</v>
      </c>
      <c r="BZ3784" s="2" t="s">
        <v>100</v>
      </c>
    </row>
    <row r="3785">
      <c r="A3785" s="2" t="s">
        <v>11497</v>
      </c>
      <c r="B3785" s="2" t="s">
        <v>9668</v>
      </c>
      <c r="C3785" s="2" t="s">
        <v>1867</v>
      </c>
      <c r="D3785" s="2" t="s">
        <v>4626</v>
      </c>
      <c r="E3785" s="2" t="s">
        <v>7485</v>
      </c>
      <c r="F3785" s="2" t="s">
        <v>4940</v>
      </c>
      <c r="G3785" s="2" t="s">
        <v>4940</v>
      </c>
      <c r="H3785" s="2" t="s">
        <v>4940</v>
      </c>
      <c r="I3785" s="2" t="s">
        <v>11462</v>
      </c>
      <c r="J3785" s="2" t="s">
        <v>4631</v>
      </c>
      <c r="K3785" s="2" t="s">
        <v>11453</v>
      </c>
      <c r="L3785" s="3">
        <v>5.76</v>
      </c>
      <c r="M3785" s="3">
        <v>6.05</v>
      </c>
      <c r="N3785" s="3">
        <v>11.99</v>
      </c>
      <c r="O3785" s="2" t="s">
        <v>97</v>
      </c>
      <c r="P3785" s="2" t="s">
        <v>119</v>
      </c>
      <c r="Q3785" s="2" t="s">
        <v>99</v>
      </c>
      <c r="R3785" s="2" t="s">
        <v>100</v>
      </c>
      <c r="S3785" s="2" t="s">
        <v>11454</v>
      </c>
      <c r="T3785" s="2" t="s">
        <v>4940</v>
      </c>
      <c r="U3785" s="2" t="s">
        <v>514</v>
      </c>
      <c r="V3785" s="2" t="s">
        <v>2508</v>
      </c>
      <c r="W3785" s="2" t="s">
        <v>673</v>
      </c>
      <c r="X3785" s="2" t="s">
        <v>183</v>
      </c>
      <c r="Y3785" s="2" t="s">
        <v>11446</v>
      </c>
      <c r="Z3785" s="4">
        <v>320</v>
      </c>
      <c r="AA3785" s="4">
        <f>=ROUNDDOWN(15.2380952380952,0)</f>
      </c>
      <c r="AB3785" s="5">
        <v>21</v>
      </c>
      <c r="AC3785" s="2" t="s">
        <v>184</v>
      </c>
      <c r="AD3785" s="4">
        <v>160</v>
      </c>
      <c r="AE3785" s="4">
        <v>504</v>
      </c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 t="s">
        <v>100</v>
      </c>
      <c r="BJ3785" s="4">
        <v>546</v>
      </c>
      <c r="BK3785" s="8">
        <v>3470.16</v>
      </c>
      <c r="BL3785" s="2" t="s">
        <v>1336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207</v>
      </c>
      <c r="BV3785" s="2" t="s">
        <v>97</v>
      </c>
      <c r="BW3785" s="2" t="s">
        <v>100</v>
      </c>
      <c r="BX3785" s="2" t="s">
        <v>100</v>
      </c>
      <c r="BY3785" s="2" t="s">
        <v>113</v>
      </c>
      <c r="BZ3785" s="2" t="s">
        <v>100</v>
      </c>
    </row>
    <row r="3786">
      <c r="A3786" s="2" t="s">
        <v>11498</v>
      </c>
      <c r="B3786" s="2" t="s">
        <v>9668</v>
      </c>
      <c r="C3786" s="2" t="s">
        <v>1867</v>
      </c>
      <c r="D3786" s="2" t="s">
        <v>4626</v>
      </c>
      <c r="E3786" s="2" t="s">
        <v>7485</v>
      </c>
      <c r="F3786" s="2" t="s">
        <v>4940</v>
      </c>
      <c r="G3786" s="2" t="s">
        <v>4940</v>
      </c>
      <c r="H3786" s="2" t="s">
        <v>4940</v>
      </c>
      <c r="I3786" s="2" t="s">
        <v>11462</v>
      </c>
      <c r="J3786" s="2" t="s">
        <v>714</v>
      </c>
      <c r="K3786" s="2" t="s">
        <v>189</v>
      </c>
      <c r="L3786" s="3">
        <v>6.24</v>
      </c>
      <c r="M3786" s="3">
        <v>6.55</v>
      </c>
      <c r="N3786" s="3">
        <v>12.99</v>
      </c>
      <c r="O3786" s="2" t="s">
        <v>97</v>
      </c>
      <c r="P3786" s="2" t="s">
        <v>119</v>
      </c>
      <c r="Q3786" s="2" t="s">
        <v>99</v>
      </c>
      <c r="R3786" s="2" t="s">
        <v>100</v>
      </c>
      <c r="S3786" s="2" t="s">
        <v>11344</v>
      </c>
      <c r="T3786" s="2" t="s">
        <v>4940</v>
      </c>
      <c r="U3786" s="2" t="s">
        <v>514</v>
      </c>
      <c r="V3786" s="2" t="s">
        <v>146</v>
      </c>
      <c r="W3786" s="2" t="s">
        <v>183</v>
      </c>
      <c r="X3786" s="2" t="s">
        <v>561</v>
      </c>
      <c r="Y3786" s="2" t="s">
        <v>11482</v>
      </c>
      <c r="Z3786" s="4">
        <v>1074</v>
      </c>
      <c r="AA3786" s="4">
        <f>=ROUNDDOWN(27.5384615384615,0)</f>
      </c>
      <c r="AB3786" s="5">
        <v>39</v>
      </c>
      <c r="AC3786" s="2" t="s">
        <v>768</v>
      </c>
      <c r="AD3786" s="4">
        <v>32</v>
      </c>
      <c r="AE3786" s="4">
        <v>744</v>
      </c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 t="s">
        <v>100</v>
      </c>
      <c r="BJ3786" s="4">
        <v>930</v>
      </c>
      <c r="BK3786" s="8">
        <v>6252.65</v>
      </c>
      <c r="BL3786" s="2" t="s">
        <v>11499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207</v>
      </c>
      <c r="BV3786" s="2" t="s">
        <v>97</v>
      </c>
      <c r="BW3786" s="2" t="s">
        <v>100</v>
      </c>
      <c r="BX3786" s="2" t="s">
        <v>100</v>
      </c>
      <c r="BY3786" s="2" t="s">
        <v>113</v>
      </c>
      <c r="BZ3786" s="2" t="s">
        <v>100</v>
      </c>
    </row>
    <row r="3787">
      <c r="A3787" s="2" t="s">
        <v>11500</v>
      </c>
      <c r="B3787" s="2" t="s">
        <v>9668</v>
      </c>
      <c r="C3787" s="2" t="s">
        <v>1867</v>
      </c>
      <c r="D3787" s="2" t="s">
        <v>4626</v>
      </c>
      <c r="E3787" s="2" t="s">
        <v>7485</v>
      </c>
      <c r="F3787" s="2" t="s">
        <v>4940</v>
      </c>
      <c r="G3787" s="2" t="s">
        <v>4940</v>
      </c>
      <c r="H3787" s="2" t="s">
        <v>4940</v>
      </c>
      <c r="I3787" s="2" t="s">
        <v>11462</v>
      </c>
      <c r="J3787" s="2" t="s">
        <v>4631</v>
      </c>
      <c r="K3787" s="2" t="s">
        <v>189</v>
      </c>
      <c r="L3787" s="3">
        <v>5.76</v>
      </c>
      <c r="M3787" s="3">
        <v>6.05</v>
      </c>
      <c r="N3787" s="3">
        <v>11.99</v>
      </c>
      <c r="O3787" s="2" t="s">
        <v>97</v>
      </c>
      <c r="P3787" s="2" t="s">
        <v>119</v>
      </c>
      <c r="Q3787" s="2" t="s">
        <v>99</v>
      </c>
      <c r="R3787" s="2" t="s">
        <v>100</v>
      </c>
      <c r="S3787" s="2" t="s">
        <v>11344</v>
      </c>
      <c r="T3787" s="2" t="s">
        <v>4940</v>
      </c>
      <c r="U3787" s="2" t="s">
        <v>514</v>
      </c>
      <c r="V3787" s="2" t="s">
        <v>146</v>
      </c>
      <c r="W3787" s="2" t="s">
        <v>183</v>
      </c>
      <c r="X3787" s="2" t="s">
        <v>561</v>
      </c>
      <c r="Y3787" s="2" t="s">
        <v>11482</v>
      </c>
      <c r="Z3787" s="4">
        <v>2154</v>
      </c>
      <c r="AA3787" s="4">
        <f>=ROUNDDOWN(31.2173913043478,0)</f>
      </c>
      <c r="AB3787" s="5">
        <v>69</v>
      </c>
      <c r="AC3787" s="2" t="s">
        <v>768</v>
      </c>
      <c r="AD3787" s="4">
        <v>736</v>
      </c>
      <c r="AE3787" s="4">
        <v>1960</v>
      </c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/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1661</v>
      </c>
      <c r="BK3787" s="8">
        <v>10115.57</v>
      </c>
      <c r="BL3787" s="2" t="s">
        <v>11501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207</v>
      </c>
      <c r="BV3787" s="2" t="s">
        <v>97</v>
      </c>
      <c r="BW3787" s="2" t="s">
        <v>100</v>
      </c>
      <c r="BX3787" s="2" t="s">
        <v>100</v>
      </c>
      <c r="BY3787" s="2" t="s">
        <v>113</v>
      </c>
      <c r="BZ3787" s="2" t="s">
        <v>100</v>
      </c>
    </row>
    <row r="3788">
      <c r="A3788" s="2" t="s">
        <v>11502</v>
      </c>
      <c r="B3788" s="2" t="s">
        <v>9668</v>
      </c>
      <c r="C3788" s="2" t="s">
        <v>4637</v>
      </c>
      <c r="D3788" s="2" t="s">
        <v>9669</v>
      </c>
      <c r="E3788" s="2" t="s">
        <v>9670</v>
      </c>
      <c r="F3788" s="2" t="s">
        <v>11503</v>
      </c>
      <c r="G3788" s="2" t="s">
        <v>11503</v>
      </c>
      <c r="H3788" s="2" t="s">
        <v>11503</v>
      </c>
      <c r="I3788" s="2" t="s">
        <v>10016</v>
      </c>
      <c r="J3788" s="2" t="s">
        <v>1936</v>
      </c>
      <c r="K3788" s="2" t="s">
        <v>198</v>
      </c>
      <c r="L3788" s="3">
        <v>16.5</v>
      </c>
      <c r="M3788" s="3">
        <v>17.32</v>
      </c>
      <c r="N3788" s="3">
        <v>32.99</v>
      </c>
      <c r="O3788" s="2" t="s">
        <v>97</v>
      </c>
      <c r="P3788" s="2" t="s">
        <v>119</v>
      </c>
      <c r="Q3788" s="2" t="s">
        <v>99</v>
      </c>
      <c r="R3788" s="2" t="s">
        <v>100</v>
      </c>
      <c r="S3788" s="2" t="s">
        <v>11504</v>
      </c>
      <c r="T3788" s="2" t="s">
        <v>11505</v>
      </c>
      <c r="U3788" s="2" t="s">
        <v>100</v>
      </c>
      <c r="V3788" s="2" t="s">
        <v>146</v>
      </c>
      <c r="W3788" s="2" t="s">
        <v>183</v>
      </c>
      <c r="X3788" s="2" t="s">
        <v>100</v>
      </c>
      <c r="Y3788" s="2" t="s">
        <v>240</v>
      </c>
      <c r="Z3788" s="4">
        <v>209</v>
      </c>
      <c r="AA3788" s="4">
        <f>=ROUNDDOWN(17.4166666666667,0)</f>
      </c>
      <c r="AB3788" s="5">
        <v>12</v>
      </c>
      <c r="AC3788" s="2" t="s">
        <v>1509</v>
      </c>
      <c r="AD3788" s="4">
        <v>180</v>
      </c>
      <c r="AE3788" s="4">
        <v>180</v>
      </c>
      <c r="AF3788" s="6">
        <v>66</v>
      </c>
      <c r="AG3788" s="6"/>
      <c r="AH3788" s="7">
        <v>0.7754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>
        <v>7</v>
      </c>
      <c r="AQ3788" s="8">
        <v>119.07</v>
      </c>
      <c r="AR3788" s="4"/>
      <c r="AS3788" s="8"/>
      <c r="AT3788" s="7"/>
      <c r="AU3788" s="7"/>
      <c r="AV3788" s="4">
        <v>7</v>
      </c>
      <c r="AW3788" s="8">
        <v>119.07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1</v>
      </c>
      <c r="BC3788" s="4">
        <v>10</v>
      </c>
      <c r="BD3788" s="8">
        <v>181.78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>
        <v>0.655</v>
      </c>
      <c r="BJ3788" s="4">
        <v>158</v>
      </c>
      <c r="BK3788" s="8">
        <v>2339.23</v>
      </c>
      <c r="BL3788" s="2" t="s">
        <v>11506</v>
      </c>
      <c r="BM3788" s="7">
        <v>0.0443</v>
      </c>
      <c r="BN3788" s="7">
        <v>0.0509</v>
      </c>
      <c r="BO3788" s="4">
        <v>7</v>
      </c>
      <c r="BP3788" s="8">
        <v>119.07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4571</v>
      </c>
      <c r="BX3788" s="2" t="s">
        <v>6228</v>
      </c>
      <c r="BY3788" s="2" t="s">
        <v>113</v>
      </c>
      <c r="BZ3788" s="2" t="s">
        <v>100</v>
      </c>
    </row>
    <row r="3789">
      <c r="A3789" s="2" t="s">
        <v>11507</v>
      </c>
      <c r="B3789" s="2" t="s">
        <v>9668</v>
      </c>
      <c r="C3789" s="2" t="s">
        <v>4637</v>
      </c>
      <c r="D3789" s="2" t="s">
        <v>9669</v>
      </c>
      <c r="E3789" s="2" t="s">
        <v>9670</v>
      </c>
      <c r="F3789" s="2" t="s">
        <v>11503</v>
      </c>
      <c r="G3789" s="2" t="s">
        <v>11503</v>
      </c>
      <c r="H3789" s="2" t="s">
        <v>11503</v>
      </c>
      <c r="I3789" s="2" t="s">
        <v>10016</v>
      </c>
      <c r="J3789" s="2" t="s">
        <v>717</v>
      </c>
      <c r="K3789" s="2" t="s">
        <v>198</v>
      </c>
      <c r="L3789" s="3">
        <v>16.5</v>
      </c>
      <c r="M3789" s="3">
        <v>17.32</v>
      </c>
      <c r="N3789" s="3">
        <v>32.99</v>
      </c>
      <c r="O3789" s="2" t="s">
        <v>97</v>
      </c>
      <c r="P3789" s="2" t="s">
        <v>119</v>
      </c>
      <c r="Q3789" s="2" t="s">
        <v>99</v>
      </c>
      <c r="R3789" s="2" t="s">
        <v>100</v>
      </c>
      <c r="S3789" s="2" t="s">
        <v>11504</v>
      </c>
      <c r="T3789" s="2" t="s">
        <v>11505</v>
      </c>
      <c r="U3789" s="2" t="s">
        <v>100</v>
      </c>
      <c r="V3789" s="2" t="s">
        <v>146</v>
      </c>
      <c r="W3789" s="2" t="s">
        <v>183</v>
      </c>
      <c r="X3789" s="2" t="s">
        <v>100</v>
      </c>
      <c r="Y3789" s="2" t="s">
        <v>6031</v>
      </c>
      <c r="Z3789" s="4">
        <v>364</v>
      </c>
      <c r="AA3789" s="4">
        <f>=ROUNDDOWN(30.3333333333333,0)</f>
      </c>
      <c r="AB3789" s="5">
        <v>12</v>
      </c>
      <c r="AC3789" s="2" t="s">
        <v>1509</v>
      </c>
      <c r="AD3789" s="4">
        <v>190</v>
      </c>
      <c r="AE3789" s="4">
        <v>190</v>
      </c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301</v>
      </c>
      <c r="BK3789" s="8">
        <v>5182.38</v>
      </c>
      <c r="BL3789" s="2" t="s">
        <v>11508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4571</v>
      </c>
      <c r="BX3789" s="2" t="s">
        <v>4733</v>
      </c>
      <c r="BY3789" s="2" t="s">
        <v>113</v>
      </c>
      <c r="BZ3789" s="2" t="s">
        <v>100</v>
      </c>
    </row>
    <row r="3790">
      <c r="A3790" s="2" t="s">
        <v>11509</v>
      </c>
      <c r="B3790" s="2" t="s">
        <v>9668</v>
      </c>
      <c r="C3790" s="2" t="s">
        <v>4637</v>
      </c>
      <c r="D3790" s="2" t="s">
        <v>9669</v>
      </c>
      <c r="E3790" s="2" t="s">
        <v>9670</v>
      </c>
      <c r="F3790" s="2" t="s">
        <v>11503</v>
      </c>
      <c r="G3790" s="2" t="s">
        <v>11503</v>
      </c>
      <c r="H3790" s="2" t="s">
        <v>11503</v>
      </c>
      <c r="I3790" s="2" t="s">
        <v>10016</v>
      </c>
      <c r="J3790" s="2" t="s">
        <v>714</v>
      </c>
      <c r="K3790" s="2" t="s">
        <v>198</v>
      </c>
      <c r="L3790" s="3">
        <v>21.5</v>
      </c>
      <c r="M3790" s="3">
        <v>22.58</v>
      </c>
      <c r="N3790" s="3">
        <v>42.99</v>
      </c>
      <c r="O3790" s="2" t="s">
        <v>97</v>
      </c>
      <c r="P3790" s="2" t="s">
        <v>119</v>
      </c>
      <c r="Q3790" s="2" t="s">
        <v>99</v>
      </c>
      <c r="R3790" s="2" t="s">
        <v>100</v>
      </c>
      <c r="S3790" s="2" t="s">
        <v>11504</v>
      </c>
      <c r="T3790" s="2" t="s">
        <v>11505</v>
      </c>
      <c r="U3790" s="2" t="s">
        <v>100</v>
      </c>
      <c r="V3790" s="2" t="s">
        <v>146</v>
      </c>
      <c r="W3790" s="2" t="s">
        <v>183</v>
      </c>
      <c r="X3790" s="2" t="s">
        <v>100</v>
      </c>
      <c r="Y3790" s="2" t="s">
        <v>6031</v>
      </c>
      <c r="Z3790" s="4">
        <v>427</v>
      </c>
      <c r="AA3790" s="4">
        <f>=ROUNDDOWN(26.6875,0)</f>
      </c>
      <c r="AB3790" s="5">
        <v>16</v>
      </c>
      <c r="AC3790" s="2" t="s">
        <v>1509</v>
      </c>
      <c r="AD3790" s="4">
        <v>40</v>
      </c>
      <c r="AE3790" s="4">
        <v>40</v>
      </c>
      <c r="AF3790" s="6">
        <v>66</v>
      </c>
      <c r="AG3790" s="6"/>
      <c r="AH3790" s="7">
        <v>0.984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100</v>
      </c>
      <c r="AW3790" s="8" t="s">
        <v>100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/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 t="s">
        <v>100</v>
      </c>
      <c r="BJ3790" s="4">
        <v>475</v>
      </c>
      <c r="BK3790" s="8">
        <v>10696.34</v>
      </c>
      <c r="BL3790" s="2" t="s">
        <v>1562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4571</v>
      </c>
      <c r="BX3790" s="2" t="s">
        <v>902</v>
      </c>
      <c r="BY3790" s="2" t="s">
        <v>113</v>
      </c>
      <c r="BZ3790" s="2" t="s">
        <v>100</v>
      </c>
    </row>
    <row r="3791">
      <c r="A3791" s="2" t="s">
        <v>11510</v>
      </c>
      <c r="B3791" s="2" t="s">
        <v>9668</v>
      </c>
      <c r="C3791" s="2" t="s">
        <v>4637</v>
      </c>
      <c r="D3791" s="2" t="s">
        <v>9669</v>
      </c>
      <c r="E3791" s="2" t="s">
        <v>9670</v>
      </c>
      <c r="F3791" s="2" t="s">
        <v>11503</v>
      </c>
      <c r="G3791" s="2" t="s">
        <v>11503</v>
      </c>
      <c r="H3791" s="2" t="s">
        <v>11503</v>
      </c>
      <c r="I3791" s="2" t="s">
        <v>10016</v>
      </c>
      <c r="J3791" s="2" t="s">
        <v>817</v>
      </c>
      <c r="K3791" s="2" t="s">
        <v>198</v>
      </c>
      <c r="L3791" s="3">
        <v>21.5</v>
      </c>
      <c r="M3791" s="3">
        <v>22.58</v>
      </c>
      <c r="N3791" s="3">
        <v>42.99</v>
      </c>
      <c r="O3791" s="2" t="s">
        <v>97</v>
      </c>
      <c r="P3791" s="2" t="s">
        <v>119</v>
      </c>
      <c r="Q3791" s="2" t="s">
        <v>99</v>
      </c>
      <c r="R3791" s="2" t="s">
        <v>100</v>
      </c>
      <c r="S3791" s="2" t="s">
        <v>11504</v>
      </c>
      <c r="T3791" s="2" t="s">
        <v>11505</v>
      </c>
      <c r="U3791" s="2" t="s">
        <v>100</v>
      </c>
      <c r="V3791" s="2" t="s">
        <v>146</v>
      </c>
      <c r="W3791" s="2" t="s">
        <v>183</v>
      </c>
      <c r="X3791" s="2" t="s">
        <v>100</v>
      </c>
      <c r="Y3791" s="2" t="s">
        <v>6031</v>
      </c>
      <c r="Z3791" s="4">
        <v>88</v>
      </c>
      <c r="AA3791" s="4">
        <f>=ROUNDDOWN(32.5925925925926,0)</f>
      </c>
      <c r="AB3791" s="5">
        <v>2.7</v>
      </c>
      <c r="AC3791" s="2" t="s">
        <v>1509</v>
      </c>
      <c r="AD3791" s="4">
        <v>90</v>
      </c>
      <c r="AE3791" s="4">
        <v>90</v>
      </c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/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120</v>
      </c>
      <c r="BK3791" s="8">
        <v>2717.49</v>
      </c>
      <c r="BL3791" s="2" t="s">
        <v>11511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4571</v>
      </c>
      <c r="BX3791" s="2" t="s">
        <v>10509</v>
      </c>
      <c r="BY3791" s="2" t="s">
        <v>113</v>
      </c>
      <c r="BZ3791" s="2" t="s">
        <v>100</v>
      </c>
    </row>
    <row r="3792">
      <c r="A3792" s="2" t="s">
        <v>11512</v>
      </c>
      <c r="B3792" s="2" t="s">
        <v>9668</v>
      </c>
      <c r="C3792" s="2" t="s">
        <v>4637</v>
      </c>
      <c r="D3792" s="2" t="s">
        <v>9669</v>
      </c>
      <c r="E3792" s="2" t="s">
        <v>9670</v>
      </c>
      <c r="F3792" s="2" t="s">
        <v>11503</v>
      </c>
      <c r="G3792" s="2" t="s">
        <v>11503</v>
      </c>
      <c r="H3792" s="2" t="s">
        <v>11503</v>
      </c>
      <c r="I3792" s="2" t="s">
        <v>10016</v>
      </c>
      <c r="J3792" s="2" t="s">
        <v>1936</v>
      </c>
      <c r="K3792" s="2" t="s">
        <v>96</v>
      </c>
      <c r="L3792" s="3">
        <v>16.5</v>
      </c>
      <c r="M3792" s="3">
        <v>17.32</v>
      </c>
      <c r="N3792" s="3">
        <v>32.99</v>
      </c>
      <c r="O3792" s="2" t="s">
        <v>97</v>
      </c>
      <c r="P3792" s="2" t="s">
        <v>119</v>
      </c>
      <c r="Q3792" s="2" t="s">
        <v>99</v>
      </c>
      <c r="R3792" s="2" t="s">
        <v>100</v>
      </c>
      <c r="S3792" s="2" t="s">
        <v>11513</v>
      </c>
      <c r="T3792" s="2" t="s">
        <v>11505</v>
      </c>
      <c r="U3792" s="2" t="s">
        <v>100</v>
      </c>
      <c r="V3792" s="2" t="s">
        <v>146</v>
      </c>
      <c r="W3792" s="2" t="s">
        <v>183</v>
      </c>
      <c r="X3792" s="2" t="s">
        <v>100</v>
      </c>
      <c r="Y3792" s="2" t="s">
        <v>6031</v>
      </c>
      <c r="Z3792" s="4">
        <v>20</v>
      </c>
      <c r="AA3792" s="4">
        <f>=ROUNDDOWN(7.69230769230769,0)</f>
      </c>
      <c r="AB3792" s="5">
        <v>2.6</v>
      </c>
      <c r="AC3792" s="2" t="s">
        <v>1102</v>
      </c>
      <c r="AD3792" s="4">
        <v>120</v>
      </c>
      <c r="AE3792" s="4">
        <v>120</v>
      </c>
      <c r="AF3792" s="6">
        <v>66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>
        <v>1</v>
      </c>
      <c r="AW3792" s="8">
        <v>22.85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>
        <v>0.1257</v>
      </c>
      <c r="BJ3792" s="4">
        <v>95</v>
      </c>
      <c r="BK3792" s="8">
        <v>1534.39</v>
      </c>
      <c r="BL3792" s="2" t="s">
        <v>11514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4840</v>
      </c>
      <c r="BX3792" s="2" t="s">
        <v>5964</v>
      </c>
      <c r="BY3792" s="2" t="s">
        <v>113</v>
      </c>
      <c r="BZ3792" s="2" t="s">
        <v>100</v>
      </c>
    </row>
    <row r="3793">
      <c r="A3793" s="2" t="s">
        <v>11515</v>
      </c>
      <c r="B3793" s="2" t="s">
        <v>9668</v>
      </c>
      <c r="C3793" s="2" t="s">
        <v>4637</v>
      </c>
      <c r="D3793" s="2" t="s">
        <v>9669</v>
      </c>
      <c r="E3793" s="2" t="s">
        <v>9670</v>
      </c>
      <c r="F3793" s="2" t="s">
        <v>11503</v>
      </c>
      <c r="G3793" s="2" t="s">
        <v>11503</v>
      </c>
      <c r="H3793" s="2" t="s">
        <v>11503</v>
      </c>
      <c r="I3793" s="2" t="s">
        <v>10016</v>
      </c>
      <c r="J3793" s="2" t="s">
        <v>706</v>
      </c>
      <c r="K3793" s="2" t="s">
        <v>96</v>
      </c>
      <c r="L3793" s="3">
        <v>19</v>
      </c>
      <c r="M3793" s="3">
        <v>19.95</v>
      </c>
      <c r="N3793" s="3">
        <v>37.99</v>
      </c>
      <c r="O3793" s="2" t="s">
        <v>97</v>
      </c>
      <c r="P3793" s="2" t="s">
        <v>119</v>
      </c>
      <c r="Q3793" s="2" t="s">
        <v>99</v>
      </c>
      <c r="R3793" s="2" t="s">
        <v>100</v>
      </c>
      <c r="S3793" s="2" t="s">
        <v>11513</v>
      </c>
      <c r="T3793" s="2" t="s">
        <v>11505</v>
      </c>
      <c r="U3793" s="2" t="s">
        <v>100</v>
      </c>
      <c r="V3793" s="2" t="s">
        <v>146</v>
      </c>
      <c r="W3793" s="2" t="s">
        <v>183</v>
      </c>
      <c r="X3793" s="2" t="s">
        <v>100</v>
      </c>
      <c r="Y3793" s="2" t="s">
        <v>6031</v>
      </c>
      <c r="Z3793" s="4">
        <v>208</v>
      </c>
      <c r="AA3793" s="4">
        <f>=ROUNDDOWN(21.8947368421053,0)</f>
      </c>
      <c r="AB3793" s="5">
        <v>9.5</v>
      </c>
      <c r="AC3793" s="2" t="s">
        <v>1102</v>
      </c>
      <c r="AD3793" s="4">
        <v>190</v>
      </c>
      <c r="AE3793" s="4">
        <v>190</v>
      </c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376</v>
      </c>
      <c r="BK3793" s="8">
        <v>7344.7</v>
      </c>
      <c r="BL3793" s="2" t="s">
        <v>11516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4840</v>
      </c>
      <c r="BX3793" s="2" t="s">
        <v>1993</v>
      </c>
      <c r="BY3793" s="2" t="s">
        <v>113</v>
      </c>
      <c r="BZ3793" s="2" t="s">
        <v>100</v>
      </c>
    </row>
    <row r="3794">
      <c r="A3794" s="2" t="s">
        <v>11517</v>
      </c>
      <c r="B3794" s="2" t="s">
        <v>9668</v>
      </c>
      <c r="C3794" s="2" t="s">
        <v>4637</v>
      </c>
      <c r="D3794" s="2" t="s">
        <v>9669</v>
      </c>
      <c r="E3794" s="2" t="s">
        <v>9670</v>
      </c>
      <c r="F3794" s="2" t="s">
        <v>11503</v>
      </c>
      <c r="G3794" s="2" t="s">
        <v>11503</v>
      </c>
      <c r="H3794" s="2" t="s">
        <v>11503</v>
      </c>
      <c r="I3794" s="2" t="s">
        <v>10016</v>
      </c>
      <c r="J3794" s="2" t="s">
        <v>714</v>
      </c>
      <c r="K3794" s="2" t="s">
        <v>96</v>
      </c>
      <c r="L3794" s="3">
        <v>21.5</v>
      </c>
      <c r="M3794" s="3">
        <v>22.58</v>
      </c>
      <c r="N3794" s="3">
        <v>42.99</v>
      </c>
      <c r="O3794" s="2" t="s">
        <v>97</v>
      </c>
      <c r="P3794" s="2" t="s">
        <v>119</v>
      </c>
      <c r="Q3794" s="2" t="s">
        <v>99</v>
      </c>
      <c r="R3794" s="2" t="s">
        <v>100</v>
      </c>
      <c r="S3794" s="2" t="s">
        <v>11513</v>
      </c>
      <c r="T3794" s="2" t="s">
        <v>11505</v>
      </c>
      <c r="U3794" s="2" t="s">
        <v>100</v>
      </c>
      <c r="V3794" s="2" t="s">
        <v>146</v>
      </c>
      <c r="W3794" s="2" t="s">
        <v>183</v>
      </c>
      <c r="X3794" s="2" t="s">
        <v>100</v>
      </c>
      <c r="Y3794" s="2" t="s">
        <v>6031</v>
      </c>
      <c r="Z3794" s="4">
        <v>47</v>
      </c>
      <c r="AA3794" s="4">
        <f>=ROUNDDOWN(5.875,0)</f>
      </c>
      <c r="AB3794" s="5">
        <v>8</v>
      </c>
      <c r="AC3794" s="2" t="s">
        <v>1102</v>
      </c>
      <c r="AD3794" s="4">
        <v>190</v>
      </c>
      <c r="AE3794" s="4">
        <v>190</v>
      </c>
      <c r="AF3794" s="6">
        <v>66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/>
      <c r="AP3794" s="4">
        <v>1</v>
      </c>
      <c r="AQ3794" s="8">
        <v>22.85</v>
      </c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1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 t="s">
        <v>100</v>
      </c>
      <c r="BJ3794" s="4">
        <v>252</v>
      </c>
      <c r="BK3794" s="8">
        <v>5837.94</v>
      </c>
      <c r="BL3794" s="2" t="s">
        <v>11518</v>
      </c>
      <c r="BM3794" s="7">
        <v>0.004</v>
      </c>
      <c r="BN3794" s="7">
        <v>0.0039</v>
      </c>
      <c r="BO3794" s="4">
        <v>1</v>
      </c>
      <c r="BP3794" s="8">
        <v>22.85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4840</v>
      </c>
      <c r="BX3794" s="2" t="s">
        <v>6057</v>
      </c>
      <c r="BY3794" s="2" t="s">
        <v>113</v>
      </c>
      <c r="BZ3794" s="2" t="s">
        <v>100</v>
      </c>
    </row>
    <row r="3795">
      <c r="A3795" s="2" t="s">
        <v>11519</v>
      </c>
      <c r="B3795" s="2" t="s">
        <v>9668</v>
      </c>
      <c r="C3795" s="2" t="s">
        <v>4637</v>
      </c>
      <c r="D3795" s="2" t="s">
        <v>9669</v>
      </c>
      <c r="E3795" s="2" t="s">
        <v>9670</v>
      </c>
      <c r="F3795" s="2" t="s">
        <v>11503</v>
      </c>
      <c r="G3795" s="2" t="s">
        <v>11503</v>
      </c>
      <c r="H3795" s="2" t="s">
        <v>11503</v>
      </c>
      <c r="I3795" s="2" t="s">
        <v>10016</v>
      </c>
      <c r="J3795" s="2" t="s">
        <v>1936</v>
      </c>
      <c r="K3795" s="2" t="s">
        <v>189</v>
      </c>
      <c r="L3795" s="3">
        <v>16.5</v>
      </c>
      <c r="M3795" s="3">
        <v>17.32</v>
      </c>
      <c r="N3795" s="3">
        <v>32.99</v>
      </c>
      <c r="O3795" s="2" t="s">
        <v>97</v>
      </c>
      <c r="P3795" s="2" t="s">
        <v>119</v>
      </c>
      <c r="Q3795" s="2" t="s">
        <v>99</v>
      </c>
      <c r="R3795" s="2" t="s">
        <v>100</v>
      </c>
      <c r="S3795" s="2" t="s">
        <v>11520</v>
      </c>
      <c r="T3795" s="2" t="s">
        <v>11505</v>
      </c>
      <c r="U3795" s="2" t="s">
        <v>100</v>
      </c>
      <c r="V3795" s="2" t="s">
        <v>146</v>
      </c>
      <c r="W3795" s="2" t="s">
        <v>183</v>
      </c>
      <c r="X3795" s="2" t="s">
        <v>100</v>
      </c>
      <c r="Y3795" s="2" t="s">
        <v>6031</v>
      </c>
      <c r="Z3795" s="4">
        <v>185</v>
      </c>
      <c r="AA3795" s="4">
        <f>=ROUNDDOWN(68.5185185185185,0)</f>
      </c>
      <c r="AB3795" s="5">
        <v>2.7</v>
      </c>
      <c r="AC3795" s="2" t="s">
        <v>1509</v>
      </c>
      <c r="AD3795" s="4">
        <v>20</v>
      </c>
      <c r="AE3795" s="4">
        <v>20</v>
      </c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>
        <v>1</v>
      </c>
      <c r="AW3795" s="8">
        <v>22.85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/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>
        <v>0.1257</v>
      </c>
      <c r="BJ3795" s="4">
        <v>114</v>
      </c>
      <c r="BK3795" s="8">
        <v>1876.9</v>
      </c>
      <c r="BL3795" s="2" t="s">
        <v>11521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4571</v>
      </c>
      <c r="BX3795" s="2" t="s">
        <v>5964</v>
      </c>
      <c r="BY3795" s="2" t="s">
        <v>113</v>
      </c>
      <c r="BZ3795" s="2" t="s">
        <v>100</v>
      </c>
    </row>
    <row r="3796">
      <c r="A3796" s="2" t="s">
        <v>11522</v>
      </c>
      <c r="B3796" s="2" t="s">
        <v>9668</v>
      </c>
      <c r="C3796" s="2" t="s">
        <v>4637</v>
      </c>
      <c r="D3796" s="2" t="s">
        <v>9669</v>
      </c>
      <c r="E3796" s="2" t="s">
        <v>9670</v>
      </c>
      <c r="F3796" s="2" t="s">
        <v>11503</v>
      </c>
      <c r="G3796" s="2" t="s">
        <v>11503</v>
      </c>
      <c r="H3796" s="2" t="s">
        <v>11503</v>
      </c>
      <c r="I3796" s="2" t="s">
        <v>10016</v>
      </c>
      <c r="J3796" s="2" t="s">
        <v>717</v>
      </c>
      <c r="K3796" s="2" t="s">
        <v>189</v>
      </c>
      <c r="L3796" s="3">
        <v>16.5</v>
      </c>
      <c r="M3796" s="3">
        <v>17.32</v>
      </c>
      <c r="N3796" s="3">
        <v>32.99</v>
      </c>
      <c r="O3796" s="2" t="s">
        <v>97</v>
      </c>
      <c r="P3796" s="2" t="s">
        <v>119</v>
      </c>
      <c r="Q3796" s="2" t="s">
        <v>99</v>
      </c>
      <c r="R3796" s="2" t="s">
        <v>100</v>
      </c>
      <c r="S3796" s="2" t="s">
        <v>11520</v>
      </c>
      <c r="T3796" s="2" t="s">
        <v>11505</v>
      </c>
      <c r="U3796" s="2" t="s">
        <v>100</v>
      </c>
      <c r="V3796" s="2" t="s">
        <v>146</v>
      </c>
      <c r="W3796" s="2" t="s">
        <v>183</v>
      </c>
      <c r="X3796" s="2" t="s">
        <v>100</v>
      </c>
      <c r="Y3796" s="2" t="s">
        <v>6031</v>
      </c>
      <c r="Z3796" s="4">
        <v>105</v>
      </c>
      <c r="AA3796" s="4">
        <f>=ROUNDDOWN(17.5,0)</f>
      </c>
      <c r="AB3796" s="5">
        <v>6</v>
      </c>
      <c r="AC3796" s="2" t="s">
        <v>1509</v>
      </c>
      <c r="AD3796" s="4">
        <v>190</v>
      </c>
      <c r="AE3796" s="4">
        <v>190</v>
      </c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/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 t="s">
        <v>100</v>
      </c>
      <c r="BJ3796" s="4">
        <v>147</v>
      </c>
      <c r="BK3796" s="8">
        <v>2614.41</v>
      </c>
      <c r="BL3796" s="2" t="s">
        <v>1795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4571</v>
      </c>
      <c r="BX3796" s="2" t="s">
        <v>6119</v>
      </c>
      <c r="BY3796" s="2" t="s">
        <v>113</v>
      </c>
      <c r="BZ3796" s="2" t="s">
        <v>100</v>
      </c>
    </row>
    <row r="3797">
      <c r="A3797" s="2" t="s">
        <v>11523</v>
      </c>
      <c r="B3797" s="2" t="s">
        <v>9668</v>
      </c>
      <c r="C3797" s="2" t="s">
        <v>4637</v>
      </c>
      <c r="D3797" s="2" t="s">
        <v>9669</v>
      </c>
      <c r="E3797" s="2" t="s">
        <v>9670</v>
      </c>
      <c r="F3797" s="2" t="s">
        <v>11503</v>
      </c>
      <c r="G3797" s="2" t="s">
        <v>11503</v>
      </c>
      <c r="H3797" s="2" t="s">
        <v>11503</v>
      </c>
      <c r="I3797" s="2" t="s">
        <v>10016</v>
      </c>
      <c r="J3797" s="2" t="s">
        <v>706</v>
      </c>
      <c r="K3797" s="2" t="s">
        <v>189</v>
      </c>
      <c r="L3797" s="3">
        <v>19</v>
      </c>
      <c r="M3797" s="3">
        <v>19.95</v>
      </c>
      <c r="N3797" s="3">
        <v>37.99</v>
      </c>
      <c r="O3797" s="2" t="s">
        <v>97</v>
      </c>
      <c r="P3797" s="2" t="s">
        <v>119</v>
      </c>
      <c r="Q3797" s="2" t="s">
        <v>99</v>
      </c>
      <c r="R3797" s="2" t="s">
        <v>100</v>
      </c>
      <c r="S3797" s="2" t="s">
        <v>11520</v>
      </c>
      <c r="T3797" s="2" t="s">
        <v>11505</v>
      </c>
      <c r="U3797" s="2" t="s">
        <v>100</v>
      </c>
      <c r="V3797" s="2" t="s">
        <v>146</v>
      </c>
      <c r="W3797" s="2" t="s">
        <v>183</v>
      </c>
      <c r="X3797" s="2" t="s">
        <v>100</v>
      </c>
      <c r="Y3797" s="2" t="s">
        <v>6031</v>
      </c>
      <c r="Z3797" s="4">
        <v>391</v>
      </c>
      <c r="AA3797" s="4">
        <f>=ROUNDDOWN(32.5833333333333,0)</f>
      </c>
      <c r="AB3797" s="5">
        <v>12</v>
      </c>
      <c r="AC3797" s="2" t="s">
        <v>1509</v>
      </c>
      <c r="AD3797" s="4">
        <v>160</v>
      </c>
      <c r="AE3797" s="4">
        <v>160</v>
      </c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394</v>
      </c>
      <c r="BK3797" s="8">
        <v>8170.54</v>
      </c>
      <c r="BL3797" s="2" t="s">
        <v>11524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4571</v>
      </c>
      <c r="BX3797" s="2" t="s">
        <v>868</v>
      </c>
      <c r="BY3797" s="2" t="s">
        <v>113</v>
      </c>
      <c r="BZ3797" s="2" t="s">
        <v>100</v>
      </c>
    </row>
    <row r="3798">
      <c r="A3798" s="2" t="s">
        <v>11525</v>
      </c>
      <c r="B3798" s="2" t="s">
        <v>9668</v>
      </c>
      <c r="C3798" s="2" t="s">
        <v>4637</v>
      </c>
      <c r="D3798" s="2" t="s">
        <v>9669</v>
      </c>
      <c r="E3798" s="2" t="s">
        <v>9670</v>
      </c>
      <c r="F3798" s="2" t="s">
        <v>11503</v>
      </c>
      <c r="G3798" s="2" t="s">
        <v>11503</v>
      </c>
      <c r="H3798" s="2" t="s">
        <v>11503</v>
      </c>
      <c r="I3798" s="2" t="s">
        <v>10016</v>
      </c>
      <c r="J3798" s="2" t="s">
        <v>714</v>
      </c>
      <c r="K3798" s="2" t="s">
        <v>189</v>
      </c>
      <c r="L3798" s="3">
        <v>21.5</v>
      </c>
      <c r="M3798" s="3">
        <v>22.58</v>
      </c>
      <c r="N3798" s="3">
        <v>42.99</v>
      </c>
      <c r="O3798" s="2" t="s">
        <v>97</v>
      </c>
      <c r="P3798" s="2" t="s">
        <v>119</v>
      </c>
      <c r="Q3798" s="2" t="s">
        <v>99</v>
      </c>
      <c r="R3798" s="2" t="s">
        <v>100</v>
      </c>
      <c r="S3798" s="2" t="s">
        <v>11520</v>
      </c>
      <c r="T3798" s="2" t="s">
        <v>11505</v>
      </c>
      <c r="U3798" s="2" t="s">
        <v>100</v>
      </c>
      <c r="V3798" s="2" t="s">
        <v>146</v>
      </c>
      <c r="W3798" s="2" t="s">
        <v>183</v>
      </c>
      <c r="X3798" s="2" t="s">
        <v>100</v>
      </c>
      <c r="Y3798" s="2" t="s">
        <v>6031</v>
      </c>
      <c r="Z3798" s="4">
        <v>190</v>
      </c>
      <c r="AA3798" s="4">
        <f>=ROUNDDOWN(20.6521739130435,0)</f>
      </c>
      <c r="AB3798" s="5">
        <v>9.2</v>
      </c>
      <c r="AC3798" s="2" t="s">
        <v>1509</v>
      </c>
      <c r="AD3798" s="4">
        <v>130</v>
      </c>
      <c r="AE3798" s="4">
        <v>130</v>
      </c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>
        <v>1</v>
      </c>
      <c r="AQ3798" s="8">
        <v>22.85</v>
      </c>
      <c r="AR3798" s="4"/>
      <c r="AS3798" s="8"/>
      <c r="AT3798" s="7"/>
      <c r="AU3798" s="7"/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1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 t="s">
        <v>100</v>
      </c>
      <c r="BJ3798" s="4">
        <v>276</v>
      </c>
      <c r="BK3798" s="8">
        <v>6833.08</v>
      </c>
      <c r="BL3798" s="2" t="s">
        <v>11526</v>
      </c>
      <c r="BM3798" s="7">
        <v>0.0036</v>
      </c>
      <c r="BN3798" s="7">
        <v>0.0033</v>
      </c>
      <c r="BO3798" s="4">
        <v>1</v>
      </c>
      <c r="BP3798" s="8">
        <v>22.85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4571</v>
      </c>
      <c r="BX3798" s="2" t="s">
        <v>11527</v>
      </c>
      <c r="BY3798" s="2" t="s">
        <v>113</v>
      </c>
      <c r="BZ3798" s="2" t="s">
        <v>100</v>
      </c>
    </row>
    <row r="3799">
      <c r="A3799" s="2" t="s">
        <v>11528</v>
      </c>
      <c r="B3799" s="2" t="s">
        <v>9668</v>
      </c>
      <c r="C3799" s="2" t="s">
        <v>4637</v>
      </c>
      <c r="D3799" s="2" t="s">
        <v>9669</v>
      </c>
      <c r="E3799" s="2" t="s">
        <v>9670</v>
      </c>
      <c r="F3799" s="2" t="s">
        <v>11503</v>
      </c>
      <c r="G3799" s="2" t="s">
        <v>11503</v>
      </c>
      <c r="H3799" s="2" t="s">
        <v>11503</v>
      </c>
      <c r="I3799" s="2" t="s">
        <v>10016</v>
      </c>
      <c r="J3799" s="2" t="s">
        <v>717</v>
      </c>
      <c r="K3799" s="2" t="s">
        <v>1614</v>
      </c>
      <c r="L3799" s="3">
        <v>16.5</v>
      </c>
      <c r="M3799" s="3">
        <v>17.32</v>
      </c>
      <c r="N3799" s="3">
        <v>32.99</v>
      </c>
      <c r="O3799" s="2" t="s">
        <v>97</v>
      </c>
      <c r="P3799" s="2" t="s">
        <v>119</v>
      </c>
      <c r="Q3799" s="2" t="s">
        <v>99</v>
      </c>
      <c r="R3799" s="2" t="s">
        <v>100</v>
      </c>
      <c r="S3799" s="2" t="s">
        <v>11529</v>
      </c>
      <c r="T3799" s="2" t="s">
        <v>11505</v>
      </c>
      <c r="U3799" s="2" t="s">
        <v>100</v>
      </c>
      <c r="V3799" s="2" t="s">
        <v>146</v>
      </c>
      <c r="W3799" s="2" t="s">
        <v>183</v>
      </c>
      <c r="X3799" s="2" t="s">
        <v>100</v>
      </c>
      <c r="Y3799" s="2" t="s">
        <v>240</v>
      </c>
      <c r="Z3799" s="4">
        <v>216</v>
      </c>
      <c r="AA3799" s="4">
        <f>=ROUNDDOWN(93.9130434782609,0)</f>
      </c>
      <c r="AB3799" s="5">
        <v>2.3</v>
      </c>
      <c r="AC3799" s="2" t="s">
        <v>100</v>
      </c>
      <c r="AD3799" s="4"/>
      <c r="AE3799" s="4"/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>
        <v>1</v>
      </c>
      <c r="AQ3799" s="8">
        <v>17.01</v>
      </c>
      <c r="AR3799" s="4"/>
      <c r="AS3799" s="8"/>
      <c r="AT3799" s="7"/>
      <c r="AU3799" s="7"/>
      <c r="AV3799" s="4">
        <v>1</v>
      </c>
      <c r="AW3799" s="8">
        <v>17.01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1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>
        <v>0.0936</v>
      </c>
      <c r="BJ3799" s="4">
        <v>77</v>
      </c>
      <c r="BK3799" s="8">
        <v>1342.84</v>
      </c>
      <c r="BL3799" s="2" t="s">
        <v>11530</v>
      </c>
      <c r="BM3799" s="7">
        <v>0.013</v>
      </c>
      <c r="BN3799" s="7">
        <v>0.0127</v>
      </c>
      <c r="BO3799" s="4">
        <v>1</v>
      </c>
      <c r="BP3799" s="8">
        <v>17.01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4571</v>
      </c>
      <c r="BX3799" s="2" t="s">
        <v>122</v>
      </c>
      <c r="BY3799" s="2" t="s">
        <v>113</v>
      </c>
      <c r="BZ3799" s="2" t="s">
        <v>100</v>
      </c>
    </row>
    <row r="3800">
      <c r="A3800" s="2" t="s">
        <v>11531</v>
      </c>
      <c r="B3800" s="2" t="s">
        <v>9668</v>
      </c>
      <c r="C3800" s="2" t="s">
        <v>4637</v>
      </c>
      <c r="D3800" s="2" t="s">
        <v>9669</v>
      </c>
      <c r="E3800" s="2" t="s">
        <v>9670</v>
      </c>
      <c r="F3800" s="2" t="s">
        <v>11503</v>
      </c>
      <c r="G3800" s="2" t="s">
        <v>11503</v>
      </c>
      <c r="H3800" s="2" t="s">
        <v>11503</v>
      </c>
      <c r="I3800" s="2" t="s">
        <v>10016</v>
      </c>
      <c r="J3800" s="2" t="s">
        <v>714</v>
      </c>
      <c r="K3800" s="2" t="s">
        <v>1614</v>
      </c>
      <c r="L3800" s="3">
        <v>21.5</v>
      </c>
      <c r="M3800" s="3">
        <v>22.58</v>
      </c>
      <c r="N3800" s="3">
        <v>42.99</v>
      </c>
      <c r="O3800" s="2" t="s">
        <v>97</v>
      </c>
      <c r="P3800" s="2" t="s">
        <v>119</v>
      </c>
      <c r="Q3800" s="2" t="s">
        <v>99</v>
      </c>
      <c r="R3800" s="2" t="s">
        <v>100</v>
      </c>
      <c r="S3800" s="2" t="s">
        <v>11529</v>
      </c>
      <c r="T3800" s="2" t="s">
        <v>11505</v>
      </c>
      <c r="U3800" s="2" t="s">
        <v>100</v>
      </c>
      <c r="V3800" s="2" t="s">
        <v>146</v>
      </c>
      <c r="W3800" s="2" t="s">
        <v>183</v>
      </c>
      <c r="X3800" s="2" t="s">
        <v>100</v>
      </c>
      <c r="Y3800" s="2" t="s">
        <v>240</v>
      </c>
      <c r="Z3800" s="4">
        <v>94</v>
      </c>
      <c r="AA3800" s="4">
        <f>=ROUNDDOWN(10.9302325581395,0)</f>
      </c>
      <c r="AB3800" s="5">
        <v>8.6</v>
      </c>
      <c r="AC3800" s="2" t="s">
        <v>1509</v>
      </c>
      <c r="AD3800" s="4">
        <v>199</v>
      </c>
      <c r="AE3800" s="4">
        <v>199</v>
      </c>
      <c r="AF3800" s="6">
        <v>66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/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238</v>
      </c>
      <c r="BK3800" s="8">
        <v>5412.54</v>
      </c>
      <c r="BL3800" s="2" t="s">
        <v>11532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4840</v>
      </c>
      <c r="BX3800" s="2" t="s">
        <v>6708</v>
      </c>
      <c r="BY3800" s="2" t="s">
        <v>113</v>
      </c>
      <c r="BZ3800" s="2" t="s">
        <v>100</v>
      </c>
    </row>
    <row r="3801">
      <c r="A3801" s="2" t="s">
        <v>11533</v>
      </c>
      <c r="B3801" s="2" t="s">
        <v>9668</v>
      </c>
      <c r="C3801" s="2" t="s">
        <v>4637</v>
      </c>
      <c r="D3801" s="2" t="s">
        <v>9669</v>
      </c>
      <c r="E3801" s="2" t="s">
        <v>9670</v>
      </c>
      <c r="F3801" s="2" t="s">
        <v>11503</v>
      </c>
      <c r="G3801" s="2" t="s">
        <v>11503</v>
      </c>
      <c r="H3801" s="2" t="s">
        <v>11503</v>
      </c>
      <c r="I3801" s="2" t="s">
        <v>10016</v>
      </c>
      <c r="J3801" s="2" t="s">
        <v>1936</v>
      </c>
      <c r="K3801" s="2" t="s">
        <v>3515</v>
      </c>
      <c r="L3801" s="3">
        <v>16.5</v>
      </c>
      <c r="M3801" s="3">
        <v>17.32</v>
      </c>
      <c r="N3801" s="3">
        <v>32.99</v>
      </c>
      <c r="O3801" s="2" t="s">
        <v>97</v>
      </c>
      <c r="P3801" s="2" t="s">
        <v>119</v>
      </c>
      <c r="Q3801" s="2" t="s">
        <v>99</v>
      </c>
      <c r="R3801" s="2" t="s">
        <v>100</v>
      </c>
      <c r="S3801" s="2" t="s">
        <v>11534</v>
      </c>
      <c r="T3801" s="2" t="s">
        <v>11505</v>
      </c>
      <c r="U3801" s="2" t="s">
        <v>480</v>
      </c>
      <c r="V3801" s="2" t="s">
        <v>146</v>
      </c>
      <c r="W3801" s="2" t="s">
        <v>183</v>
      </c>
      <c r="X3801" s="2" t="s">
        <v>561</v>
      </c>
      <c r="Y3801" s="2" t="s">
        <v>11535</v>
      </c>
      <c r="Z3801" s="4">
        <v>116</v>
      </c>
      <c r="AA3801" s="4">
        <f>=ROUNDDOWN(46.4,0)</f>
      </c>
      <c r="AB3801" s="5">
        <v>2.5</v>
      </c>
      <c r="AC3801" s="2" t="s">
        <v>1509</v>
      </c>
      <c r="AD3801" s="4">
        <v>30</v>
      </c>
      <c r="AE3801" s="4">
        <v>30</v>
      </c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/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64</v>
      </c>
      <c r="BK3801" s="8">
        <v>1150.1</v>
      </c>
      <c r="BL3801" s="2" t="s">
        <v>4612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207</v>
      </c>
      <c r="BV3801" s="2" t="s">
        <v>97</v>
      </c>
      <c r="BW3801" s="2" t="s">
        <v>100</v>
      </c>
      <c r="BX3801" s="2" t="s">
        <v>100</v>
      </c>
      <c r="BY3801" s="2" t="s">
        <v>113</v>
      </c>
      <c r="BZ3801" s="2" t="s">
        <v>100</v>
      </c>
    </row>
    <row r="3802">
      <c r="A3802" s="2" t="s">
        <v>11536</v>
      </c>
      <c r="B3802" s="2" t="s">
        <v>9668</v>
      </c>
      <c r="C3802" s="2" t="s">
        <v>4637</v>
      </c>
      <c r="D3802" s="2" t="s">
        <v>9669</v>
      </c>
      <c r="E3802" s="2" t="s">
        <v>9670</v>
      </c>
      <c r="F3802" s="2" t="s">
        <v>11503</v>
      </c>
      <c r="G3802" s="2" t="s">
        <v>11503</v>
      </c>
      <c r="H3802" s="2" t="s">
        <v>11503</v>
      </c>
      <c r="I3802" s="2" t="s">
        <v>10016</v>
      </c>
      <c r="J3802" s="2" t="s">
        <v>717</v>
      </c>
      <c r="K3802" s="2" t="s">
        <v>3515</v>
      </c>
      <c r="L3802" s="3">
        <v>16.5</v>
      </c>
      <c r="M3802" s="3">
        <v>17.32</v>
      </c>
      <c r="N3802" s="3">
        <v>32.99</v>
      </c>
      <c r="O3802" s="2" t="s">
        <v>97</v>
      </c>
      <c r="P3802" s="2" t="s">
        <v>119</v>
      </c>
      <c r="Q3802" s="2" t="s">
        <v>99</v>
      </c>
      <c r="R3802" s="2" t="s">
        <v>100</v>
      </c>
      <c r="S3802" s="2" t="s">
        <v>11534</v>
      </c>
      <c r="T3802" s="2" t="s">
        <v>11505</v>
      </c>
      <c r="U3802" s="2" t="s">
        <v>402</v>
      </c>
      <c r="V3802" s="2" t="s">
        <v>146</v>
      </c>
      <c r="W3802" s="2" t="s">
        <v>183</v>
      </c>
      <c r="X3802" s="2" t="s">
        <v>561</v>
      </c>
      <c r="Y3802" s="2" t="s">
        <v>11535</v>
      </c>
      <c r="Z3802" s="4">
        <v>123</v>
      </c>
      <c r="AA3802" s="4">
        <f>=ROUNDDOWN(26.7391304347826,0)</f>
      </c>
      <c r="AB3802" s="5">
        <v>4.6</v>
      </c>
      <c r="AC3802" s="2" t="s">
        <v>1509</v>
      </c>
      <c r="AD3802" s="4">
        <v>70</v>
      </c>
      <c r="AE3802" s="4">
        <v>70</v>
      </c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/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 t="s">
        <v>100</v>
      </c>
      <c r="BJ3802" s="4">
        <v>136</v>
      </c>
      <c r="BK3802" s="8">
        <v>2358.61</v>
      </c>
      <c r="BL3802" s="2" t="s">
        <v>11537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207</v>
      </c>
      <c r="BV3802" s="2" t="s">
        <v>97</v>
      </c>
      <c r="BW3802" s="2" t="s">
        <v>100</v>
      </c>
      <c r="BX3802" s="2" t="s">
        <v>100</v>
      </c>
      <c r="BY3802" s="2" t="s">
        <v>113</v>
      </c>
      <c r="BZ3802" s="2" t="s">
        <v>100</v>
      </c>
    </row>
    <row r="3803">
      <c r="A3803" s="2" t="s">
        <v>11538</v>
      </c>
      <c r="B3803" s="2" t="s">
        <v>9668</v>
      </c>
      <c r="C3803" s="2" t="s">
        <v>4637</v>
      </c>
      <c r="D3803" s="2" t="s">
        <v>9669</v>
      </c>
      <c r="E3803" s="2" t="s">
        <v>9670</v>
      </c>
      <c r="F3803" s="2" t="s">
        <v>11503</v>
      </c>
      <c r="G3803" s="2" t="s">
        <v>11503</v>
      </c>
      <c r="H3803" s="2" t="s">
        <v>11503</v>
      </c>
      <c r="I3803" s="2" t="s">
        <v>10016</v>
      </c>
      <c r="J3803" s="2" t="s">
        <v>706</v>
      </c>
      <c r="K3803" s="2" t="s">
        <v>3515</v>
      </c>
      <c r="L3803" s="3">
        <v>19</v>
      </c>
      <c r="M3803" s="3">
        <v>19.95</v>
      </c>
      <c r="N3803" s="3">
        <v>37.99</v>
      </c>
      <c r="O3803" s="2" t="s">
        <v>97</v>
      </c>
      <c r="P3803" s="2" t="s">
        <v>119</v>
      </c>
      <c r="Q3803" s="2" t="s">
        <v>99</v>
      </c>
      <c r="R3803" s="2" t="s">
        <v>100</v>
      </c>
      <c r="S3803" s="2" t="s">
        <v>11534</v>
      </c>
      <c r="T3803" s="2" t="s">
        <v>11505</v>
      </c>
      <c r="U3803" s="2" t="s">
        <v>402</v>
      </c>
      <c r="V3803" s="2" t="s">
        <v>146</v>
      </c>
      <c r="W3803" s="2" t="s">
        <v>183</v>
      </c>
      <c r="X3803" s="2" t="s">
        <v>561</v>
      </c>
      <c r="Y3803" s="2" t="s">
        <v>11535</v>
      </c>
      <c r="Z3803" s="4">
        <v>171</v>
      </c>
      <c r="AA3803" s="4">
        <f>=ROUNDDOWN(17.2727272727273,0)</f>
      </c>
      <c r="AB3803" s="5">
        <v>9.9</v>
      </c>
      <c r="AC3803" s="2" t="s">
        <v>1509</v>
      </c>
      <c r="AD3803" s="4">
        <v>240</v>
      </c>
      <c r="AE3803" s="4">
        <v>240</v>
      </c>
      <c r="AF3803" s="6">
        <v>66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100</v>
      </c>
      <c r="AW3803" s="8" t="s">
        <v>100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/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 t="s">
        <v>100</v>
      </c>
      <c r="BJ3803" s="4">
        <v>341</v>
      </c>
      <c r="BK3803" s="8">
        <v>6650.05</v>
      </c>
      <c r="BL3803" s="2" t="s">
        <v>4612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207</v>
      </c>
      <c r="BV3803" s="2" t="s">
        <v>97</v>
      </c>
      <c r="BW3803" s="2" t="s">
        <v>100</v>
      </c>
      <c r="BX3803" s="2" t="s">
        <v>100</v>
      </c>
      <c r="BY3803" s="2" t="s">
        <v>113</v>
      </c>
      <c r="BZ3803" s="2" t="s">
        <v>100</v>
      </c>
    </row>
    <row r="3804">
      <c r="A3804" s="2" t="s">
        <v>11539</v>
      </c>
      <c r="B3804" s="2" t="s">
        <v>9668</v>
      </c>
      <c r="C3804" s="2" t="s">
        <v>4637</v>
      </c>
      <c r="D3804" s="2" t="s">
        <v>9669</v>
      </c>
      <c r="E3804" s="2" t="s">
        <v>9670</v>
      </c>
      <c r="F3804" s="2" t="s">
        <v>11503</v>
      </c>
      <c r="G3804" s="2" t="s">
        <v>11503</v>
      </c>
      <c r="H3804" s="2" t="s">
        <v>11503</v>
      </c>
      <c r="I3804" s="2" t="s">
        <v>10016</v>
      </c>
      <c r="J3804" s="2" t="s">
        <v>714</v>
      </c>
      <c r="K3804" s="2" t="s">
        <v>3515</v>
      </c>
      <c r="L3804" s="3">
        <v>21.5</v>
      </c>
      <c r="M3804" s="3">
        <v>22.58</v>
      </c>
      <c r="N3804" s="3">
        <v>42.99</v>
      </c>
      <c r="O3804" s="2" t="s">
        <v>97</v>
      </c>
      <c r="P3804" s="2" t="s">
        <v>119</v>
      </c>
      <c r="Q3804" s="2" t="s">
        <v>99</v>
      </c>
      <c r="R3804" s="2" t="s">
        <v>100</v>
      </c>
      <c r="S3804" s="2" t="s">
        <v>11534</v>
      </c>
      <c r="T3804" s="2" t="s">
        <v>11505</v>
      </c>
      <c r="U3804" s="2" t="s">
        <v>402</v>
      </c>
      <c r="V3804" s="2" t="s">
        <v>146</v>
      </c>
      <c r="W3804" s="2" t="s">
        <v>183</v>
      </c>
      <c r="X3804" s="2" t="s">
        <v>561</v>
      </c>
      <c r="Y3804" s="2" t="s">
        <v>11535</v>
      </c>
      <c r="Z3804" s="4">
        <v>83</v>
      </c>
      <c r="AA3804" s="4">
        <f>=ROUNDDOWN(10,0)</f>
      </c>
      <c r="AB3804" s="5">
        <v>8.3</v>
      </c>
      <c r="AC3804" s="2" t="s">
        <v>1509</v>
      </c>
      <c r="AD3804" s="4">
        <v>160</v>
      </c>
      <c r="AE3804" s="4">
        <v>160</v>
      </c>
      <c r="AF3804" s="6">
        <v>66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 t="s">
        <v>100</v>
      </c>
      <c r="AW3804" s="8" t="s">
        <v>100</v>
      </c>
      <c r="AX3804" s="4" t="s">
        <v>100</v>
      </c>
      <c r="AY3804" s="8" t="s">
        <v>100</v>
      </c>
      <c r="AZ3804" s="7" t="s">
        <v>100</v>
      </c>
      <c r="BA3804" s="7" t="s">
        <v>100</v>
      </c>
      <c r="BB3804" s="7"/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 t="s">
        <v>100</v>
      </c>
      <c r="BJ3804" s="4">
        <v>227</v>
      </c>
      <c r="BK3804" s="8">
        <v>5271.15</v>
      </c>
      <c r="BL3804" s="2" t="s">
        <v>4612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207</v>
      </c>
      <c r="BV3804" s="2" t="s">
        <v>97</v>
      </c>
      <c r="BW3804" s="2" t="s">
        <v>100</v>
      </c>
      <c r="BX3804" s="2" t="s">
        <v>100</v>
      </c>
      <c r="BY3804" s="2" t="s">
        <v>113</v>
      </c>
      <c r="BZ3804" s="2" t="s">
        <v>100</v>
      </c>
    </row>
    <row r="3805">
      <c r="A3805" s="2" t="s">
        <v>11540</v>
      </c>
      <c r="B3805" s="2" t="s">
        <v>9668</v>
      </c>
      <c r="C3805" s="2" t="s">
        <v>11541</v>
      </c>
      <c r="D3805" s="2" t="s">
        <v>9669</v>
      </c>
      <c r="E3805" s="2" t="s">
        <v>9670</v>
      </c>
      <c r="F3805" s="2" t="s">
        <v>11542</v>
      </c>
      <c r="G3805" s="2" t="s">
        <v>11542</v>
      </c>
      <c r="H3805" s="2" t="s">
        <v>11542</v>
      </c>
      <c r="I3805" s="2" t="s">
        <v>11543</v>
      </c>
      <c r="J3805" s="2" t="s">
        <v>1936</v>
      </c>
      <c r="K3805" s="2" t="s">
        <v>3560</v>
      </c>
      <c r="L3805" s="3">
        <v>21.6</v>
      </c>
      <c r="M3805" s="3">
        <v>22.68</v>
      </c>
      <c r="N3805" s="3">
        <v>47.99</v>
      </c>
      <c r="O3805" s="2" t="s">
        <v>97</v>
      </c>
      <c r="P3805" s="2" t="s">
        <v>119</v>
      </c>
      <c r="Q3805" s="2" t="s">
        <v>99</v>
      </c>
      <c r="R3805" s="2" t="s">
        <v>100</v>
      </c>
      <c r="S3805" s="2" t="s">
        <v>11544</v>
      </c>
      <c r="T3805" s="2" t="s">
        <v>280</v>
      </c>
      <c r="U3805" s="2" t="s">
        <v>100</v>
      </c>
      <c r="V3805" s="2" t="s">
        <v>5245</v>
      </c>
      <c r="W3805" s="2" t="s">
        <v>183</v>
      </c>
      <c r="X3805" s="2" t="s">
        <v>100</v>
      </c>
      <c r="Y3805" s="2" t="s">
        <v>240</v>
      </c>
      <c r="Z3805" s="4">
        <v>58</v>
      </c>
      <c r="AA3805" s="4">
        <f>=ROUNDDOWN(2.14814814814815,0)</f>
      </c>
      <c r="AB3805" s="5">
        <v>27</v>
      </c>
      <c r="AC3805" s="2" t="s">
        <v>562</v>
      </c>
      <c r="AD3805" s="4">
        <v>230</v>
      </c>
      <c r="AE3805" s="4">
        <v>780</v>
      </c>
      <c r="AF3805" s="6">
        <v>65</v>
      </c>
      <c r="AG3805" s="6"/>
      <c r="AH3805" s="7">
        <v>0.9037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/>
      <c r="AP3805" s="4">
        <v>6</v>
      </c>
      <c r="AQ3805" s="8">
        <v>126</v>
      </c>
      <c r="AR3805" s="4"/>
      <c r="AS3805" s="8"/>
      <c r="AT3805" s="7"/>
      <c r="AU3805" s="7"/>
      <c r="AV3805" s="4">
        <v>6</v>
      </c>
      <c r="AW3805" s="8">
        <v>126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1</v>
      </c>
      <c r="BC3805" s="4">
        <v>6</v>
      </c>
      <c r="BD3805" s="8">
        <v>126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1</v>
      </c>
      <c r="BJ3805" s="4">
        <v>829</v>
      </c>
      <c r="BK3805" s="8">
        <v>18462.35</v>
      </c>
      <c r="BL3805" s="2" t="s">
        <v>11545</v>
      </c>
      <c r="BM3805" s="7">
        <v>0.0072</v>
      </c>
      <c r="BN3805" s="7">
        <v>0.0068</v>
      </c>
      <c r="BO3805" s="4">
        <v>6</v>
      </c>
      <c r="BP3805" s="8">
        <v>126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1085</v>
      </c>
      <c r="BX3805" s="2" t="s">
        <v>6550</v>
      </c>
      <c r="BY3805" s="2" t="s">
        <v>113</v>
      </c>
      <c r="BZ3805" s="2" t="s">
        <v>100</v>
      </c>
    </row>
    <row r="3806">
      <c r="A3806" s="2" t="s">
        <v>11546</v>
      </c>
      <c r="B3806" s="2" t="s">
        <v>9668</v>
      </c>
      <c r="C3806" s="2" t="s">
        <v>11541</v>
      </c>
      <c r="D3806" s="2" t="s">
        <v>9669</v>
      </c>
      <c r="E3806" s="2" t="s">
        <v>9670</v>
      </c>
      <c r="F3806" s="2" t="s">
        <v>11542</v>
      </c>
      <c r="G3806" s="2" t="s">
        <v>11542</v>
      </c>
      <c r="H3806" s="2" t="s">
        <v>11542</v>
      </c>
      <c r="I3806" s="2" t="s">
        <v>11543</v>
      </c>
      <c r="J3806" s="2" t="s">
        <v>706</v>
      </c>
      <c r="K3806" s="2" t="s">
        <v>3560</v>
      </c>
      <c r="L3806" s="3">
        <v>27</v>
      </c>
      <c r="M3806" s="3">
        <v>28.35</v>
      </c>
      <c r="N3806" s="3">
        <v>59.99</v>
      </c>
      <c r="O3806" s="2" t="s">
        <v>97</v>
      </c>
      <c r="P3806" s="2" t="s">
        <v>119</v>
      </c>
      <c r="Q3806" s="2" t="s">
        <v>99</v>
      </c>
      <c r="R3806" s="2" t="s">
        <v>100</v>
      </c>
      <c r="S3806" s="2" t="s">
        <v>11544</v>
      </c>
      <c r="T3806" s="2" t="s">
        <v>280</v>
      </c>
      <c r="U3806" s="2" t="s">
        <v>100</v>
      </c>
      <c r="V3806" s="2" t="s">
        <v>5245</v>
      </c>
      <c r="W3806" s="2" t="s">
        <v>183</v>
      </c>
      <c r="X3806" s="2" t="s">
        <v>100</v>
      </c>
      <c r="Y3806" s="2" t="s">
        <v>240</v>
      </c>
      <c r="Z3806" s="4">
        <v>247</v>
      </c>
      <c r="AA3806" s="4">
        <f>=ROUNDDOWN(20.5833333333333,0)</f>
      </c>
      <c r="AB3806" s="5">
        <v>12</v>
      </c>
      <c r="AC3806" s="2" t="s">
        <v>562</v>
      </c>
      <c r="AD3806" s="4">
        <v>190</v>
      </c>
      <c r="AE3806" s="4">
        <v>290</v>
      </c>
      <c r="AF3806" s="6">
        <v>65</v>
      </c>
      <c r="AG3806" s="6"/>
      <c r="AH3806" s="7">
        <v>0.9947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/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442</v>
      </c>
      <c r="BK3806" s="8">
        <v>12149.62</v>
      </c>
      <c r="BL3806" s="2" t="s">
        <v>11547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1085</v>
      </c>
      <c r="BX3806" s="2" t="s">
        <v>6034</v>
      </c>
      <c r="BY3806" s="2" t="s">
        <v>113</v>
      </c>
      <c r="BZ3806" s="2" t="s">
        <v>100</v>
      </c>
    </row>
    <row r="3807">
      <c r="A3807" s="2" t="s">
        <v>11548</v>
      </c>
      <c r="B3807" s="2" t="s">
        <v>9668</v>
      </c>
      <c r="C3807" s="2" t="s">
        <v>11541</v>
      </c>
      <c r="D3807" s="2" t="s">
        <v>9669</v>
      </c>
      <c r="E3807" s="2" t="s">
        <v>9670</v>
      </c>
      <c r="F3807" s="2" t="s">
        <v>11542</v>
      </c>
      <c r="G3807" s="2" t="s">
        <v>11542</v>
      </c>
      <c r="H3807" s="2" t="s">
        <v>11542</v>
      </c>
      <c r="I3807" s="2" t="s">
        <v>11543</v>
      </c>
      <c r="J3807" s="2" t="s">
        <v>706</v>
      </c>
      <c r="K3807" s="2" t="s">
        <v>878</v>
      </c>
      <c r="L3807" s="3">
        <v>27</v>
      </c>
      <c r="M3807" s="3">
        <v>28.35</v>
      </c>
      <c r="N3807" s="3">
        <v>59.99</v>
      </c>
      <c r="O3807" s="2" t="s">
        <v>97</v>
      </c>
      <c r="P3807" s="2" t="s">
        <v>119</v>
      </c>
      <c r="Q3807" s="2" t="s">
        <v>99</v>
      </c>
      <c r="R3807" s="2" t="s">
        <v>100</v>
      </c>
      <c r="S3807" s="2" t="s">
        <v>11549</v>
      </c>
      <c r="T3807" s="2" t="s">
        <v>280</v>
      </c>
      <c r="U3807" s="2" t="s">
        <v>100</v>
      </c>
      <c r="V3807" s="2" t="s">
        <v>5245</v>
      </c>
      <c r="W3807" s="2" t="s">
        <v>183</v>
      </c>
      <c r="X3807" s="2" t="s">
        <v>100</v>
      </c>
      <c r="Y3807" s="2" t="s">
        <v>240</v>
      </c>
      <c r="Z3807" s="4">
        <v>148</v>
      </c>
      <c r="AA3807" s="4">
        <f>=ROUNDDOWN(18.5,0)</f>
      </c>
      <c r="AB3807" s="5">
        <v>8</v>
      </c>
      <c r="AC3807" s="2" t="s">
        <v>3887</v>
      </c>
      <c r="AD3807" s="4">
        <v>60</v>
      </c>
      <c r="AE3807" s="4">
        <v>110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/>
      <c r="BJ3807" s="4">
        <v>263</v>
      </c>
      <c r="BK3807" s="8">
        <v>7340.72</v>
      </c>
      <c r="BL3807" s="2" t="s">
        <v>7303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1085</v>
      </c>
      <c r="BX3807" s="2" t="s">
        <v>1993</v>
      </c>
      <c r="BY3807" s="2" t="s">
        <v>113</v>
      </c>
      <c r="BZ3807" s="2" t="s">
        <v>100</v>
      </c>
    </row>
    <row r="3808">
      <c r="A3808" s="2" t="s">
        <v>11550</v>
      </c>
      <c r="B3808" s="2" t="s">
        <v>9668</v>
      </c>
      <c r="C3808" s="2" t="s">
        <v>3413</v>
      </c>
      <c r="D3808" s="2" t="s">
        <v>9669</v>
      </c>
      <c r="E3808" s="2" t="s">
        <v>9670</v>
      </c>
      <c r="F3808" s="2" t="s">
        <v>11551</v>
      </c>
      <c r="G3808" s="2" t="s">
        <v>11551</v>
      </c>
      <c r="H3808" s="2" t="s">
        <v>11551</v>
      </c>
      <c r="I3808" s="2" t="s">
        <v>11552</v>
      </c>
      <c r="J3808" s="2" t="s">
        <v>717</v>
      </c>
      <c r="K3808" s="2" t="s">
        <v>335</v>
      </c>
      <c r="L3808" s="3">
        <v>20.06</v>
      </c>
      <c r="M3808" s="3">
        <v>21.06</v>
      </c>
      <c r="N3808" s="3">
        <v>44.99</v>
      </c>
      <c r="O3808" s="2" t="s">
        <v>97</v>
      </c>
      <c r="P3808" s="2" t="s">
        <v>225</v>
      </c>
      <c r="Q3808" s="2" t="s">
        <v>99</v>
      </c>
      <c r="R3808" s="2" t="s">
        <v>100</v>
      </c>
      <c r="S3808" s="2" t="s">
        <v>11553</v>
      </c>
      <c r="T3808" s="2" t="s">
        <v>280</v>
      </c>
      <c r="U3808" s="2" t="s">
        <v>402</v>
      </c>
      <c r="V3808" s="2" t="s">
        <v>146</v>
      </c>
      <c r="W3808" s="2" t="s">
        <v>183</v>
      </c>
      <c r="X3808" s="2" t="s">
        <v>100</v>
      </c>
      <c r="Y3808" s="2" t="s">
        <v>1214</v>
      </c>
      <c r="Z3808" s="4">
        <v>180</v>
      </c>
      <c r="AA3808" s="4">
        <f>=ROUNDDOWN(12.8571428571429,0)</f>
      </c>
      <c r="AB3808" s="5">
        <v>14</v>
      </c>
      <c r="AC3808" s="2" t="s">
        <v>320</v>
      </c>
      <c r="AD3808" s="4">
        <v>188</v>
      </c>
      <c r="AE3808" s="4">
        <v>188</v>
      </c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/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/>
      <c r="BJ3808" s="4">
        <v>1</v>
      </c>
      <c r="BK3808" s="8">
        <v>22.5</v>
      </c>
      <c r="BL3808" s="2" t="s">
        <v>3765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207</v>
      </c>
      <c r="BV3808" s="2" t="s">
        <v>97</v>
      </c>
      <c r="BW3808" s="2" t="s">
        <v>100</v>
      </c>
      <c r="BX3808" s="2" t="s">
        <v>100</v>
      </c>
      <c r="BY3808" s="2" t="s">
        <v>113</v>
      </c>
      <c r="BZ3808" s="2" t="s">
        <v>245</v>
      </c>
    </row>
    <row r="3809">
      <c r="A3809" s="2" t="s">
        <v>11554</v>
      </c>
      <c r="B3809" s="2" t="s">
        <v>9668</v>
      </c>
      <c r="C3809" s="2" t="s">
        <v>3413</v>
      </c>
      <c r="D3809" s="2" t="s">
        <v>9669</v>
      </c>
      <c r="E3809" s="2" t="s">
        <v>9670</v>
      </c>
      <c r="F3809" s="2" t="s">
        <v>11551</v>
      </c>
      <c r="G3809" s="2" t="s">
        <v>11551</v>
      </c>
      <c r="H3809" s="2" t="s">
        <v>11551</v>
      </c>
      <c r="I3809" s="2" t="s">
        <v>11552</v>
      </c>
      <c r="J3809" s="2" t="s">
        <v>706</v>
      </c>
      <c r="K3809" s="2" t="s">
        <v>335</v>
      </c>
      <c r="L3809" s="3">
        <v>22.29</v>
      </c>
      <c r="M3809" s="3">
        <v>23.4</v>
      </c>
      <c r="N3809" s="3">
        <v>49.99</v>
      </c>
      <c r="O3809" s="2" t="s">
        <v>97</v>
      </c>
      <c r="P3809" s="2" t="s">
        <v>225</v>
      </c>
      <c r="Q3809" s="2" t="s">
        <v>99</v>
      </c>
      <c r="R3809" s="2" t="s">
        <v>100</v>
      </c>
      <c r="S3809" s="2" t="s">
        <v>11553</v>
      </c>
      <c r="T3809" s="2" t="s">
        <v>280</v>
      </c>
      <c r="U3809" s="2" t="s">
        <v>402</v>
      </c>
      <c r="V3809" s="2" t="s">
        <v>146</v>
      </c>
      <c r="W3809" s="2" t="s">
        <v>183</v>
      </c>
      <c r="X3809" s="2" t="s">
        <v>100</v>
      </c>
      <c r="Y3809" s="2" t="s">
        <v>1214</v>
      </c>
      <c r="Z3809" s="4">
        <v>294</v>
      </c>
      <c r="AA3809" s="4">
        <f>=ROUNDDOWN(10.8888888888889,0)</f>
      </c>
      <c r="AB3809" s="5">
        <v>27</v>
      </c>
      <c r="AC3809" s="2" t="s">
        <v>320</v>
      </c>
      <c r="AD3809" s="4">
        <v>360</v>
      </c>
      <c r="AE3809" s="4">
        <v>360</v>
      </c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/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/>
      <c r="BJ3809" s="4">
        <v>7</v>
      </c>
      <c r="BK3809" s="8">
        <v>164.95</v>
      </c>
      <c r="BL3809" s="2" t="s">
        <v>11555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207</v>
      </c>
      <c r="BV3809" s="2" t="s">
        <v>97</v>
      </c>
      <c r="BW3809" s="2" t="s">
        <v>100</v>
      </c>
      <c r="BX3809" s="2" t="s">
        <v>100</v>
      </c>
      <c r="BY3809" s="2" t="s">
        <v>113</v>
      </c>
      <c r="BZ3809" s="2" t="s">
        <v>245</v>
      </c>
    </row>
    <row r="3810">
      <c r="A3810" s="2" t="s">
        <v>11556</v>
      </c>
      <c r="B3810" s="2" t="s">
        <v>9668</v>
      </c>
      <c r="C3810" s="2" t="s">
        <v>3413</v>
      </c>
      <c r="D3810" s="2" t="s">
        <v>9669</v>
      </c>
      <c r="E3810" s="2" t="s">
        <v>9670</v>
      </c>
      <c r="F3810" s="2" t="s">
        <v>11551</v>
      </c>
      <c r="G3810" s="2" t="s">
        <v>11551</v>
      </c>
      <c r="H3810" s="2" t="s">
        <v>11551</v>
      </c>
      <c r="I3810" s="2" t="s">
        <v>11552</v>
      </c>
      <c r="J3810" s="2" t="s">
        <v>714</v>
      </c>
      <c r="K3810" s="2" t="s">
        <v>335</v>
      </c>
      <c r="L3810" s="3">
        <v>24.52</v>
      </c>
      <c r="M3810" s="3">
        <v>25.75</v>
      </c>
      <c r="N3810" s="3">
        <v>54.99</v>
      </c>
      <c r="O3810" s="2" t="s">
        <v>97</v>
      </c>
      <c r="P3810" s="2" t="s">
        <v>225</v>
      </c>
      <c r="Q3810" s="2" t="s">
        <v>99</v>
      </c>
      <c r="R3810" s="2" t="s">
        <v>100</v>
      </c>
      <c r="S3810" s="2" t="s">
        <v>11553</v>
      </c>
      <c r="T3810" s="2" t="s">
        <v>280</v>
      </c>
      <c r="U3810" s="2" t="s">
        <v>402</v>
      </c>
      <c r="V3810" s="2" t="s">
        <v>146</v>
      </c>
      <c r="W3810" s="2" t="s">
        <v>183</v>
      </c>
      <c r="X3810" s="2" t="s">
        <v>100</v>
      </c>
      <c r="Y3810" s="2" t="s">
        <v>1214</v>
      </c>
      <c r="Z3810" s="4">
        <v>211</v>
      </c>
      <c r="AA3810" s="4">
        <f>=ROUNDDOWN(11.1052631578947,0)</f>
      </c>
      <c r="AB3810" s="5">
        <v>19</v>
      </c>
      <c r="AC3810" s="2" t="s">
        <v>320</v>
      </c>
      <c r="AD3810" s="4">
        <v>248</v>
      </c>
      <c r="AE3810" s="4">
        <v>248</v>
      </c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9</v>
      </c>
      <c r="BK3810" s="8">
        <v>239.78</v>
      </c>
      <c r="BL3810" s="2" t="s">
        <v>11555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207</v>
      </c>
      <c r="BV3810" s="2" t="s">
        <v>97</v>
      </c>
      <c r="BW3810" s="2" t="s">
        <v>100</v>
      </c>
      <c r="BX3810" s="2" t="s">
        <v>100</v>
      </c>
      <c r="BY3810" s="2" t="s">
        <v>113</v>
      </c>
      <c r="BZ3810" s="2" t="s">
        <v>245</v>
      </c>
    </row>
    <row r="3811">
      <c r="A3811" s="2" t="s">
        <v>11557</v>
      </c>
      <c r="B3811" s="2" t="s">
        <v>9668</v>
      </c>
      <c r="C3811" s="2" t="s">
        <v>3413</v>
      </c>
      <c r="D3811" s="2" t="s">
        <v>9669</v>
      </c>
      <c r="E3811" s="2" t="s">
        <v>9670</v>
      </c>
      <c r="F3811" s="2" t="s">
        <v>11551</v>
      </c>
      <c r="G3811" s="2" t="s">
        <v>11551</v>
      </c>
      <c r="H3811" s="2" t="s">
        <v>11551</v>
      </c>
      <c r="I3811" s="2" t="s">
        <v>11552</v>
      </c>
      <c r="J3811" s="2" t="s">
        <v>817</v>
      </c>
      <c r="K3811" s="2" t="s">
        <v>335</v>
      </c>
      <c r="L3811" s="3">
        <v>24.52</v>
      </c>
      <c r="M3811" s="3">
        <v>25.75</v>
      </c>
      <c r="N3811" s="3">
        <v>54.99</v>
      </c>
      <c r="O3811" s="2" t="s">
        <v>97</v>
      </c>
      <c r="P3811" s="2" t="s">
        <v>225</v>
      </c>
      <c r="Q3811" s="2" t="s">
        <v>99</v>
      </c>
      <c r="R3811" s="2" t="s">
        <v>100</v>
      </c>
      <c r="S3811" s="2" t="s">
        <v>11553</v>
      </c>
      <c r="T3811" s="2" t="s">
        <v>280</v>
      </c>
      <c r="U3811" s="2" t="s">
        <v>402</v>
      </c>
      <c r="V3811" s="2" t="s">
        <v>146</v>
      </c>
      <c r="W3811" s="2" t="s">
        <v>183</v>
      </c>
      <c r="X3811" s="2" t="s">
        <v>100</v>
      </c>
      <c r="Y3811" s="2" t="s">
        <v>6073</v>
      </c>
      <c r="Z3811" s="4">
        <v>62</v>
      </c>
      <c r="AA3811" s="4">
        <f>=ROUNDDOWN(10.3333333333333,0)</f>
      </c>
      <c r="AB3811" s="5">
        <v>6</v>
      </c>
      <c r="AC3811" s="2" t="s">
        <v>320</v>
      </c>
      <c r="AD3811" s="4">
        <v>88</v>
      </c>
      <c r="AE3811" s="4">
        <v>88</v>
      </c>
      <c r="AF3811" s="6">
        <v>66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/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/>
      <c r="BJ3811" s="4">
        <v>6</v>
      </c>
      <c r="BK3811" s="8">
        <v>148.14</v>
      </c>
      <c r="BL3811" s="2" t="s">
        <v>9594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207</v>
      </c>
      <c r="BV3811" s="2" t="s">
        <v>97</v>
      </c>
      <c r="BW3811" s="2" t="s">
        <v>100</v>
      </c>
      <c r="BX3811" s="2" t="s">
        <v>100</v>
      </c>
      <c r="BY3811" s="2" t="s">
        <v>113</v>
      </c>
      <c r="BZ3811" s="2" t="s">
        <v>245</v>
      </c>
    </row>
    <row r="3812">
      <c r="A3812" s="2" t="s">
        <v>11558</v>
      </c>
      <c r="B3812" s="2" t="s">
        <v>9668</v>
      </c>
      <c r="C3812" s="2" t="s">
        <v>3413</v>
      </c>
      <c r="D3812" s="2" t="s">
        <v>9669</v>
      </c>
      <c r="E3812" s="2" t="s">
        <v>9670</v>
      </c>
      <c r="F3812" s="2" t="s">
        <v>11551</v>
      </c>
      <c r="G3812" s="2" t="s">
        <v>11551</v>
      </c>
      <c r="H3812" s="2" t="s">
        <v>11551</v>
      </c>
      <c r="I3812" s="2" t="s">
        <v>11552</v>
      </c>
      <c r="J3812" s="2" t="s">
        <v>1936</v>
      </c>
      <c r="K3812" s="2" t="s">
        <v>156</v>
      </c>
      <c r="L3812" s="3">
        <v>17.83</v>
      </c>
      <c r="M3812" s="3">
        <v>18.72</v>
      </c>
      <c r="N3812" s="3">
        <v>25.99</v>
      </c>
      <c r="O3812" s="2" t="s">
        <v>97</v>
      </c>
      <c r="P3812" s="2" t="s">
        <v>225</v>
      </c>
      <c r="Q3812" s="2" t="s">
        <v>99</v>
      </c>
      <c r="R3812" s="2" t="s">
        <v>100</v>
      </c>
      <c r="S3812" s="2" t="s">
        <v>11559</v>
      </c>
      <c r="T3812" s="2" t="s">
        <v>280</v>
      </c>
      <c r="U3812" s="2" t="s">
        <v>480</v>
      </c>
      <c r="V3812" s="2" t="s">
        <v>146</v>
      </c>
      <c r="W3812" s="2" t="s">
        <v>183</v>
      </c>
      <c r="X3812" s="2" t="s">
        <v>100</v>
      </c>
      <c r="Y3812" s="2" t="s">
        <v>11560</v>
      </c>
      <c r="Z3812" s="4">
        <v>204</v>
      </c>
      <c r="AA3812" s="4">
        <f>=ROUNDDOWN(10.2,0)</f>
      </c>
      <c r="AB3812" s="5">
        <v>20</v>
      </c>
      <c r="AC3812" s="2" t="s">
        <v>320</v>
      </c>
      <c r="AD3812" s="4">
        <v>228</v>
      </c>
      <c r="AE3812" s="4">
        <v>440</v>
      </c>
      <c r="AF3812" s="6">
        <v>66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100</v>
      </c>
      <c r="AW3812" s="8" t="s">
        <v>100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/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/>
      <c r="BJ3812" s="4">
        <v>14</v>
      </c>
      <c r="BK3812" s="8">
        <v>249.17</v>
      </c>
      <c r="BL3812" s="2" t="s">
        <v>11555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207</v>
      </c>
      <c r="BV3812" s="2" t="s">
        <v>97</v>
      </c>
      <c r="BW3812" s="2" t="s">
        <v>100</v>
      </c>
      <c r="BX3812" s="2" t="s">
        <v>100</v>
      </c>
      <c r="BY3812" s="2" t="s">
        <v>113</v>
      </c>
      <c r="BZ3812" s="2" t="s">
        <v>245</v>
      </c>
    </row>
    <row r="3813">
      <c r="A3813" s="2" t="s">
        <v>11561</v>
      </c>
      <c r="B3813" s="2" t="s">
        <v>9668</v>
      </c>
      <c r="C3813" s="2" t="s">
        <v>3413</v>
      </c>
      <c r="D3813" s="2" t="s">
        <v>9669</v>
      </c>
      <c r="E3813" s="2" t="s">
        <v>9670</v>
      </c>
      <c r="F3813" s="2" t="s">
        <v>11551</v>
      </c>
      <c r="G3813" s="2" t="s">
        <v>11551</v>
      </c>
      <c r="H3813" s="2" t="s">
        <v>11551</v>
      </c>
      <c r="I3813" s="2" t="s">
        <v>11552</v>
      </c>
      <c r="J3813" s="2" t="s">
        <v>2072</v>
      </c>
      <c r="K3813" s="2" t="s">
        <v>156</v>
      </c>
      <c r="L3813" s="3">
        <v>17.83</v>
      </c>
      <c r="M3813" s="3">
        <v>18.72</v>
      </c>
      <c r="N3813" s="3">
        <v>39.99</v>
      </c>
      <c r="O3813" s="2" t="s">
        <v>97</v>
      </c>
      <c r="P3813" s="2" t="s">
        <v>225</v>
      </c>
      <c r="Q3813" s="2" t="s">
        <v>99</v>
      </c>
      <c r="R3813" s="2" t="s">
        <v>100</v>
      </c>
      <c r="S3813" s="2" t="s">
        <v>11559</v>
      </c>
      <c r="T3813" s="2" t="s">
        <v>280</v>
      </c>
      <c r="U3813" s="2" t="s">
        <v>480</v>
      </c>
      <c r="V3813" s="2" t="s">
        <v>146</v>
      </c>
      <c r="W3813" s="2" t="s">
        <v>183</v>
      </c>
      <c r="X3813" s="2" t="s">
        <v>100</v>
      </c>
      <c r="Y3813" s="2" t="s">
        <v>11560</v>
      </c>
      <c r="Z3813" s="4">
        <v>98</v>
      </c>
      <c r="AA3813" s="4">
        <f>=ROUNDDOWN(7,0)</f>
      </c>
      <c r="AB3813" s="5">
        <v>14</v>
      </c>
      <c r="AC3813" s="2" t="s">
        <v>320</v>
      </c>
      <c r="AD3813" s="4">
        <v>168</v>
      </c>
      <c r="AE3813" s="4">
        <v>296</v>
      </c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/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/>
      <c r="BJ3813" s="4">
        <v>21</v>
      </c>
      <c r="BK3813" s="8">
        <v>381.87</v>
      </c>
      <c r="BL3813" s="2" t="s">
        <v>11555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207</v>
      </c>
      <c r="BV3813" s="2" t="s">
        <v>97</v>
      </c>
      <c r="BW3813" s="2" t="s">
        <v>100</v>
      </c>
      <c r="BX3813" s="2" t="s">
        <v>100</v>
      </c>
      <c r="BY3813" s="2" t="s">
        <v>113</v>
      </c>
      <c r="BZ3813" s="2" t="s">
        <v>245</v>
      </c>
    </row>
    <row r="3814">
      <c r="A3814" s="2" t="s">
        <v>11562</v>
      </c>
      <c r="B3814" s="2" t="s">
        <v>9668</v>
      </c>
      <c r="C3814" s="2" t="s">
        <v>3413</v>
      </c>
      <c r="D3814" s="2" t="s">
        <v>9669</v>
      </c>
      <c r="E3814" s="2" t="s">
        <v>9670</v>
      </c>
      <c r="F3814" s="2" t="s">
        <v>11551</v>
      </c>
      <c r="G3814" s="2" t="s">
        <v>11551</v>
      </c>
      <c r="H3814" s="2" t="s">
        <v>11551</v>
      </c>
      <c r="I3814" s="2" t="s">
        <v>11552</v>
      </c>
      <c r="J3814" s="2" t="s">
        <v>717</v>
      </c>
      <c r="K3814" s="2" t="s">
        <v>156</v>
      </c>
      <c r="L3814" s="3">
        <v>20.06</v>
      </c>
      <c r="M3814" s="3">
        <v>21.06</v>
      </c>
      <c r="N3814" s="3">
        <v>44.99</v>
      </c>
      <c r="O3814" s="2" t="s">
        <v>97</v>
      </c>
      <c r="P3814" s="2" t="s">
        <v>225</v>
      </c>
      <c r="Q3814" s="2" t="s">
        <v>99</v>
      </c>
      <c r="R3814" s="2" t="s">
        <v>100</v>
      </c>
      <c r="S3814" s="2" t="s">
        <v>11559</v>
      </c>
      <c r="T3814" s="2" t="s">
        <v>280</v>
      </c>
      <c r="U3814" s="2" t="s">
        <v>402</v>
      </c>
      <c r="V3814" s="2" t="s">
        <v>146</v>
      </c>
      <c r="W3814" s="2" t="s">
        <v>183</v>
      </c>
      <c r="X3814" s="2" t="s">
        <v>100</v>
      </c>
      <c r="Y3814" s="2" t="s">
        <v>5000</v>
      </c>
      <c r="Z3814" s="4">
        <v>250</v>
      </c>
      <c r="AA3814" s="4">
        <f>=ROUNDDOWN(9.25925925925926,0)</f>
      </c>
      <c r="AB3814" s="5">
        <v>27</v>
      </c>
      <c r="AC3814" s="2" t="s">
        <v>320</v>
      </c>
      <c r="AD3814" s="4">
        <v>328</v>
      </c>
      <c r="AE3814" s="4">
        <v>604</v>
      </c>
      <c r="AF3814" s="6">
        <v>66</v>
      </c>
      <c r="AG3814" s="6"/>
      <c r="AH3814" s="7">
        <v>0.3739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/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/>
      <c r="BJ3814" s="4">
        <v>11</v>
      </c>
      <c r="BK3814" s="8">
        <v>238.95</v>
      </c>
      <c r="BL3814" s="2" t="s">
        <v>11555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207</v>
      </c>
      <c r="BV3814" s="2" t="s">
        <v>97</v>
      </c>
      <c r="BW3814" s="2" t="s">
        <v>100</v>
      </c>
      <c r="BX3814" s="2" t="s">
        <v>100</v>
      </c>
      <c r="BY3814" s="2" t="s">
        <v>113</v>
      </c>
      <c r="BZ3814" s="2" t="s">
        <v>245</v>
      </c>
    </row>
    <row r="3815">
      <c r="A3815" s="2" t="s">
        <v>11563</v>
      </c>
      <c r="B3815" s="2" t="s">
        <v>9668</v>
      </c>
      <c r="C3815" s="2" t="s">
        <v>3413</v>
      </c>
      <c r="D3815" s="2" t="s">
        <v>9669</v>
      </c>
      <c r="E3815" s="2" t="s">
        <v>9670</v>
      </c>
      <c r="F3815" s="2" t="s">
        <v>11551</v>
      </c>
      <c r="G3815" s="2" t="s">
        <v>11551</v>
      </c>
      <c r="H3815" s="2" t="s">
        <v>11551</v>
      </c>
      <c r="I3815" s="2" t="s">
        <v>11552</v>
      </c>
      <c r="J3815" s="2" t="s">
        <v>706</v>
      </c>
      <c r="K3815" s="2" t="s">
        <v>156</v>
      </c>
      <c r="L3815" s="3">
        <v>22.29</v>
      </c>
      <c r="M3815" s="3">
        <v>23.4</v>
      </c>
      <c r="N3815" s="3">
        <v>49.99</v>
      </c>
      <c r="O3815" s="2" t="s">
        <v>97</v>
      </c>
      <c r="P3815" s="2" t="s">
        <v>225</v>
      </c>
      <c r="Q3815" s="2" t="s">
        <v>99</v>
      </c>
      <c r="R3815" s="2" t="s">
        <v>100</v>
      </c>
      <c r="S3815" s="2" t="s">
        <v>11559</v>
      </c>
      <c r="T3815" s="2" t="s">
        <v>280</v>
      </c>
      <c r="U3815" s="2" t="s">
        <v>402</v>
      </c>
      <c r="V3815" s="2" t="s">
        <v>146</v>
      </c>
      <c r="W3815" s="2" t="s">
        <v>183</v>
      </c>
      <c r="X3815" s="2" t="s">
        <v>100</v>
      </c>
      <c r="Y3815" s="2" t="s">
        <v>6073</v>
      </c>
      <c r="Z3815" s="4">
        <v>617</v>
      </c>
      <c r="AA3815" s="4">
        <f>=ROUNDDOWN(11.6415094339623,0)</f>
      </c>
      <c r="AB3815" s="5">
        <v>53</v>
      </c>
      <c r="AC3815" s="2" t="s">
        <v>320</v>
      </c>
      <c r="AD3815" s="4">
        <v>680</v>
      </c>
      <c r="AE3815" s="4">
        <v>884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/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/>
      <c r="BJ3815" s="4">
        <v>23</v>
      </c>
      <c r="BK3815" s="8">
        <v>550.24</v>
      </c>
      <c r="BL3815" s="2" t="s">
        <v>11564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207</v>
      </c>
      <c r="BV3815" s="2" t="s">
        <v>97</v>
      </c>
      <c r="BW3815" s="2" t="s">
        <v>100</v>
      </c>
      <c r="BX3815" s="2" t="s">
        <v>100</v>
      </c>
      <c r="BY3815" s="2" t="s">
        <v>113</v>
      </c>
      <c r="BZ3815" s="2" t="s">
        <v>245</v>
      </c>
    </row>
    <row r="3816">
      <c r="A3816" s="2" t="s">
        <v>11565</v>
      </c>
      <c r="B3816" s="2" t="s">
        <v>9668</v>
      </c>
      <c r="C3816" s="2" t="s">
        <v>3413</v>
      </c>
      <c r="D3816" s="2" t="s">
        <v>9669</v>
      </c>
      <c r="E3816" s="2" t="s">
        <v>9670</v>
      </c>
      <c r="F3816" s="2" t="s">
        <v>11551</v>
      </c>
      <c r="G3816" s="2" t="s">
        <v>11551</v>
      </c>
      <c r="H3816" s="2" t="s">
        <v>11551</v>
      </c>
      <c r="I3816" s="2" t="s">
        <v>11552</v>
      </c>
      <c r="J3816" s="2" t="s">
        <v>714</v>
      </c>
      <c r="K3816" s="2" t="s">
        <v>156</v>
      </c>
      <c r="L3816" s="3">
        <v>24.52</v>
      </c>
      <c r="M3816" s="3">
        <v>25.75</v>
      </c>
      <c r="N3816" s="3">
        <v>54.99</v>
      </c>
      <c r="O3816" s="2" t="s">
        <v>97</v>
      </c>
      <c r="P3816" s="2" t="s">
        <v>225</v>
      </c>
      <c r="Q3816" s="2" t="s">
        <v>99</v>
      </c>
      <c r="R3816" s="2" t="s">
        <v>100</v>
      </c>
      <c r="S3816" s="2" t="s">
        <v>11559</v>
      </c>
      <c r="T3816" s="2" t="s">
        <v>280</v>
      </c>
      <c r="U3816" s="2" t="s">
        <v>402</v>
      </c>
      <c r="V3816" s="2" t="s">
        <v>146</v>
      </c>
      <c r="W3816" s="2" t="s">
        <v>183</v>
      </c>
      <c r="X3816" s="2" t="s">
        <v>100</v>
      </c>
      <c r="Y3816" s="2" t="s">
        <v>6073</v>
      </c>
      <c r="Z3816" s="4">
        <v>381</v>
      </c>
      <c r="AA3816" s="4">
        <f>=ROUNDDOWN(10.2972972972973,0)</f>
      </c>
      <c r="AB3816" s="5">
        <v>37</v>
      </c>
      <c r="AC3816" s="2" t="s">
        <v>320</v>
      </c>
      <c r="AD3816" s="4">
        <v>468</v>
      </c>
      <c r="AE3816" s="4">
        <v>616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/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/>
      <c r="BJ3816" s="4">
        <v>23</v>
      </c>
      <c r="BK3816" s="8">
        <v>600.5</v>
      </c>
      <c r="BL3816" s="2" t="s">
        <v>11555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207</v>
      </c>
      <c r="BV3816" s="2" t="s">
        <v>97</v>
      </c>
      <c r="BW3816" s="2" t="s">
        <v>100</v>
      </c>
      <c r="BX3816" s="2" t="s">
        <v>100</v>
      </c>
      <c r="BY3816" s="2" t="s">
        <v>113</v>
      </c>
      <c r="BZ3816" s="2" t="s">
        <v>245</v>
      </c>
    </row>
    <row r="3817">
      <c r="A3817" s="2" t="s">
        <v>11566</v>
      </c>
      <c r="B3817" s="2" t="s">
        <v>9668</v>
      </c>
      <c r="C3817" s="2" t="s">
        <v>3413</v>
      </c>
      <c r="D3817" s="2" t="s">
        <v>9669</v>
      </c>
      <c r="E3817" s="2" t="s">
        <v>9670</v>
      </c>
      <c r="F3817" s="2" t="s">
        <v>11551</v>
      </c>
      <c r="G3817" s="2" t="s">
        <v>11551</v>
      </c>
      <c r="H3817" s="2" t="s">
        <v>11551</v>
      </c>
      <c r="I3817" s="2" t="s">
        <v>11552</v>
      </c>
      <c r="J3817" s="2" t="s">
        <v>817</v>
      </c>
      <c r="K3817" s="2" t="s">
        <v>156</v>
      </c>
      <c r="L3817" s="3">
        <v>24.52</v>
      </c>
      <c r="M3817" s="3">
        <v>25.75</v>
      </c>
      <c r="N3817" s="3">
        <v>54.99</v>
      </c>
      <c r="O3817" s="2" t="s">
        <v>97</v>
      </c>
      <c r="P3817" s="2" t="s">
        <v>225</v>
      </c>
      <c r="Q3817" s="2" t="s">
        <v>99</v>
      </c>
      <c r="R3817" s="2" t="s">
        <v>100</v>
      </c>
      <c r="S3817" s="2" t="s">
        <v>11559</v>
      </c>
      <c r="T3817" s="2" t="s">
        <v>280</v>
      </c>
      <c r="U3817" s="2" t="s">
        <v>402</v>
      </c>
      <c r="V3817" s="2" t="s">
        <v>146</v>
      </c>
      <c r="W3817" s="2" t="s">
        <v>183</v>
      </c>
      <c r="X3817" s="2" t="s">
        <v>100</v>
      </c>
      <c r="Y3817" s="2" t="s">
        <v>6073</v>
      </c>
      <c r="Z3817" s="4">
        <v>105</v>
      </c>
      <c r="AA3817" s="4">
        <f>=ROUNDDOWN(8.75,0)</f>
      </c>
      <c r="AB3817" s="5">
        <v>12</v>
      </c>
      <c r="AC3817" s="2" t="s">
        <v>320</v>
      </c>
      <c r="AD3817" s="4">
        <v>148</v>
      </c>
      <c r="AE3817" s="4">
        <v>216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100</v>
      </c>
      <c r="AW3817" s="8" t="s">
        <v>100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/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/>
      <c r="BJ3817" s="4">
        <v>8</v>
      </c>
      <c r="BK3817" s="8">
        <v>212.58</v>
      </c>
      <c r="BL3817" s="2" t="s">
        <v>11555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207</v>
      </c>
      <c r="BV3817" s="2" t="s">
        <v>97</v>
      </c>
      <c r="BW3817" s="2" t="s">
        <v>100</v>
      </c>
      <c r="BX3817" s="2" t="s">
        <v>100</v>
      </c>
      <c r="BY3817" s="2" t="s">
        <v>113</v>
      </c>
      <c r="BZ3817" s="2" t="s">
        <v>245</v>
      </c>
    </row>
    <row r="3818">
      <c r="A3818" s="2" t="s">
        <v>11567</v>
      </c>
      <c r="B3818" s="2" t="s">
        <v>9668</v>
      </c>
      <c r="C3818" s="2" t="s">
        <v>3413</v>
      </c>
      <c r="D3818" s="2" t="s">
        <v>9669</v>
      </c>
      <c r="E3818" s="2" t="s">
        <v>9670</v>
      </c>
      <c r="F3818" s="2" t="s">
        <v>11551</v>
      </c>
      <c r="G3818" s="2" t="s">
        <v>11551</v>
      </c>
      <c r="H3818" s="2" t="s">
        <v>11551</v>
      </c>
      <c r="I3818" s="2" t="s">
        <v>11552</v>
      </c>
      <c r="J3818" s="2" t="s">
        <v>717</v>
      </c>
      <c r="K3818" s="2" t="s">
        <v>1614</v>
      </c>
      <c r="L3818" s="3">
        <v>20.06</v>
      </c>
      <c r="M3818" s="3">
        <v>21.06</v>
      </c>
      <c r="N3818" s="3">
        <v>44.99</v>
      </c>
      <c r="O3818" s="2" t="s">
        <v>97</v>
      </c>
      <c r="P3818" s="2" t="s">
        <v>225</v>
      </c>
      <c r="Q3818" s="2" t="s">
        <v>99</v>
      </c>
      <c r="R3818" s="2" t="s">
        <v>100</v>
      </c>
      <c r="S3818" s="2" t="s">
        <v>11568</v>
      </c>
      <c r="T3818" s="2" t="s">
        <v>280</v>
      </c>
      <c r="U3818" s="2" t="s">
        <v>402</v>
      </c>
      <c r="V3818" s="2" t="s">
        <v>146</v>
      </c>
      <c r="W3818" s="2" t="s">
        <v>183</v>
      </c>
      <c r="X3818" s="2" t="s">
        <v>100</v>
      </c>
      <c r="Y3818" s="2" t="s">
        <v>11560</v>
      </c>
      <c r="Z3818" s="4">
        <v>249</v>
      </c>
      <c r="AA3818" s="4">
        <f>=ROUNDDOWN(9.96,0)</f>
      </c>
      <c r="AB3818" s="5">
        <v>25</v>
      </c>
      <c r="AC3818" s="2" t="s">
        <v>320</v>
      </c>
      <c r="AD3818" s="4">
        <v>320</v>
      </c>
      <c r="AE3818" s="4">
        <v>468</v>
      </c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8</v>
      </c>
      <c r="BK3818" s="8">
        <v>173.16</v>
      </c>
      <c r="BL3818" s="2" t="s">
        <v>11555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207</v>
      </c>
      <c r="BV3818" s="2" t="s">
        <v>97</v>
      </c>
      <c r="BW3818" s="2" t="s">
        <v>100</v>
      </c>
      <c r="BX3818" s="2" t="s">
        <v>100</v>
      </c>
      <c r="BY3818" s="2" t="s">
        <v>113</v>
      </c>
      <c r="BZ3818" s="2" t="s">
        <v>245</v>
      </c>
    </row>
    <row r="3819">
      <c r="A3819" s="2" t="s">
        <v>11569</v>
      </c>
      <c r="B3819" s="2" t="s">
        <v>9668</v>
      </c>
      <c r="C3819" s="2" t="s">
        <v>3413</v>
      </c>
      <c r="D3819" s="2" t="s">
        <v>9669</v>
      </c>
      <c r="E3819" s="2" t="s">
        <v>9670</v>
      </c>
      <c r="F3819" s="2" t="s">
        <v>11551</v>
      </c>
      <c r="G3819" s="2" t="s">
        <v>11551</v>
      </c>
      <c r="H3819" s="2" t="s">
        <v>11551</v>
      </c>
      <c r="I3819" s="2" t="s">
        <v>11552</v>
      </c>
      <c r="J3819" s="2" t="s">
        <v>706</v>
      </c>
      <c r="K3819" s="2" t="s">
        <v>1614</v>
      </c>
      <c r="L3819" s="3">
        <v>22.29</v>
      </c>
      <c r="M3819" s="3">
        <v>23.4</v>
      </c>
      <c r="N3819" s="3">
        <v>49.99</v>
      </c>
      <c r="O3819" s="2" t="s">
        <v>97</v>
      </c>
      <c r="P3819" s="2" t="s">
        <v>225</v>
      </c>
      <c r="Q3819" s="2" t="s">
        <v>99</v>
      </c>
      <c r="R3819" s="2" t="s">
        <v>100</v>
      </c>
      <c r="S3819" s="2" t="s">
        <v>11568</v>
      </c>
      <c r="T3819" s="2" t="s">
        <v>280</v>
      </c>
      <c r="U3819" s="2" t="s">
        <v>402</v>
      </c>
      <c r="V3819" s="2" t="s">
        <v>146</v>
      </c>
      <c r="W3819" s="2" t="s">
        <v>183</v>
      </c>
      <c r="X3819" s="2" t="s">
        <v>100</v>
      </c>
      <c r="Y3819" s="2" t="s">
        <v>11560</v>
      </c>
      <c r="Z3819" s="4">
        <v>514</v>
      </c>
      <c r="AA3819" s="4">
        <f>=ROUNDDOWN(10.28,0)</f>
      </c>
      <c r="AB3819" s="5">
        <v>50</v>
      </c>
      <c r="AC3819" s="2" t="s">
        <v>320</v>
      </c>
      <c r="AD3819" s="4">
        <v>660</v>
      </c>
      <c r="AE3819" s="4">
        <v>900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19</v>
      </c>
      <c r="BK3819" s="8">
        <v>446.56</v>
      </c>
      <c r="BL3819" s="2" t="s">
        <v>11570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207</v>
      </c>
      <c r="BV3819" s="2" t="s">
        <v>97</v>
      </c>
      <c r="BW3819" s="2" t="s">
        <v>100</v>
      </c>
      <c r="BX3819" s="2" t="s">
        <v>100</v>
      </c>
      <c r="BY3819" s="2" t="s">
        <v>113</v>
      </c>
      <c r="BZ3819" s="2" t="s">
        <v>245</v>
      </c>
    </row>
    <row r="3820">
      <c r="A3820" s="2" t="s">
        <v>11571</v>
      </c>
      <c r="B3820" s="2" t="s">
        <v>9668</v>
      </c>
      <c r="C3820" s="2" t="s">
        <v>3413</v>
      </c>
      <c r="D3820" s="2" t="s">
        <v>9669</v>
      </c>
      <c r="E3820" s="2" t="s">
        <v>9670</v>
      </c>
      <c r="F3820" s="2" t="s">
        <v>11551</v>
      </c>
      <c r="G3820" s="2" t="s">
        <v>11551</v>
      </c>
      <c r="H3820" s="2" t="s">
        <v>11551</v>
      </c>
      <c r="I3820" s="2" t="s">
        <v>11552</v>
      </c>
      <c r="J3820" s="2" t="s">
        <v>714</v>
      </c>
      <c r="K3820" s="2" t="s">
        <v>1614</v>
      </c>
      <c r="L3820" s="3">
        <v>24.52</v>
      </c>
      <c r="M3820" s="3">
        <v>25.75</v>
      </c>
      <c r="N3820" s="3">
        <v>54.99</v>
      </c>
      <c r="O3820" s="2" t="s">
        <v>97</v>
      </c>
      <c r="P3820" s="2" t="s">
        <v>225</v>
      </c>
      <c r="Q3820" s="2" t="s">
        <v>99</v>
      </c>
      <c r="R3820" s="2" t="s">
        <v>100</v>
      </c>
      <c r="S3820" s="2" t="s">
        <v>11568</v>
      </c>
      <c r="T3820" s="2" t="s">
        <v>280</v>
      </c>
      <c r="U3820" s="2" t="s">
        <v>402</v>
      </c>
      <c r="V3820" s="2" t="s">
        <v>146</v>
      </c>
      <c r="W3820" s="2" t="s">
        <v>183</v>
      </c>
      <c r="X3820" s="2" t="s">
        <v>100</v>
      </c>
      <c r="Y3820" s="2" t="s">
        <v>6073</v>
      </c>
      <c r="Z3820" s="4">
        <v>354</v>
      </c>
      <c r="AA3820" s="4">
        <f>=ROUNDDOWN(9.83333333333333,0)</f>
      </c>
      <c r="AB3820" s="5">
        <v>36</v>
      </c>
      <c r="AC3820" s="2" t="s">
        <v>320</v>
      </c>
      <c r="AD3820" s="4">
        <v>480</v>
      </c>
      <c r="AE3820" s="4">
        <v>652</v>
      </c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/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/>
      <c r="BJ3820" s="4">
        <v>13</v>
      </c>
      <c r="BK3820" s="8">
        <v>325.99</v>
      </c>
      <c r="BL3820" s="2" t="s">
        <v>11555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207</v>
      </c>
      <c r="BV3820" s="2" t="s">
        <v>97</v>
      </c>
      <c r="BW3820" s="2" t="s">
        <v>100</v>
      </c>
      <c r="BX3820" s="2" t="s">
        <v>100</v>
      </c>
      <c r="BY3820" s="2" t="s">
        <v>113</v>
      </c>
      <c r="BZ3820" s="2" t="s">
        <v>245</v>
      </c>
    </row>
    <row r="3821">
      <c r="A3821" s="2" t="s">
        <v>11572</v>
      </c>
      <c r="B3821" s="2" t="s">
        <v>9668</v>
      </c>
      <c r="C3821" s="2" t="s">
        <v>3413</v>
      </c>
      <c r="D3821" s="2" t="s">
        <v>9669</v>
      </c>
      <c r="E3821" s="2" t="s">
        <v>9670</v>
      </c>
      <c r="F3821" s="2" t="s">
        <v>11551</v>
      </c>
      <c r="G3821" s="2" t="s">
        <v>11551</v>
      </c>
      <c r="H3821" s="2" t="s">
        <v>11551</v>
      </c>
      <c r="I3821" s="2" t="s">
        <v>11552</v>
      </c>
      <c r="J3821" s="2" t="s">
        <v>817</v>
      </c>
      <c r="K3821" s="2" t="s">
        <v>1614</v>
      </c>
      <c r="L3821" s="3">
        <v>24.52</v>
      </c>
      <c r="M3821" s="3">
        <v>25.75</v>
      </c>
      <c r="N3821" s="3">
        <v>54.99</v>
      </c>
      <c r="O3821" s="2" t="s">
        <v>97</v>
      </c>
      <c r="P3821" s="2" t="s">
        <v>225</v>
      </c>
      <c r="Q3821" s="2" t="s">
        <v>99</v>
      </c>
      <c r="R3821" s="2" t="s">
        <v>100</v>
      </c>
      <c r="S3821" s="2" t="s">
        <v>11568</v>
      </c>
      <c r="T3821" s="2" t="s">
        <v>280</v>
      </c>
      <c r="U3821" s="2" t="s">
        <v>402</v>
      </c>
      <c r="V3821" s="2" t="s">
        <v>146</v>
      </c>
      <c r="W3821" s="2" t="s">
        <v>183</v>
      </c>
      <c r="X3821" s="2" t="s">
        <v>100</v>
      </c>
      <c r="Y3821" s="2" t="s">
        <v>6073</v>
      </c>
      <c r="Z3821" s="4">
        <v>139</v>
      </c>
      <c r="AA3821" s="4">
        <f>=ROUNDDOWN(10.6923076923077,0)</f>
      </c>
      <c r="AB3821" s="5">
        <v>13</v>
      </c>
      <c r="AC3821" s="2" t="s">
        <v>320</v>
      </c>
      <c r="AD3821" s="4">
        <v>168</v>
      </c>
      <c r="AE3821" s="4">
        <v>228</v>
      </c>
      <c r="AF3821" s="6">
        <v>66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/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/>
      <c r="BJ3821" s="4">
        <v>4</v>
      </c>
      <c r="BK3821" s="8">
        <v>107.87</v>
      </c>
      <c r="BL3821" s="2" t="s">
        <v>7546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207</v>
      </c>
      <c r="BV3821" s="2" t="s">
        <v>97</v>
      </c>
      <c r="BW3821" s="2" t="s">
        <v>100</v>
      </c>
      <c r="BX3821" s="2" t="s">
        <v>100</v>
      </c>
      <c r="BY3821" s="2" t="s">
        <v>113</v>
      </c>
      <c r="BZ3821" s="2" t="s">
        <v>245</v>
      </c>
    </row>
    <row r="3822">
      <c r="A3822" s="2" t="s">
        <v>11573</v>
      </c>
      <c r="B3822" s="2" t="s">
        <v>9668</v>
      </c>
      <c r="C3822" s="2" t="s">
        <v>3413</v>
      </c>
      <c r="D3822" s="2" t="s">
        <v>9669</v>
      </c>
      <c r="E3822" s="2" t="s">
        <v>9670</v>
      </c>
      <c r="F3822" s="2" t="s">
        <v>11551</v>
      </c>
      <c r="G3822" s="2" t="s">
        <v>11551</v>
      </c>
      <c r="H3822" s="2" t="s">
        <v>11551</v>
      </c>
      <c r="I3822" s="2" t="s">
        <v>11552</v>
      </c>
      <c r="J3822" s="2" t="s">
        <v>717</v>
      </c>
      <c r="K3822" s="2" t="s">
        <v>6337</v>
      </c>
      <c r="L3822" s="3">
        <v>20.06</v>
      </c>
      <c r="M3822" s="3">
        <v>21.06</v>
      </c>
      <c r="N3822" s="3">
        <v>44.99</v>
      </c>
      <c r="O3822" s="2" t="s">
        <v>97</v>
      </c>
      <c r="P3822" s="2" t="s">
        <v>225</v>
      </c>
      <c r="Q3822" s="2" t="s">
        <v>99</v>
      </c>
      <c r="R3822" s="2" t="s">
        <v>100</v>
      </c>
      <c r="S3822" s="2" t="s">
        <v>11574</v>
      </c>
      <c r="T3822" s="2" t="s">
        <v>280</v>
      </c>
      <c r="U3822" s="2" t="s">
        <v>402</v>
      </c>
      <c r="V3822" s="2" t="s">
        <v>146</v>
      </c>
      <c r="W3822" s="2" t="s">
        <v>183</v>
      </c>
      <c r="X3822" s="2" t="s">
        <v>100</v>
      </c>
      <c r="Y3822" s="2" t="s">
        <v>11560</v>
      </c>
      <c r="Z3822" s="4">
        <v>268</v>
      </c>
      <c r="AA3822" s="4">
        <f>=ROUNDDOWN(10.72,0)</f>
      </c>
      <c r="AB3822" s="5">
        <v>25</v>
      </c>
      <c r="AC3822" s="2" t="s">
        <v>320</v>
      </c>
      <c r="AD3822" s="4">
        <v>320</v>
      </c>
      <c r="AE3822" s="4">
        <v>468</v>
      </c>
      <c r="AF3822" s="6">
        <v>66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8</v>
      </c>
      <c r="BK3822" s="8">
        <v>171.45</v>
      </c>
      <c r="BL3822" s="2" t="s">
        <v>11555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207</v>
      </c>
      <c r="BV3822" s="2" t="s">
        <v>97</v>
      </c>
      <c r="BW3822" s="2" t="s">
        <v>100</v>
      </c>
      <c r="BX3822" s="2" t="s">
        <v>100</v>
      </c>
      <c r="BY3822" s="2" t="s">
        <v>113</v>
      </c>
      <c r="BZ3822" s="2" t="s">
        <v>245</v>
      </c>
    </row>
    <row r="3823">
      <c r="A3823" s="2" t="s">
        <v>11575</v>
      </c>
      <c r="B3823" s="2" t="s">
        <v>9668</v>
      </c>
      <c r="C3823" s="2" t="s">
        <v>3413</v>
      </c>
      <c r="D3823" s="2" t="s">
        <v>9669</v>
      </c>
      <c r="E3823" s="2" t="s">
        <v>9670</v>
      </c>
      <c r="F3823" s="2" t="s">
        <v>11551</v>
      </c>
      <c r="G3823" s="2" t="s">
        <v>11551</v>
      </c>
      <c r="H3823" s="2" t="s">
        <v>11551</v>
      </c>
      <c r="I3823" s="2" t="s">
        <v>11552</v>
      </c>
      <c r="J3823" s="2" t="s">
        <v>706</v>
      </c>
      <c r="K3823" s="2" t="s">
        <v>6337</v>
      </c>
      <c r="L3823" s="3">
        <v>22.29</v>
      </c>
      <c r="M3823" s="3">
        <v>23.4</v>
      </c>
      <c r="N3823" s="3">
        <v>49.99</v>
      </c>
      <c r="O3823" s="2" t="s">
        <v>97</v>
      </c>
      <c r="P3823" s="2" t="s">
        <v>225</v>
      </c>
      <c r="Q3823" s="2" t="s">
        <v>99</v>
      </c>
      <c r="R3823" s="2" t="s">
        <v>100</v>
      </c>
      <c r="S3823" s="2" t="s">
        <v>11574</v>
      </c>
      <c r="T3823" s="2" t="s">
        <v>280</v>
      </c>
      <c r="U3823" s="2" t="s">
        <v>402</v>
      </c>
      <c r="V3823" s="2" t="s">
        <v>146</v>
      </c>
      <c r="W3823" s="2" t="s">
        <v>183</v>
      </c>
      <c r="X3823" s="2" t="s">
        <v>100</v>
      </c>
      <c r="Y3823" s="2" t="s">
        <v>6073</v>
      </c>
      <c r="Z3823" s="4">
        <v>557</v>
      </c>
      <c r="AA3823" s="4">
        <f>=ROUNDDOWN(11.6041666666667,0)</f>
      </c>
      <c r="AB3823" s="5">
        <v>48</v>
      </c>
      <c r="AC3823" s="2" t="s">
        <v>320</v>
      </c>
      <c r="AD3823" s="4">
        <v>620</v>
      </c>
      <c r="AE3823" s="4">
        <v>860</v>
      </c>
      <c r="AF3823" s="6">
        <v>66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18</v>
      </c>
      <c r="BK3823" s="8">
        <v>427.73</v>
      </c>
      <c r="BL3823" s="2" t="s">
        <v>11555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207</v>
      </c>
      <c r="BV3823" s="2" t="s">
        <v>97</v>
      </c>
      <c r="BW3823" s="2" t="s">
        <v>100</v>
      </c>
      <c r="BX3823" s="2" t="s">
        <v>100</v>
      </c>
      <c r="BY3823" s="2" t="s">
        <v>113</v>
      </c>
      <c r="BZ3823" s="2" t="s">
        <v>245</v>
      </c>
    </row>
    <row r="3824">
      <c r="A3824" s="2" t="s">
        <v>11576</v>
      </c>
      <c r="B3824" s="2" t="s">
        <v>9668</v>
      </c>
      <c r="C3824" s="2" t="s">
        <v>3413</v>
      </c>
      <c r="D3824" s="2" t="s">
        <v>9669</v>
      </c>
      <c r="E3824" s="2" t="s">
        <v>9670</v>
      </c>
      <c r="F3824" s="2" t="s">
        <v>11551</v>
      </c>
      <c r="G3824" s="2" t="s">
        <v>11551</v>
      </c>
      <c r="H3824" s="2" t="s">
        <v>11551</v>
      </c>
      <c r="I3824" s="2" t="s">
        <v>11552</v>
      </c>
      <c r="J3824" s="2" t="s">
        <v>714</v>
      </c>
      <c r="K3824" s="2" t="s">
        <v>6337</v>
      </c>
      <c r="L3824" s="3">
        <v>24.52</v>
      </c>
      <c r="M3824" s="3">
        <v>25.75</v>
      </c>
      <c r="N3824" s="3">
        <v>54.99</v>
      </c>
      <c r="O3824" s="2" t="s">
        <v>97</v>
      </c>
      <c r="P3824" s="2" t="s">
        <v>225</v>
      </c>
      <c r="Q3824" s="2" t="s">
        <v>99</v>
      </c>
      <c r="R3824" s="2" t="s">
        <v>100</v>
      </c>
      <c r="S3824" s="2" t="s">
        <v>11574</v>
      </c>
      <c r="T3824" s="2" t="s">
        <v>280</v>
      </c>
      <c r="U3824" s="2" t="s">
        <v>402</v>
      </c>
      <c r="V3824" s="2" t="s">
        <v>146</v>
      </c>
      <c r="W3824" s="2" t="s">
        <v>183</v>
      </c>
      <c r="X3824" s="2" t="s">
        <v>100</v>
      </c>
      <c r="Y3824" s="2" t="s">
        <v>6073</v>
      </c>
      <c r="Z3824" s="4">
        <v>324</v>
      </c>
      <c r="AA3824" s="4">
        <f>=ROUNDDOWN(9.52941176470588,0)</f>
      </c>
      <c r="AB3824" s="5">
        <v>34</v>
      </c>
      <c r="AC3824" s="2" t="s">
        <v>320</v>
      </c>
      <c r="AD3824" s="4">
        <v>440</v>
      </c>
      <c r="AE3824" s="4">
        <v>612</v>
      </c>
      <c r="AF3824" s="6">
        <v>66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 t="s">
        <v>100</v>
      </c>
      <c r="AW3824" s="8" t="s">
        <v>100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/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/>
      <c r="BJ3824" s="4">
        <v>28</v>
      </c>
      <c r="BK3824" s="8">
        <v>721.44</v>
      </c>
      <c r="BL3824" s="2" t="s">
        <v>11555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207</v>
      </c>
      <c r="BV3824" s="2" t="s">
        <v>97</v>
      </c>
      <c r="BW3824" s="2" t="s">
        <v>100</v>
      </c>
      <c r="BX3824" s="2" t="s">
        <v>100</v>
      </c>
      <c r="BY3824" s="2" t="s">
        <v>113</v>
      </c>
      <c r="BZ3824" s="2" t="s">
        <v>245</v>
      </c>
    </row>
    <row r="3825">
      <c r="A3825" s="2" t="s">
        <v>11577</v>
      </c>
      <c r="B3825" s="2" t="s">
        <v>9668</v>
      </c>
      <c r="C3825" s="2" t="s">
        <v>3413</v>
      </c>
      <c r="D3825" s="2" t="s">
        <v>9669</v>
      </c>
      <c r="E3825" s="2" t="s">
        <v>9670</v>
      </c>
      <c r="F3825" s="2" t="s">
        <v>11551</v>
      </c>
      <c r="G3825" s="2" t="s">
        <v>11551</v>
      </c>
      <c r="H3825" s="2" t="s">
        <v>11551</v>
      </c>
      <c r="I3825" s="2" t="s">
        <v>11552</v>
      </c>
      <c r="J3825" s="2" t="s">
        <v>817</v>
      </c>
      <c r="K3825" s="2" t="s">
        <v>6337</v>
      </c>
      <c r="L3825" s="3">
        <v>24.52</v>
      </c>
      <c r="M3825" s="3">
        <v>25.75</v>
      </c>
      <c r="N3825" s="3">
        <v>54.99</v>
      </c>
      <c r="O3825" s="2" t="s">
        <v>97</v>
      </c>
      <c r="P3825" s="2" t="s">
        <v>225</v>
      </c>
      <c r="Q3825" s="2" t="s">
        <v>99</v>
      </c>
      <c r="R3825" s="2" t="s">
        <v>100</v>
      </c>
      <c r="S3825" s="2" t="s">
        <v>11574</v>
      </c>
      <c r="T3825" s="2" t="s">
        <v>280</v>
      </c>
      <c r="U3825" s="2" t="s">
        <v>402</v>
      </c>
      <c r="V3825" s="2" t="s">
        <v>146</v>
      </c>
      <c r="W3825" s="2" t="s">
        <v>183</v>
      </c>
      <c r="X3825" s="2" t="s">
        <v>100</v>
      </c>
      <c r="Y3825" s="2" t="s">
        <v>6073</v>
      </c>
      <c r="Z3825" s="4">
        <v>126</v>
      </c>
      <c r="AA3825" s="4">
        <f>=ROUNDDOWN(11.4545454545455,0)</f>
      </c>
      <c r="AB3825" s="5">
        <v>11</v>
      </c>
      <c r="AC3825" s="2" t="s">
        <v>320</v>
      </c>
      <c r="AD3825" s="4">
        <v>140</v>
      </c>
      <c r="AE3825" s="4">
        <v>200</v>
      </c>
      <c r="AF3825" s="6">
        <v>66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5</v>
      </c>
      <c r="BK3825" s="8">
        <v>136</v>
      </c>
      <c r="BL3825" s="2" t="s">
        <v>3765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207</v>
      </c>
      <c r="BV3825" s="2" t="s">
        <v>97</v>
      </c>
      <c r="BW3825" s="2" t="s">
        <v>100</v>
      </c>
      <c r="BX3825" s="2" t="s">
        <v>100</v>
      </c>
      <c r="BY3825" s="2" t="s">
        <v>113</v>
      </c>
      <c r="BZ3825" s="2" t="s">
        <v>245</v>
      </c>
    </row>
    <row r="3826">
      <c r="A3826" s="2" t="s">
        <v>11578</v>
      </c>
      <c r="B3826" s="2" t="s">
        <v>9668</v>
      </c>
      <c r="C3826" s="2" t="s">
        <v>3413</v>
      </c>
      <c r="D3826" s="2" t="s">
        <v>9669</v>
      </c>
      <c r="E3826" s="2" t="s">
        <v>9670</v>
      </c>
      <c r="F3826" s="2" t="s">
        <v>11551</v>
      </c>
      <c r="G3826" s="2" t="s">
        <v>11551</v>
      </c>
      <c r="H3826" s="2" t="s">
        <v>11551</v>
      </c>
      <c r="I3826" s="2" t="s">
        <v>11552</v>
      </c>
      <c r="J3826" s="2" t="s">
        <v>1936</v>
      </c>
      <c r="K3826" s="2" t="s">
        <v>189</v>
      </c>
      <c r="L3826" s="3">
        <v>17.83</v>
      </c>
      <c r="M3826" s="3">
        <v>18.72</v>
      </c>
      <c r="N3826" s="3">
        <v>39.99</v>
      </c>
      <c r="O3826" s="2" t="s">
        <v>97</v>
      </c>
      <c r="P3826" s="2" t="s">
        <v>225</v>
      </c>
      <c r="Q3826" s="2" t="s">
        <v>99</v>
      </c>
      <c r="R3826" s="2" t="s">
        <v>100</v>
      </c>
      <c r="S3826" s="2" t="s">
        <v>11579</v>
      </c>
      <c r="T3826" s="2" t="s">
        <v>280</v>
      </c>
      <c r="U3826" s="2" t="s">
        <v>480</v>
      </c>
      <c r="V3826" s="2" t="s">
        <v>146</v>
      </c>
      <c r="W3826" s="2" t="s">
        <v>183</v>
      </c>
      <c r="X3826" s="2" t="s">
        <v>100</v>
      </c>
      <c r="Y3826" s="2" t="s">
        <v>11560</v>
      </c>
      <c r="Z3826" s="4">
        <v>81</v>
      </c>
      <c r="AA3826" s="4">
        <f>=ROUNDDOWN(13.5,0)</f>
      </c>
      <c r="AB3826" s="5">
        <v>6</v>
      </c>
      <c r="AC3826" s="2" t="s">
        <v>320</v>
      </c>
      <c r="AD3826" s="4">
        <v>88</v>
      </c>
      <c r="AE3826" s="4">
        <v>88</v>
      </c>
      <c r="AF3826" s="6">
        <v>66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/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/>
      <c r="BJ3826" s="4">
        <v>3</v>
      </c>
      <c r="BK3826" s="8">
        <v>55.2</v>
      </c>
      <c r="BL3826" s="2" t="s">
        <v>3765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207</v>
      </c>
      <c r="BV3826" s="2" t="s">
        <v>97</v>
      </c>
      <c r="BW3826" s="2" t="s">
        <v>100</v>
      </c>
      <c r="BX3826" s="2" t="s">
        <v>100</v>
      </c>
      <c r="BY3826" s="2" t="s">
        <v>113</v>
      </c>
      <c r="BZ3826" s="2" t="s">
        <v>245</v>
      </c>
    </row>
    <row r="3827">
      <c r="A3827" s="2" t="s">
        <v>11580</v>
      </c>
      <c r="B3827" s="2" t="s">
        <v>9668</v>
      </c>
      <c r="C3827" s="2" t="s">
        <v>3413</v>
      </c>
      <c r="D3827" s="2" t="s">
        <v>9669</v>
      </c>
      <c r="E3827" s="2" t="s">
        <v>9670</v>
      </c>
      <c r="F3827" s="2" t="s">
        <v>11551</v>
      </c>
      <c r="G3827" s="2" t="s">
        <v>11551</v>
      </c>
      <c r="H3827" s="2" t="s">
        <v>11551</v>
      </c>
      <c r="I3827" s="2" t="s">
        <v>11552</v>
      </c>
      <c r="J3827" s="2" t="s">
        <v>2072</v>
      </c>
      <c r="K3827" s="2" t="s">
        <v>189</v>
      </c>
      <c r="L3827" s="3">
        <v>17.83</v>
      </c>
      <c r="M3827" s="3">
        <v>18.72</v>
      </c>
      <c r="N3827" s="3">
        <v>39.99</v>
      </c>
      <c r="O3827" s="2" t="s">
        <v>97</v>
      </c>
      <c r="P3827" s="2" t="s">
        <v>225</v>
      </c>
      <c r="Q3827" s="2" t="s">
        <v>99</v>
      </c>
      <c r="R3827" s="2" t="s">
        <v>100</v>
      </c>
      <c r="S3827" s="2" t="s">
        <v>11579</v>
      </c>
      <c r="T3827" s="2" t="s">
        <v>280</v>
      </c>
      <c r="U3827" s="2" t="s">
        <v>480</v>
      </c>
      <c r="V3827" s="2" t="s">
        <v>146</v>
      </c>
      <c r="W3827" s="2" t="s">
        <v>183</v>
      </c>
      <c r="X3827" s="2" t="s">
        <v>100</v>
      </c>
      <c r="Y3827" s="2" t="s">
        <v>11560</v>
      </c>
      <c r="Z3827" s="4">
        <v>79</v>
      </c>
      <c r="AA3827" s="4">
        <f>=ROUNDDOWN(13.1666666666667,0)</f>
      </c>
      <c r="AB3827" s="5">
        <v>6</v>
      </c>
      <c r="AC3827" s="2" t="s">
        <v>320</v>
      </c>
      <c r="AD3827" s="4">
        <v>80</v>
      </c>
      <c r="AE3827" s="4">
        <v>80</v>
      </c>
      <c r="AF3827" s="6">
        <v>66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/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/>
      <c r="BJ3827" s="4">
        <v>5</v>
      </c>
      <c r="BK3827" s="8">
        <v>94.59</v>
      </c>
      <c r="BL3827" s="2" t="s">
        <v>1212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207</v>
      </c>
      <c r="BV3827" s="2" t="s">
        <v>97</v>
      </c>
      <c r="BW3827" s="2" t="s">
        <v>100</v>
      </c>
      <c r="BX3827" s="2" t="s">
        <v>100</v>
      </c>
      <c r="BY3827" s="2" t="s">
        <v>113</v>
      </c>
      <c r="BZ3827" s="2" t="s">
        <v>245</v>
      </c>
    </row>
    <row r="3828">
      <c r="A3828" s="2" t="s">
        <v>11581</v>
      </c>
      <c r="B3828" s="2" t="s">
        <v>9668</v>
      </c>
      <c r="C3828" s="2" t="s">
        <v>3413</v>
      </c>
      <c r="D3828" s="2" t="s">
        <v>9669</v>
      </c>
      <c r="E3828" s="2" t="s">
        <v>9670</v>
      </c>
      <c r="F3828" s="2" t="s">
        <v>11551</v>
      </c>
      <c r="G3828" s="2" t="s">
        <v>11551</v>
      </c>
      <c r="H3828" s="2" t="s">
        <v>11551</v>
      </c>
      <c r="I3828" s="2" t="s">
        <v>11552</v>
      </c>
      <c r="J3828" s="2" t="s">
        <v>717</v>
      </c>
      <c r="K3828" s="2" t="s">
        <v>189</v>
      </c>
      <c r="L3828" s="3">
        <v>20.06</v>
      </c>
      <c r="M3828" s="3">
        <v>21.06</v>
      </c>
      <c r="N3828" s="3">
        <v>44.99</v>
      </c>
      <c r="O3828" s="2" t="s">
        <v>97</v>
      </c>
      <c r="P3828" s="2" t="s">
        <v>225</v>
      </c>
      <c r="Q3828" s="2" t="s">
        <v>99</v>
      </c>
      <c r="R3828" s="2" t="s">
        <v>100</v>
      </c>
      <c r="S3828" s="2" t="s">
        <v>11579</v>
      </c>
      <c r="T3828" s="2" t="s">
        <v>280</v>
      </c>
      <c r="U3828" s="2" t="s">
        <v>402</v>
      </c>
      <c r="V3828" s="2" t="s">
        <v>146</v>
      </c>
      <c r="W3828" s="2" t="s">
        <v>183</v>
      </c>
      <c r="X3828" s="2" t="s">
        <v>100</v>
      </c>
      <c r="Y3828" s="2" t="s">
        <v>5000</v>
      </c>
      <c r="Z3828" s="4">
        <v>191</v>
      </c>
      <c r="AA3828" s="4">
        <f>=ROUNDDOWN(12.7333333333333,0)</f>
      </c>
      <c r="AB3828" s="5">
        <v>15</v>
      </c>
      <c r="AC3828" s="2" t="s">
        <v>320</v>
      </c>
      <c r="AD3828" s="4">
        <v>208</v>
      </c>
      <c r="AE3828" s="4">
        <v>208</v>
      </c>
      <c r="AF3828" s="6">
        <v>66</v>
      </c>
      <c r="AG3828" s="6"/>
      <c r="AH3828" s="7">
        <v>0.3739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4</v>
      </c>
      <c r="BK3828" s="8">
        <v>90</v>
      </c>
      <c r="BL3828" s="2" t="s">
        <v>3765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207</v>
      </c>
      <c r="BV3828" s="2" t="s">
        <v>97</v>
      </c>
      <c r="BW3828" s="2" t="s">
        <v>100</v>
      </c>
      <c r="BX3828" s="2" t="s">
        <v>100</v>
      </c>
      <c r="BY3828" s="2" t="s">
        <v>113</v>
      </c>
      <c r="BZ3828" s="2" t="s">
        <v>245</v>
      </c>
    </row>
    <row r="3829">
      <c r="A3829" s="2" t="s">
        <v>11582</v>
      </c>
      <c r="B3829" s="2" t="s">
        <v>9668</v>
      </c>
      <c r="C3829" s="2" t="s">
        <v>3413</v>
      </c>
      <c r="D3829" s="2" t="s">
        <v>9669</v>
      </c>
      <c r="E3829" s="2" t="s">
        <v>9670</v>
      </c>
      <c r="F3829" s="2" t="s">
        <v>11551</v>
      </c>
      <c r="G3829" s="2" t="s">
        <v>11551</v>
      </c>
      <c r="H3829" s="2" t="s">
        <v>11551</v>
      </c>
      <c r="I3829" s="2" t="s">
        <v>11552</v>
      </c>
      <c r="J3829" s="2" t="s">
        <v>706</v>
      </c>
      <c r="K3829" s="2" t="s">
        <v>189</v>
      </c>
      <c r="L3829" s="3">
        <v>22.29</v>
      </c>
      <c r="M3829" s="3">
        <v>23.4</v>
      </c>
      <c r="N3829" s="3">
        <v>49.99</v>
      </c>
      <c r="O3829" s="2" t="s">
        <v>97</v>
      </c>
      <c r="P3829" s="2" t="s">
        <v>225</v>
      </c>
      <c r="Q3829" s="2" t="s">
        <v>99</v>
      </c>
      <c r="R3829" s="2" t="s">
        <v>100</v>
      </c>
      <c r="S3829" s="2" t="s">
        <v>11579</v>
      </c>
      <c r="T3829" s="2" t="s">
        <v>280</v>
      </c>
      <c r="U3829" s="2" t="s">
        <v>402</v>
      </c>
      <c r="V3829" s="2" t="s">
        <v>146</v>
      </c>
      <c r="W3829" s="2" t="s">
        <v>183</v>
      </c>
      <c r="X3829" s="2" t="s">
        <v>100</v>
      </c>
      <c r="Y3829" s="2" t="s">
        <v>11560</v>
      </c>
      <c r="Z3829" s="4">
        <v>565</v>
      </c>
      <c r="AA3829" s="4">
        <f>=ROUNDDOWN(13.780487804878,0)</f>
      </c>
      <c r="AB3829" s="5">
        <v>41</v>
      </c>
      <c r="AC3829" s="2" t="s">
        <v>320</v>
      </c>
      <c r="AD3829" s="4">
        <v>588</v>
      </c>
      <c r="AE3829" s="4">
        <v>588</v>
      </c>
      <c r="AF3829" s="6">
        <v>66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/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/>
      <c r="BJ3829" s="4">
        <v>20</v>
      </c>
      <c r="BK3829" s="8">
        <v>480</v>
      </c>
      <c r="BL3829" s="2" t="s">
        <v>3765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207</v>
      </c>
      <c r="BV3829" s="2" t="s">
        <v>97</v>
      </c>
      <c r="BW3829" s="2" t="s">
        <v>100</v>
      </c>
      <c r="BX3829" s="2" t="s">
        <v>100</v>
      </c>
      <c r="BY3829" s="2" t="s">
        <v>113</v>
      </c>
      <c r="BZ3829" s="2" t="s">
        <v>245</v>
      </c>
    </row>
    <row r="3830">
      <c r="A3830" s="2" t="s">
        <v>11583</v>
      </c>
      <c r="B3830" s="2" t="s">
        <v>9668</v>
      </c>
      <c r="C3830" s="2" t="s">
        <v>3413</v>
      </c>
      <c r="D3830" s="2" t="s">
        <v>9669</v>
      </c>
      <c r="E3830" s="2" t="s">
        <v>9670</v>
      </c>
      <c r="F3830" s="2" t="s">
        <v>11551</v>
      </c>
      <c r="G3830" s="2" t="s">
        <v>11551</v>
      </c>
      <c r="H3830" s="2" t="s">
        <v>11551</v>
      </c>
      <c r="I3830" s="2" t="s">
        <v>11552</v>
      </c>
      <c r="J3830" s="2" t="s">
        <v>714</v>
      </c>
      <c r="K3830" s="2" t="s">
        <v>189</v>
      </c>
      <c r="L3830" s="3">
        <v>24.52</v>
      </c>
      <c r="M3830" s="3">
        <v>25.75</v>
      </c>
      <c r="N3830" s="3">
        <v>54.99</v>
      </c>
      <c r="O3830" s="2" t="s">
        <v>97</v>
      </c>
      <c r="P3830" s="2" t="s">
        <v>225</v>
      </c>
      <c r="Q3830" s="2" t="s">
        <v>99</v>
      </c>
      <c r="R3830" s="2" t="s">
        <v>100</v>
      </c>
      <c r="S3830" s="2" t="s">
        <v>11579</v>
      </c>
      <c r="T3830" s="2" t="s">
        <v>280</v>
      </c>
      <c r="U3830" s="2" t="s">
        <v>402</v>
      </c>
      <c r="V3830" s="2" t="s">
        <v>146</v>
      </c>
      <c r="W3830" s="2" t="s">
        <v>183</v>
      </c>
      <c r="X3830" s="2" t="s">
        <v>100</v>
      </c>
      <c r="Y3830" s="2" t="s">
        <v>6073</v>
      </c>
      <c r="Z3830" s="4">
        <v>431</v>
      </c>
      <c r="AA3830" s="4">
        <f>=ROUNDDOWN(14.3666666666667,0)</f>
      </c>
      <c r="AB3830" s="5">
        <v>30</v>
      </c>
      <c r="AC3830" s="2" t="s">
        <v>320</v>
      </c>
      <c r="AD3830" s="4">
        <v>440</v>
      </c>
      <c r="AE3830" s="4">
        <v>440</v>
      </c>
      <c r="AF3830" s="6">
        <v>66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/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/>
      <c r="BJ3830" s="4">
        <v>4</v>
      </c>
      <c r="BK3830" s="8">
        <v>108.8</v>
      </c>
      <c r="BL3830" s="2" t="s">
        <v>3765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207</v>
      </c>
      <c r="BV3830" s="2" t="s">
        <v>97</v>
      </c>
      <c r="BW3830" s="2" t="s">
        <v>100</v>
      </c>
      <c r="BX3830" s="2" t="s">
        <v>100</v>
      </c>
      <c r="BY3830" s="2" t="s">
        <v>113</v>
      </c>
      <c r="BZ3830" s="2" t="s">
        <v>245</v>
      </c>
    </row>
    <row r="3831">
      <c r="A3831" s="2" t="s">
        <v>11584</v>
      </c>
      <c r="B3831" s="2" t="s">
        <v>9668</v>
      </c>
      <c r="C3831" s="2" t="s">
        <v>3413</v>
      </c>
      <c r="D3831" s="2" t="s">
        <v>9669</v>
      </c>
      <c r="E3831" s="2" t="s">
        <v>9670</v>
      </c>
      <c r="F3831" s="2" t="s">
        <v>11551</v>
      </c>
      <c r="G3831" s="2" t="s">
        <v>11551</v>
      </c>
      <c r="H3831" s="2" t="s">
        <v>11551</v>
      </c>
      <c r="I3831" s="2" t="s">
        <v>11552</v>
      </c>
      <c r="J3831" s="2" t="s">
        <v>817</v>
      </c>
      <c r="K3831" s="2" t="s">
        <v>189</v>
      </c>
      <c r="L3831" s="3">
        <v>24.52</v>
      </c>
      <c r="M3831" s="3">
        <v>25.75</v>
      </c>
      <c r="N3831" s="3">
        <v>54.99</v>
      </c>
      <c r="O3831" s="2" t="s">
        <v>97</v>
      </c>
      <c r="P3831" s="2" t="s">
        <v>225</v>
      </c>
      <c r="Q3831" s="2" t="s">
        <v>99</v>
      </c>
      <c r="R3831" s="2" t="s">
        <v>100</v>
      </c>
      <c r="S3831" s="2" t="s">
        <v>11579</v>
      </c>
      <c r="T3831" s="2" t="s">
        <v>280</v>
      </c>
      <c r="U3831" s="2" t="s">
        <v>402</v>
      </c>
      <c r="V3831" s="2" t="s">
        <v>146</v>
      </c>
      <c r="W3831" s="2" t="s">
        <v>183</v>
      </c>
      <c r="X3831" s="2" t="s">
        <v>100</v>
      </c>
      <c r="Y3831" s="2" t="s">
        <v>6073</v>
      </c>
      <c r="Z3831" s="4">
        <v>134</v>
      </c>
      <c r="AA3831" s="4">
        <f>=ROUNDDOWN(14.8888888888889,0)</f>
      </c>
      <c r="AB3831" s="5">
        <v>9</v>
      </c>
      <c r="AC3831" s="2" t="s">
        <v>320</v>
      </c>
      <c r="AD3831" s="4">
        <v>140</v>
      </c>
      <c r="AE3831" s="4">
        <v>140</v>
      </c>
      <c r="AF3831" s="6">
        <v>66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/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/>
      <c r="BJ3831" s="4">
        <v>1</v>
      </c>
      <c r="BK3831" s="8">
        <v>27.2</v>
      </c>
      <c r="BL3831" s="2" t="s">
        <v>3765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207</v>
      </c>
      <c r="BV3831" s="2" t="s">
        <v>97</v>
      </c>
      <c r="BW3831" s="2" t="s">
        <v>100</v>
      </c>
      <c r="BX3831" s="2" t="s">
        <v>100</v>
      </c>
      <c r="BY3831" s="2" t="s">
        <v>113</v>
      </c>
      <c r="BZ3831" s="2" t="s">
        <v>245</v>
      </c>
    </row>
    <row r="3832">
      <c r="A3832" s="2" t="s">
        <v>11585</v>
      </c>
      <c r="B3832" s="2" t="s">
        <v>11586</v>
      </c>
      <c r="C3832" s="2" t="s">
        <v>88</v>
      </c>
      <c r="D3832" s="2" t="s">
        <v>11587</v>
      </c>
      <c r="E3832" s="2" t="s">
        <v>5508</v>
      </c>
      <c r="F3832" s="2" t="s">
        <v>5076</v>
      </c>
      <c r="G3832" s="2" t="s">
        <v>5076</v>
      </c>
      <c r="H3832" s="2" t="s">
        <v>5076</v>
      </c>
      <c r="I3832" s="2" t="s">
        <v>11588</v>
      </c>
      <c r="J3832" s="2" t="s">
        <v>5510</v>
      </c>
      <c r="K3832" s="2" t="s">
        <v>189</v>
      </c>
      <c r="L3832" s="3">
        <v>24</v>
      </c>
      <c r="M3832" s="3">
        <v>25.2</v>
      </c>
      <c r="N3832" s="3">
        <v>49.99</v>
      </c>
      <c r="O3832" s="2" t="s">
        <v>97</v>
      </c>
      <c r="P3832" s="2" t="s">
        <v>950</v>
      </c>
      <c r="Q3832" s="2" t="s">
        <v>99</v>
      </c>
      <c r="R3832" s="2" t="s">
        <v>100</v>
      </c>
      <c r="S3832" s="2" t="s">
        <v>11589</v>
      </c>
      <c r="T3832" s="2" t="s">
        <v>100</v>
      </c>
      <c r="U3832" s="2" t="s">
        <v>102</v>
      </c>
      <c r="V3832" s="2" t="s">
        <v>146</v>
      </c>
      <c r="W3832" s="2" t="s">
        <v>561</v>
      </c>
      <c r="X3832" s="2" t="s">
        <v>100</v>
      </c>
      <c r="Y3832" s="2" t="s">
        <v>620</v>
      </c>
      <c r="Z3832" s="4"/>
      <c r="AA3832" s="4">
        <f>=ROUNDDOWN({0},0)</f>
      </c>
      <c r="AB3832" s="5">
        <v>67</v>
      </c>
      <c r="AC3832" s="2" t="s">
        <v>562</v>
      </c>
      <c r="AD3832" s="4">
        <v>797</v>
      </c>
      <c r="AE3832" s="4">
        <v>3327</v>
      </c>
      <c r="AF3832" s="6">
        <v>73</v>
      </c>
      <c r="AG3832" s="6"/>
      <c r="AH3832" s="7">
        <v>0.6578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>
        <v>22</v>
      </c>
      <c r="AQ3832" s="8">
        <v>548.9</v>
      </c>
      <c r="AR3832" s="4"/>
      <c r="AS3832" s="8"/>
      <c r="AT3832" s="7"/>
      <c r="AU3832" s="7"/>
      <c r="AV3832" s="4">
        <v>22</v>
      </c>
      <c r="AW3832" s="8">
        <v>548.9</v>
      </c>
      <c r="AX3832" s="4"/>
      <c r="AY3832" s="8"/>
      <c r="AZ3832" s="7"/>
      <c r="BA3832" s="7"/>
      <c r="BB3832" s="7">
        <v>1</v>
      </c>
      <c r="BC3832" s="4">
        <v>68</v>
      </c>
      <c r="BD3832" s="8">
        <v>1697.1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0.3234</v>
      </c>
      <c r="BJ3832" s="4">
        <v>1426</v>
      </c>
      <c r="BK3832" s="8">
        <v>36046.44</v>
      </c>
      <c r="BL3832" s="2" t="s">
        <v>11590</v>
      </c>
      <c r="BM3832" s="7">
        <v>0.0154</v>
      </c>
      <c r="BN3832" s="7">
        <v>0.0152</v>
      </c>
      <c r="BO3832" s="4">
        <v>22</v>
      </c>
      <c r="BP3832" s="8">
        <v>548.9</v>
      </c>
      <c r="BQ3832" s="4"/>
      <c r="BR3832" s="8"/>
      <c r="BS3832" s="7"/>
      <c r="BT3832" s="7"/>
      <c r="BU3832" s="2" t="s">
        <v>109</v>
      </c>
      <c r="BV3832" s="2" t="s">
        <v>110</v>
      </c>
      <c r="BW3832" s="2" t="s">
        <v>10253</v>
      </c>
      <c r="BX3832" s="2" t="s">
        <v>11591</v>
      </c>
      <c r="BY3832" s="2" t="s">
        <v>113</v>
      </c>
      <c r="BZ3832" s="2" t="s">
        <v>100</v>
      </c>
    </row>
    <row r="3833">
      <c r="A3833" s="2" t="s">
        <v>11592</v>
      </c>
      <c r="B3833" s="2" t="s">
        <v>11586</v>
      </c>
      <c r="C3833" s="2" t="s">
        <v>88</v>
      </c>
      <c r="D3833" s="2" t="s">
        <v>11587</v>
      </c>
      <c r="E3833" s="2" t="s">
        <v>5508</v>
      </c>
      <c r="F3833" s="2" t="s">
        <v>5076</v>
      </c>
      <c r="G3833" s="2" t="s">
        <v>5076</v>
      </c>
      <c r="H3833" s="2" t="s">
        <v>5076</v>
      </c>
      <c r="I3833" s="2" t="s">
        <v>11588</v>
      </c>
      <c r="J3833" s="2" t="s">
        <v>5510</v>
      </c>
      <c r="K3833" s="2" t="s">
        <v>512</v>
      </c>
      <c r="L3833" s="3">
        <v>24</v>
      </c>
      <c r="M3833" s="3">
        <v>25.2</v>
      </c>
      <c r="N3833" s="3">
        <v>49.99</v>
      </c>
      <c r="O3833" s="2" t="s">
        <v>97</v>
      </c>
      <c r="P3833" s="2" t="s">
        <v>119</v>
      </c>
      <c r="Q3833" s="2" t="s">
        <v>99</v>
      </c>
      <c r="R3833" s="2" t="s">
        <v>100</v>
      </c>
      <c r="S3833" s="2" t="s">
        <v>11589</v>
      </c>
      <c r="T3833" s="2" t="s">
        <v>100</v>
      </c>
      <c r="U3833" s="2" t="s">
        <v>102</v>
      </c>
      <c r="V3833" s="2" t="s">
        <v>146</v>
      </c>
      <c r="W3833" s="2" t="s">
        <v>561</v>
      </c>
      <c r="X3833" s="2" t="s">
        <v>100</v>
      </c>
      <c r="Y3833" s="2" t="s">
        <v>620</v>
      </c>
      <c r="Z3833" s="4">
        <v>7</v>
      </c>
      <c r="AA3833" s="4">
        <f>=ROUNDDOWN(0.109375,0)</f>
      </c>
      <c r="AB3833" s="5">
        <v>64</v>
      </c>
      <c r="AC3833" s="2" t="s">
        <v>562</v>
      </c>
      <c r="AD3833" s="4">
        <v>831</v>
      </c>
      <c r="AE3833" s="4">
        <v>2301</v>
      </c>
      <c r="AF3833" s="6">
        <v>73</v>
      </c>
      <c r="AG3833" s="6"/>
      <c r="AH3833" s="7">
        <v>0.9893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>
        <v>18</v>
      </c>
      <c r="AQ3833" s="8">
        <v>449.1</v>
      </c>
      <c r="AR3833" s="4"/>
      <c r="AS3833" s="8"/>
      <c r="AT3833" s="7"/>
      <c r="AU3833" s="7"/>
      <c r="AV3833" s="4">
        <v>18</v>
      </c>
      <c r="AW3833" s="8">
        <v>449.1</v>
      </c>
      <c r="AX3833" s="4"/>
      <c r="AY3833" s="8"/>
      <c r="AZ3833" s="7"/>
      <c r="BA3833" s="7"/>
      <c r="BB3833" s="7">
        <v>1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0.2646</v>
      </c>
      <c r="BJ3833" s="4">
        <v>1641</v>
      </c>
      <c r="BK3833" s="8">
        <v>41988.46</v>
      </c>
      <c r="BL3833" s="2" t="s">
        <v>11593</v>
      </c>
      <c r="BM3833" s="7">
        <v>0.011</v>
      </c>
      <c r="BN3833" s="7">
        <v>0.0107</v>
      </c>
      <c r="BO3833" s="4">
        <v>18</v>
      </c>
      <c r="BP3833" s="8">
        <v>449.1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4012</v>
      </c>
      <c r="BX3833" s="2" t="s">
        <v>11594</v>
      </c>
      <c r="BY3833" s="2" t="s">
        <v>113</v>
      </c>
      <c r="BZ3833" s="2" t="s">
        <v>100</v>
      </c>
    </row>
    <row r="3834">
      <c r="A3834" s="2" t="s">
        <v>11595</v>
      </c>
      <c r="B3834" s="2" t="s">
        <v>11586</v>
      </c>
      <c r="C3834" s="2" t="s">
        <v>88</v>
      </c>
      <c r="D3834" s="2" t="s">
        <v>11587</v>
      </c>
      <c r="E3834" s="2" t="s">
        <v>5508</v>
      </c>
      <c r="F3834" s="2" t="s">
        <v>5076</v>
      </c>
      <c r="G3834" s="2" t="s">
        <v>5076</v>
      </c>
      <c r="H3834" s="2" t="s">
        <v>5076</v>
      </c>
      <c r="I3834" s="2" t="s">
        <v>11588</v>
      </c>
      <c r="J3834" s="2" t="s">
        <v>5510</v>
      </c>
      <c r="K3834" s="2" t="s">
        <v>3560</v>
      </c>
      <c r="L3834" s="3">
        <v>24</v>
      </c>
      <c r="M3834" s="3">
        <v>25.2</v>
      </c>
      <c r="N3834" s="3">
        <v>49.99</v>
      </c>
      <c r="O3834" s="2" t="s">
        <v>97</v>
      </c>
      <c r="P3834" s="2" t="s">
        <v>119</v>
      </c>
      <c r="Q3834" s="2" t="s">
        <v>99</v>
      </c>
      <c r="R3834" s="2" t="s">
        <v>100</v>
      </c>
      <c r="S3834" s="2" t="s">
        <v>11589</v>
      </c>
      <c r="T3834" s="2" t="s">
        <v>280</v>
      </c>
      <c r="U3834" s="2" t="s">
        <v>102</v>
      </c>
      <c r="V3834" s="2" t="s">
        <v>146</v>
      </c>
      <c r="W3834" s="2" t="s">
        <v>561</v>
      </c>
      <c r="X3834" s="2" t="s">
        <v>183</v>
      </c>
      <c r="Y3834" s="2" t="s">
        <v>11596</v>
      </c>
      <c r="Z3834" s="4">
        <v>252</v>
      </c>
      <c r="AA3834" s="4">
        <f>=ROUNDDOWN(7,0)</f>
      </c>
      <c r="AB3834" s="5">
        <v>36</v>
      </c>
      <c r="AC3834" s="2" t="s">
        <v>562</v>
      </c>
      <c r="AD3834" s="4">
        <v>824</v>
      </c>
      <c r="AE3834" s="4">
        <v>2084</v>
      </c>
      <c r="AF3834" s="6">
        <v>73</v>
      </c>
      <c r="AG3834" s="6"/>
      <c r="AH3834" s="7">
        <v>0.8075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>
        <v>11</v>
      </c>
      <c r="AQ3834" s="8">
        <v>274.45</v>
      </c>
      <c r="AR3834" s="4"/>
      <c r="AS3834" s="8"/>
      <c r="AT3834" s="7"/>
      <c r="AU3834" s="7"/>
      <c r="AV3834" s="4">
        <v>11</v>
      </c>
      <c r="AW3834" s="8">
        <v>274.45</v>
      </c>
      <c r="AX3834" s="4"/>
      <c r="AY3834" s="8"/>
      <c r="AZ3834" s="7"/>
      <c r="BA3834" s="7"/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0.1617</v>
      </c>
      <c r="BJ3834" s="4">
        <v>923</v>
      </c>
      <c r="BK3834" s="8">
        <v>22683.51</v>
      </c>
      <c r="BL3834" s="2" t="s">
        <v>11597</v>
      </c>
      <c r="BM3834" s="7">
        <v>0.0119</v>
      </c>
      <c r="BN3834" s="7">
        <v>0.0121</v>
      </c>
      <c r="BO3834" s="4">
        <v>11</v>
      </c>
      <c r="BP3834" s="8">
        <v>274.45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10253</v>
      </c>
      <c r="BX3834" s="2" t="s">
        <v>1679</v>
      </c>
      <c r="BY3834" s="2" t="s">
        <v>113</v>
      </c>
      <c r="BZ3834" s="2" t="s">
        <v>100</v>
      </c>
    </row>
    <row r="3835">
      <c r="A3835" s="2" t="s">
        <v>11598</v>
      </c>
      <c r="B3835" s="2" t="s">
        <v>11586</v>
      </c>
      <c r="C3835" s="2" t="s">
        <v>88</v>
      </c>
      <c r="D3835" s="2" t="s">
        <v>11587</v>
      </c>
      <c r="E3835" s="2" t="s">
        <v>5508</v>
      </c>
      <c r="F3835" s="2" t="s">
        <v>5076</v>
      </c>
      <c r="G3835" s="2" t="s">
        <v>5076</v>
      </c>
      <c r="H3835" s="2" t="s">
        <v>5076</v>
      </c>
      <c r="I3835" s="2" t="s">
        <v>11588</v>
      </c>
      <c r="J3835" s="2" t="s">
        <v>5510</v>
      </c>
      <c r="K3835" s="2" t="s">
        <v>118</v>
      </c>
      <c r="L3835" s="3">
        <v>24</v>
      </c>
      <c r="M3835" s="3">
        <v>25.2</v>
      </c>
      <c r="N3835" s="3">
        <v>49.99</v>
      </c>
      <c r="O3835" s="2" t="s">
        <v>97</v>
      </c>
      <c r="P3835" s="2" t="s">
        <v>119</v>
      </c>
      <c r="Q3835" s="2" t="s">
        <v>99</v>
      </c>
      <c r="R3835" s="2" t="s">
        <v>100</v>
      </c>
      <c r="S3835" s="2" t="s">
        <v>11589</v>
      </c>
      <c r="T3835" s="2" t="s">
        <v>100</v>
      </c>
      <c r="U3835" s="2" t="s">
        <v>102</v>
      </c>
      <c r="V3835" s="2" t="s">
        <v>146</v>
      </c>
      <c r="W3835" s="2" t="s">
        <v>561</v>
      </c>
      <c r="X3835" s="2" t="s">
        <v>100</v>
      </c>
      <c r="Y3835" s="2" t="s">
        <v>620</v>
      </c>
      <c r="Z3835" s="4"/>
      <c r="AA3835" s="4">
        <f>=ROUNDDOWN({0},0)</f>
      </c>
      <c r="AB3835" s="5">
        <v>41</v>
      </c>
      <c r="AC3835" s="2" t="s">
        <v>562</v>
      </c>
      <c r="AD3835" s="4">
        <v>610</v>
      </c>
      <c r="AE3835" s="4">
        <v>1880</v>
      </c>
      <c r="AF3835" s="6">
        <v>73</v>
      </c>
      <c r="AG3835" s="6"/>
      <c r="AH3835" s="7">
        <v>0.9251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>
        <v>7</v>
      </c>
      <c r="AQ3835" s="8">
        <v>174.65</v>
      </c>
      <c r="AR3835" s="4"/>
      <c r="AS3835" s="8"/>
      <c r="AT3835" s="7"/>
      <c r="AU3835" s="7"/>
      <c r="AV3835" s="4">
        <v>7</v>
      </c>
      <c r="AW3835" s="8">
        <v>174.65</v>
      </c>
      <c r="AX3835" s="4"/>
      <c r="AY3835" s="8"/>
      <c r="AZ3835" s="7"/>
      <c r="BA3835" s="7"/>
      <c r="BB3835" s="7">
        <v>1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>
        <v>0.1029</v>
      </c>
      <c r="BJ3835" s="4">
        <v>1062</v>
      </c>
      <c r="BK3835" s="8">
        <v>26468.65</v>
      </c>
      <c r="BL3835" s="2" t="s">
        <v>11599</v>
      </c>
      <c r="BM3835" s="7">
        <v>0.0066</v>
      </c>
      <c r="BN3835" s="7">
        <v>0.0066</v>
      </c>
      <c r="BO3835" s="4">
        <v>7</v>
      </c>
      <c r="BP3835" s="8">
        <v>174.65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10253</v>
      </c>
      <c r="BX3835" s="2" t="s">
        <v>435</v>
      </c>
      <c r="BY3835" s="2" t="s">
        <v>113</v>
      </c>
      <c r="BZ3835" s="2" t="s">
        <v>100</v>
      </c>
    </row>
    <row r="3836">
      <c r="A3836" s="2" t="s">
        <v>11600</v>
      </c>
      <c r="B3836" s="2" t="s">
        <v>11586</v>
      </c>
      <c r="C3836" s="2" t="s">
        <v>88</v>
      </c>
      <c r="D3836" s="2" t="s">
        <v>11587</v>
      </c>
      <c r="E3836" s="2" t="s">
        <v>5508</v>
      </c>
      <c r="F3836" s="2" t="s">
        <v>5076</v>
      </c>
      <c r="G3836" s="2" t="s">
        <v>5076</v>
      </c>
      <c r="H3836" s="2" t="s">
        <v>5076</v>
      </c>
      <c r="I3836" s="2" t="s">
        <v>11588</v>
      </c>
      <c r="J3836" s="2" t="s">
        <v>5510</v>
      </c>
      <c r="K3836" s="2" t="s">
        <v>858</v>
      </c>
      <c r="L3836" s="3">
        <v>24</v>
      </c>
      <c r="M3836" s="3">
        <v>25.2</v>
      </c>
      <c r="N3836" s="3">
        <v>49.99</v>
      </c>
      <c r="O3836" s="2" t="s">
        <v>97</v>
      </c>
      <c r="P3836" s="2" t="s">
        <v>950</v>
      </c>
      <c r="Q3836" s="2" t="s">
        <v>99</v>
      </c>
      <c r="R3836" s="2" t="s">
        <v>100</v>
      </c>
      <c r="S3836" s="2" t="s">
        <v>11589</v>
      </c>
      <c r="T3836" s="2" t="s">
        <v>100</v>
      </c>
      <c r="U3836" s="2" t="s">
        <v>102</v>
      </c>
      <c r="V3836" s="2" t="s">
        <v>146</v>
      </c>
      <c r="W3836" s="2" t="s">
        <v>561</v>
      </c>
      <c r="X3836" s="2" t="s">
        <v>100</v>
      </c>
      <c r="Y3836" s="2" t="s">
        <v>620</v>
      </c>
      <c r="Z3836" s="4"/>
      <c r="AA3836" s="4">
        <f>=ROUNDDOWN({0},0)</f>
      </c>
      <c r="AB3836" s="5">
        <v>71</v>
      </c>
      <c r="AC3836" s="2" t="s">
        <v>562</v>
      </c>
      <c r="AD3836" s="4">
        <v>625</v>
      </c>
      <c r="AE3836" s="4">
        <v>2745</v>
      </c>
      <c r="AF3836" s="6">
        <v>73</v>
      </c>
      <c r="AG3836" s="6"/>
      <c r="AH3836" s="7">
        <v>0.9305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>
        <v>6</v>
      </c>
      <c r="AQ3836" s="8">
        <v>149.7</v>
      </c>
      <c r="AR3836" s="4"/>
      <c r="AS3836" s="8"/>
      <c r="AT3836" s="7"/>
      <c r="AU3836" s="7"/>
      <c r="AV3836" s="4">
        <v>6</v>
      </c>
      <c r="AW3836" s="8">
        <v>149.7</v>
      </c>
      <c r="AX3836" s="4"/>
      <c r="AY3836" s="8"/>
      <c r="AZ3836" s="7"/>
      <c r="BA3836" s="7"/>
      <c r="BB3836" s="7">
        <v>1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0.0882</v>
      </c>
      <c r="BJ3836" s="4">
        <v>1830</v>
      </c>
      <c r="BK3836" s="8">
        <v>44865.33</v>
      </c>
      <c r="BL3836" s="2" t="s">
        <v>11601</v>
      </c>
      <c r="BM3836" s="7">
        <v>0.0033</v>
      </c>
      <c r="BN3836" s="7">
        <v>0.0033</v>
      </c>
      <c r="BO3836" s="4">
        <v>6</v>
      </c>
      <c r="BP3836" s="8">
        <v>149.7</v>
      </c>
      <c r="BQ3836" s="4"/>
      <c r="BR3836" s="8"/>
      <c r="BS3836" s="7"/>
      <c r="BT3836" s="7"/>
      <c r="BU3836" s="2" t="s">
        <v>109</v>
      </c>
      <c r="BV3836" s="2" t="s">
        <v>110</v>
      </c>
      <c r="BW3836" s="2" t="s">
        <v>11602</v>
      </c>
      <c r="BX3836" s="2" t="s">
        <v>11603</v>
      </c>
      <c r="BY3836" s="2" t="s">
        <v>113</v>
      </c>
      <c r="BZ3836" s="2" t="s">
        <v>100</v>
      </c>
    </row>
    <row r="3837">
      <c r="A3837" s="2" t="s">
        <v>11604</v>
      </c>
      <c r="B3837" s="2" t="s">
        <v>11586</v>
      </c>
      <c r="C3837" s="2" t="s">
        <v>88</v>
      </c>
      <c r="D3837" s="2" t="s">
        <v>11587</v>
      </c>
      <c r="E3837" s="2" t="s">
        <v>5508</v>
      </c>
      <c r="F3837" s="2" t="s">
        <v>5076</v>
      </c>
      <c r="G3837" s="2" t="s">
        <v>5076</v>
      </c>
      <c r="H3837" s="2" t="s">
        <v>5076</v>
      </c>
      <c r="I3837" s="2" t="s">
        <v>11588</v>
      </c>
      <c r="J3837" s="2" t="s">
        <v>5510</v>
      </c>
      <c r="K3837" s="2" t="s">
        <v>2477</v>
      </c>
      <c r="L3837" s="3">
        <v>24</v>
      </c>
      <c r="M3837" s="3">
        <v>25.2</v>
      </c>
      <c r="N3837" s="3">
        <v>49.99</v>
      </c>
      <c r="O3837" s="2" t="s">
        <v>97</v>
      </c>
      <c r="P3837" s="2" t="s">
        <v>119</v>
      </c>
      <c r="Q3837" s="2" t="s">
        <v>99</v>
      </c>
      <c r="R3837" s="2" t="s">
        <v>100</v>
      </c>
      <c r="S3837" s="2" t="s">
        <v>11589</v>
      </c>
      <c r="T3837" s="2" t="s">
        <v>280</v>
      </c>
      <c r="U3837" s="2" t="s">
        <v>102</v>
      </c>
      <c r="V3837" s="2" t="s">
        <v>146</v>
      </c>
      <c r="W3837" s="2" t="s">
        <v>561</v>
      </c>
      <c r="X3837" s="2" t="s">
        <v>100</v>
      </c>
      <c r="Y3837" s="2" t="s">
        <v>4540</v>
      </c>
      <c r="Z3837" s="4"/>
      <c r="AA3837" s="4">
        <f>=ROUNDDOWN({0},0)</f>
      </c>
      <c r="AB3837" s="5">
        <v>71</v>
      </c>
      <c r="AC3837" s="2" t="s">
        <v>562</v>
      </c>
      <c r="AD3837" s="4">
        <v>840</v>
      </c>
      <c r="AE3837" s="4">
        <v>3580</v>
      </c>
      <c r="AF3837" s="6">
        <v>73</v>
      </c>
      <c r="AG3837" s="6"/>
      <c r="AH3837" s="7">
        <v>0.5775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/>
      <c r="AP3837" s="4">
        <v>2</v>
      </c>
      <c r="AQ3837" s="8">
        <v>50.4</v>
      </c>
      <c r="AR3837" s="4"/>
      <c r="AS3837" s="8"/>
      <c r="AT3837" s="7"/>
      <c r="AU3837" s="7"/>
      <c r="AV3837" s="4">
        <v>2</v>
      </c>
      <c r="AW3837" s="8">
        <v>50.4</v>
      </c>
      <c r="AX3837" s="4"/>
      <c r="AY3837" s="8"/>
      <c r="AZ3837" s="7"/>
      <c r="BA3837" s="7"/>
      <c r="BB3837" s="7">
        <v>1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0.0297</v>
      </c>
      <c r="BJ3837" s="4">
        <v>1171</v>
      </c>
      <c r="BK3837" s="8">
        <v>29484.2</v>
      </c>
      <c r="BL3837" s="2" t="s">
        <v>11605</v>
      </c>
      <c r="BM3837" s="7">
        <v>0.0017</v>
      </c>
      <c r="BN3837" s="7">
        <v>0.0017</v>
      </c>
      <c r="BO3837" s="4">
        <v>2</v>
      </c>
      <c r="BP3837" s="8">
        <v>50.4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11606</v>
      </c>
      <c r="BX3837" s="2" t="s">
        <v>6842</v>
      </c>
      <c r="BY3837" s="2" t="s">
        <v>113</v>
      </c>
      <c r="BZ3837" s="2" t="s">
        <v>100</v>
      </c>
    </row>
    <row r="3838">
      <c r="A3838" s="2" t="s">
        <v>11607</v>
      </c>
      <c r="B3838" s="2" t="s">
        <v>11586</v>
      </c>
      <c r="C3838" s="2" t="s">
        <v>88</v>
      </c>
      <c r="D3838" s="2" t="s">
        <v>11587</v>
      </c>
      <c r="E3838" s="2" t="s">
        <v>5508</v>
      </c>
      <c r="F3838" s="2" t="s">
        <v>5076</v>
      </c>
      <c r="G3838" s="2" t="s">
        <v>5076</v>
      </c>
      <c r="H3838" s="2" t="s">
        <v>5076</v>
      </c>
      <c r="I3838" s="2" t="s">
        <v>11588</v>
      </c>
      <c r="J3838" s="2" t="s">
        <v>5510</v>
      </c>
      <c r="K3838" s="2" t="s">
        <v>198</v>
      </c>
      <c r="L3838" s="3">
        <v>24</v>
      </c>
      <c r="M3838" s="3">
        <v>25.2</v>
      </c>
      <c r="N3838" s="3">
        <v>49.99</v>
      </c>
      <c r="O3838" s="2" t="s">
        <v>97</v>
      </c>
      <c r="P3838" s="2" t="s">
        <v>950</v>
      </c>
      <c r="Q3838" s="2" t="s">
        <v>99</v>
      </c>
      <c r="R3838" s="2" t="s">
        <v>100</v>
      </c>
      <c r="S3838" s="2" t="s">
        <v>11589</v>
      </c>
      <c r="T3838" s="2" t="s">
        <v>100</v>
      </c>
      <c r="U3838" s="2" t="s">
        <v>102</v>
      </c>
      <c r="V3838" s="2" t="s">
        <v>146</v>
      </c>
      <c r="W3838" s="2" t="s">
        <v>561</v>
      </c>
      <c r="X3838" s="2" t="s">
        <v>100</v>
      </c>
      <c r="Y3838" s="2" t="s">
        <v>620</v>
      </c>
      <c r="Z3838" s="4">
        <v>452</v>
      </c>
      <c r="AA3838" s="4">
        <f>=ROUNDDOWN(10.2727272727273,0)</f>
      </c>
      <c r="AB3838" s="5">
        <v>44</v>
      </c>
      <c r="AC3838" s="2" t="s">
        <v>266</v>
      </c>
      <c r="AD3838" s="4">
        <v>407</v>
      </c>
      <c r="AE3838" s="4">
        <v>1457</v>
      </c>
      <c r="AF3838" s="6">
        <v>73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>
        <v>2</v>
      </c>
      <c r="AQ3838" s="8">
        <v>49.9</v>
      </c>
      <c r="AR3838" s="4"/>
      <c r="AS3838" s="8"/>
      <c r="AT3838" s="7"/>
      <c r="AU3838" s="7"/>
      <c r="AV3838" s="4">
        <v>2</v>
      </c>
      <c r="AW3838" s="8">
        <v>49.9</v>
      </c>
      <c r="AX3838" s="4"/>
      <c r="AY3838" s="8"/>
      <c r="AZ3838" s="7"/>
      <c r="BA3838" s="7"/>
      <c r="BB3838" s="7">
        <v>1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0.0294</v>
      </c>
      <c r="BJ3838" s="4">
        <v>1059</v>
      </c>
      <c r="BK3838" s="8">
        <v>26294</v>
      </c>
      <c r="BL3838" s="2" t="s">
        <v>11608</v>
      </c>
      <c r="BM3838" s="7">
        <v>0.0019</v>
      </c>
      <c r="BN3838" s="7">
        <v>0.0019</v>
      </c>
      <c r="BO3838" s="4">
        <v>2</v>
      </c>
      <c r="BP3838" s="8">
        <v>49.9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10253</v>
      </c>
      <c r="BX3838" s="2" t="s">
        <v>11594</v>
      </c>
      <c r="BY3838" s="2" t="s">
        <v>113</v>
      </c>
      <c r="BZ3838" s="2" t="s">
        <v>100</v>
      </c>
    </row>
    <row r="3839">
      <c r="A3839" s="2" t="s">
        <v>11609</v>
      </c>
      <c r="B3839" s="2" t="s">
        <v>11586</v>
      </c>
      <c r="C3839" s="2" t="s">
        <v>88</v>
      </c>
      <c r="D3839" s="2" t="s">
        <v>11587</v>
      </c>
      <c r="E3839" s="2" t="s">
        <v>5508</v>
      </c>
      <c r="F3839" s="2" t="s">
        <v>11610</v>
      </c>
      <c r="G3839" s="2" t="s">
        <v>11610</v>
      </c>
      <c r="H3839" s="2" t="s">
        <v>11610</v>
      </c>
      <c r="I3839" s="2" t="s">
        <v>11611</v>
      </c>
      <c r="J3839" s="2" t="s">
        <v>5510</v>
      </c>
      <c r="K3839" s="2" t="s">
        <v>198</v>
      </c>
      <c r="L3839" s="3">
        <v>26.4</v>
      </c>
      <c r="M3839" s="3">
        <v>27.72</v>
      </c>
      <c r="N3839" s="3">
        <v>54.99</v>
      </c>
      <c r="O3839" s="2" t="s">
        <v>97</v>
      </c>
      <c r="P3839" s="2" t="s">
        <v>119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102</v>
      </c>
      <c r="V3839" s="2" t="s">
        <v>146</v>
      </c>
      <c r="W3839" s="2" t="s">
        <v>561</v>
      </c>
      <c r="X3839" s="2" t="s">
        <v>100</v>
      </c>
      <c r="Y3839" s="2" t="s">
        <v>2054</v>
      </c>
      <c r="Z3839" s="4">
        <v>158</v>
      </c>
      <c r="AA3839" s="4">
        <f>=ROUNDDOWN(2.92592592592593,0)</f>
      </c>
      <c r="AB3839" s="5">
        <v>54</v>
      </c>
      <c r="AC3839" s="2" t="s">
        <v>562</v>
      </c>
      <c r="AD3839" s="4">
        <v>701</v>
      </c>
      <c r="AE3839" s="4">
        <v>2278</v>
      </c>
      <c r="AF3839" s="6">
        <v>73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>
        <v>26</v>
      </c>
      <c r="AQ3839" s="8">
        <v>750.88</v>
      </c>
      <c r="AR3839" s="4"/>
      <c r="AS3839" s="8"/>
      <c r="AT3839" s="7"/>
      <c r="AU3839" s="7"/>
      <c r="AV3839" s="4">
        <v>26</v>
      </c>
      <c r="AW3839" s="8">
        <v>750.88</v>
      </c>
      <c r="AX3839" s="4"/>
      <c r="AY3839" s="8"/>
      <c r="AZ3839" s="7"/>
      <c r="BA3839" s="7"/>
      <c r="BB3839" s="7">
        <v>1</v>
      </c>
      <c r="BC3839" s="4">
        <v>36</v>
      </c>
      <c r="BD3839" s="8">
        <v>1039.68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0.7222</v>
      </c>
      <c r="BJ3839" s="4">
        <v>1300</v>
      </c>
      <c r="BK3839" s="8">
        <v>36330.79</v>
      </c>
      <c r="BL3839" s="2" t="s">
        <v>11612</v>
      </c>
      <c r="BM3839" s="7">
        <v>0.02</v>
      </c>
      <c r="BN3839" s="7">
        <v>0.0207</v>
      </c>
      <c r="BO3839" s="4">
        <v>26</v>
      </c>
      <c r="BP3839" s="8">
        <v>750.88</v>
      </c>
      <c r="BQ3839" s="4"/>
      <c r="BR3839" s="8"/>
      <c r="BS3839" s="7"/>
      <c r="BT3839" s="7"/>
      <c r="BU3839" s="2" t="s">
        <v>109</v>
      </c>
      <c r="BV3839" s="2" t="s">
        <v>110</v>
      </c>
      <c r="BW3839" s="2" t="s">
        <v>5359</v>
      </c>
      <c r="BX3839" s="2" t="s">
        <v>11613</v>
      </c>
      <c r="BY3839" s="2" t="s">
        <v>113</v>
      </c>
      <c r="BZ3839" s="2" t="s">
        <v>100</v>
      </c>
    </row>
    <row r="3840">
      <c r="A3840" s="2" t="s">
        <v>11614</v>
      </c>
      <c r="B3840" s="2" t="s">
        <v>11586</v>
      </c>
      <c r="C3840" s="2" t="s">
        <v>88</v>
      </c>
      <c r="D3840" s="2" t="s">
        <v>11587</v>
      </c>
      <c r="E3840" s="2" t="s">
        <v>5508</v>
      </c>
      <c r="F3840" s="2" t="s">
        <v>11610</v>
      </c>
      <c r="G3840" s="2" t="s">
        <v>11610</v>
      </c>
      <c r="H3840" s="2" t="s">
        <v>11610</v>
      </c>
      <c r="I3840" s="2" t="s">
        <v>11611</v>
      </c>
      <c r="J3840" s="2" t="s">
        <v>5510</v>
      </c>
      <c r="K3840" s="2" t="s">
        <v>118</v>
      </c>
      <c r="L3840" s="3">
        <v>26.4</v>
      </c>
      <c r="M3840" s="3">
        <v>27.72</v>
      </c>
      <c r="N3840" s="3">
        <v>54.99</v>
      </c>
      <c r="O3840" s="2" t="s">
        <v>97</v>
      </c>
      <c r="P3840" s="2" t="s">
        <v>950</v>
      </c>
      <c r="Q3840" s="2" t="s">
        <v>99</v>
      </c>
      <c r="R3840" s="2" t="s">
        <v>100</v>
      </c>
      <c r="S3840" s="2" t="s">
        <v>11615</v>
      </c>
      <c r="T3840" s="2" t="s">
        <v>280</v>
      </c>
      <c r="U3840" s="2" t="s">
        <v>102</v>
      </c>
      <c r="V3840" s="2" t="s">
        <v>146</v>
      </c>
      <c r="W3840" s="2" t="s">
        <v>561</v>
      </c>
      <c r="X3840" s="2" t="s">
        <v>100</v>
      </c>
      <c r="Y3840" s="2" t="s">
        <v>11596</v>
      </c>
      <c r="Z3840" s="4">
        <v>342</v>
      </c>
      <c r="AA3840" s="4">
        <f>=ROUNDDOWN(7.27659574468085,0)</f>
      </c>
      <c r="AB3840" s="5">
        <v>47</v>
      </c>
      <c r="AC3840" s="2" t="s">
        <v>266</v>
      </c>
      <c r="AD3840" s="4">
        <v>350</v>
      </c>
      <c r="AE3840" s="4">
        <v>1755</v>
      </c>
      <c r="AF3840" s="6">
        <v>73</v>
      </c>
      <c r="AG3840" s="6"/>
      <c r="AH3840" s="7">
        <v>0.8877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>
        <v>6</v>
      </c>
      <c r="AQ3840" s="8">
        <v>173.28</v>
      </c>
      <c r="AR3840" s="4"/>
      <c r="AS3840" s="8"/>
      <c r="AT3840" s="7"/>
      <c r="AU3840" s="7"/>
      <c r="AV3840" s="4">
        <v>6</v>
      </c>
      <c r="AW3840" s="8">
        <v>173.28</v>
      </c>
      <c r="AX3840" s="4"/>
      <c r="AY3840" s="8"/>
      <c r="AZ3840" s="7"/>
      <c r="BA3840" s="7"/>
      <c r="BB3840" s="7">
        <v>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0.1667</v>
      </c>
      <c r="BJ3840" s="4">
        <v>1125</v>
      </c>
      <c r="BK3840" s="8">
        <v>31839.19</v>
      </c>
      <c r="BL3840" s="2" t="s">
        <v>11616</v>
      </c>
      <c r="BM3840" s="7">
        <v>0.0053</v>
      </c>
      <c r="BN3840" s="7">
        <v>0.0054</v>
      </c>
      <c r="BO3840" s="4">
        <v>6</v>
      </c>
      <c r="BP3840" s="8">
        <v>173.28</v>
      </c>
      <c r="BQ3840" s="4"/>
      <c r="BR3840" s="8"/>
      <c r="BS3840" s="7"/>
      <c r="BT3840" s="7"/>
      <c r="BU3840" s="2" t="s">
        <v>109</v>
      </c>
      <c r="BV3840" s="2" t="s">
        <v>110</v>
      </c>
      <c r="BW3840" s="2" t="s">
        <v>11617</v>
      </c>
      <c r="BX3840" s="2" t="s">
        <v>9707</v>
      </c>
      <c r="BY3840" s="2" t="s">
        <v>113</v>
      </c>
      <c r="BZ3840" s="2" t="s">
        <v>100</v>
      </c>
    </row>
    <row r="3841">
      <c r="A3841" s="2" t="s">
        <v>11618</v>
      </c>
      <c r="B3841" s="2" t="s">
        <v>11586</v>
      </c>
      <c r="C3841" s="2" t="s">
        <v>88</v>
      </c>
      <c r="D3841" s="2" t="s">
        <v>11587</v>
      </c>
      <c r="E3841" s="2" t="s">
        <v>5508</v>
      </c>
      <c r="F3841" s="2" t="s">
        <v>11610</v>
      </c>
      <c r="G3841" s="2" t="s">
        <v>11610</v>
      </c>
      <c r="H3841" s="2" t="s">
        <v>11610</v>
      </c>
      <c r="I3841" s="2" t="s">
        <v>11611</v>
      </c>
      <c r="J3841" s="2" t="s">
        <v>5510</v>
      </c>
      <c r="K3841" s="2" t="s">
        <v>1614</v>
      </c>
      <c r="L3841" s="3">
        <v>26.4</v>
      </c>
      <c r="M3841" s="3">
        <v>27.72</v>
      </c>
      <c r="N3841" s="3">
        <v>54.99</v>
      </c>
      <c r="O3841" s="2" t="s">
        <v>97</v>
      </c>
      <c r="P3841" s="2" t="s">
        <v>119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102</v>
      </c>
      <c r="V3841" s="2" t="s">
        <v>146</v>
      </c>
      <c r="W3841" s="2" t="s">
        <v>561</v>
      </c>
      <c r="X3841" s="2" t="s">
        <v>100</v>
      </c>
      <c r="Y3841" s="2" t="s">
        <v>2054</v>
      </c>
      <c r="Z3841" s="4">
        <v>244</v>
      </c>
      <c r="AA3841" s="4">
        <f>=ROUNDDOWN(5.08333333333333,0)</f>
      </c>
      <c r="AB3841" s="5">
        <v>48</v>
      </c>
      <c r="AC3841" s="2" t="s">
        <v>562</v>
      </c>
      <c r="AD3841" s="4">
        <v>347</v>
      </c>
      <c r="AE3841" s="4">
        <v>1745</v>
      </c>
      <c r="AF3841" s="6">
        <v>73</v>
      </c>
      <c r="AG3841" s="6"/>
      <c r="AH3841" s="7">
        <v>0.8449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/>
      <c r="AP3841" s="4">
        <v>3</v>
      </c>
      <c r="AQ3841" s="8">
        <v>86.64</v>
      </c>
      <c r="AR3841" s="4"/>
      <c r="AS3841" s="8"/>
      <c r="AT3841" s="7"/>
      <c r="AU3841" s="7"/>
      <c r="AV3841" s="4">
        <v>3</v>
      </c>
      <c r="AW3841" s="8">
        <v>86.64</v>
      </c>
      <c r="AX3841" s="4"/>
      <c r="AY3841" s="8"/>
      <c r="AZ3841" s="7"/>
      <c r="BA3841" s="7"/>
      <c r="BB3841" s="7">
        <v>1</v>
      </c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0.0833</v>
      </c>
      <c r="BJ3841" s="4">
        <v>904</v>
      </c>
      <c r="BK3841" s="8">
        <v>25676.41</v>
      </c>
      <c r="BL3841" s="2" t="s">
        <v>11619</v>
      </c>
      <c r="BM3841" s="7">
        <v>0.0033</v>
      </c>
      <c r="BN3841" s="7">
        <v>0.0034</v>
      </c>
      <c r="BO3841" s="4">
        <v>3</v>
      </c>
      <c r="BP3841" s="8">
        <v>86.64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5359</v>
      </c>
      <c r="BX3841" s="2" t="s">
        <v>1925</v>
      </c>
      <c r="BY3841" s="2" t="s">
        <v>113</v>
      </c>
      <c r="BZ3841" s="2" t="s">
        <v>100</v>
      </c>
    </row>
    <row r="3842">
      <c r="A3842" s="2" t="s">
        <v>11620</v>
      </c>
      <c r="B3842" s="2" t="s">
        <v>11586</v>
      </c>
      <c r="C3842" s="2" t="s">
        <v>88</v>
      </c>
      <c r="D3842" s="2" t="s">
        <v>11587</v>
      </c>
      <c r="E3842" s="2" t="s">
        <v>5508</v>
      </c>
      <c r="F3842" s="2" t="s">
        <v>11610</v>
      </c>
      <c r="G3842" s="2" t="s">
        <v>11610</v>
      </c>
      <c r="H3842" s="2" t="s">
        <v>11610</v>
      </c>
      <c r="I3842" s="2" t="s">
        <v>11611</v>
      </c>
      <c r="J3842" s="2" t="s">
        <v>5510</v>
      </c>
      <c r="K3842" s="2" t="s">
        <v>1172</v>
      </c>
      <c r="L3842" s="3">
        <v>26.4</v>
      </c>
      <c r="M3842" s="3">
        <v>27.72</v>
      </c>
      <c r="N3842" s="3">
        <v>54.99</v>
      </c>
      <c r="O3842" s="2" t="s">
        <v>97</v>
      </c>
      <c r="P3842" s="2" t="s">
        <v>950</v>
      </c>
      <c r="Q3842" s="2" t="s">
        <v>99</v>
      </c>
      <c r="R3842" s="2" t="s">
        <v>100</v>
      </c>
      <c r="S3842" s="2" t="s">
        <v>11615</v>
      </c>
      <c r="T3842" s="2" t="s">
        <v>280</v>
      </c>
      <c r="U3842" s="2" t="s">
        <v>102</v>
      </c>
      <c r="V3842" s="2" t="s">
        <v>146</v>
      </c>
      <c r="W3842" s="2" t="s">
        <v>561</v>
      </c>
      <c r="X3842" s="2" t="s">
        <v>183</v>
      </c>
      <c r="Y3842" s="2" t="s">
        <v>11621</v>
      </c>
      <c r="Z3842" s="4">
        <v>331</v>
      </c>
      <c r="AA3842" s="4">
        <f>=ROUNDDOWN(7.69767441860465,0)</f>
      </c>
      <c r="AB3842" s="5">
        <v>43</v>
      </c>
      <c r="AC3842" s="2" t="s">
        <v>562</v>
      </c>
      <c r="AD3842" s="4">
        <v>511</v>
      </c>
      <c r="AE3842" s="4">
        <v>1908</v>
      </c>
      <c r="AF3842" s="6">
        <v>73</v>
      </c>
      <c r="AG3842" s="6"/>
      <c r="AH3842" s="7">
        <v>0.8984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>
        <v>1</v>
      </c>
      <c r="AQ3842" s="8">
        <v>28.88</v>
      </c>
      <c r="AR3842" s="4"/>
      <c r="AS3842" s="8"/>
      <c r="AT3842" s="7"/>
      <c r="AU3842" s="7"/>
      <c r="AV3842" s="4">
        <v>1</v>
      </c>
      <c r="AW3842" s="8">
        <v>28.88</v>
      </c>
      <c r="AX3842" s="4"/>
      <c r="AY3842" s="8"/>
      <c r="AZ3842" s="7"/>
      <c r="BA3842" s="7"/>
      <c r="BB3842" s="7">
        <v>1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>
        <v>0.0278</v>
      </c>
      <c r="BJ3842" s="4">
        <v>999</v>
      </c>
      <c r="BK3842" s="8">
        <v>27679.88</v>
      </c>
      <c r="BL3842" s="2" t="s">
        <v>11622</v>
      </c>
      <c r="BM3842" s="7">
        <v>0.001</v>
      </c>
      <c r="BN3842" s="7">
        <v>0.001</v>
      </c>
      <c r="BO3842" s="4">
        <v>1</v>
      </c>
      <c r="BP3842" s="8">
        <v>28.88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840</v>
      </c>
      <c r="BX3842" s="2" t="s">
        <v>1029</v>
      </c>
      <c r="BY3842" s="2" t="s">
        <v>113</v>
      </c>
      <c r="BZ3842" s="2" t="s">
        <v>100</v>
      </c>
    </row>
    <row r="3843">
      <c r="A3843" s="2" t="s">
        <v>11623</v>
      </c>
      <c r="B3843" s="2" t="s">
        <v>11586</v>
      </c>
      <c r="C3843" s="2" t="s">
        <v>88</v>
      </c>
      <c r="D3843" s="2" t="s">
        <v>11587</v>
      </c>
      <c r="E3843" s="2" t="s">
        <v>5508</v>
      </c>
      <c r="F3843" s="2" t="s">
        <v>11610</v>
      </c>
      <c r="G3843" s="2" t="s">
        <v>11610</v>
      </c>
      <c r="H3843" s="2" t="s">
        <v>11610</v>
      </c>
      <c r="I3843" s="2" t="s">
        <v>11611</v>
      </c>
      <c r="J3843" s="2" t="s">
        <v>5510</v>
      </c>
      <c r="K3843" s="2" t="s">
        <v>2477</v>
      </c>
      <c r="L3843" s="3">
        <v>26.4</v>
      </c>
      <c r="M3843" s="3">
        <v>27.72</v>
      </c>
      <c r="N3843" s="3">
        <v>54.99</v>
      </c>
      <c r="O3843" s="2" t="s">
        <v>97</v>
      </c>
      <c r="P3843" s="2" t="s">
        <v>119</v>
      </c>
      <c r="Q3843" s="2" t="s">
        <v>99</v>
      </c>
      <c r="R3843" s="2" t="s">
        <v>100</v>
      </c>
      <c r="S3843" s="2" t="s">
        <v>11615</v>
      </c>
      <c r="T3843" s="2" t="s">
        <v>280</v>
      </c>
      <c r="U3843" s="2" t="s">
        <v>102</v>
      </c>
      <c r="V3843" s="2" t="s">
        <v>146</v>
      </c>
      <c r="W3843" s="2" t="s">
        <v>561</v>
      </c>
      <c r="X3843" s="2" t="s">
        <v>100</v>
      </c>
      <c r="Y3843" s="2" t="s">
        <v>11624</v>
      </c>
      <c r="Z3843" s="4">
        <v>129</v>
      </c>
      <c r="AA3843" s="4">
        <f>=ROUNDDOWN(3.07142857142857,0)</f>
      </c>
      <c r="AB3843" s="5">
        <v>42</v>
      </c>
      <c r="AC3843" s="2" t="s">
        <v>562</v>
      </c>
      <c r="AD3843" s="4">
        <v>530</v>
      </c>
      <c r="AE3843" s="4">
        <v>1580</v>
      </c>
      <c r="AF3843" s="6">
        <v>73</v>
      </c>
      <c r="AG3843" s="6"/>
      <c r="AH3843" s="7">
        <v>0.8182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/>
      <c r="BJ3843" s="4">
        <v>788</v>
      </c>
      <c r="BK3843" s="8">
        <v>21818.12</v>
      </c>
      <c r="BL3843" s="2" t="s">
        <v>548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207</v>
      </c>
      <c r="BV3843" s="2" t="s">
        <v>97</v>
      </c>
      <c r="BW3843" s="2" t="s">
        <v>100</v>
      </c>
      <c r="BX3843" s="2" t="s">
        <v>100</v>
      </c>
      <c r="BY3843" s="2" t="s">
        <v>113</v>
      </c>
      <c r="BZ3843" s="2" t="s">
        <v>245</v>
      </c>
    </row>
    <row r="3844">
      <c r="A3844" s="2" t="s">
        <v>11625</v>
      </c>
      <c r="B3844" s="2" t="s">
        <v>11586</v>
      </c>
      <c r="C3844" s="2" t="s">
        <v>88</v>
      </c>
      <c r="D3844" s="2" t="s">
        <v>11587</v>
      </c>
      <c r="E3844" s="2" t="s">
        <v>5508</v>
      </c>
      <c r="F3844" s="2" t="s">
        <v>11610</v>
      </c>
      <c r="G3844" s="2" t="s">
        <v>11610</v>
      </c>
      <c r="H3844" s="2" t="s">
        <v>11610</v>
      </c>
      <c r="I3844" s="2" t="s">
        <v>11611</v>
      </c>
      <c r="J3844" s="2" t="s">
        <v>5510</v>
      </c>
      <c r="K3844" s="2" t="s">
        <v>360</v>
      </c>
      <c r="L3844" s="3">
        <v>26.4</v>
      </c>
      <c r="M3844" s="3">
        <v>27.72</v>
      </c>
      <c r="N3844" s="3">
        <v>54.99</v>
      </c>
      <c r="O3844" s="2" t="s">
        <v>97</v>
      </c>
      <c r="P3844" s="2" t="s">
        <v>119</v>
      </c>
      <c r="Q3844" s="2" t="s">
        <v>99</v>
      </c>
      <c r="R3844" s="2" t="s">
        <v>100</v>
      </c>
      <c r="S3844" s="2" t="s">
        <v>11615</v>
      </c>
      <c r="T3844" s="2" t="s">
        <v>280</v>
      </c>
      <c r="U3844" s="2" t="s">
        <v>102</v>
      </c>
      <c r="V3844" s="2" t="s">
        <v>146</v>
      </c>
      <c r="W3844" s="2" t="s">
        <v>561</v>
      </c>
      <c r="X3844" s="2" t="s">
        <v>100</v>
      </c>
      <c r="Y3844" s="2" t="s">
        <v>11624</v>
      </c>
      <c r="Z3844" s="4">
        <v>304</v>
      </c>
      <c r="AA3844" s="4">
        <f>=ROUNDDOWN(8.44444444444444,0)</f>
      </c>
      <c r="AB3844" s="5">
        <v>36</v>
      </c>
      <c r="AC3844" s="2" t="s">
        <v>266</v>
      </c>
      <c r="AD3844" s="4">
        <v>170</v>
      </c>
      <c r="AE3844" s="4">
        <v>1052</v>
      </c>
      <c r="AF3844" s="6">
        <v>73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/>
      <c r="BJ3844" s="4">
        <v>822</v>
      </c>
      <c r="BK3844" s="8">
        <v>22741.06</v>
      </c>
      <c r="BL3844" s="2" t="s">
        <v>2861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207</v>
      </c>
      <c r="BV3844" s="2" t="s">
        <v>97</v>
      </c>
      <c r="BW3844" s="2" t="s">
        <v>100</v>
      </c>
      <c r="BX3844" s="2" t="s">
        <v>100</v>
      </c>
      <c r="BY3844" s="2" t="s">
        <v>113</v>
      </c>
      <c r="BZ3844" s="2" t="s">
        <v>245</v>
      </c>
    </row>
    <row r="3845">
      <c r="A3845" s="2" t="s">
        <v>11626</v>
      </c>
      <c r="B3845" s="2" t="s">
        <v>11586</v>
      </c>
      <c r="C3845" s="2" t="s">
        <v>88</v>
      </c>
      <c r="D3845" s="2" t="s">
        <v>11587</v>
      </c>
      <c r="E3845" s="2" t="s">
        <v>5508</v>
      </c>
      <c r="F3845" s="2" t="s">
        <v>11610</v>
      </c>
      <c r="G3845" s="2" t="s">
        <v>11610</v>
      </c>
      <c r="H3845" s="2" t="s">
        <v>11610</v>
      </c>
      <c r="I3845" s="2" t="s">
        <v>11611</v>
      </c>
      <c r="J3845" s="2" t="s">
        <v>5510</v>
      </c>
      <c r="K3845" s="2" t="s">
        <v>189</v>
      </c>
      <c r="L3845" s="3">
        <v>26.4</v>
      </c>
      <c r="M3845" s="3">
        <v>27.72</v>
      </c>
      <c r="N3845" s="3">
        <v>54.99</v>
      </c>
      <c r="O3845" s="2" t="s">
        <v>97</v>
      </c>
      <c r="P3845" s="2" t="s">
        <v>950</v>
      </c>
      <c r="Q3845" s="2" t="s">
        <v>99</v>
      </c>
      <c r="R3845" s="2" t="s">
        <v>100</v>
      </c>
      <c r="S3845" s="2" t="s">
        <v>11615</v>
      </c>
      <c r="T3845" s="2" t="s">
        <v>280</v>
      </c>
      <c r="U3845" s="2" t="s">
        <v>102</v>
      </c>
      <c r="V3845" s="2" t="s">
        <v>146</v>
      </c>
      <c r="W3845" s="2" t="s">
        <v>561</v>
      </c>
      <c r="X3845" s="2" t="s">
        <v>100</v>
      </c>
      <c r="Y3845" s="2" t="s">
        <v>11596</v>
      </c>
      <c r="Z3845" s="4">
        <v>350</v>
      </c>
      <c r="AA3845" s="4">
        <f>=ROUNDDOWN(6.86274509803922,0)</f>
      </c>
      <c r="AB3845" s="5">
        <v>51</v>
      </c>
      <c r="AC3845" s="2" t="s">
        <v>266</v>
      </c>
      <c r="AD3845" s="4">
        <v>332</v>
      </c>
      <c r="AE3845" s="4">
        <v>2093</v>
      </c>
      <c r="AF3845" s="6">
        <v>73</v>
      </c>
      <c r="AG3845" s="6"/>
      <c r="AH3845" s="7">
        <v>0.7594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/>
      <c r="BJ3845" s="4">
        <v>953</v>
      </c>
      <c r="BK3845" s="8">
        <v>27342.36</v>
      </c>
      <c r="BL3845" s="2" t="s">
        <v>11627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11617</v>
      </c>
      <c r="BX3845" s="2" t="s">
        <v>6348</v>
      </c>
      <c r="BY3845" s="2" t="s">
        <v>113</v>
      </c>
      <c r="BZ3845" s="2" t="s">
        <v>100</v>
      </c>
    </row>
    <row r="3846">
      <c r="A3846" s="2" t="s">
        <v>11628</v>
      </c>
      <c r="B3846" s="2" t="s">
        <v>11586</v>
      </c>
      <c r="C3846" s="2" t="s">
        <v>3178</v>
      </c>
      <c r="D3846" s="2" t="s">
        <v>11587</v>
      </c>
      <c r="E3846" s="2" t="s">
        <v>5508</v>
      </c>
      <c r="F3846" s="2" t="s">
        <v>11629</v>
      </c>
      <c r="G3846" s="2" t="s">
        <v>11629</v>
      </c>
      <c r="H3846" s="2" t="s">
        <v>11629</v>
      </c>
      <c r="I3846" s="2" t="s">
        <v>11630</v>
      </c>
      <c r="J3846" s="2" t="s">
        <v>11631</v>
      </c>
      <c r="K3846" s="2" t="s">
        <v>189</v>
      </c>
      <c r="L3846" s="3">
        <v>32.9</v>
      </c>
      <c r="M3846" s="3">
        <v>34.55</v>
      </c>
      <c r="N3846" s="3">
        <v>69.99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11632</v>
      </c>
      <c r="T3846" s="2" t="s">
        <v>280</v>
      </c>
      <c r="U3846" s="2" t="s">
        <v>514</v>
      </c>
      <c r="V3846" s="2" t="s">
        <v>146</v>
      </c>
      <c r="W3846" s="2" t="s">
        <v>104</v>
      </c>
      <c r="X3846" s="2" t="s">
        <v>100</v>
      </c>
      <c r="Y3846" s="2" t="s">
        <v>11596</v>
      </c>
      <c r="Z3846" s="4">
        <v>1671</v>
      </c>
      <c r="AA3846" s="4">
        <f>=ROUNDDOWN(23.5352112676056,0)</f>
      </c>
      <c r="AB3846" s="5">
        <v>71</v>
      </c>
      <c r="AC3846" s="2" t="s">
        <v>356</v>
      </c>
      <c r="AD3846" s="4">
        <v>560</v>
      </c>
      <c r="AE3846" s="4">
        <v>1960</v>
      </c>
      <c r="AF3846" s="6">
        <v>69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>
        <v>14</v>
      </c>
      <c r="AQ3846" s="8">
        <v>485.1</v>
      </c>
      <c r="AR3846" s="4"/>
      <c r="AS3846" s="8"/>
      <c r="AT3846" s="7"/>
      <c r="AU3846" s="7"/>
      <c r="AV3846" s="4">
        <v>14</v>
      </c>
      <c r="AW3846" s="8">
        <v>485.1</v>
      </c>
      <c r="AX3846" s="4"/>
      <c r="AY3846" s="8"/>
      <c r="AZ3846" s="7"/>
      <c r="BA3846" s="7"/>
      <c r="BB3846" s="7">
        <v>1</v>
      </c>
      <c r="BC3846" s="4">
        <v>46</v>
      </c>
      <c r="BD3846" s="8">
        <v>1592.14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0.3047</v>
      </c>
      <c r="BJ3846" s="4">
        <v>2101</v>
      </c>
      <c r="BK3846" s="8">
        <v>72415.35</v>
      </c>
      <c r="BL3846" s="2" t="s">
        <v>11633</v>
      </c>
      <c r="BM3846" s="7">
        <v>0.0067</v>
      </c>
      <c r="BN3846" s="7">
        <v>0.0067</v>
      </c>
      <c r="BO3846" s="4">
        <v>14</v>
      </c>
      <c r="BP3846" s="8">
        <v>485.1</v>
      </c>
      <c r="BQ3846" s="4"/>
      <c r="BR3846" s="8"/>
      <c r="BS3846" s="7"/>
      <c r="BT3846" s="7"/>
      <c r="BU3846" s="2" t="s">
        <v>109</v>
      </c>
      <c r="BV3846" s="2" t="s">
        <v>110</v>
      </c>
      <c r="BW3846" s="2" t="s">
        <v>10253</v>
      </c>
      <c r="BX3846" s="2" t="s">
        <v>9804</v>
      </c>
      <c r="BY3846" s="2" t="s">
        <v>113</v>
      </c>
      <c r="BZ3846" s="2" t="s">
        <v>100</v>
      </c>
    </row>
    <row r="3847">
      <c r="A3847" s="2" t="s">
        <v>11634</v>
      </c>
      <c r="B3847" s="2" t="s">
        <v>11586</v>
      </c>
      <c r="C3847" s="2" t="s">
        <v>3178</v>
      </c>
      <c r="D3847" s="2" t="s">
        <v>11587</v>
      </c>
      <c r="E3847" s="2" t="s">
        <v>5508</v>
      </c>
      <c r="F3847" s="2" t="s">
        <v>11629</v>
      </c>
      <c r="G3847" s="2" t="s">
        <v>11629</v>
      </c>
      <c r="H3847" s="2" t="s">
        <v>11629</v>
      </c>
      <c r="I3847" s="2" t="s">
        <v>11630</v>
      </c>
      <c r="J3847" s="2" t="s">
        <v>11631</v>
      </c>
      <c r="K3847" s="2" t="s">
        <v>96</v>
      </c>
      <c r="L3847" s="3">
        <v>32.9</v>
      </c>
      <c r="M3847" s="3">
        <v>34.55</v>
      </c>
      <c r="N3847" s="3">
        <v>69.99</v>
      </c>
      <c r="O3847" s="2" t="s">
        <v>97</v>
      </c>
      <c r="P3847" s="2" t="s">
        <v>119</v>
      </c>
      <c r="Q3847" s="2" t="s">
        <v>99</v>
      </c>
      <c r="R3847" s="2" t="s">
        <v>100</v>
      </c>
      <c r="S3847" s="2" t="s">
        <v>11635</v>
      </c>
      <c r="T3847" s="2" t="s">
        <v>280</v>
      </c>
      <c r="U3847" s="2" t="s">
        <v>514</v>
      </c>
      <c r="V3847" s="2" t="s">
        <v>146</v>
      </c>
      <c r="W3847" s="2" t="s">
        <v>104</v>
      </c>
      <c r="X3847" s="2" t="s">
        <v>100</v>
      </c>
      <c r="Y3847" s="2" t="s">
        <v>3104</v>
      </c>
      <c r="Z3847" s="4">
        <v>662</v>
      </c>
      <c r="AA3847" s="4">
        <f>=ROUNDDOWN(21.3548387096774,0)</f>
      </c>
      <c r="AB3847" s="5">
        <v>31</v>
      </c>
      <c r="AC3847" s="2" t="s">
        <v>5126</v>
      </c>
      <c r="AD3847" s="4">
        <v>558</v>
      </c>
      <c r="AE3847" s="4">
        <v>838</v>
      </c>
      <c r="AF3847" s="6">
        <v>69</v>
      </c>
      <c r="AG3847" s="6"/>
      <c r="AH3847" s="7">
        <v>0.8717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>
        <v>12</v>
      </c>
      <c r="AQ3847" s="8">
        <v>414.48</v>
      </c>
      <c r="AR3847" s="4"/>
      <c r="AS3847" s="8"/>
      <c r="AT3847" s="7"/>
      <c r="AU3847" s="7"/>
      <c r="AV3847" s="4">
        <v>12</v>
      </c>
      <c r="AW3847" s="8">
        <v>414.48</v>
      </c>
      <c r="AX3847" s="4"/>
      <c r="AY3847" s="8"/>
      <c r="AZ3847" s="7"/>
      <c r="BA3847" s="7"/>
      <c r="BB3847" s="7">
        <v>1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>
        <v>0.2603</v>
      </c>
      <c r="BJ3847" s="4">
        <v>644</v>
      </c>
      <c r="BK3847" s="8">
        <v>22229.48</v>
      </c>
      <c r="BL3847" s="2" t="s">
        <v>11636</v>
      </c>
      <c r="BM3847" s="7">
        <v>0.0186</v>
      </c>
      <c r="BN3847" s="7">
        <v>0.0186</v>
      </c>
      <c r="BO3847" s="4">
        <v>12</v>
      </c>
      <c r="BP3847" s="8">
        <v>414.48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5167</v>
      </c>
      <c r="BX3847" s="2" t="s">
        <v>11637</v>
      </c>
      <c r="BY3847" s="2" t="s">
        <v>113</v>
      </c>
      <c r="BZ3847" s="2" t="s">
        <v>100</v>
      </c>
    </row>
    <row r="3848">
      <c r="A3848" s="2" t="s">
        <v>11638</v>
      </c>
      <c r="B3848" s="2" t="s">
        <v>11586</v>
      </c>
      <c r="C3848" s="2" t="s">
        <v>3178</v>
      </c>
      <c r="D3848" s="2" t="s">
        <v>11587</v>
      </c>
      <c r="E3848" s="2" t="s">
        <v>5508</v>
      </c>
      <c r="F3848" s="2" t="s">
        <v>11639</v>
      </c>
      <c r="G3848" s="2" t="s">
        <v>11639</v>
      </c>
      <c r="H3848" s="2" t="s">
        <v>11639</v>
      </c>
      <c r="I3848" s="2" t="s">
        <v>11630</v>
      </c>
      <c r="J3848" s="2" t="s">
        <v>11640</v>
      </c>
      <c r="K3848" s="2" t="s">
        <v>878</v>
      </c>
      <c r="L3848" s="3">
        <v>32.9</v>
      </c>
      <c r="M3848" s="3">
        <v>34.55</v>
      </c>
      <c r="N3848" s="3">
        <v>69.99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11641</v>
      </c>
      <c r="T3848" s="2" t="s">
        <v>100</v>
      </c>
      <c r="U3848" s="2" t="s">
        <v>833</v>
      </c>
      <c r="V3848" s="2" t="s">
        <v>146</v>
      </c>
      <c r="W3848" s="2" t="s">
        <v>5541</v>
      </c>
      <c r="X3848" s="2" t="s">
        <v>100</v>
      </c>
      <c r="Y3848" s="2" t="s">
        <v>240</v>
      </c>
      <c r="Z3848" s="4">
        <v>604</v>
      </c>
      <c r="AA3848" s="4">
        <f>=ROUNDDOWN(21.5714285714286,0)</f>
      </c>
      <c r="AB3848" s="5">
        <v>28</v>
      </c>
      <c r="AC3848" s="2" t="s">
        <v>5523</v>
      </c>
      <c r="AD3848" s="4">
        <v>680</v>
      </c>
      <c r="AE3848" s="4">
        <v>959</v>
      </c>
      <c r="AF3848" s="6">
        <v>69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/>
      <c r="AP3848" s="4">
        <v>9</v>
      </c>
      <c r="AQ3848" s="8">
        <v>311.85</v>
      </c>
      <c r="AR3848" s="4"/>
      <c r="AS3848" s="8"/>
      <c r="AT3848" s="7"/>
      <c r="AU3848" s="7"/>
      <c r="AV3848" s="4">
        <v>9</v>
      </c>
      <c r="AW3848" s="8">
        <v>311.85</v>
      </c>
      <c r="AX3848" s="4"/>
      <c r="AY3848" s="8"/>
      <c r="AZ3848" s="7"/>
      <c r="BA3848" s="7"/>
      <c r="BB3848" s="7">
        <v>1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>
        <v>0.1959</v>
      </c>
      <c r="BJ3848" s="4">
        <v>710</v>
      </c>
      <c r="BK3848" s="8">
        <v>24353.48</v>
      </c>
      <c r="BL3848" s="2" t="s">
        <v>11642</v>
      </c>
      <c r="BM3848" s="7">
        <v>0.0127</v>
      </c>
      <c r="BN3848" s="7">
        <v>0.0128</v>
      </c>
      <c r="BO3848" s="4">
        <v>9</v>
      </c>
      <c r="BP3848" s="8">
        <v>311.85</v>
      </c>
      <c r="BQ3848" s="4"/>
      <c r="BR3848" s="8"/>
      <c r="BS3848" s="7"/>
      <c r="BT3848" s="7"/>
      <c r="BU3848" s="2" t="s">
        <v>109</v>
      </c>
      <c r="BV3848" s="2" t="s">
        <v>110</v>
      </c>
      <c r="BW3848" s="2" t="s">
        <v>5063</v>
      </c>
      <c r="BX3848" s="2" t="s">
        <v>11643</v>
      </c>
      <c r="BY3848" s="2" t="s">
        <v>113</v>
      </c>
      <c r="BZ3848" s="2" t="s">
        <v>245</v>
      </c>
    </row>
    <row r="3849">
      <c r="A3849" s="2" t="s">
        <v>11644</v>
      </c>
      <c r="B3849" s="2" t="s">
        <v>11586</v>
      </c>
      <c r="C3849" s="2" t="s">
        <v>3178</v>
      </c>
      <c r="D3849" s="2" t="s">
        <v>11587</v>
      </c>
      <c r="E3849" s="2" t="s">
        <v>5508</v>
      </c>
      <c r="F3849" s="2" t="s">
        <v>11639</v>
      </c>
      <c r="G3849" s="2" t="s">
        <v>11639</v>
      </c>
      <c r="H3849" s="2" t="s">
        <v>11639</v>
      </c>
      <c r="I3849" s="2" t="s">
        <v>11630</v>
      </c>
      <c r="J3849" s="2" t="s">
        <v>11640</v>
      </c>
      <c r="K3849" s="2" t="s">
        <v>335</v>
      </c>
      <c r="L3849" s="3">
        <v>32.9</v>
      </c>
      <c r="M3849" s="3">
        <v>34.55</v>
      </c>
      <c r="N3849" s="3">
        <v>69.99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11645</v>
      </c>
      <c r="T3849" s="2" t="s">
        <v>100</v>
      </c>
      <c r="U3849" s="2" t="s">
        <v>833</v>
      </c>
      <c r="V3849" s="2" t="s">
        <v>146</v>
      </c>
      <c r="W3849" s="2" t="s">
        <v>5541</v>
      </c>
      <c r="X3849" s="2" t="s">
        <v>100</v>
      </c>
      <c r="Y3849" s="2" t="s">
        <v>2054</v>
      </c>
      <c r="Z3849" s="4">
        <v>528</v>
      </c>
      <c r="AA3849" s="4">
        <f>=ROUNDDOWN(16.5,0)</f>
      </c>
      <c r="AB3849" s="5">
        <v>32</v>
      </c>
      <c r="AC3849" s="2" t="s">
        <v>2739</v>
      </c>
      <c r="AD3849" s="4">
        <v>680</v>
      </c>
      <c r="AE3849" s="4">
        <v>810</v>
      </c>
      <c r="AF3849" s="6">
        <v>69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>
        <v>4</v>
      </c>
      <c r="AQ3849" s="8">
        <v>138.6</v>
      </c>
      <c r="AR3849" s="4"/>
      <c r="AS3849" s="8"/>
      <c r="AT3849" s="7"/>
      <c r="AU3849" s="7"/>
      <c r="AV3849" s="4">
        <v>4</v>
      </c>
      <c r="AW3849" s="8">
        <v>138.6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1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>
        <v>0.0871</v>
      </c>
      <c r="BJ3849" s="4">
        <v>858</v>
      </c>
      <c r="BK3849" s="8">
        <v>30494.17</v>
      </c>
      <c r="BL3849" s="2" t="s">
        <v>11646</v>
      </c>
      <c r="BM3849" s="7">
        <v>0.0047</v>
      </c>
      <c r="BN3849" s="7">
        <v>0.0045</v>
      </c>
      <c r="BO3849" s="4">
        <v>4</v>
      </c>
      <c r="BP3849" s="8">
        <v>138.6</v>
      </c>
      <c r="BQ3849" s="4"/>
      <c r="BR3849" s="8"/>
      <c r="BS3849" s="7"/>
      <c r="BT3849" s="7"/>
      <c r="BU3849" s="2" t="s">
        <v>109</v>
      </c>
      <c r="BV3849" s="2" t="s">
        <v>110</v>
      </c>
      <c r="BW3849" s="2" t="s">
        <v>5359</v>
      </c>
      <c r="BX3849" s="2" t="s">
        <v>11647</v>
      </c>
      <c r="BY3849" s="2" t="s">
        <v>113</v>
      </c>
      <c r="BZ3849" s="2" t="s">
        <v>245</v>
      </c>
    </row>
    <row r="3850">
      <c r="A3850" s="2" t="s">
        <v>11648</v>
      </c>
      <c r="B3850" s="2" t="s">
        <v>11586</v>
      </c>
      <c r="C3850" s="2" t="s">
        <v>3178</v>
      </c>
      <c r="D3850" s="2" t="s">
        <v>11587</v>
      </c>
      <c r="E3850" s="2" t="s">
        <v>5508</v>
      </c>
      <c r="F3850" s="2" t="s">
        <v>11629</v>
      </c>
      <c r="G3850" s="2" t="s">
        <v>11629</v>
      </c>
      <c r="H3850" s="2" t="s">
        <v>11629</v>
      </c>
      <c r="I3850" s="2" t="s">
        <v>11630</v>
      </c>
      <c r="J3850" s="2" t="s">
        <v>11631</v>
      </c>
      <c r="K3850" s="2" t="s">
        <v>335</v>
      </c>
      <c r="L3850" s="3">
        <v>32.9</v>
      </c>
      <c r="M3850" s="3">
        <v>34.55</v>
      </c>
      <c r="N3850" s="3">
        <v>69.99</v>
      </c>
      <c r="O3850" s="2" t="s">
        <v>97</v>
      </c>
      <c r="P3850" s="2" t="s">
        <v>2478</v>
      </c>
      <c r="Q3850" s="2" t="s">
        <v>99</v>
      </c>
      <c r="R3850" s="2" t="s">
        <v>100</v>
      </c>
      <c r="S3850" s="2" t="s">
        <v>11645</v>
      </c>
      <c r="T3850" s="2" t="s">
        <v>280</v>
      </c>
      <c r="U3850" s="2" t="s">
        <v>514</v>
      </c>
      <c r="V3850" s="2" t="s">
        <v>146</v>
      </c>
      <c r="W3850" s="2" t="s">
        <v>104</v>
      </c>
      <c r="X3850" s="2" t="s">
        <v>100</v>
      </c>
      <c r="Y3850" s="2" t="s">
        <v>7774</v>
      </c>
      <c r="Z3850" s="4">
        <v>187</v>
      </c>
      <c r="AA3850" s="4">
        <f>=ROUNDDOWN(9.8421052631579,0)</f>
      </c>
      <c r="AB3850" s="5">
        <v>19</v>
      </c>
      <c r="AC3850" s="2" t="s">
        <v>872</v>
      </c>
      <c r="AD3850" s="4">
        <v>554</v>
      </c>
      <c r="AE3850" s="4">
        <v>1114</v>
      </c>
      <c r="AF3850" s="6">
        <v>69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/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 t="s">
        <v>100</v>
      </c>
      <c r="BJ3850" s="4">
        <v>262</v>
      </c>
      <c r="BK3850" s="8">
        <v>9409.57</v>
      </c>
      <c r="BL3850" s="2" t="s">
        <v>11649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2480</v>
      </c>
      <c r="BV3850" s="2" t="s">
        <v>97</v>
      </c>
      <c r="BW3850" s="2" t="s">
        <v>100</v>
      </c>
      <c r="BX3850" s="2" t="s">
        <v>100</v>
      </c>
      <c r="BY3850" s="2" t="s">
        <v>113</v>
      </c>
      <c r="BZ3850" s="2" t="s">
        <v>100</v>
      </c>
    </row>
    <row r="3851">
      <c r="A3851" s="2" t="s">
        <v>11650</v>
      </c>
      <c r="B3851" s="2" t="s">
        <v>11586</v>
      </c>
      <c r="C3851" s="2" t="s">
        <v>3178</v>
      </c>
      <c r="D3851" s="2" t="s">
        <v>11587</v>
      </c>
      <c r="E3851" s="2" t="s">
        <v>5508</v>
      </c>
      <c r="F3851" s="2" t="s">
        <v>11639</v>
      </c>
      <c r="G3851" s="2" t="s">
        <v>11639</v>
      </c>
      <c r="H3851" s="2" t="s">
        <v>11639</v>
      </c>
      <c r="I3851" s="2" t="s">
        <v>11630</v>
      </c>
      <c r="J3851" s="2" t="s">
        <v>11640</v>
      </c>
      <c r="K3851" s="2" t="s">
        <v>921</v>
      </c>
      <c r="L3851" s="3">
        <v>32.9</v>
      </c>
      <c r="M3851" s="3">
        <v>34.55</v>
      </c>
      <c r="N3851" s="3">
        <v>69.99</v>
      </c>
      <c r="O3851" s="2" t="s">
        <v>97</v>
      </c>
      <c r="P3851" s="2" t="s">
        <v>950</v>
      </c>
      <c r="Q3851" s="2" t="s">
        <v>99</v>
      </c>
      <c r="R3851" s="2" t="s">
        <v>100</v>
      </c>
      <c r="S3851" s="2" t="s">
        <v>11651</v>
      </c>
      <c r="T3851" s="2" t="s">
        <v>100</v>
      </c>
      <c r="U3851" s="2" t="s">
        <v>833</v>
      </c>
      <c r="V3851" s="2" t="s">
        <v>146</v>
      </c>
      <c r="W3851" s="2" t="s">
        <v>5541</v>
      </c>
      <c r="X3851" s="2" t="s">
        <v>100</v>
      </c>
      <c r="Y3851" s="2" t="s">
        <v>240</v>
      </c>
      <c r="Z3851" s="4">
        <v>394</v>
      </c>
      <c r="AA3851" s="4">
        <f>=ROUNDDOWN(14.0714285714286,0)</f>
      </c>
      <c r="AB3851" s="5">
        <v>28</v>
      </c>
      <c r="AC3851" s="2" t="s">
        <v>5523</v>
      </c>
      <c r="AD3851" s="4">
        <v>540</v>
      </c>
      <c r="AE3851" s="4">
        <v>950</v>
      </c>
      <c r="AF3851" s="6">
        <v>69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>
        <v>2</v>
      </c>
      <c r="AQ3851" s="8">
        <v>69.3</v>
      </c>
      <c r="AR3851" s="4"/>
      <c r="AS3851" s="8"/>
      <c r="AT3851" s="7"/>
      <c r="AU3851" s="7"/>
      <c r="AV3851" s="4">
        <v>2</v>
      </c>
      <c r="AW3851" s="8">
        <v>69.3</v>
      </c>
      <c r="AX3851" s="4"/>
      <c r="AY3851" s="8"/>
      <c r="AZ3851" s="7"/>
      <c r="BA3851" s="7"/>
      <c r="BB3851" s="7">
        <v>1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>
        <v>0.0435</v>
      </c>
      <c r="BJ3851" s="4">
        <v>767</v>
      </c>
      <c r="BK3851" s="8">
        <v>26386.72</v>
      </c>
      <c r="BL3851" s="2" t="s">
        <v>11652</v>
      </c>
      <c r="BM3851" s="7">
        <v>0.0026</v>
      </c>
      <c r="BN3851" s="7">
        <v>0.0026</v>
      </c>
      <c r="BO3851" s="4">
        <v>2</v>
      </c>
      <c r="BP3851" s="8">
        <v>69.3</v>
      </c>
      <c r="BQ3851" s="4"/>
      <c r="BR3851" s="8"/>
      <c r="BS3851" s="7"/>
      <c r="BT3851" s="7"/>
      <c r="BU3851" s="2" t="s">
        <v>109</v>
      </c>
      <c r="BV3851" s="2" t="s">
        <v>110</v>
      </c>
      <c r="BW3851" s="2" t="s">
        <v>5063</v>
      </c>
      <c r="BX3851" s="2" t="s">
        <v>818</v>
      </c>
      <c r="BY3851" s="2" t="s">
        <v>113</v>
      </c>
      <c r="BZ3851" s="2" t="s">
        <v>245</v>
      </c>
    </row>
    <row r="3852">
      <c r="A3852" s="2" t="s">
        <v>11653</v>
      </c>
      <c r="B3852" s="2" t="s">
        <v>11586</v>
      </c>
      <c r="C3852" s="2" t="s">
        <v>3178</v>
      </c>
      <c r="D3852" s="2" t="s">
        <v>11587</v>
      </c>
      <c r="E3852" s="2" t="s">
        <v>5508</v>
      </c>
      <c r="F3852" s="2" t="s">
        <v>11639</v>
      </c>
      <c r="G3852" s="2" t="s">
        <v>11639</v>
      </c>
      <c r="H3852" s="2" t="s">
        <v>11639</v>
      </c>
      <c r="I3852" s="2" t="s">
        <v>11630</v>
      </c>
      <c r="J3852" s="2" t="s">
        <v>11640</v>
      </c>
      <c r="K3852" s="2" t="s">
        <v>765</v>
      </c>
      <c r="L3852" s="3">
        <v>32.9</v>
      </c>
      <c r="M3852" s="3">
        <v>34.55</v>
      </c>
      <c r="N3852" s="3">
        <v>69.99</v>
      </c>
      <c r="O3852" s="2" t="s">
        <v>97</v>
      </c>
      <c r="P3852" s="2" t="s">
        <v>119</v>
      </c>
      <c r="Q3852" s="2" t="s">
        <v>99</v>
      </c>
      <c r="R3852" s="2" t="s">
        <v>100</v>
      </c>
      <c r="S3852" s="2" t="s">
        <v>11654</v>
      </c>
      <c r="T3852" s="2" t="s">
        <v>280</v>
      </c>
      <c r="U3852" s="2" t="s">
        <v>833</v>
      </c>
      <c r="V3852" s="2" t="s">
        <v>146</v>
      </c>
      <c r="W3852" s="2" t="s">
        <v>104</v>
      </c>
      <c r="X3852" s="2" t="s">
        <v>100</v>
      </c>
      <c r="Y3852" s="2" t="s">
        <v>11655</v>
      </c>
      <c r="Z3852" s="4">
        <v>368</v>
      </c>
      <c r="AA3852" s="4">
        <f>=ROUNDDOWN(16.7272727272727,0)</f>
      </c>
      <c r="AB3852" s="5">
        <v>22</v>
      </c>
      <c r="AC3852" s="2" t="s">
        <v>2739</v>
      </c>
      <c r="AD3852" s="4">
        <v>410</v>
      </c>
      <c r="AE3852" s="4">
        <v>680</v>
      </c>
      <c r="AF3852" s="6">
        <v>69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>
        <v>2</v>
      </c>
      <c r="AQ3852" s="8">
        <v>69.08</v>
      </c>
      <c r="AR3852" s="4"/>
      <c r="AS3852" s="8"/>
      <c r="AT3852" s="7"/>
      <c r="AU3852" s="7"/>
      <c r="AV3852" s="4">
        <v>2</v>
      </c>
      <c r="AW3852" s="8">
        <v>69.08</v>
      </c>
      <c r="AX3852" s="4"/>
      <c r="AY3852" s="8"/>
      <c r="AZ3852" s="7"/>
      <c r="BA3852" s="7"/>
      <c r="BB3852" s="7">
        <v>1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0.0434</v>
      </c>
      <c r="BJ3852" s="4">
        <v>481</v>
      </c>
      <c r="BK3852" s="8">
        <v>16526.31</v>
      </c>
      <c r="BL3852" s="2" t="s">
        <v>11656</v>
      </c>
      <c r="BM3852" s="7">
        <v>0.0042</v>
      </c>
      <c r="BN3852" s="7">
        <v>0.0042</v>
      </c>
      <c r="BO3852" s="4">
        <v>2</v>
      </c>
      <c r="BP3852" s="8">
        <v>69.08</v>
      </c>
      <c r="BQ3852" s="4"/>
      <c r="BR3852" s="8"/>
      <c r="BS3852" s="7"/>
      <c r="BT3852" s="7"/>
      <c r="BU3852" s="2" t="s">
        <v>109</v>
      </c>
      <c r="BV3852" s="2" t="s">
        <v>110</v>
      </c>
      <c r="BW3852" s="2" t="s">
        <v>5167</v>
      </c>
      <c r="BX3852" s="2" t="s">
        <v>11657</v>
      </c>
      <c r="BY3852" s="2" t="s">
        <v>113</v>
      </c>
      <c r="BZ3852" s="2" t="s">
        <v>100</v>
      </c>
    </row>
    <row r="3853">
      <c r="A3853" s="2" t="s">
        <v>11658</v>
      </c>
      <c r="B3853" s="2" t="s">
        <v>11586</v>
      </c>
      <c r="C3853" s="2" t="s">
        <v>3178</v>
      </c>
      <c r="D3853" s="2" t="s">
        <v>11587</v>
      </c>
      <c r="E3853" s="2" t="s">
        <v>5508</v>
      </c>
      <c r="F3853" s="2" t="s">
        <v>11639</v>
      </c>
      <c r="G3853" s="2" t="s">
        <v>11639</v>
      </c>
      <c r="H3853" s="2" t="s">
        <v>11639</v>
      </c>
      <c r="I3853" s="2" t="s">
        <v>11630</v>
      </c>
      <c r="J3853" s="2" t="s">
        <v>11640</v>
      </c>
      <c r="K3853" s="2" t="s">
        <v>4580</v>
      </c>
      <c r="L3853" s="3">
        <v>32.9</v>
      </c>
      <c r="M3853" s="3">
        <v>34.55</v>
      </c>
      <c r="N3853" s="3">
        <v>69.99</v>
      </c>
      <c r="O3853" s="2" t="s">
        <v>97</v>
      </c>
      <c r="P3853" s="2" t="s">
        <v>372</v>
      </c>
      <c r="Q3853" s="2" t="s">
        <v>99</v>
      </c>
      <c r="R3853" s="2" t="s">
        <v>100</v>
      </c>
      <c r="S3853" s="2" t="s">
        <v>11659</v>
      </c>
      <c r="T3853" s="2" t="s">
        <v>100</v>
      </c>
      <c r="U3853" s="2" t="s">
        <v>833</v>
      </c>
      <c r="V3853" s="2" t="s">
        <v>146</v>
      </c>
      <c r="W3853" s="2" t="s">
        <v>5541</v>
      </c>
      <c r="X3853" s="2" t="s">
        <v>100</v>
      </c>
      <c r="Y3853" s="2" t="s">
        <v>240</v>
      </c>
      <c r="Z3853" s="4">
        <v>1080</v>
      </c>
      <c r="AA3853" s="4">
        <f>=ROUNDDOWN(24.5454545454545,0)</f>
      </c>
      <c r="AB3853" s="5">
        <v>44</v>
      </c>
      <c r="AC3853" s="2" t="s">
        <v>872</v>
      </c>
      <c r="AD3853" s="4">
        <v>410</v>
      </c>
      <c r="AE3853" s="4">
        <v>950</v>
      </c>
      <c r="AF3853" s="6">
        <v>69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>
        <v>2</v>
      </c>
      <c r="AW3853" s="8">
        <v>69.08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/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>
        <v>0.0434</v>
      </c>
      <c r="BJ3853" s="4">
        <v>1105</v>
      </c>
      <c r="BK3853" s="8">
        <v>38563.41</v>
      </c>
      <c r="BL3853" s="2" t="s">
        <v>11660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5063</v>
      </c>
      <c r="BX3853" s="2" t="s">
        <v>751</v>
      </c>
      <c r="BY3853" s="2" t="s">
        <v>113</v>
      </c>
      <c r="BZ3853" s="2" t="s">
        <v>100</v>
      </c>
    </row>
    <row r="3854">
      <c r="A3854" s="2" t="s">
        <v>11661</v>
      </c>
      <c r="B3854" s="2" t="s">
        <v>11586</v>
      </c>
      <c r="C3854" s="2" t="s">
        <v>3178</v>
      </c>
      <c r="D3854" s="2" t="s">
        <v>11587</v>
      </c>
      <c r="E3854" s="2" t="s">
        <v>5508</v>
      </c>
      <c r="F3854" s="2" t="s">
        <v>11629</v>
      </c>
      <c r="G3854" s="2" t="s">
        <v>11629</v>
      </c>
      <c r="H3854" s="2" t="s">
        <v>11629</v>
      </c>
      <c r="I3854" s="2" t="s">
        <v>11630</v>
      </c>
      <c r="J3854" s="2" t="s">
        <v>11631</v>
      </c>
      <c r="K3854" s="2" t="s">
        <v>4580</v>
      </c>
      <c r="L3854" s="3">
        <v>32.9</v>
      </c>
      <c r="M3854" s="3">
        <v>34.55</v>
      </c>
      <c r="N3854" s="3">
        <v>69.99</v>
      </c>
      <c r="O3854" s="2" t="s">
        <v>97</v>
      </c>
      <c r="P3854" s="2" t="s">
        <v>950</v>
      </c>
      <c r="Q3854" s="2" t="s">
        <v>99</v>
      </c>
      <c r="R3854" s="2" t="s">
        <v>100</v>
      </c>
      <c r="S3854" s="2" t="s">
        <v>11659</v>
      </c>
      <c r="T3854" s="2" t="s">
        <v>280</v>
      </c>
      <c r="U3854" s="2" t="s">
        <v>514</v>
      </c>
      <c r="V3854" s="2" t="s">
        <v>146</v>
      </c>
      <c r="W3854" s="2" t="s">
        <v>104</v>
      </c>
      <c r="X3854" s="2" t="s">
        <v>100</v>
      </c>
      <c r="Y3854" s="2" t="s">
        <v>3104</v>
      </c>
      <c r="Z3854" s="4">
        <v>1187</v>
      </c>
      <c r="AA3854" s="4">
        <f>=ROUNDDOWN(40.9310344827586,0)</f>
      </c>
      <c r="AB3854" s="5">
        <v>29</v>
      </c>
      <c r="AC3854" s="2" t="s">
        <v>11662</v>
      </c>
      <c r="AD3854" s="4">
        <v>140</v>
      </c>
      <c r="AE3854" s="4">
        <v>420</v>
      </c>
      <c r="AF3854" s="6">
        <v>69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>
        <v>2</v>
      </c>
      <c r="AQ3854" s="8">
        <v>69.08</v>
      </c>
      <c r="AR3854" s="4"/>
      <c r="AS3854" s="8"/>
      <c r="AT3854" s="7"/>
      <c r="AU3854" s="7"/>
      <c r="AV3854" s="4" t="s">
        <v>100</v>
      </c>
      <c r="AW3854" s="8" t="s">
        <v>100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1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 t="s">
        <v>100</v>
      </c>
      <c r="BJ3854" s="4">
        <v>760</v>
      </c>
      <c r="BK3854" s="8">
        <v>26479.12</v>
      </c>
      <c r="BL3854" s="2" t="s">
        <v>11663</v>
      </c>
      <c r="BM3854" s="7">
        <v>0.0026</v>
      </c>
      <c r="BN3854" s="7">
        <v>0.0026</v>
      </c>
      <c r="BO3854" s="4">
        <v>2</v>
      </c>
      <c r="BP3854" s="8">
        <v>69.08</v>
      </c>
      <c r="BQ3854" s="4"/>
      <c r="BR3854" s="8"/>
      <c r="BS3854" s="7"/>
      <c r="BT3854" s="7"/>
      <c r="BU3854" s="2" t="s">
        <v>109</v>
      </c>
      <c r="BV3854" s="2" t="s">
        <v>110</v>
      </c>
      <c r="BW3854" s="2" t="s">
        <v>5167</v>
      </c>
      <c r="BX3854" s="2" t="s">
        <v>11216</v>
      </c>
      <c r="BY3854" s="2" t="s">
        <v>113</v>
      </c>
      <c r="BZ3854" s="2" t="s">
        <v>100</v>
      </c>
    </row>
    <row r="3855">
      <c r="A3855" s="2" t="s">
        <v>11664</v>
      </c>
      <c r="B3855" s="2" t="s">
        <v>11586</v>
      </c>
      <c r="C3855" s="2" t="s">
        <v>3178</v>
      </c>
      <c r="D3855" s="2" t="s">
        <v>11587</v>
      </c>
      <c r="E3855" s="2" t="s">
        <v>5508</v>
      </c>
      <c r="F3855" s="2" t="s">
        <v>11629</v>
      </c>
      <c r="G3855" s="2" t="s">
        <v>11629</v>
      </c>
      <c r="H3855" s="2" t="s">
        <v>11629</v>
      </c>
      <c r="I3855" s="2" t="s">
        <v>11630</v>
      </c>
      <c r="J3855" s="2" t="s">
        <v>11631</v>
      </c>
      <c r="K3855" s="2" t="s">
        <v>1340</v>
      </c>
      <c r="L3855" s="3">
        <v>32.9</v>
      </c>
      <c r="M3855" s="3">
        <v>34.55</v>
      </c>
      <c r="N3855" s="3">
        <v>69.99</v>
      </c>
      <c r="O3855" s="2" t="s">
        <v>97</v>
      </c>
      <c r="P3855" s="2" t="s">
        <v>950</v>
      </c>
      <c r="Q3855" s="2" t="s">
        <v>99</v>
      </c>
      <c r="R3855" s="2" t="s">
        <v>100</v>
      </c>
      <c r="S3855" s="2" t="s">
        <v>11665</v>
      </c>
      <c r="T3855" s="2" t="s">
        <v>280</v>
      </c>
      <c r="U3855" s="2" t="s">
        <v>514</v>
      </c>
      <c r="V3855" s="2" t="s">
        <v>146</v>
      </c>
      <c r="W3855" s="2" t="s">
        <v>104</v>
      </c>
      <c r="X3855" s="2" t="s">
        <v>100</v>
      </c>
      <c r="Y3855" s="2" t="s">
        <v>11596</v>
      </c>
      <c r="Z3855" s="4">
        <v>1348</v>
      </c>
      <c r="AA3855" s="4">
        <f>=ROUNDDOWN(42.125,0)</f>
      </c>
      <c r="AB3855" s="5">
        <v>32</v>
      </c>
      <c r="AC3855" s="2" t="s">
        <v>872</v>
      </c>
      <c r="AD3855" s="4">
        <v>280</v>
      </c>
      <c r="AE3855" s="4">
        <v>560</v>
      </c>
      <c r="AF3855" s="6">
        <v>69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>
        <v>1</v>
      </c>
      <c r="AQ3855" s="8">
        <v>34.65</v>
      </c>
      <c r="AR3855" s="4"/>
      <c r="AS3855" s="8"/>
      <c r="AT3855" s="7"/>
      <c r="AU3855" s="7"/>
      <c r="AV3855" s="4">
        <v>1</v>
      </c>
      <c r="AW3855" s="8">
        <v>34.65</v>
      </c>
      <c r="AX3855" s="4"/>
      <c r="AY3855" s="8"/>
      <c r="AZ3855" s="7"/>
      <c r="BA3855" s="7"/>
      <c r="BB3855" s="7">
        <v>1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0.0218</v>
      </c>
      <c r="BJ3855" s="4">
        <v>827</v>
      </c>
      <c r="BK3855" s="8">
        <v>28331.46</v>
      </c>
      <c r="BL3855" s="2" t="s">
        <v>11666</v>
      </c>
      <c r="BM3855" s="7">
        <v>0.0012</v>
      </c>
      <c r="BN3855" s="7">
        <v>0.0012</v>
      </c>
      <c r="BO3855" s="4">
        <v>1</v>
      </c>
      <c r="BP3855" s="8">
        <v>34.65</v>
      </c>
      <c r="BQ3855" s="4"/>
      <c r="BR3855" s="8"/>
      <c r="BS3855" s="7"/>
      <c r="BT3855" s="7"/>
      <c r="BU3855" s="2" t="s">
        <v>109</v>
      </c>
      <c r="BV3855" s="2" t="s">
        <v>110</v>
      </c>
      <c r="BW3855" s="2" t="s">
        <v>10253</v>
      </c>
      <c r="BX3855" s="2" t="s">
        <v>9804</v>
      </c>
      <c r="BY3855" s="2" t="s">
        <v>113</v>
      </c>
      <c r="BZ3855" s="2" t="s">
        <v>100</v>
      </c>
    </row>
    <row r="3856">
      <c r="A3856" s="2" t="s">
        <v>11667</v>
      </c>
      <c r="B3856" s="2" t="s">
        <v>11586</v>
      </c>
      <c r="C3856" s="2" t="s">
        <v>3178</v>
      </c>
      <c r="D3856" s="2" t="s">
        <v>11587</v>
      </c>
      <c r="E3856" s="2" t="s">
        <v>5508</v>
      </c>
      <c r="F3856" s="2" t="s">
        <v>11639</v>
      </c>
      <c r="G3856" s="2" t="s">
        <v>11639</v>
      </c>
      <c r="H3856" s="2" t="s">
        <v>11639</v>
      </c>
      <c r="I3856" s="2" t="s">
        <v>11630</v>
      </c>
      <c r="J3856" s="2" t="s">
        <v>11640</v>
      </c>
      <c r="K3856" s="2" t="s">
        <v>11668</v>
      </c>
      <c r="L3856" s="3">
        <v>32.9</v>
      </c>
      <c r="M3856" s="3">
        <v>34.55</v>
      </c>
      <c r="N3856" s="3">
        <v>69.99</v>
      </c>
      <c r="O3856" s="2" t="s">
        <v>97</v>
      </c>
      <c r="P3856" s="2" t="s">
        <v>2478</v>
      </c>
      <c r="Q3856" s="2" t="s">
        <v>99</v>
      </c>
      <c r="R3856" s="2" t="s">
        <v>100</v>
      </c>
      <c r="S3856" s="2" t="s">
        <v>11669</v>
      </c>
      <c r="T3856" s="2" t="s">
        <v>100</v>
      </c>
      <c r="U3856" s="2" t="s">
        <v>833</v>
      </c>
      <c r="V3856" s="2" t="s">
        <v>146</v>
      </c>
      <c r="W3856" s="2" t="s">
        <v>100</v>
      </c>
      <c r="X3856" s="2" t="s">
        <v>100</v>
      </c>
      <c r="Y3856" s="2" t="s">
        <v>100</v>
      </c>
      <c r="Z3856" s="4"/>
      <c r="AA3856" s="4">
        <f>=ROUNDDOWN({0},0)</f>
      </c>
      <c r="AB3856" s="5"/>
      <c r="AC3856" s="2" t="s">
        <v>872</v>
      </c>
      <c r="AD3856" s="4">
        <v>270</v>
      </c>
      <c r="AE3856" s="4">
        <v>400</v>
      </c>
      <c r="AF3856" s="6">
        <v>69</v>
      </c>
      <c r="AG3856" s="6"/>
      <c r="AH3856" s="7"/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/>
      <c r="BJ3856" s="4"/>
      <c r="BK3856" s="8"/>
      <c r="BL3856" s="2" t="s">
        <v>100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2480</v>
      </c>
      <c r="BV3856" s="2" t="s">
        <v>97</v>
      </c>
      <c r="BW3856" s="2" t="s">
        <v>100</v>
      </c>
      <c r="BX3856" s="2" t="s">
        <v>100</v>
      </c>
      <c r="BY3856" s="2" t="s">
        <v>113</v>
      </c>
      <c r="BZ3856" s="2" t="s">
        <v>100</v>
      </c>
    </row>
    <row r="3857">
      <c r="A3857" s="2" t="s">
        <v>11670</v>
      </c>
      <c r="B3857" s="2" t="s">
        <v>11586</v>
      </c>
      <c r="C3857" s="2" t="s">
        <v>3178</v>
      </c>
      <c r="D3857" s="2" t="s">
        <v>11587</v>
      </c>
      <c r="E3857" s="2" t="s">
        <v>5508</v>
      </c>
      <c r="F3857" s="2" t="s">
        <v>11629</v>
      </c>
      <c r="G3857" s="2" t="s">
        <v>11629</v>
      </c>
      <c r="H3857" s="2" t="s">
        <v>11629</v>
      </c>
      <c r="I3857" s="2" t="s">
        <v>11630</v>
      </c>
      <c r="J3857" s="2" t="s">
        <v>11631</v>
      </c>
      <c r="K3857" s="2" t="s">
        <v>11671</v>
      </c>
      <c r="L3857" s="3">
        <v>32.9</v>
      </c>
      <c r="M3857" s="3">
        <v>34.55</v>
      </c>
      <c r="N3857" s="3">
        <v>69.99</v>
      </c>
      <c r="O3857" s="2" t="s">
        <v>97</v>
      </c>
      <c r="P3857" s="2" t="s">
        <v>2478</v>
      </c>
      <c r="Q3857" s="2" t="s">
        <v>99</v>
      </c>
      <c r="R3857" s="2" t="s">
        <v>100</v>
      </c>
      <c r="S3857" s="2" t="s">
        <v>11669</v>
      </c>
      <c r="T3857" s="2" t="s">
        <v>280</v>
      </c>
      <c r="U3857" s="2" t="s">
        <v>514</v>
      </c>
      <c r="V3857" s="2" t="s">
        <v>146</v>
      </c>
      <c r="W3857" s="2" t="s">
        <v>104</v>
      </c>
      <c r="X3857" s="2" t="s">
        <v>100</v>
      </c>
      <c r="Y3857" s="2" t="s">
        <v>7774</v>
      </c>
      <c r="Z3857" s="4">
        <v>170</v>
      </c>
      <c r="AA3857" s="4">
        <f>=ROUNDDOWN(9.44444444444444,0)</f>
      </c>
      <c r="AB3857" s="5">
        <v>18</v>
      </c>
      <c r="AC3857" s="2" t="s">
        <v>872</v>
      </c>
      <c r="AD3857" s="4">
        <v>420</v>
      </c>
      <c r="AE3857" s="4">
        <v>420</v>
      </c>
      <c r="AF3857" s="6">
        <v>69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/>
      <c r="BJ3857" s="4">
        <v>246</v>
      </c>
      <c r="BK3857" s="8">
        <v>8905.32</v>
      </c>
      <c r="BL3857" s="2" t="s">
        <v>11649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2480</v>
      </c>
      <c r="BV3857" s="2" t="s">
        <v>97</v>
      </c>
      <c r="BW3857" s="2" t="s">
        <v>100</v>
      </c>
      <c r="BX3857" s="2" t="s">
        <v>100</v>
      </c>
      <c r="BY3857" s="2" t="s">
        <v>113</v>
      </c>
      <c r="BZ3857" s="2" t="s">
        <v>100</v>
      </c>
    </row>
    <row r="3858">
      <c r="A3858" s="2" t="s">
        <v>11672</v>
      </c>
      <c r="B3858" s="2" t="s">
        <v>11586</v>
      </c>
      <c r="C3858" s="2" t="s">
        <v>3178</v>
      </c>
      <c r="D3858" s="2" t="s">
        <v>11587</v>
      </c>
      <c r="E3858" s="2" t="s">
        <v>5508</v>
      </c>
      <c r="F3858" s="2" t="s">
        <v>11639</v>
      </c>
      <c r="G3858" s="2" t="s">
        <v>11639</v>
      </c>
      <c r="H3858" s="2" t="s">
        <v>11639</v>
      </c>
      <c r="I3858" s="2" t="s">
        <v>11630</v>
      </c>
      <c r="J3858" s="2" t="s">
        <v>11640</v>
      </c>
      <c r="K3858" s="2" t="s">
        <v>11673</v>
      </c>
      <c r="L3858" s="3">
        <v>32.9</v>
      </c>
      <c r="M3858" s="3">
        <v>34.55</v>
      </c>
      <c r="N3858" s="3">
        <v>69.99</v>
      </c>
      <c r="O3858" s="2" t="s">
        <v>97</v>
      </c>
      <c r="P3858" s="2" t="s">
        <v>2478</v>
      </c>
      <c r="Q3858" s="2" t="s">
        <v>99</v>
      </c>
      <c r="R3858" s="2" t="s">
        <v>100</v>
      </c>
      <c r="S3858" s="2" t="s">
        <v>11674</v>
      </c>
      <c r="T3858" s="2" t="s">
        <v>100</v>
      </c>
      <c r="U3858" s="2" t="s">
        <v>833</v>
      </c>
      <c r="V3858" s="2" t="s">
        <v>146</v>
      </c>
      <c r="W3858" s="2" t="s">
        <v>100</v>
      </c>
      <c r="X3858" s="2" t="s">
        <v>100</v>
      </c>
      <c r="Y3858" s="2" t="s">
        <v>2168</v>
      </c>
      <c r="Z3858" s="4">
        <v>987</v>
      </c>
      <c r="AA3858" s="4">
        <f>=ROUNDDOWN(29.9090909090909,0)</f>
      </c>
      <c r="AB3858" s="5">
        <v>33</v>
      </c>
      <c r="AC3858" s="2" t="s">
        <v>1516</v>
      </c>
      <c r="AD3858" s="4">
        <v>410</v>
      </c>
      <c r="AE3858" s="4">
        <v>410</v>
      </c>
      <c r="AF3858" s="6">
        <v>69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/>
      <c r="BJ3858" s="4">
        <v>232</v>
      </c>
      <c r="BK3858" s="8">
        <v>8677.69</v>
      </c>
      <c r="BL3858" s="2" t="s">
        <v>11675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2480</v>
      </c>
      <c r="BV3858" s="2" t="s">
        <v>97</v>
      </c>
      <c r="BW3858" s="2" t="s">
        <v>100</v>
      </c>
      <c r="BX3858" s="2" t="s">
        <v>100</v>
      </c>
      <c r="BY3858" s="2" t="s">
        <v>113</v>
      </c>
      <c r="BZ3858" s="2" t="s">
        <v>100</v>
      </c>
    </row>
    <row r="3859">
      <c r="A3859" s="2" t="s">
        <v>11676</v>
      </c>
      <c r="B3859" s="2" t="s">
        <v>11586</v>
      </c>
      <c r="C3859" s="2" t="s">
        <v>3178</v>
      </c>
      <c r="D3859" s="2" t="s">
        <v>11587</v>
      </c>
      <c r="E3859" s="2" t="s">
        <v>5508</v>
      </c>
      <c r="F3859" s="2" t="s">
        <v>11639</v>
      </c>
      <c r="G3859" s="2" t="s">
        <v>11639</v>
      </c>
      <c r="H3859" s="2" t="s">
        <v>11639</v>
      </c>
      <c r="I3859" s="2" t="s">
        <v>11630</v>
      </c>
      <c r="J3859" s="2" t="s">
        <v>11640</v>
      </c>
      <c r="K3859" s="2" t="s">
        <v>858</v>
      </c>
      <c r="L3859" s="3">
        <v>32.9</v>
      </c>
      <c r="M3859" s="3">
        <v>34.55</v>
      </c>
      <c r="N3859" s="3">
        <v>69.99</v>
      </c>
      <c r="O3859" s="2" t="s">
        <v>97</v>
      </c>
      <c r="P3859" s="2" t="s">
        <v>98</v>
      </c>
      <c r="Q3859" s="2" t="s">
        <v>99</v>
      </c>
      <c r="R3859" s="2" t="s">
        <v>100</v>
      </c>
      <c r="S3859" s="2" t="s">
        <v>11677</v>
      </c>
      <c r="T3859" s="2" t="s">
        <v>100</v>
      </c>
      <c r="U3859" s="2" t="s">
        <v>833</v>
      </c>
      <c r="V3859" s="2" t="s">
        <v>146</v>
      </c>
      <c r="W3859" s="2" t="s">
        <v>5541</v>
      </c>
      <c r="X3859" s="2" t="s">
        <v>100</v>
      </c>
      <c r="Y3859" s="2" t="s">
        <v>240</v>
      </c>
      <c r="Z3859" s="4">
        <v>398</v>
      </c>
      <c r="AA3859" s="4">
        <f>=ROUNDDOWN(6.03030303030303,0)</f>
      </c>
      <c r="AB3859" s="5">
        <v>66</v>
      </c>
      <c r="AC3859" s="2" t="s">
        <v>2739</v>
      </c>
      <c r="AD3859" s="4">
        <v>2020</v>
      </c>
      <c r="AE3859" s="4">
        <v>2561</v>
      </c>
      <c r="AF3859" s="6">
        <v>69</v>
      </c>
      <c r="AG3859" s="6"/>
      <c r="AH3859" s="7">
        <v>0.9893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/>
      <c r="BJ3859" s="4">
        <v>1998</v>
      </c>
      <c r="BK3859" s="8">
        <v>69873.04</v>
      </c>
      <c r="BL3859" s="2" t="s">
        <v>11678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5063</v>
      </c>
      <c r="BX3859" s="2" t="s">
        <v>620</v>
      </c>
      <c r="BY3859" s="2" t="s">
        <v>113</v>
      </c>
      <c r="BZ3859" s="2" t="s">
        <v>245</v>
      </c>
    </row>
    <row r="3860">
      <c r="A3860" s="2" t="s">
        <v>11679</v>
      </c>
      <c r="B3860" s="2" t="s">
        <v>11586</v>
      </c>
      <c r="C3860" s="2" t="s">
        <v>3178</v>
      </c>
      <c r="D3860" s="2" t="s">
        <v>11587</v>
      </c>
      <c r="E3860" s="2" t="s">
        <v>5508</v>
      </c>
      <c r="F3860" s="2" t="s">
        <v>11639</v>
      </c>
      <c r="G3860" s="2" t="s">
        <v>11639</v>
      </c>
      <c r="H3860" s="2" t="s">
        <v>11639</v>
      </c>
      <c r="I3860" s="2" t="s">
        <v>11630</v>
      </c>
      <c r="J3860" s="2" t="s">
        <v>11640</v>
      </c>
      <c r="K3860" s="2" t="s">
        <v>3688</v>
      </c>
      <c r="L3860" s="3">
        <v>32.9</v>
      </c>
      <c r="M3860" s="3">
        <v>34.55</v>
      </c>
      <c r="N3860" s="3">
        <v>69.99</v>
      </c>
      <c r="O3860" s="2" t="s">
        <v>97</v>
      </c>
      <c r="P3860" s="2" t="s">
        <v>2478</v>
      </c>
      <c r="Q3860" s="2" t="s">
        <v>99</v>
      </c>
      <c r="R3860" s="2" t="s">
        <v>100</v>
      </c>
      <c r="S3860" s="2" t="s">
        <v>11680</v>
      </c>
      <c r="T3860" s="2" t="s">
        <v>100</v>
      </c>
      <c r="U3860" s="2" t="s">
        <v>833</v>
      </c>
      <c r="V3860" s="2" t="s">
        <v>146</v>
      </c>
      <c r="W3860" s="2" t="s">
        <v>100</v>
      </c>
      <c r="X3860" s="2" t="s">
        <v>100</v>
      </c>
      <c r="Y3860" s="2" t="s">
        <v>2136</v>
      </c>
      <c r="Z3860" s="4">
        <v>941</v>
      </c>
      <c r="AA3860" s="4">
        <f>=ROUNDDOWN(34.8518518518518,0)</f>
      </c>
      <c r="AB3860" s="5">
        <v>27</v>
      </c>
      <c r="AC3860" s="2" t="s">
        <v>1516</v>
      </c>
      <c r="AD3860" s="4">
        <v>270</v>
      </c>
      <c r="AE3860" s="4">
        <v>270</v>
      </c>
      <c r="AF3860" s="6">
        <v>69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/>
      <c r="BJ3860" s="4">
        <v>205</v>
      </c>
      <c r="BK3860" s="8">
        <v>7661.39</v>
      </c>
      <c r="BL3860" s="2" t="s">
        <v>11681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2480</v>
      </c>
      <c r="BV3860" s="2" t="s">
        <v>97</v>
      </c>
      <c r="BW3860" s="2" t="s">
        <v>100</v>
      </c>
      <c r="BX3860" s="2" t="s">
        <v>100</v>
      </c>
      <c r="BY3860" s="2" t="s">
        <v>113</v>
      </c>
      <c r="BZ3860" s="2" t="s">
        <v>100</v>
      </c>
    </row>
    <row r="3861">
      <c r="A3861" s="2" t="s">
        <v>11682</v>
      </c>
      <c r="B3861" s="2" t="s">
        <v>11586</v>
      </c>
      <c r="C3861" s="2" t="s">
        <v>3178</v>
      </c>
      <c r="D3861" s="2" t="s">
        <v>11587</v>
      </c>
      <c r="E3861" s="2" t="s">
        <v>5508</v>
      </c>
      <c r="F3861" s="2" t="s">
        <v>11639</v>
      </c>
      <c r="G3861" s="2" t="s">
        <v>11639</v>
      </c>
      <c r="H3861" s="2" t="s">
        <v>11639</v>
      </c>
      <c r="I3861" s="2" t="s">
        <v>11630</v>
      </c>
      <c r="J3861" s="2" t="s">
        <v>11640</v>
      </c>
      <c r="K3861" s="2" t="s">
        <v>440</v>
      </c>
      <c r="L3861" s="3">
        <v>32.9</v>
      </c>
      <c r="M3861" s="3">
        <v>34.55</v>
      </c>
      <c r="N3861" s="3">
        <v>69.99</v>
      </c>
      <c r="O3861" s="2" t="s">
        <v>97</v>
      </c>
      <c r="P3861" s="2" t="s">
        <v>950</v>
      </c>
      <c r="Q3861" s="2" t="s">
        <v>99</v>
      </c>
      <c r="R3861" s="2" t="s">
        <v>100</v>
      </c>
      <c r="S3861" s="2" t="s">
        <v>11683</v>
      </c>
      <c r="T3861" s="2" t="s">
        <v>280</v>
      </c>
      <c r="U3861" s="2" t="s">
        <v>833</v>
      </c>
      <c r="V3861" s="2" t="s">
        <v>146</v>
      </c>
      <c r="W3861" s="2" t="s">
        <v>673</v>
      </c>
      <c r="X3861" s="2" t="s">
        <v>100</v>
      </c>
      <c r="Y3861" s="2" t="s">
        <v>11684</v>
      </c>
      <c r="Z3861" s="4">
        <v>688</v>
      </c>
      <c r="AA3861" s="4">
        <f>=ROUNDDOWN(21.5,0)</f>
      </c>
      <c r="AB3861" s="5">
        <v>32</v>
      </c>
      <c r="AC3861" s="2" t="s">
        <v>5523</v>
      </c>
      <c r="AD3861" s="4">
        <v>270</v>
      </c>
      <c r="AE3861" s="4">
        <v>670</v>
      </c>
      <c r="AF3861" s="6">
        <v>69</v>
      </c>
      <c r="AG3861" s="6"/>
      <c r="AH3861" s="7">
        <v>0.7059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/>
      <c r="BJ3861" s="4">
        <v>715</v>
      </c>
      <c r="BK3861" s="8">
        <v>25800.34</v>
      </c>
      <c r="BL3861" s="2" t="s">
        <v>11685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207</v>
      </c>
      <c r="BV3861" s="2" t="s">
        <v>97</v>
      </c>
      <c r="BW3861" s="2" t="s">
        <v>100</v>
      </c>
      <c r="BX3861" s="2" t="s">
        <v>100</v>
      </c>
      <c r="BY3861" s="2" t="s">
        <v>113</v>
      </c>
      <c r="BZ3861" s="2" t="s">
        <v>245</v>
      </c>
    </row>
    <row r="3862">
      <c r="A3862" s="2" t="s">
        <v>11686</v>
      </c>
      <c r="B3862" s="2" t="s">
        <v>11586</v>
      </c>
      <c r="C3862" s="2" t="s">
        <v>3178</v>
      </c>
      <c r="D3862" s="2" t="s">
        <v>11587</v>
      </c>
      <c r="E3862" s="2" t="s">
        <v>5508</v>
      </c>
      <c r="F3862" s="2" t="s">
        <v>11629</v>
      </c>
      <c r="G3862" s="2" t="s">
        <v>11629</v>
      </c>
      <c r="H3862" s="2" t="s">
        <v>11629</v>
      </c>
      <c r="I3862" s="2" t="s">
        <v>11630</v>
      </c>
      <c r="J3862" s="2" t="s">
        <v>11631</v>
      </c>
      <c r="K3862" s="2" t="s">
        <v>512</v>
      </c>
      <c r="L3862" s="3">
        <v>32.9</v>
      </c>
      <c r="M3862" s="3">
        <v>34.55</v>
      </c>
      <c r="N3862" s="3">
        <v>69.99</v>
      </c>
      <c r="O3862" s="2" t="s">
        <v>97</v>
      </c>
      <c r="P3862" s="2" t="s">
        <v>2478</v>
      </c>
      <c r="Q3862" s="2" t="s">
        <v>99</v>
      </c>
      <c r="R3862" s="2" t="s">
        <v>100</v>
      </c>
      <c r="S3862" s="2" t="s">
        <v>11687</v>
      </c>
      <c r="T3862" s="2" t="s">
        <v>280</v>
      </c>
      <c r="U3862" s="2" t="s">
        <v>514</v>
      </c>
      <c r="V3862" s="2" t="s">
        <v>146</v>
      </c>
      <c r="W3862" s="2" t="s">
        <v>104</v>
      </c>
      <c r="X3862" s="2" t="s">
        <v>100</v>
      </c>
      <c r="Y3862" s="2" t="s">
        <v>7774</v>
      </c>
      <c r="Z3862" s="4">
        <v>108</v>
      </c>
      <c r="AA3862" s="4">
        <f>=ROUNDDOWN(4.69565217391304,0)</f>
      </c>
      <c r="AB3862" s="5">
        <v>23</v>
      </c>
      <c r="AC3862" s="2" t="s">
        <v>872</v>
      </c>
      <c r="AD3862" s="4">
        <v>700</v>
      </c>
      <c r="AE3862" s="4">
        <v>1390</v>
      </c>
      <c r="AF3862" s="6">
        <v>69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/>
      <c r="BJ3862" s="4">
        <v>391</v>
      </c>
      <c r="BK3862" s="8">
        <v>14144.64</v>
      </c>
      <c r="BL3862" s="2" t="s">
        <v>11649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2480</v>
      </c>
      <c r="BV3862" s="2" t="s">
        <v>97</v>
      </c>
      <c r="BW3862" s="2" t="s">
        <v>100</v>
      </c>
      <c r="BX3862" s="2" t="s">
        <v>100</v>
      </c>
      <c r="BY3862" s="2" t="s">
        <v>113</v>
      </c>
      <c r="BZ3862" s="2" t="s">
        <v>100</v>
      </c>
    </row>
    <row r="3863">
      <c r="A3863" s="2" t="s">
        <v>11688</v>
      </c>
      <c r="B3863" s="2" t="s">
        <v>11586</v>
      </c>
      <c r="C3863" s="2" t="s">
        <v>3178</v>
      </c>
      <c r="D3863" s="2" t="s">
        <v>11587</v>
      </c>
      <c r="E3863" s="2" t="s">
        <v>5508</v>
      </c>
      <c r="F3863" s="2" t="s">
        <v>11639</v>
      </c>
      <c r="G3863" s="2" t="s">
        <v>11639</v>
      </c>
      <c r="H3863" s="2" t="s">
        <v>11639</v>
      </c>
      <c r="I3863" s="2" t="s">
        <v>11630</v>
      </c>
      <c r="J3863" s="2" t="s">
        <v>11640</v>
      </c>
      <c r="K3863" s="2" t="s">
        <v>629</v>
      </c>
      <c r="L3863" s="3">
        <v>32.9</v>
      </c>
      <c r="M3863" s="3">
        <v>34.55</v>
      </c>
      <c r="N3863" s="3">
        <v>69.99</v>
      </c>
      <c r="O3863" s="2" t="s">
        <v>97</v>
      </c>
      <c r="P3863" s="2" t="s">
        <v>2478</v>
      </c>
      <c r="Q3863" s="2" t="s">
        <v>99</v>
      </c>
      <c r="R3863" s="2" t="s">
        <v>100</v>
      </c>
      <c r="S3863" s="2" t="s">
        <v>11689</v>
      </c>
      <c r="T3863" s="2" t="s">
        <v>100</v>
      </c>
      <c r="U3863" s="2" t="s">
        <v>833</v>
      </c>
      <c r="V3863" s="2" t="s">
        <v>146</v>
      </c>
      <c r="W3863" s="2" t="s">
        <v>100</v>
      </c>
      <c r="X3863" s="2" t="s">
        <v>100</v>
      </c>
      <c r="Y3863" s="2" t="s">
        <v>2157</v>
      </c>
      <c r="Z3863" s="4">
        <v>1405</v>
      </c>
      <c r="AA3863" s="4">
        <f>=ROUNDDOWN(48.448275862069,0)</f>
      </c>
      <c r="AB3863" s="5">
        <v>29</v>
      </c>
      <c r="AC3863" s="2" t="s">
        <v>100</v>
      </c>
      <c r="AD3863" s="4"/>
      <c r="AE3863" s="4"/>
      <c r="AF3863" s="6">
        <v>69</v>
      </c>
      <c r="AG3863" s="6"/>
      <c r="AH3863" s="7">
        <v>0.9901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/>
      <c r="BJ3863" s="4">
        <v>238</v>
      </c>
      <c r="BK3863" s="8">
        <v>8928.31</v>
      </c>
      <c r="BL3863" s="2" t="s">
        <v>2640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2480</v>
      </c>
      <c r="BV3863" s="2" t="s">
        <v>97</v>
      </c>
      <c r="BW3863" s="2" t="s">
        <v>100</v>
      </c>
      <c r="BX3863" s="2" t="s">
        <v>100</v>
      </c>
      <c r="BY3863" s="2" t="s">
        <v>113</v>
      </c>
      <c r="BZ3863" s="2" t="s">
        <v>100</v>
      </c>
    </row>
    <row r="3864">
      <c r="A3864" s="2" t="s">
        <v>11690</v>
      </c>
      <c r="B3864" s="2" t="s">
        <v>11586</v>
      </c>
      <c r="C3864" s="2" t="s">
        <v>3178</v>
      </c>
      <c r="D3864" s="2" t="s">
        <v>11587</v>
      </c>
      <c r="E3864" s="2" t="s">
        <v>5508</v>
      </c>
      <c r="F3864" s="2" t="s">
        <v>11691</v>
      </c>
      <c r="G3864" s="2" t="s">
        <v>11691</v>
      </c>
      <c r="H3864" s="2" t="s">
        <v>11691</v>
      </c>
      <c r="I3864" s="2" t="s">
        <v>11692</v>
      </c>
      <c r="J3864" s="2" t="s">
        <v>5510</v>
      </c>
      <c r="K3864" s="2" t="s">
        <v>6337</v>
      </c>
      <c r="L3864" s="3">
        <v>33.6</v>
      </c>
      <c r="M3864" s="3">
        <v>35.28</v>
      </c>
      <c r="N3864" s="3">
        <v>69.99</v>
      </c>
      <c r="O3864" s="2" t="s">
        <v>97</v>
      </c>
      <c r="P3864" s="2" t="s">
        <v>950</v>
      </c>
      <c r="Q3864" s="2" t="s">
        <v>99</v>
      </c>
      <c r="R3864" s="2" t="s">
        <v>100</v>
      </c>
      <c r="S3864" s="2" t="s">
        <v>11693</v>
      </c>
      <c r="T3864" s="2" t="s">
        <v>280</v>
      </c>
      <c r="U3864" s="2" t="s">
        <v>102</v>
      </c>
      <c r="V3864" s="2" t="s">
        <v>146</v>
      </c>
      <c r="W3864" s="2" t="s">
        <v>104</v>
      </c>
      <c r="X3864" s="2" t="s">
        <v>100</v>
      </c>
      <c r="Y3864" s="2" t="s">
        <v>837</v>
      </c>
      <c r="Z3864" s="4">
        <v>1399</v>
      </c>
      <c r="AA3864" s="4">
        <f>=ROUNDDOWN(35.8717948717949,0)</f>
      </c>
      <c r="AB3864" s="5">
        <v>39</v>
      </c>
      <c r="AC3864" s="2" t="s">
        <v>271</v>
      </c>
      <c r="AD3864" s="4">
        <v>184</v>
      </c>
      <c r="AE3864" s="4">
        <v>1104</v>
      </c>
      <c r="AF3864" s="6">
        <v>69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>
        <v>2</v>
      </c>
      <c r="AQ3864" s="8">
        <v>73.92</v>
      </c>
      <c r="AR3864" s="4"/>
      <c r="AS3864" s="8"/>
      <c r="AT3864" s="7"/>
      <c r="AU3864" s="7"/>
      <c r="AV3864" s="4">
        <v>2</v>
      </c>
      <c r="AW3864" s="8">
        <v>73.92</v>
      </c>
      <c r="AX3864" s="4"/>
      <c r="AY3864" s="8"/>
      <c r="AZ3864" s="7"/>
      <c r="BA3864" s="7"/>
      <c r="BB3864" s="7">
        <v>1</v>
      </c>
      <c r="BC3864" s="4">
        <v>6</v>
      </c>
      <c r="BD3864" s="8">
        <v>220.08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>
        <v>0.3359</v>
      </c>
      <c r="BJ3864" s="4">
        <v>1111</v>
      </c>
      <c r="BK3864" s="8">
        <v>40572.04</v>
      </c>
      <c r="BL3864" s="2" t="s">
        <v>11622</v>
      </c>
      <c r="BM3864" s="7">
        <v>0.0018</v>
      </c>
      <c r="BN3864" s="7">
        <v>0.0018</v>
      </c>
      <c r="BO3864" s="4">
        <v>2</v>
      </c>
      <c r="BP3864" s="8">
        <v>73.92</v>
      </c>
      <c r="BQ3864" s="4"/>
      <c r="BR3864" s="8"/>
      <c r="BS3864" s="7"/>
      <c r="BT3864" s="7"/>
      <c r="BU3864" s="2" t="s">
        <v>109</v>
      </c>
      <c r="BV3864" s="2" t="s">
        <v>110</v>
      </c>
      <c r="BW3864" s="2" t="s">
        <v>4201</v>
      </c>
      <c r="BX3864" s="2" t="s">
        <v>844</v>
      </c>
      <c r="BY3864" s="2" t="s">
        <v>113</v>
      </c>
      <c r="BZ3864" s="2" t="s">
        <v>100</v>
      </c>
    </row>
    <row r="3865">
      <c r="A3865" s="2" t="s">
        <v>11694</v>
      </c>
      <c r="B3865" s="2" t="s">
        <v>11586</v>
      </c>
      <c r="C3865" s="2" t="s">
        <v>3178</v>
      </c>
      <c r="D3865" s="2" t="s">
        <v>11587</v>
      </c>
      <c r="E3865" s="2" t="s">
        <v>5508</v>
      </c>
      <c r="F3865" s="2" t="s">
        <v>11691</v>
      </c>
      <c r="G3865" s="2" t="s">
        <v>11691</v>
      </c>
      <c r="H3865" s="2" t="s">
        <v>11691</v>
      </c>
      <c r="I3865" s="2" t="s">
        <v>11692</v>
      </c>
      <c r="J3865" s="2" t="s">
        <v>5510</v>
      </c>
      <c r="K3865" s="2" t="s">
        <v>118</v>
      </c>
      <c r="L3865" s="3">
        <v>33.6</v>
      </c>
      <c r="M3865" s="3">
        <v>35.28</v>
      </c>
      <c r="N3865" s="3">
        <v>69.99</v>
      </c>
      <c r="O3865" s="2" t="s">
        <v>97</v>
      </c>
      <c r="P3865" s="2" t="s">
        <v>372</v>
      </c>
      <c r="Q3865" s="2" t="s">
        <v>99</v>
      </c>
      <c r="R3865" s="2" t="s">
        <v>100</v>
      </c>
      <c r="S3865" s="2" t="s">
        <v>11693</v>
      </c>
      <c r="T3865" s="2" t="s">
        <v>280</v>
      </c>
      <c r="U3865" s="2" t="s">
        <v>102</v>
      </c>
      <c r="V3865" s="2" t="s">
        <v>146</v>
      </c>
      <c r="W3865" s="2" t="s">
        <v>104</v>
      </c>
      <c r="X3865" s="2" t="s">
        <v>100</v>
      </c>
      <c r="Y3865" s="2" t="s">
        <v>6579</v>
      </c>
      <c r="Z3865" s="4">
        <v>2042</v>
      </c>
      <c r="AA3865" s="4">
        <f>=ROUNDDOWN(34.6101694915254,0)</f>
      </c>
      <c r="AB3865" s="5">
        <v>59</v>
      </c>
      <c r="AC3865" s="2" t="s">
        <v>271</v>
      </c>
      <c r="AD3865" s="4">
        <v>287</v>
      </c>
      <c r="AE3865" s="4">
        <v>947</v>
      </c>
      <c r="AF3865" s="6">
        <v>69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>
        <v>1</v>
      </c>
      <c r="AQ3865" s="8">
        <v>36.96</v>
      </c>
      <c r="AR3865" s="4"/>
      <c r="AS3865" s="8"/>
      <c r="AT3865" s="7"/>
      <c r="AU3865" s="7"/>
      <c r="AV3865" s="4">
        <v>1</v>
      </c>
      <c r="AW3865" s="8">
        <v>36.96</v>
      </c>
      <c r="AX3865" s="4"/>
      <c r="AY3865" s="8"/>
      <c r="AZ3865" s="7"/>
      <c r="BA3865" s="7"/>
      <c r="BB3865" s="7">
        <v>1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0.1679</v>
      </c>
      <c r="BJ3865" s="4">
        <v>1487</v>
      </c>
      <c r="BK3865" s="8">
        <v>54672.54</v>
      </c>
      <c r="BL3865" s="2" t="s">
        <v>11695</v>
      </c>
      <c r="BM3865" s="7">
        <v>0.0007</v>
      </c>
      <c r="BN3865" s="7">
        <v>0.0007</v>
      </c>
      <c r="BO3865" s="4">
        <v>1</v>
      </c>
      <c r="BP3865" s="8">
        <v>36.96</v>
      </c>
      <c r="BQ3865" s="4"/>
      <c r="BR3865" s="8"/>
      <c r="BS3865" s="7"/>
      <c r="BT3865" s="7"/>
      <c r="BU3865" s="2" t="s">
        <v>109</v>
      </c>
      <c r="BV3865" s="2" t="s">
        <v>110</v>
      </c>
      <c r="BW3865" s="2" t="s">
        <v>10253</v>
      </c>
      <c r="BX3865" s="2" t="s">
        <v>7276</v>
      </c>
      <c r="BY3865" s="2" t="s">
        <v>113</v>
      </c>
      <c r="BZ3865" s="2" t="s">
        <v>100</v>
      </c>
    </row>
    <row r="3866">
      <c r="A3866" s="2" t="s">
        <v>11696</v>
      </c>
      <c r="B3866" s="2" t="s">
        <v>11586</v>
      </c>
      <c r="C3866" s="2" t="s">
        <v>3178</v>
      </c>
      <c r="D3866" s="2" t="s">
        <v>11587</v>
      </c>
      <c r="E3866" s="2" t="s">
        <v>5508</v>
      </c>
      <c r="F3866" s="2" t="s">
        <v>11691</v>
      </c>
      <c r="G3866" s="2" t="s">
        <v>11691</v>
      </c>
      <c r="H3866" s="2" t="s">
        <v>11691</v>
      </c>
      <c r="I3866" s="2" t="s">
        <v>11692</v>
      </c>
      <c r="J3866" s="2" t="s">
        <v>5510</v>
      </c>
      <c r="K3866" s="2" t="s">
        <v>432</v>
      </c>
      <c r="L3866" s="3">
        <v>33.6</v>
      </c>
      <c r="M3866" s="3">
        <v>35.28</v>
      </c>
      <c r="N3866" s="3">
        <v>69.99</v>
      </c>
      <c r="O3866" s="2" t="s">
        <v>97</v>
      </c>
      <c r="P3866" s="2" t="s">
        <v>950</v>
      </c>
      <c r="Q3866" s="2" t="s">
        <v>99</v>
      </c>
      <c r="R3866" s="2" t="s">
        <v>100</v>
      </c>
      <c r="S3866" s="2" t="s">
        <v>11693</v>
      </c>
      <c r="T3866" s="2" t="s">
        <v>280</v>
      </c>
      <c r="U3866" s="2" t="s">
        <v>102</v>
      </c>
      <c r="V3866" s="2" t="s">
        <v>146</v>
      </c>
      <c r="W3866" s="2" t="s">
        <v>104</v>
      </c>
      <c r="X3866" s="2" t="s">
        <v>100</v>
      </c>
      <c r="Y3866" s="2" t="s">
        <v>986</v>
      </c>
      <c r="Z3866" s="4">
        <v>1254</v>
      </c>
      <c r="AA3866" s="4">
        <f>=ROUNDDOWN(32.1538461538462,0)</f>
      </c>
      <c r="AB3866" s="5">
        <v>39</v>
      </c>
      <c r="AC3866" s="2" t="s">
        <v>271</v>
      </c>
      <c r="AD3866" s="4">
        <v>478</v>
      </c>
      <c r="AE3866" s="4">
        <v>1818</v>
      </c>
      <c r="AF3866" s="6">
        <v>69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>
        <v>1</v>
      </c>
      <c r="AQ3866" s="8">
        <v>36.96</v>
      </c>
      <c r="AR3866" s="4"/>
      <c r="AS3866" s="8"/>
      <c r="AT3866" s="7"/>
      <c r="AU3866" s="7"/>
      <c r="AV3866" s="4">
        <v>1</v>
      </c>
      <c r="AW3866" s="8">
        <v>36.96</v>
      </c>
      <c r="AX3866" s="4"/>
      <c r="AY3866" s="8"/>
      <c r="AZ3866" s="7"/>
      <c r="BA3866" s="7"/>
      <c r="BB3866" s="7">
        <v>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0.1679</v>
      </c>
      <c r="BJ3866" s="4">
        <v>1036</v>
      </c>
      <c r="BK3866" s="8">
        <v>37966.68</v>
      </c>
      <c r="BL3866" s="2" t="s">
        <v>11597</v>
      </c>
      <c r="BM3866" s="7">
        <v>0.001</v>
      </c>
      <c r="BN3866" s="7">
        <v>0.001</v>
      </c>
      <c r="BO3866" s="4">
        <v>1</v>
      </c>
      <c r="BP3866" s="8">
        <v>36.96</v>
      </c>
      <c r="BQ3866" s="4"/>
      <c r="BR3866" s="8"/>
      <c r="BS3866" s="7"/>
      <c r="BT3866" s="7"/>
      <c r="BU3866" s="2" t="s">
        <v>109</v>
      </c>
      <c r="BV3866" s="2" t="s">
        <v>110</v>
      </c>
      <c r="BW3866" s="2" t="s">
        <v>4201</v>
      </c>
      <c r="BX3866" s="2" t="s">
        <v>4324</v>
      </c>
      <c r="BY3866" s="2" t="s">
        <v>113</v>
      </c>
      <c r="BZ3866" s="2" t="s">
        <v>100</v>
      </c>
    </row>
    <row r="3867">
      <c r="A3867" s="2" t="s">
        <v>11697</v>
      </c>
      <c r="B3867" s="2" t="s">
        <v>11586</v>
      </c>
      <c r="C3867" s="2" t="s">
        <v>3178</v>
      </c>
      <c r="D3867" s="2" t="s">
        <v>11587</v>
      </c>
      <c r="E3867" s="2" t="s">
        <v>5508</v>
      </c>
      <c r="F3867" s="2" t="s">
        <v>11691</v>
      </c>
      <c r="G3867" s="2" t="s">
        <v>11691</v>
      </c>
      <c r="H3867" s="2" t="s">
        <v>11691</v>
      </c>
      <c r="I3867" s="2" t="s">
        <v>11692</v>
      </c>
      <c r="J3867" s="2" t="s">
        <v>5510</v>
      </c>
      <c r="K3867" s="2" t="s">
        <v>198</v>
      </c>
      <c r="L3867" s="3">
        <v>33.6</v>
      </c>
      <c r="M3867" s="3">
        <v>35.28</v>
      </c>
      <c r="N3867" s="3">
        <v>69.99</v>
      </c>
      <c r="O3867" s="2" t="s">
        <v>97</v>
      </c>
      <c r="P3867" s="2" t="s">
        <v>372</v>
      </c>
      <c r="Q3867" s="2" t="s">
        <v>99</v>
      </c>
      <c r="R3867" s="2" t="s">
        <v>100</v>
      </c>
      <c r="S3867" s="2" t="s">
        <v>11693</v>
      </c>
      <c r="T3867" s="2" t="s">
        <v>280</v>
      </c>
      <c r="U3867" s="2" t="s">
        <v>102</v>
      </c>
      <c r="V3867" s="2" t="s">
        <v>146</v>
      </c>
      <c r="W3867" s="2" t="s">
        <v>104</v>
      </c>
      <c r="X3867" s="2" t="s">
        <v>100</v>
      </c>
      <c r="Y3867" s="2" t="s">
        <v>2054</v>
      </c>
      <c r="Z3867" s="4">
        <v>2929</v>
      </c>
      <c r="AA3867" s="4">
        <f>=ROUNDDOWN(41.8428571428571,0)</f>
      </c>
      <c r="AB3867" s="5">
        <v>70</v>
      </c>
      <c r="AC3867" s="2" t="s">
        <v>271</v>
      </c>
      <c r="AD3867" s="4">
        <v>662</v>
      </c>
      <c r="AE3867" s="4">
        <v>1102</v>
      </c>
      <c r="AF3867" s="6">
        <v>69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1</v>
      </c>
      <c r="AQ3867" s="8">
        <v>36.96</v>
      </c>
      <c r="AR3867" s="4"/>
      <c r="AS3867" s="8"/>
      <c r="AT3867" s="7"/>
      <c r="AU3867" s="7"/>
      <c r="AV3867" s="4">
        <v>1</v>
      </c>
      <c r="AW3867" s="8">
        <v>36.96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1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>
        <v>0.1679</v>
      </c>
      <c r="BJ3867" s="4">
        <v>1990</v>
      </c>
      <c r="BK3867" s="8">
        <v>72221.58</v>
      </c>
      <c r="BL3867" s="2" t="s">
        <v>11698</v>
      </c>
      <c r="BM3867" s="7">
        <v>0.0005</v>
      </c>
      <c r="BN3867" s="7">
        <v>0.0005</v>
      </c>
      <c r="BO3867" s="4">
        <v>1</v>
      </c>
      <c r="BP3867" s="8">
        <v>36.96</v>
      </c>
      <c r="BQ3867" s="4"/>
      <c r="BR3867" s="8"/>
      <c r="BS3867" s="7"/>
      <c r="BT3867" s="7"/>
      <c r="BU3867" s="2" t="s">
        <v>109</v>
      </c>
      <c r="BV3867" s="2" t="s">
        <v>110</v>
      </c>
      <c r="BW3867" s="2" t="s">
        <v>5359</v>
      </c>
      <c r="BX3867" s="2" t="s">
        <v>979</v>
      </c>
      <c r="BY3867" s="2" t="s">
        <v>113</v>
      </c>
      <c r="BZ3867" s="2" t="s">
        <v>100</v>
      </c>
    </row>
    <row r="3868">
      <c r="A3868" s="2" t="s">
        <v>11699</v>
      </c>
      <c r="B3868" s="2" t="s">
        <v>11586</v>
      </c>
      <c r="C3868" s="2" t="s">
        <v>3178</v>
      </c>
      <c r="D3868" s="2" t="s">
        <v>11587</v>
      </c>
      <c r="E3868" s="2" t="s">
        <v>5508</v>
      </c>
      <c r="F3868" s="2" t="s">
        <v>11691</v>
      </c>
      <c r="G3868" s="2" t="s">
        <v>11691</v>
      </c>
      <c r="H3868" s="2" t="s">
        <v>11691</v>
      </c>
      <c r="I3868" s="2" t="s">
        <v>11700</v>
      </c>
      <c r="J3868" s="2" t="s">
        <v>11701</v>
      </c>
      <c r="K3868" s="2" t="s">
        <v>198</v>
      </c>
      <c r="L3868" s="3">
        <v>33.6</v>
      </c>
      <c r="M3868" s="3">
        <v>35.28</v>
      </c>
      <c r="N3868" s="3">
        <v>69.99</v>
      </c>
      <c r="O3868" s="2" t="s">
        <v>97</v>
      </c>
      <c r="P3868" s="2" t="s">
        <v>2478</v>
      </c>
      <c r="Q3868" s="2" t="s">
        <v>99</v>
      </c>
      <c r="R3868" s="2" t="s">
        <v>100</v>
      </c>
      <c r="S3868" s="2" t="s">
        <v>11693</v>
      </c>
      <c r="T3868" s="2" t="s">
        <v>280</v>
      </c>
      <c r="U3868" s="2" t="s">
        <v>514</v>
      </c>
      <c r="V3868" s="2" t="s">
        <v>146</v>
      </c>
      <c r="W3868" s="2" t="s">
        <v>183</v>
      </c>
      <c r="X3868" s="2" t="s">
        <v>100</v>
      </c>
      <c r="Y3868" s="2" t="s">
        <v>2070</v>
      </c>
      <c r="Z3868" s="4">
        <v>613</v>
      </c>
      <c r="AA3868" s="4">
        <f>=ROUNDDOWN(47.1538461538462,0)</f>
      </c>
      <c r="AB3868" s="5">
        <v>13</v>
      </c>
      <c r="AC3868" s="2" t="s">
        <v>100</v>
      </c>
      <c r="AD3868" s="4"/>
      <c r="AE3868" s="4"/>
      <c r="AF3868" s="6">
        <v>69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/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57</v>
      </c>
      <c r="BK3868" s="8">
        <v>2195.62</v>
      </c>
      <c r="BL3868" s="2" t="s">
        <v>11702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2480</v>
      </c>
      <c r="BV3868" s="2" t="s">
        <v>97</v>
      </c>
      <c r="BW3868" s="2" t="s">
        <v>100</v>
      </c>
      <c r="BX3868" s="2" t="s">
        <v>100</v>
      </c>
      <c r="BY3868" s="2" t="s">
        <v>113</v>
      </c>
      <c r="BZ3868" s="2" t="s">
        <v>100</v>
      </c>
    </row>
    <row r="3869">
      <c r="A3869" s="2" t="s">
        <v>11703</v>
      </c>
      <c r="B3869" s="2" t="s">
        <v>11586</v>
      </c>
      <c r="C3869" s="2" t="s">
        <v>3178</v>
      </c>
      <c r="D3869" s="2" t="s">
        <v>11587</v>
      </c>
      <c r="E3869" s="2" t="s">
        <v>5508</v>
      </c>
      <c r="F3869" s="2" t="s">
        <v>11691</v>
      </c>
      <c r="G3869" s="2" t="s">
        <v>11691</v>
      </c>
      <c r="H3869" s="2" t="s">
        <v>11691</v>
      </c>
      <c r="I3869" s="2" t="s">
        <v>11692</v>
      </c>
      <c r="J3869" s="2" t="s">
        <v>5510</v>
      </c>
      <c r="K3869" s="2" t="s">
        <v>878</v>
      </c>
      <c r="L3869" s="3">
        <v>33.6</v>
      </c>
      <c r="M3869" s="3">
        <v>35.28</v>
      </c>
      <c r="N3869" s="3">
        <v>69.99</v>
      </c>
      <c r="O3869" s="2" t="s">
        <v>97</v>
      </c>
      <c r="P3869" s="2" t="s">
        <v>950</v>
      </c>
      <c r="Q3869" s="2" t="s">
        <v>99</v>
      </c>
      <c r="R3869" s="2" t="s">
        <v>100</v>
      </c>
      <c r="S3869" s="2" t="s">
        <v>11693</v>
      </c>
      <c r="T3869" s="2" t="s">
        <v>280</v>
      </c>
      <c r="U3869" s="2" t="s">
        <v>102</v>
      </c>
      <c r="V3869" s="2" t="s">
        <v>146</v>
      </c>
      <c r="W3869" s="2" t="s">
        <v>309</v>
      </c>
      <c r="X3869" s="2" t="s">
        <v>100</v>
      </c>
      <c r="Y3869" s="2" t="s">
        <v>11704</v>
      </c>
      <c r="Z3869" s="4">
        <v>1155</v>
      </c>
      <c r="AA3869" s="4">
        <f>=ROUNDDOWN(39.8275862068965,0)</f>
      </c>
      <c r="AB3869" s="5">
        <v>29</v>
      </c>
      <c r="AC3869" s="2" t="s">
        <v>1292</v>
      </c>
      <c r="AD3869" s="4">
        <v>300</v>
      </c>
      <c r="AE3869" s="4">
        <v>300</v>
      </c>
      <c r="AF3869" s="6">
        <v>69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>
        <v>1</v>
      </c>
      <c r="AQ3869" s="8">
        <v>35.28</v>
      </c>
      <c r="AR3869" s="4"/>
      <c r="AS3869" s="8"/>
      <c r="AT3869" s="7"/>
      <c r="AU3869" s="7"/>
      <c r="AV3869" s="4">
        <v>1</v>
      </c>
      <c r="AW3869" s="8">
        <v>35.28</v>
      </c>
      <c r="AX3869" s="4"/>
      <c r="AY3869" s="8"/>
      <c r="AZ3869" s="7"/>
      <c r="BA3869" s="7"/>
      <c r="BB3869" s="7">
        <v>1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0.1603</v>
      </c>
      <c r="BJ3869" s="4">
        <v>760</v>
      </c>
      <c r="BK3869" s="8">
        <v>27941.9</v>
      </c>
      <c r="BL3869" s="2" t="s">
        <v>11652</v>
      </c>
      <c r="BM3869" s="7">
        <v>0.0013</v>
      </c>
      <c r="BN3869" s="7">
        <v>0.0013</v>
      </c>
      <c r="BO3869" s="4">
        <v>1</v>
      </c>
      <c r="BP3869" s="8">
        <v>35.28</v>
      </c>
      <c r="BQ3869" s="4"/>
      <c r="BR3869" s="8"/>
      <c r="BS3869" s="7"/>
      <c r="BT3869" s="7"/>
      <c r="BU3869" s="2" t="s">
        <v>109</v>
      </c>
      <c r="BV3869" s="2" t="s">
        <v>110</v>
      </c>
      <c r="BW3869" s="2" t="s">
        <v>5167</v>
      </c>
      <c r="BX3869" s="2" t="s">
        <v>11087</v>
      </c>
      <c r="BY3869" s="2" t="s">
        <v>113</v>
      </c>
      <c r="BZ3869" s="2" t="s">
        <v>100</v>
      </c>
    </row>
    <row r="3870">
      <c r="A3870" s="2" t="s">
        <v>11705</v>
      </c>
      <c r="B3870" s="2" t="s">
        <v>11586</v>
      </c>
      <c r="C3870" s="2" t="s">
        <v>3178</v>
      </c>
      <c r="D3870" s="2" t="s">
        <v>11587</v>
      </c>
      <c r="E3870" s="2" t="s">
        <v>5508</v>
      </c>
      <c r="F3870" s="2" t="s">
        <v>11691</v>
      </c>
      <c r="G3870" s="2" t="s">
        <v>11691</v>
      </c>
      <c r="H3870" s="2" t="s">
        <v>11691</v>
      </c>
      <c r="I3870" s="2" t="s">
        <v>11700</v>
      </c>
      <c r="J3870" s="2" t="s">
        <v>11701</v>
      </c>
      <c r="K3870" s="2" t="s">
        <v>2477</v>
      </c>
      <c r="L3870" s="3">
        <v>33.6</v>
      </c>
      <c r="M3870" s="3">
        <v>35.28</v>
      </c>
      <c r="N3870" s="3">
        <v>69.99</v>
      </c>
      <c r="O3870" s="2" t="s">
        <v>97</v>
      </c>
      <c r="P3870" s="2" t="s">
        <v>2478</v>
      </c>
      <c r="Q3870" s="2" t="s">
        <v>99</v>
      </c>
      <c r="R3870" s="2" t="s">
        <v>100</v>
      </c>
      <c r="S3870" s="2" t="s">
        <v>11693</v>
      </c>
      <c r="T3870" s="2" t="s">
        <v>280</v>
      </c>
      <c r="U3870" s="2" t="s">
        <v>514</v>
      </c>
      <c r="V3870" s="2" t="s">
        <v>146</v>
      </c>
      <c r="W3870" s="2" t="s">
        <v>183</v>
      </c>
      <c r="X3870" s="2" t="s">
        <v>100</v>
      </c>
      <c r="Y3870" s="2" t="s">
        <v>2070</v>
      </c>
      <c r="Z3870" s="4">
        <v>503</v>
      </c>
      <c r="AA3870" s="4">
        <f>=ROUNDDOWN(62.875,0)</f>
      </c>
      <c r="AB3870" s="5">
        <v>8</v>
      </c>
      <c r="AC3870" s="2" t="s">
        <v>100</v>
      </c>
      <c r="AD3870" s="4"/>
      <c r="AE3870" s="4"/>
      <c r="AF3870" s="6">
        <v>69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/>
      <c r="BJ3870" s="4">
        <v>88</v>
      </c>
      <c r="BK3870" s="8">
        <v>3364.06</v>
      </c>
      <c r="BL3870" s="2" t="s">
        <v>11649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2480</v>
      </c>
      <c r="BV3870" s="2" t="s">
        <v>97</v>
      </c>
      <c r="BW3870" s="2" t="s">
        <v>100</v>
      </c>
      <c r="BX3870" s="2" t="s">
        <v>100</v>
      </c>
      <c r="BY3870" s="2" t="s">
        <v>113</v>
      </c>
      <c r="BZ3870" s="2" t="s">
        <v>100</v>
      </c>
    </row>
    <row r="3871">
      <c r="A3871" s="2" t="s">
        <v>11706</v>
      </c>
      <c r="B3871" s="2" t="s">
        <v>11586</v>
      </c>
      <c r="C3871" s="2" t="s">
        <v>3178</v>
      </c>
      <c r="D3871" s="2" t="s">
        <v>11587</v>
      </c>
      <c r="E3871" s="2" t="s">
        <v>5508</v>
      </c>
      <c r="F3871" s="2" t="s">
        <v>11691</v>
      </c>
      <c r="G3871" s="2" t="s">
        <v>11691</v>
      </c>
      <c r="H3871" s="2" t="s">
        <v>11691</v>
      </c>
      <c r="I3871" s="2" t="s">
        <v>11692</v>
      </c>
      <c r="J3871" s="2" t="s">
        <v>5510</v>
      </c>
      <c r="K3871" s="2" t="s">
        <v>278</v>
      </c>
      <c r="L3871" s="3">
        <v>33.6</v>
      </c>
      <c r="M3871" s="3">
        <v>35.28</v>
      </c>
      <c r="N3871" s="3">
        <v>69.99</v>
      </c>
      <c r="O3871" s="2" t="s">
        <v>97</v>
      </c>
      <c r="P3871" s="2" t="s">
        <v>2478</v>
      </c>
      <c r="Q3871" s="2" t="s">
        <v>99</v>
      </c>
      <c r="R3871" s="2" t="s">
        <v>100</v>
      </c>
      <c r="S3871" s="2" t="s">
        <v>11707</v>
      </c>
      <c r="T3871" s="2" t="s">
        <v>280</v>
      </c>
      <c r="U3871" s="2" t="s">
        <v>102</v>
      </c>
      <c r="V3871" s="2" t="s">
        <v>146</v>
      </c>
      <c r="W3871" s="2" t="s">
        <v>104</v>
      </c>
      <c r="X3871" s="2" t="s">
        <v>100</v>
      </c>
      <c r="Y3871" s="2" t="s">
        <v>7774</v>
      </c>
      <c r="Z3871" s="4">
        <v>1436</v>
      </c>
      <c r="AA3871" s="4">
        <f>=ROUNDDOWN(30.5531914893617,0)</f>
      </c>
      <c r="AB3871" s="5">
        <v>47</v>
      </c>
      <c r="AC3871" s="2" t="s">
        <v>934</v>
      </c>
      <c r="AD3871" s="4">
        <v>800</v>
      </c>
      <c r="AE3871" s="4">
        <v>800</v>
      </c>
      <c r="AF3871" s="6">
        <v>69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/>
      <c r="BJ3871" s="4">
        <v>302</v>
      </c>
      <c r="BK3871" s="8">
        <v>11436.88</v>
      </c>
      <c r="BL3871" s="2" t="s">
        <v>11675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2480</v>
      </c>
      <c r="BV3871" s="2" t="s">
        <v>97</v>
      </c>
      <c r="BW3871" s="2" t="s">
        <v>100</v>
      </c>
      <c r="BX3871" s="2" t="s">
        <v>100</v>
      </c>
      <c r="BY3871" s="2" t="s">
        <v>113</v>
      </c>
      <c r="BZ3871" s="2" t="s">
        <v>100</v>
      </c>
    </row>
    <row r="3872">
      <c r="A3872" s="2" t="s">
        <v>11708</v>
      </c>
      <c r="B3872" s="2" t="s">
        <v>11586</v>
      </c>
      <c r="C3872" s="2" t="s">
        <v>3178</v>
      </c>
      <c r="D3872" s="2" t="s">
        <v>11587</v>
      </c>
      <c r="E3872" s="2" t="s">
        <v>5508</v>
      </c>
      <c r="F3872" s="2" t="s">
        <v>11691</v>
      </c>
      <c r="G3872" s="2" t="s">
        <v>11691</v>
      </c>
      <c r="H3872" s="2" t="s">
        <v>11691</v>
      </c>
      <c r="I3872" s="2" t="s">
        <v>11700</v>
      </c>
      <c r="J3872" s="2" t="s">
        <v>11701</v>
      </c>
      <c r="K3872" s="2" t="s">
        <v>858</v>
      </c>
      <c r="L3872" s="3">
        <v>33.6</v>
      </c>
      <c r="M3872" s="3">
        <v>35.28</v>
      </c>
      <c r="N3872" s="3">
        <v>69.99</v>
      </c>
      <c r="O3872" s="2" t="s">
        <v>97</v>
      </c>
      <c r="P3872" s="2" t="s">
        <v>2478</v>
      </c>
      <c r="Q3872" s="2" t="s">
        <v>99</v>
      </c>
      <c r="R3872" s="2" t="s">
        <v>100</v>
      </c>
      <c r="S3872" s="2" t="s">
        <v>11693</v>
      </c>
      <c r="T3872" s="2" t="s">
        <v>280</v>
      </c>
      <c r="U3872" s="2" t="s">
        <v>514</v>
      </c>
      <c r="V3872" s="2" t="s">
        <v>146</v>
      </c>
      <c r="W3872" s="2" t="s">
        <v>183</v>
      </c>
      <c r="X3872" s="2" t="s">
        <v>100</v>
      </c>
      <c r="Y3872" s="2" t="s">
        <v>2070</v>
      </c>
      <c r="Z3872" s="4">
        <v>647</v>
      </c>
      <c r="AA3872" s="4">
        <f>=ROUNDDOWN(129.4,0)</f>
      </c>
      <c r="AB3872" s="5">
        <v>5</v>
      </c>
      <c r="AC3872" s="2" t="s">
        <v>100</v>
      </c>
      <c r="AD3872" s="4"/>
      <c r="AE3872" s="4"/>
      <c r="AF3872" s="6">
        <v>69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/>
      <c r="BJ3872" s="4">
        <v>34</v>
      </c>
      <c r="BK3872" s="8">
        <v>1299.76</v>
      </c>
      <c r="BL3872" s="2" t="s">
        <v>11709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2480</v>
      </c>
      <c r="BV3872" s="2" t="s">
        <v>97</v>
      </c>
      <c r="BW3872" s="2" t="s">
        <v>100</v>
      </c>
      <c r="BX3872" s="2" t="s">
        <v>100</v>
      </c>
      <c r="BY3872" s="2" t="s">
        <v>113</v>
      </c>
      <c r="BZ3872" s="2" t="s">
        <v>100</v>
      </c>
    </row>
    <row r="3873">
      <c r="A3873" s="2" t="s">
        <v>11710</v>
      </c>
      <c r="B3873" s="2" t="s">
        <v>11586</v>
      </c>
      <c r="C3873" s="2" t="s">
        <v>3178</v>
      </c>
      <c r="D3873" s="2" t="s">
        <v>11587</v>
      </c>
      <c r="E3873" s="2" t="s">
        <v>5508</v>
      </c>
      <c r="F3873" s="2" t="s">
        <v>11691</v>
      </c>
      <c r="G3873" s="2" t="s">
        <v>11691</v>
      </c>
      <c r="H3873" s="2" t="s">
        <v>11691</v>
      </c>
      <c r="I3873" s="2" t="s">
        <v>11692</v>
      </c>
      <c r="J3873" s="2" t="s">
        <v>5510</v>
      </c>
      <c r="K3873" s="2" t="s">
        <v>189</v>
      </c>
      <c r="L3873" s="3">
        <v>33.6</v>
      </c>
      <c r="M3873" s="3">
        <v>35.28</v>
      </c>
      <c r="N3873" s="3">
        <v>69.99</v>
      </c>
      <c r="O3873" s="2" t="s">
        <v>97</v>
      </c>
      <c r="P3873" s="2" t="s">
        <v>307</v>
      </c>
      <c r="Q3873" s="2" t="s">
        <v>99</v>
      </c>
      <c r="R3873" s="2" t="s">
        <v>100</v>
      </c>
      <c r="S3873" s="2" t="s">
        <v>11693</v>
      </c>
      <c r="T3873" s="2" t="s">
        <v>280</v>
      </c>
      <c r="U3873" s="2" t="s">
        <v>102</v>
      </c>
      <c r="V3873" s="2" t="s">
        <v>146</v>
      </c>
      <c r="W3873" s="2" t="s">
        <v>104</v>
      </c>
      <c r="X3873" s="2" t="s">
        <v>100</v>
      </c>
      <c r="Y3873" s="2" t="s">
        <v>800</v>
      </c>
      <c r="Z3873" s="4">
        <v>3874</v>
      </c>
      <c r="AA3873" s="4">
        <f>=ROUNDDOWN(38.3564356435644,0)</f>
      </c>
      <c r="AB3873" s="5">
        <v>101</v>
      </c>
      <c r="AC3873" s="2" t="s">
        <v>271</v>
      </c>
      <c r="AD3873" s="4">
        <v>994</v>
      </c>
      <c r="AE3873" s="4">
        <v>1294</v>
      </c>
      <c r="AF3873" s="6">
        <v>69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/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2789</v>
      </c>
      <c r="BK3873" s="8">
        <v>101945.19</v>
      </c>
      <c r="BL3873" s="2" t="s">
        <v>11711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5177</v>
      </c>
      <c r="BX3873" s="2" t="s">
        <v>11712</v>
      </c>
      <c r="BY3873" s="2" t="s">
        <v>113</v>
      </c>
      <c r="BZ3873" s="2" t="s">
        <v>100</v>
      </c>
    </row>
    <row r="3874">
      <c r="A3874" s="2" t="s">
        <v>11713</v>
      </c>
      <c r="B3874" s="2" t="s">
        <v>11586</v>
      </c>
      <c r="C3874" s="2" t="s">
        <v>3178</v>
      </c>
      <c r="D3874" s="2" t="s">
        <v>11587</v>
      </c>
      <c r="E3874" s="2" t="s">
        <v>5508</v>
      </c>
      <c r="F3874" s="2" t="s">
        <v>11691</v>
      </c>
      <c r="G3874" s="2" t="s">
        <v>11691</v>
      </c>
      <c r="H3874" s="2" t="s">
        <v>11691</v>
      </c>
      <c r="I3874" s="2" t="s">
        <v>11700</v>
      </c>
      <c r="J3874" s="2" t="s">
        <v>11701</v>
      </c>
      <c r="K3874" s="2" t="s">
        <v>189</v>
      </c>
      <c r="L3874" s="3">
        <v>33.6</v>
      </c>
      <c r="M3874" s="3">
        <v>35.28</v>
      </c>
      <c r="N3874" s="3">
        <v>69.99</v>
      </c>
      <c r="O3874" s="2" t="s">
        <v>97</v>
      </c>
      <c r="P3874" s="2" t="s">
        <v>2478</v>
      </c>
      <c r="Q3874" s="2" t="s">
        <v>99</v>
      </c>
      <c r="R3874" s="2" t="s">
        <v>100</v>
      </c>
      <c r="S3874" s="2" t="s">
        <v>11693</v>
      </c>
      <c r="T3874" s="2" t="s">
        <v>280</v>
      </c>
      <c r="U3874" s="2" t="s">
        <v>514</v>
      </c>
      <c r="V3874" s="2" t="s">
        <v>146</v>
      </c>
      <c r="W3874" s="2" t="s">
        <v>183</v>
      </c>
      <c r="X3874" s="2" t="s">
        <v>100</v>
      </c>
      <c r="Y3874" s="2" t="s">
        <v>2070</v>
      </c>
      <c r="Z3874" s="4">
        <v>807</v>
      </c>
      <c r="AA3874" s="4">
        <f>=ROUNDDOWN(89.6666666666667,0)</f>
      </c>
      <c r="AB3874" s="5">
        <v>9</v>
      </c>
      <c r="AC3874" s="2" t="s">
        <v>100</v>
      </c>
      <c r="AD3874" s="4"/>
      <c r="AE3874" s="4"/>
      <c r="AF3874" s="6">
        <v>69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100</v>
      </c>
      <c r="AW3874" s="8" t="s">
        <v>100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/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 t="s">
        <v>100</v>
      </c>
      <c r="BJ3874" s="4">
        <v>47</v>
      </c>
      <c r="BK3874" s="8">
        <v>1792.44</v>
      </c>
      <c r="BL3874" s="2" t="s">
        <v>11714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2480</v>
      </c>
      <c r="BV3874" s="2" t="s">
        <v>97</v>
      </c>
      <c r="BW3874" s="2" t="s">
        <v>100</v>
      </c>
      <c r="BX3874" s="2" t="s">
        <v>100</v>
      </c>
      <c r="BY3874" s="2" t="s">
        <v>113</v>
      </c>
      <c r="BZ3874" s="2" t="s">
        <v>100</v>
      </c>
    </row>
    <row r="3875">
      <c r="A3875" s="2" t="s">
        <v>11715</v>
      </c>
      <c r="B3875" s="2" t="s">
        <v>11586</v>
      </c>
      <c r="C3875" s="2" t="s">
        <v>3178</v>
      </c>
      <c r="D3875" s="2" t="s">
        <v>11587</v>
      </c>
      <c r="E3875" s="2" t="s">
        <v>5508</v>
      </c>
      <c r="F3875" s="2" t="s">
        <v>5578</v>
      </c>
      <c r="G3875" s="2" t="s">
        <v>5578</v>
      </c>
      <c r="H3875" s="2" t="s">
        <v>5578</v>
      </c>
      <c r="I3875" s="2" t="s">
        <v>11716</v>
      </c>
      <c r="J3875" s="2" t="s">
        <v>5510</v>
      </c>
      <c r="K3875" s="2" t="s">
        <v>118</v>
      </c>
      <c r="L3875" s="3">
        <v>50.4</v>
      </c>
      <c r="M3875" s="3">
        <v>52.92</v>
      </c>
      <c r="N3875" s="3">
        <v>104.99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11717</v>
      </c>
      <c r="T3875" s="2" t="s">
        <v>280</v>
      </c>
      <c r="U3875" s="2" t="s">
        <v>102</v>
      </c>
      <c r="V3875" s="2" t="s">
        <v>146</v>
      </c>
      <c r="W3875" s="2" t="s">
        <v>673</v>
      </c>
      <c r="X3875" s="2" t="s">
        <v>561</v>
      </c>
      <c r="Y3875" s="2" t="s">
        <v>11718</v>
      </c>
      <c r="Z3875" s="4">
        <v>779</v>
      </c>
      <c r="AA3875" s="4">
        <f>=ROUNDDOWN(43.2777777777778,0)</f>
      </c>
      <c r="AB3875" s="5">
        <v>18</v>
      </c>
      <c r="AC3875" s="2" t="s">
        <v>4334</v>
      </c>
      <c r="AD3875" s="4">
        <v>300</v>
      </c>
      <c r="AE3875" s="4">
        <v>300</v>
      </c>
      <c r="AF3875" s="6">
        <v>69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>
        <v>2</v>
      </c>
      <c r="AQ3875" s="8">
        <v>115.5</v>
      </c>
      <c r="AR3875" s="4"/>
      <c r="AS3875" s="8"/>
      <c r="AT3875" s="7"/>
      <c r="AU3875" s="7"/>
      <c r="AV3875" s="4">
        <v>2</v>
      </c>
      <c r="AW3875" s="8">
        <v>115.5</v>
      </c>
      <c r="AX3875" s="4"/>
      <c r="AY3875" s="8"/>
      <c r="AZ3875" s="7"/>
      <c r="BA3875" s="7"/>
      <c r="BB3875" s="7">
        <v>1</v>
      </c>
      <c r="BC3875" s="4">
        <v>2</v>
      </c>
      <c r="BD3875" s="8">
        <v>115.5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1</v>
      </c>
      <c r="BJ3875" s="4">
        <v>425</v>
      </c>
      <c r="BK3875" s="8">
        <v>24555.67</v>
      </c>
      <c r="BL3875" s="2" t="s">
        <v>7225</v>
      </c>
      <c r="BM3875" s="7">
        <v>0.0047</v>
      </c>
      <c r="BN3875" s="7">
        <v>0.0047</v>
      </c>
      <c r="BO3875" s="4">
        <v>2</v>
      </c>
      <c r="BP3875" s="8">
        <v>115.5</v>
      </c>
      <c r="BQ3875" s="4"/>
      <c r="BR3875" s="8"/>
      <c r="BS3875" s="7"/>
      <c r="BT3875" s="7"/>
      <c r="BU3875" s="2" t="s">
        <v>109</v>
      </c>
      <c r="BV3875" s="2" t="s">
        <v>110</v>
      </c>
      <c r="BW3875" s="2" t="s">
        <v>10253</v>
      </c>
      <c r="BX3875" s="2" t="s">
        <v>11719</v>
      </c>
      <c r="BY3875" s="2" t="s">
        <v>113</v>
      </c>
      <c r="BZ3875" s="2" t="s">
        <v>100</v>
      </c>
    </row>
    <row r="3876">
      <c r="A3876" s="2" t="s">
        <v>11720</v>
      </c>
      <c r="B3876" s="2" t="s">
        <v>11586</v>
      </c>
      <c r="C3876" s="2" t="s">
        <v>3178</v>
      </c>
      <c r="D3876" s="2" t="s">
        <v>11587</v>
      </c>
      <c r="E3876" s="2" t="s">
        <v>5508</v>
      </c>
      <c r="F3876" s="2" t="s">
        <v>5578</v>
      </c>
      <c r="G3876" s="2" t="s">
        <v>5578</v>
      </c>
      <c r="H3876" s="2" t="s">
        <v>5578</v>
      </c>
      <c r="I3876" s="2" t="s">
        <v>11716</v>
      </c>
      <c r="J3876" s="2" t="s">
        <v>5510</v>
      </c>
      <c r="K3876" s="2" t="s">
        <v>2477</v>
      </c>
      <c r="L3876" s="3">
        <v>50.4</v>
      </c>
      <c r="M3876" s="3">
        <v>52.92</v>
      </c>
      <c r="N3876" s="3">
        <v>104.99</v>
      </c>
      <c r="O3876" s="2" t="s">
        <v>97</v>
      </c>
      <c r="P3876" s="2" t="s">
        <v>372</v>
      </c>
      <c r="Q3876" s="2" t="s">
        <v>99</v>
      </c>
      <c r="R3876" s="2" t="s">
        <v>100</v>
      </c>
      <c r="S3876" s="2" t="s">
        <v>11717</v>
      </c>
      <c r="T3876" s="2" t="s">
        <v>280</v>
      </c>
      <c r="U3876" s="2" t="s">
        <v>102</v>
      </c>
      <c r="V3876" s="2" t="s">
        <v>146</v>
      </c>
      <c r="W3876" s="2" t="s">
        <v>673</v>
      </c>
      <c r="X3876" s="2" t="s">
        <v>561</v>
      </c>
      <c r="Y3876" s="2" t="s">
        <v>3006</v>
      </c>
      <c r="Z3876" s="4">
        <v>765</v>
      </c>
      <c r="AA3876" s="4">
        <f>=ROUNDDOWN(51,0)</f>
      </c>
      <c r="AB3876" s="5">
        <v>15</v>
      </c>
      <c r="AC3876" s="2" t="s">
        <v>4334</v>
      </c>
      <c r="AD3876" s="4">
        <v>300</v>
      </c>
      <c r="AE3876" s="4">
        <v>300</v>
      </c>
      <c r="AF3876" s="6">
        <v>69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/>
      <c r="BJ3876" s="4">
        <v>269</v>
      </c>
      <c r="BK3876" s="8">
        <v>15472.11</v>
      </c>
      <c r="BL3876" s="2" t="s">
        <v>6109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207</v>
      </c>
      <c r="BV3876" s="2" t="s">
        <v>97</v>
      </c>
      <c r="BW3876" s="2" t="s">
        <v>100</v>
      </c>
      <c r="BX3876" s="2" t="s">
        <v>100</v>
      </c>
      <c r="BY3876" s="2" t="s">
        <v>113</v>
      </c>
      <c r="BZ3876" s="2" t="s">
        <v>245</v>
      </c>
    </row>
    <row r="3877">
      <c r="A3877" s="2" t="s">
        <v>11721</v>
      </c>
      <c r="B3877" s="2" t="s">
        <v>11586</v>
      </c>
      <c r="C3877" s="2" t="s">
        <v>3178</v>
      </c>
      <c r="D3877" s="2" t="s">
        <v>11587</v>
      </c>
      <c r="E3877" s="2" t="s">
        <v>5508</v>
      </c>
      <c r="F3877" s="2" t="s">
        <v>5578</v>
      </c>
      <c r="G3877" s="2" t="s">
        <v>5578</v>
      </c>
      <c r="H3877" s="2" t="s">
        <v>5578</v>
      </c>
      <c r="I3877" s="2" t="s">
        <v>11716</v>
      </c>
      <c r="J3877" s="2" t="s">
        <v>5510</v>
      </c>
      <c r="K3877" s="2" t="s">
        <v>858</v>
      </c>
      <c r="L3877" s="3">
        <v>50.4</v>
      </c>
      <c r="M3877" s="3">
        <v>52.92</v>
      </c>
      <c r="N3877" s="3">
        <v>104.99</v>
      </c>
      <c r="O3877" s="2" t="s">
        <v>97</v>
      </c>
      <c r="P3877" s="2" t="s">
        <v>950</v>
      </c>
      <c r="Q3877" s="2" t="s">
        <v>99</v>
      </c>
      <c r="R3877" s="2" t="s">
        <v>100</v>
      </c>
      <c r="S3877" s="2" t="s">
        <v>11717</v>
      </c>
      <c r="T3877" s="2" t="s">
        <v>280</v>
      </c>
      <c r="U3877" s="2" t="s">
        <v>102</v>
      </c>
      <c r="V3877" s="2" t="s">
        <v>146</v>
      </c>
      <c r="W3877" s="2" t="s">
        <v>673</v>
      </c>
      <c r="X3877" s="2" t="s">
        <v>561</v>
      </c>
      <c r="Y3877" s="2" t="s">
        <v>11718</v>
      </c>
      <c r="Z3877" s="4">
        <v>561</v>
      </c>
      <c r="AA3877" s="4">
        <f>=ROUNDDOWN(40.0714285714286,0)</f>
      </c>
      <c r="AB3877" s="5">
        <v>14</v>
      </c>
      <c r="AC3877" s="2" t="s">
        <v>100</v>
      </c>
      <c r="AD3877" s="4"/>
      <c r="AE3877" s="4"/>
      <c r="AF3877" s="6">
        <v>69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/>
      <c r="BJ3877" s="4">
        <v>291</v>
      </c>
      <c r="BK3877" s="8">
        <v>16448.57</v>
      </c>
      <c r="BL3877" s="2" t="s">
        <v>11722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10253</v>
      </c>
      <c r="BX3877" s="2" t="s">
        <v>11723</v>
      </c>
      <c r="BY3877" s="2" t="s">
        <v>113</v>
      </c>
      <c r="BZ3877" s="2" t="s">
        <v>100</v>
      </c>
    </row>
    <row r="3878">
      <c r="A3878" s="2" t="s">
        <v>11724</v>
      </c>
      <c r="B3878" s="2" t="s">
        <v>11586</v>
      </c>
      <c r="C3878" s="2" t="s">
        <v>3178</v>
      </c>
      <c r="D3878" s="2" t="s">
        <v>11587</v>
      </c>
      <c r="E3878" s="2" t="s">
        <v>5508</v>
      </c>
      <c r="F3878" s="2" t="s">
        <v>11725</v>
      </c>
      <c r="G3878" s="2" t="s">
        <v>11725</v>
      </c>
      <c r="H3878" s="2" t="s">
        <v>11725</v>
      </c>
      <c r="I3878" s="2" t="s">
        <v>11726</v>
      </c>
      <c r="J3878" s="2" t="s">
        <v>5510</v>
      </c>
      <c r="K3878" s="2" t="s">
        <v>5293</v>
      </c>
      <c r="L3878" s="3">
        <v>42.75</v>
      </c>
      <c r="M3878" s="3">
        <v>44.89</v>
      </c>
      <c r="N3878" s="3">
        <v>94.99</v>
      </c>
      <c r="O3878" s="2" t="s">
        <v>97</v>
      </c>
      <c r="P3878" s="2" t="s">
        <v>372</v>
      </c>
      <c r="Q3878" s="2" t="s">
        <v>99</v>
      </c>
      <c r="R3878" s="2" t="s">
        <v>100</v>
      </c>
      <c r="S3878" s="2" t="s">
        <v>11727</v>
      </c>
      <c r="T3878" s="2" t="s">
        <v>280</v>
      </c>
      <c r="U3878" s="2" t="s">
        <v>102</v>
      </c>
      <c r="V3878" s="2" t="s">
        <v>146</v>
      </c>
      <c r="W3878" s="2" t="s">
        <v>673</v>
      </c>
      <c r="X3878" s="2" t="s">
        <v>104</v>
      </c>
      <c r="Y3878" s="2" t="s">
        <v>11728</v>
      </c>
      <c r="Z3878" s="4">
        <v>1018</v>
      </c>
      <c r="AA3878" s="4">
        <f>=ROUNDDOWN(92.5454545454545,0)</f>
      </c>
      <c r="AB3878" s="5">
        <v>11</v>
      </c>
      <c r="AC3878" s="2" t="s">
        <v>1102</v>
      </c>
      <c r="AD3878" s="4">
        <v>1341</v>
      </c>
      <c r="AE3878" s="4">
        <v>2020</v>
      </c>
      <c r="AF3878" s="6">
        <v>73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>
        <v>1</v>
      </c>
      <c r="AQ3878" s="8">
        <v>46.2</v>
      </c>
      <c r="AR3878" s="4"/>
      <c r="AS3878" s="8"/>
      <c r="AT3878" s="7"/>
      <c r="AU3878" s="7"/>
      <c r="AV3878" s="4">
        <v>1</v>
      </c>
      <c r="AW3878" s="8">
        <v>46.2</v>
      </c>
      <c r="AX3878" s="4"/>
      <c r="AY3878" s="8"/>
      <c r="AZ3878" s="7"/>
      <c r="BA3878" s="7"/>
      <c r="BB3878" s="7">
        <v>1</v>
      </c>
      <c r="BC3878" s="4">
        <v>1</v>
      </c>
      <c r="BD3878" s="8">
        <v>46.2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>
        <v>1</v>
      </c>
      <c r="BJ3878" s="4">
        <v>235</v>
      </c>
      <c r="BK3878" s="8">
        <v>10948.03</v>
      </c>
      <c r="BL3878" s="2" t="s">
        <v>11729</v>
      </c>
      <c r="BM3878" s="7">
        <v>0.0043</v>
      </c>
      <c r="BN3878" s="7">
        <v>0.0042</v>
      </c>
      <c r="BO3878" s="4">
        <v>1</v>
      </c>
      <c r="BP3878" s="8">
        <v>46.2</v>
      </c>
      <c r="BQ3878" s="4"/>
      <c r="BR3878" s="8"/>
      <c r="BS3878" s="7"/>
      <c r="BT3878" s="7"/>
      <c r="BU3878" s="2" t="s">
        <v>109</v>
      </c>
      <c r="BV3878" s="2" t="s">
        <v>110</v>
      </c>
      <c r="BW3878" s="2" t="s">
        <v>11730</v>
      </c>
      <c r="BX3878" s="2" t="s">
        <v>7994</v>
      </c>
      <c r="BY3878" s="2" t="s">
        <v>113</v>
      </c>
      <c r="BZ3878" s="2" t="s">
        <v>100</v>
      </c>
    </row>
    <row r="3879">
      <c r="A3879" s="2" t="s">
        <v>11731</v>
      </c>
      <c r="B3879" s="2" t="s">
        <v>11586</v>
      </c>
      <c r="C3879" s="2" t="s">
        <v>3178</v>
      </c>
      <c r="D3879" s="2" t="s">
        <v>11587</v>
      </c>
      <c r="E3879" s="2" t="s">
        <v>5508</v>
      </c>
      <c r="F3879" s="2" t="s">
        <v>11725</v>
      </c>
      <c r="G3879" s="2" t="s">
        <v>11725</v>
      </c>
      <c r="H3879" s="2" t="s">
        <v>11725</v>
      </c>
      <c r="I3879" s="2" t="s">
        <v>11726</v>
      </c>
      <c r="J3879" s="2" t="s">
        <v>5510</v>
      </c>
      <c r="K3879" s="2" t="s">
        <v>2477</v>
      </c>
      <c r="L3879" s="3">
        <v>42.75</v>
      </c>
      <c r="M3879" s="3">
        <v>44.89</v>
      </c>
      <c r="N3879" s="3">
        <v>94.99</v>
      </c>
      <c r="O3879" s="2" t="s">
        <v>97</v>
      </c>
      <c r="P3879" s="2" t="s">
        <v>119</v>
      </c>
      <c r="Q3879" s="2" t="s">
        <v>99</v>
      </c>
      <c r="R3879" s="2" t="s">
        <v>100</v>
      </c>
      <c r="S3879" s="2" t="s">
        <v>11727</v>
      </c>
      <c r="T3879" s="2" t="s">
        <v>280</v>
      </c>
      <c r="U3879" s="2" t="s">
        <v>102</v>
      </c>
      <c r="V3879" s="2" t="s">
        <v>146</v>
      </c>
      <c r="W3879" s="2" t="s">
        <v>673</v>
      </c>
      <c r="X3879" s="2" t="s">
        <v>104</v>
      </c>
      <c r="Y3879" s="2" t="s">
        <v>6744</v>
      </c>
      <c r="Z3879" s="4">
        <v>735</v>
      </c>
      <c r="AA3879" s="4">
        <f>=ROUNDDOWN(105,0)</f>
      </c>
      <c r="AB3879" s="5">
        <v>7</v>
      </c>
      <c r="AC3879" s="2" t="s">
        <v>100</v>
      </c>
      <c r="AD3879" s="4"/>
      <c r="AE3879" s="4"/>
      <c r="AF3879" s="6">
        <v>73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/>
      <c r="BJ3879" s="4">
        <v>146</v>
      </c>
      <c r="BK3879" s="8">
        <v>6849.06</v>
      </c>
      <c r="BL3879" s="2" t="s">
        <v>11732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207</v>
      </c>
      <c r="BV3879" s="2" t="s">
        <v>97</v>
      </c>
      <c r="BW3879" s="2" t="s">
        <v>100</v>
      </c>
      <c r="BX3879" s="2" t="s">
        <v>100</v>
      </c>
      <c r="BY3879" s="2" t="s">
        <v>113</v>
      </c>
      <c r="BZ3879" s="2" t="s">
        <v>245</v>
      </c>
    </row>
    <row r="3880">
      <c r="A3880" s="2" t="s">
        <v>11733</v>
      </c>
      <c r="B3880" s="2" t="s">
        <v>11586</v>
      </c>
      <c r="C3880" s="2" t="s">
        <v>3178</v>
      </c>
      <c r="D3880" s="2" t="s">
        <v>11587</v>
      </c>
      <c r="E3880" s="2" t="s">
        <v>5508</v>
      </c>
      <c r="F3880" s="2" t="s">
        <v>11725</v>
      </c>
      <c r="G3880" s="2" t="s">
        <v>11725</v>
      </c>
      <c r="H3880" s="2" t="s">
        <v>11725</v>
      </c>
      <c r="I3880" s="2" t="s">
        <v>11726</v>
      </c>
      <c r="J3880" s="2" t="s">
        <v>5510</v>
      </c>
      <c r="K3880" s="2" t="s">
        <v>198</v>
      </c>
      <c r="L3880" s="3">
        <v>42.75</v>
      </c>
      <c r="M3880" s="3">
        <v>44.89</v>
      </c>
      <c r="N3880" s="3">
        <v>94.99</v>
      </c>
      <c r="O3880" s="2" t="s">
        <v>97</v>
      </c>
      <c r="P3880" s="2" t="s">
        <v>119</v>
      </c>
      <c r="Q3880" s="2" t="s">
        <v>99</v>
      </c>
      <c r="R3880" s="2" t="s">
        <v>100</v>
      </c>
      <c r="S3880" s="2" t="s">
        <v>11727</v>
      </c>
      <c r="T3880" s="2" t="s">
        <v>280</v>
      </c>
      <c r="U3880" s="2" t="s">
        <v>102</v>
      </c>
      <c r="V3880" s="2" t="s">
        <v>146</v>
      </c>
      <c r="W3880" s="2" t="s">
        <v>673</v>
      </c>
      <c r="X3880" s="2" t="s">
        <v>104</v>
      </c>
      <c r="Y3880" s="2" t="s">
        <v>6744</v>
      </c>
      <c r="Z3880" s="4">
        <v>707</v>
      </c>
      <c r="AA3880" s="4">
        <f>=ROUNDDOWN(117.833333333333,0)</f>
      </c>
      <c r="AB3880" s="5">
        <v>6</v>
      </c>
      <c r="AC3880" s="2" t="s">
        <v>100</v>
      </c>
      <c r="AD3880" s="4"/>
      <c r="AE3880" s="4"/>
      <c r="AF3880" s="6">
        <v>73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/>
      <c r="BJ3880" s="4">
        <v>140</v>
      </c>
      <c r="BK3880" s="8">
        <v>6491.46</v>
      </c>
      <c r="BL3880" s="2" t="s">
        <v>11734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207</v>
      </c>
      <c r="BV3880" s="2" t="s">
        <v>97</v>
      </c>
      <c r="BW3880" s="2" t="s">
        <v>100</v>
      </c>
      <c r="BX3880" s="2" t="s">
        <v>100</v>
      </c>
      <c r="BY3880" s="2" t="s">
        <v>113</v>
      </c>
      <c r="BZ3880" s="2" t="s">
        <v>245</v>
      </c>
    </row>
    <row r="3881">
      <c r="A3881" s="2" t="s">
        <v>11735</v>
      </c>
      <c r="B3881" s="2" t="s">
        <v>11586</v>
      </c>
      <c r="C3881" s="2" t="s">
        <v>1867</v>
      </c>
      <c r="D3881" s="2" t="s">
        <v>11587</v>
      </c>
      <c r="E3881" s="2" t="s">
        <v>5508</v>
      </c>
      <c r="F3881" s="2" t="s">
        <v>11736</v>
      </c>
      <c r="G3881" s="2" t="s">
        <v>8405</v>
      </c>
      <c r="H3881" s="2" t="s">
        <v>11737</v>
      </c>
      <c r="I3881" s="2" t="s">
        <v>11738</v>
      </c>
      <c r="J3881" s="2" t="s">
        <v>5510</v>
      </c>
      <c r="K3881" s="2" t="s">
        <v>512</v>
      </c>
      <c r="L3881" s="3">
        <v>18.4</v>
      </c>
      <c r="M3881" s="3">
        <v>19.32</v>
      </c>
      <c r="N3881" s="3">
        <v>39.99</v>
      </c>
      <c r="O3881" s="2" t="s">
        <v>97</v>
      </c>
      <c r="P3881" s="2" t="s">
        <v>119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102</v>
      </c>
      <c r="V3881" s="2" t="s">
        <v>146</v>
      </c>
      <c r="W3881" s="2" t="s">
        <v>183</v>
      </c>
      <c r="X3881" s="2" t="s">
        <v>100</v>
      </c>
      <c r="Y3881" s="2" t="s">
        <v>2054</v>
      </c>
      <c r="Z3881" s="4">
        <v>393</v>
      </c>
      <c r="AA3881" s="4">
        <f>=ROUNDDOWN(8.93181818181818,0)</f>
      </c>
      <c r="AB3881" s="5">
        <v>44</v>
      </c>
      <c r="AC3881" s="2" t="s">
        <v>562</v>
      </c>
      <c r="AD3881" s="4">
        <v>913</v>
      </c>
      <c r="AE3881" s="4">
        <v>2155</v>
      </c>
      <c r="AF3881" s="6">
        <v>73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>
        <v>21</v>
      </c>
      <c r="AQ3881" s="8">
        <v>400.05</v>
      </c>
      <c r="AR3881" s="4"/>
      <c r="AS3881" s="8"/>
      <c r="AT3881" s="7"/>
      <c r="AU3881" s="7"/>
      <c r="AV3881" s="4">
        <v>21</v>
      </c>
      <c r="AW3881" s="8">
        <v>400.05</v>
      </c>
      <c r="AX3881" s="4"/>
      <c r="AY3881" s="8"/>
      <c r="AZ3881" s="7"/>
      <c r="BA3881" s="7"/>
      <c r="BB3881" s="7">
        <v>1</v>
      </c>
      <c r="BC3881" s="4">
        <v>36</v>
      </c>
      <c r="BD3881" s="8">
        <v>685.8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>
        <v>0.5833</v>
      </c>
      <c r="BJ3881" s="4">
        <v>1142</v>
      </c>
      <c r="BK3881" s="8">
        <v>21147.74</v>
      </c>
      <c r="BL3881" s="2" t="s">
        <v>11739</v>
      </c>
      <c r="BM3881" s="7">
        <v>0.0184</v>
      </c>
      <c r="BN3881" s="7">
        <v>0.0189</v>
      </c>
      <c r="BO3881" s="4">
        <v>21</v>
      </c>
      <c r="BP3881" s="8">
        <v>400.05</v>
      </c>
      <c r="BQ3881" s="4"/>
      <c r="BR3881" s="8"/>
      <c r="BS3881" s="7"/>
      <c r="BT3881" s="7"/>
      <c r="BU3881" s="2" t="s">
        <v>109</v>
      </c>
      <c r="BV3881" s="2" t="s">
        <v>110</v>
      </c>
      <c r="BW3881" s="2" t="s">
        <v>5359</v>
      </c>
      <c r="BX3881" s="2" t="s">
        <v>3370</v>
      </c>
      <c r="BY3881" s="2" t="s">
        <v>113</v>
      </c>
      <c r="BZ3881" s="2" t="s">
        <v>100</v>
      </c>
    </row>
    <row r="3882">
      <c r="A3882" s="2" t="s">
        <v>11740</v>
      </c>
      <c r="B3882" s="2" t="s">
        <v>11586</v>
      </c>
      <c r="C3882" s="2" t="s">
        <v>1867</v>
      </c>
      <c r="D3882" s="2" t="s">
        <v>11587</v>
      </c>
      <c r="E3882" s="2" t="s">
        <v>5508</v>
      </c>
      <c r="F3882" s="2" t="s">
        <v>11736</v>
      </c>
      <c r="G3882" s="2" t="s">
        <v>8405</v>
      </c>
      <c r="H3882" s="2" t="s">
        <v>11737</v>
      </c>
      <c r="I3882" s="2" t="s">
        <v>11738</v>
      </c>
      <c r="J3882" s="2" t="s">
        <v>5510</v>
      </c>
      <c r="K3882" s="2" t="s">
        <v>578</v>
      </c>
      <c r="L3882" s="3">
        <v>18.4</v>
      </c>
      <c r="M3882" s="3">
        <v>19.32</v>
      </c>
      <c r="N3882" s="3">
        <v>39.99</v>
      </c>
      <c r="O3882" s="2" t="s">
        <v>97</v>
      </c>
      <c r="P3882" s="2" t="s">
        <v>119</v>
      </c>
      <c r="Q3882" s="2" t="s">
        <v>99</v>
      </c>
      <c r="R3882" s="2" t="s">
        <v>100</v>
      </c>
      <c r="S3882" s="2" t="s">
        <v>11741</v>
      </c>
      <c r="T3882" s="2" t="s">
        <v>280</v>
      </c>
      <c r="U3882" s="2" t="s">
        <v>102</v>
      </c>
      <c r="V3882" s="2" t="s">
        <v>146</v>
      </c>
      <c r="W3882" s="2" t="s">
        <v>183</v>
      </c>
      <c r="X3882" s="2" t="s">
        <v>100</v>
      </c>
      <c r="Y3882" s="2" t="s">
        <v>11742</v>
      </c>
      <c r="Z3882" s="4">
        <v>446</v>
      </c>
      <c r="AA3882" s="4">
        <f>=ROUNDDOWN(13.1176470588235,0)</f>
      </c>
      <c r="AB3882" s="5">
        <v>34</v>
      </c>
      <c r="AC3882" s="2" t="s">
        <v>266</v>
      </c>
      <c r="AD3882" s="4">
        <v>920</v>
      </c>
      <c r="AE3882" s="4">
        <v>1540</v>
      </c>
      <c r="AF3882" s="6">
        <v>73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>
        <v>10</v>
      </c>
      <c r="AQ3882" s="8">
        <v>190.5</v>
      </c>
      <c r="AR3882" s="4"/>
      <c r="AS3882" s="8"/>
      <c r="AT3882" s="7"/>
      <c r="AU3882" s="7"/>
      <c r="AV3882" s="4">
        <v>10</v>
      </c>
      <c r="AW3882" s="8">
        <v>190.5</v>
      </c>
      <c r="AX3882" s="4"/>
      <c r="AY3882" s="8"/>
      <c r="AZ3882" s="7"/>
      <c r="BA3882" s="7"/>
      <c r="BB3882" s="7">
        <v>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0.2778</v>
      </c>
      <c r="BJ3882" s="4">
        <v>933</v>
      </c>
      <c r="BK3882" s="8">
        <v>17218.22</v>
      </c>
      <c r="BL3882" s="2" t="s">
        <v>11743</v>
      </c>
      <c r="BM3882" s="7">
        <v>0.0107</v>
      </c>
      <c r="BN3882" s="7">
        <v>0.0111</v>
      </c>
      <c r="BO3882" s="4">
        <v>10</v>
      </c>
      <c r="BP3882" s="8">
        <v>190.5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10253</v>
      </c>
      <c r="BX3882" s="2" t="s">
        <v>10261</v>
      </c>
      <c r="BY3882" s="2" t="s">
        <v>113</v>
      </c>
      <c r="BZ3882" s="2" t="s">
        <v>100</v>
      </c>
    </row>
    <row r="3883">
      <c r="A3883" s="2" t="s">
        <v>11744</v>
      </c>
      <c r="B3883" s="2" t="s">
        <v>11586</v>
      </c>
      <c r="C3883" s="2" t="s">
        <v>1867</v>
      </c>
      <c r="D3883" s="2" t="s">
        <v>11587</v>
      </c>
      <c r="E3883" s="2" t="s">
        <v>5508</v>
      </c>
      <c r="F3883" s="2" t="s">
        <v>11736</v>
      </c>
      <c r="G3883" s="2" t="s">
        <v>8405</v>
      </c>
      <c r="H3883" s="2" t="s">
        <v>11737</v>
      </c>
      <c r="I3883" s="2" t="s">
        <v>11738</v>
      </c>
      <c r="J3883" s="2" t="s">
        <v>5510</v>
      </c>
      <c r="K3883" s="2" t="s">
        <v>156</v>
      </c>
      <c r="L3883" s="3">
        <v>18.4</v>
      </c>
      <c r="M3883" s="3">
        <v>19.32</v>
      </c>
      <c r="N3883" s="3">
        <v>39.99</v>
      </c>
      <c r="O3883" s="2" t="s">
        <v>97</v>
      </c>
      <c r="P3883" s="2" t="s">
        <v>119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102</v>
      </c>
      <c r="V3883" s="2" t="s">
        <v>146</v>
      </c>
      <c r="W3883" s="2" t="s">
        <v>183</v>
      </c>
      <c r="X3883" s="2" t="s">
        <v>100</v>
      </c>
      <c r="Y3883" s="2" t="s">
        <v>2054</v>
      </c>
      <c r="Z3883" s="4">
        <v>65</v>
      </c>
      <c r="AA3883" s="4">
        <f>=ROUNDDOWN(1.41304347826087,0)</f>
      </c>
      <c r="AB3883" s="5">
        <v>46</v>
      </c>
      <c r="AC3883" s="2" t="s">
        <v>562</v>
      </c>
      <c r="AD3883" s="4">
        <v>594</v>
      </c>
      <c r="AE3883" s="4">
        <v>2147</v>
      </c>
      <c r="AF3883" s="6">
        <v>73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/>
      <c r="AP3883" s="4">
        <v>3</v>
      </c>
      <c r="AQ3883" s="8">
        <v>57.15</v>
      </c>
      <c r="AR3883" s="4"/>
      <c r="AS3883" s="8"/>
      <c r="AT3883" s="7"/>
      <c r="AU3883" s="7"/>
      <c r="AV3883" s="4">
        <v>3</v>
      </c>
      <c r="AW3883" s="8">
        <v>57.15</v>
      </c>
      <c r="AX3883" s="4"/>
      <c r="AY3883" s="8"/>
      <c r="AZ3883" s="7"/>
      <c r="BA3883" s="7"/>
      <c r="BB3883" s="7">
        <v>1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0.0833</v>
      </c>
      <c r="BJ3883" s="4">
        <v>1213</v>
      </c>
      <c r="BK3883" s="8">
        <v>22486.03</v>
      </c>
      <c r="BL3883" s="2" t="s">
        <v>11745</v>
      </c>
      <c r="BM3883" s="7">
        <v>0.0025</v>
      </c>
      <c r="BN3883" s="7">
        <v>0.0025</v>
      </c>
      <c r="BO3883" s="4">
        <v>3</v>
      </c>
      <c r="BP3883" s="8">
        <v>57.15</v>
      </c>
      <c r="BQ3883" s="4"/>
      <c r="BR3883" s="8"/>
      <c r="BS3883" s="7"/>
      <c r="BT3883" s="7"/>
      <c r="BU3883" s="2" t="s">
        <v>109</v>
      </c>
      <c r="BV3883" s="2" t="s">
        <v>110</v>
      </c>
      <c r="BW3883" s="2" t="s">
        <v>5359</v>
      </c>
      <c r="BX3883" s="2" t="s">
        <v>3370</v>
      </c>
      <c r="BY3883" s="2" t="s">
        <v>113</v>
      </c>
      <c r="BZ3883" s="2" t="s">
        <v>100</v>
      </c>
    </row>
    <row r="3884">
      <c r="A3884" s="2" t="s">
        <v>11746</v>
      </c>
      <c r="B3884" s="2" t="s">
        <v>11586</v>
      </c>
      <c r="C3884" s="2" t="s">
        <v>1867</v>
      </c>
      <c r="D3884" s="2" t="s">
        <v>11587</v>
      </c>
      <c r="E3884" s="2" t="s">
        <v>5508</v>
      </c>
      <c r="F3884" s="2" t="s">
        <v>11736</v>
      </c>
      <c r="G3884" s="2" t="s">
        <v>8405</v>
      </c>
      <c r="H3884" s="2" t="s">
        <v>11737</v>
      </c>
      <c r="I3884" s="2" t="s">
        <v>11738</v>
      </c>
      <c r="J3884" s="2" t="s">
        <v>5510</v>
      </c>
      <c r="K3884" s="2" t="s">
        <v>921</v>
      </c>
      <c r="L3884" s="3">
        <v>18.4</v>
      </c>
      <c r="M3884" s="3">
        <v>19.32</v>
      </c>
      <c r="N3884" s="3">
        <v>39.99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102</v>
      </c>
      <c r="V3884" s="2" t="s">
        <v>146</v>
      </c>
      <c r="W3884" s="2" t="s">
        <v>183</v>
      </c>
      <c r="X3884" s="2" t="s">
        <v>100</v>
      </c>
      <c r="Y3884" s="2" t="s">
        <v>2054</v>
      </c>
      <c r="Z3884" s="4">
        <v>625</v>
      </c>
      <c r="AA3884" s="4">
        <f>=ROUNDDOWN(10.7758620689655,0)</f>
      </c>
      <c r="AB3884" s="5">
        <v>58</v>
      </c>
      <c r="AC3884" s="2" t="s">
        <v>266</v>
      </c>
      <c r="AD3884" s="4">
        <v>1216</v>
      </c>
      <c r="AE3884" s="4">
        <v>2456</v>
      </c>
      <c r="AF3884" s="6">
        <v>73</v>
      </c>
      <c r="AG3884" s="6"/>
      <c r="AH3884" s="7">
        <v>0.984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/>
      <c r="AP3884" s="4">
        <v>2</v>
      </c>
      <c r="AQ3884" s="8">
        <v>38.1</v>
      </c>
      <c r="AR3884" s="4"/>
      <c r="AS3884" s="8"/>
      <c r="AT3884" s="7"/>
      <c r="AU3884" s="7"/>
      <c r="AV3884" s="4">
        <v>2</v>
      </c>
      <c r="AW3884" s="8">
        <v>38.1</v>
      </c>
      <c r="AX3884" s="4"/>
      <c r="AY3884" s="8"/>
      <c r="AZ3884" s="7"/>
      <c r="BA3884" s="7"/>
      <c r="BB3884" s="7">
        <v>1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>
        <v>0.0556</v>
      </c>
      <c r="BJ3884" s="4">
        <v>1567</v>
      </c>
      <c r="BK3884" s="8">
        <v>28940.03</v>
      </c>
      <c r="BL3884" s="2" t="s">
        <v>11747</v>
      </c>
      <c r="BM3884" s="7">
        <v>0.0013</v>
      </c>
      <c r="BN3884" s="7">
        <v>0.0013</v>
      </c>
      <c r="BO3884" s="4">
        <v>2</v>
      </c>
      <c r="BP3884" s="8">
        <v>38.1</v>
      </c>
      <c r="BQ3884" s="4"/>
      <c r="BR3884" s="8"/>
      <c r="BS3884" s="7"/>
      <c r="BT3884" s="7"/>
      <c r="BU3884" s="2" t="s">
        <v>109</v>
      </c>
      <c r="BV3884" s="2" t="s">
        <v>110</v>
      </c>
      <c r="BW3884" s="2" t="s">
        <v>5359</v>
      </c>
      <c r="BX3884" s="2" t="s">
        <v>942</v>
      </c>
      <c r="BY3884" s="2" t="s">
        <v>113</v>
      </c>
      <c r="BZ3884" s="2" t="s">
        <v>100</v>
      </c>
    </row>
    <row r="3885">
      <c r="A3885" s="2" t="s">
        <v>11748</v>
      </c>
      <c r="B3885" s="2" t="s">
        <v>11586</v>
      </c>
      <c r="C3885" s="2" t="s">
        <v>1867</v>
      </c>
      <c r="D3885" s="2" t="s">
        <v>11587</v>
      </c>
      <c r="E3885" s="2" t="s">
        <v>5508</v>
      </c>
      <c r="F3885" s="2" t="s">
        <v>11736</v>
      </c>
      <c r="G3885" s="2" t="s">
        <v>8405</v>
      </c>
      <c r="H3885" s="2" t="s">
        <v>11737</v>
      </c>
      <c r="I3885" s="2" t="s">
        <v>11738</v>
      </c>
      <c r="J3885" s="2" t="s">
        <v>5510</v>
      </c>
      <c r="K3885" s="2" t="s">
        <v>335</v>
      </c>
      <c r="L3885" s="3">
        <v>18.4</v>
      </c>
      <c r="M3885" s="3">
        <v>19.32</v>
      </c>
      <c r="N3885" s="3">
        <v>39.99</v>
      </c>
      <c r="O3885" s="2" t="s">
        <v>97</v>
      </c>
      <c r="P3885" s="2" t="s">
        <v>119</v>
      </c>
      <c r="Q3885" s="2" t="s">
        <v>99</v>
      </c>
      <c r="R3885" s="2" t="s">
        <v>100</v>
      </c>
      <c r="S3885" s="2" t="s">
        <v>11749</v>
      </c>
      <c r="T3885" s="2" t="s">
        <v>280</v>
      </c>
      <c r="U3885" s="2" t="s">
        <v>102</v>
      </c>
      <c r="V3885" s="2" t="s">
        <v>146</v>
      </c>
      <c r="W3885" s="2" t="s">
        <v>183</v>
      </c>
      <c r="X3885" s="2" t="s">
        <v>100</v>
      </c>
      <c r="Y3885" s="2" t="s">
        <v>547</v>
      </c>
      <c r="Z3885" s="4">
        <v>8</v>
      </c>
      <c r="AA3885" s="4">
        <f>=ROUNDDOWN(0.275862068965517,0)</f>
      </c>
      <c r="AB3885" s="5">
        <v>29</v>
      </c>
      <c r="AC3885" s="2" t="s">
        <v>562</v>
      </c>
      <c r="AD3885" s="4">
        <v>614</v>
      </c>
      <c r="AE3885" s="4">
        <v>1234</v>
      </c>
      <c r="AF3885" s="6">
        <v>73</v>
      </c>
      <c r="AG3885" s="6"/>
      <c r="AH3885" s="7">
        <v>0.861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/>
      <c r="BJ3885" s="4">
        <v>643</v>
      </c>
      <c r="BK3885" s="8">
        <v>12087.71</v>
      </c>
      <c r="BL3885" s="2" t="s">
        <v>11750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207</v>
      </c>
      <c r="BV3885" s="2" t="s">
        <v>97</v>
      </c>
      <c r="BW3885" s="2" t="s">
        <v>100</v>
      </c>
      <c r="BX3885" s="2" t="s">
        <v>100</v>
      </c>
      <c r="BY3885" s="2" t="s">
        <v>113</v>
      </c>
      <c r="BZ3885" s="2" t="s">
        <v>245</v>
      </c>
    </row>
    <row r="3886">
      <c r="A3886" s="2" t="s">
        <v>11751</v>
      </c>
      <c r="B3886" s="2" t="s">
        <v>11586</v>
      </c>
      <c r="C3886" s="2" t="s">
        <v>1867</v>
      </c>
      <c r="D3886" s="2" t="s">
        <v>11587</v>
      </c>
      <c r="E3886" s="2" t="s">
        <v>5508</v>
      </c>
      <c r="F3886" s="2" t="s">
        <v>11736</v>
      </c>
      <c r="G3886" s="2" t="s">
        <v>8405</v>
      </c>
      <c r="H3886" s="2" t="s">
        <v>11737</v>
      </c>
      <c r="I3886" s="2" t="s">
        <v>11738</v>
      </c>
      <c r="J3886" s="2" t="s">
        <v>5510</v>
      </c>
      <c r="K3886" s="2" t="s">
        <v>118</v>
      </c>
      <c r="L3886" s="3">
        <v>18.4</v>
      </c>
      <c r="M3886" s="3">
        <v>19.32</v>
      </c>
      <c r="N3886" s="3">
        <v>39.99</v>
      </c>
      <c r="O3886" s="2" t="s">
        <v>97</v>
      </c>
      <c r="P3886" s="2" t="s">
        <v>119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102</v>
      </c>
      <c r="V3886" s="2" t="s">
        <v>146</v>
      </c>
      <c r="W3886" s="2" t="s">
        <v>183</v>
      </c>
      <c r="X3886" s="2" t="s">
        <v>100</v>
      </c>
      <c r="Y3886" s="2" t="s">
        <v>2054</v>
      </c>
      <c r="Z3886" s="4">
        <v>594</v>
      </c>
      <c r="AA3886" s="4">
        <f>=ROUNDDOWN(10.4210526315789,0)</f>
      </c>
      <c r="AB3886" s="5">
        <v>57</v>
      </c>
      <c r="AC3886" s="2" t="s">
        <v>266</v>
      </c>
      <c r="AD3886" s="4">
        <v>930</v>
      </c>
      <c r="AE3886" s="4">
        <v>2472</v>
      </c>
      <c r="AF3886" s="6">
        <v>73</v>
      </c>
      <c r="AG3886" s="6"/>
      <c r="AH3886" s="7">
        <v>0.7968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/>
      <c r="BJ3886" s="4">
        <v>1154</v>
      </c>
      <c r="BK3886" s="8">
        <v>21513.81</v>
      </c>
      <c r="BL3886" s="2" t="s">
        <v>11752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5359</v>
      </c>
      <c r="BX3886" s="2" t="s">
        <v>620</v>
      </c>
      <c r="BY3886" s="2" t="s">
        <v>113</v>
      </c>
      <c r="BZ3886" s="2" t="s">
        <v>100</v>
      </c>
    </row>
    <row r="3887">
      <c r="A3887" s="2" t="s">
        <v>11753</v>
      </c>
      <c r="B3887" s="2" t="s">
        <v>11586</v>
      </c>
      <c r="C3887" s="2" t="s">
        <v>1867</v>
      </c>
      <c r="D3887" s="2" t="s">
        <v>11587</v>
      </c>
      <c r="E3887" s="2" t="s">
        <v>5508</v>
      </c>
      <c r="F3887" s="2" t="s">
        <v>11736</v>
      </c>
      <c r="G3887" s="2" t="s">
        <v>8405</v>
      </c>
      <c r="H3887" s="2" t="s">
        <v>11737</v>
      </c>
      <c r="I3887" s="2" t="s">
        <v>11738</v>
      </c>
      <c r="J3887" s="2" t="s">
        <v>5510</v>
      </c>
      <c r="K3887" s="2" t="s">
        <v>1340</v>
      </c>
      <c r="L3887" s="3">
        <v>18.4</v>
      </c>
      <c r="M3887" s="3">
        <v>19.32</v>
      </c>
      <c r="N3887" s="3">
        <v>39.99</v>
      </c>
      <c r="O3887" s="2" t="s">
        <v>97</v>
      </c>
      <c r="P3887" s="2" t="s">
        <v>119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102</v>
      </c>
      <c r="V3887" s="2" t="s">
        <v>146</v>
      </c>
      <c r="W3887" s="2" t="s">
        <v>183</v>
      </c>
      <c r="X3887" s="2" t="s">
        <v>100</v>
      </c>
      <c r="Y3887" s="2" t="s">
        <v>2054</v>
      </c>
      <c r="Z3887" s="4">
        <v>423</v>
      </c>
      <c r="AA3887" s="4">
        <f>=ROUNDDOWN(9,0)</f>
      </c>
      <c r="AB3887" s="5">
        <v>47</v>
      </c>
      <c r="AC3887" s="2" t="s">
        <v>562</v>
      </c>
      <c r="AD3887" s="4">
        <v>621</v>
      </c>
      <c r="AE3887" s="4">
        <v>2171</v>
      </c>
      <c r="AF3887" s="6">
        <v>73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/>
      <c r="BJ3887" s="4">
        <v>1206</v>
      </c>
      <c r="BK3887" s="8">
        <v>22285.02</v>
      </c>
      <c r="BL3887" s="2" t="s">
        <v>11754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5359</v>
      </c>
      <c r="BX3887" s="2" t="s">
        <v>7903</v>
      </c>
      <c r="BY3887" s="2" t="s">
        <v>113</v>
      </c>
      <c r="BZ3887" s="2" t="s">
        <v>245</v>
      </c>
    </row>
    <row r="3888">
      <c r="A3888" s="2" t="s">
        <v>11755</v>
      </c>
      <c r="B3888" s="2" t="s">
        <v>11586</v>
      </c>
      <c r="C3888" s="2" t="s">
        <v>2213</v>
      </c>
      <c r="D3888" s="2" t="s">
        <v>11587</v>
      </c>
      <c r="E3888" s="2" t="s">
        <v>5508</v>
      </c>
      <c r="F3888" s="2" t="s">
        <v>11756</v>
      </c>
      <c r="G3888" s="2" t="s">
        <v>11756</v>
      </c>
      <c r="H3888" s="2" t="s">
        <v>11756</v>
      </c>
      <c r="I3888" s="2" t="s">
        <v>11757</v>
      </c>
      <c r="J3888" s="2" t="s">
        <v>11758</v>
      </c>
      <c r="K3888" s="2" t="s">
        <v>189</v>
      </c>
      <c r="L3888" s="3">
        <v>26.4</v>
      </c>
      <c r="M3888" s="3">
        <v>27.72</v>
      </c>
      <c r="N3888" s="3">
        <v>54.99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11759</v>
      </c>
      <c r="T3888" s="2" t="s">
        <v>280</v>
      </c>
      <c r="U3888" s="2" t="s">
        <v>1478</v>
      </c>
      <c r="V3888" s="2" t="s">
        <v>146</v>
      </c>
      <c r="W3888" s="2" t="s">
        <v>183</v>
      </c>
      <c r="X3888" s="2" t="s">
        <v>100</v>
      </c>
      <c r="Y3888" s="2" t="s">
        <v>11728</v>
      </c>
      <c r="Z3888" s="4">
        <v>1439</v>
      </c>
      <c r="AA3888" s="4">
        <f>=ROUNDDOWN(36.8974358974359,0)</f>
      </c>
      <c r="AB3888" s="5">
        <v>39</v>
      </c>
      <c r="AC3888" s="2" t="s">
        <v>241</v>
      </c>
      <c r="AD3888" s="4">
        <v>813</v>
      </c>
      <c r="AE3888" s="4">
        <v>1828</v>
      </c>
      <c r="AF3888" s="6">
        <v>69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>
        <v>13</v>
      </c>
      <c r="AQ3888" s="8">
        <v>375.44</v>
      </c>
      <c r="AR3888" s="4"/>
      <c r="AS3888" s="8"/>
      <c r="AT3888" s="7"/>
      <c r="AU3888" s="7"/>
      <c r="AV3888" s="4">
        <v>13</v>
      </c>
      <c r="AW3888" s="8">
        <v>375.44</v>
      </c>
      <c r="AX3888" s="4"/>
      <c r="AY3888" s="8"/>
      <c r="AZ3888" s="7"/>
      <c r="BA3888" s="7"/>
      <c r="BB3888" s="7">
        <v>1</v>
      </c>
      <c r="BC3888" s="4">
        <v>18</v>
      </c>
      <c r="BD3888" s="8">
        <v>519.84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>
        <v>0.7222</v>
      </c>
      <c r="BJ3888" s="4">
        <v>1044</v>
      </c>
      <c r="BK3888" s="8">
        <v>30010.02</v>
      </c>
      <c r="BL3888" s="2" t="s">
        <v>11760</v>
      </c>
      <c r="BM3888" s="7">
        <v>0.0125</v>
      </c>
      <c r="BN3888" s="7">
        <v>0.0125</v>
      </c>
      <c r="BO3888" s="4">
        <v>13</v>
      </c>
      <c r="BP3888" s="8">
        <v>375.44</v>
      </c>
      <c r="BQ3888" s="4"/>
      <c r="BR3888" s="8"/>
      <c r="BS3888" s="7"/>
      <c r="BT3888" s="7"/>
      <c r="BU3888" s="2" t="s">
        <v>109</v>
      </c>
      <c r="BV3888" s="2" t="s">
        <v>110</v>
      </c>
      <c r="BW3888" s="2" t="s">
        <v>10253</v>
      </c>
      <c r="BX3888" s="2" t="s">
        <v>9867</v>
      </c>
      <c r="BY3888" s="2" t="s">
        <v>113</v>
      </c>
      <c r="BZ3888" s="2" t="s">
        <v>100</v>
      </c>
    </row>
    <row r="3889">
      <c r="A3889" s="2" t="s">
        <v>11761</v>
      </c>
      <c r="B3889" s="2" t="s">
        <v>11586</v>
      </c>
      <c r="C3889" s="2" t="s">
        <v>2213</v>
      </c>
      <c r="D3889" s="2" t="s">
        <v>11587</v>
      </c>
      <c r="E3889" s="2" t="s">
        <v>5508</v>
      </c>
      <c r="F3889" s="2" t="s">
        <v>11756</v>
      </c>
      <c r="G3889" s="2" t="s">
        <v>11756</v>
      </c>
      <c r="H3889" s="2" t="s">
        <v>11756</v>
      </c>
      <c r="I3889" s="2" t="s">
        <v>11757</v>
      </c>
      <c r="J3889" s="2" t="s">
        <v>11758</v>
      </c>
      <c r="K3889" s="2" t="s">
        <v>198</v>
      </c>
      <c r="L3889" s="3">
        <v>26.4</v>
      </c>
      <c r="M3889" s="3">
        <v>27.72</v>
      </c>
      <c r="N3889" s="3">
        <v>54.99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11762</v>
      </c>
      <c r="T3889" s="2" t="s">
        <v>280</v>
      </c>
      <c r="U3889" s="2" t="s">
        <v>1478</v>
      </c>
      <c r="V3889" s="2" t="s">
        <v>146</v>
      </c>
      <c r="W3889" s="2" t="s">
        <v>183</v>
      </c>
      <c r="X3889" s="2" t="s">
        <v>100</v>
      </c>
      <c r="Y3889" s="2" t="s">
        <v>11728</v>
      </c>
      <c r="Z3889" s="4">
        <v>1526</v>
      </c>
      <c r="AA3889" s="4">
        <f>=ROUNDDOWN(34.6818181818182,0)</f>
      </c>
      <c r="AB3889" s="5">
        <v>44</v>
      </c>
      <c r="AC3889" s="2" t="s">
        <v>241</v>
      </c>
      <c r="AD3889" s="4">
        <v>468</v>
      </c>
      <c r="AE3889" s="4">
        <v>2169</v>
      </c>
      <c r="AF3889" s="6">
        <v>69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>
        <v>3</v>
      </c>
      <c r="AQ3889" s="8">
        <v>86.64</v>
      </c>
      <c r="AR3889" s="4"/>
      <c r="AS3889" s="8"/>
      <c r="AT3889" s="7"/>
      <c r="AU3889" s="7"/>
      <c r="AV3889" s="4">
        <v>3</v>
      </c>
      <c r="AW3889" s="8">
        <v>86.64</v>
      </c>
      <c r="AX3889" s="4"/>
      <c r="AY3889" s="8"/>
      <c r="AZ3889" s="7"/>
      <c r="BA3889" s="7"/>
      <c r="BB3889" s="7">
        <v>1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>
        <v>0.1667</v>
      </c>
      <c r="BJ3889" s="4">
        <v>1169</v>
      </c>
      <c r="BK3889" s="8">
        <v>33113.39</v>
      </c>
      <c r="BL3889" s="2" t="s">
        <v>11763</v>
      </c>
      <c r="BM3889" s="7">
        <v>0.0026</v>
      </c>
      <c r="BN3889" s="7">
        <v>0.0026</v>
      </c>
      <c r="BO3889" s="4">
        <v>3</v>
      </c>
      <c r="BP3889" s="8">
        <v>86.64</v>
      </c>
      <c r="BQ3889" s="4"/>
      <c r="BR3889" s="8"/>
      <c r="BS3889" s="7"/>
      <c r="BT3889" s="7"/>
      <c r="BU3889" s="2" t="s">
        <v>109</v>
      </c>
      <c r="BV3889" s="2" t="s">
        <v>110</v>
      </c>
      <c r="BW3889" s="2" t="s">
        <v>10253</v>
      </c>
      <c r="BX3889" s="2" t="s">
        <v>9741</v>
      </c>
      <c r="BY3889" s="2" t="s">
        <v>113</v>
      </c>
      <c r="BZ3889" s="2" t="s">
        <v>100</v>
      </c>
    </row>
    <row r="3890">
      <c r="A3890" s="2" t="s">
        <v>11764</v>
      </c>
      <c r="B3890" s="2" t="s">
        <v>11586</v>
      </c>
      <c r="C3890" s="2" t="s">
        <v>2213</v>
      </c>
      <c r="D3890" s="2" t="s">
        <v>11587</v>
      </c>
      <c r="E3890" s="2" t="s">
        <v>5508</v>
      </c>
      <c r="F3890" s="2" t="s">
        <v>11756</v>
      </c>
      <c r="G3890" s="2" t="s">
        <v>11756</v>
      </c>
      <c r="H3890" s="2" t="s">
        <v>11756</v>
      </c>
      <c r="I3890" s="2" t="s">
        <v>11757</v>
      </c>
      <c r="J3890" s="2" t="s">
        <v>11758</v>
      </c>
      <c r="K3890" s="2" t="s">
        <v>3269</v>
      </c>
      <c r="L3890" s="3">
        <v>26.4</v>
      </c>
      <c r="M3890" s="3">
        <v>27.72</v>
      </c>
      <c r="N3890" s="3">
        <v>54.99</v>
      </c>
      <c r="O3890" s="2" t="s">
        <v>97</v>
      </c>
      <c r="P3890" s="2" t="s">
        <v>950</v>
      </c>
      <c r="Q3890" s="2" t="s">
        <v>99</v>
      </c>
      <c r="R3890" s="2" t="s">
        <v>100</v>
      </c>
      <c r="S3890" s="2" t="s">
        <v>11765</v>
      </c>
      <c r="T3890" s="2" t="s">
        <v>280</v>
      </c>
      <c r="U3890" s="2" t="s">
        <v>1478</v>
      </c>
      <c r="V3890" s="2" t="s">
        <v>146</v>
      </c>
      <c r="W3890" s="2" t="s">
        <v>183</v>
      </c>
      <c r="X3890" s="2" t="s">
        <v>100</v>
      </c>
      <c r="Y3890" s="2" t="s">
        <v>6088</v>
      </c>
      <c r="Z3890" s="4">
        <v>1083</v>
      </c>
      <c r="AA3890" s="4">
        <f>=ROUNDDOWN(54.15,0)</f>
      </c>
      <c r="AB3890" s="5">
        <v>20</v>
      </c>
      <c r="AC3890" s="2" t="s">
        <v>5073</v>
      </c>
      <c r="AD3890" s="4">
        <v>95</v>
      </c>
      <c r="AE3890" s="4">
        <v>635</v>
      </c>
      <c r="AF3890" s="6">
        <v>69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>
        <v>1</v>
      </c>
      <c r="AQ3890" s="8">
        <v>28.88</v>
      </c>
      <c r="AR3890" s="4"/>
      <c r="AS3890" s="8"/>
      <c r="AT3890" s="7"/>
      <c r="AU3890" s="7"/>
      <c r="AV3890" s="4">
        <v>1</v>
      </c>
      <c r="AW3890" s="8">
        <v>28.88</v>
      </c>
      <c r="AX3890" s="4"/>
      <c r="AY3890" s="8"/>
      <c r="AZ3890" s="7"/>
      <c r="BA3890" s="7"/>
      <c r="BB3890" s="7">
        <v>1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0.0556</v>
      </c>
      <c r="BJ3890" s="4">
        <v>542</v>
      </c>
      <c r="BK3890" s="8">
        <v>15407.34</v>
      </c>
      <c r="BL3890" s="2" t="s">
        <v>11766</v>
      </c>
      <c r="BM3890" s="7">
        <v>0.0018</v>
      </c>
      <c r="BN3890" s="7">
        <v>0.0019</v>
      </c>
      <c r="BO3890" s="4">
        <v>1</v>
      </c>
      <c r="BP3890" s="8">
        <v>28.88</v>
      </c>
      <c r="BQ3890" s="4"/>
      <c r="BR3890" s="8"/>
      <c r="BS3890" s="7"/>
      <c r="BT3890" s="7"/>
      <c r="BU3890" s="2" t="s">
        <v>109</v>
      </c>
      <c r="BV3890" s="2" t="s">
        <v>110</v>
      </c>
      <c r="BW3890" s="2" t="s">
        <v>9039</v>
      </c>
      <c r="BX3890" s="2" t="s">
        <v>3104</v>
      </c>
      <c r="BY3890" s="2" t="s">
        <v>113</v>
      </c>
      <c r="BZ3890" s="2" t="s">
        <v>100</v>
      </c>
    </row>
    <row r="3891">
      <c r="A3891" s="2" t="s">
        <v>11767</v>
      </c>
      <c r="B3891" s="2" t="s">
        <v>11586</v>
      </c>
      <c r="C3891" s="2" t="s">
        <v>2213</v>
      </c>
      <c r="D3891" s="2" t="s">
        <v>11587</v>
      </c>
      <c r="E3891" s="2" t="s">
        <v>5508</v>
      </c>
      <c r="F3891" s="2" t="s">
        <v>11756</v>
      </c>
      <c r="G3891" s="2" t="s">
        <v>11756</v>
      </c>
      <c r="H3891" s="2" t="s">
        <v>11756</v>
      </c>
      <c r="I3891" s="2" t="s">
        <v>11757</v>
      </c>
      <c r="J3891" s="2" t="s">
        <v>11758</v>
      </c>
      <c r="K3891" s="2" t="s">
        <v>496</v>
      </c>
      <c r="L3891" s="3">
        <v>26.4</v>
      </c>
      <c r="M3891" s="3">
        <v>27.72</v>
      </c>
      <c r="N3891" s="3">
        <v>54.99</v>
      </c>
      <c r="O3891" s="2" t="s">
        <v>97</v>
      </c>
      <c r="P3891" s="2" t="s">
        <v>98</v>
      </c>
      <c r="Q3891" s="2" t="s">
        <v>99</v>
      </c>
      <c r="R3891" s="2" t="s">
        <v>100</v>
      </c>
      <c r="S3891" s="2" t="s">
        <v>11768</v>
      </c>
      <c r="T3891" s="2" t="s">
        <v>280</v>
      </c>
      <c r="U3891" s="2" t="s">
        <v>1478</v>
      </c>
      <c r="V3891" s="2" t="s">
        <v>146</v>
      </c>
      <c r="W3891" s="2" t="s">
        <v>183</v>
      </c>
      <c r="X3891" s="2" t="s">
        <v>100</v>
      </c>
      <c r="Y3891" s="2" t="s">
        <v>11728</v>
      </c>
      <c r="Z3891" s="4">
        <v>2090</v>
      </c>
      <c r="AA3891" s="4">
        <f>=ROUNDDOWN(58.0555555555556,0)</f>
      </c>
      <c r="AB3891" s="5">
        <v>36</v>
      </c>
      <c r="AC3891" s="2" t="s">
        <v>241</v>
      </c>
      <c r="AD3891" s="4">
        <v>15</v>
      </c>
      <c r="AE3891" s="4">
        <v>875</v>
      </c>
      <c r="AF3891" s="6">
        <v>69</v>
      </c>
      <c r="AG3891" s="6"/>
      <c r="AH3891" s="7">
        <v>0.9144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>
        <v>1</v>
      </c>
      <c r="AQ3891" s="8">
        <v>28.88</v>
      </c>
      <c r="AR3891" s="4"/>
      <c r="AS3891" s="8"/>
      <c r="AT3891" s="7"/>
      <c r="AU3891" s="7"/>
      <c r="AV3891" s="4">
        <v>1</v>
      </c>
      <c r="AW3891" s="8">
        <v>28.88</v>
      </c>
      <c r="AX3891" s="4"/>
      <c r="AY3891" s="8"/>
      <c r="AZ3891" s="7"/>
      <c r="BA3891" s="7"/>
      <c r="BB3891" s="7">
        <v>1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0.0556</v>
      </c>
      <c r="BJ3891" s="4">
        <v>897</v>
      </c>
      <c r="BK3891" s="8">
        <v>25114.76</v>
      </c>
      <c r="BL3891" s="2" t="s">
        <v>11769</v>
      </c>
      <c r="BM3891" s="7">
        <v>0.0011</v>
      </c>
      <c r="BN3891" s="7">
        <v>0.0011</v>
      </c>
      <c r="BO3891" s="4">
        <v>1</v>
      </c>
      <c r="BP3891" s="8">
        <v>28.88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10253</v>
      </c>
      <c r="BX3891" s="2" t="s">
        <v>11770</v>
      </c>
      <c r="BY3891" s="2" t="s">
        <v>113</v>
      </c>
      <c r="BZ3891" s="2" t="s">
        <v>100</v>
      </c>
    </row>
    <row r="3892">
      <c r="A3892" s="2" t="s">
        <v>11771</v>
      </c>
      <c r="B3892" s="2" t="s">
        <v>11586</v>
      </c>
      <c r="C3892" s="2" t="s">
        <v>2213</v>
      </c>
      <c r="D3892" s="2" t="s">
        <v>11587</v>
      </c>
      <c r="E3892" s="2" t="s">
        <v>5508</v>
      </c>
      <c r="F3892" s="2" t="s">
        <v>11756</v>
      </c>
      <c r="G3892" s="2" t="s">
        <v>11756</v>
      </c>
      <c r="H3892" s="2" t="s">
        <v>11756</v>
      </c>
      <c r="I3892" s="2" t="s">
        <v>11757</v>
      </c>
      <c r="J3892" s="2" t="s">
        <v>11758</v>
      </c>
      <c r="K3892" s="2" t="s">
        <v>335</v>
      </c>
      <c r="L3892" s="3">
        <v>26.4</v>
      </c>
      <c r="M3892" s="3">
        <v>27.72</v>
      </c>
      <c r="N3892" s="3">
        <v>54.99</v>
      </c>
      <c r="O3892" s="2" t="s">
        <v>97</v>
      </c>
      <c r="P3892" s="2" t="s">
        <v>2478</v>
      </c>
      <c r="Q3892" s="2" t="s">
        <v>99</v>
      </c>
      <c r="R3892" s="2" t="s">
        <v>100</v>
      </c>
      <c r="S3892" s="2" t="s">
        <v>11772</v>
      </c>
      <c r="T3892" s="2" t="s">
        <v>280</v>
      </c>
      <c r="U3892" s="2" t="s">
        <v>1478</v>
      </c>
      <c r="V3892" s="2" t="s">
        <v>146</v>
      </c>
      <c r="W3892" s="2" t="s">
        <v>183</v>
      </c>
      <c r="X3892" s="2" t="s">
        <v>100</v>
      </c>
      <c r="Y3892" s="2" t="s">
        <v>11773</v>
      </c>
      <c r="Z3892" s="4">
        <v>1408</v>
      </c>
      <c r="AA3892" s="4">
        <f>=ROUNDDOWN(82.8235294117647,0)</f>
      </c>
      <c r="AB3892" s="5">
        <v>17</v>
      </c>
      <c r="AC3892" s="2" t="s">
        <v>934</v>
      </c>
      <c r="AD3892" s="4">
        <v>300</v>
      </c>
      <c r="AE3892" s="4">
        <v>300</v>
      </c>
      <c r="AF3892" s="6">
        <v>69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/>
      <c r="BJ3892" s="4">
        <v>360</v>
      </c>
      <c r="BK3892" s="8">
        <v>10317.72</v>
      </c>
      <c r="BL3892" s="2" t="s">
        <v>11774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2480</v>
      </c>
      <c r="BV3892" s="2" t="s">
        <v>97</v>
      </c>
      <c r="BW3892" s="2" t="s">
        <v>100</v>
      </c>
      <c r="BX3892" s="2" t="s">
        <v>100</v>
      </c>
      <c r="BY3892" s="2" t="s">
        <v>113</v>
      </c>
      <c r="BZ3892" s="2" t="s">
        <v>245</v>
      </c>
    </row>
    <row r="3893">
      <c r="A3893" s="2" t="s">
        <v>11775</v>
      </c>
      <c r="B3893" s="2" t="s">
        <v>11586</v>
      </c>
      <c r="C3893" s="2" t="s">
        <v>2213</v>
      </c>
      <c r="D3893" s="2" t="s">
        <v>11587</v>
      </c>
      <c r="E3893" s="2" t="s">
        <v>5508</v>
      </c>
      <c r="F3893" s="2" t="s">
        <v>11756</v>
      </c>
      <c r="G3893" s="2" t="s">
        <v>11756</v>
      </c>
      <c r="H3893" s="2" t="s">
        <v>11756</v>
      </c>
      <c r="I3893" s="2" t="s">
        <v>11757</v>
      </c>
      <c r="J3893" s="2" t="s">
        <v>11758</v>
      </c>
      <c r="K3893" s="2" t="s">
        <v>1340</v>
      </c>
      <c r="L3893" s="3">
        <v>26.4</v>
      </c>
      <c r="M3893" s="3">
        <v>27.72</v>
      </c>
      <c r="N3893" s="3">
        <v>54.99</v>
      </c>
      <c r="O3893" s="2" t="s">
        <v>97</v>
      </c>
      <c r="P3893" s="2" t="s">
        <v>119</v>
      </c>
      <c r="Q3893" s="2" t="s">
        <v>99</v>
      </c>
      <c r="R3893" s="2" t="s">
        <v>100</v>
      </c>
      <c r="S3893" s="2" t="s">
        <v>11776</v>
      </c>
      <c r="T3893" s="2" t="s">
        <v>280</v>
      </c>
      <c r="U3893" s="2" t="s">
        <v>1478</v>
      </c>
      <c r="V3893" s="2" t="s">
        <v>146</v>
      </c>
      <c r="W3893" s="2" t="s">
        <v>183</v>
      </c>
      <c r="X3893" s="2" t="s">
        <v>100</v>
      </c>
      <c r="Y3893" s="2" t="s">
        <v>8028</v>
      </c>
      <c r="Z3893" s="4">
        <v>1227</v>
      </c>
      <c r="AA3893" s="4">
        <f>=ROUNDDOWN(61.35,0)</f>
      </c>
      <c r="AB3893" s="5">
        <v>20</v>
      </c>
      <c r="AC3893" s="2" t="s">
        <v>934</v>
      </c>
      <c r="AD3893" s="4">
        <v>500</v>
      </c>
      <c r="AE3893" s="4">
        <v>500</v>
      </c>
      <c r="AF3893" s="6">
        <v>69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/>
      <c r="BJ3893" s="4">
        <v>549</v>
      </c>
      <c r="BK3893" s="8">
        <v>15778.81</v>
      </c>
      <c r="BL3893" s="2" t="s">
        <v>6969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207</v>
      </c>
      <c r="BV3893" s="2" t="s">
        <v>97</v>
      </c>
      <c r="BW3893" s="2" t="s">
        <v>100</v>
      </c>
      <c r="BX3893" s="2" t="s">
        <v>100</v>
      </c>
      <c r="BY3893" s="2" t="s">
        <v>113</v>
      </c>
      <c r="BZ3893" s="2" t="s">
        <v>245</v>
      </c>
    </row>
    <row r="3894">
      <c r="A3894" s="2" t="s">
        <v>11777</v>
      </c>
      <c r="B3894" s="2" t="s">
        <v>11586</v>
      </c>
      <c r="C3894" s="2" t="s">
        <v>2213</v>
      </c>
      <c r="D3894" s="2" t="s">
        <v>11587</v>
      </c>
      <c r="E3894" s="2" t="s">
        <v>5508</v>
      </c>
      <c r="F3894" s="2" t="s">
        <v>11778</v>
      </c>
      <c r="G3894" s="2" t="s">
        <v>11778</v>
      </c>
      <c r="H3894" s="2" t="s">
        <v>11778</v>
      </c>
      <c r="I3894" s="2" t="s">
        <v>11779</v>
      </c>
      <c r="J3894" s="2" t="s">
        <v>5510</v>
      </c>
      <c r="K3894" s="2" t="s">
        <v>189</v>
      </c>
      <c r="L3894" s="3">
        <v>22</v>
      </c>
      <c r="M3894" s="3">
        <v>23.1</v>
      </c>
      <c r="N3894" s="3">
        <v>49.99</v>
      </c>
      <c r="O3894" s="2" t="s">
        <v>97</v>
      </c>
      <c r="P3894" s="2" t="s">
        <v>119</v>
      </c>
      <c r="Q3894" s="2" t="s">
        <v>99</v>
      </c>
      <c r="R3894" s="2" t="s">
        <v>100</v>
      </c>
      <c r="S3894" s="2" t="s">
        <v>11780</v>
      </c>
      <c r="T3894" s="2" t="s">
        <v>280</v>
      </c>
      <c r="U3894" s="2" t="s">
        <v>102</v>
      </c>
      <c r="V3894" s="2" t="s">
        <v>146</v>
      </c>
      <c r="W3894" s="2" t="s">
        <v>183</v>
      </c>
      <c r="X3894" s="2" t="s">
        <v>100</v>
      </c>
      <c r="Y3894" s="2" t="s">
        <v>4068</v>
      </c>
      <c r="Z3894" s="4">
        <v>268</v>
      </c>
      <c r="AA3894" s="4">
        <f>=ROUNDDOWN(38.2857142857143,0)</f>
      </c>
      <c r="AB3894" s="5">
        <v>7</v>
      </c>
      <c r="AC3894" s="2" t="s">
        <v>271</v>
      </c>
      <c r="AD3894" s="4">
        <v>578</v>
      </c>
      <c r="AE3894" s="4">
        <v>578</v>
      </c>
      <c r="AF3894" s="6">
        <v>69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>
        <v>1</v>
      </c>
      <c r="AQ3894" s="8">
        <v>23.1</v>
      </c>
      <c r="AR3894" s="4"/>
      <c r="AS3894" s="8"/>
      <c r="AT3894" s="7"/>
      <c r="AU3894" s="7"/>
      <c r="AV3894" s="4">
        <v>1</v>
      </c>
      <c r="AW3894" s="8">
        <v>23.1</v>
      </c>
      <c r="AX3894" s="4"/>
      <c r="AY3894" s="8"/>
      <c r="AZ3894" s="7"/>
      <c r="BA3894" s="7"/>
      <c r="BB3894" s="7">
        <v>1</v>
      </c>
      <c r="BC3894" s="4">
        <v>2</v>
      </c>
      <c r="BD3894" s="8">
        <v>46.2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>
        <v>0.5</v>
      </c>
      <c r="BJ3894" s="4">
        <v>180</v>
      </c>
      <c r="BK3894" s="8">
        <v>4443.26</v>
      </c>
      <c r="BL3894" s="2" t="s">
        <v>11781</v>
      </c>
      <c r="BM3894" s="7">
        <v>0.0056</v>
      </c>
      <c r="BN3894" s="7">
        <v>0.0052</v>
      </c>
      <c r="BO3894" s="4">
        <v>1</v>
      </c>
      <c r="BP3894" s="8">
        <v>23.1</v>
      </c>
      <c r="BQ3894" s="4"/>
      <c r="BR3894" s="8"/>
      <c r="BS3894" s="7"/>
      <c r="BT3894" s="7"/>
      <c r="BU3894" s="2" t="s">
        <v>109</v>
      </c>
      <c r="BV3894" s="2" t="s">
        <v>110</v>
      </c>
      <c r="BW3894" s="2" t="s">
        <v>5167</v>
      </c>
      <c r="BX3894" s="2" t="s">
        <v>5233</v>
      </c>
      <c r="BY3894" s="2" t="s">
        <v>113</v>
      </c>
      <c r="BZ3894" s="2" t="s">
        <v>100</v>
      </c>
    </row>
    <row r="3895">
      <c r="A3895" s="2" t="s">
        <v>11782</v>
      </c>
      <c r="B3895" s="2" t="s">
        <v>11586</v>
      </c>
      <c r="C3895" s="2" t="s">
        <v>2213</v>
      </c>
      <c r="D3895" s="2" t="s">
        <v>11587</v>
      </c>
      <c r="E3895" s="2" t="s">
        <v>5508</v>
      </c>
      <c r="F3895" s="2" t="s">
        <v>11778</v>
      </c>
      <c r="G3895" s="2" t="s">
        <v>11778</v>
      </c>
      <c r="H3895" s="2" t="s">
        <v>11778</v>
      </c>
      <c r="I3895" s="2" t="s">
        <v>11779</v>
      </c>
      <c r="J3895" s="2" t="s">
        <v>5510</v>
      </c>
      <c r="K3895" s="2" t="s">
        <v>297</v>
      </c>
      <c r="L3895" s="3">
        <v>22</v>
      </c>
      <c r="M3895" s="3">
        <v>23.1</v>
      </c>
      <c r="N3895" s="3">
        <v>49.99</v>
      </c>
      <c r="O3895" s="2" t="s">
        <v>97</v>
      </c>
      <c r="P3895" s="2" t="s">
        <v>119</v>
      </c>
      <c r="Q3895" s="2" t="s">
        <v>99</v>
      </c>
      <c r="R3895" s="2" t="s">
        <v>100</v>
      </c>
      <c r="S3895" s="2" t="s">
        <v>11783</v>
      </c>
      <c r="T3895" s="2" t="s">
        <v>280</v>
      </c>
      <c r="U3895" s="2" t="s">
        <v>102</v>
      </c>
      <c r="V3895" s="2" t="s">
        <v>146</v>
      </c>
      <c r="W3895" s="2" t="s">
        <v>183</v>
      </c>
      <c r="X3895" s="2" t="s">
        <v>100</v>
      </c>
      <c r="Y3895" s="2" t="s">
        <v>4068</v>
      </c>
      <c r="Z3895" s="4">
        <v>178</v>
      </c>
      <c r="AA3895" s="4">
        <f>=ROUNDDOWN(11.8666666666667,0)</f>
      </c>
      <c r="AB3895" s="5">
        <v>15</v>
      </c>
      <c r="AC3895" s="2" t="s">
        <v>271</v>
      </c>
      <c r="AD3895" s="4">
        <v>551</v>
      </c>
      <c r="AE3895" s="4">
        <v>551</v>
      </c>
      <c r="AF3895" s="6">
        <v>69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>
        <v>1</v>
      </c>
      <c r="AQ3895" s="8">
        <v>23.1</v>
      </c>
      <c r="AR3895" s="4"/>
      <c r="AS3895" s="8"/>
      <c r="AT3895" s="7"/>
      <c r="AU3895" s="7"/>
      <c r="AV3895" s="4">
        <v>1</v>
      </c>
      <c r="AW3895" s="8">
        <v>23.1</v>
      </c>
      <c r="AX3895" s="4"/>
      <c r="AY3895" s="8"/>
      <c r="AZ3895" s="7"/>
      <c r="BA3895" s="7"/>
      <c r="BB3895" s="7">
        <v>1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>
        <v>0.5</v>
      </c>
      <c r="BJ3895" s="4">
        <v>402</v>
      </c>
      <c r="BK3895" s="8">
        <v>9557.93</v>
      </c>
      <c r="BL3895" s="2" t="s">
        <v>11784</v>
      </c>
      <c r="BM3895" s="7">
        <v>0.0025</v>
      </c>
      <c r="BN3895" s="7">
        <v>0.0024</v>
      </c>
      <c r="BO3895" s="4">
        <v>1</v>
      </c>
      <c r="BP3895" s="8">
        <v>23.1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5167</v>
      </c>
      <c r="BX3895" s="2" t="s">
        <v>11785</v>
      </c>
      <c r="BY3895" s="2" t="s">
        <v>113</v>
      </c>
      <c r="BZ3895" s="2" t="s">
        <v>100</v>
      </c>
    </row>
    <row r="3896">
      <c r="A3896" s="2" t="s">
        <v>11786</v>
      </c>
      <c r="B3896" s="2" t="s">
        <v>11586</v>
      </c>
      <c r="C3896" s="2" t="s">
        <v>2213</v>
      </c>
      <c r="D3896" s="2" t="s">
        <v>11587</v>
      </c>
      <c r="E3896" s="2" t="s">
        <v>5508</v>
      </c>
      <c r="F3896" s="2" t="s">
        <v>11778</v>
      </c>
      <c r="G3896" s="2" t="s">
        <v>11778</v>
      </c>
      <c r="H3896" s="2" t="s">
        <v>11778</v>
      </c>
      <c r="I3896" s="2" t="s">
        <v>11779</v>
      </c>
      <c r="J3896" s="2" t="s">
        <v>5510</v>
      </c>
      <c r="K3896" s="2" t="s">
        <v>96</v>
      </c>
      <c r="L3896" s="3">
        <v>22</v>
      </c>
      <c r="M3896" s="3">
        <v>23.1</v>
      </c>
      <c r="N3896" s="3">
        <v>49.99</v>
      </c>
      <c r="O3896" s="2" t="s">
        <v>97</v>
      </c>
      <c r="P3896" s="2" t="s">
        <v>119</v>
      </c>
      <c r="Q3896" s="2" t="s">
        <v>99</v>
      </c>
      <c r="R3896" s="2" t="s">
        <v>100</v>
      </c>
      <c r="S3896" s="2" t="s">
        <v>11787</v>
      </c>
      <c r="T3896" s="2" t="s">
        <v>280</v>
      </c>
      <c r="U3896" s="2" t="s">
        <v>102</v>
      </c>
      <c r="V3896" s="2" t="s">
        <v>146</v>
      </c>
      <c r="W3896" s="2" t="s">
        <v>183</v>
      </c>
      <c r="X3896" s="2" t="s">
        <v>100</v>
      </c>
      <c r="Y3896" s="2" t="s">
        <v>4068</v>
      </c>
      <c r="Z3896" s="4">
        <v>243</v>
      </c>
      <c r="AA3896" s="4">
        <f>=ROUNDDOWN(17.3571428571429,0)</f>
      </c>
      <c r="AB3896" s="5">
        <v>14</v>
      </c>
      <c r="AC3896" s="2" t="s">
        <v>271</v>
      </c>
      <c r="AD3896" s="4">
        <v>459</v>
      </c>
      <c r="AE3896" s="4">
        <v>459</v>
      </c>
      <c r="AF3896" s="6">
        <v>69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/>
      <c r="BJ3896" s="4">
        <v>372</v>
      </c>
      <c r="BK3896" s="8">
        <v>8810.66</v>
      </c>
      <c r="BL3896" s="2" t="s">
        <v>11788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5167</v>
      </c>
      <c r="BX3896" s="2" t="s">
        <v>1066</v>
      </c>
      <c r="BY3896" s="2" t="s">
        <v>113</v>
      </c>
      <c r="BZ3896" s="2" t="s">
        <v>100</v>
      </c>
    </row>
    <row r="3897">
      <c r="A3897" s="2" t="s">
        <v>11789</v>
      </c>
      <c r="B3897" s="2" t="s">
        <v>11586</v>
      </c>
      <c r="C3897" s="2" t="s">
        <v>2213</v>
      </c>
      <c r="D3897" s="2" t="s">
        <v>11587</v>
      </c>
      <c r="E3897" s="2" t="s">
        <v>5508</v>
      </c>
      <c r="F3897" s="2" t="s">
        <v>11778</v>
      </c>
      <c r="G3897" s="2" t="s">
        <v>11778</v>
      </c>
      <c r="H3897" s="2" t="s">
        <v>11778</v>
      </c>
      <c r="I3897" s="2" t="s">
        <v>11779</v>
      </c>
      <c r="J3897" s="2" t="s">
        <v>5510</v>
      </c>
      <c r="K3897" s="2" t="s">
        <v>2477</v>
      </c>
      <c r="L3897" s="3">
        <v>22</v>
      </c>
      <c r="M3897" s="3">
        <v>23.1</v>
      </c>
      <c r="N3897" s="3">
        <v>49.99</v>
      </c>
      <c r="O3897" s="2" t="s">
        <v>97</v>
      </c>
      <c r="P3897" s="2" t="s">
        <v>119</v>
      </c>
      <c r="Q3897" s="2" t="s">
        <v>99</v>
      </c>
      <c r="R3897" s="2" t="s">
        <v>100</v>
      </c>
      <c r="S3897" s="2" t="s">
        <v>11790</v>
      </c>
      <c r="T3897" s="2" t="s">
        <v>280</v>
      </c>
      <c r="U3897" s="2" t="s">
        <v>102</v>
      </c>
      <c r="V3897" s="2" t="s">
        <v>146</v>
      </c>
      <c r="W3897" s="2" t="s">
        <v>183</v>
      </c>
      <c r="X3897" s="2" t="s">
        <v>100</v>
      </c>
      <c r="Y3897" s="2" t="s">
        <v>4068</v>
      </c>
      <c r="Z3897" s="4">
        <v>230</v>
      </c>
      <c r="AA3897" s="4">
        <f>=ROUNDDOWN(25.5555555555556,0)</f>
      </c>
      <c r="AB3897" s="5">
        <v>9</v>
      </c>
      <c r="AC3897" s="2" t="s">
        <v>271</v>
      </c>
      <c r="AD3897" s="4">
        <v>344</v>
      </c>
      <c r="AE3897" s="4">
        <v>344</v>
      </c>
      <c r="AF3897" s="6">
        <v>69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/>
      <c r="BJ3897" s="4">
        <v>276</v>
      </c>
      <c r="BK3897" s="8">
        <v>6550.47</v>
      </c>
      <c r="BL3897" s="2" t="s">
        <v>11791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5167</v>
      </c>
      <c r="BX3897" s="2" t="s">
        <v>100</v>
      </c>
      <c r="BY3897" s="2" t="s">
        <v>113</v>
      </c>
      <c r="BZ3897" s="2" t="s">
        <v>100</v>
      </c>
    </row>
    <row r="3898">
      <c r="A3898" s="2" t="s">
        <v>11792</v>
      </c>
      <c r="B3898" s="2" t="s">
        <v>11586</v>
      </c>
      <c r="C3898" s="2" t="s">
        <v>2213</v>
      </c>
      <c r="D3898" s="2" t="s">
        <v>11587</v>
      </c>
      <c r="E3898" s="2" t="s">
        <v>5508</v>
      </c>
      <c r="F3898" s="2" t="s">
        <v>11778</v>
      </c>
      <c r="G3898" s="2" t="s">
        <v>11778</v>
      </c>
      <c r="H3898" s="2" t="s">
        <v>11778</v>
      </c>
      <c r="I3898" s="2" t="s">
        <v>11779</v>
      </c>
      <c r="J3898" s="2" t="s">
        <v>5510</v>
      </c>
      <c r="K3898" s="2" t="s">
        <v>198</v>
      </c>
      <c r="L3898" s="3">
        <v>22</v>
      </c>
      <c r="M3898" s="3">
        <v>23.1</v>
      </c>
      <c r="N3898" s="3">
        <v>49.99</v>
      </c>
      <c r="O3898" s="2" t="s">
        <v>97</v>
      </c>
      <c r="P3898" s="2" t="s">
        <v>119</v>
      </c>
      <c r="Q3898" s="2" t="s">
        <v>99</v>
      </c>
      <c r="R3898" s="2" t="s">
        <v>100</v>
      </c>
      <c r="S3898" s="2" t="s">
        <v>11793</v>
      </c>
      <c r="T3898" s="2" t="s">
        <v>280</v>
      </c>
      <c r="U3898" s="2" t="s">
        <v>102</v>
      </c>
      <c r="V3898" s="2" t="s">
        <v>146</v>
      </c>
      <c r="W3898" s="2" t="s">
        <v>183</v>
      </c>
      <c r="X3898" s="2" t="s">
        <v>100</v>
      </c>
      <c r="Y3898" s="2" t="s">
        <v>4068</v>
      </c>
      <c r="Z3898" s="4">
        <v>312</v>
      </c>
      <c r="AA3898" s="4">
        <f>=ROUNDDOWN(39,0)</f>
      </c>
      <c r="AB3898" s="5">
        <v>8</v>
      </c>
      <c r="AC3898" s="2" t="s">
        <v>271</v>
      </c>
      <c r="AD3898" s="4">
        <v>229</v>
      </c>
      <c r="AE3898" s="4">
        <v>229</v>
      </c>
      <c r="AF3898" s="6">
        <v>69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/>
      <c r="BJ3898" s="4">
        <v>232</v>
      </c>
      <c r="BK3898" s="8">
        <v>5486.74</v>
      </c>
      <c r="BL3898" s="2" t="s">
        <v>11788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5167</v>
      </c>
      <c r="BX3898" s="2" t="s">
        <v>11794</v>
      </c>
      <c r="BY3898" s="2" t="s">
        <v>113</v>
      </c>
      <c r="BZ3898" s="2" t="s">
        <v>100</v>
      </c>
    </row>
    <row r="3899">
      <c r="A3899" s="2" t="s">
        <v>11795</v>
      </c>
      <c r="B3899" s="2" t="s">
        <v>11586</v>
      </c>
      <c r="C3899" s="2" t="s">
        <v>5702</v>
      </c>
      <c r="D3899" s="2" t="s">
        <v>11587</v>
      </c>
      <c r="E3899" s="2" t="s">
        <v>5508</v>
      </c>
      <c r="F3899" s="2" t="s">
        <v>5703</v>
      </c>
      <c r="G3899" s="2" t="s">
        <v>5703</v>
      </c>
      <c r="H3899" s="2" t="s">
        <v>5703</v>
      </c>
      <c r="I3899" s="2" t="s">
        <v>11796</v>
      </c>
      <c r="J3899" s="2" t="s">
        <v>5510</v>
      </c>
      <c r="K3899" s="2" t="s">
        <v>118</v>
      </c>
      <c r="L3899" s="3">
        <v>38</v>
      </c>
      <c r="M3899" s="3">
        <v>39.9</v>
      </c>
      <c r="N3899" s="3">
        <v>79.99</v>
      </c>
      <c r="O3899" s="2" t="s">
        <v>97</v>
      </c>
      <c r="P3899" s="2" t="s">
        <v>98</v>
      </c>
      <c r="Q3899" s="2" t="s">
        <v>99</v>
      </c>
      <c r="R3899" s="2" t="s">
        <v>100</v>
      </c>
      <c r="S3899" s="2" t="s">
        <v>11797</v>
      </c>
      <c r="T3899" s="2" t="s">
        <v>280</v>
      </c>
      <c r="U3899" s="2" t="s">
        <v>102</v>
      </c>
      <c r="V3899" s="2" t="s">
        <v>146</v>
      </c>
      <c r="W3899" s="2" t="s">
        <v>104</v>
      </c>
      <c r="X3899" s="2" t="s">
        <v>100</v>
      </c>
      <c r="Y3899" s="2" t="s">
        <v>5567</v>
      </c>
      <c r="Z3899" s="4">
        <v>773</v>
      </c>
      <c r="AA3899" s="4">
        <f>=ROUNDDOWN(64.4166666666667,0)</f>
      </c>
      <c r="AB3899" s="5">
        <v>12</v>
      </c>
      <c r="AC3899" s="2" t="s">
        <v>100</v>
      </c>
      <c r="AD3899" s="4"/>
      <c r="AE3899" s="4"/>
      <c r="AF3899" s="6">
        <v>67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/>
      <c r="BJ3899" s="4">
        <v>307</v>
      </c>
      <c r="BK3899" s="8">
        <v>12796.36</v>
      </c>
      <c r="BL3899" s="2" t="s">
        <v>11798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207</v>
      </c>
      <c r="BV3899" s="2" t="s">
        <v>97</v>
      </c>
      <c r="BW3899" s="2" t="s">
        <v>100</v>
      </c>
      <c r="BX3899" s="2" t="s">
        <v>100</v>
      </c>
      <c r="BY3899" s="2" t="s">
        <v>113</v>
      </c>
      <c r="BZ3899" s="2" t="s">
        <v>100</v>
      </c>
    </row>
    <row r="3900">
      <c r="A3900" s="2" t="s">
        <v>11799</v>
      </c>
      <c r="B3900" s="2" t="s">
        <v>11586</v>
      </c>
      <c r="C3900" s="2" t="s">
        <v>5702</v>
      </c>
      <c r="D3900" s="2" t="s">
        <v>11587</v>
      </c>
      <c r="E3900" s="2" t="s">
        <v>5508</v>
      </c>
      <c r="F3900" s="2" t="s">
        <v>5703</v>
      </c>
      <c r="G3900" s="2" t="s">
        <v>5703</v>
      </c>
      <c r="H3900" s="2" t="s">
        <v>5703</v>
      </c>
      <c r="I3900" s="2" t="s">
        <v>11796</v>
      </c>
      <c r="J3900" s="2" t="s">
        <v>5510</v>
      </c>
      <c r="K3900" s="2" t="s">
        <v>2477</v>
      </c>
      <c r="L3900" s="3">
        <v>38</v>
      </c>
      <c r="M3900" s="3">
        <v>39.9</v>
      </c>
      <c r="N3900" s="3">
        <v>79.99</v>
      </c>
      <c r="O3900" s="2" t="s">
        <v>97</v>
      </c>
      <c r="P3900" s="2" t="s">
        <v>950</v>
      </c>
      <c r="Q3900" s="2" t="s">
        <v>99</v>
      </c>
      <c r="R3900" s="2" t="s">
        <v>100</v>
      </c>
      <c r="S3900" s="2" t="s">
        <v>11800</v>
      </c>
      <c r="T3900" s="2" t="s">
        <v>280</v>
      </c>
      <c r="U3900" s="2" t="s">
        <v>102</v>
      </c>
      <c r="V3900" s="2" t="s">
        <v>146</v>
      </c>
      <c r="W3900" s="2" t="s">
        <v>104</v>
      </c>
      <c r="X3900" s="2" t="s">
        <v>100</v>
      </c>
      <c r="Y3900" s="2" t="s">
        <v>5567</v>
      </c>
      <c r="Z3900" s="4">
        <v>292</v>
      </c>
      <c r="AA3900" s="4">
        <f>=ROUNDDOWN(36.5,0)</f>
      </c>
      <c r="AB3900" s="5">
        <v>8</v>
      </c>
      <c r="AC3900" s="2" t="s">
        <v>100</v>
      </c>
      <c r="AD3900" s="4"/>
      <c r="AE3900" s="4"/>
      <c r="AF3900" s="6">
        <v>67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/>
      <c r="BJ3900" s="4">
        <v>200</v>
      </c>
      <c r="BK3900" s="8">
        <v>8601.56</v>
      </c>
      <c r="BL3900" s="2" t="s">
        <v>11801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207</v>
      </c>
      <c r="BV3900" s="2" t="s">
        <v>97</v>
      </c>
      <c r="BW3900" s="2" t="s">
        <v>100</v>
      </c>
      <c r="BX3900" s="2" t="s">
        <v>100</v>
      </c>
      <c r="BY3900" s="2" t="s">
        <v>113</v>
      </c>
      <c r="BZ3900" s="2" t="s">
        <v>100</v>
      </c>
    </row>
    <row r="3901">
      <c r="A3901" s="2" t="s">
        <v>11802</v>
      </c>
      <c r="B3901" s="2" t="s">
        <v>11586</v>
      </c>
      <c r="C3901" s="2" t="s">
        <v>5702</v>
      </c>
      <c r="D3901" s="2" t="s">
        <v>11587</v>
      </c>
      <c r="E3901" s="2" t="s">
        <v>5508</v>
      </c>
      <c r="F3901" s="2" t="s">
        <v>5703</v>
      </c>
      <c r="G3901" s="2" t="s">
        <v>5703</v>
      </c>
      <c r="H3901" s="2" t="s">
        <v>5703</v>
      </c>
      <c r="I3901" s="2" t="s">
        <v>11796</v>
      </c>
      <c r="J3901" s="2" t="s">
        <v>5510</v>
      </c>
      <c r="K3901" s="2" t="s">
        <v>198</v>
      </c>
      <c r="L3901" s="3">
        <v>38</v>
      </c>
      <c r="M3901" s="3">
        <v>39.9</v>
      </c>
      <c r="N3901" s="3">
        <v>79.99</v>
      </c>
      <c r="O3901" s="2" t="s">
        <v>97</v>
      </c>
      <c r="P3901" s="2" t="s">
        <v>950</v>
      </c>
      <c r="Q3901" s="2" t="s">
        <v>99</v>
      </c>
      <c r="R3901" s="2" t="s">
        <v>100</v>
      </c>
      <c r="S3901" s="2" t="s">
        <v>5705</v>
      </c>
      <c r="T3901" s="2" t="s">
        <v>280</v>
      </c>
      <c r="U3901" s="2" t="s">
        <v>102</v>
      </c>
      <c r="V3901" s="2" t="s">
        <v>146</v>
      </c>
      <c r="W3901" s="2" t="s">
        <v>104</v>
      </c>
      <c r="X3901" s="2" t="s">
        <v>100</v>
      </c>
      <c r="Y3901" s="2" t="s">
        <v>5567</v>
      </c>
      <c r="Z3901" s="4">
        <v>491</v>
      </c>
      <c r="AA3901" s="4">
        <f>=ROUNDDOWN(61.375,0)</f>
      </c>
      <c r="AB3901" s="5">
        <v>8</v>
      </c>
      <c r="AC3901" s="2" t="s">
        <v>100</v>
      </c>
      <c r="AD3901" s="4"/>
      <c r="AE3901" s="4"/>
      <c r="AF3901" s="6">
        <v>67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/>
      <c r="BJ3901" s="4">
        <v>157</v>
      </c>
      <c r="BK3901" s="8">
        <v>6457.53</v>
      </c>
      <c r="BL3901" s="2" t="s">
        <v>11803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207</v>
      </c>
      <c r="BV3901" s="2" t="s">
        <v>97</v>
      </c>
      <c r="BW3901" s="2" t="s">
        <v>100</v>
      </c>
      <c r="BX3901" s="2" t="s">
        <v>100</v>
      </c>
      <c r="BY3901" s="2" t="s">
        <v>113</v>
      </c>
      <c r="BZ3901" s="2" t="s">
        <v>100</v>
      </c>
    </row>
    <row r="3902">
      <c r="A3902" s="2" t="s">
        <v>11804</v>
      </c>
      <c r="B3902" s="2" t="s">
        <v>11586</v>
      </c>
      <c r="C3902" s="2" t="s">
        <v>5702</v>
      </c>
      <c r="D3902" s="2" t="s">
        <v>11587</v>
      </c>
      <c r="E3902" s="2" t="s">
        <v>5508</v>
      </c>
      <c r="F3902" s="2" t="s">
        <v>5703</v>
      </c>
      <c r="G3902" s="2" t="s">
        <v>5703</v>
      </c>
      <c r="H3902" s="2" t="s">
        <v>5703</v>
      </c>
      <c r="I3902" s="2" t="s">
        <v>11796</v>
      </c>
      <c r="J3902" s="2" t="s">
        <v>5510</v>
      </c>
      <c r="K3902" s="2" t="s">
        <v>1614</v>
      </c>
      <c r="L3902" s="3">
        <v>38</v>
      </c>
      <c r="M3902" s="3">
        <v>39.9</v>
      </c>
      <c r="N3902" s="3">
        <v>79.99</v>
      </c>
      <c r="O3902" s="2" t="s">
        <v>97</v>
      </c>
      <c r="P3902" s="2" t="s">
        <v>950</v>
      </c>
      <c r="Q3902" s="2" t="s">
        <v>99</v>
      </c>
      <c r="R3902" s="2" t="s">
        <v>100</v>
      </c>
      <c r="S3902" s="2" t="s">
        <v>5712</v>
      </c>
      <c r="T3902" s="2" t="s">
        <v>280</v>
      </c>
      <c r="U3902" s="2" t="s">
        <v>102</v>
      </c>
      <c r="V3902" s="2" t="s">
        <v>146</v>
      </c>
      <c r="W3902" s="2" t="s">
        <v>104</v>
      </c>
      <c r="X3902" s="2" t="s">
        <v>100</v>
      </c>
      <c r="Y3902" s="2" t="s">
        <v>5567</v>
      </c>
      <c r="Z3902" s="4">
        <v>691</v>
      </c>
      <c r="AA3902" s="4">
        <f>=ROUNDDOWN(115.166666666667,0)</f>
      </c>
      <c r="AB3902" s="5">
        <v>6</v>
      </c>
      <c r="AC3902" s="2" t="s">
        <v>100</v>
      </c>
      <c r="AD3902" s="4"/>
      <c r="AE3902" s="4"/>
      <c r="AF3902" s="6">
        <v>67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/>
      <c r="BJ3902" s="4">
        <v>152</v>
      </c>
      <c r="BK3902" s="8">
        <v>6495</v>
      </c>
      <c r="BL3902" s="2" t="s">
        <v>11805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207</v>
      </c>
      <c r="BV3902" s="2" t="s">
        <v>97</v>
      </c>
      <c r="BW3902" s="2" t="s">
        <v>100</v>
      </c>
      <c r="BX3902" s="2" t="s">
        <v>100</v>
      </c>
      <c r="BY3902" s="2" t="s">
        <v>113</v>
      </c>
      <c r="BZ3902" s="2" t="s">
        <v>100</v>
      </c>
    </row>
    <row r="3903">
      <c r="A3903" s="2" t="s">
        <v>11806</v>
      </c>
      <c r="B3903" s="2" t="s">
        <v>11586</v>
      </c>
      <c r="C3903" s="2" t="s">
        <v>5702</v>
      </c>
      <c r="D3903" s="2" t="s">
        <v>11587</v>
      </c>
      <c r="E3903" s="2" t="s">
        <v>5508</v>
      </c>
      <c r="F3903" s="2" t="s">
        <v>5703</v>
      </c>
      <c r="G3903" s="2" t="s">
        <v>5703</v>
      </c>
      <c r="H3903" s="2" t="s">
        <v>5703</v>
      </c>
      <c r="I3903" s="2" t="s">
        <v>11796</v>
      </c>
      <c r="J3903" s="2" t="s">
        <v>5510</v>
      </c>
      <c r="K3903" s="2" t="s">
        <v>360</v>
      </c>
      <c r="L3903" s="3">
        <v>38</v>
      </c>
      <c r="M3903" s="3">
        <v>39.9</v>
      </c>
      <c r="N3903" s="3">
        <v>79.99</v>
      </c>
      <c r="O3903" s="2" t="s">
        <v>97</v>
      </c>
      <c r="P3903" s="2" t="s">
        <v>119</v>
      </c>
      <c r="Q3903" s="2" t="s">
        <v>99</v>
      </c>
      <c r="R3903" s="2" t="s">
        <v>100</v>
      </c>
      <c r="S3903" s="2" t="s">
        <v>11807</v>
      </c>
      <c r="T3903" s="2" t="s">
        <v>280</v>
      </c>
      <c r="U3903" s="2" t="s">
        <v>102</v>
      </c>
      <c r="V3903" s="2" t="s">
        <v>146</v>
      </c>
      <c r="W3903" s="2" t="s">
        <v>104</v>
      </c>
      <c r="X3903" s="2" t="s">
        <v>100</v>
      </c>
      <c r="Y3903" s="2" t="s">
        <v>11808</v>
      </c>
      <c r="Z3903" s="4">
        <v>516</v>
      </c>
      <c r="AA3903" s="4">
        <f>=ROUNDDOWN(86,0)</f>
      </c>
      <c r="AB3903" s="5">
        <v>6</v>
      </c>
      <c r="AC3903" s="2" t="s">
        <v>100</v>
      </c>
      <c r="AD3903" s="4"/>
      <c r="AE3903" s="4"/>
      <c r="AF3903" s="6">
        <v>67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/>
      <c r="BJ3903" s="4">
        <v>101</v>
      </c>
      <c r="BK3903" s="8">
        <v>4267.1</v>
      </c>
      <c r="BL3903" s="2" t="s">
        <v>11809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207</v>
      </c>
      <c r="BV3903" s="2" t="s">
        <v>97</v>
      </c>
      <c r="BW3903" s="2" t="s">
        <v>100</v>
      </c>
      <c r="BX3903" s="2" t="s">
        <v>100</v>
      </c>
      <c r="BY3903" s="2" t="s">
        <v>113</v>
      </c>
      <c r="BZ3903" s="2" t="s">
        <v>100</v>
      </c>
    </row>
    <row r="3904">
      <c r="A3904" s="2" t="s">
        <v>11810</v>
      </c>
      <c r="B3904" s="2" t="s">
        <v>11586</v>
      </c>
      <c r="C3904" s="2" t="s">
        <v>5702</v>
      </c>
      <c r="D3904" s="2" t="s">
        <v>11587</v>
      </c>
      <c r="E3904" s="2" t="s">
        <v>5508</v>
      </c>
      <c r="F3904" s="2" t="s">
        <v>5703</v>
      </c>
      <c r="G3904" s="2" t="s">
        <v>5703</v>
      </c>
      <c r="H3904" s="2" t="s">
        <v>5703</v>
      </c>
      <c r="I3904" s="2" t="s">
        <v>11796</v>
      </c>
      <c r="J3904" s="2" t="s">
        <v>5510</v>
      </c>
      <c r="K3904" s="2" t="s">
        <v>512</v>
      </c>
      <c r="L3904" s="3">
        <v>38</v>
      </c>
      <c r="M3904" s="3">
        <v>39.9</v>
      </c>
      <c r="N3904" s="3">
        <v>79.99</v>
      </c>
      <c r="O3904" s="2" t="s">
        <v>97</v>
      </c>
      <c r="P3904" s="2" t="s">
        <v>950</v>
      </c>
      <c r="Q3904" s="2" t="s">
        <v>99</v>
      </c>
      <c r="R3904" s="2" t="s">
        <v>100</v>
      </c>
      <c r="S3904" s="2" t="s">
        <v>11811</v>
      </c>
      <c r="T3904" s="2" t="s">
        <v>280</v>
      </c>
      <c r="U3904" s="2" t="s">
        <v>102</v>
      </c>
      <c r="V3904" s="2" t="s">
        <v>146</v>
      </c>
      <c r="W3904" s="2" t="s">
        <v>104</v>
      </c>
      <c r="X3904" s="2" t="s">
        <v>100</v>
      </c>
      <c r="Y3904" s="2" t="s">
        <v>5567</v>
      </c>
      <c r="Z3904" s="4">
        <v>735</v>
      </c>
      <c r="AA3904" s="4">
        <f>=ROUNDDOWN(91.875,0)</f>
      </c>
      <c r="AB3904" s="5">
        <v>8</v>
      </c>
      <c r="AC3904" s="2" t="s">
        <v>100</v>
      </c>
      <c r="AD3904" s="4"/>
      <c r="AE3904" s="4"/>
      <c r="AF3904" s="6">
        <v>67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>
        <v>172</v>
      </c>
      <c r="BK3904" s="8">
        <v>7186.82</v>
      </c>
      <c r="BL3904" s="2" t="s">
        <v>11812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207</v>
      </c>
      <c r="BV3904" s="2" t="s">
        <v>97</v>
      </c>
      <c r="BW3904" s="2" t="s">
        <v>100</v>
      </c>
      <c r="BX3904" s="2" t="s">
        <v>100</v>
      </c>
      <c r="BY3904" s="2" t="s">
        <v>113</v>
      </c>
      <c r="BZ3904" s="2" t="s">
        <v>100</v>
      </c>
    </row>
    <row r="3905">
      <c r="A3905" s="2" t="s">
        <v>11813</v>
      </c>
      <c r="B3905" s="2" t="s">
        <v>11586</v>
      </c>
      <c r="C3905" s="2" t="s">
        <v>5702</v>
      </c>
      <c r="D3905" s="2" t="s">
        <v>11587</v>
      </c>
      <c r="E3905" s="2" t="s">
        <v>5508</v>
      </c>
      <c r="F3905" s="2" t="s">
        <v>5703</v>
      </c>
      <c r="G3905" s="2" t="s">
        <v>5703</v>
      </c>
      <c r="H3905" s="2" t="s">
        <v>5703</v>
      </c>
      <c r="I3905" s="2" t="s">
        <v>11796</v>
      </c>
      <c r="J3905" s="2" t="s">
        <v>5510</v>
      </c>
      <c r="K3905" s="2" t="s">
        <v>189</v>
      </c>
      <c r="L3905" s="3">
        <v>38</v>
      </c>
      <c r="M3905" s="3">
        <v>39.9</v>
      </c>
      <c r="N3905" s="3">
        <v>79.99</v>
      </c>
      <c r="O3905" s="2" t="s">
        <v>97</v>
      </c>
      <c r="P3905" s="2" t="s">
        <v>950</v>
      </c>
      <c r="Q3905" s="2" t="s">
        <v>99</v>
      </c>
      <c r="R3905" s="2" t="s">
        <v>100</v>
      </c>
      <c r="S3905" s="2" t="s">
        <v>5717</v>
      </c>
      <c r="T3905" s="2" t="s">
        <v>280</v>
      </c>
      <c r="U3905" s="2" t="s">
        <v>102</v>
      </c>
      <c r="V3905" s="2" t="s">
        <v>146</v>
      </c>
      <c r="W3905" s="2" t="s">
        <v>104</v>
      </c>
      <c r="X3905" s="2" t="s">
        <v>100</v>
      </c>
      <c r="Y3905" s="2" t="s">
        <v>5567</v>
      </c>
      <c r="Z3905" s="4">
        <v>450</v>
      </c>
      <c r="AA3905" s="4">
        <f>=ROUNDDOWN(75,0)</f>
      </c>
      <c r="AB3905" s="5">
        <v>6</v>
      </c>
      <c r="AC3905" s="2" t="s">
        <v>100</v>
      </c>
      <c r="AD3905" s="4"/>
      <c r="AE3905" s="4"/>
      <c r="AF3905" s="6">
        <v>67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/>
      <c r="BJ3905" s="4">
        <v>143</v>
      </c>
      <c r="BK3905" s="8">
        <v>6156.65</v>
      </c>
      <c r="BL3905" s="2" t="s">
        <v>11814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207</v>
      </c>
      <c r="BV3905" s="2" t="s">
        <v>97</v>
      </c>
      <c r="BW3905" s="2" t="s">
        <v>100</v>
      </c>
      <c r="BX3905" s="2" t="s">
        <v>100</v>
      </c>
      <c r="BY3905" s="2" t="s">
        <v>113</v>
      </c>
      <c r="BZ3905" s="2" t="s">
        <v>100</v>
      </c>
    </row>
    <row r="3906">
      <c r="A3906" s="2" t="s">
        <v>11815</v>
      </c>
      <c r="B3906" s="2" t="s">
        <v>11586</v>
      </c>
      <c r="C3906" s="2" t="s">
        <v>2541</v>
      </c>
      <c r="D3906" s="2" t="s">
        <v>11587</v>
      </c>
      <c r="E3906" s="2" t="s">
        <v>5508</v>
      </c>
      <c r="F3906" s="2" t="s">
        <v>11816</v>
      </c>
      <c r="G3906" s="2" t="s">
        <v>11816</v>
      </c>
      <c r="H3906" s="2" t="s">
        <v>11816</v>
      </c>
      <c r="I3906" s="2" t="s">
        <v>11817</v>
      </c>
      <c r="J3906" s="2" t="s">
        <v>5510</v>
      </c>
      <c r="K3906" s="2" t="s">
        <v>278</v>
      </c>
      <c r="L3906" s="3">
        <v>23.09</v>
      </c>
      <c r="M3906" s="3">
        <v>24.24</v>
      </c>
      <c r="N3906" s="3">
        <v>54.99</v>
      </c>
      <c r="O3906" s="2" t="s">
        <v>97</v>
      </c>
      <c r="P3906" s="2" t="s">
        <v>119</v>
      </c>
      <c r="Q3906" s="2" t="s">
        <v>99</v>
      </c>
      <c r="R3906" s="2" t="s">
        <v>100</v>
      </c>
      <c r="S3906" s="2" t="s">
        <v>11818</v>
      </c>
      <c r="T3906" s="2" t="s">
        <v>280</v>
      </c>
      <c r="U3906" s="2" t="s">
        <v>102</v>
      </c>
      <c r="V3906" s="2" t="s">
        <v>146</v>
      </c>
      <c r="W3906" s="2" t="s">
        <v>183</v>
      </c>
      <c r="X3906" s="2" t="s">
        <v>561</v>
      </c>
      <c r="Y3906" s="2" t="s">
        <v>8520</v>
      </c>
      <c r="Z3906" s="4">
        <v>721</v>
      </c>
      <c r="AA3906" s="4">
        <f>=ROUNDDOWN(34.3333333333333,0)</f>
      </c>
      <c r="AB3906" s="5">
        <v>21</v>
      </c>
      <c r="AC3906" s="2" t="s">
        <v>2746</v>
      </c>
      <c r="AD3906" s="4">
        <v>380</v>
      </c>
      <c r="AE3906" s="4">
        <v>380</v>
      </c>
      <c r="AF3906" s="6">
        <v>73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/>
      <c r="BJ3906" s="4">
        <v>528</v>
      </c>
      <c r="BK3906" s="8">
        <v>13765.96</v>
      </c>
      <c r="BL3906" s="2" t="s">
        <v>11819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2480</v>
      </c>
      <c r="BV3906" s="2" t="s">
        <v>97</v>
      </c>
      <c r="BW3906" s="2" t="s">
        <v>100</v>
      </c>
      <c r="BX3906" s="2" t="s">
        <v>100</v>
      </c>
      <c r="BY3906" s="2" t="s">
        <v>113</v>
      </c>
      <c r="BZ3906" s="2" t="s">
        <v>100</v>
      </c>
    </row>
    <row r="3907">
      <c r="A3907" s="2" t="s">
        <v>11820</v>
      </c>
      <c r="B3907" s="2" t="s">
        <v>11586</v>
      </c>
      <c r="C3907" s="2" t="s">
        <v>2541</v>
      </c>
      <c r="D3907" s="2" t="s">
        <v>11587</v>
      </c>
      <c r="E3907" s="2" t="s">
        <v>5508</v>
      </c>
      <c r="F3907" s="2" t="s">
        <v>11816</v>
      </c>
      <c r="G3907" s="2" t="s">
        <v>11816</v>
      </c>
      <c r="H3907" s="2" t="s">
        <v>11816</v>
      </c>
      <c r="I3907" s="2" t="s">
        <v>11817</v>
      </c>
      <c r="J3907" s="2" t="s">
        <v>5510</v>
      </c>
      <c r="K3907" s="2" t="s">
        <v>198</v>
      </c>
      <c r="L3907" s="3">
        <v>23.09</v>
      </c>
      <c r="M3907" s="3">
        <v>24.24</v>
      </c>
      <c r="N3907" s="3">
        <v>54.99</v>
      </c>
      <c r="O3907" s="2" t="s">
        <v>97</v>
      </c>
      <c r="P3907" s="2" t="s">
        <v>119</v>
      </c>
      <c r="Q3907" s="2" t="s">
        <v>99</v>
      </c>
      <c r="R3907" s="2" t="s">
        <v>100</v>
      </c>
      <c r="S3907" s="2" t="s">
        <v>11821</v>
      </c>
      <c r="T3907" s="2" t="s">
        <v>280</v>
      </c>
      <c r="U3907" s="2" t="s">
        <v>102</v>
      </c>
      <c r="V3907" s="2" t="s">
        <v>146</v>
      </c>
      <c r="W3907" s="2" t="s">
        <v>183</v>
      </c>
      <c r="X3907" s="2" t="s">
        <v>561</v>
      </c>
      <c r="Y3907" s="2" t="s">
        <v>8520</v>
      </c>
      <c r="Z3907" s="4">
        <v>321</v>
      </c>
      <c r="AA3907" s="4">
        <f>=ROUNDDOWN(22.9285714285714,0)</f>
      </c>
      <c r="AB3907" s="5">
        <v>14</v>
      </c>
      <c r="AC3907" s="2" t="s">
        <v>2746</v>
      </c>
      <c r="AD3907" s="4">
        <v>570</v>
      </c>
      <c r="AE3907" s="4">
        <v>570</v>
      </c>
      <c r="AF3907" s="6">
        <v>73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/>
      <c r="BJ3907" s="4">
        <v>388</v>
      </c>
      <c r="BK3907" s="8">
        <v>10053.85</v>
      </c>
      <c r="BL3907" s="2" t="s">
        <v>6751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2480</v>
      </c>
      <c r="BV3907" s="2" t="s">
        <v>97</v>
      </c>
      <c r="BW3907" s="2" t="s">
        <v>100</v>
      </c>
      <c r="BX3907" s="2" t="s">
        <v>100</v>
      </c>
      <c r="BY3907" s="2" t="s">
        <v>113</v>
      </c>
      <c r="BZ3907" s="2" t="s">
        <v>100</v>
      </c>
    </row>
    <row r="3908">
      <c r="A3908" s="2" t="s">
        <v>11822</v>
      </c>
      <c r="B3908" s="2" t="s">
        <v>11586</v>
      </c>
      <c r="C3908" s="2" t="s">
        <v>2541</v>
      </c>
      <c r="D3908" s="2" t="s">
        <v>11587</v>
      </c>
      <c r="E3908" s="2" t="s">
        <v>5508</v>
      </c>
      <c r="F3908" s="2" t="s">
        <v>11816</v>
      </c>
      <c r="G3908" s="2" t="s">
        <v>11816</v>
      </c>
      <c r="H3908" s="2" t="s">
        <v>11816</v>
      </c>
      <c r="I3908" s="2" t="s">
        <v>11817</v>
      </c>
      <c r="J3908" s="2" t="s">
        <v>5510</v>
      </c>
      <c r="K3908" s="2" t="s">
        <v>858</v>
      </c>
      <c r="L3908" s="3">
        <v>23.09</v>
      </c>
      <c r="M3908" s="3">
        <v>24.24</v>
      </c>
      <c r="N3908" s="3">
        <v>54.99</v>
      </c>
      <c r="O3908" s="2" t="s">
        <v>97</v>
      </c>
      <c r="P3908" s="2" t="s">
        <v>119</v>
      </c>
      <c r="Q3908" s="2" t="s">
        <v>99</v>
      </c>
      <c r="R3908" s="2" t="s">
        <v>100</v>
      </c>
      <c r="S3908" s="2" t="s">
        <v>11823</v>
      </c>
      <c r="T3908" s="2" t="s">
        <v>280</v>
      </c>
      <c r="U3908" s="2" t="s">
        <v>102</v>
      </c>
      <c r="V3908" s="2" t="s">
        <v>146</v>
      </c>
      <c r="W3908" s="2" t="s">
        <v>183</v>
      </c>
      <c r="X3908" s="2" t="s">
        <v>561</v>
      </c>
      <c r="Y3908" s="2" t="s">
        <v>8520</v>
      </c>
      <c r="Z3908" s="4">
        <v>572</v>
      </c>
      <c r="AA3908" s="4">
        <f>=ROUNDDOWN(52,0)</f>
      </c>
      <c r="AB3908" s="5">
        <v>11</v>
      </c>
      <c r="AC3908" s="2" t="s">
        <v>100</v>
      </c>
      <c r="AD3908" s="4"/>
      <c r="AE3908" s="4"/>
      <c r="AF3908" s="6">
        <v>73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/>
      <c r="BJ3908" s="4">
        <v>280</v>
      </c>
      <c r="BK3908" s="8">
        <v>7251.48</v>
      </c>
      <c r="BL3908" s="2" t="s">
        <v>4698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2480</v>
      </c>
      <c r="BV3908" s="2" t="s">
        <v>97</v>
      </c>
      <c r="BW3908" s="2" t="s">
        <v>100</v>
      </c>
      <c r="BX3908" s="2" t="s">
        <v>100</v>
      </c>
      <c r="BY3908" s="2" t="s">
        <v>113</v>
      </c>
      <c r="BZ3908" s="2" t="s">
        <v>100</v>
      </c>
    </row>
    <row r="3909">
      <c r="A3909" s="2" t="s">
        <v>11824</v>
      </c>
      <c r="B3909" s="2" t="s">
        <v>11586</v>
      </c>
      <c r="C3909" s="2" t="s">
        <v>2541</v>
      </c>
      <c r="D3909" s="2" t="s">
        <v>11587</v>
      </c>
      <c r="E3909" s="2" t="s">
        <v>5508</v>
      </c>
      <c r="F3909" s="2" t="s">
        <v>11816</v>
      </c>
      <c r="G3909" s="2" t="s">
        <v>11816</v>
      </c>
      <c r="H3909" s="2" t="s">
        <v>11816</v>
      </c>
      <c r="I3909" s="2" t="s">
        <v>11817</v>
      </c>
      <c r="J3909" s="2" t="s">
        <v>5510</v>
      </c>
      <c r="K3909" s="2" t="s">
        <v>189</v>
      </c>
      <c r="L3909" s="3">
        <v>23.09</v>
      </c>
      <c r="M3909" s="3">
        <v>24.24</v>
      </c>
      <c r="N3909" s="3">
        <v>54.99</v>
      </c>
      <c r="O3909" s="2" t="s">
        <v>97</v>
      </c>
      <c r="P3909" s="2" t="s">
        <v>119</v>
      </c>
      <c r="Q3909" s="2" t="s">
        <v>99</v>
      </c>
      <c r="R3909" s="2" t="s">
        <v>100</v>
      </c>
      <c r="S3909" s="2" t="s">
        <v>11825</v>
      </c>
      <c r="T3909" s="2" t="s">
        <v>280</v>
      </c>
      <c r="U3909" s="2" t="s">
        <v>102</v>
      </c>
      <c r="V3909" s="2" t="s">
        <v>146</v>
      </c>
      <c r="W3909" s="2" t="s">
        <v>183</v>
      </c>
      <c r="X3909" s="2" t="s">
        <v>561</v>
      </c>
      <c r="Y3909" s="2" t="s">
        <v>8520</v>
      </c>
      <c r="Z3909" s="4">
        <v>334</v>
      </c>
      <c r="AA3909" s="4">
        <f>=ROUNDDOWN(27.8333333333333,0)</f>
      </c>
      <c r="AB3909" s="5">
        <v>12</v>
      </c>
      <c r="AC3909" s="2" t="s">
        <v>2746</v>
      </c>
      <c r="AD3909" s="4">
        <v>190</v>
      </c>
      <c r="AE3909" s="4">
        <v>190</v>
      </c>
      <c r="AF3909" s="6">
        <v>73</v>
      </c>
      <c r="AG3909" s="6"/>
      <c r="AH3909" s="7">
        <v>0.7701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/>
      <c r="BJ3909" s="4">
        <v>257</v>
      </c>
      <c r="BK3909" s="8">
        <v>6655.38</v>
      </c>
      <c r="BL3909" s="2" t="s">
        <v>4698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2480</v>
      </c>
      <c r="BV3909" s="2" t="s">
        <v>97</v>
      </c>
      <c r="BW3909" s="2" t="s">
        <v>100</v>
      </c>
      <c r="BX3909" s="2" t="s">
        <v>100</v>
      </c>
      <c r="BY3909" s="2" t="s">
        <v>113</v>
      </c>
      <c r="BZ3909" s="2" t="s">
        <v>100</v>
      </c>
    </row>
    <row r="3910">
      <c r="A3910" s="2" t="s">
        <v>11826</v>
      </c>
      <c r="B3910" s="2" t="s">
        <v>11586</v>
      </c>
      <c r="C3910" s="2" t="s">
        <v>3413</v>
      </c>
      <c r="D3910" s="2" t="s">
        <v>11587</v>
      </c>
      <c r="E3910" s="2" t="s">
        <v>5508</v>
      </c>
      <c r="F3910" s="2" t="s">
        <v>11827</v>
      </c>
      <c r="G3910" s="2" t="s">
        <v>11827</v>
      </c>
      <c r="H3910" s="2" t="s">
        <v>11827</v>
      </c>
      <c r="I3910" s="2" t="s">
        <v>11828</v>
      </c>
      <c r="J3910" s="2" t="s">
        <v>5510</v>
      </c>
      <c r="K3910" s="2" t="s">
        <v>3269</v>
      </c>
      <c r="L3910" s="3">
        <v>17.83</v>
      </c>
      <c r="M3910" s="3">
        <v>18.72</v>
      </c>
      <c r="N3910" s="3">
        <v>28.99</v>
      </c>
      <c r="O3910" s="2" t="s">
        <v>97</v>
      </c>
      <c r="P3910" s="2" t="s">
        <v>2478</v>
      </c>
      <c r="Q3910" s="2" t="s">
        <v>99</v>
      </c>
      <c r="R3910" s="2" t="s">
        <v>100</v>
      </c>
      <c r="S3910" s="2" t="s">
        <v>11829</v>
      </c>
      <c r="T3910" s="2" t="s">
        <v>280</v>
      </c>
      <c r="U3910" s="2" t="s">
        <v>102</v>
      </c>
      <c r="V3910" s="2" t="s">
        <v>146</v>
      </c>
      <c r="W3910" s="2" t="s">
        <v>183</v>
      </c>
      <c r="X3910" s="2" t="s">
        <v>100</v>
      </c>
      <c r="Y3910" s="2" t="s">
        <v>11830</v>
      </c>
      <c r="Z3910" s="4">
        <v>1059</v>
      </c>
      <c r="AA3910" s="4">
        <f>=ROUNDDOWN(378.214285714286,0)</f>
      </c>
      <c r="AB3910" s="5">
        <v>2.8</v>
      </c>
      <c r="AC3910" s="2" t="s">
        <v>100</v>
      </c>
      <c r="AD3910" s="4"/>
      <c r="AE3910" s="4"/>
      <c r="AF3910" s="6">
        <v>65</v>
      </c>
      <c r="AG3910" s="6"/>
      <c r="AH3910" s="7">
        <v>0.6385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/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/>
      <c r="BJ3910" s="4">
        <v>88</v>
      </c>
      <c r="BK3910" s="8">
        <v>1530.32</v>
      </c>
      <c r="BL3910" s="2" t="s">
        <v>9565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2480</v>
      </c>
      <c r="BV3910" s="2" t="s">
        <v>97</v>
      </c>
      <c r="BW3910" s="2" t="s">
        <v>100</v>
      </c>
      <c r="BX3910" s="2" t="s">
        <v>100</v>
      </c>
      <c r="BY3910" s="2" t="s">
        <v>113</v>
      </c>
      <c r="BZ3910" s="2" t="s">
        <v>245</v>
      </c>
    </row>
    <row r="3911">
      <c r="A3911" s="2" t="s">
        <v>11831</v>
      </c>
      <c r="B3911" s="2" t="s">
        <v>11586</v>
      </c>
      <c r="C3911" s="2" t="s">
        <v>3413</v>
      </c>
      <c r="D3911" s="2" t="s">
        <v>11587</v>
      </c>
      <c r="E3911" s="2" t="s">
        <v>5508</v>
      </c>
      <c r="F3911" s="2" t="s">
        <v>11827</v>
      </c>
      <c r="G3911" s="2" t="s">
        <v>11827</v>
      </c>
      <c r="H3911" s="2" t="s">
        <v>11827</v>
      </c>
      <c r="I3911" s="2" t="s">
        <v>11832</v>
      </c>
      <c r="J3911" s="2" t="s">
        <v>11758</v>
      </c>
      <c r="K3911" s="2" t="s">
        <v>3269</v>
      </c>
      <c r="L3911" s="3">
        <v>22.29</v>
      </c>
      <c r="M3911" s="3">
        <v>23.4</v>
      </c>
      <c r="N3911" s="3">
        <v>43.99</v>
      </c>
      <c r="O3911" s="2" t="s">
        <v>97</v>
      </c>
      <c r="P3911" s="2" t="s">
        <v>2478</v>
      </c>
      <c r="Q3911" s="2" t="s">
        <v>99</v>
      </c>
      <c r="R3911" s="2" t="s">
        <v>100</v>
      </c>
      <c r="S3911" s="2" t="s">
        <v>11829</v>
      </c>
      <c r="T3911" s="2" t="s">
        <v>280</v>
      </c>
      <c r="U3911" s="2" t="s">
        <v>1478</v>
      </c>
      <c r="V3911" s="2" t="s">
        <v>146</v>
      </c>
      <c r="W3911" s="2" t="s">
        <v>183</v>
      </c>
      <c r="X3911" s="2" t="s">
        <v>100</v>
      </c>
      <c r="Y3911" s="2" t="s">
        <v>11833</v>
      </c>
      <c r="Z3911" s="4">
        <v>521</v>
      </c>
      <c r="AA3911" s="4">
        <f>=ROUNDDOWN(15.7878787878788,0)</f>
      </c>
      <c r="AB3911" s="5">
        <v>33</v>
      </c>
      <c r="AC3911" s="2" t="s">
        <v>241</v>
      </c>
      <c r="AD3911" s="4">
        <v>960</v>
      </c>
      <c r="AE3911" s="4">
        <v>960</v>
      </c>
      <c r="AF3911" s="6">
        <v>65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/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/>
      <c r="BJ3911" s="4">
        <v>67</v>
      </c>
      <c r="BK3911" s="8">
        <v>1746.79</v>
      </c>
      <c r="BL3911" s="2" t="s">
        <v>3691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2480</v>
      </c>
      <c r="BV3911" s="2" t="s">
        <v>97</v>
      </c>
      <c r="BW3911" s="2" t="s">
        <v>100</v>
      </c>
      <c r="BX3911" s="2" t="s">
        <v>100</v>
      </c>
      <c r="BY3911" s="2" t="s">
        <v>113</v>
      </c>
      <c r="BZ3911" s="2" t="s">
        <v>245</v>
      </c>
    </row>
    <row r="3912">
      <c r="A3912" s="2" t="s">
        <v>11834</v>
      </c>
      <c r="B3912" s="2" t="s">
        <v>11586</v>
      </c>
      <c r="C3912" s="2" t="s">
        <v>3413</v>
      </c>
      <c r="D3912" s="2" t="s">
        <v>11587</v>
      </c>
      <c r="E3912" s="2" t="s">
        <v>5508</v>
      </c>
      <c r="F3912" s="2" t="s">
        <v>11827</v>
      </c>
      <c r="G3912" s="2" t="s">
        <v>11827</v>
      </c>
      <c r="H3912" s="2" t="s">
        <v>11827</v>
      </c>
      <c r="I3912" s="2" t="s">
        <v>11835</v>
      </c>
      <c r="J3912" s="2" t="s">
        <v>11836</v>
      </c>
      <c r="K3912" s="2" t="s">
        <v>3269</v>
      </c>
      <c r="L3912" s="3">
        <v>22.29</v>
      </c>
      <c r="M3912" s="3">
        <v>23.4</v>
      </c>
      <c r="N3912" s="3">
        <v>39.99</v>
      </c>
      <c r="O3912" s="2" t="s">
        <v>97</v>
      </c>
      <c r="P3912" s="2" t="s">
        <v>2478</v>
      </c>
      <c r="Q3912" s="2" t="s">
        <v>99</v>
      </c>
      <c r="R3912" s="2" t="s">
        <v>100</v>
      </c>
      <c r="S3912" s="2" t="s">
        <v>11829</v>
      </c>
      <c r="T3912" s="2" t="s">
        <v>280</v>
      </c>
      <c r="U3912" s="2" t="s">
        <v>402</v>
      </c>
      <c r="V3912" s="2" t="s">
        <v>146</v>
      </c>
      <c r="W3912" s="2" t="s">
        <v>183</v>
      </c>
      <c r="X3912" s="2" t="s">
        <v>100</v>
      </c>
      <c r="Y3912" s="2" t="s">
        <v>11833</v>
      </c>
      <c r="Z3912" s="4">
        <v>554</v>
      </c>
      <c r="AA3912" s="4">
        <f>=ROUNDDOWN(27.7,0)</f>
      </c>
      <c r="AB3912" s="5">
        <v>20</v>
      </c>
      <c r="AC3912" s="2" t="s">
        <v>241</v>
      </c>
      <c r="AD3912" s="4">
        <v>288</v>
      </c>
      <c r="AE3912" s="4">
        <v>288</v>
      </c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 t="s">
        <v>100</v>
      </c>
      <c r="AW3912" s="8" t="s">
        <v>100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/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/>
      <c r="BJ3912" s="4">
        <v>26</v>
      </c>
      <c r="BK3912" s="8">
        <v>623.74</v>
      </c>
      <c r="BL3912" s="2" t="s">
        <v>9565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2480</v>
      </c>
      <c r="BV3912" s="2" t="s">
        <v>97</v>
      </c>
      <c r="BW3912" s="2" t="s">
        <v>100</v>
      </c>
      <c r="BX3912" s="2" t="s">
        <v>100</v>
      </c>
      <c r="BY3912" s="2" t="s">
        <v>113</v>
      </c>
      <c r="BZ3912" s="2" t="s">
        <v>245</v>
      </c>
    </row>
    <row r="3913">
      <c r="A3913" s="2" t="s">
        <v>11837</v>
      </c>
      <c r="B3913" s="2" t="s">
        <v>11586</v>
      </c>
      <c r="C3913" s="2" t="s">
        <v>3413</v>
      </c>
      <c r="D3913" s="2" t="s">
        <v>11587</v>
      </c>
      <c r="E3913" s="2" t="s">
        <v>5508</v>
      </c>
      <c r="F3913" s="2" t="s">
        <v>11827</v>
      </c>
      <c r="G3913" s="2" t="s">
        <v>11827</v>
      </c>
      <c r="H3913" s="2" t="s">
        <v>11827</v>
      </c>
      <c r="I3913" s="2" t="s">
        <v>11828</v>
      </c>
      <c r="J3913" s="2" t="s">
        <v>5510</v>
      </c>
      <c r="K3913" s="2" t="s">
        <v>432</v>
      </c>
      <c r="L3913" s="3">
        <v>17.83</v>
      </c>
      <c r="M3913" s="3">
        <v>18.72</v>
      </c>
      <c r="N3913" s="3">
        <v>28.99</v>
      </c>
      <c r="O3913" s="2" t="s">
        <v>97</v>
      </c>
      <c r="P3913" s="2" t="s">
        <v>2478</v>
      </c>
      <c r="Q3913" s="2" t="s">
        <v>99</v>
      </c>
      <c r="R3913" s="2" t="s">
        <v>100</v>
      </c>
      <c r="S3913" s="2" t="s">
        <v>11838</v>
      </c>
      <c r="T3913" s="2" t="s">
        <v>280</v>
      </c>
      <c r="U3913" s="2" t="s">
        <v>102</v>
      </c>
      <c r="V3913" s="2" t="s">
        <v>146</v>
      </c>
      <c r="W3913" s="2" t="s">
        <v>183</v>
      </c>
      <c r="X3913" s="2" t="s">
        <v>100</v>
      </c>
      <c r="Y3913" s="2" t="s">
        <v>11830</v>
      </c>
      <c r="Z3913" s="4">
        <v>536</v>
      </c>
      <c r="AA3913" s="4">
        <f>=ROUNDDOWN(191.428571428571,0)</f>
      </c>
      <c r="AB3913" s="5">
        <v>2.8</v>
      </c>
      <c r="AC3913" s="2" t="s">
        <v>100</v>
      </c>
      <c r="AD3913" s="4"/>
      <c r="AE3913" s="4"/>
      <c r="AF3913" s="6">
        <v>65</v>
      </c>
      <c r="AG3913" s="6"/>
      <c r="AH3913" s="7">
        <v>0.6385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/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/>
      <c r="BJ3913" s="4">
        <v>38</v>
      </c>
      <c r="BK3913" s="8">
        <v>663.65</v>
      </c>
      <c r="BL3913" s="2" t="s">
        <v>11839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2480</v>
      </c>
      <c r="BV3913" s="2" t="s">
        <v>97</v>
      </c>
      <c r="BW3913" s="2" t="s">
        <v>100</v>
      </c>
      <c r="BX3913" s="2" t="s">
        <v>100</v>
      </c>
      <c r="BY3913" s="2" t="s">
        <v>113</v>
      </c>
      <c r="BZ3913" s="2" t="s">
        <v>245</v>
      </c>
    </row>
    <row r="3914">
      <c r="A3914" s="2" t="s">
        <v>11840</v>
      </c>
      <c r="B3914" s="2" t="s">
        <v>11586</v>
      </c>
      <c r="C3914" s="2" t="s">
        <v>3413</v>
      </c>
      <c r="D3914" s="2" t="s">
        <v>11587</v>
      </c>
      <c r="E3914" s="2" t="s">
        <v>5508</v>
      </c>
      <c r="F3914" s="2" t="s">
        <v>11827</v>
      </c>
      <c r="G3914" s="2" t="s">
        <v>11827</v>
      </c>
      <c r="H3914" s="2" t="s">
        <v>11827</v>
      </c>
      <c r="I3914" s="2" t="s">
        <v>11832</v>
      </c>
      <c r="J3914" s="2" t="s">
        <v>11758</v>
      </c>
      <c r="K3914" s="2" t="s">
        <v>432</v>
      </c>
      <c r="L3914" s="3">
        <v>22.29</v>
      </c>
      <c r="M3914" s="3">
        <v>23.4</v>
      </c>
      <c r="N3914" s="3">
        <v>43.99</v>
      </c>
      <c r="O3914" s="2" t="s">
        <v>97</v>
      </c>
      <c r="P3914" s="2" t="s">
        <v>2478</v>
      </c>
      <c r="Q3914" s="2" t="s">
        <v>99</v>
      </c>
      <c r="R3914" s="2" t="s">
        <v>100</v>
      </c>
      <c r="S3914" s="2" t="s">
        <v>11838</v>
      </c>
      <c r="T3914" s="2" t="s">
        <v>280</v>
      </c>
      <c r="U3914" s="2" t="s">
        <v>1478</v>
      </c>
      <c r="V3914" s="2" t="s">
        <v>146</v>
      </c>
      <c r="W3914" s="2" t="s">
        <v>183</v>
      </c>
      <c r="X3914" s="2" t="s">
        <v>100</v>
      </c>
      <c r="Y3914" s="2" t="s">
        <v>11833</v>
      </c>
      <c r="Z3914" s="4">
        <v>146</v>
      </c>
      <c r="AA3914" s="4">
        <f>=ROUNDDOWN(5.40740740740741,0)</f>
      </c>
      <c r="AB3914" s="5">
        <v>27</v>
      </c>
      <c r="AC3914" s="2" t="s">
        <v>241</v>
      </c>
      <c r="AD3914" s="4">
        <v>384</v>
      </c>
      <c r="AE3914" s="4">
        <v>384</v>
      </c>
      <c r="AF3914" s="6">
        <v>65</v>
      </c>
      <c r="AG3914" s="6"/>
      <c r="AH3914" s="7">
        <v>0.9634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100</v>
      </c>
      <c r="AW3914" s="8" t="s">
        <v>100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/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/>
      <c r="BJ3914" s="4">
        <v>124</v>
      </c>
      <c r="BK3914" s="8">
        <v>3172.2</v>
      </c>
      <c r="BL3914" s="2" t="s">
        <v>11841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2480</v>
      </c>
      <c r="BV3914" s="2" t="s">
        <v>97</v>
      </c>
      <c r="BW3914" s="2" t="s">
        <v>100</v>
      </c>
      <c r="BX3914" s="2" t="s">
        <v>100</v>
      </c>
      <c r="BY3914" s="2" t="s">
        <v>113</v>
      </c>
      <c r="BZ3914" s="2" t="s">
        <v>245</v>
      </c>
    </row>
    <row r="3915">
      <c r="A3915" s="2" t="s">
        <v>11842</v>
      </c>
      <c r="B3915" s="2" t="s">
        <v>11586</v>
      </c>
      <c r="C3915" s="2" t="s">
        <v>3413</v>
      </c>
      <c r="D3915" s="2" t="s">
        <v>11587</v>
      </c>
      <c r="E3915" s="2" t="s">
        <v>5508</v>
      </c>
      <c r="F3915" s="2" t="s">
        <v>11827</v>
      </c>
      <c r="G3915" s="2" t="s">
        <v>11827</v>
      </c>
      <c r="H3915" s="2" t="s">
        <v>11827</v>
      </c>
      <c r="I3915" s="2" t="s">
        <v>11828</v>
      </c>
      <c r="J3915" s="2" t="s">
        <v>5510</v>
      </c>
      <c r="K3915" s="2" t="s">
        <v>198</v>
      </c>
      <c r="L3915" s="3">
        <v>17.83</v>
      </c>
      <c r="M3915" s="3">
        <v>18.72</v>
      </c>
      <c r="N3915" s="3">
        <v>28.99</v>
      </c>
      <c r="O3915" s="2" t="s">
        <v>97</v>
      </c>
      <c r="P3915" s="2" t="s">
        <v>2478</v>
      </c>
      <c r="Q3915" s="2" t="s">
        <v>99</v>
      </c>
      <c r="R3915" s="2" t="s">
        <v>100</v>
      </c>
      <c r="S3915" s="2" t="s">
        <v>11843</v>
      </c>
      <c r="T3915" s="2" t="s">
        <v>280</v>
      </c>
      <c r="U3915" s="2" t="s">
        <v>102</v>
      </c>
      <c r="V3915" s="2" t="s">
        <v>146</v>
      </c>
      <c r="W3915" s="2" t="s">
        <v>183</v>
      </c>
      <c r="X3915" s="2" t="s">
        <v>100</v>
      </c>
      <c r="Y3915" s="2" t="s">
        <v>11830</v>
      </c>
      <c r="Z3915" s="4">
        <v>2381</v>
      </c>
      <c r="AA3915" s="4">
        <f>=ROUNDDOWN(2381,0)</f>
      </c>
      <c r="AB3915" s="5">
        <v>1</v>
      </c>
      <c r="AC3915" s="2" t="s">
        <v>241</v>
      </c>
      <c r="AD3915" s="4">
        <v>576</v>
      </c>
      <c r="AE3915" s="4">
        <v>576</v>
      </c>
      <c r="AF3915" s="6">
        <v>65</v>
      </c>
      <c r="AG3915" s="6"/>
      <c r="AH3915" s="7">
        <v>0.6385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/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/>
      <c r="BJ3915" s="4">
        <v>2</v>
      </c>
      <c r="BK3915" s="8">
        <v>39.32</v>
      </c>
      <c r="BL3915" s="2" t="s">
        <v>2533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2480</v>
      </c>
      <c r="BV3915" s="2" t="s">
        <v>97</v>
      </c>
      <c r="BW3915" s="2" t="s">
        <v>100</v>
      </c>
      <c r="BX3915" s="2" t="s">
        <v>100</v>
      </c>
      <c r="BY3915" s="2" t="s">
        <v>113</v>
      </c>
      <c r="BZ3915" s="2" t="s">
        <v>245</v>
      </c>
    </row>
    <row r="3916">
      <c r="A3916" s="2" t="s">
        <v>11844</v>
      </c>
      <c r="B3916" s="2" t="s">
        <v>11586</v>
      </c>
      <c r="C3916" s="2" t="s">
        <v>3413</v>
      </c>
      <c r="D3916" s="2" t="s">
        <v>11587</v>
      </c>
      <c r="E3916" s="2" t="s">
        <v>5508</v>
      </c>
      <c r="F3916" s="2" t="s">
        <v>11827</v>
      </c>
      <c r="G3916" s="2" t="s">
        <v>11827</v>
      </c>
      <c r="H3916" s="2" t="s">
        <v>11827</v>
      </c>
      <c r="I3916" s="2" t="s">
        <v>11832</v>
      </c>
      <c r="J3916" s="2" t="s">
        <v>11758</v>
      </c>
      <c r="K3916" s="2" t="s">
        <v>198</v>
      </c>
      <c r="L3916" s="3">
        <v>22.29</v>
      </c>
      <c r="M3916" s="3">
        <v>23.4</v>
      </c>
      <c r="N3916" s="3">
        <v>43.99</v>
      </c>
      <c r="O3916" s="2" t="s">
        <v>97</v>
      </c>
      <c r="P3916" s="2" t="s">
        <v>2478</v>
      </c>
      <c r="Q3916" s="2" t="s">
        <v>99</v>
      </c>
      <c r="R3916" s="2" t="s">
        <v>100</v>
      </c>
      <c r="S3916" s="2" t="s">
        <v>11843</v>
      </c>
      <c r="T3916" s="2" t="s">
        <v>280</v>
      </c>
      <c r="U3916" s="2" t="s">
        <v>1478</v>
      </c>
      <c r="V3916" s="2" t="s">
        <v>146</v>
      </c>
      <c r="W3916" s="2" t="s">
        <v>183</v>
      </c>
      <c r="X3916" s="2" t="s">
        <v>100</v>
      </c>
      <c r="Y3916" s="2" t="s">
        <v>11833</v>
      </c>
      <c r="Z3916" s="4">
        <v>924</v>
      </c>
      <c r="AA3916" s="4">
        <f>=ROUNDDOWN(14.4375,0)</f>
      </c>
      <c r="AB3916" s="5">
        <v>64</v>
      </c>
      <c r="AC3916" s="2" t="s">
        <v>100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/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/>
      <c r="BJ3916" s="4">
        <v>113</v>
      </c>
      <c r="BK3916" s="8">
        <v>2949.95</v>
      </c>
      <c r="BL3916" s="2" t="s">
        <v>3691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2480</v>
      </c>
      <c r="BV3916" s="2" t="s">
        <v>97</v>
      </c>
      <c r="BW3916" s="2" t="s">
        <v>100</v>
      </c>
      <c r="BX3916" s="2" t="s">
        <v>100</v>
      </c>
      <c r="BY3916" s="2" t="s">
        <v>113</v>
      </c>
      <c r="BZ3916" s="2" t="s">
        <v>245</v>
      </c>
    </row>
    <row r="3917">
      <c r="A3917" s="2" t="s">
        <v>11845</v>
      </c>
      <c r="B3917" s="2" t="s">
        <v>11586</v>
      </c>
      <c r="C3917" s="2" t="s">
        <v>3413</v>
      </c>
      <c r="D3917" s="2" t="s">
        <v>11587</v>
      </c>
      <c r="E3917" s="2" t="s">
        <v>5508</v>
      </c>
      <c r="F3917" s="2" t="s">
        <v>11827</v>
      </c>
      <c r="G3917" s="2" t="s">
        <v>11827</v>
      </c>
      <c r="H3917" s="2" t="s">
        <v>11827</v>
      </c>
      <c r="I3917" s="2" t="s">
        <v>11835</v>
      </c>
      <c r="J3917" s="2" t="s">
        <v>11836</v>
      </c>
      <c r="K3917" s="2" t="s">
        <v>198</v>
      </c>
      <c r="L3917" s="3">
        <v>22.29</v>
      </c>
      <c r="M3917" s="3">
        <v>23.4</v>
      </c>
      <c r="N3917" s="3">
        <v>39.99</v>
      </c>
      <c r="O3917" s="2" t="s">
        <v>97</v>
      </c>
      <c r="P3917" s="2" t="s">
        <v>2478</v>
      </c>
      <c r="Q3917" s="2" t="s">
        <v>99</v>
      </c>
      <c r="R3917" s="2" t="s">
        <v>100</v>
      </c>
      <c r="S3917" s="2" t="s">
        <v>11843</v>
      </c>
      <c r="T3917" s="2" t="s">
        <v>280</v>
      </c>
      <c r="U3917" s="2" t="s">
        <v>402</v>
      </c>
      <c r="V3917" s="2" t="s">
        <v>146</v>
      </c>
      <c r="W3917" s="2" t="s">
        <v>183</v>
      </c>
      <c r="X3917" s="2" t="s">
        <v>100</v>
      </c>
      <c r="Y3917" s="2" t="s">
        <v>11833</v>
      </c>
      <c r="Z3917" s="4">
        <v>878</v>
      </c>
      <c r="AA3917" s="4">
        <f>=ROUNDDOWN(878,0)</f>
      </c>
      <c r="AB3917" s="5">
        <v>1</v>
      </c>
      <c r="AC3917" s="2" t="s">
        <v>241</v>
      </c>
      <c r="AD3917" s="4">
        <v>576</v>
      </c>
      <c r="AE3917" s="4">
        <v>576</v>
      </c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/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/>
      <c r="BJ3917" s="4">
        <v>30</v>
      </c>
      <c r="BK3917" s="8">
        <v>719.7</v>
      </c>
      <c r="BL3917" s="2" t="s">
        <v>9565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2480</v>
      </c>
      <c r="BV3917" s="2" t="s">
        <v>97</v>
      </c>
      <c r="BW3917" s="2" t="s">
        <v>100</v>
      </c>
      <c r="BX3917" s="2" t="s">
        <v>100</v>
      </c>
      <c r="BY3917" s="2" t="s">
        <v>113</v>
      </c>
      <c r="BZ3917" s="2" t="s">
        <v>245</v>
      </c>
    </row>
    <row r="3918">
      <c r="A3918" s="2" t="s">
        <v>11846</v>
      </c>
      <c r="B3918" s="2" t="s">
        <v>11586</v>
      </c>
      <c r="C3918" s="2" t="s">
        <v>3413</v>
      </c>
      <c r="D3918" s="2" t="s">
        <v>11587</v>
      </c>
      <c r="E3918" s="2" t="s">
        <v>5508</v>
      </c>
      <c r="F3918" s="2" t="s">
        <v>11827</v>
      </c>
      <c r="G3918" s="2" t="s">
        <v>11827</v>
      </c>
      <c r="H3918" s="2" t="s">
        <v>11827</v>
      </c>
      <c r="I3918" s="2" t="s">
        <v>11828</v>
      </c>
      <c r="J3918" s="2" t="s">
        <v>5510</v>
      </c>
      <c r="K3918" s="2" t="s">
        <v>496</v>
      </c>
      <c r="L3918" s="3">
        <v>17.83</v>
      </c>
      <c r="M3918" s="3">
        <v>18.72</v>
      </c>
      <c r="N3918" s="3">
        <v>28.99</v>
      </c>
      <c r="O3918" s="2" t="s">
        <v>97</v>
      </c>
      <c r="P3918" s="2" t="s">
        <v>2478</v>
      </c>
      <c r="Q3918" s="2" t="s">
        <v>99</v>
      </c>
      <c r="R3918" s="2" t="s">
        <v>100</v>
      </c>
      <c r="S3918" s="2" t="s">
        <v>11847</v>
      </c>
      <c r="T3918" s="2" t="s">
        <v>280</v>
      </c>
      <c r="U3918" s="2" t="s">
        <v>102</v>
      </c>
      <c r="V3918" s="2" t="s">
        <v>146</v>
      </c>
      <c r="W3918" s="2" t="s">
        <v>183</v>
      </c>
      <c r="X3918" s="2" t="s">
        <v>100</v>
      </c>
      <c r="Y3918" s="2" t="s">
        <v>11830</v>
      </c>
      <c r="Z3918" s="4">
        <v>1196</v>
      </c>
      <c r="AA3918" s="4">
        <f>=ROUNDDOWN(1196,0)</f>
      </c>
      <c r="AB3918" s="5">
        <v>1</v>
      </c>
      <c r="AC3918" s="2" t="s">
        <v>241</v>
      </c>
      <c r="AD3918" s="4">
        <v>192</v>
      </c>
      <c r="AE3918" s="4">
        <v>192</v>
      </c>
      <c r="AF3918" s="6">
        <v>65</v>
      </c>
      <c r="AG3918" s="6"/>
      <c r="AH3918" s="7">
        <v>0.6385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/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/>
      <c r="BJ3918" s="4">
        <v>35</v>
      </c>
      <c r="BK3918" s="8">
        <v>611.48</v>
      </c>
      <c r="BL3918" s="2" t="s">
        <v>11839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2480</v>
      </c>
      <c r="BV3918" s="2" t="s">
        <v>97</v>
      </c>
      <c r="BW3918" s="2" t="s">
        <v>100</v>
      </c>
      <c r="BX3918" s="2" t="s">
        <v>100</v>
      </c>
      <c r="BY3918" s="2" t="s">
        <v>113</v>
      </c>
      <c r="BZ3918" s="2" t="s">
        <v>245</v>
      </c>
    </row>
    <row r="3919">
      <c r="A3919" s="2" t="s">
        <v>11848</v>
      </c>
      <c r="B3919" s="2" t="s">
        <v>11586</v>
      </c>
      <c r="C3919" s="2" t="s">
        <v>3413</v>
      </c>
      <c r="D3919" s="2" t="s">
        <v>11587</v>
      </c>
      <c r="E3919" s="2" t="s">
        <v>5508</v>
      </c>
      <c r="F3919" s="2" t="s">
        <v>11827</v>
      </c>
      <c r="G3919" s="2" t="s">
        <v>11827</v>
      </c>
      <c r="H3919" s="2" t="s">
        <v>11827</v>
      </c>
      <c r="I3919" s="2" t="s">
        <v>11832</v>
      </c>
      <c r="J3919" s="2" t="s">
        <v>11758</v>
      </c>
      <c r="K3919" s="2" t="s">
        <v>496</v>
      </c>
      <c r="L3919" s="3">
        <v>22.29</v>
      </c>
      <c r="M3919" s="3">
        <v>23.4</v>
      </c>
      <c r="N3919" s="3">
        <v>43.99</v>
      </c>
      <c r="O3919" s="2" t="s">
        <v>97</v>
      </c>
      <c r="P3919" s="2" t="s">
        <v>2478</v>
      </c>
      <c r="Q3919" s="2" t="s">
        <v>99</v>
      </c>
      <c r="R3919" s="2" t="s">
        <v>100</v>
      </c>
      <c r="S3919" s="2" t="s">
        <v>11847</v>
      </c>
      <c r="T3919" s="2" t="s">
        <v>280</v>
      </c>
      <c r="U3919" s="2" t="s">
        <v>1478</v>
      </c>
      <c r="V3919" s="2" t="s">
        <v>146</v>
      </c>
      <c r="W3919" s="2" t="s">
        <v>183</v>
      </c>
      <c r="X3919" s="2" t="s">
        <v>100</v>
      </c>
      <c r="Y3919" s="2" t="s">
        <v>11833</v>
      </c>
      <c r="Z3919" s="4">
        <v>532</v>
      </c>
      <c r="AA3919" s="4">
        <f>=ROUNDDOWN(7.09333333333333,0)</f>
      </c>
      <c r="AB3919" s="5">
        <v>75</v>
      </c>
      <c r="AC3919" s="2" t="s">
        <v>241</v>
      </c>
      <c r="AD3919" s="4">
        <v>288</v>
      </c>
      <c r="AE3919" s="4">
        <v>288</v>
      </c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/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/>
      <c r="BJ3919" s="4">
        <v>100</v>
      </c>
      <c r="BK3919" s="8">
        <v>2600.98</v>
      </c>
      <c r="BL3919" s="2" t="s">
        <v>11849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2480</v>
      </c>
      <c r="BV3919" s="2" t="s">
        <v>97</v>
      </c>
      <c r="BW3919" s="2" t="s">
        <v>100</v>
      </c>
      <c r="BX3919" s="2" t="s">
        <v>100</v>
      </c>
      <c r="BY3919" s="2" t="s">
        <v>113</v>
      </c>
      <c r="BZ3919" s="2" t="s">
        <v>245</v>
      </c>
    </row>
    <row r="3920">
      <c r="A3920" s="2" t="s">
        <v>11850</v>
      </c>
      <c r="B3920" s="2" t="s">
        <v>11586</v>
      </c>
      <c r="C3920" s="2" t="s">
        <v>3413</v>
      </c>
      <c r="D3920" s="2" t="s">
        <v>11587</v>
      </c>
      <c r="E3920" s="2" t="s">
        <v>5508</v>
      </c>
      <c r="F3920" s="2" t="s">
        <v>11827</v>
      </c>
      <c r="G3920" s="2" t="s">
        <v>11827</v>
      </c>
      <c r="H3920" s="2" t="s">
        <v>11827</v>
      </c>
      <c r="I3920" s="2" t="s">
        <v>11835</v>
      </c>
      <c r="J3920" s="2" t="s">
        <v>11836</v>
      </c>
      <c r="K3920" s="2" t="s">
        <v>496</v>
      </c>
      <c r="L3920" s="3">
        <v>22.29</v>
      </c>
      <c r="M3920" s="3">
        <v>23.4</v>
      </c>
      <c r="N3920" s="3">
        <v>39.99</v>
      </c>
      <c r="O3920" s="2" t="s">
        <v>97</v>
      </c>
      <c r="P3920" s="2" t="s">
        <v>2478</v>
      </c>
      <c r="Q3920" s="2" t="s">
        <v>99</v>
      </c>
      <c r="R3920" s="2" t="s">
        <v>100</v>
      </c>
      <c r="S3920" s="2" t="s">
        <v>11847</v>
      </c>
      <c r="T3920" s="2" t="s">
        <v>280</v>
      </c>
      <c r="U3920" s="2" t="s">
        <v>402</v>
      </c>
      <c r="V3920" s="2" t="s">
        <v>146</v>
      </c>
      <c r="W3920" s="2" t="s">
        <v>183</v>
      </c>
      <c r="X3920" s="2" t="s">
        <v>100</v>
      </c>
      <c r="Y3920" s="2" t="s">
        <v>11833</v>
      </c>
      <c r="Z3920" s="4">
        <v>530</v>
      </c>
      <c r="AA3920" s="4">
        <f>=ROUNDDOWN({0},0)</f>
      </c>
      <c r="AB3920" s="5"/>
      <c r="AC3920" s="2" t="s">
        <v>241</v>
      </c>
      <c r="AD3920" s="4">
        <v>384</v>
      </c>
      <c r="AE3920" s="4">
        <v>384</v>
      </c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100</v>
      </c>
      <c r="AW3920" s="8" t="s">
        <v>100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/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/>
      <c r="BJ3920" s="4">
        <v>27</v>
      </c>
      <c r="BK3920" s="8">
        <v>647.73</v>
      </c>
      <c r="BL3920" s="2" t="s">
        <v>9565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2480</v>
      </c>
      <c r="BV3920" s="2" t="s">
        <v>97</v>
      </c>
      <c r="BW3920" s="2" t="s">
        <v>100</v>
      </c>
      <c r="BX3920" s="2" t="s">
        <v>100</v>
      </c>
      <c r="BY3920" s="2" t="s">
        <v>113</v>
      </c>
      <c r="BZ3920" s="2" t="s">
        <v>245</v>
      </c>
    </row>
    <row r="3921">
      <c r="A3921" s="2" t="s">
        <v>11851</v>
      </c>
      <c r="B3921" s="2" t="s">
        <v>11586</v>
      </c>
      <c r="C3921" s="2" t="s">
        <v>3413</v>
      </c>
      <c r="D3921" s="2" t="s">
        <v>11587</v>
      </c>
      <c r="E3921" s="2" t="s">
        <v>5508</v>
      </c>
      <c r="F3921" s="2" t="s">
        <v>11827</v>
      </c>
      <c r="G3921" s="2" t="s">
        <v>11827</v>
      </c>
      <c r="H3921" s="2" t="s">
        <v>11827</v>
      </c>
      <c r="I3921" s="2" t="s">
        <v>11828</v>
      </c>
      <c r="J3921" s="2" t="s">
        <v>5510</v>
      </c>
      <c r="K3921" s="2" t="s">
        <v>512</v>
      </c>
      <c r="L3921" s="3">
        <v>17.83</v>
      </c>
      <c r="M3921" s="3">
        <v>18.72</v>
      </c>
      <c r="N3921" s="3">
        <v>28.99</v>
      </c>
      <c r="O3921" s="2" t="s">
        <v>97</v>
      </c>
      <c r="P3921" s="2" t="s">
        <v>2478</v>
      </c>
      <c r="Q3921" s="2" t="s">
        <v>99</v>
      </c>
      <c r="R3921" s="2" t="s">
        <v>100</v>
      </c>
      <c r="S3921" s="2" t="s">
        <v>11852</v>
      </c>
      <c r="T3921" s="2" t="s">
        <v>280</v>
      </c>
      <c r="U3921" s="2" t="s">
        <v>102</v>
      </c>
      <c r="V3921" s="2" t="s">
        <v>146</v>
      </c>
      <c r="W3921" s="2" t="s">
        <v>183</v>
      </c>
      <c r="X3921" s="2" t="s">
        <v>100</v>
      </c>
      <c r="Y3921" s="2" t="s">
        <v>11830</v>
      </c>
      <c r="Z3921" s="4">
        <v>1830</v>
      </c>
      <c r="AA3921" s="4">
        <f>=ROUNDDOWN(1663.63636363636,0)</f>
      </c>
      <c r="AB3921" s="5">
        <v>1.1</v>
      </c>
      <c r="AC3921" s="2" t="s">
        <v>100</v>
      </c>
      <c r="AD3921" s="4"/>
      <c r="AE3921" s="4"/>
      <c r="AF3921" s="6">
        <v>65</v>
      </c>
      <c r="AG3921" s="6"/>
      <c r="AH3921" s="7">
        <v>0.6385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/>
      <c r="BJ3921" s="4">
        <v>57</v>
      </c>
      <c r="BK3921" s="8">
        <v>991.23</v>
      </c>
      <c r="BL3921" s="2" t="s">
        <v>9565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2480</v>
      </c>
      <c r="BV3921" s="2" t="s">
        <v>97</v>
      </c>
      <c r="BW3921" s="2" t="s">
        <v>100</v>
      </c>
      <c r="BX3921" s="2" t="s">
        <v>100</v>
      </c>
      <c r="BY3921" s="2" t="s">
        <v>113</v>
      </c>
      <c r="BZ3921" s="2" t="s">
        <v>245</v>
      </c>
    </row>
    <row r="3922">
      <c r="A3922" s="2" t="s">
        <v>11853</v>
      </c>
      <c r="B3922" s="2" t="s">
        <v>11586</v>
      </c>
      <c r="C3922" s="2" t="s">
        <v>3413</v>
      </c>
      <c r="D3922" s="2" t="s">
        <v>11587</v>
      </c>
      <c r="E3922" s="2" t="s">
        <v>5508</v>
      </c>
      <c r="F3922" s="2" t="s">
        <v>11827</v>
      </c>
      <c r="G3922" s="2" t="s">
        <v>11827</v>
      </c>
      <c r="H3922" s="2" t="s">
        <v>11827</v>
      </c>
      <c r="I3922" s="2" t="s">
        <v>11832</v>
      </c>
      <c r="J3922" s="2" t="s">
        <v>11758</v>
      </c>
      <c r="K3922" s="2" t="s">
        <v>512</v>
      </c>
      <c r="L3922" s="3">
        <v>22.29</v>
      </c>
      <c r="M3922" s="3">
        <v>23.4</v>
      </c>
      <c r="N3922" s="3">
        <v>43.99</v>
      </c>
      <c r="O3922" s="2" t="s">
        <v>97</v>
      </c>
      <c r="P3922" s="2" t="s">
        <v>2478</v>
      </c>
      <c r="Q3922" s="2" t="s">
        <v>99</v>
      </c>
      <c r="R3922" s="2" t="s">
        <v>100</v>
      </c>
      <c r="S3922" s="2" t="s">
        <v>11852</v>
      </c>
      <c r="T3922" s="2" t="s">
        <v>280</v>
      </c>
      <c r="U3922" s="2" t="s">
        <v>1478</v>
      </c>
      <c r="V3922" s="2" t="s">
        <v>146</v>
      </c>
      <c r="W3922" s="2" t="s">
        <v>183</v>
      </c>
      <c r="X3922" s="2" t="s">
        <v>100</v>
      </c>
      <c r="Y3922" s="2" t="s">
        <v>11833</v>
      </c>
      <c r="Z3922" s="4">
        <v>658</v>
      </c>
      <c r="AA3922" s="4">
        <f>=ROUNDDOWN(15.6666666666667,0)</f>
      </c>
      <c r="AB3922" s="5">
        <v>42</v>
      </c>
      <c r="AC3922" s="2" t="s">
        <v>241</v>
      </c>
      <c r="AD3922" s="4">
        <v>96</v>
      </c>
      <c r="AE3922" s="4">
        <v>96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 t="s">
        <v>100</v>
      </c>
      <c r="AW3922" s="8" t="s">
        <v>100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>
        <v>100</v>
      </c>
      <c r="BK3922" s="8">
        <v>2586.69</v>
      </c>
      <c r="BL3922" s="2" t="s">
        <v>3707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2480</v>
      </c>
      <c r="BV3922" s="2" t="s">
        <v>97</v>
      </c>
      <c r="BW3922" s="2" t="s">
        <v>100</v>
      </c>
      <c r="BX3922" s="2" t="s">
        <v>100</v>
      </c>
      <c r="BY3922" s="2" t="s">
        <v>113</v>
      </c>
      <c r="BZ3922" s="2" t="s">
        <v>245</v>
      </c>
    </row>
    <row r="3923">
      <c r="A3923" s="2" t="s">
        <v>11854</v>
      </c>
      <c r="B3923" s="2" t="s">
        <v>11586</v>
      </c>
      <c r="C3923" s="2" t="s">
        <v>3413</v>
      </c>
      <c r="D3923" s="2" t="s">
        <v>11587</v>
      </c>
      <c r="E3923" s="2" t="s">
        <v>5508</v>
      </c>
      <c r="F3923" s="2" t="s">
        <v>11827</v>
      </c>
      <c r="G3923" s="2" t="s">
        <v>11827</v>
      </c>
      <c r="H3923" s="2" t="s">
        <v>11827</v>
      </c>
      <c r="I3923" s="2" t="s">
        <v>11835</v>
      </c>
      <c r="J3923" s="2" t="s">
        <v>11836</v>
      </c>
      <c r="K3923" s="2" t="s">
        <v>512</v>
      </c>
      <c r="L3923" s="3">
        <v>22.29</v>
      </c>
      <c r="M3923" s="3">
        <v>23.4</v>
      </c>
      <c r="N3923" s="3">
        <v>39.99</v>
      </c>
      <c r="O3923" s="2" t="s">
        <v>97</v>
      </c>
      <c r="P3923" s="2" t="s">
        <v>2478</v>
      </c>
      <c r="Q3923" s="2" t="s">
        <v>99</v>
      </c>
      <c r="R3923" s="2" t="s">
        <v>100</v>
      </c>
      <c r="S3923" s="2" t="s">
        <v>11852</v>
      </c>
      <c r="T3923" s="2" t="s">
        <v>280</v>
      </c>
      <c r="U3923" s="2" t="s">
        <v>402</v>
      </c>
      <c r="V3923" s="2" t="s">
        <v>146</v>
      </c>
      <c r="W3923" s="2" t="s">
        <v>183</v>
      </c>
      <c r="X3923" s="2" t="s">
        <v>100</v>
      </c>
      <c r="Y3923" s="2" t="s">
        <v>11833</v>
      </c>
      <c r="Z3923" s="4">
        <v>796</v>
      </c>
      <c r="AA3923" s="4">
        <f>=ROUNDDOWN(884.444444444444,0)</f>
      </c>
      <c r="AB3923" s="5">
        <v>0.9</v>
      </c>
      <c r="AC3923" s="2" t="s">
        <v>241</v>
      </c>
      <c r="AD3923" s="4">
        <v>288</v>
      </c>
      <c r="AE3923" s="4">
        <v>288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/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/>
      <c r="BJ3923" s="4">
        <v>8</v>
      </c>
      <c r="BK3923" s="8">
        <v>191.92</v>
      </c>
      <c r="BL3923" s="2" t="s">
        <v>9581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2480</v>
      </c>
      <c r="BV3923" s="2" t="s">
        <v>97</v>
      </c>
      <c r="BW3923" s="2" t="s">
        <v>100</v>
      </c>
      <c r="BX3923" s="2" t="s">
        <v>100</v>
      </c>
      <c r="BY3923" s="2" t="s">
        <v>113</v>
      </c>
      <c r="BZ3923" s="2" t="s">
        <v>245</v>
      </c>
    </row>
    <row r="3924">
      <c r="A3924" s="2" t="s">
        <v>11855</v>
      </c>
      <c r="B3924" s="2" t="s">
        <v>11586</v>
      </c>
      <c r="C3924" s="2" t="s">
        <v>3413</v>
      </c>
      <c r="D3924" s="2" t="s">
        <v>11587</v>
      </c>
      <c r="E3924" s="2" t="s">
        <v>5508</v>
      </c>
      <c r="F3924" s="2" t="s">
        <v>11827</v>
      </c>
      <c r="G3924" s="2" t="s">
        <v>11827</v>
      </c>
      <c r="H3924" s="2" t="s">
        <v>11827</v>
      </c>
      <c r="I3924" s="2" t="s">
        <v>11828</v>
      </c>
      <c r="J3924" s="2" t="s">
        <v>5510</v>
      </c>
      <c r="K3924" s="2" t="s">
        <v>189</v>
      </c>
      <c r="L3924" s="3">
        <v>17.83</v>
      </c>
      <c r="M3924" s="3">
        <v>18.72</v>
      </c>
      <c r="N3924" s="3">
        <v>28.99</v>
      </c>
      <c r="O3924" s="2" t="s">
        <v>97</v>
      </c>
      <c r="P3924" s="2" t="s">
        <v>2478</v>
      </c>
      <c r="Q3924" s="2" t="s">
        <v>99</v>
      </c>
      <c r="R3924" s="2" t="s">
        <v>100</v>
      </c>
      <c r="S3924" s="2" t="s">
        <v>11856</v>
      </c>
      <c r="T3924" s="2" t="s">
        <v>280</v>
      </c>
      <c r="U3924" s="2" t="s">
        <v>102</v>
      </c>
      <c r="V3924" s="2" t="s">
        <v>146</v>
      </c>
      <c r="W3924" s="2" t="s">
        <v>183</v>
      </c>
      <c r="X3924" s="2" t="s">
        <v>100</v>
      </c>
      <c r="Y3924" s="2" t="s">
        <v>11830</v>
      </c>
      <c r="Z3924" s="4">
        <v>2541</v>
      </c>
      <c r="AA3924" s="4">
        <f>=ROUNDDOWN(39.0923076923077,0)</f>
      </c>
      <c r="AB3924" s="5">
        <v>65</v>
      </c>
      <c r="AC3924" s="2" t="s">
        <v>100</v>
      </c>
      <c r="AD3924" s="4"/>
      <c r="AE3924" s="4"/>
      <c r="AF3924" s="6">
        <v>65</v>
      </c>
      <c r="AG3924" s="6"/>
      <c r="AH3924" s="7">
        <v>0.6385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/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/>
      <c r="BJ3924" s="4">
        <v>3</v>
      </c>
      <c r="BK3924" s="8">
        <v>45</v>
      </c>
      <c r="BL3924" s="2" t="s">
        <v>11857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2480</v>
      </c>
      <c r="BV3924" s="2" t="s">
        <v>97</v>
      </c>
      <c r="BW3924" s="2" t="s">
        <v>100</v>
      </c>
      <c r="BX3924" s="2" t="s">
        <v>100</v>
      </c>
      <c r="BY3924" s="2" t="s">
        <v>113</v>
      </c>
      <c r="BZ3924" s="2" t="s">
        <v>245</v>
      </c>
    </row>
    <row r="3925">
      <c r="A3925" s="2" t="s">
        <v>11858</v>
      </c>
      <c r="B3925" s="2" t="s">
        <v>11586</v>
      </c>
      <c r="C3925" s="2" t="s">
        <v>3413</v>
      </c>
      <c r="D3925" s="2" t="s">
        <v>11587</v>
      </c>
      <c r="E3925" s="2" t="s">
        <v>5508</v>
      </c>
      <c r="F3925" s="2" t="s">
        <v>11827</v>
      </c>
      <c r="G3925" s="2" t="s">
        <v>11827</v>
      </c>
      <c r="H3925" s="2" t="s">
        <v>11827</v>
      </c>
      <c r="I3925" s="2" t="s">
        <v>11832</v>
      </c>
      <c r="J3925" s="2" t="s">
        <v>11758</v>
      </c>
      <c r="K3925" s="2" t="s">
        <v>189</v>
      </c>
      <c r="L3925" s="3">
        <v>22.29</v>
      </c>
      <c r="M3925" s="3">
        <v>23.4</v>
      </c>
      <c r="N3925" s="3">
        <v>43.99</v>
      </c>
      <c r="O3925" s="2" t="s">
        <v>97</v>
      </c>
      <c r="P3925" s="2" t="s">
        <v>2478</v>
      </c>
      <c r="Q3925" s="2" t="s">
        <v>99</v>
      </c>
      <c r="R3925" s="2" t="s">
        <v>100</v>
      </c>
      <c r="S3925" s="2" t="s">
        <v>11856</v>
      </c>
      <c r="T3925" s="2" t="s">
        <v>280</v>
      </c>
      <c r="U3925" s="2" t="s">
        <v>1478</v>
      </c>
      <c r="V3925" s="2" t="s">
        <v>146</v>
      </c>
      <c r="W3925" s="2" t="s">
        <v>183</v>
      </c>
      <c r="X3925" s="2" t="s">
        <v>100</v>
      </c>
      <c r="Y3925" s="2" t="s">
        <v>11833</v>
      </c>
      <c r="Z3925" s="4">
        <v>1054</v>
      </c>
      <c r="AA3925" s="4">
        <f>=ROUNDDOWN(110.947368421053,0)</f>
      </c>
      <c r="AB3925" s="5">
        <v>9.5</v>
      </c>
      <c r="AC3925" s="2" t="s">
        <v>241</v>
      </c>
      <c r="AD3925" s="4">
        <v>576</v>
      </c>
      <c r="AE3925" s="4">
        <v>576</v>
      </c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/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/>
      <c r="BJ3925" s="4">
        <v>69</v>
      </c>
      <c r="BK3925" s="8">
        <v>1795.36</v>
      </c>
      <c r="BL3925" s="2" t="s">
        <v>11859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2480</v>
      </c>
      <c r="BV3925" s="2" t="s">
        <v>97</v>
      </c>
      <c r="BW3925" s="2" t="s">
        <v>100</v>
      </c>
      <c r="BX3925" s="2" t="s">
        <v>100</v>
      </c>
      <c r="BY3925" s="2" t="s">
        <v>113</v>
      </c>
      <c r="BZ3925" s="2" t="s">
        <v>245</v>
      </c>
    </row>
    <row r="3926">
      <c r="A3926" s="2" t="s">
        <v>11860</v>
      </c>
      <c r="B3926" s="2" t="s">
        <v>11586</v>
      </c>
      <c r="C3926" s="2" t="s">
        <v>3413</v>
      </c>
      <c r="D3926" s="2" t="s">
        <v>11587</v>
      </c>
      <c r="E3926" s="2" t="s">
        <v>5508</v>
      </c>
      <c r="F3926" s="2" t="s">
        <v>11827</v>
      </c>
      <c r="G3926" s="2" t="s">
        <v>11827</v>
      </c>
      <c r="H3926" s="2" t="s">
        <v>11827</v>
      </c>
      <c r="I3926" s="2" t="s">
        <v>11835</v>
      </c>
      <c r="J3926" s="2" t="s">
        <v>11836</v>
      </c>
      <c r="K3926" s="2" t="s">
        <v>189</v>
      </c>
      <c r="L3926" s="3">
        <v>22.29</v>
      </c>
      <c r="M3926" s="3">
        <v>23.4</v>
      </c>
      <c r="N3926" s="3">
        <v>39.99</v>
      </c>
      <c r="O3926" s="2" t="s">
        <v>97</v>
      </c>
      <c r="P3926" s="2" t="s">
        <v>2478</v>
      </c>
      <c r="Q3926" s="2" t="s">
        <v>99</v>
      </c>
      <c r="R3926" s="2" t="s">
        <v>100</v>
      </c>
      <c r="S3926" s="2" t="s">
        <v>11856</v>
      </c>
      <c r="T3926" s="2" t="s">
        <v>280</v>
      </c>
      <c r="U3926" s="2" t="s">
        <v>402</v>
      </c>
      <c r="V3926" s="2" t="s">
        <v>146</v>
      </c>
      <c r="W3926" s="2" t="s">
        <v>183</v>
      </c>
      <c r="X3926" s="2" t="s">
        <v>100</v>
      </c>
      <c r="Y3926" s="2" t="s">
        <v>11833</v>
      </c>
      <c r="Z3926" s="4">
        <v>876</v>
      </c>
      <c r="AA3926" s="4">
        <f>=ROUNDDOWN(1752,0)</f>
      </c>
      <c r="AB3926" s="5">
        <v>0.5</v>
      </c>
      <c r="AC3926" s="2" t="s">
        <v>241</v>
      </c>
      <c r="AD3926" s="4">
        <v>864</v>
      </c>
      <c r="AE3926" s="4">
        <v>864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/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/>
      <c r="BJ3926" s="4">
        <v>18</v>
      </c>
      <c r="BK3926" s="8">
        <v>432.4</v>
      </c>
      <c r="BL3926" s="2" t="s">
        <v>11861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2480</v>
      </c>
      <c r="BV3926" s="2" t="s">
        <v>97</v>
      </c>
      <c r="BW3926" s="2" t="s">
        <v>100</v>
      </c>
      <c r="BX3926" s="2" t="s">
        <v>100</v>
      </c>
      <c r="BY3926" s="2" t="s">
        <v>113</v>
      </c>
      <c r="BZ3926" s="2" t="s">
        <v>245</v>
      </c>
    </row>
    <row r="3927">
      <c r="A3927" s="2" t="s">
        <v>11862</v>
      </c>
      <c r="B3927" s="2" t="s">
        <v>11863</v>
      </c>
      <c r="C3927" s="2" t="s">
        <v>88</v>
      </c>
      <c r="D3927" s="2" t="s">
        <v>2605</v>
      </c>
      <c r="E3927" s="2" t="s">
        <v>2606</v>
      </c>
      <c r="F3927" s="2" t="s">
        <v>11864</v>
      </c>
      <c r="G3927" s="2" t="s">
        <v>11865</v>
      </c>
      <c r="H3927" s="2" t="s">
        <v>11866</v>
      </c>
      <c r="I3927" s="2" t="s">
        <v>11867</v>
      </c>
      <c r="J3927" s="2" t="s">
        <v>11868</v>
      </c>
      <c r="K3927" s="2" t="s">
        <v>913</v>
      </c>
      <c r="L3927" s="3">
        <v>17.48</v>
      </c>
      <c r="M3927" s="3">
        <v>18.35</v>
      </c>
      <c r="N3927" s="3">
        <v>37.99</v>
      </c>
      <c r="O3927" s="2" t="s">
        <v>97</v>
      </c>
      <c r="P3927" s="2" t="s">
        <v>98</v>
      </c>
      <c r="Q3927" s="2" t="s">
        <v>99</v>
      </c>
      <c r="R3927" s="2" t="s">
        <v>100</v>
      </c>
      <c r="S3927" s="2" t="s">
        <v>11869</v>
      </c>
      <c r="T3927" s="2" t="s">
        <v>100</v>
      </c>
      <c r="U3927" s="2" t="s">
        <v>1847</v>
      </c>
      <c r="V3927" s="2" t="s">
        <v>201</v>
      </c>
      <c r="W3927" s="2" t="s">
        <v>183</v>
      </c>
      <c r="X3927" s="2" t="s">
        <v>11870</v>
      </c>
      <c r="Y3927" s="2" t="s">
        <v>1540</v>
      </c>
      <c r="Z3927" s="4">
        <v>1085</v>
      </c>
      <c r="AA3927" s="4">
        <f>=ROUNDDOWN(6.34502923976608,0)</f>
      </c>
      <c r="AB3927" s="5">
        <v>171</v>
      </c>
      <c r="AC3927" s="2" t="s">
        <v>417</v>
      </c>
      <c r="AD3927" s="4">
        <v>600</v>
      </c>
      <c r="AE3927" s="4">
        <v>4560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>
        <v>52</v>
      </c>
      <c r="AQ3927" s="8">
        <v>878.8</v>
      </c>
      <c r="AR3927" s="4"/>
      <c r="AS3927" s="8"/>
      <c r="AT3927" s="7"/>
      <c r="AU3927" s="7"/>
      <c r="AV3927" s="4">
        <v>185</v>
      </c>
      <c r="AW3927" s="8">
        <v>3438.28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0.2864</v>
      </c>
      <c r="BC3927" s="4">
        <v>259</v>
      </c>
      <c r="BD3927" s="8">
        <v>4859.56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>
        <v>0.7075</v>
      </c>
      <c r="BJ3927" s="4">
        <v>5333</v>
      </c>
      <c r="BK3927" s="8">
        <v>99823.39</v>
      </c>
      <c r="BL3927" s="2" t="s">
        <v>11871</v>
      </c>
      <c r="BM3927" s="7">
        <v>0.0098</v>
      </c>
      <c r="BN3927" s="7">
        <v>0.0088</v>
      </c>
      <c r="BO3927" s="4">
        <v>52</v>
      </c>
      <c r="BP3927" s="8">
        <v>878.8</v>
      </c>
      <c r="BQ3927" s="4"/>
      <c r="BR3927" s="8"/>
      <c r="BS3927" s="7"/>
      <c r="BT3927" s="7"/>
      <c r="BU3927" s="2" t="s">
        <v>109</v>
      </c>
      <c r="BV3927" s="2" t="s">
        <v>110</v>
      </c>
      <c r="BW3927" s="2" t="s">
        <v>2198</v>
      </c>
      <c r="BX3927" s="2" t="s">
        <v>11872</v>
      </c>
      <c r="BY3927" s="2" t="s">
        <v>113</v>
      </c>
      <c r="BZ3927" s="2" t="s">
        <v>245</v>
      </c>
    </row>
    <row r="3928">
      <c r="A3928" s="2" t="s">
        <v>11873</v>
      </c>
      <c r="B3928" s="2" t="s">
        <v>11863</v>
      </c>
      <c r="C3928" s="2" t="s">
        <v>88</v>
      </c>
      <c r="D3928" s="2" t="s">
        <v>2605</v>
      </c>
      <c r="E3928" s="2" t="s">
        <v>2606</v>
      </c>
      <c r="F3928" s="2" t="s">
        <v>11864</v>
      </c>
      <c r="G3928" s="2" t="s">
        <v>11865</v>
      </c>
      <c r="H3928" s="2" t="s">
        <v>11866</v>
      </c>
      <c r="I3928" s="2" t="s">
        <v>11874</v>
      </c>
      <c r="J3928" s="2" t="s">
        <v>11868</v>
      </c>
      <c r="K3928" s="2" t="s">
        <v>913</v>
      </c>
      <c r="L3928" s="3">
        <v>18.24</v>
      </c>
      <c r="M3928" s="3">
        <v>19.15</v>
      </c>
      <c r="N3928" s="3">
        <v>37.99</v>
      </c>
      <c r="O3928" s="2" t="s">
        <v>97</v>
      </c>
      <c r="P3928" s="2" t="s">
        <v>98</v>
      </c>
      <c r="Q3928" s="2" t="s">
        <v>99</v>
      </c>
      <c r="R3928" s="2" t="s">
        <v>100</v>
      </c>
      <c r="S3928" s="2" t="s">
        <v>11869</v>
      </c>
      <c r="T3928" s="2" t="s">
        <v>100</v>
      </c>
      <c r="U3928" s="2" t="s">
        <v>1847</v>
      </c>
      <c r="V3928" s="2" t="s">
        <v>201</v>
      </c>
      <c r="W3928" s="2" t="s">
        <v>183</v>
      </c>
      <c r="X3928" s="2" t="s">
        <v>11870</v>
      </c>
      <c r="Y3928" s="2" t="s">
        <v>1540</v>
      </c>
      <c r="Z3928" s="4">
        <v>327</v>
      </c>
      <c r="AA3928" s="4">
        <f>=ROUNDDOWN(10.21875,0)</f>
      </c>
      <c r="AB3928" s="5">
        <v>32</v>
      </c>
      <c r="AC3928" s="2" t="s">
        <v>205</v>
      </c>
      <c r="AD3928" s="4">
        <v>200</v>
      </c>
      <c r="AE3928" s="4">
        <v>880</v>
      </c>
      <c r="AF3928" s="6">
        <v>65</v>
      </c>
      <c r="AG3928" s="6"/>
      <c r="AH3928" s="7">
        <v>0.9679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>
        <v>6</v>
      </c>
      <c r="AQ3928" s="8">
        <v>105.84</v>
      </c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 t="s">
        <v>100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 t="s">
        <v>100</v>
      </c>
      <c r="BJ3928" s="4">
        <v>666</v>
      </c>
      <c r="BK3928" s="8">
        <v>13103.08</v>
      </c>
      <c r="BL3928" s="2" t="s">
        <v>11875</v>
      </c>
      <c r="BM3928" s="7">
        <v>0.009</v>
      </c>
      <c r="BN3928" s="7">
        <v>0.0081</v>
      </c>
      <c r="BO3928" s="4">
        <v>6</v>
      </c>
      <c r="BP3928" s="8">
        <v>105.84</v>
      </c>
      <c r="BQ3928" s="4"/>
      <c r="BR3928" s="8"/>
      <c r="BS3928" s="7"/>
      <c r="BT3928" s="7"/>
      <c r="BU3928" s="2" t="s">
        <v>109</v>
      </c>
      <c r="BV3928" s="2" t="s">
        <v>110</v>
      </c>
      <c r="BW3928" s="2" t="s">
        <v>2198</v>
      </c>
      <c r="BX3928" s="2" t="s">
        <v>11876</v>
      </c>
      <c r="BY3928" s="2" t="s">
        <v>113</v>
      </c>
      <c r="BZ3928" s="2" t="s">
        <v>245</v>
      </c>
    </row>
    <row r="3929">
      <c r="A3929" s="2" t="s">
        <v>11877</v>
      </c>
      <c r="B3929" s="2" t="s">
        <v>11863</v>
      </c>
      <c r="C3929" s="2" t="s">
        <v>88</v>
      </c>
      <c r="D3929" s="2" t="s">
        <v>2605</v>
      </c>
      <c r="E3929" s="2" t="s">
        <v>2606</v>
      </c>
      <c r="F3929" s="2" t="s">
        <v>11864</v>
      </c>
      <c r="G3929" s="2" t="s">
        <v>11865</v>
      </c>
      <c r="H3929" s="2" t="s">
        <v>11866</v>
      </c>
      <c r="I3929" s="2" t="s">
        <v>11867</v>
      </c>
      <c r="J3929" s="2" t="s">
        <v>11878</v>
      </c>
      <c r="K3929" s="2" t="s">
        <v>913</v>
      </c>
      <c r="L3929" s="3">
        <v>20.21</v>
      </c>
      <c r="M3929" s="3">
        <v>21.22</v>
      </c>
      <c r="N3929" s="3">
        <v>42.99</v>
      </c>
      <c r="O3929" s="2" t="s">
        <v>97</v>
      </c>
      <c r="P3929" s="2" t="s">
        <v>372</v>
      </c>
      <c r="Q3929" s="2" t="s">
        <v>99</v>
      </c>
      <c r="R3929" s="2" t="s">
        <v>100</v>
      </c>
      <c r="S3929" s="2" t="s">
        <v>11869</v>
      </c>
      <c r="T3929" s="2" t="s">
        <v>100</v>
      </c>
      <c r="U3929" s="2" t="s">
        <v>1847</v>
      </c>
      <c r="V3929" s="2" t="s">
        <v>201</v>
      </c>
      <c r="W3929" s="2" t="s">
        <v>183</v>
      </c>
      <c r="X3929" s="2" t="s">
        <v>11870</v>
      </c>
      <c r="Y3929" s="2" t="s">
        <v>1540</v>
      </c>
      <c r="Z3929" s="4">
        <v>1664</v>
      </c>
      <c r="AA3929" s="4">
        <f>=ROUNDDOWN(9.45454545454545,0)</f>
      </c>
      <c r="AB3929" s="5">
        <v>176</v>
      </c>
      <c r="AC3929" s="2" t="s">
        <v>417</v>
      </c>
      <c r="AD3929" s="4">
        <v>1000</v>
      </c>
      <c r="AE3929" s="4">
        <v>6000</v>
      </c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>
        <v>127</v>
      </c>
      <c r="AQ3929" s="8">
        <v>2453.64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0.7136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3522</v>
      </c>
      <c r="BK3929" s="8">
        <v>73797.64</v>
      </c>
      <c r="BL3929" s="2" t="s">
        <v>11871</v>
      </c>
      <c r="BM3929" s="7">
        <v>0.0361</v>
      </c>
      <c r="BN3929" s="7">
        <v>0.0332</v>
      </c>
      <c r="BO3929" s="4">
        <v>127</v>
      </c>
      <c r="BP3929" s="8">
        <v>2453.64</v>
      </c>
      <c r="BQ3929" s="4"/>
      <c r="BR3929" s="8"/>
      <c r="BS3929" s="7"/>
      <c r="BT3929" s="7"/>
      <c r="BU3929" s="2" t="s">
        <v>109</v>
      </c>
      <c r="BV3929" s="2" t="s">
        <v>110</v>
      </c>
      <c r="BW3929" s="2" t="s">
        <v>2198</v>
      </c>
      <c r="BX3929" s="2" t="s">
        <v>2974</v>
      </c>
      <c r="BY3929" s="2" t="s">
        <v>113</v>
      </c>
      <c r="BZ3929" s="2" t="s">
        <v>245</v>
      </c>
    </row>
    <row r="3930">
      <c r="A3930" s="2" t="s">
        <v>11879</v>
      </c>
      <c r="B3930" s="2" t="s">
        <v>11863</v>
      </c>
      <c r="C3930" s="2" t="s">
        <v>88</v>
      </c>
      <c r="D3930" s="2" t="s">
        <v>2605</v>
      </c>
      <c r="E3930" s="2" t="s">
        <v>2606</v>
      </c>
      <c r="F3930" s="2" t="s">
        <v>11864</v>
      </c>
      <c r="G3930" s="2" t="s">
        <v>11865</v>
      </c>
      <c r="H3930" s="2" t="s">
        <v>11866</v>
      </c>
      <c r="I3930" s="2" t="s">
        <v>11867</v>
      </c>
      <c r="J3930" s="2" t="s">
        <v>11880</v>
      </c>
      <c r="K3930" s="2" t="s">
        <v>913</v>
      </c>
      <c r="L3930" s="3">
        <v>22</v>
      </c>
      <c r="M3930" s="3">
        <v>23.1</v>
      </c>
      <c r="N3930" s="3">
        <v>47.99</v>
      </c>
      <c r="O3930" s="2" t="s">
        <v>97</v>
      </c>
      <c r="P3930" s="2" t="s">
        <v>225</v>
      </c>
      <c r="Q3930" s="2" t="s">
        <v>99</v>
      </c>
      <c r="R3930" s="2" t="s">
        <v>100</v>
      </c>
      <c r="S3930" s="2" t="s">
        <v>11881</v>
      </c>
      <c r="T3930" s="2" t="s">
        <v>100</v>
      </c>
      <c r="U3930" s="2" t="s">
        <v>1847</v>
      </c>
      <c r="V3930" s="2" t="s">
        <v>201</v>
      </c>
      <c r="W3930" s="2" t="s">
        <v>183</v>
      </c>
      <c r="X3930" s="2" t="s">
        <v>11870</v>
      </c>
      <c r="Y3930" s="2" t="s">
        <v>1229</v>
      </c>
      <c r="Z3930" s="4">
        <v>6</v>
      </c>
      <c r="AA3930" s="4">
        <f>=ROUNDDOWN(0.1875,0)</f>
      </c>
      <c r="AB3930" s="5">
        <v>32</v>
      </c>
      <c r="AC3930" s="2" t="s">
        <v>1457</v>
      </c>
      <c r="AD3930" s="4">
        <v>652</v>
      </c>
      <c r="AE3930" s="4">
        <v>832</v>
      </c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100</v>
      </c>
      <c r="AW3930" s="8" t="s">
        <v>100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/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 t="s">
        <v>100</v>
      </c>
      <c r="BJ3930" s="4">
        <v>116</v>
      </c>
      <c r="BK3930" s="8">
        <v>2937.32</v>
      </c>
      <c r="BL3930" s="2" t="s">
        <v>3691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2480</v>
      </c>
      <c r="BV3930" s="2" t="s">
        <v>97</v>
      </c>
      <c r="BW3930" s="2" t="s">
        <v>100</v>
      </c>
      <c r="BX3930" s="2" t="s">
        <v>100</v>
      </c>
      <c r="BY3930" s="2" t="s">
        <v>113</v>
      </c>
      <c r="BZ3930" s="2" t="s">
        <v>100</v>
      </c>
    </row>
    <row r="3931">
      <c r="A3931" s="2" t="s">
        <v>11882</v>
      </c>
      <c r="B3931" s="2" t="s">
        <v>11863</v>
      </c>
      <c r="C3931" s="2" t="s">
        <v>88</v>
      </c>
      <c r="D3931" s="2" t="s">
        <v>2605</v>
      </c>
      <c r="E3931" s="2" t="s">
        <v>2606</v>
      </c>
      <c r="F3931" s="2" t="s">
        <v>11864</v>
      </c>
      <c r="G3931" s="2" t="s">
        <v>11865</v>
      </c>
      <c r="H3931" s="2" t="s">
        <v>11866</v>
      </c>
      <c r="I3931" s="2" t="s">
        <v>11874</v>
      </c>
      <c r="J3931" s="2" t="s">
        <v>11868</v>
      </c>
      <c r="K3931" s="2" t="s">
        <v>858</v>
      </c>
      <c r="L3931" s="3">
        <v>18.24</v>
      </c>
      <c r="M3931" s="3">
        <v>19.15</v>
      </c>
      <c r="N3931" s="3">
        <v>37.99</v>
      </c>
      <c r="O3931" s="2" t="s">
        <v>97</v>
      </c>
      <c r="P3931" s="2" t="s">
        <v>119</v>
      </c>
      <c r="Q3931" s="2" t="s">
        <v>99</v>
      </c>
      <c r="R3931" s="2" t="s">
        <v>100</v>
      </c>
      <c r="S3931" s="2" t="s">
        <v>11883</v>
      </c>
      <c r="T3931" s="2" t="s">
        <v>100</v>
      </c>
      <c r="U3931" s="2" t="s">
        <v>1847</v>
      </c>
      <c r="V3931" s="2" t="s">
        <v>201</v>
      </c>
      <c r="W3931" s="2" t="s">
        <v>183</v>
      </c>
      <c r="X3931" s="2" t="s">
        <v>11870</v>
      </c>
      <c r="Y3931" s="2" t="s">
        <v>1540</v>
      </c>
      <c r="Z3931" s="4">
        <v>551</v>
      </c>
      <c r="AA3931" s="4">
        <f>=ROUNDDOWN(13.1190476190476,0)</f>
      </c>
      <c r="AB3931" s="5">
        <v>42</v>
      </c>
      <c r="AC3931" s="2" t="s">
        <v>768</v>
      </c>
      <c r="AD3931" s="4">
        <v>200</v>
      </c>
      <c r="AE3931" s="4">
        <v>1080</v>
      </c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>
        <v>5</v>
      </c>
      <c r="AQ3931" s="8">
        <v>88.2</v>
      </c>
      <c r="AR3931" s="4"/>
      <c r="AS3931" s="8"/>
      <c r="AT3931" s="7"/>
      <c r="AU3931" s="7"/>
      <c r="AV3931" s="4">
        <v>74</v>
      </c>
      <c r="AW3931" s="8">
        <v>1421.28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0.0621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>
        <v>0.2925</v>
      </c>
      <c r="BJ3931" s="4">
        <v>906</v>
      </c>
      <c r="BK3931" s="8">
        <v>16972.01</v>
      </c>
      <c r="BL3931" s="2" t="s">
        <v>11884</v>
      </c>
      <c r="BM3931" s="7">
        <v>0.0055</v>
      </c>
      <c r="BN3931" s="7">
        <v>0.0052</v>
      </c>
      <c r="BO3931" s="4">
        <v>5</v>
      </c>
      <c r="BP3931" s="8">
        <v>88.2</v>
      </c>
      <c r="BQ3931" s="4"/>
      <c r="BR3931" s="8"/>
      <c r="BS3931" s="7"/>
      <c r="BT3931" s="7"/>
      <c r="BU3931" s="2" t="s">
        <v>109</v>
      </c>
      <c r="BV3931" s="2" t="s">
        <v>110</v>
      </c>
      <c r="BW3931" s="2" t="s">
        <v>2198</v>
      </c>
      <c r="BX3931" s="2" t="s">
        <v>11876</v>
      </c>
      <c r="BY3931" s="2" t="s">
        <v>113</v>
      </c>
      <c r="BZ3931" s="2" t="s">
        <v>245</v>
      </c>
    </row>
    <row r="3932">
      <c r="A3932" s="2" t="s">
        <v>11885</v>
      </c>
      <c r="B3932" s="2" t="s">
        <v>11863</v>
      </c>
      <c r="C3932" s="2" t="s">
        <v>88</v>
      </c>
      <c r="D3932" s="2" t="s">
        <v>2605</v>
      </c>
      <c r="E3932" s="2" t="s">
        <v>2606</v>
      </c>
      <c r="F3932" s="2" t="s">
        <v>11864</v>
      </c>
      <c r="G3932" s="2" t="s">
        <v>11865</v>
      </c>
      <c r="H3932" s="2" t="s">
        <v>11866</v>
      </c>
      <c r="I3932" s="2" t="s">
        <v>11867</v>
      </c>
      <c r="J3932" s="2" t="s">
        <v>11878</v>
      </c>
      <c r="K3932" s="2" t="s">
        <v>858</v>
      </c>
      <c r="L3932" s="3">
        <v>20.21</v>
      </c>
      <c r="M3932" s="3">
        <v>21.22</v>
      </c>
      <c r="N3932" s="3">
        <v>42.99</v>
      </c>
      <c r="O3932" s="2" t="s">
        <v>97</v>
      </c>
      <c r="P3932" s="2" t="s">
        <v>372</v>
      </c>
      <c r="Q3932" s="2" t="s">
        <v>99</v>
      </c>
      <c r="R3932" s="2" t="s">
        <v>100</v>
      </c>
      <c r="S3932" s="2" t="s">
        <v>11883</v>
      </c>
      <c r="T3932" s="2" t="s">
        <v>100</v>
      </c>
      <c r="U3932" s="2" t="s">
        <v>1847</v>
      </c>
      <c r="V3932" s="2" t="s">
        <v>201</v>
      </c>
      <c r="W3932" s="2" t="s">
        <v>183</v>
      </c>
      <c r="X3932" s="2" t="s">
        <v>11870</v>
      </c>
      <c r="Y3932" s="2" t="s">
        <v>1540</v>
      </c>
      <c r="Z3932" s="4">
        <v>4159</v>
      </c>
      <c r="AA3932" s="4">
        <f>=ROUNDDOWN(20.5891089108911,0)</f>
      </c>
      <c r="AB3932" s="5">
        <v>202</v>
      </c>
      <c r="AC3932" s="2" t="s">
        <v>768</v>
      </c>
      <c r="AD3932" s="4">
        <v>760</v>
      </c>
      <c r="AE3932" s="4">
        <v>4460</v>
      </c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>
        <v>69</v>
      </c>
      <c r="AQ3932" s="8">
        <v>1333.08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0.9379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4450</v>
      </c>
      <c r="BK3932" s="8">
        <v>91269.67</v>
      </c>
      <c r="BL3932" s="2" t="s">
        <v>11886</v>
      </c>
      <c r="BM3932" s="7">
        <v>0.0155</v>
      </c>
      <c r="BN3932" s="7">
        <v>0.0146</v>
      </c>
      <c r="BO3932" s="4">
        <v>69</v>
      </c>
      <c r="BP3932" s="8">
        <v>1333.08</v>
      </c>
      <c r="BQ3932" s="4"/>
      <c r="BR3932" s="8"/>
      <c r="BS3932" s="7"/>
      <c r="BT3932" s="7"/>
      <c r="BU3932" s="2" t="s">
        <v>109</v>
      </c>
      <c r="BV3932" s="2" t="s">
        <v>110</v>
      </c>
      <c r="BW3932" s="2" t="s">
        <v>2198</v>
      </c>
      <c r="BX3932" s="2" t="s">
        <v>8148</v>
      </c>
      <c r="BY3932" s="2" t="s">
        <v>113</v>
      </c>
      <c r="BZ3932" s="2" t="s">
        <v>245</v>
      </c>
    </row>
    <row r="3933">
      <c r="A3933" s="2" t="s">
        <v>11887</v>
      </c>
      <c r="B3933" s="2" t="s">
        <v>11863</v>
      </c>
      <c r="C3933" s="2" t="s">
        <v>88</v>
      </c>
      <c r="D3933" s="2" t="s">
        <v>2605</v>
      </c>
      <c r="E3933" s="2" t="s">
        <v>2606</v>
      </c>
      <c r="F3933" s="2" t="s">
        <v>11864</v>
      </c>
      <c r="G3933" s="2" t="s">
        <v>11865</v>
      </c>
      <c r="H3933" s="2" t="s">
        <v>11866</v>
      </c>
      <c r="I3933" s="2" t="s">
        <v>11867</v>
      </c>
      <c r="J3933" s="2" t="s">
        <v>11880</v>
      </c>
      <c r="K3933" s="2" t="s">
        <v>858</v>
      </c>
      <c r="L3933" s="3">
        <v>22</v>
      </c>
      <c r="M3933" s="3">
        <v>23.1</v>
      </c>
      <c r="N3933" s="3">
        <v>47.99</v>
      </c>
      <c r="O3933" s="2" t="s">
        <v>97</v>
      </c>
      <c r="P3933" s="2" t="s">
        <v>225</v>
      </c>
      <c r="Q3933" s="2" t="s">
        <v>99</v>
      </c>
      <c r="R3933" s="2" t="s">
        <v>100</v>
      </c>
      <c r="S3933" s="2" t="s">
        <v>11881</v>
      </c>
      <c r="T3933" s="2" t="s">
        <v>100</v>
      </c>
      <c r="U3933" s="2" t="s">
        <v>1847</v>
      </c>
      <c r="V3933" s="2" t="s">
        <v>201</v>
      </c>
      <c r="W3933" s="2" t="s">
        <v>183</v>
      </c>
      <c r="X3933" s="2" t="s">
        <v>11870</v>
      </c>
      <c r="Y3933" s="2" t="s">
        <v>2532</v>
      </c>
      <c r="Z3933" s="4">
        <v>181</v>
      </c>
      <c r="AA3933" s="4">
        <f>=ROUNDDOWN(8.61904761904762,0)</f>
      </c>
      <c r="AB3933" s="5">
        <v>21</v>
      </c>
      <c r="AC3933" s="2" t="s">
        <v>1457</v>
      </c>
      <c r="AD3933" s="4">
        <v>400</v>
      </c>
      <c r="AE3933" s="4">
        <v>460</v>
      </c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81</v>
      </c>
      <c r="BK3933" s="8">
        <v>2027.3</v>
      </c>
      <c r="BL3933" s="2" t="s">
        <v>9635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2480</v>
      </c>
      <c r="BV3933" s="2" t="s">
        <v>97</v>
      </c>
      <c r="BW3933" s="2" t="s">
        <v>100</v>
      </c>
      <c r="BX3933" s="2" t="s">
        <v>100</v>
      </c>
      <c r="BY3933" s="2" t="s">
        <v>113</v>
      </c>
      <c r="BZ3933" s="2" t="s">
        <v>100</v>
      </c>
    </row>
    <row r="3934">
      <c r="A3934" s="2" t="s">
        <v>11888</v>
      </c>
      <c r="B3934" s="2" t="s">
        <v>11863</v>
      </c>
      <c r="C3934" s="2" t="s">
        <v>88</v>
      </c>
      <c r="D3934" s="2" t="s">
        <v>2605</v>
      </c>
      <c r="E3934" s="2" t="s">
        <v>2606</v>
      </c>
      <c r="F3934" s="2" t="s">
        <v>11864</v>
      </c>
      <c r="G3934" s="2" t="s">
        <v>11865</v>
      </c>
      <c r="H3934" s="2" t="s">
        <v>11866</v>
      </c>
      <c r="I3934" s="2" t="s">
        <v>11867</v>
      </c>
      <c r="J3934" s="2" t="s">
        <v>11868</v>
      </c>
      <c r="K3934" s="2" t="s">
        <v>278</v>
      </c>
      <c r="L3934" s="3">
        <v>17.48</v>
      </c>
      <c r="M3934" s="3">
        <v>18.35</v>
      </c>
      <c r="N3934" s="3">
        <v>37.99</v>
      </c>
      <c r="O3934" s="2" t="s">
        <v>97</v>
      </c>
      <c r="P3934" s="2" t="s">
        <v>119</v>
      </c>
      <c r="Q3934" s="2" t="s">
        <v>99</v>
      </c>
      <c r="R3934" s="2" t="s">
        <v>100</v>
      </c>
      <c r="S3934" s="2" t="s">
        <v>11889</v>
      </c>
      <c r="T3934" s="2" t="s">
        <v>100</v>
      </c>
      <c r="U3934" s="2" t="s">
        <v>1847</v>
      </c>
      <c r="V3934" s="2" t="s">
        <v>201</v>
      </c>
      <c r="W3934" s="2" t="s">
        <v>183</v>
      </c>
      <c r="X3934" s="2" t="s">
        <v>11870</v>
      </c>
      <c r="Y3934" s="2" t="s">
        <v>11890</v>
      </c>
      <c r="Z3934" s="4">
        <v>475</v>
      </c>
      <c r="AA3934" s="4">
        <f>=ROUNDDOWN(4.52380952380952,0)</f>
      </c>
      <c r="AB3934" s="5">
        <v>105</v>
      </c>
      <c r="AC3934" s="2" t="s">
        <v>417</v>
      </c>
      <c r="AD3934" s="4">
        <v>380</v>
      </c>
      <c r="AE3934" s="4">
        <v>3636</v>
      </c>
      <c r="AF3934" s="6">
        <v>65</v>
      </c>
      <c r="AG3934" s="6"/>
      <c r="AH3934" s="7">
        <v>0.9947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 t="s">
        <v>100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3033</v>
      </c>
      <c r="BK3934" s="8">
        <v>57880.93</v>
      </c>
      <c r="BL3934" s="2" t="s">
        <v>7491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207</v>
      </c>
      <c r="BV3934" s="2" t="s">
        <v>97</v>
      </c>
      <c r="BW3934" s="2" t="s">
        <v>100</v>
      </c>
      <c r="BX3934" s="2" t="s">
        <v>100</v>
      </c>
      <c r="BY3934" s="2" t="s">
        <v>113</v>
      </c>
      <c r="BZ3934" s="2" t="s">
        <v>245</v>
      </c>
    </row>
    <row r="3935">
      <c r="A3935" s="2" t="s">
        <v>11891</v>
      </c>
      <c r="B3935" s="2" t="s">
        <v>11863</v>
      </c>
      <c r="C3935" s="2" t="s">
        <v>88</v>
      </c>
      <c r="D3935" s="2" t="s">
        <v>2605</v>
      </c>
      <c r="E3935" s="2" t="s">
        <v>2606</v>
      </c>
      <c r="F3935" s="2" t="s">
        <v>11864</v>
      </c>
      <c r="G3935" s="2" t="s">
        <v>11865</v>
      </c>
      <c r="H3935" s="2" t="s">
        <v>11866</v>
      </c>
      <c r="I3935" s="2" t="s">
        <v>11874</v>
      </c>
      <c r="J3935" s="2" t="s">
        <v>11868</v>
      </c>
      <c r="K3935" s="2" t="s">
        <v>278</v>
      </c>
      <c r="L3935" s="3">
        <v>18.24</v>
      </c>
      <c r="M3935" s="3">
        <v>19.15</v>
      </c>
      <c r="N3935" s="3">
        <v>37.99</v>
      </c>
      <c r="O3935" s="2" t="s">
        <v>97</v>
      </c>
      <c r="P3935" s="2" t="s">
        <v>119</v>
      </c>
      <c r="Q3935" s="2" t="s">
        <v>99</v>
      </c>
      <c r="R3935" s="2" t="s">
        <v>100</v>
      </c>
      <c r="S3935" s="2" t="s">
        <v>11889</v>
      </c>
      <c r="T3935" s="2" t="s">
        <v>100</v>
      </c>
      <c r="U3935" s="2" t="s">
        <v>1847</v>
      </c>
      <c r="V3935" s="2" t="s">
        <v>201</v>
      </c>
      <c r="W3935" s="2" t="s">
        <v>183</v>
      </c>
      <c r="X3935" s="2" t="s">
        <v>11870</v>
      </c>
      <c r="Y3935" s="2" t="s">
        <v>7481</v>
      </c>
      <c r="Z3935" s="4">
        <v>500</v>
      </c>
      <c r="AA3935" s="4">
        <f>=ROUNDDOWN(23.8095238095238,0)</f>
      </c>
      <c r="AB3935" s="5">
        <v>21</v>
      </c>
      <c r="AC3935" s="2" t="s">
        <v>3031</v>
      </c>
      <c r="AD3935" s="4">
        <v>360</v>
      </c>
      <c r="AE3935" s="4">
        <v>360</v>
      </c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100</v>
      </c>
      <c r="AW3935" s="8" t="s">
        <v>100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 t="s">
        <v>100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 t="s">
        <v>100</v>
      </c>
      <c r="BJ3935" s="4">
        <v>296</v>
      </c>
      <c r="BK3935" s="8">
        <v>5878.99</v>
      </c>
      <c r="BL3935" s="2" t="s">
        <v>11892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207</v>
      </c>
      <c r="BV3935" s="2" t="s">
        <v>97</v>
      </c>
      <c r="BW3935" s="2" t="s">
        <v>100</v>
      </c>
      <c r="BX3935" s="2" t="s">
        <v>100</v>
      </c>
      <c r="BY3935" s="2" t="s">
        <v>113</v>
      </c>
      <c r="BZ3935" s="2" t="s">
        <v>245</v>
      </c>
    </row>
    <row r="3936">
      <c r="A3936" s="2" t="s">
        <v>11893</v>
      </c>
      <c r="B3936" s="2" t="s">
        <v>11863</v>
      </c>
      <c r="C3936" s="2" t="s">
        <v>88</v>
      </c>
      <c r="D3936" s="2" t="s">
        <v>2605</v>
      </c>
      <c r="E3936" s="2" t="s">
        <v>2606</v>
      </c>
      <c r="F3936" s="2" t="s">
        <v>11864</v>
      </c>
      <c r="G3936" s="2" t="s">
        <v>11865</v>
      </c>
      <c r="H3936" s="2" t="s">
        <v>11866</v>
      </c>
      <c r="I3936" s="2" t="s">
        <v>11867</v>
      </c>
      <c r="J3936" s="2" t="s">
        <v>11878</v>
      </c>
      <c r="K3936" s="2" t="s">
        <v>278</v>
      </c>
      <c r="L3936" s="3">
        <v>20.21</v>
      </c>
      <c r="M3936" s="3">
        <v>21.22</v>
      </c>
      <c r="N3936" s="3">
        <v>42.99</v>
      </c>
      <c r="O3936" s="2" t="s">
        <v>97</v>
      </c>
      <c r="P3936" s="2" t="s">
        <v>119</v>
      </c>
      <c r="Q3936" s="2" t="s">
        <v>99</v>
      </c>
      <c r="R3936" s="2" t="s">
        <v>100</v>
      </c>
      <c r="S3936" s="2" t="s">
        <v>11889</v>
      </c>
      <c r="T3936" s="2" t="s">
        <v>100</v>
      </c>
      <c r="U3936" s="2" t="s">
        <v>1847</v>
      </c>
      <c r="V3936" s="2" t="s">
        <v>201</v>
      </c>
      <c r="W3936" s="2" t="s">
        <v>183</v>
      </c>
      <c r="X3936" s="2" t="s">
        <v>11870</v>
      </c>
      <c r="Y3936" s="2" t="s">
        <v>11890</v>
      </c>
      <c r="Z3936" s="4">
        <v>97</v>
      </c>
      <c r="AA3936" s="4">
        <f>=ROUNDDOWN(1.64406779661017,0)</f>
      </c>
      <c r="AB3936" s="5">
        <v>59</v>
      </c>
      <c r="AC3936" s="2" t="s">
        <v>417</v>
      </c>
      <c r="AD3936" s="4">
        <v>128</v>
      </c>
      <c r="AE3936" s="4">
        <v>2276</v>
      </c>
      <c r="AF3936" s="6">
        <v>65</v>
      </c>
      <c r="AG3936" s="6"/>
      <c r="AH3936" s="7">
        <v>0.9626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/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1136</v>
      </c>
      <c r="BK3936" s="8">
        <v>24933.8</v>
      </c>
      <c r="BL3936" s="2" t="s">
        <v>7491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207</v>
      </c>
      <c r="BV3936" s="2" t="s">
        <v>97</v>
      </c>
      <c r="BW3936" s="2" t="s">
        <v>100</v>
      </c>
      <c r="BX3936" s="2" t="s">
        <v>100</v>
      </c>
      <c r="BY3936" s="2" t="s">
        <v>113</v>
      </c>
      <c r="BZ3936" s="2" t="s">
        <v>245</v>
      </c>
    </row>
    <row r="3937">
      <c r="A3937" s="2" t="s">
        <v>11894</v>
      </c>
      <c r="B3937" s="2" t="s">
        <v>11863</v>
      </c>
      <c r="C3937" s="2" t="s">
        <v>88</v>
      </c>
      <c r="D3937" s="2" t="s">
        <v>2605</v>
      </c>
      <c r="E3937" s="2" t="s">
        <v>2606</v>
      </c>
      <c r="F3937" s="2" t="s">
        <v>11864</v>
      </c>
      <c r="G3937" s="2" t="s">
        <v>11865</v>
      </c>
      <c r="H3937" s="2" t="s">
        <v>11866</v>
      </c>
      <c r="I3937" s="2" t="s">
        <v>11867</v>
      </c>
      <c r="J3937" s="2" t="s">
        <v>11868</v>
      </c>
      <c r="K3937" s="2" t="s">
        <v>198</v>
      </c>
      <c r="L3937" s="3">
        <v>17.48</v>
      </c>
      <c r="M3937" s="3">
        <v>18.35</v>
      </c>
      <c r="N3937" s="3">
        <v>37.99</v>
      </c>
      <c r="O3937" s="2" t="s">
        <v>97</v>
      </c>
      <c r="P3937" s="2" t="s">
        <v>119</v>
      </c>
      <c r="Q3937" s="2" t="s">
        <v>99</v>
      </c>
      <c r="R3937" s="2" t="s">
        <v>100</v>
      </c>
      <c r="S3937" s="2" t="s">
        <v>11881</v>
      </c>
      <c r="T3937" s="2" t="s">
        <v>100</v>
      </c>
      <c r="U3937" s="2" t="s">
        <v>1847</v>
      </c>
      <c r="V3937" s="2" t="s">
        <v>201</v>
      </c>
      <c r="W3937" s="2" t="s">
        <v>183</v>
      </c>
      <c r="X3937" s="2" t="s">
        <v>11870</v>
      </c>
      <c r="Y3937" s="2" t="s">
        <v>11890</v>
      </c>
      <c r="Z3937" s="4">
        <v>823</v>
      </c>
      <c r="AA3937" s="4">
        <f>=ROUNDDOWN(37.4090909090909,0)</f>
      </c>
      <c r="AB3937" s="5">
        <v>22</v>
      </c>
      <c r="AC3937" s="2" t="s">
        <v>100</v>
      </c>
      <c r="AD3937" s="4"/>
      <c r="AE3937" s="4"/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 t="s">
        <v>100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381</v>
      </c>
      <c r="BK3937" s="8">
        <v>6960.72</v>
      </c>
      <c r="BL3937" s="2" t="s">
        <v>10986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207</v>
      </c>
      <c r="BV3937" s="2" t="s">
        <v>97</v>
      </c>
      <c r="BW3937" s="2" t="s">
        <v>100</v>
      </c>
      <c r="BX3937" s="2" t="s">
        <v>100</v>
      </c>
      <c r="BY3937" s="2" t="s">
        <v>113</v>
      </c>
      <c r="BZ3937" s="2" t="s">
        <v>245</v>
      </c>
    </row>
    <row r="3938">
      <c r="A3938" s="2" t="s">
        <v>11895</v>
      </c>
      <c r="B3938" s="2" t="s">
        <v>11863</v>
      </c>
      <c r="C3938" s="2" t="s">
        <v>88</v>
      </c>
      <c r="D3938" s="2" t="s">
        <v>2605</v>
      </c>
      <c r="E3938" s="2" t="s">
        <v>2606</v>
      </c>
      <c r="F3938" s="2" t="s">
        <v>11864</v>
      </c>
      <c r="G3938" s="2" t="s">
        <v>11865</v>
      </c>
      <c r="H3938" s="2" t="s">
        <v>11866</v>
      </c>
      <c r="I3938" s="2" t="s">
        <v>11874</v>
      </c>
      <c r="J3938" s="2" t="s">
        <v>11868</v>
      </c>
      <c r="K3938" s="2" t="s">
        <v>198</v>
      </c>
      <c r="L3938" s="3">
        <v>18.24</v>
      </c>
      <c r="M3938" s="3">
        <v>19.15</v>
      </c>
      <c r="N3938" s="3">
        <v>37.99</v>
      </c>
      <c r="O3938" s="2" t="s">
        <v>97</v>
      </c>
      <c r="P3938" s="2" t="s">
        <v>119</v>
      </c>
      <c r="Q3938" s="2" t="s">
        <v>99</v>
      </c>
      <c r="R3938" s="2" t="s">
        <v>100</v>
      </c>
      <c r="S3938" s="2" t="s">
        <v>11881</v>
      </c>
      <c r="T3938" s="2" t="s">
        <v>100</v>
      </c>
      <c r="U3938" s="2" t="s">
        <v>1847</v>
      </c>
      <c r="V3938" s="2" t="s">
        <v>201</v>
      </c>
      <c r="W3938" s="2" t="s">
        <v>183</v>
      </c>
      <c r="X3938" s="2" t="s">
        <v>11870</v>
      </c>
      <c r="Y3938" s="2" t="s">
        <v>7481</v>
      </c>
      <c r="Z3938" s="4">
        <v>190</v>
      </c>
      <c r="AA3938" s="4">
        <f>=ROUNDDOWN(47.5,0)</f>
      </c>
      <c r="AB3938" s="5">
        <v>4</v>
      </c>
      <c r="AC3938" s="2" t="s">
        <v>100</v>
      </c>
      <c r="AD3938" s="4"/>
      <c r="AE3938" s="4"/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 t="s">
        <v>100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45</v>
      </c>
      <c r="BK3938" s="8">
        <v>838.64</v>
      </c>
      <c r="BL3938" s="2" t="s">
        <v>10138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207</v>
      </c>
      <c r="BV3938" s="2" t="s">
        <v>97</v>
      </c>
      <c r="BW3938" s="2" t="s">
        <v>100</v>
      </c>
      <c r="BX3938" s="2" t="s">
        <v>100</v>
      </c>
      <c r="BY3938" s="2" t="s">
        <v>113</v>
      </c>
      <c r="BZ3938" s="2" t="s">
        <v>245</v>
      </c>
    </row>
    <row r="3939">
      <c r="A3939" s="2" t="s">
        <v>11896</v>
      </c>
      <c r="B3939" s="2" t="s">
        <v>11863</v>
      </c>
      <c r="C3939" s="2" t="s">
        <v>88</v>
      </c>
      <c r="D3939" s="2" t="s">
        <v>2605</v>
      </c>
      <c r="E3939" s="2" t="s">
        <v>2606</v>
      </c>
      <c r="F3939" s="2" t="s">
        <v>11864</v>
      </c>
      <c r="G3939" s="2" t="s">
        <v>11865</v>
      </c>
      <c r="H3939" s="2" t="s">
        <v>11866</v>
      </c>
      <c r="I3939" s="2" t="s">
        <v>11867</v>
      </c>
      <c r="J3939" s="2" t="s">
        <v>11878</v>
      </c>
      <c r="K3939" s="2" t="s">
        <v>198</v>
      </c>
      <c r="L3939" s="3">
        <v>20.21</v>
      </c>
      <c r="M3939" s="3">
        <v>21.22</v>
      </c>
      <c r="N3939" s="3">
        <v>42.99</v>
      </c>
      <c r="O3939" s="2" t="s">
        <v>97</v>
      </c>
      <c r="P3939" s="2" t="s">
        <v>119</v>
      </c>
      <c r="Q3939" s="2" t="s">
        <v>99</v>
      </c>
      <c r="R3939" s="2" t="s">
        <v>100</v>
      </c>
      <c r="S3939" s="2" t="s">
        <v>11881</v>
      </c>
      <c r="T3939" s="2" t="s">
        <v>100</v>
      </c>
      <c r="U3939" s="2" t="s">
        <v>1847</v>
      </c>
      <c r="V3939" s="2" t="s">
        <v>201</v>
      </c>
      <c r="W3939" s="2" t="s">
        <v>183</v>
      </c>
      <c r="X3939" s="2" t="s">
        <v>11870</v>
      </c>
      <c r="Y3939" s="2" t="s">
        <v>11890</v>
      </c>
      <c r="Z3939" s="4">
        <v>833</v>
      </c>
      <c r="AA3939" s="4">
        <f>=ROUNDDOWN(49,0)</f>
      </c>
      <c r="AB3939" s="5">
        <v>17</v>
      </c>
      <c r="AC3939" s="2" t="s">
        <v>100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/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 t="s">
        <v>100</v>
      </c>
      <c r="BJ3939" s="4">
        <v>301</v>
      </c>
      <c r="BK3939" s="8">
        <v>6342.25</v>
      </c>
      <c r="BL3939" s="2" t="s">
        <v>2197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207</v>
      </c>
      <c r="BV3939" s="2" t="s">
        <v>97</v>
      </c>
      <c r="BW3939" s="2" t="s">
        <v>100</v>
      </c>
      <c r="BX3939" s="2" t="s">
        <v>100</v>
      </c>
      <c r="BY3939" s="2" t="s">
        <v>113</v>
      </c>
      <c r="BZ3939" s="2" t="s">
        <v>245</v>
      </c>
    </row>
    <row r="3940">
      <c r="A3940" s="2" t="s">
        <v>11897</v>
      </c>
      <c r="B3940" s="2" t="s">
        <v>11863</v>
      </c>
      <c r="C3940" s="2" t="s">
        <v>88</v>
      </c>
      <c r="D3940" s="2" t="s">
        <v>2605</v>
      </c>
      <c r="E3940" s="2" t="s">
        <v>2606</v>
      </c>
      <c r="F3940" s="2" t="s">
        <v>11898</v>
      </c>
      <c r="G3940" s="2" t="s">
        <v>11899</v>
      </c>
      <c r="H3940" s="2" t="s">
        <v>11900</v>
      </c>
      <c r="I3940" s="2" t="s">
        <v>2607</v>
      </c>
      <c r="J3940" s="2" t="s">
        <v>11868</v>
      </c>
      <c r="K3940" s="2" t="s">
        <v>118</v>
      </c>
      <c r="L3940" s="3">
        <v>16.65</v>
      </c>
      <c r="M3940" s="3">
        <v>17.48</v>
      </c>
      <c r="N3940" s="3">
        <v>36.99</v>
      </c>
      <c r="O3940" s="2" t="s">
        <v>97</v>
      </c>
      <c r="P3940" s="2" t="s">
        <v>950</v>
      </c>
      <c r="Q3940" s="2" t="s">
        <v>99</v>
      </c>
      <c r="R3940" s="2" t="s">
        <v>100</v>
      </c>
      <c r="S3940" s="2" t="s">
        <v>11901</v>
      </c>
      <c r="T3940" s="2" t="s">
        <v>100</v>
      </c>
      <c r="U3940" s="2" t="s">
        <v>100</v>
      </c>
      <c r="V3940" s="2" t="s">
        <v>292</v>
      </c>
      <c r="W3940" s="2" t="s">
        <v>104</v>
      </c>
      <c r="X3940" s="2" t="s">
        <v>11870</v>
      </c>
      <c r="Y3940" s="2" t="s">
        <v>240</v>
      </c>
      <c r="Z3940" s="4">
        <v>181</v>
      </c>
      <c r="AA3940" s="4">
        <f>=ROUNDDOWN(15.0833333333333,0)</f>
      </c>
      <c r="AB3940" s="5">
        <v>12</v>
      </c>
      <c r="AC3940" s="2" t="s">
        <v>205</v>
      </c>
      <c r="AD3940" s="4">
        <v>260</v>
      </c>
      <c r="AE3940" s="4">
        <v>368</v>
      </c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>
        <v>2</v>
      </c>
      <c r="AQ3940" s="8">
        <v>31.36</v>
      </c>
      <c r="AR3940" s="4"/>
      <c r="AS3940" s="8"/>
      <c r="AT3940" s="7"/>
      <c r="AU3940" s="7"/>
      <c r="AV3940" s="4">
        <v>19</v>
      </c>
      <c r="AW3940" s="8">
        <v>342.29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0.0916</v>
      </c>
      <c r="BC3940" s="4">
        <v>43</v>
      </c>
      <c r="BD3940" s="8">
        <v>744.71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>
        <v>0.4596</v>
      </c>
      <c r="BJ3940" s="4">
        <v>361</v>
      </c>
      <c r="BK3940" s="8">
        <v>6265.04</v>
      </c>
      <c r="BL3940" s="2" t="s">
        <v>11902</v>
      </c>
      <c r="BM3940" s="7">
        <v>0.0055</v>
      </c>
      <c r="BN3940" s="7">
        <v>0.005</v>
      </c>
      <c r="BO3940" s="4">
        <v>2</v>
      </c>
      <c r="BP3940" s="8">
        <v>31.36</v>
      </c>
      <c r="BQ3940" s="4"/>
      <c r="BR3940" s="8"/>
      <c r="BS3940" s="7"/>
      <c r="BT3940" s="7"/>
      <c r="BU3940" s="2" t="s">
        <v>109</v>
      </c>
      <c r="BV3940" s="2" t="s">
        <v>110</v>
      </c>
      <c r="BW3940" s="2" t="s">
        <v>243</v>
      </c>
      <c r="BX3940" s="2" t="s">
        <v>11903</v>
      </c>
      <c r="BY3940" s="2" t="s">
        <v>113</v>
      </c>
      <c r="BZ3940" s="2" t="s">
        <v>245</v>
      </c>
    </row>
    <row r="3941">
      <c r="A3941" s="2" t="s">
        <v>11904</v>
      </c>
      <c r="B3941" s="2" t="s">
        <v>11863</v>
      </c>
      <c r="C3941" s="2" t="s">
        <v>88</v>
      </c>
      <c r="D3941" s="2" t="s">
        <v>2605</v>
      </c>
      <c r="E3941" s="2" t="s">
        <v>2606</v>
      </c>
      <c r="F3941" s="2" t="s">
        <v>11898</v>
      </c>
      <c r="G3941" s="2" t="s">
        <v>11899</v>
      </c>
      <c r="H3941" s="2" t="s">
        <v>11900</v>
      </c>
      <c r="I3941" s="2" t="s">
        <v>2607</v>
      </c>
      <c r="J3941" s="2" t="s">
        <v>11878</v>
      </c>
      <c r="K3941" s="2" t="s">
        <v>118</v>
      </c>
      <c r="L3941" s="3">
        <v>19.35</v>
      </c>
      <c r="M3941" s="3">
        <v>20.32</v>
      </c>
      <c r="N3941" s="3">
        <v>42.99</v>
      </c>
      <c r="O3941" s="2" t="s">
        <v>97</v>
      </c>
      <c r="P3941" s="2" t="s">
        <v>119</v>
      </c>
      <c r="Q3941" s="2" t="s">
        <v>99</v>
      </c>
      <c r="R3941" s="2" t="s">
        <v>100</v>
      </c>
      <c r="S3941" s="2" t="s">
        <v>11901</v>
      </c>
      <c r="T3941" s="2" t="s">
        <v>100</v>
      </c>
      <c r="U3941" s="2" t="s">
        <v>100</v>
      </c>
      <c r="V3941" s="2" t="s">
        <v>292</v>
      </c>
      <c r="W3941" s="2" t="s">
        <v>104</v>
      </c>
      <c r="X3941" s="2" t="s">
        <v>11870</v>
      </c>
      <c r="Y3941" s="2" t="s">
        <v>240</v>
      </c>
      <c r="Z3941" s="4">
        <v>192</v>
      </c>
      <c r="AA3941" s="4">
        <f>=ROUNDDOWN(24,0)</f>
      </c>
      <c r="AB3941" s="5">
        <v>8</v>
      </c>
      <c r="AC3941" s="2" t="s">
        <v>205</v>
      </c>
      <c r="AD3941" s="4">
        <v>12</v>
      </c>
      <c r="AE3941" s="4">
        <v>180</v>
      </c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>
        <v>17</v>
      </c>
      <c r="AQ3941" s="8">
        <v>310.93</v>
      </c>
      <c r="AR3941" s="4"/>
      <c r="AS3941" s="8"/>
      <c r="AT3941" s="7"/>
      <c r="AU3941" s="7"/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0.9084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 t="s">
        <v>100</v>
      </c>
      <c r="BJ3941" s="4">
        <v>202</v>
      </c>
      <c r="BK3941" s="8">
        <v>4227.48</v>
      </c>
      <c r="BL3941" s="2" t="s">
        <v>11905</v>
      </c>
      <c r="BM3941" s="7">
        <v>0.0842</v>
      </c>
      <c r="BN3941" s="7">
        <v>0.0735</v>
      </c>
      <c r="BO3941" s="4">
        <v>17</v>
      </c>
      <c r="BP3941" s="8">
        <v>310.93</v>
      </c>
      <c r="BQ3941" s="4"/>
      <c r="BR3941" s="8"/>
      <c r="BS3941" s="7"/>
      <c r="BT3941" s="7"/>
      <c r="BU3941" s="2" t="s">
        <v>109</v>
      </c>
      <c r="BV3941" s="2" t="s">
        <v>110</v>
      </c>
      <c r="BW3941" s="2" t="s">
        <v>243</v>
      </c>
      <c r="BX3941" s="2" t="s">
        <v>11906</v>
      </c>
      <c r="BY3941" s="2" t="s">
        <v>113</v>
      </c>
      <c r="BZ3941" s="2" t="s">
        <v>245</v>
      </c>
    </row>
    <row r="3942">
      <c r="A3942" s="2" t="s">
        <v>11907</v>
      </c>
      <c r="B3942" s="2" t="s">
        <v>11863</v>
      </c>
      <c r="C3942" s="2" t="s">
        <v>88</v>
      </c>
      <c r="D3942" s="2" t="s">
        <v>2605</v>
      </c>
      <c r="E3942" s="2" t="s">
        <v>2606</v>
      </c>
      <c r="F3942" s="2" t="s">
        <v>11898</v>
      </c>
      <c r="G3942" s="2" t="s">
        <v>11899</v>
      </c>
      <c r="H3942" s="2" t="s">
        <v>11900</v>
      </c>
      <c r="I3942" s="2" t="s">
        <v>2607</v>
      </c>
      <c r="J3942" s="2" t="s">
        <v>11868</v>
      </c>
      <c r="K3942" s="2" t="s">
        <v>189</v>
      </c>
      <c r="L3942" s="3">
        <v>16.65</v>
      </c>
      <c r="M3942" s="3">
        <v>17.48</v>
      </c>
      <c r="N3942" s="3">
        <v>36.99</v>
      </c>
      <c r="O3942" s="2" t="s">
        <v>97</v>
      </c>
      <c r="P3942" s="2" t="s">
        <v>950</v>
      </c>
      <c r="Q3942" s="2" t="s">
        <v>99</v>
      </c>
      <c r="R3942" s="2" t="s">
        <v>100</v>
      </c>
      <c r="S3942" s="2" t="s">
        <v>11908</v>
      </c>
      <c r="T3942" s="2" t="s">
        <v>100</v>
      </c>
      <c r="U3942" s="2" t="s">
        <v>100</v>
      </c>
      <c r="V3942" s="2" t="s">
        <v>292</v>
      </c>
      <c r="W3942" s="2" t="s">
        <v>104</v>
      </c>
      <c r="X3942" s="2" t="s">
        <v>11870</v>
      </c>
      <c r="Y3942" s="2" t="s">
        <v>240</v>
      </c>
      <c r="Z3942" s="4">
        <v>531</v>
      </c>
      <c r="AA3942" s="4">
        <f>=ROUNDDOWN(33.1875,0)</f>
      </c>
      <c r="AB3942" s="5">
        <v>16</v>
      </c>
      <c r="AC3942" s="2" t="s">
        <v>1457</v>
      </c>
      <c r="AD3942" s="4">
        <v>120</v>
      </c>
      <c r="AE3942" s="4">
        <v>120</v>
      </c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>
        <v>2</v>
      </c>
      <c r="AQ3942" s="8">
        <v>31.36</v>
      </c>
      <c r="AR3942" s="4"/>
      <c r="AS3942" s="8"/>
      <c r="AT3942" s="7"/>
      <c r="AU3942" s="7"/>
      <c r="AV3942" s="4">
        <v>10</v>
      </c>
      <c r="AW3942" s="8">
        <v>177.68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0.1765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>
        <v>0.2386</v>
      </c>
      <c r="BJ3942" s="4">
        <v>423</v>
      </c>
      <c r="BK3942" s="8">
        <v>7184.24</v>
      </c>
      <c r="BL3942" s="2" t="s">
        <v>11909</v>
      </c>
      <c r="BM3942" s="7">
        <v>0.0047</v>
      </c>
      <c r="BN3942" s="7">
        <v>0.0044</v>
      </c>
      <c r="BO3942" s="4">
        <v>2</v>
      </c>
      <c r="BP3942" s="8">
        <v>31.36</v>
      </c>
      <c r="BQ3942" s="4"/>
      <c r="BR3942" s="8"/>
      <c r="BS3942" s="7"/>
      <c r="BT3942" s="7"/>
      <c r="BU3942" s="2" t="s">
        <v>109</v>
      </c>
      <c r="BV3942" s="2" t="s">
        <v>110</v>
      </c>
      <c r="BW3942" s="2" t="s">
        <v>243</v>
      </c>
      <c r="BX3942" s="2" t="s">
        <v>11910</v>
      </c>
      <c r="BY3942" s="2" t="s">
        <v>113</v>
      </c>
      <c r="BZ3942" s="2" t="s">
        <v>245</v>
      </c>
    </row>
    <row r="3943">
      <c r="A3943" s="2" t="s">
        <v>11911</v>
      </c>
      <c r="B3943" s="2" t="s">
        <v>11863</v>
      </c>
      <c r="C3943" s="2" t="s">
        <v>88</v>
      </c>
      <c r="D3943" s="2" t="s">
        <v>2605</v>
      </c>
      <c r="E3943" s="2" t="s">
        <v>2606</v>
      </c>
      <c r="F3943" s="2" t="s">
        <v>11898</v>
      </c>
      <c r="G3943" s="2" t="s">
        <v>11899</v>
      </c>
      <c r="H3943" s="2" t="s">
        <v>11900</v>
      </c>
      <c r="I3943" s="2" t="s">
        <v>2607</v>
      </c>
      <c r="J3943" s="2" t="s">
        <v>11878</v>
      </c>
      <c r="K3943" s="2" t="s">
        <v>189</v>
      </c>
      <c r="L3943" s="3">
        <v>19.35</v>
      </c>
      <c r="M3943" s="3">
        <v>20.32</v>
      </c>
      <c r="N3943" s="3">
        <v>42.99</v>
      </c>
      <c r="O3943" s="2" t="s">
        <v>97</v>
      </c>
      <c r="P3943" s="2" t="s">
        <v>950</v>
      </c>
      <c r="Q3943" s="2" t="s">
        <v>99</v>
      </c>
      <c r="R3943" s="2" t="s">
        <v>100</v>
      </c>
      <c r="S3943" s="2" t="s">
        <v>11908</v>
      </c>
      <c r="T3943" s="2" t="s">
        <v>100</v>
      </c>
      <c r="U3943" s="2" t="s">
        <v>100</v>
      </c>
      <c r="V3943" s="2" t="s">
        <v>292</v>
      </c>
      <c r="W3943" s="2" t="s">
        <v>104</v>
      </c>
      <c r="X3943" s="2" t="s">
        <v>11870</v>
      </c>
      <c r="Y3943" s="2" t="s">
        <v>240</v>
      </c>
      <c r="Z3943" s="4">
        <v>217</v>
      </c>
      <c r="AA3943" s="4">
        <f>=ROUNDDOWN(18.0833333333333,0)</f>
      </c>
      <c r="AB3943" s="5">
        <v>12</v>
      </c>
      <c r="AC3943" s="2" t="s">
        <v>205</v>
      </c>
      <c r="AD3943" s="4">
        <v>100</v>
      </c>
      <c r="AE3943" s="4">
        <v>328</v>
      </c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>
        <v>8</v>
      </c>
      <c r="AQ3943" s="8">
        <v>146.32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0.8235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202</v>
      </c>
      <c r="BK3943" s="8">
        <v>4918.86</v>
      </c>
      <c r="BL3943" s="2" t="s">
        <v>11912</v>
      </c>
      <c r="BM3943" s="7">
        <v>0.0396</v>
      </c>
      <c r="BN3943" s="7">
        <v>0.0297</v>
      </c>
      <c r="BO3943" s="4">
        <v>8</v>
      </c>
      <c r="BP3943" s="8">
        <v>146.32</v>
      </c>
      <c r="BQ3943" s="4"/>
      <c r="BR3943" s="8"/>
      <c r="BS3943" s="7"/>
      <c r="BT3943" s="7"/>
      <c r="BU3943" s="2" t="s">
        <v>109</v>
      </c>
      <c r="BV3943" s="2" t="s">
        <v>110</v>
      </c>
      <c r="BW3943" s="2" t="s">
        <v>243</v>
      </c>
      <c r="BX3943" s="2" t="s">
        <v>11913</v>
      </c>
      <c r="BY3943" s="2" t="s">
        <v>113</v>
      </c>
      <c r="BZ3943" s="2" t="s">
        <v>245</v>
      </c>
    </row>
    <row r="3944">
      <c r="A3944" s="2" t="s">
        <v>11914</v>
      </c>
      <c r="B3944" s="2" t="s">
        <v>11863</v>
      </c>
      <c r="C3944" s="2" t="s">
        <v>88</v>
      </c>
      <c r="D3944" s="2" t="s">
        <v>2605</v>
      </c>
      <c r="E3944" s="2" t="s">
        <v>2606</v>
      </c>
      <c r="F3944" s="2" t="s">
        <v>11898</v>
      </c>
      <c r="G3944" s="2" t="s">
        <v>11899</v>
      </c>
      <c r="H3944" s="2" t="s">
        <v>11900</v>
      </c>
      <c r="I3944" s="2" t="s">
        <v>2607</v>
      </c>
      <c r="J3944" s="2" t="s">
        <v>11868</v>
      </c>
      <c r="K3944" s="2" t="s">
        <v>1172</v>
      </c>
      <c r="L3944" s="3">
        <v>16.65</v>
      </c>
      <c r="M3944" s="3">
        <v>17.48</v>
      </c>
      <c r="N3944" s="3">
        <v>36.99</v>
      </c>
      <c r="O3944" s="2" t="s">
        <v>97</v>
      </c>
      <c r="P3944" s="2" t="s">
        <v>119</v>
      </c>
      <c r="Q3944" s="2" t="s">
        <v>99</v>
      </c>
      <c r="R3944" s="2" t="s">
        <v>100</v>
      </c>
      <c r="S3944" s="2" t="s">
        <v>11915</v>
      </c>
      <c r="T3944" s="2" t="s">
        <v>100</v>
      </c>
      <c r="U3944" s="2" t="s">
        <v>100</v>
      </c>
      <c r="V3944" s="2" t="s">
        <v>292</v>
      </c>
      <c r="W3944" s="2" t="s">
        <v>104</v>
      </c>
      <c r="X3944" s="2" t="s">
        <v>11870</v>
      </c>
      <c r="Y3944" s="2" t="s">
        <v>240</v>
      </c>
      <c r="Z3944" s="4">
        <v>362</v>
      </c>
      <c r="AA3944" s="4">
        <f>=ROUNDDOWN(32.9090909090909,0)</f>
      </c>
      <c r="AB3944" s="5">
        <v>11</v>
      </c>
      <c r="AC3944" s="2" t="s">
        <v>205</v>
      </c>
      <c r="AD3944" s="4">
        <v>100</v>
      </c>
      <c r="AE3944" s="4">
        <v>160</v>
      </c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>
        <v>8</v>
      </c>
      <c r="AQ3944" s="8">
        <v>125.44</v>
      </c>
      <c r="AR3944" s="4"/>
      <c r="AS3944" s="8"/>
      <c r="AT3944" s="7"/>
      <c r="AU3944" s="7"/>
      <c r="AV3944" s="4">
        <v>10</v>
      </c>
      <c r="AW3944" s="8">
        <v>162.02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0.7742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>
        <v>0.2176</v>
      </c>
      <c r="BJ3944" s="4">
        <v>275</v>
      </c>
      <c r="BK3944" s="8">
        <v>4618.73</v>
      </c>
      <c r="BL3944" s="2" t="s">
        <v>11916</v>
      </c>
      <c r="BM3944" s="7">
        <v>0.0291</v>
      </c>
      <c r="BN3944" s="7">
        <v>0.0272</v>
      </c>
      <c r="BO3944" s="4">
        <v>8</v>
      </c>
      <c r="BP3944" s="8">
        <v>125.44</v>
      </c>
      <c r="BQ3944" s="4"/>
      <c r="BR3944" s="8"/>
      <c r="BS3944" s="7"/>
      <c r="BT3944" s="7"/>
      <c r="BU3944" s="2" t="s">
        <v>109</v>
      </c>
      <c r="BV3944" s="2" t="s">
        <v>110</v>
      </c>
      <c r="BW3944" s="2" t="s">
        <v>243</v>
      </c>
      <c r="BX3944" s="2" t="s">
        <v>11917</v>
      </c>
      <c r="BY3944" s="2" t="s">
        <v>113</v>
      </c>
      <c r="BZ3944" s="2" t="s">
        <v>245</v>
      </c>
    </row>
    <row r="3945">
      <c r="A3945" s="2" t="s">
        <v>11918</v>
      </c>
      <c r="B3945" s="2" t="s">
        <v>11863</v>
      </c>
      <c r="C3945" s="2" t="s">
        <v>88</v>
      </c>
      <c r="D3945" s="2" t="s">
        <v>2605</v>
      </c>
      <c r="E3945" s="2" t="s">
        <v>2606</v>
      </c>
      <c r="F3945" s="2" t="s">
        <v>11898</v>
      </c>
      <c r="G3945" s="2" t="s">
        <v>11899</v>
      </c>
      <c r="H3945" s="2" t="s">
        <v>11900</v>
      </c>
      <c r="I3945" s="2" t="s">
        <v>2607</v>
      </c>
      <c r="J3945" s="2" t="s">
        <v>11878</v>
      </c>
      <c r="K3945" s="2" t="s">
        <v>1172</v>
      </c>
      <c r="L3945" s="3">
        <v>19.35</v>
      </c>
      <c r="M3945" s="3">
        <v>20.32</v>
      </c>
      <c r="N3945" s="3">
        <v>42.99</v>
      </c>
      <c r="O3945" s="2" t="s">
        <v>97</v>
      </c>
      <c r="P3945" s="2" t="s">
        <v>119</v>
      </c>
      <c r="Q3945" s="2" t="s">
        <v>99</v>
      </c>
      <c r="R3945" s="2" t="s">
        <v>100</v>
      </c>
      <c r="S3945" s="2" t="s">
        <v>11915</v>
      </c>
      <c r="T3945" s="2" t="s">
        <v>100</v>
      </c>
      <c r="U3945" s="2" t="s">
        <v>100</v>
      </c>
      <c r="V3945" s="2" t="s">
        <v>292</v>
      </c>
      <c r="W3945" s="2" t="s">
        <v>104</v>
      </c>
      <c r="X3945" s="2" t="s">
        <v>11870</v>
      </c>
      <c r="Y3945" s="2" t="s">
        <v>240</v>
      </c>
      <c r="Z3945" s="4">
        <v>165</v>
      </c>
      <c r="AA3945" s="4">
        <f>=ROUNDDOWN(20.625,0)</f>
      </c>
      <c r="AB3945" s="5">
        <v>8</v>
      </c>
      <c r="AC3945" s="2" t="s">
        <v>1457</v>
      </c>
      <c r="AD3945" s="4">
        <v>208</v>
      </c>
      <c r="AE3945" s="4">
        <v>208</v>
      </c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>
        <v>2</v>
      </c>
      <c r="AQ3945" s="8">
        <v>36.58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0.2258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139</v>
      </c>
      <c r="BK3945" s="8">
        <v>2807.18</v>
      </c>
      <c r="BL3945" s="2" t="s">
        <v>11919</v>
      </c>
      <c r="BM3945" s="7">
        <v>0.0144</v>
      </c>
      <c r="BN3945" s="7">
        <v>0.013</v>
      </c>
      <c r="BO3945" s="4">
        <v>2</v>
      </c>
      <c r="BP3945" s="8">
        <v>36.58</v>
      </c>
      <c r="BQ3945" s="4"/>
      <c r="BR3945" s="8"/>
      <c r="BS3945" s="7"/>
      <c r="BT3945" s="7"/>
      <c r="BU3945" s="2" t="s">
        <v>109</v>
      </c>
      <c r="BV3945" s="2" t="s">
        <v>110</v>
      </c>
      <c r="BW3945" s="2" t="s">
        <v>243</v>
      </c>
      <c r="BX3945" s="2" t="s">
        <v>11920</v>
      </c>
      <c r="BY3945" s="2" t="s">
        <v>113</v>
      </c>
      <c r="BZ3945" s="2" t="s">
        <v>245</v>
      </c>
    </row>
    <row r="3946">
      <c r="A3946" s="2" t="s">
        <v>11921</v>
      </c>
      <c r="B3946" s="2" t="s">
        <v>11863</v>
      </c>
      <c r="C3946" s="2" t="s">
        <v>88</v>
      </c>
      <c r="D3946" s="2" t="s">
        <v>2605</v>
      </c>
      <c r="E3946" s="2" t="s">
        <v>2606</v>
      </c>
      <c r="F3946" s="2" t="s">
        <v>11898</v>
      </c>
      <c r="G3946" s="2" t="s">
        <v>11899</v>
      </c>
      <c r="H3946" s="2" t="s">
        <v>11900</v>
      </c>
      <c r="I3946" s="2" t="s">
        <v>2607</v>
      </c>
      <c r="J3946" s="2" t="s">
        <v>11868</v>
      </c>
      <c r="K3946" s="2" t="s">
        <v>360</v>
      </c>
      <c r="L3946" s="3">
        <v>16.65</v>
      </c>
      <c r="M3946" s="3">
        <v>17.48</v>
      </c>
      <c r="N3946" s="3">
        <v>36.99</v>
      </c>
      <c r="O3946" s="2" t="s">
        <v>97</v>
      </c>
      <c r="P3946" s="2" t="s">
        <v>119</v>
      </c>
      <c r="Q3946" s="2" t="s">
        <v>99</v>
      </c>
      <c r="R3946" s="2" t="s">
        <v>100</v>
      </c>
      <c r="S3946" s="2" t="s">
        <v>11922</v>
      </c>
      <c r="T3946" s="2" t="s">
        <v>100</v>
      </c>
      <c r="U3946" s="2" t="s">
        <v>100</v>
      </c>
      <c r="V3946" s="2" t="s">
        <v>292</v>
      </c>
      <c r="W3946" s="2" t="s">
        <v>104</v>
      </c>
      <c r="X3946" s="2" t="s">
        <v>11870</v>
      </c>
      <c r="Y3946" s="2" t="s">
        <v>240</v>
      </c>
      <c r="Z3946" s="4">
        <v>106</v>
      </c>
      <c r="AA3946" s="4">
        <f>=ROUNDDOWN(5.57894736842105,0)</f>
      </c>
      <c r="AB3946" s="5">
        <v>19</v>
      </c>
      <c r="AC3946" s="2" t="s">
        <v>205</v>
      </c>
      <c r="AD3946" s="4">
        <v>168</v>
      </c>
      <c r="AE3946" s="4">
        <v>616</v>
      </c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>
        <v>4</v>
      </c>
      <c r="AQ3946" s="8">
        <v>62.72</v>
      </c>
      <c r="AR3946" s="4"/>
      <c r="AS3946" s="8"/>
      <c r="AT3946" s="7"/>
      <c r="AU3946" s="7"/>
      <c r="AV3946" s="4">
        <v>4</v>
      </c>
      <c r="AW3946" s="8">
        <v>62.72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1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0.0842</v>
      </c>
      <c r="BJ3946" s="4">
        <v>371</v>
      </c>
      <c r="BK3946" s="8">
        <v>7119.7</v>
      </c>
      <c r="BL3946" s="2" t="s">
        <v>11923</v>
      </c>
      <c r="BM3946" s="7">
        <v>0.0108</v>
      </c>
      <c r="BN3946" s="7">
        <v>0.0088</v>
      </c>
      <c r="BO3946" s="4">
        <v>4</v>
      </c>
      <c r="BP3946" s="8">
        <v>62.72</v>
      </c>
      <c r="BQ3946" s="4"/>
      <c r="BR3946" s="8"/>
      <c r="BS3946" s="7"/>
      <c r="BT3946" s="7"/>
      <c r="BU3946" s="2" t="s">
        <v>109</v>
      </c>
      <c r="BV3946" s="2" t="s">
        <v>110</v>
      </c>
      <c r="BW3946" s="2" t="s">
        <v>243</v>
      </c>
      <c r="BX3946" s="2" t="s">
        <v>6228</v>
      </c>
      <c r="BY3946" s="2" t="s">
        <v>113</v>
      </c>
      <c r="BZ3946" s="2" t="s">
        <v>245</v>
      </c>
    </row>
    <row r="3947">
      <c r="A3947" s="2" t="s">
        <v>11924</v>
      </c>
      <c r="B3947" s="2" t="s">
        <v>11863</v>
      </c>
      <c r="C3947" s="2" t="s">
        <v>88</v>
      </c>
      <c r="D3947" s="2" t="s">
        <v>2605</v>
      </c>
      <c r="E3947" s="2" t="s">
        <v>2606</v>
      </c>
      <c r="F3947" s="2" t="s">
        <v>11898</v>
      </c>
      <c r="G3947" s="2" t="s">
        <v>11899</v>
      </c>
      <c r="H3947" s="2" t="s">
        <v>11900</v>
      </c>
      <c r="I3947" s="2" t="s">
        <v>2607</v>
      </c>
      <c r="J3947" s="2" t="s">
        <v>11878</v>
      </c>
      <c r="K3947" s="2" t="s">
        <v>360</v>
      </c>
      <c r="L3947" s="3">
        <v>19.35</v>
      </c>
      <c r="M3947" s="3">
        <v>20.32</v>
      </c>
      <c r="N3947" s="3">
        <v>42.99</v>
      </c>
      <c r="O3947" s="2" t="s">
        <v>97</v>
      </c>
      <c r="P3947" s="2" t="s">
        <v>119</v>
      </c>
      <c r="Q3947" s="2" t="s">
        <v>99</v>
      </c>
      <c r="R3947" s="2" t="s">
        <v>100</v>
      </c>
      <c r="S3947" s="2" t="s">
        <v>11922</v>
      </c>
      <c r="T3947" s="2" t="s">
        <v>100</v>
      </c>
      <c r="U3947" s="2" t="s">
        <v>100</v>
      </c>
      <c r="V3947" s="2" t="s">
        <v>292</v>
      </c>
      <c r="W3947" s="2" t="s">
        <v>104</v>
      </c>
      <c r="X3947" s="2" t="s">
        <v>11870</v>
      </c>
      <c r="Y3947" s="2" t="s">
        <v>240</v>
      </c>
      <c r="Z3947" s="4">
        <v>71</v>
      </c>
      <c r="AA3947" s="4">
        <f>=ROUNDDOWN(10.1428571428571,0)</f>
      </c>
      <c r="AB3947" s="5">
        <v>7</v>
      </c>
      <c r="AC3947" s="2" t="s">
        <v>205</v>
      </c>
      <c r="AD3947" s="4">
        <v>60</v>
      </c>
      <c r="AE3947" s="4">
        <v>200</v>
      </c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/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131</v>
      </c>
      <c r="BK3947" s="8">
        <v>3023.36</v>
      </c>
      <c r="BL3947" s="2" t="s">
        <v>11925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243</v>
      </c>
      <c r="BX3947" s="2" t="s">
        <v>11926</v>
      </c>
      <c r="BY3947" s="2" t="s">
        <v>113</v>
      </c>
      <c r="BZ3947" s="2" t="s">
        <v>245</v>
      </c>
    </row>
    <row r="3948">
      <c r="A3948" s="2" t="s">
        <v>11927</v>
      </c>
      <c r="B3948" s="2" t="s">
        <v>11863</v>
      </c>
      <c r="C3948" s="2" t="s">
        <v>88</v>
      </c>
      <c r="D3948" s="2" t="s">
        <v>2605</v>
      </c>
      <c r="E3948" s="2" t="s">
        <v>2606</v>
      </c>
      <c r="F3948" s="2" t="s">
        <v>11928</v>
      </c>
      <c r="G3948" s="2" t="s">
        <v>11929</v>
      </c>
      <c r="H3948" s="2" t="s">
        <v>11930</v>
      </c>
      <c r="I3948" s="2" t="s">
        <v>11931</v>
      </c>
      <c r="J3948" s="2" t="s">
        <v>11868</v>
      </c>
      <c r="K3948" s="2" t="s">
        <v>11932</v>
      </c>
      <c r="L3948" s="3">
        <v>15.75</v>
      </c>
      <c r="M3948" s="3">
        <v>16.54</v>
      </c>
      <c r="N3948" s="3">
        <v>34.99</v>
      </c>
      <c r="O3948" s="2" t="s">
        <v>97</v>
      </c>
      <c r="P3948" s="2" t="s">
        <v>119</v>
      </c>
      <c r="Q3948" s="2" t="s">
        <v>99</v>
      </c>
      <c r="R3948" s="2" t="s">
        <v>100</v>
      </c>
      <c r="S3948" s="2" t="s">
        <v>11933</v>
      </c>
      <c r="T3948" s="2" t="s">
        <v>100</v>
      </c>
      <c r="U3948" s="2" t="s">
        <v>1847</v>
      </c>
      <c r="V3948" s="2" t="s">
        <v>2661</v>
      </c>
      <c r="W3948" s="2" t="s">
        <v>561</v>
      </c>
      <c r="X3948" s="2" t="s">
        <v>11870</v>
      </c>
      <c r="Y3948" s="2" t="s">
        <v>240</v>
      </c>
      <c r="Z3948" s="4">
        <v>438</v>
      </c>
      <c r="AA3948" s="4">
        <f>=ROUNDDOWN(24.3333333333333,0)</f>
      </c>
      <c r="AB3948" s="5">
        <v>18</v>
      </c>
      <c r="AC3948" s="2" t="s">
        <v>205</v>
      </c>
      <c r="AD3948" s="4">
        <v>300</v>
      </c>
      <c r="AE3948" s="4">
        <v>300</v>
      </c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>
        <v>9</v>
      </c>
      <c r="AW3948" s="8">
        <v>158.31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/>
      <c r="BC3948" s="4">
        <v>26</v>
      </c>
      <c r="BD3948" s="8">
        <v>439.74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0.36</v>
      </c>
      <c r="BJ3948" s="4">
        <v>506</v>
      </c>
      <c r="BK3948" s="8">
        <v>7767.89</v>
      </c>
      <c r="BL3948" s="2" t="s">
        <v>11934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243</v>
      </c>
      <c r="BX3948" s="2" t="s">
        <v>11935</v>
      </c>
      <c r="BY3948" s="2" t="s">
        <v>113</v>
      </c>
      <c r="BZ3948" s="2" t="s">
        <v>245</v>
      </c>
    </row>
    <row r="3949">
      <c r="A3949" s="2" t="s">
        <v>11936</v>
      </c>
      <c r="B3949" s="2" t="s">
        <v>11863</v>
      </c>
      <c r="C3949" s="2" t="s">
        <v>88</v>
      </c>
      <c r="D3949" s="2" t="s">
        <v>2605</v>
      </c>
      <c r="E3949" s="2" t="s">
        <v>2606</v>
      </c>
      <c r="F3949" s="2" t="s">
        <v>11928</v>
      </c>
      <c r="G3949" s="2" t="s">
        <v>11929</v>
      </c>
      <c r="H3949" s="2" t="s">
        <v>11930</v>
      </c>
      <c r="I3949" s="2" t="s">
        <v>11931</v>
      </c>
      <c r="J3949" s="2" t="s">
        <v>11878</v>
      </c>
      <c r="K3949" s="2" t="s">
        <v>11932</v>
      </c>
      <c r="L3949" s="3">
        <v>18.4</v>
      </c>
      <c r="M3949" s="3">
        <v>19.32</v>
      </c>
      <c r="N3949" s="3">
        <v>39.99</v>
      </c>
      <c r="O3949" s="2" t="s">
        <v>97</v>
      </c>
      <c r="P3949" s="2" t="s">
        <v>119</v>
      </c>
      <c r="Q3949" s="2" t="s">
        <v>99</v>
      </c>
      <c r="R3949" s="2" t="s">
        <v>100</v>
      </c>
      <c r="S3949" s="2" t="s">
        <v>11933</v>
      </c>
      <c r="T3949" s="2" t="s">
        <v>100</v>
      </c>
      <c r="U3949" s="2" t="s">
        <v>1847</v>
      </c>
      <c r="V3949" s="2" t="s">
        <v>2661</v>
      </c>
      <c r="W3949" s="2" t="s">
        <v>561</v>
      </c>
      <c r="X3949" s="2" t="s">
        <v>11870</v>
      </c>
      <c r="Y3949" s="2" t="s">
        <v>240</v>
      </c>
      <c r="Z3949" s="4">
        <v>259</v>
      </c>
      <c r="AA3949" s="4">
        <f>=ROUNDDOWN(32.375,0)</f>
      </c>
      <c r="AB3949" s="5">
        <v>8</v>
      </c>
      <c r="AC3949" s="2" t="s">
        <v>205</v>
      </c>
      <c r="AD3949" s="4">
        <v>20</v>
      </c>
      <c r="AE3949" s="4">
        <v>20</v>
      </c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>
        <v>9</v>
      </c>
      <c r="AQ3949" s="8">
        <v>158.31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1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163</v>
      </c>
      <c r="BK3949" s="8">
        <v>3087.09</v>
      </c>
      <c r="BL3949" s="2" t="s">
        <v>11937</v>
      </c>
      <c r="BM3949" s="7">
        <v>0.0552</v>
      </c>
      <c r="BN3949" s="7">
        <v>0.0513</v>
      </c>
      <c r="BO3949" s="4">
        <v>9</v>
      </c>
      <c r="BP3949" s="8">
        <v>158.31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243</v>
      </c>
      <c r="BX3949" s="2" t="s">
        <v>11938</v>
      </c>
      <c r="BY3949" s="2" t="s">
        <v>113</v>
      </c>
      <c r="BZ3949" s="2" t="s">
        <v>245</v>
      </c>
    </row>
    <row r="3950">
      <c r="A3950" s="2" t="s">
        <v>11939</v>
      </c>
      <c r="B3950" s="2" t="s">
        <v>11863</v>
      </c>
      <c r="C3950" s="2" t="s">
        <v>88</v>
      </c>
      <c r="D3950" s="2" t="s">
        <v>2605</v>
      </c>
      <c r="E3950" s="2" t="s">
        <v>2606</v>
      </c>
      <c r="F3950" s="2" t="s">
        <v>11928</v>
      </c>
      <c r="G3950" s="2" t="s">
        <v>11929</v>
      </c>
      <c r="H3950" s="2" t="s">
        <v>11930</v>
      </c>
      <c r="I3950" s="2" t="s">
        <v>11931</v>
      </c>
      <c r="J3950" s="2" t="s">
        <v>11940</v>
      </c>
      <c r="K3950" s="2" t="s">
        <v>8221</v>
      </c>
      <c r="L3950" s="3">
        <v>13.5</v>
      </c>
      <c r="M3950" s="3">
        <v>14.18</v>
      </c>
      <c r="N3950" s="3">
        <v>29.99</v>
      </c>
      <c r="O3950" s="2" t="s">
        <v>97</v>
      </c>
      <c r="P3950" s="2" t="s">
        <v>119</v>
      </c>
      <c r="Q3950" s="2" t="s">
        <v>99</v>
      </c>
      <c r="R3950" s="2" t="s">
        <v>100</v>
      </c>
      <c r="S3950" s="2" t="s">
        <v>11941</v>
      </c>
      <c r="T3950" s="2" t="s">
        <v>100</v>
      </c>
      <c r="U3950" s="2" t="s">
        <v>1847</v>
      </c>
      <c r="V3950" s="2" t="s">
        <v>2661</v>
      </c>
      <c r="W3950" s="2" t="s">
        <v>561</v>
      </c>
      <c r="X3950" s="2" t="s">
        <v>11870</v>
      </c>
      <c r="Y3950" s="2" t="s">
        <v>240</v>
      </c>
      <c r="Z3950" s="4">
        <v>477</v>
      </c>
      <c r="AA3950" s="4">
        <f>=ROUNDDOWN(68.1428571428571,0)</f>
      </c>
      <c r="AB3950" s="5">
        <v>7</v>
      </c>
      <c r="AC3950" s="2" t="s">
        <v>100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>
        <v>4</v>
      </c>
      <c r="AQ3950" s="8">
        <v>50.4</v>
      </c>
      <c r="AR3950" s="4"/>
      <c r="AS3950" s="8"/>
      <c r="AT3950" s="7"/>
      <c r="AU3950" s="7"/>
      <c r="AV3950" s="4">
        <v>9</v>
      </c>
      <c r="AW3950" s="8">
        <v>140.71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0.3582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>
        <v>0.32</v>
      </c>
      <c r="BJ3950" s="4">
        <v>131</v>
      </c>
      <c r="BK3950" s="8">
        <v>1682.95</v>
      </c>
      <c r="BL3950" s="2" t="s">
        <v>11942</v>
      </c>
      <c r="BM3950" s="7">
        <v>0.0305</v>
      </c>
      <c r="BN3950" s="7">
        <v>0.0299</v>
      </c>
      <c r="BO3950" s="4">
        <v>4</v>
      </c>
      <c r="BP3950" s="8">
        <v>50.4</v>
      </c>
      <c r="BQ3950" s="4"/>
      <c r="BR3950" s="8"/>
      <c r="BS3950" s="7"/>
      <c r="BT3950" s="7"/>
      <c r="BU3950" s="2" t="s">
        <v>109</v>
      </c>
      <c r="BV3950" s="2" t="s">
        <v>110</v>
      </c>
      <c r="BW3950" s="2" t="s">
        <v>243</v>
      </c>
      <c r="BX3950" s="2" t="s">
        <v>11943</v>
      </c>
      <c r="BY3950" s="2" t="s">
        <v>113</v>
      </c>
      <c r="BZ3950" s="2" t="s">
        <v>245</v>
      </c>
    </row>
    <row r="3951">
      <c r="A3951" s="2" t="s">
        <v>11944</v>
      </c>
      <c r="B3951" s="2" t="s">
        <v>11863</v>
      </c>
      <c r="C3951" s="2" t="s">
        <v>88</v>
      </c>
      <c r="D3951" s="2" t="s">
        <v>2605</v>
      </c>
      <c r="E3951" s="2" t="s">
        <v>2606</v>
      </c>
      <c r="F3951" s="2" t="s">
        <v>11928</v>
      </c>
      <c r="G3951" s="2" t="s">
        <v>11929</v>
      </c>
      <c r="H3951" s="2" t="s">
        <v>11930</v>
      </c>
      <c r="I3951" s="2" t="s">
        <v>11931</v>
      </c>
      <c r="J3951" s="2" t="s">
        <v>11878</v>
      </c>
      <c r="K3951" s="2" t="s">
        <v>8221</v>
      </c>
      <c r="L3951" s="3">
        <v>18.4</v>
      </c>
      <c r="M3951" s="3">
        <v>19.32</v>
      </c>
      <c r="N3951" s="3">
        <v>39.99</v>
      </c>
      <c r="O3951" s="2" t="s">
        <v>97</v>
      </c>
      <c r="P3951" s="2" t="s">
        <v>119</v>
      </c>
      <c r="Q3951" s="2" t="s">
        <v>99</v>
      </c>
      <c r="R3951" s="2" t="s">
        <v>100</v>
      </c>
      <c r="S3951" s="2" t="s">
        <v>11941</v>
      </c>
      <c r="T3951" s="2" t="s">
        <v>100</v>
      </c>
      <c r="U3951" s="2" t="s">
        <v>1847</v>
      </c>
      <c r="V3951" s="2" t="s">
        <v>2661</v>
      </c>
      <c r="W3951" s="2" t="s">
        <v>561</v>
      </c>
      <c r="X3951" s="2" t="s">
        <v>11870</v>
      </c>
      <c r="Y3951" s="2" t="s">
        <v>240</v>
      </c>
      <c r="Z3951" s="4">
        <v>107</v>
      </c>
      <c r="AA3951" s="4">
        <f>=ROUNDDOWN(17.8333333333333,0)</f>
      </c>
      <c r="AB3951" s="5">
        <v>6</v>
      </c>
      <c r="AC3951" s="2" t="s">
        <v>7845</v>
      </c>
      <c r="AD3951" s="4">
        <v>36</v>
      </c>
      <c r="AE3951" s="4">
        <v>100</v>
      </c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>
        <v>4</v>
      </c>
      <c r="AQ3951" s="8">
        <v>70.36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0.5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132</v>
      </c>
      <c r="BK3951" s="8">
        <v>2577.32</v>
      </c>
      <c r="BL3951" s="2" t="s">
        <v>11945</v>
      </c>
      <c r="BM3951" s="7">
        <v>0.0303</v>
      </c>
      <c r="BN3951" s="7">
        <v>0.0273</v>
      </c>
      <c r="BO3951" s="4">
        <v>4</v>
      </c>
      <c r="BP3951" s="8">
        <v>70.36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243</v>
      </c>
      <c r="BX3951" s="2" t="s">
        <v>11946</v>
      </c>
      <c r="BY3951" s="2" t="s">
        <v>113</v>
      </c>
      <c r="BZ3951" s="2" t="s">
        <v>245</v>
      </c>
    </row>
    <row r="3952">
      <c r="A3952" s="2" t="s">
        <v>11947</v>
      </c>
      <c r="B3952" s="2" t="s">
        <v>11863</v>
      </c>
      <c r="C3952" s="2" t="s">
        <v>88</v>
      </c>
      <c r="D3952" s="2" t="s">
        <v>2605</v>
      </c>
      <c r="E3952" s="2" t="s">
        <v>2606</v>
      </c>
      <c r="F3952" s="2" t="s">
        <v>11928</v>
      </c>
      <c r="G3952" s="2" t="s">
        <v>11929</v>
      </c>
      <c r="H3952" s="2" t="s">
        <v>11930</v>
      </c>
      <c r="I3952" s="2" t="s">
        <v>11931</v>
      </c>
      <c r="J3952" s="2" t="s">
        <v>11880</v>
      </c>
      <c r="K3952" s="2" t="s">
        <v>8221</v>
      </c>
      <c r="L3952" s="3">
        <v>20.7</v>
      </c>
      <c r="M3952" s="3">
        <v>21.74</v>
      </c>
      <c r="N3952" s="3">
        <v>44.99</v>
      </c>
      <c r="O3952" s="2" t="s">
        <v>97</v>
      </c>
      <c r="P3952" s="2" t="s">
        <v>119</v>
      </c>
      <c r="Q3952" s="2" t="s">
        <v>99</v>
      </c>
      <c r="R3952" s="2" t="s">
        <v>100</v>
      </c>
      <c r="S3952" s="2" t="s">
        <v>11941</v>
      </c>
      <c r="T3952" s="2" t="s">
        <v>100</v>
      </c>
      <c r="U3952" s="2" t="s">
        <v>1847</v>
      </c>
      <c r="V3952" s="2" t="s">
        <v>2661</v>
      </c>
      <c r="W3952" s="2" t="s">
        <v>561</v>
      </c>
      <c r="X3952" s="2" t="s">
        <v>11870</v>
      </c>
      <c r="Y3952" s="2" t="s">
        <v>240</v>
      </c>
      <c r="Z3952" s="4">
        <v>193</v>
      </c>
      <c r="AA3952" s="4">
        <f>=ROUNDDOWN(64.3333333333333,0)</f>
      </c>
      <c r="AB3952" s="5">
        <v>3</v>
      </c>
      <c r="AC3952" s="2" t="s">
        <v>100</v>
      </c>
      <c r="AD3952" s="4"/>
      <c r="AE3952" s="4"/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>
        <v>1</v>
      </c>
      <c r="AQ3952" s="8">
        <v>19.95</v>
      </c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0.1418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 t="s">
        <v>100</v>
      </c>
      <c r="BJ3952" s="4">
        <v>39</v>
      </c>
      <c r="BK3952" s="8">
        <v>1097.5</v>
      </c>
      <c r="BL3952" s="2" t="s">
        <v>11948</v>
      </c>
      <c r="BM3952" s="7">
        <v>0.0256</v>
      </c>
      <c r="BN3952" s="7">
        <v>0.0182</v>
      </c>
      <c r="BO3952" s="4">
        <v>1</v>
      </c>
      <c r="BP3952" s="8">
        <v>19.95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243</v>
      </c>
      <c r="BX3952" s="2" t="s">
        <v>11949</v>
      </c>
      <c r="BY3952" s="2" t="s">
        <v>113</v>
      </c>
      <c r="BZ3952" s="2" t="s">
        <v>245</v>
      </c>
    </row>
    <row r="3953">
      <c r="A3953" s="2" t="s">
        <v>11950</v>
      </c>
      <c r="B3953" s="2" t="s">
        <v>11863</v>
      </c>
      <c r="C3953" s="2" t="s">
        <v>88</v>
      </c>
      <c r="D3953" s="2" t="s">
        <v>2605</v>
      </c>
      <c r="E3953" s="2" t="s">
        <v>2606</v>
      </c>
      <c r="F3953" s="2" t="s">
        <v>11928</v>
      </c>
      <c r="G3953" s="2" t="s">
        <v>11929</v>
      </c>
      <c r="H3953" s="2" t="s">
        <v>11930</v>
      </c>
      <c r="I3953" s="2" t="s">
        <v>11931</v>
      </c>
      <c r="J3953" s="2" t="s">
        <v>11878</v>
      </c>
      <c r="K3953" s="2" t="s">
        <v>9242</v>
      </c>
      <c r="L3953" s="3">
        <v>18.4</v>
      </c>
      <c r="M3953" s="3">
        <v>19.32</v>
      </c>
      <c r="N3953" s="3">
        <v>39.99</v>
      </c>
      <c r="O3953" s="2" t="s">
        <v>97</v>
      </c>
      <c r="P3953" s="2" t="s">
        <v>119</v>
      </c>
      <c r="Q3953" s="2" t="s">
        <v>99</v>
      </c>
      <c r="R3953" s="2" t="s">
        <v>100</v>
      </c>
      <c r="S3953" s="2" t="s">
        <v>11951</v>
      </c>
      <c r="T3953" s="2" t="s">
        <v>100</v>
      </c>
      <c r="U3953" s="2" t="s">
        <v>1847</v>
      </c>
      <c r="V3953" s="2" t="s">
        <v>2661</v>
      </c>
      <c r="W3953" s="2" t="s">
        <v>561</v>
      </c>
      <c r="X3953" s="2" t="s">
        <v>11870</v>
      </c>
      <c r="Y3953" s="2" t="s">
        <v>240</v>
      </c>
      <c r="Z3953" s="4">
        <v>287</v>
      </c>
      <c r="AA3953" s="4">
        <f>=ROUNDDOWN(20.5,0)</f>
      </c>
      <c r="AB3953" s="5">
        <v>14</v>
      </c>
      <c r="AC3953" s="2" t="s">
        <v>931</v>
      </c>
      <c r="AD3953" s="4">
        <v>308</v>
      </c>
      <c r="AE3953" s="4">
        <v>308</v>
      </c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>
        <v>4</v>
      </c>
      <c r="AQ3953" s="8">
        <v>70.36</v>
      </c>
      <c r="AR3953" s="4"/>
      <c r="AS3953" s="8"/>
      <c r="AT3953" s="7"/>
      <c r="AU3953" s="7"/>
      <c r="AV3953" s="4">
        <v>4</v>
      </c>
      <c r="AW3953" s="8">
        <v>70.36</v>
      </c>
      <c r="AX3953" s="4"/>
      <c r="AY3953" s="8"/>
      <c r="AZ3953" s="7"/>
      <c r="BA3953" s="7"/>
      <c r="BB3953" s="7">
        <v>1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>
        <v>0.16</v>
      </c>
      <c r="BJ3953" s="4">
        <v>245</v>
      </c>
      <c r="BK3953" s="8">
        <v>4873.42</v>
      </c>
      <c r="BL3953" s="2" t="s">
        <v>11952</v>
      </c>
      <c r="BM3953" s="7">
        <v>0.0163</v>
      </c>
      <c r="BN3953" s="7">
        <v>0.0144</v>
      </c>
      <c r="BO3953" s="4">
        <v>4</v>
      </c>
      <c r="BP3953" s="8">
        <v>70.36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243</v>
      </c>
      <c r="BX3953" s="2" t="s">
        <v>11953</v>
      </c>
      <c r="BY3953" s="2" t="s">
        <v>113</v>
      </c>
      <c r="BZ3953" s="2" t="s">
        <v>245</v>
      </c>
    </row>
    <row r="3954">
      <c r="A3954" s="2" t="s">
        <v>11954</v>
      </c>
      <c r="B3954" s="2" t="s">
        <v>11863</v>
      </c>
      <c r="C3954" s="2" t="s">
        <v>88</v>
      </c>
      <c r="D3954" s="2" t="s">
        <v>2605</v>
      </c>
      <c r="E3954" s="2" t="s">
        <v>2606</v>
      </c>
      <c r="F3954" s="2" t="s">
        <v>11928</v>
      </c>
      <c r="G3954" s="2" t="s">
        <v>11929</v>
      </c>
      <c r="H3954" s="2" t="s">
        <v>11930</v>
      </c>
      <c r="I3954" s="2" t="s">
        <v>11931</v>
      </c>
      <c r="J3954" s="2" t="s">
        <v>11878</v>
      </c>
      <c r="K3954" s="2" t="s">
        <v>11955</v>
      </c>
      <c r="L3954" s="3">
        <v>18.4</v>
      </c>
      <c r="M3954" s="3">
        <v>19.32</v>
      </c>
      <c r="N3954" s="3">
        <v>39.99</v>
      </c>
      <c r="O3954" s="2" t="s">
        <v>97</v>
      </c>
      <c r="P3954" s="2" t="s">
        <v>119</v>
      </c>
      <c r="Q3954" s="2" t="s">
        <v>99</v>
      </c>
      <c r="R3954" s="2" t="s">
        <v>100</v>
      </c>
      <c r="S3954" s="2" t="s">
        <v>11956</v>
      </c>
      <c r="T3954" s="2" t="s">
        <v>100</v>
      </c>
      <c r="U3954" s="2" t="s">
        <v>1847</v>
      </c>
      <c r="V3954" s="2" t="s">
        <v>2661</v>
      </c>
      <c r="W3954" s="2" t="s">
        <v>561</v>
      </c>
      <c r="X3954" s="2" t="s">
        <v>11870</v>
      </c>
      <c r="Y3954" s="2" t="s">
        <v>240</v>
      </c>
      <c r="Z3954" s="4">
        <v>120</v>
      </c>
      <c r="AA3954" s="4">
        <f>=ROUNDDOWN(24,0)</f>
      </c>
      <c r="AB3954" s="5">
        <v>5</v>
      </c>
      <c r="AC3954" s="2" t="s">
        <v>417</v>
      </c>
      <c r="AD3954" s="4">
        <v>116</v>
      </c>
      <c r="AE3954" s="4">
        <v>220</v>
      </c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>
        <v>4</v>
      </c>
      <c r="AQ3954" s="8">
        <v>70.36</v>
      </c>
      <c r="AR3954" s="4"/>
      <c r="AS3954" s="8"/>
      <c r="AT3954" s="7"/>
      <c r="AU3954" s="7"/>
      <c r="AV3954" s="4">
        <v>4</v>
      </c>
      <c r="AW3954" s="8">
        <v>70.36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1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>
        <v>0.16</v>
      </c>
      <c r="BJ3954" s="4">
        <v>148</v>
      </c>
      <c r="BK3954" s="8">
        <v>3003.77</v>
      </c>
      <c r="BL3954" s="2" t="s">
        <v>11957</v>
      </c>
      <c r="BM3954" s="7">
        <v>0.027</v>
      </c>
      <c r="BN3954" s="7">
        <v>0.0234</v>
      </c>
      <c r="BO3954" s="4">
        <v>4</v>
      </c>
      <c r="BP3954" s="8">
        <v>70.36</v>
      </c>
      <c r="BQ3954" s="4"/>
      <c r="BR3954" s="8"/>
      <c r="BS3954" s="7"/>
      <c r="BT3954" s="7"/>
      <c r="BU3954" s="2" t="s">
        <v>109</v>
      </c>
      <c r="BV3954" s="2" t="s">
        <v>110</v>
      </c>
      <c r="BW3954" s="2" t="s">
        <v>243</v>
      </c>
      <c r="BX3954" s="2" t="s">
        <v>6251</v>
      </c>
      <c r="BY3954" s="2" t="s">
        <v>113</v>
      </c>
      <c r="BZ3954" s="2" t="s">
        <v>245</v>
      </c>
    </row>
    <row r="3955">
      <c r="A3955" s="2" t="s">
        <v>11958</v>
      </c>
      <c r="B3955" s="2" t="s">
        <v>11863</v>
      </c>
      <c r="C3955" s="2" t="s">
        <v>88</v>
      </c>
      <c r="D3955" s="2" t="s">
        <v>2605</v>
      </c>
      <c r="E3955" s="2" t="s">
        <v>2606</v>
      </c>
      <c r="F3955" s="2" t="s">
        <v>11928</v>
      </c>
      <c r="G3955" s="2" t="s">
        <v>11929</v>
      </c>
      <c r="H3955" s="2" t="s">
        <v>11930</v>
      </c>
      <c r="I3955" s="2" t="s">
        <v>11931</v>
      </c>
      <c r="J3955" s="2" t="s">
        <v>11880</v>
      </c>
      <c r="K3955" s="2" t="s">
        <v>11955</v>
      </c>
      <c r="L3955" s="3">
        <v>20.7</v>
      </c>
      <c r="M3955" s="3">
        <v>21.74</v>
      </c>
      <c r="N3955" s="3">
        <v>44.99</v>
      </c>
      <c r="O3955" s="2" t="s">
        <v>97</v>
      </c>
      <c r="P3955" s="2" t="s">
        <v>119</v>
      </c>
      <c r="Q3955" s="2" t="s">
        <v>99</v>
      </c>
      <c r="R3955" s="2" t="s">
        <v>100</v>
      </c>
      <c r="S3955" s="2" t="s">
        <v>11956</v>
      </c>
      <c r="T3955" s="2" t="s">
        <v>100</v>
      </c>
      <c r="U3955" s="2" t="s">
        <v>1847</v>
      </c>
      <c r="V3955" s="2" t="s">
        <v>2661</v>
      </c>
      <c r="W3955" s="2" t="s">
        <v>561</v>
      </c>
      <c r="X3955" s="2" t="s">
        <v>11870</v>
      </c>
      <c r="Y3955" s="2" t="s">
        <v>240</v>
      </c>
      <c r="Z3955" s="4">
        <v>141</v>
      </c>
      <c r="AA3955" s="4">
        <f>=ROUNDDOWN(47,0)</f>
      </c>
      <c r="AB3955" s="5">
        <v>3</v>
      </c>
      <c r="AC3955" s="2" t="s">
        <v>100</v>
      </c>
      <c r="AD3955" s="4"/>
      <c r="AE3955" s="4"/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/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 t="s">
        <v>100</v>
      </c>
      <c r="BJ3955" s="4">
        <v>65</v>
      </c>
      <c r="BK3955" s="8">
        <v>1350.93</v>
      </c>
      <c r="BL3955" s="2" t="s">
        <v>10135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243</v>
      </c>
      <c r="BX3955" s="2" t="s">
        <v>5548</v>
      </c>
      <c r="BY3955" s="2" t="s">
        <v>113</v>
      </c>
      <c r="BZ3955" s="2" t="s">
        <v>245</v>
      </c>
    </row>
    <row r="3956">
      <c r="A3956" s="2" t="s">
        <v>11959</v>
      </c>
      <c r="B3956" s="2" t="s">
        <v>11863</v>
      </c>
      <c r="C3956" s="2" t="s">
        <v>88</v>
      </c>
      <c r="D3956" s="2" t="s">
        <v>2605</v>
      </c>
      <c r="E3956" s="2" t="s">
        <v>2606</v>
      </c>
      <c r="F3956" s="2" t="s">
        <v>1503</v>
      </c>
      <c r="G3956" s="2" t="s">
        <v>117</v>
      </c>
      <c r="H3956" s="2" t="s">
        <v>11960</v>
      </c>
      <c r="I3956" s="2" t="s">
        <v>11961</v>
      </c>
      <c r="J3956" s="2" t="s">
        <v>11962</v>
      </c>
      <c r="K3956" s="2" t="s">
        <v>189</v>
      </c>
      <c r="L3956" s="3">
        <v>18.4</v>
      </c>
      <c r="M3956" s="3">
        <v>19.32</v>
      </c>
      <c r="N3956" s="3">
        <v>39.99</v>
      </c>
      <c r="O3956" s="2" t="s">
        <v>97</v>
      </c>
      <c r="P3956" s="2" t="s">
        <v>950</v>
      </c>
      <c r="Q3956" s="2" t="s">
        <v>99</v>
      </c>
      <c r="R3956" s="2" t="s">
        <v>100</v>
      </c>
      <c r="S3956" s="2" t="s">
        <v>11963</v>
      </c>
      <c r="T3956" s="2" t="s">
        <v>100</v>
      </c>
      <c r="U3956" s="2" t="s">
        <v>1847</v>
      </c>
      <c r="V3956" s="2" t="s">
        <v>146</v>
      </c>
      <c r="W3956" s="2" t="s">
        <v>104</v>
      </c>
      <c r="X3956" s="2" t="s">
        <v>11964</v>
      </c>
      <c r="Y3956" s="2" t="s">
        <v>602</v>
      </c>
      <c r="Z3956" s="4">
        <v>578</v>
      </c>
      <c r="AA3956" s="4">
        <f>=ROUNDDOWN(28.9,0)</f>
      </c>
      <c r="AB3956" s="5">
        <v>20</v>
      </c>
      <c r="AC3956" s="2" t="s">
        <v>768</v>
      </c>
      <c r="AD3956" s="4">
        <v>20</v>
      </c>
      <c r="AE3956" s="4">
        <v>340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>
        <v>11</v>
      </c>
      <c r="AQ3956" s="8">
        <v>194.59</v>
      </c>
      <c r="AR3956" s="4"/>
      <c r="AS3956" s="8"/>
      <c r="AT3956" s="7"/>
      <c r="AU3956" s="7"/>
      <c r="AV3956" s="4">
        <v>14</v>
      </c>
      <c r="AW3956" s="8">
        <v>252.85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0.7696</v>
      </c>
      <c r="BC3956" s="4">
        <v>18</v>
      </c>
      <c r="BD3956" s="8">
        <v>330.53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>
        <v>0.765</v>
      </c>
      <c r="BJ3956" s="4">
        <v>496</v>
      </c>
      <c r="BK3956" s="8">
        <v>9701.76</v>
      </c>
      <c r="BL3956" s="2" t="s">
        <v>11965</v>
      </c>
      <c r="BM3956" s="7">
        <v>0.0222</v>
      </c>
      <c r="BN3956" s="7">
        <v>0.0201</v>
      </c>
      <c r="BO3956" s="4">
        <v>11</v>
      </c>
      <c r="BP3956" s="8">
        <v>194.59</v>
      </c>
      <c r="BQ3956" s="4"/>
      <c r="BR3956" s="8"/>
      <c r="BS3956" s="7"/>
      <c r="BT3956" s="7"/>
      <c r="BU3956" s="2" t="s">
        <v>109</v>
      </c>
      <c r="BV3956" s="2" t="s">
        <v>110</v>
      </c>
      <c r="BW3956" s="2" t="s">
        <v>6088</v>
      </c>
      <c r="BX3956" s="2" t="s">
        <v>583</v>
      </c>
      <c r="BY3956" s="2" t="s">
        <v>113</v>
      </c>
      <c r="BZ3956" s="2" t="s">
        <v>245</v>
      </c>
    </row>
    <row r="3957">
      <c r="A3957" s="2" t="s">
        <v>11966</v>
      </c>
      <c r="B3957" s="2" t="s">
        <v>11863</v>
      </c>
      <c r="C3957" s="2" t="s">
        <v>88</v>
      </c>
      <c r="D3957" s="2" t="s">
        <v>2605</v>
      </c>
      <c r="E3957" s="2" t="s">
        <v>2606</v>
      </c>
      <c r="F3957" s="2" t="s">
        <v>1503</v>
      </c>
      <c r="G3957" s="2" t="s">
        <v>117</v>
      </c>
      <c r="H3957" s="2" t="s">
        <v>11960</v>
      </c>
      <c r="I3957" s="2" t="s">
        <v>11961</v>
      </c>
      <c r="J3957" s="2" t="s">
        <v>11967</v>
      </c>
      <c r="K3957" s="2" t="s">
        <v>189</v>
      </c>
      <c r="L3957" s="3">
        <v>20.25</v>
      </c>
      <c r="M3957" s="3">
        <v>21.26</v>
      </c>
      <c r="N3957" s="3">
        <v>44.99</v>
      </c>
      <c r="O3957" s="2" t="s">
        <v>97</v>
      </c>
      <c r="P3957" s="2" t="s">
        <v>950</v>
      </c>
      <c r="Q3957" s="2" t="s">
        <v>99</v>
      </c>
      <c r="R3957" s="2" t="s">
        <v>100</v>
      </c>
      <c r="S3957" s="2" t="s">
        <v>11963</v>
      </c>
      <c r="T3957" s="2" t="s">
        <v>100</v>
      </c>
      <c r="U3957" s="2" t="s">
        <v>1847</v>
      </c>
      <c r="V3957" s="2" t="s">
        <v>146</v>
      </c>
      <c r="W3957" s="2" t="s">
        <v>104</v>
      </c>
      <c r="X3957" s="2" t="s">
        <v>11964</v>
      </c>
      <c r="Y3957" s="2" t="s">
        <v>602</v>
      </c>
      <c r="Z3957" s="4">
        <v>203</v>
      </c>
      <c r="AA3957" s="4">
        <f>=ROUNDDOWN(11.9411764705882,0)</f>
      </c>
      <c r="AB3957" s="5">
        <v>17</v>
      </c>
      <c r="AC3957" s="2" t="s">
        <v>768</v>
      </c>
      <c r="AD3957" s="4">
        <v>156</v>
      </c>
      <c r="AE3957" s="4">
        <v>416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>
        <v>3</v>
      </c>
      <c r="AQ3957" s="8">
        <v>58.26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0.2304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478</v>
      </c>
      <c r="BK3957" s="8">
        <v>11173.05</v>
      </c>
      <c r="BL3957" s="2" t="s">
        <v>11968</v>
      </c>
      <c r="BM3957" s="7">
        <v>0.0063</v>
      </c>
      <c r="BN3957" s="7">
        <v>0.0052</v>
      </c>
      <c r="BO3957" s="4">
        <v>3</v>
      </c>
      <c r="BP3957" s="8">
        <v>58.26</v>
      </c>
      <c r="BQ3957" s="4"/>
      <c r="BR3957" s="8"/>
      <c r="BS3957" s="7"/>
      <c r="BT3957" s="7"/>
      <c r="BU3957" s="2" t="s">
        <v>109</v>
      </c>
      <c r="BV3957" s="2" t="s">
        <v>110</v>
      </c>
      <c r="BW3957" s="2" t="s">
        <v>6088</v>
      </c>
      <c r="BX3957" s="2" t="s">
        <v>11969</v>
      </c>
      <c r="BY3957" s="2" t="s">
        <v>113</v>
      </c>
      <c r="BZ3957" s="2" t="s">
        <v>245</v>
      </c>
    </row>
    <row r="3958">
      <c r="A3958" s="2" t="s">
        <v>11970</v>
      </c>
      <c r="B3958" s="2" t="s">
        <v>11863</v>
      </c>
      <c r="C3958" s="2" t="s">
        <v>88</v>
      </c>
      <c r="D3958" s="2" t="s">
        <v>2605</v>
      </c>
      <c r="E3958" s="2" t="s">
        <v>2606</v>
      </c>
      <c r="F3958" s="2" t="s">
        <v>1503</v>
      </c>
      <c r="G3958" s="2" t="s">
        <v>117</v>
      </c>
      <c r="H3958" s="2" t="s">
        <v>11960</v>
      </c>
      <c r="I3958" s="2" t="s">
        <v>11961</v>
      </c>
      <c r="J3958" s="2" t="s">
        <v>11967</v>
      </c>
      <c r="K3958" s="2" t="s">
        <v>6430</v>
      </c>
      <c r="L3958" s="3">
        <v>20.25</v>
      </c>
      <c r="M3958" s="3">
        <v>21.26</v>
      </c>
      <c r="N3958" s="3">
        <v>44.99</v>
      </c>
      <c r="O3958" s="2" t="s">
        <v>97</v>
      </c>
      <c r="P3958" s="2" t="s">
        <v>119</v>
      </c>
      <c r="Q3958" s="2" t="s">
        <v>99</v>
      </c>
      <c r="R3958" s="2" t="s">
        <v>100</v>
      </c>
      <c r="S3958" s="2" t="s">
        <v>11971</v>
      </c>
      <c r="T3958" s="2" t="s">
        <v>100</v>
      </c>
      <c r="U3958" s="2" t="s">
        <v>1847</v>
      </c>
      <c r="V3958" s="2" t="s">
        <v>146</v>
      </c>
      <c r="W3958" s="2" t="s">
        <v>104</v>
      </c>
      <c r="X3958" s="2" t="s">
        <v>11964</v>
      </c>
      <c r="Y3958" s="2" t="s">
        <v>602</v>
      </c>
      <c r="Z3958" s="4">
        <v>378</v>
      </c>
      <c r="AA3958" s="4">
        <f>=ROUNDDOWN(27,0)</f>
      </c>
      <c r="AB3958" s="5">
        <v>14</v>
      </c>
      <c r="AC3958" s="2" t="s">
        <v>1342</v>
      </c>
      <c r="AD3958" s="4">
        <v>80</v>
      </c>
      <c r="AE3958" s="4">
        <v>80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>
        <v>4</v>
      </c>
      <c r="AQ3958" s="8">
        <v>77.68</v>
      </c>
      <c r="AR3958" s="4"/>
      <c r="AS3958" s="8"/>
      <c r="AT3958" s="7"/>
      <c r="AU3958" s="7"/>
      <c r="AV3958" s="4">
        <v>4</v>
      </c>
      <c r="AW3958" s="8">
        <v>77.68</v>
      </c>
      <c r="AX3958" s="4"/>
      <c r="AY3958" s="8"/>
      <c r="AZ3958" s="7"/>
      <c r="BA3958" s="7"/>
      <c r="BB3958" s="7">
        <v>1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0.235</v>
      </c>
      <c r="BJ3958" s="4">
        <v>322</v>
      </c>
      <c r="BK3958" s="8">
        <v>8860.2</v>
      </c>
      <c r="BL3958" s="2" t="s">
        <v>11972</v>
      </c>
      <c r="BM3958" s="7">
        <v>0.0124</v>
      </c>
      <c r="BN3958" s="7">
        <v>0.0088</v>
      </c>
      <c r="BO3958" s="4">
        <v>4</v>
      </c>
      <c r="BP3958" s="8">
        <v>77.68</v>
      </c>
      <c r="BQ3958" s="4"/>
      <c r="BR3958" s="8"/>
      <c r="BS3958" s="7"/>
      <c r="BT3958" s="7"/>
      <c r="BU3958" s="2" t="s">
        <v>109</v>
      </c>
      <c r="BV3958" s="2" t="s">
        <v>110</v>
      </c>
      <c r="BW3958" s="2" t="s">
        <v>6088</v>
      </c>
      <c r="BX3958" s="2" t="s">
        <v>11973</v>
      </c>
      <c r="BY3958" s="2" t="s">
        <v>113</v>
      </c>
      <c r="BZ3958" s="2" t="s">
        <v>245</v>
      </c>
    </row>
    <row r="3959">
      <c r="A3959" s="2" t="s">
        <v>11974</v>
      </c>
      <c r="B3959" s="2" t="s">
        <v>11863</v>
      </c>
      <c r="C3959" s="2" t="s">
        <v>88</v>
      </c>
      <c r="D3959" s="2" t="s">
        <v>2605</v>
      </c>
      <c r="E3959" s="2" t="s">
        <v>2606</v>
      </c>
      <c r="F3959" s="2" t="s">
        <v>1503</v>
      </c>
      <c r="G3959" s="2" t="s">
        <v>117</v>
      </c>
      <c r="H3959" s="2" t="s">
        <v>11960</v>
      </c>
      <c r="I3959" s="2" t="s">
        <v>11975</v>
      </c>
      <c r="J3959" s="2" t="s">
        <v>11868</v>
      </c>
      <c r="K3959" s="2" t="s">
        <v>335</v>
      </c>
      <c r="L3959" s="3">
        <v>16</v>
      </c>
      <c r="M3959" s="3">
        <v>16.8</v>
      </c>
      <c r="N3959" s="3">
        <v>39.99</v>
      </c>
      <c r="O3959" s="2" t="s">
        <v>97</v>
      </c>
      <c r="P3959" s="2" t="s">
        <v>119</v>
      </c>
      <c r="Q3959" s="2" t="s">
        <v>99</v>
      </c>
      <c r="R3959" s="2" t="s">
        <v>100</v>
      </c>
      <c r="S3959" s="2" t="s">
        <v>11976</v>
      </c>
      <c r="T3959" s="2" t="s">
        <v>100</v>
      </c>
      <c r="U3959" s="2" t="s">
        <v>1847</v>
      </c>
      <c r="V3959" s="2" t="s">
        <v>146</v>
      </c>
      <c r="W3959" s="2" t="s">
        <v>104</v>
      </c>
      <c r="X3959" s="2" t="s">
        <v>11977</v>
      </c>
      <c r="Y3959" s="2" t="s">
        <v>9548</v>
      </c>
      <c r="Z3959" s="4">
        <v>349</v>
      </c>
      <c r="AA3959" s="4">
        <f>=ROUNDDOWN(31.7272727272727,0)</f>
      </c>
      <c r="AB3959" s="5">
        <v>11</v>
      </c>
      <c r="AC3959" s="2" t="s">
        <v>934</v>
      </c>
      <c r="AD3959" s="4">
        <v>120</v>
      </c>
      <c r="AE3959" s="4">
        <v>120</v>
      </c>
      <c r="AF3959" s="6">
        <v>64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/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129</v>
      </c>
      <c r="BK3959" s="8">
        <v>1903.28</v>
      </c>
      <c r="BL3959" s="2" t="s">
        <v>3206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207</v>
      </c>
      <c r="BV3959" s="2" t="s">
        <v>97</v>
      </c>
      <c r="BW3959" s="2" t="s">
        <v>100</v>
      </c>
      <c r="BX3959" s="2" t="s">
        <v>100</v>
      </c>
      <c r="BY3959" s="2" t="s">
        <v>113</v>
      </c>
      <c r="BZ3959" s="2" t="s">
        <v>245</v>
      </c>
    </row>
    <row r="3960">
      <c r="A3960" s="2" t="s">
        <v>11978</v>
      </c>
      <c r="B3960" s="2" t="s">
        <v>11863</v>
      </c>
      <c r="C3960" s="2" t="s">
        <v>88</v>
      </c>
      <c r="D3960" s="2" t="s">
        <v>2605</v>
      </c>
      <c r="E3960" s="2" t="s">
        <v>2606</v>
      </c>
      <c r="F3960" s="2" t="s">
        <v>1503</v>
      </c>
      <c r="G3960" s="2" t="s">
        <v>117</v>
      </c>
      <c r="H3960" s="2" t="s">
        <v>11960</v>
      </c>
      <c r="I3960" s="2" t="s">
        <v>11975</v>
      </c>
      <c r="J3960" s="2" t="s">
        <v>11878</v>
      </c>
      <c r="K3960" s="2" t="s">
        <v>335</v>
      </c>
      <c r="L3960" s="3">
        <v>17.1</v>
      </c>
      <c r="M3960" s="3">
        <v>17.96</v>
      </c>
      <c r="N3960" s="3">
        <v>44.99</v>
      </c>
      <c r="O3960" s="2" t="s">
        <v>97</v>
      </c>
      <c r="P3960" s="2" t="s">
        <v>119</v>
      </c>
      <c r="Q3960" s="2" t="s">
        <v>99</v>
      </c>
      <c r="R3960" s="2" t="s">
        <v>100</v>
      </c>
      <c r="S3960" s="2" t="s">
        <v>11976</v>
      </c>
      <c r="T3960" s="2" t="s">
        <v>100</v>
      </c>
      <c r="U3960" s="2" t="s">
        <v>1847</v>
      </c>
      <c r="V3960" s="2" t="s">
        <v>146</v>
      </c>
      <c r="W3960" s="2" t="s">
        <v>104</v>
      </c>
      <c r="X3960" s="2" t="s">
        <v>11977</v>
      </c>
      <c r="Y3960" s="2" t="s">
        <v>9548</v>
      </c>
      <c r="Z3960" s="4">
        <v>164</v>
      </c>
      <c r="AA3960" s="4">
        <f>=ROUNDDOWN(20.5,0)</f>
      </c>
      <c r="AB3960" s="5">
        <v>8</v>
      </c>
      <c r="AC3960" s="2" t="s">
        <v>931</v>
      </c>
      <c r="AD3960" s="4">
        <v>100</v>
      </c>
      <c r="AE3960" s="4">
        <v>292</v>
      </c>
      <c r="AF3960" s="6">
        <v>64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/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102</v>
      </c>
      <c r="BK3960" s="8">
        <v>1801.29</v>
      </c>
      <c r="BL3960" s="2" t="s">
        <v>5230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207</v>
      </c>
      <c r="BV3960" s="2" t="s">
        <v>97</v>
      </c>
      <c r="BW3960" s="2" t="s">
        <v>100</v>
      </c>
      <c r="BX3960" s="2" t="s">
        <v>100</v>
      </c>
      <c r="BY3960" s="2" t="s">
        <v>113</v>
      </c>
      <c r="BZ3960" s="2" t="s">
        <v>245</v>
      </c>
    </row>
    <row r="3961">
      <c r="A3961" s="2" t="s">
        <v>11979</v>
      </c>
      <c r="B3961" s="2" t="s">
        <v>11863</v>
      </c>
      <c r="C3961" s="2" t="s">
        <v>88</v>
      </c>
      <c r="D3961" s="2" t="s">
        <v>2605</v>
      </c>
      <c r="E3961" s="2" t="s">
        <v>2606</v>
      </c>
      <c r="F3961" s="2" t="s">
        <v>1503</v>
      </c>
      <c r="G3961" s="2" t="s">
        <v>117</v>
      </c>
      <c r="H3961" s="2" t="s">
        <v>11960</v>
      </c>
      <c r="I3961" s="2" t="s">
        <v>11975</v>
      </c>
      <c r="J3961" s="2" t="s">
        <v>11880</v>
      </c>
      <c r="K3961" s="2" t="s">
        <v>335</v>
      </c>
      <c r="L3961" s="3">
        <v>21</v>
      </c>
      <c r="M3961" s="3">
        <v>22.05</v>
      </c>
      <c r="N3961" s="3">
        <v>49.99</v>
      </c>
      <c r="O3961" s="2" t="s">
        <v>97</v>
      </c>
      <c r="P3961" s="2" t="s">
        <v>119</v>
      </c>
      <c r="Q3961" s="2" t="s">
        <v>99</v>
      </c>
      <c r="R3961" s="2" t="s">
        <v>100</v>
      </c>
      <c r="S3961" s="2" t="s">
        <v>11976</v>
      </c>
      <c r="T3961" s="2" t="s">
        <v>100</v>
      </c>
      <c r="U3961" s="2" t="s">
        <v>1847</v>
      </c>
      <c r="V3961" s="2" t="s">
        <v>146</v>
      </c>
      <c r="W3961" s="2" t="s">
        <v>104</v>
      </c>
      <c r="X3961" s="2" t="s">
        <v>11977</v>
      </c>
      <c r="Y3961" s="2" t="s">
        <v>9548</v>
      </c>
      <c r="Z3961" s="4">
        <v>91</v>
      </c>
      <c r="AA3961" s="4">
        <f>=ROUNDDOWN(18.2,0)</f>
      </c>
      <c r="AB3961" s="5">
        <v>5</v>
      </c>
      <c r="AC3961" s="2" t="s">
        <v>931</v>
      </c>
      <c r="AD3961" s="4">
        <v>112</v>
      </c>
      <c r="AE3961" s="4">
        <v>260</v>
      </c>
      <c r="AF3961" s="6">
        <v>64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100</v>
      </c>
      <c r="AW3961" s="8" t="s">
        <v>100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/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 t="s">
        <v>100</v>
      </c>
      <c r="BJ3961" s="4">
        <v>42</v>
      </c>
      <c r="BK3961" s="8">
        <v>844.33</v>
      </c>
      <c r="BL3961" s="2" t="s">
        <v>2609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207</v>
      </c>
      <c r="BV3961" s="2" t="s">
        <v>97</v>
      </c>
      <c r="BW3961" s="2" t="s">
        <v>100</v>
      </c>
      <c r="BX3961" s="2" t="s">
        <v>100</v>
      </c>
      <c r="BY3961" s="2" t="s">
        <v>113</v>
      </c>
      <c r="BZ3961" s="2" t="s">
        <v>100</v>
      </c>
    </row>
    <row r="3962">
      <c r="A3962" s="2" t="s">
        <v>11980</v>
      </c>
      <c r="B3962" s="2" t="s">
        <v>11863</v>
      </c>
      <c r="C3962" s="2" t="s">
        <v>88</v>
      </c>
      <c r="D3962" s="2" t="s">
        <v>2605</v>
      </c>
      <c r="E3962" s="2" t="s">
        <v>2606</v>
      </c>
      <c r="F3962" s="2" t="s">
        <v>1503</v>
      </c>
      <c r="G3962" s="2" t="s">
        <v>117</v>
      </c>
      <c r="H3962" s="2" t="s">
        <v>11960</v>
      </c>
      <c r="I3962" s="2" t="s">
        <v>11975</v>
      </c>
      <c r="J3962" s="2" t="s">
        <v>11981</v>
      </c>
      <c r="K3962" s="2" t="s">
        <v>335</v>
      </c>
      <c r="L3962" s="3">
        <v>23.1</v>
      </c>
      <c r="M3962" s="3">
        <v>24.26</v>
      </c>
      <c r="N3962" s="3">
        <v>54.99</v>
      </c>
      <c r="O3962" s="2" t="s">
        <v>97</v>
      </c>
      <c r="P3962" s="2" t="s">
        <v>119</v>
      </c>
      <c r="Q3962" s="2" t="s">
        <v>99</v>
      </c>
      <c r="R3962" s="2" t="s">
        <v>100</v>
      </c>
      <c r="S3962" s="2" t="s">
        <v>11976</v>
      </c>
      <c r="T3962" s="2" t="s">
        <v>100</v>
      </c>
      <c r="U3962" s="2" t="s">
        <v>1847</v>
      </c>
      <c r="V3962" s="2" t="s">
        <v>146</v>
      </c>
      <c r="W3962" s="2" t="s">
        <v>104</v>
      </c>
      <c r="X3962" s="2" t="s">
        <v>11977</v>
      </c>
      <c r="Y3962" s="2" t="s">
        <v>9548</v>
      </c>
      <c r="Z3962" s="4">
        <v>87</v>
      </c>
      <c r="AA3962" s="4">
        <f>=ROUNDDOWN(43.5,0)</f>
      </c>
      <c r="AB3962" s="5">
        <v>2</v>
      </c>
      <c r="AC3962" s="2" t="s">
        <v>934</v>
      </c>
      <c r="AD3962" s="4">
        <v>68</v>
      </c>
      <c r="AE3962" s="4">
        <v>68</v>
      </c>
      <c r="AF3962" s="6">
        <v>64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/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 t="s">
        <v>100</v>
      </c>
      <c r="BJ3962" s="4">
        <v>32</v>
      </c>
      <c r="BK3962" s="8">
        <v>739.77</v>
      </c>
      <c r="BL3962" s="2" t="s">
        <v>11982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207</v>
      </c>
      <c r="BV3962" s="2" t="s">
        <v>97</v>
      </c>
      <c r="BW3962" s="2" t="s">
        <v>100</v>
      </c>
      <c r="BX3962" s="2" t="s">
        <v>100</v>
      </c>
      <c r="BY3962" s="2" t="s">
        <v>113</v>
      </c>
      <c r="BZ3962" s="2" t="s">
        <v>100</v>
      </c>
    </row>
    <row r="3963">
      <c r="A3963" s="2" t="s">
        <v>11983</v>
      </c>
      <c r="B3963" s="2" t="s">
        <v>11863</v>
      </c>
      <c r="C3963" s="2" t="s">
        <v>88</v>
      </c>
      <c r="D3963" s="2" t="s">
        <v>2605</v>
      </c>
      <c r="E3963" s="2" t="s">
        <v>2606</v>
      </c>
      <c r="F3963" s="2" t="s">
        <v>1503</v>
      </c>
      <c r="G3963" s="2" t="s">
        <v>117</v>
      </c>
      <c r="H3963" s="2" t="s">
        <v>11960</v>
      </c>
      <c r="I3963" s="2" t="s">
        <v>11961</v>
      </c>
      <c r="J3963" s="2" t="s">
        <v>11962</v>
      </c>
      <c r="K3963" s="2" t="s">
        <v>335</v>
      </c>
      <c r="L3963" s="3">
        <v>18.4</v>
      </c>
      <c r="M3963" s="3">
        <v>19.32</v>
      </c>
      <c r="N3963" s="3">
        <v>39.99</v>
      </c>
      <c r="O3963" s="2" t="s">
        <v>97</v>
      </c>
      <c r="P3963" s="2" t="s">
        <v>119</v>
      </c>
      <c r="Q3963" s="2" t="s">
        <v>99</v>
      </c>
      <c r="R3963" s="2" t="s">
        <v>100</v>
      </c>
      <c r="S3963" s="2" t="s">
        <v>11976</v>
      </c>
      <c r="T3963" s="2" t="s">
        <v>100</v>
      </c>
      <c r="U3963" s="2" t="s">
        <v>1847</v>
      </c>
      <c r="V3963" s="2" t="s">
        <v>146</v>
      </c>
      <c r="W3963" s="2" t="s">
        <v>104</v>
      </c>
      <c r="X3963" s="2" t="s">
        <v>11964</v>
      </c>
      <c r="Y3963" s="2" t="s">
        <v>9548</v>
      </c>
      <c r="Z3963" s="4">
        <v>99</v>
      </c>
      <c r="AA3963" s="4">
        <f>=ROUNDDOWN(19.8,0)</f>
      </c>
      <c r="AB3963" s="5">
        <v>5</v>
      </c>
      <c r="AC3963" s="2" t="s">
        <v>931</v>
      </c>
      <c r="AD3963" s="4">
        <v>72</v>
      </c>
      <c r="AE3963" s="4">
        <v>212</v>
      </c>
      <c r="AF3963" s="6">
        <v>64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/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82</v>
      </c>
      <c r="BK3963" s="8">
        <v>1659.14</v>
      </c>
      <c r="BL3963" s="2" t="s">
        <v>5230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207</v>
      </c>
      <c r="BV3963" s="2" t="s">
        <v>97</v>
      </c>
      <c r="BW3963" s="2" t="s">
        <v>100</v>
      </c>
      <c r="BX3963" s="2" t="s">
        <v>100</v>
      </c>
      <c r="BY3963" s="2" t="s">
        <v>113</v>
      </c>
      <c r="BZ3963" s="2" t="s">
        <v>100</v>
      </c>
    </row>
    <row r="3964">
      <c r="A3964" s="2" t="s">
        <v>11984</v>
      </c>
      <c r="B3964" s="2" t="s">
        <v>11863</v>
      </c>
      <c r="C3964" s="2" t="s">
        <v>88</v>
      </c>
      <c r="D3964" s="2" t="s">
        <v>2605</v>
      </c>
      <c r="E3964" s="2" t="s">
        <v>2606</v>
      </c>
      <c r="F3964" s="2" t="s">
        <v>1503</v>
      </c>
      <c r="G3964" s="2" t="s">
        <v>117</v>
      </c>
      <c r="H3964" s="2" t="s">
        <v>11960</v>
      </c>
      <c r="I3964" s="2" t="s">
        <v>11961</v>
      </c>
      <c r="J3964" s="2" t="s">
        <v>11967</v>
      </c>
      <c r="K3964" s="2" t="s">
        <v>335</v>
      </c>
      <c r="L3964" s="3">
        <v>20.25</v>
      </c>
      <c r="M3964" s="3">
        <v>21.26</v>
      </c>
      <c r="N3964" s="3">
        <v>44.99</v>
      </c>
      <c r="O3964" s="2" t="s">
        <v>97</v>
      </c>
      <c r="P3964" s="2" t="s">
        <v>119</v>
      </c>
      <c r="Q3964" s="2" t="s">
        <v>99</v>
      </c>
      <c r="R3964" s="2" t="s">
        <v>100</v>
      </c>
      <c r="S3964" s="2" t="s">
        <v>11976</v>
      </c>
      <c r="T3964" s="2" t="s">
        <v>100</v>
      </c>
      <c r="U3964" s="2" t="s">
        <v>1847</v>
      </c>
      <c r="V3964" s="2" t="s">
        <v>146</v>
      </c>
      <c r="W3964" s="2" t="s">
        <v>104</v>
      </c>
      <c r="X3964" s="2" t="s">
        <v>11964</v>
      </c>
      <c r="Y3964" s="2" t="s">
        <v>9548</v>
      </c>
      <c r="Z3964" s="4">
        <v>178</v>
      </c>
      <c r="AA3964" s="4">
        <f>=ROUNDDOWN(35.6,0)</f>
      </c>
      <c r="AB3964" s="5">
        <v>5</v>
      </c>
      <c r="AC3964" s="2" t="s">
        <v>934</v>
      </c>
      <c r="AD3964" s="4">
        <v>48</v>
      </c>
      <c r="AE3964" s="4">
        <v>48</v>
      </c>
      <c r="AF3964" s="6">
        <v>64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/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 t="s">
        <v>100</v>
      </c>
      <c r="BJ3964" s="4">
        <v>69</v>
      </c>
      <c r="BK3964" s="8">
        <v>1513.5</v>
      </c>
      <c r="BL3964" s="2" t="s">
        <v>11985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207</v>
      </c>
      <c r="BV3964" s="2" t="s">
        <v>97</v>
      </c>
      <c r="BW3964" s="2" t="s">
        <v>100</v>
      </c>
      <c r="BX3964" s="2" t="s">
        <v>100</v>
      </c>
      <c r="BY3964" s="2" t="s">
        <v>113</v>
      </c>
      <c r="BZ3964" s="2" t="s">
        <v>100</v>
      </c>
    </row>
    <row r="3965">
      <c r="A3965" s="2" t="s">
        <v>11986</v>
      </c>
      <c r="B3965" s="2" t="s">
        <v>11863</v>
      </c>
      <c r="C3965" s="2" t="s">
        <v>88</v>
      </c>
      <c r="D3965" s="2" t="s">
        <v>2605</v>
      </c>
      <c r="E3965" s="2" t="s">
        <v>2606</v>
      </c>
      <c r="F3965" s="2" t="s">
        <v>1503</v>
      </c>
      <c r="G3965" s="2" t="s">
        <v>117</v>
      </c>
      <c r="H3965" s="2" t="s">
        <v>11960</v>
      </c>
      <c r="I3965" s="2" t="s">
        <v>11961</v>
      </c>
      <c r="J3965" s="2" t="s">
        <v>11962</v>
      </c>
      <c r="K3965" s="2" t="s">
        <v>4008</v>
      </c>
      <c r="L3965" s="3">
        <v>18.4</v>
      </c>
      <c r="M3965" s="3">
        <v>19.32</v>
      </c>
      <c r="N3965" s="3">
        <v>39.99</v>
      </c>
      <c r="O3965" s="2" t="s">
        <v>97</v>
      </c>
      <c r="P3965" s="2" t="s">
        <v>119</v>
      </c>
      <c r="Q3965" s="2" t="s">
        <v>99</v>
      </c>
      <c r="R3965" s="2" t="s">
        <v>100</v>
      </c>
      <c r="S3965" s="2" t="s">
        <v>11987</v>
      </c>
      <c r="T3965" s="2" t="s">
        <v>100</v>
      </c>
      <c r="U3965" s="2" t="s">
        <v>1847</v>
      </c>
      <c r="V3965" s="2" t="s">
        <v>146</v>
      </c>
      <c r="W3965" s="2" t="s">
        <v>104</v>
      </c>
      <c r="X3965" s="2" t="s">
        <v>11964</v>
      </c>
      <c r="Y3965" s="2" t="s">
        <v>700</v>
      </c>
      <c r="Z3965" s="4">
        <v>207</v>
      </c>
      <c r="AA3965" s="4">
        <f>=ROUNDDOWN(29.5714285714286,0)</f>
      </c>
      <c r="AB3965" s="5">
        <v>7</v>
      </c>
      <c r="AC3965" s="2" t="s">
        <v>1259</v>
      </c>
      <c r="AD3965" s="4">
        <v>134</v>
      </c>
      <c r="AE3965" s="4">
        <v>134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/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 t="s">
        <v>100</v>
      </c>
      <c r="BJ3965" s="4">
        <v>146</v>
      </c>
      <c r="BK3965" s="8">
        <v>2848.19</v>
      </c>
      <c r="BL3965" s="2" t="s">
        <v>11988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207</v>
      </c>
      <c r="BV3965" s="2" t="s">
        <v>97</v>
      </c>
      <c r="BW3965" s="2" t="s">
        <v>100</v>
      </c>
      <c r="BX3965" s="2" t="s">
        <v>100</v>
      </c>
      <c r="BY3965" s="2" t="s">
        <v>113</v>
      </c>
      <c r="BZ3965" s="2" t="s">
        <v>245</v>
      </c>
    </row>
    <row r="3966">
      <c r="A3966" s="2" t="s">
        <v>11989</v>
      </c>
      <c r="B3966" s="2" t="s">
        <v>11863</v>
      </c>
      <c r="C3966" s="2" t="s">
        <v>88</v>
      </c>
      <c r="D3966" s="2" t="s">
        <v>2605</v>
      </c>
      <c r="E3966" s="2" t="s">
        <v>2606</v>
      </c>
      <c r="F3966" s="2" t="s">
        <v>1503</v>
      </c>
      <c r="G3966" s="2" t="s">
        <v>117</v>
      </c>
      <c r="H3966" s="2" t="s">
        <v>11960</v>
      </c>
      <c r="I3966" s="2" t="s">
        <v>11961</v>
      </c>
      <c r="J3966" s="2" t="s">
        <v>11967</v>
      </c>
      <c r="K3966" s="2" t="s">
        <v>4008</v>
      </c>
      <c r="L3966" s="3">
        <v>20.25</v>
      </c>
      <c r="M3966" s="3">
        <v>21.26</v>
      </c>
      <c r="N3966" s="3">
        <v>44.99</v>
      </c>
      <c r="O3966" s="2" t="s">
        <v>97</v>
      </c>
      <c r="P3966" s="2" t="s">
        <v>119</v>
      </c>
      <c r="Q3966" s="2" t="s">
        <v>99</v>
      </c>
      <c r="R3966" s="2" t="s">
        <v>100</v>
      </c>
      <c r="S3966" s="2" t="s">
        <v>11987</v>
      </c>
      <c r="T3966" s="2" t="s">
        <v>100</v>
      </c>
      <c r="U3966" s="2" t="s">
        <v>1847</v>
      </c>
      <c r="V3966" s="2" t="s">
        <v>146</v>
      </c>
      <c r="W3966" s="2" t="s">
        <v>104</v>
      </c>
      <c r="X3966" s="2" t="s">
        <v>11964</v>
      </c>
      <c r="Y3966" s="2" t="s">
        <v>700</v>
      </c>
      <c r="Z3966" s="4">
        <v>219</v>
      </c>
      <c r="AA3966" s="4">
        <f>=ROUNDDOWN(36.5,0)</f>
      </c>
      <c r="AB3966" s="5">
        <v>6</v>
      </c>
      <c r="AC3966" s="2" t="s">
        <v>1259</v>
      </c>
      <c r="AD3966" s="4">
        <v>80</v>
      </c>
      <c r="AE3966" s="4">
        <v>80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89</v>
      </c>
      <c r="BK3966" s="8">
        <v>2000.49</v>
      </c>
      <c r="BL3966" s="2" t="s">
        <v>11990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207</v>
      </c>
      <c r="BV3966" s="2" t="s">
        <v>97</v>
      </c>
      <c r="BW3966" s="2" t="s">
        <v>100</v>
      </c>
      <c r="BX3966" s="2" t="s">
        <v>100</v>
      </c>
      <c r="BY3966" s="2" t="s">
        <v>113</v>
      </c>
      <c r="BZ3966" s="2" t="s">
        <v>245</v>
      </c>
    </row>
    <row r="3967">
      <c r="A3967" s="2" t="s">
        <v>11991</v>
      </c>
      <c r="B3967" s="2" t="s">
        <v>11863</v>
      </c>
      <c r="C3967" s="2" t="s">
        <v>88</v>
      </c>
      <c r="D3967" s="2" t="s">
        <v>2605</v>
      </c>
      <c r="E3967" s="2" t="s">
        <v>2606</v>
      </c>
      <c r="F3967" s="2" t="s">
        <v>1503</v>
      </c>
      <c r="G3967" s="2" t="s">
        <v>117</v>
      </c>
      <c r="H3967" s="2" t="s">
        <v>11960</v>
      </c>
      <c r="I3967" s="2" t="s">
        <v>11975</v>
      </c>
      <c r="J3967" s="2" t="s">
        <v>11868</v>
      </c>
      <c r="K3967" s="2" t="s">
        <v>278</v>
      </c>
      <c r="L3967" s="3">
        <v>16</v>
      </c>
      <c r="M3967" s="3">
        <v>16.8</v>
      </c>
      <c r="N3967" s="3">
        <v>39.99</v>
      </c>
      <c r="O3967" s="2" t="s">
        <v>97</v>
      </c>
      <c r="P3967" s="2" t="s">
        <v>225</v>
      </c>
      <c r="Q3967" s="2" t="s">
        <v>99</v>
      </c>
      <c r="R3967" s="2" t="s">
        <v>100</v>
      </c>
      <c r="S3967" s="2" t="s">
        <v>11992</v>
      </c>
      <c r="T3967" s="2" t="s">
        <v>100</v>
      </c>
      <c r="U3967" s="2" t="s">
        <v>1847</v>
      </c>
      <c r="V3967" s="2" t="s">
        <v>146</v>
      </c>
      <c r="W3967" s="2" t="s">
        <v>104</v>
      </c>
      <c r="X3967" s="2" t="s">
        <v>11977</v>
      </c>
      <c r="Y3967" s="2" t="s">
        <v>9548</v>
      </c>
      <c r="Z3967" s="4">
        <v>87</v>
      </c>
      <c r="AA3967" s="4">
        <f>=ROUNDDOWN(4.83333333333333,0)</f>
      </c>
      <c r="AB3967" s="5">
        <v>18</v>
      </c>
      <c r="AC3967" s="2" t="s">
        <v>768</v>
      </c>
      <c r="AD3967" s="4">
        <v>420</v>
      </c>
      <c r="AE3967" s="4">
        <v>580</v>
      </c>
      <c r="AF3967" s="6">
        <v>64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/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 t="s">
        <v>100</v>
      </c>
      <c r="BJ3967" s="4">
        <v>213</v>
      </c>
      <c r="BK3967" s="8">
        <v>3086.06</v>
      </c>
      <c r="BL3967" s="2" t="s">
        <v>11993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207</v>
      </c>
      <c r="BV3967" s="2" t="s">
        <v>97</v>
      </c>
      <c r="BW3967" s="2" t="s">
        <v>100</v>
      </c>
      <c r="BX3967" s="2" t="s">
        <v>100</v>
      </c>
      <c r="BY3967" s="2" t="s">
        <v>113</v>
      </c>
      <c r="BZ3967" s="2" t="s">
        <v>100</v>
      </c>
    </row>
    <row r="3968">
      <c r="A3968" s="2" t="s">
        <v>11994</v>
      </c>
      <c r="B3968" s="2" t="s">
        <v>11863</v>
      </c>
      <c r="C3968" s="2" t="s">
        <v>88</v>
      </c>
      <c r="D3968" s="2" t="s">
        <v>2605</v>
      </c>
      <c r="E3968" s="2" t="s">
        <v>2606</v>
      </c>
      <c r="F3968" s="2" t="s">
        <v>1503</v>
      </c>
      <c r="G3968" s="2" t="s">
        <v>117</v>
      </c>
      <c r="H3968" s="2" t="s">
        <v>11960</v>
      </c>
      <c r="I3968" s="2" t="s">
        <v>11975</v>
      </c>
      <c r="J3968" s="2" t="s">
        <v>11878</v>
      </c>
      <c r="K3968" s="2" t="s">
        <v>278</v>
      </c>
      <c r="L3968" s="3">
        <v>17.1</v>
      </c>
      <c r="M3968" s="3">
        <v>17.96</v>
      </c>
      <c r="N3968" s="3">
        <v>44.99</v>
      </c>
      <c r="O3968" s="2" t="s">
        <v>97</v>
      </c>
      <c r="P3968" s="2" t="s">
        <v>225</v>
      </c>
      <c r="Q3968" s="2" t="s">
        <v>99</v>
      </c>
      <c r="R3968" s="2" t="s">
        <v>100</v>
      </c>
      <c r="S3968" s="2" t="s">
        <v>11992</v>
      </c>
      <c r="T3968" s="2" t="s">
        <v>100</v>
      </c>
      <c r="U3968" s="2" t="s">
        <v>1847</v>
      </c>
      <c r="V3968" s="2" t="s">
        <v>146</v>
      </c>
      <c r="W3968" s="2" t="s">
        <v>104</v>
      </c>
      <c r="X3968" s="2" t="s">
        <v>11977</v>
      </c>
      <c r="Y3968" s="2" t="s">
        <v>9548</v>
      </c>
      <c r="Z3968" s="4">
        <v>121</v>
      </c>
      <c r="AA3968" s="4">
        <f>=ROUNDDOWN(8.06666666666667,0)</f>
      </c>
      <c r="AB3968" s="5">
        <v>15</v>
      </c>
      <c r="AC3968" s="2" t="s">
        <v>768</v>
      </c>
      <c r="AD3968" s="4">
        <v>32</v>
      </c>
      <c r="AE3968" s="4">
        <v>292</v>
      </c>
      <c r="AF3968" s="6">
        <v>64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100</v>
      </c>
      <c r="BK3968" s="8">
        <v>1645.08</v>
      </c>
      <c r="BL3968" s="2" t="s">
        <v>11995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207</v>
      </c>
      <c r="BV3968" s="2" t="s">
        <v>97</v>
      </c>
      <c r="BW3968" s="2" t="s">
        <v>100</v>
      </c>
      <c r="BX3968" s="2" t="s">
        <v>100</v>
      </c>
      <c r="BY3968" s="2" t="s">
        <v>113</v>
      </c>
      <c r="BZ3968" s="2" t="s">
        <v>100</v>
      </c>
    </row>
    <row r="3969">
      <c r="A3969" s="2" t="s">
        <v>11996</v>
      </c>
      <c r="B3969" s="2" t="s">
        <v>11863</v>
      </c>
      <c r="C3969" s="2" t="s">
        <v>88</v>
      </c>
      <c r="D3969" s="2" t="s">
        <v>2605</v>
      </c>
      <c r="E3969" s="2" t="s">
        <v>2606</v>
      </c>
      <c r="F3969" s="2" t="s">
        <v>1503</v>
      </c>
      <c r="G3969" s="2" t="s">
        <v>117</v>
      </c>
      <c r="H3969" s="2" t="s">
        <v>11960</v>
      </c>
      <c r="I3969" s="2" t="s">
        <v>11961</v>
      </c>
      <c r="J3969" s="2" t="s">
        <v>11962</v>
      </c>
      <c r="K3969" s="2" t="s">
        <v>11997</v>
      </c>
      <c r="L3969" s="3">
        <v>18.4</v>
      </c>
      <c r="M3969" s="3">
        <v>19.32</v>
      </c>
      <c r="N3969" s="3">
        <v>39.99</v>
      </c>
      <c r="O3969" s="2" t="s">
        <v>97</v>
      </c>
      <c r="P3969" s="2" t="s">
        <v>119</v>
      </c>
      <c r="Q3969" s="2" t="s">
        <v>99</v>
      </c>
      <c r="R3969" s="2" t="s">
        <v>100</v>
      </c>
      <c r="S3969" s="2" t="s">
        <v>11998</v>
      </c>
      <c r="T3969" s="2" t="s">
        <v>100</v>
      </c>
      <c r="U3969" s="2" t="s">
        <v>1847</v>
      </c>
      <c r="V3969" s="2" t="s">
        <v>146</v>
      </c>
      <c r="W3969" s="2" t="s">
        <v>104</v>
      </c>
      <c r="X3969" s="2" t="s">
        <v>11964</v>
      </c>
      <c r="Y3969" s="2" t="s">
        <v>700</v>
      </c>
      <c r="Z3969" s="4">
        <v>181</v>
      </c>
      <c r="AA3969" s="4">
        <f>=ROUNDDOWN(22.625,0)</f>
      </c>
      <c r="AB3969" s="5">
        <v>8</v>
      </c>
      <c r="AC3969" s="2" t="s">
        <v>100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192</v>
      </c>
      <c r="BK3969" s="8">
        <v>3889.67</v>
      </c>
      <c r="BL3969" s="2" t="s">
        <v>7491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207</v>
      </c>
      <c r="BV3969" s="2" t="s">
        <v>97</v>
      </c>
      <c r="BW3969" s="2" t="s">
        <v>100</v>
      </c>
      <c r="BX3969" s="2" t="s">
        <v>100</v>
      </c>
      <c r="BY3969" s="2" t="s">
        <v>113</v>
      </c>
      <c r="BZ3969" s="2" t="s">
        <v>245</v>
      </c>
    </row>
    <row r="3970">
      <c r="A3970" s="2" t="s">
        <v>11999</v>
      </c>
      <c r="B3970" s="2" t="s">
        <v>11863</v>
      </c>
      <c r="C3970" s="2" t="s">
        <v>88</v>
      </c>
      <c r="D3970" s="2" t="s">
        <v>2605</v>
      </c>
      <c r="E3970" s="2" t="s">
        <v>2606</v>
      </c>
      <c r="F3970" s="2" t="s">
        <v>1503</v>
      </c>
      <c r="G3970" s="2" t="s">
        <v>117</v>
      </c>
      <c r="H3970" s="2" t="s">
        <v>11960</v>
      </c>
      <c r="I3970" s="2" t="s">
        <v>11961</v>
      </c>
      <c r="J3970" s="2" t="s">
        <v>11967</v>
      </c>
      <c r="K3970" s="2" t="s">
        <v>11997</v>
      </c>
      <c r="L3970" s="3">
        <v>20.25</v>
      </c>
      <c r="M3970" s="3">
        <v>21.26</v>
      </c>
      <c r="N3970" s="3">
        <v>44.99</v>
      </c>
      <c r="O3970" s="2" t="s">
        <v>97</v>
      </c>
      <c r="P3970" s="2" t="s">
        <v>119</v>
      </c>
      <c r="Q3970" s="2" t="s">
        <v>99</v>
      </c>
      <c r="R3970" s="2" t="s">
        <v>100</v>
      </c>
      <c r="S3970" s="2" t="s">
        <v>11998</v>
      </c>
      <c r="T3970" s="2" t="s">
        <v>100</v>
      </c>
      <c r="U3970" s="2" t="s">
        <v>1847</v>
      </c>
      <c r="V3970" s="2" t="s">
        <v>146</v>
      </c>
      <c r="W3970" s="2" t="s">
        <v>104</v>
      </c>
      <c r="X3970" s="2" t="s">
        <v>11964</v>
      </c>
      <c r="Y3970" s="2" t="s">
        <v>700</v>
      </c>
      <c r="Z3970" s="4">
        <v>323</v>
      </c>
      <c r="AA3970" s="4">
        <f>=ROUNDDOWN(64.6,0)</f>
      </c>
      <c r="AB3970" s="5">
        <v>5</v>
      </c>
      <c r="AC3970" s="2" t="s">
        <v>768</v>
      </c>
      <c r="AD3970" s="4">
        <v>60</v>
      </c>
      <c r="AE3970" s="4">
        <v>60</v>
      </c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/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92</v>
      </c>
      <c r="BK3970" s="8">
        <v>2023.33</v>
      </c>
      <c r="BL3970" s="2" t="s">
        <v>12000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207</v>
      </c>
      <c r="BV3970" s="2" t="s">
        <v>97</v>
      </c>
      <c r="BW3970" s="2" t="s">
        <v>100</v>
      </c>
      <c r="BX3970" s="2" t="s">
        <v>100</v>
      </c>
      <c r="BY3970" s="2" t="s">
        <v>113</v>
      </c>
      <c r="BZ3970" s="2" t="s">
        <v>245</v>
      </c>
    </row>
    <row r="3971">
      <c r="A3971" s="2" t="s">
        <v>12001</v>
      </c>
      <c r="B3971" s="2" t="s">
        <v>11863</v>
      </c>
      <c r="C3971" s="2" t="s">
        <v>88</v>
      </c>
      <c r="D3971" s="2" t="s">
        <v>2605</v>
      </c>
      <c r="E3971" s="2" t="s">
        <v>2606</v>
      </c>
      <c r="F3971" s="2" t="s">
        <v>5179</v>
      </c>
      <c r="G3971" s="2" t="s">
        <v>12002</v>
      </c>
      <c r="H3971" s="2" t="s">
        <v>12003</v>
      </c>
      <c r="I3971" s="2" t="s">
        <v>12004</v>
      </c>
      <c r="J3971" s="2" t="s">
        <v>11940</v>
      </c>
      <c r="K3971" s="2" t="s">
        <v>189</v>
      </c>
      <c r="L3971" s="3">
        <v>13.8</v>
      </c>
      <c r="M3971" s="3">
        <v>14.49</v>
      </c>
      <c r="N3971" s="3">
        <v>29.99</v>
      </c>
      <c r="O3971" s="2" t="s">
        <v>97</v>
      </c>
      <c r="P3971" s="2" t="s">
        <v>950</v>
      </c>
      <c r="Q3971" s="2" t="s">
        <v>99</v>
      </c>
      <c r="R3971" s="2" t="s">
        <v>100</v>
      </c>
      <c r="S3971" s="2" t="s">
        <v>12005</v>
      </c>
      <c r="T3971" s="2" t="s">
        <v>100</v>
      </c>
      <c r="U3971" s="2" t="s">
        <v>100</v>
      </c>
      <c r="V3971" s="2" t="s">
        <v>146</v>
      </c>
      <c r="W3971" s="2" t="s">
        <v>219</v>
      </c>
      <c r="X3971" s="2" t="s">
        <v>11870</v>
      </c>
      <c r="Y3971" s="2" t="s">
        <v>240</v>
      </c>
      <c r="Z3971" s="4">
        <v>62</v>
      </c>
      <c r="AA3971" s="4">
        <f>=ROUNDDOWN(5.16666666666667,0)</f>
      </c>
      <c r="AB3971" s="5">
        <v>12</v>
      </c>
      <c r="AC3971" s="2" t="s">
        <v>768</v>
      </c>
      <c r="AD3971" s="4">
        <v>80</v>
      </c>
      <c r="AE3971" s="4">
        <v>340</v>
      </c>
      <c r="AF3971" s="6">
        <v>65</v>
      </c>
      <c r="AG3971" s="6"/>
      <c r="AH3971" s="7">
        <v>0.8182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>
        <v>1</v>
      </c>
      <c r="AQ3971" s="8">
        <v>13.13</v>
      </c>
      <c r="AR3971" s="4"/>
      <c r="AS3971" s="8"/>
      <c r="AT3971" s="7"/>
      <c r="AU3971" s="7"/>
      <c r="AV3971" s="4">
        <v>18</v>
      </c>
      <c r="AW3971" s="8">
        <v>270.68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0.0485</v>
      </c>
      <c r="BC3971" s="4">
        <v>18</v>
      </c>
      <c r="BD3971" s="8">
        <v>270.68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>
        <v>1</v>
      </c>
      <c r="BJ3971" s="4">
        <v>224</v>
      </c>
      <c r="BK3971" s="8">
        <v>3315.59</v>
      </c>
      <c r="BL3971" s="2" t="s">
        <v>12006</v>
      </c>
      <c r="BM3971" s="7">
        <v>0.0045</v>
      </c>
      <c r="BN3971" s="7">
        <v>0.004</v>
      </c>
      <c r="BO3971" s="4">
        <v>1</v>
      </c>
      <c r="BP3971" s="8">
        <v>13.13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12007</v>
      </c>
      <c r="BX3971" s="2" t="s">
        <v>12008</v>
      </c>
      <c r="BY3971" s="2" t="s">
        <v>113</v>
      </c>
      <c r="BZ3971" s="2" t="s">
        <v>245</v>
      </c>
    </row>
    <row r="3972">
      <c r="A3972" s="2" t="s">
        <v>12009</v>
      </c>
      <c r="B3972" s="2" t="s">
        <v>11863</v>
      </c>
      <c r="C3972" s="2" t="s">
        <v>88</v>
      </c>
      <c r="D3972" s="2" t="s">
        <v>2605</v>
      </c>
      <c r="E3972" s="2" t="s">
        <v>2606</v>
      </c>
      <c r="F3972" s="2" t="s">
        <v>5179</v>
      </c>
      <c r="G3972" s="2" t="s">
        <v>12002</v>
      </c>
      <c r="H3972" s="2" t="s">
        <v>12003</v>
      </c>
      <c r="I3972" s="2" t="s">
        <v>12004</v>
      </c>
      <c r="J3972" s="2" t="s">
        <v>11868</v>
      </c>
      <c r="K3972" s="2" t="s">
        <v>189</v>
      </c>
      <c r="L3972" s="3">
        <v>16.1</v>
      </c>
      <c r="M3972" s="3">
        <v>16.9</v>
      </c>
      <c r="N3972" s="3">
        <v>34.99</v>
      </c>
      <c r="O3972" s="2" t="s">
        <v>97</v>
      </c>
      <c r="P3972" s="2" t="s">
        <v>950</v>
      </c>
      <c r="Q3972" s="2" t="s">
        <v>99</v>
      </c>
      <c r="R3972" s="2" t="s">
        <v>100</v>
      </c>
      <c r="S3972" s="2" t="s">
        <v>12005</v>
      </c>
      <c r="T3972" s="2" t="s">
        <v>100</v>
      </c>
      <c r="U3972" s="2" t="s">
        <v>100</v>
      </c>
      <c r="V3972" s="2" t="s">
        <v>146</v>
      </c>
      <c r="W3972" s="2" t="s">
        <v>219</v>
      </c>
      <c r="X3972" s="2" t="s">
        <v>11870</v>
      </c>
      <c r="Y3972" s="2" t="s">
        <v>240</v>
      </c>
      <c r="Z3972" s="4">
        <v>366</v>
      </c>
      <c r="AA3972" s="4">
        <f>=ROUNDDOWN(14.64,0)</f>
      </c>
      <c r="AB3972" s="5">
        <v>25</v>
      </c>
      <c r="AC3972" s="2" t="s">
        <v>768</v>
      </c>
      <c r="AD3972" s="4">
        <v>240</v>
      </c>
      <c r="AE3972" s="4">
        <v>492</v>
      </c>
      <c r="AF3972" s="6">
        <v>65</v>
      </c>
      <c r="AG3972" s="6"/>
      <c r="AH3972" s="7">
        <v>0.8235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17</v>
      </c>
      <c r="AQ3972" s="8">
        <v>257.55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0.9515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482</v>
      </c>
      <c r="BK3972" s="8">
        <v>8306.53</v>
      </c>
      <c r="BL3972" s="2" t="s">
        <v>12010</v>
      </c>
      <c r="BM3972" s="7">
        <v>0.0353</v>
      </c>
      <c r="BN3972" s="7">
        <v>0.031</v>
      </c>
      <c r="BO3972" s="4">
        <v>17</v>
      </c>
      <c r="BP3972" s="8">
        <v>257.55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243</v>
      </c>
      <c r="BX3972" s="2" t="s">
        <v>12011</v>
      </c>
      <c r="BY3972" s="2" t="s">
        <v>113</v>
      </c>
      <c r="BZ3972" s="2" t="s">
        <v>245</v>
      </c>
    </row>
    <row r="3973">
      <c r="A3973" s="2" t="s">
        <v>12012</v>
      </c>
      <c r="B3973" s="2" t="s">
        <v>11863</v>
      </c>
      <c r="C3973" s="2" t="s">
        <v>88</v>
      </c>
      <c r="D3973" s="2" t="s">
        <v>2605</v>
      </c>
      <c r="E3973" s="2" t="s">
        <v>2606</v>
      </c>
      <c r="F3973" s="2" t="s">
        <v>12013</v>
      </c>
      <c r="G3973" s="2" t="s">
        <v>12014</v>
      </c>
      <c r="H3973" s="2" t="s">
        <v>12015</v>
      </c>
      <c r="I3973" s="2" t="s">
        <v>12016</v>
      </c>
      <c r="J3973" s="2" t="s">
        <v>11940</v>
      </c>
      <c r="K3973" s="2" t="s">
        <v>858</v>
      </c>
      <c r="L3973" s="3">
        <v>13.5</v>
      </c>
      <c r="M3973" s="3">
        <v>14.18</v>
      </c>
      <c r="N3973" s="3">
        <v>29.99</v>
      </c>
      <c r="O3973" s="2" t="s">
        <v>97</v>
      </c>
      <c r="P3973" s="2" t="s">
        <v>119</v>
      </c>
      <c r="Q3973" s="2" t="s">
        <v>99</v>
      </c>
      <c r="R3973" s="2" t="s">
        <v>100</v>
      </c>
      <c r="S3973" s="2" t="s">
        <v>12017</v>
      </c>
      <c r="T3973" s="2" t="s">
        <v>100</v>
      </c>
      <c r="U3973" s="2" t="s">
        <v>1847</v>
      </c>
      <c r="V3973" s="2" t="s">
        <v>146</v>
      </c>
      <c r="W3973" s="2" t="s">
        <v>561</v>
      </c>
      <c r="X3973" s="2" t="s">
        <v>11870</v>
      </c>
      <c r="Y3973" s="2" t="s">
        <v>5412</v>
      </c>
      <c r="Z3973" s="4">
        <v>263</v>
      </c>
      <c r="AA3973" s="4">
        <f>=ROUNDDOWN(65.75,0)</f>
      </c>
      <c r="AB3973" s="5">
        <v>4</v>
      </c>
      <c r="AC3973" s="2" t="s">
        <v>100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>
        <v>2</v>
      </c>
      <c r="AQ3973" s="8">
        <v>25.2</v>
      </c>
      <c r="AR3973" s="4"/>
      <c r="AS3973" s="8"/>
      <c r="AT3973" s="7"/>
      <c r="AU3973" s="7"/>
      <c r="AV3973" s="4">
        <v>7</v>
      </c>
      <c r="AW3973" s="8">
        <v>100.8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0.25</v>
      </c>
      <c r="BC3973" s="4">
        <v>7</v>
      </c>
      <c r="BD3973" s="8">
        <v>100.8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>
        <v>1</v>
      </c>
      <c r="BJ3973" s="4">
        <v>92</v>
      </c>
      <c r="BK3973" s="8">
        <v>1375.63</v>
      </c>
      <c r="BL3973" s="2" t="s">
        <v>12018</v>
      </c>
      <c r="BM3973" s="7">
        <v>0.0217</v>
      </c>
      <c r="BN3973" s="7">
        <v>0.0183</v>
      </c>
      <c r="BO3973" s="4">
        <v>2</v>
      </c>
      <c r="BP3973" s="8">
        <v>25.2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2198</v>
      </c>
      <c r="BX3973" s="2" t="s">
        <v>12019</v>
      </c>
      <c r="BY3973" s="2" t="s">
        <v>113</v>
      </c>
      <c r="BZ3973" s="2" t="s">
        <v>245</v>
      </c>
    </row>
    <row r="3974">
      <c r="A3974" s="2" t="s">
        <v>12020</v>
      </c>
      <c r="B3974" s="2" t="s">
        <v>11863</v>
      </c>
      <c r="C3974" s="2" t="s">
        <v>88</v>
      </c>
      <c r="D3974" s="2" t="s">
        <v>2605</v>
      </c>
      <c r="E3974" s="2" t="s">
        <v>2606</v>
      </c>
      <c r="F3974" s="2" t="s">
        <v>12013</v>
      </c>
      <c r="G3974" s="2" t="s">
        <v>12014</v>
      </c>
      <c r="H3974" s="2" t="s">
        <v>12015</v>
      </c>
      <c r="I3974" s="2" t="s">
        <v>12016</v>
      </c>
      <c r="J3974" s="2" t="s">
        <v>11868</v>
      </c>
      <c r="K3974" s="2" t="s">
        <v>858</v>
      </c>
      <c r="L3974" s="3">
        <v>15.75</v>
      </c>
      <c r="M3974" s="3">
        <v>16.54</v>
      </c>
      <c r="N3974" s="3">
        <v>34.99</v>
      </c>
      <c r="O3974" s="2" t="s">
        <v>97</v>
      </c>
      <c r="P3974" s="2" t="s">
        <v>119</v>
      </c>
      <c r="Q3974" s="2" t="s">
        <v>99</v>
      </c>
      <c r="R3974" s="2" t="s">
        <v>100</v>
      </c>
      <c r="S3974" s="2" t="s">
        <v>12017</v>
      </c>
      <c r="T3974" s="2" t="s">
        <v>100</v>
      </c>
      <c r="U3974" s="2" t="s">
        <v>1847</v>
      </c>
      <c r="V3974" s="2" t="s">
        <v>146</v>
      </c>
      <c r="W3974" s="2" t="s">
        <v>561</v>
      </c>
      <c r="X3974" s="2" t="s">
        <v>11870</v>
      </c>
      <c r="Y3974" s="2" t="s">
        <v>5412</v>
      </c>
      <c r="Z3974" s="4">
        <v>254</v>
      </c>
      <c r="AA3974" s="4">
        <f>=ROUNDDOWN(23.0909090909091,0)</f>
      </c>
      <c r="AB3974" s="5">
        <v>11</v>
      </c>
      <c r="AC3974" s="2" t="s">
        <v>5080</v>
      </c>
      <c r="AD3974" s="4">
        <v>224</v>
      </c>
      <c r="AE3974" s="4">
        <v>224</v>
      </c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>
        <v>5</v>
      </c>
      <c r="AQ3974" s="8">
        <v>75.6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0.75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235</v>
      </c>
      <c r="BK3974" s="8">
        <v>3863.33</v>
      </c>
      <c r="BL3974" s="2" t="s">
        <v>12021</v>
      </c>
      <c r="BM3974" s="7">
        <v>0.0213</v>
      </c>
      <c r="BN3974" s="7">
        <v>0.0196</v>
      </c>
      <c r="BO3974" s="4">
        <v>5</v>
      </c>
      <c r="BP3974" s="8">
        <v>75.6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2198</v>
      </c>
      <c r="BX3974" s="2" t="s">
        <v>3609</v>
      </c>
      <c r="BY3974" s="2" t="s">
        <v>113</v>
      </c>
      <c r="BZ3974" s="2" t="s">
        <v>245</v>
      </c>
    </row>
    <row r="3975">
      <c r="A3975" s="2" t="s">
        <v>12022</v>
      </c>
      <c r="B3975" s="2" t="s">
        <v>11863</v>
      </c>
      <c r="C3975" s="2" t="s">
        <v>88</v>
      </c>
      <c r="D3975" s="2" t="s">
        <v>2605</v>
      </c>
      <c r="E3975" s="2" t="s">
        <v>2606</v>
      </c>
      <c r="F3975" s="2" t="s">
        <v>1093</v>
      </c>
      <c r="G3975" s="2" t="s">
        <v>1094</v>
      </c>
      <c r="H3975" s="2" t="s">
        <v>1095</v>
      </c>
      <c r="I3975" s="2" t="s">
        <v>12023</v>
      </c>
      <c r="J3975" s="2" t="s">
        <v>11868</v>
      </c>
      <c r="K3975" s="2" t="s">
        <v>297</v>
      </c>
      <c r="L3975" s="3">
        <v>16.45</v>
      </c>
      <c r="M3975" s="3">
        <v>17.27</v>
      </c>
      <c r="N3975" s="3">
        <v>34.99</v>
      </c>
      <c r="O3975" s="2" t="s">
        <v>97</v>
      </c>
      <c r="P3975" s="2" t="s">
        <v>119</v>
      </c>
      <c r="Q3975" s="2" t="s">
        <v>99</v>
      </c>
      <c r="R3975" s="2" t="s">
        <v>100</v>
      </c>
      <c r="S3975" s="2" t="s">
        <v>5148</v>
      </c>
      <c r="T3975" s="2" t="s">
        <v>100</v>
      </c>
      <c r="U3975" s="2" t="s">
        <v>1847</v>
      </c>
      <c r="V3975" s="2" t="s">
        <v>434</v>
      </c>
      <c r="W3975" s="2" t="s">
        <v>309</v>
      </c>
      <c r="X3975" s="2" t="s">
        <v>11870</v>
      </c>
      <c r="Y3975" s="2" t="s">
        <v>12024</v>
      </c>
      <c r="Z3975" s="4">
        <v>356</v>
      </c>
      <c r="AA3975" s="4">
        <f>=ROUNDDOWN(32.3636363636364,0)</f>
      </c>
      <c r="AB3975" s="5">
        <v>11</v>
      </c>
      <c r="AC3975" s="2" t="s">
        <v>768</v>
      </c>
      <c r="AD3975" s="4">
        <v>220</v>
      </c>
      <c r="AE3975" s="4">
        <v>220</v>
      </c>
      <c r="AF3975" s="6">
        <v>64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>
        <v>5</v>
      </c>
      <c r="AQ3975" s="8">
        <v>78.7</v>
      </c>
      <c r="AR3975" s="4"/>
      <c r="AS3975" s="8"/>
      <c r="AT3975" s="7"/>
      <c r="AU3975" s="7"/>
      <c r="AV3975" s="4">
        <v>5</v>
      </c>
      <c r="AW3975" s="8">
        <v>78.7</v>
      </c>
      <c r="AX3975" s="4"/>
      <c r="AY3975" s="8"/>
      <c r="AZ3975" s="7"/>
      <c r="BA3975" s="7"/>
      <c r="BB3975" s="7">
        <v>1</v>
      </c>
      <c r="BC3975" s="4">
        <v>5</v>
      </c>
      <c r="BD3975" s="8">
        <v>78.7</v>
      </c>
      <c r="BE3975" s="4"/>
      <c r="BF3975" s="8"/>
      <c r="BG3975" s="7"/>
      <c r="BH3975" s="7"/>
      <c r="BI3975" s="7">
        <v>1</v>
      </c>
      <c r="BJ3975" s="4">
        <v>306</v>
      </c>
      <c r="BK3975" s="8">
        <v>5390.83</v>
      </c>
      <c r="BL3975" s="2" t="s">
        <v>12025</v>
      </c>
      <c r="BM3975" s="7">
        <v>0.0163</v>
      </c>
      <c r="BN3975" s="7">
        <v>0.0146</v>
      </c>
      <c r="BO3975" s="4">
        <v>5</v>
      </c>
      <c r="BP3975" s="8">
        <v>78.7</v>
      </c>
      <c r="BQ3975" s="4"/>
      <c r="BR3975" s="8"/>
      <c r="BS3975" s="7"/>
      <c r="BT3975" s="7"/>
      <c r="BU3975" s="2" t="s">
        <v>109</v>
      </c>
      <c r="BV3975" s="2" t="s">
        <v>110</v>
      </c>
      <c r="BW3975" s="2" t="s">
        <v>5477</v>
      </c>
      <c r="BX3975" s="2" t="s">
        <v>12026</v>
      </c>
      <c r="BY3975" s="2" t="s">
        <v>113</v>
      </c>
      <c r="BZ3975" s="2" t="s">
        <v>245</v>
      </c>
    </row>
    <row r="3976">
      <c r="A3976" s="2" t="s">
        <v>12027</v>
      </c>
      <c r="B3976" s="2" t="s">
        <v>11863</v>
      </c>
      <c r="C3976" s="2" t="s">
        <v>88</v>
      </c>
      <c r="D3976" s="2" t="s">
        <v>2605</v>
      </c>
      <c r="E3976" s="2" t="s">
        <v>2606</v>
      </c>
      <c r="F3976" s="2" t="s">
        <v>12028</v>
      </c>
      <c r="G3976" s="2" t="s">
        <v>12029</v>
      </c>
      <c r="H3976" s="2" t="s">
        <v>12030</v>
      </c>
      <c r="I3976" s="2" t="s">
        <v>12031</v>
      </c>
      <c r="J3976" s="2" t="s">
        <v>11868</v>
      </c>
      <c r="K3976" s="2" t="s">
        <v>858</v>
      </c>
      <c r="L3976" s="3">
        <v>15.5</v>
      </c>
      <c r="M3976" s="3">
        <v>16.28</v>
      </c>
      <c r="N3976" s="3">
        <v>34.99</v>
      </c>
      <c r="O3976" s="2" t="s">
        <v>97</v>
      </c>
      <c r="P3976" s="2" t="s">
        <v>119</v>
      </c>
      <c r="Q3976" s="2" t="s">
        <v>99</v>
      </c>
      <c r="R3976" s="2" t="s">
        <v>100</v>
      </c>
      <c r="S3976" s="2" t="s">
        <v>12032</v>
      </c>
      <c r="T3976" s="2" t="s">
        <v>100</v>
      </c>
      <c r="U3976" s="2" t="s">
        <v>1847</v>
      </c>
      <c r="V3976" s="2" t="s">
        <v>146</v>
      </c>
      <c r="W3976" s="2" t="s">
        <v>183</v>
      </c>
      <c r="X3976" s="2" t="s">
        <v>11870</v>
      </c>
      <c r="Y3976" s="2" t="s">
        <v>7401</v>
      </c>
      <c r="Z3976" s="4"/>
      <c r="AA3976" s="4">
        <f>=ROUNDDOWN({0},0)</f>
      </c>
      <c r="AB3976" s="5">
        <v>7</v>
      </c>
      <c r="AC3976" s="2" t="s">
        <v>205</v>
      </c>
      <c r="AD3976" s="4">
        <v>252</v>
      </c>
      <c r="AE3976" s="4">
        <v>252</v>
      </c>
      <c r="AF3976" s="6">
        <v>65</v>
      </c>
      <c r="AG3976" s="6"/>
      <c r="AH3976" s="7">
        <v>0.9358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 t="s">
        <v>100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>
        <v>183</v>
      </c>
      <c r="BK3976" s="8">
        <v>3267.34</v>
      </c>
      <c r="BL3976" s="2" t="s">
        <v>12033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207</v>
      </c>
      <c r="BV3976" s="2" t="s">
        <v>97</v>
      </c>
      <c r="BW3976" s="2" t="s">
        <v>100</v>
      </c>
      <c r="BX3976" s="2" t="s">
        <v>100</v>
      </c>
      <c r="BY3976" s="2" t="s">
        <v>113</v>
      </c>
      <c r="BZ3976" s="2" t="s">
        <v>245</v>
      </c>
    </row>
    <row r="3977">
      <c r="A3977" s="2" t="s">
        <v>12034</v>
      </c>
      <c r="B3977" s="2" t="s">
        <v>11863</v>
      </c>
      <c r="C3977" s="2" t="s">
        <v>88</v>
      </c>
      <c r="D3977" s="2" t="s">
        <v>2605</v>
      </c>
      <c r="E3977" s="2" t="s">
        <v>2606</v>
      </c>
      <c r="F3977" s="2" t="s">
        <v>12028</v>
      </c>
      <c r="G3977" s="2" t="s">
        <v>12029</v>
      </c>
      <c r="H3977" s="2" t="s">
        <v>12030</v>
      </c>
      <c r="I3977" s="2" t="s">
        <v>12035</v>
      </c>
      <c r="J3977" s="2" t="s">
        <v>11868</v>
      </c>
      <c r="K3977" s="2" t="s">
        <v>858</v>
      </c>
      <c r="L3977" s="3">
        <v>15.5</v>
      </c>
      <c r="M3977" s="3">
        <v>16.28</v>
      </c>
      <c r="N3977" s="3">
        <v>34.99</v>
      </c>
      <c r="O3977" s="2" t="s">
        <v>97</v>
      </c>
      <c r="P3977" s="2" t="s">
        <v>119</v>
      </c>
      <c r="Q3977" s="2" t="s">
        <v>99</v>
      </c>
      <c r="R3977" s="2" t="s">
        <v>100</v>
      </c>
      <c r="S3977" s="2" t="s">
        <v>12032</v>
      </c>
      <c r="T3977" s="2" t="s">
        <v>100</v>
      </c>
      <c r="U3977" s="2" t="s">
        <v>1847</v>
      </c>
      <c r="V3977" s="2" t="s">
        <v>146</v>
      </c>
      <c r="W3977" s="2" t="s">
        <v>183</v>
      </c>
      <c r="X3977" s="2" t="s">
        <v>11870</v>
      </c>
      <c r="Y3977" s="2" t="s">
        <v>7401</v>
      </c>
      <c r="Z3977" s="4">
        <v>889</v>
      </c>
      <c r="AA3977" s="4">
        <f>=ROUNDDOWN(46.7894736842105,0)</f>
      </c>
      <c r="AB3977" s="5">
        <v>19</v>
      </c>
      <c r="AC3977" s="2" t="s">
        <v>100</v>
      </c>
      <c r="AD3977" s="4"/>
      <c r="AE3977" s="4"/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 t="s">
        <v>100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>
        <v>514</v>
      </c>
      <c r="BK3977" s="8">
        <v>8830.38</v>
      </c>
      <c r="BL3977" s="2" t="s">
        <v>12036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207</v>
      </c>
      <c r="BV3977" s="2" t="s">
        <v>97</v>
      </c>
      <c r="BW3977" s="2" t="s">
        <v>100</v>
      </c>
      <c r="BX3977" s="2" t="s">
        <v>100</v>
      </c>
      <c r="BY3977" s="2" t="s">
        <v>113</v>
      </c>
      <c r="BZ3977" s="2" t="s">
        <v>245</v>
      </c>
    </row>
    <row r="3978">
      <c r="A3978" s="2" t="s">
        <v>12037</v>
      </c>
      <c r="B3978" s="2" t="s">
        <v>11863</v>
      </c>
      <c r="C3978" s="2" t="s">
        <v>88</v>
      </c>
      <c r="D3978" s="2" t="s">
        <v>2605</v>
      </c>
      <c r="E3978" s="2" t="s">
        <v>2606</v>
      </c>
      <c r="F3978" s="2" t="s">
        <v>12028</v>
      </c>
      <c r="G3978" s="2" t="s">
        <v>12029</v>
      </c>
      <c r="H3978" s="2" t="s">
        <v>12030</v>
      </c>
      <c r="I3978" s="2" t="s">
        <v>12035</v>
      </c>
      <c r="J3978" s="2" t="s">
        <v>11878</v>
      </c>
      <c r="K3978" s="2" t="s">
        <v>858</v>
      </c>
      <c r="L3978" s="3">
        <v>17.5</v>
      </c>
      <c r="M3978" s="3">
        <v>18.38</v>
      </c>
      <c r="N3978" s="3">
        <v>39.99</v>
      </c>
      <c r="O3978" s="2" t="s">
        <v>97</v>
      </c>
      <c r="P3978" s="2" t="s">
        <v>119</v>
      </c>
      <c r="Q3978" s="2" t="s">
        <v>99</v>
      </c>
      <c r="R3978" s="2" t="s">
        <v>100</v>
      </c>
      <c r="S3978" s="2" t="s">
        <v>12032</v>
      </c>
      <c r="T3978" s="2" t="s">
        <v>100</v>
      </c>
      <c r="U3978" s="2" t="s">
        <v>1847</v>
      </c>
      <c r="V3978" s="2" t="s">
        <v>146</v>
      </c>
      <c r="W3978" s="2" t="s">
        <v>183</v>
      </c>
      <c r="X3978" s="2" t="s">
        <v>11870</v>
      </c>
      <c r="Y3978" s="2" t="s">
        <v>7401</v>
      </c>
      <c r="Z3978" s="4">
        <v>506</v>
      </c>
      <c r="AA3978" s="4">
        <f>=ROUNDDOWN(19.4615384615385,0)</f>
      </c>
      <c r="AB3978" s="5">
        <v>26</v>
      </c>
      <c r="AC3978" s="2" t="s">
        <v>205</v>
      </c>
      <c r="AD3978" s="4">
        <v>260</v>
      </c>
      <c r="AE3978" s="4">
        <v>260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712</v>
      </c>
      <c r="BK3978" s="8">
        <v>13929.57</v>
      </c>
      <c r="BL3978" s="2" t="s">
        <v>12038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207</v>
      </c>
      <c r="BV3978" s="2" t="s">
        <v>97</v>
      </c>
      <c r="BW3978" s="2" t="s">
        <v>100</v>
      </c>
      <c r="BX3978" s="2" t="s">
        <v>100</v>
      </c>
      <c r="BY3978" s="2" t="s">
        <v>113</v>
      </c>
      <c r="BZ3978" s="2" t="s">
        <v>245</v>
      </c>
    </row>
    <row r="3979">
      <c r="A3979" s="2" t="s">
        <v>12039</v>
      </c>
      <c r="B3979" s="2" t="s">
        <v>11863</v>
      </c>
      <c r="C3979" s="2" t="s">
        <v>88</v>
      </c>
      <c r="D3979" s="2" t="s">
        <v>2605</v>
      </c>
      <c r="E3979" s="2" t="s">
        <v>2606</v>
      </c>
      <c r="F3979" s="2" t="s">
        <v>12040</v>
      </c>
      <c r="G3979" s="2" t="s">
        <v>4410</v>
      </c>
      <c r="H3979" s="2" t="s">
        <v>8468</v>
      </c>
      <c r="I3979" s="2" t="s">
        <v>12041</v>
      </c>
      <c r="J3979" s="2" t="s">
        <v>11868</v>
      </c>
      <c r="K3979" s="2" t="s">
        <v>12042</v>
      </c>
      <c r="L3979" s="3">
        <v>15.45</v>
      </c>
      <c r="M3979" s="3">
        <v>16.22</v>
      </c>
      <c r="N3979" s="3">
        <v>34.99</v>
      </c>
      <c r="O3979" s="2" t="s">
        <v>97</v>
      </c>
      <c r="P3979" s="2" t="s">
        <v>225</v>
      </c>
      <c r="Q3979" s="2" t="s">
        <v>99</v>
      </c>
      <c r="R3979" s="2" t="s">
        <v>100</v>
      </c>
      <c r="S3979" s="2" t="s">
        <v>12043</v>
      </c>
      <c r="T3979" s="2" t="s">
        <v>100</v>
      </c>
      <c r="U3979" s="2" t="s">
        <v>1847</v>
      </c>
      <c r="V3979" s="2" t="s">
        <v>2935</v>
      </c>
      <c r="W3979" s="2" t="s">
        <v>100</v>
      </c>
      <c r="X3979" s="2" t="s">
        <v>100</v>
      </c>
      <c r="Y3979" s="2" t="s">
        <v>3256</v>
      </c>
      <c r="Z3979" s="4">
        <v>330</v>
      </c>
      <c r="AA3979" s="4">
        <f>=ROUNDDOWN(6.34615384615385,0)</f>
      </c>
      <c r="AB3979" s="5">
        <v>52</v>
      </c>
      <c r="AC3979" s="2" t="s">
        <v>123</v>
      </c>
      <c r="AD3979" s="4">
        <v>436</v>
      </c>
      <c r="AE3979" s="4">
        <v>1204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/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/>
      <c r="BJ3979" s="4">
        <v>96</v>
      </c>
      <c r="BK3979" s="8">
        <v>1705.92</v>
      </c>
      <c r="BL3979" s="2" t="s">
        <v>9565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207</v>
      </c>
      <c r="BV3979" s="2" t="s">
        <v>97</v>
      </c>
      <c r="BW3979" s="2" t="s">
        <v>100</v>
      </c>
      <c r="BX3979" s="2" t="s">
        <v>100</v>
      </c>
      <c r="BY3979" s="2" t="s">
        <v>113</v>
      </c>
      <c r="BZ3979" s="2" t="s">
        <v>100</v>
      </c>
    </row>
    <row r="3980">
      <c r="A3980" s="2" t="s">
        <v>12044</v>
      </c>
      <c r="B3980" s="2" t="s">
        <v>11863</v>
      </c>
      <c r="C3980" s="2" t="s">
        <v>88</v>
      </c>
      <c r="D3980" s="2" t="s">
        <v>2605</v>
      </c>
      <c r="E3980" s="2" t="s">
        <v>2606</v>
      </c>
      <c r="F3980" s="2" t="s">
        <v>12040</v>
      </c>
      <c r="G3980" s="2" t="s">
        <v>4410</v>
      </c>
      <c r="H3980" s="2" t="s">
        <v>8468</v>
      </c>
      <c r="I3980" s="2" t="s">
        <v>12041</v>
      </c>
      <c r="J3980" s="2" t="s">
        <v>11878</v>
      </c>
      <c r="K3980" s="2" t="s">
        <v>12042</v>
      </c>
      <c r="L3980" s="3">
        <v>17.47</v>
      </c>
      <c r="M3980" s="3">
        <v>18.34</v>
      </c>
      <c r="N3980" s="3">
        <v>39.99</v>
      </c>
      <c r="O3980" s="2" t="s">
        <v>97</v>
      </c>
      <c r="P3980" s="2" t="s">
        <v>225</v>
      </c>
      <c r="Q3980" s="2" t="s">
        <v>99</v>
      </c>
      <c r="R3980" s="2" t="s">
        <v>100</v>
      </c>
      <c r="S3980" s="2" t="s">
        <v>12043</v>
      </c>
      <c r="T3980" s="2" t="s">
        <v>100</v>
      </c>
      <c r="U3980" s="2" t="s">
        <v>1847</v>
      </c>
      <c r="V3980" s="2" t="s">
        <v>2935</v>
      </c>
      <c r="W3980" s="2" t="s">
        <v>100</v>
      </c>
      <c r="X3980" s="2" t="s">
        <v>100</v>
      </c>
      <c r="Y3980" s="2" t="s">
        <v>3256</v>
      </c>
      <c r="Z3980" s="4">
        <v>154</v>
      </c>
      <c r="AA3980" s="4">
        <f>=ROUNDDOWN(5.7037037037037,0)</f>
      </c>
      <c r="AB3980" s="5">
        <v>27</v>
      </c>
      <c r="AC3980" s="2" t="s">
        <v>123</v>
      </c>
      <c r="AD3980" s="4">
        <v>224</v>
      </c>
      <c r="AE3980" s="4">
        <v>668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/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/>
      <c r="BJ3980" s="4">
        <v>78</v>
      </c>
      <c r="BK3980" s="8">
        <v>1567.02</v>
      </c>
      <c r="BL3980" s="2" t="s">
        <v>9565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207</v>
      </c>
      <c r="BV3980" s="2" t="s">
        <v>97</v>
      </c>
      <c r="BW3980" s="2" t="s">
        <v>100</v>
      </c>
      <c r="BX3980" s="2" t="s">
        <v>100</v>
      </c>
      <c r="BY3980" s="2" t="s">
        <v>113</v>
      </c>
      <c r="BZ3980" s="2" t="s">
        <v>100</v>
      </c>
    </row>
    <row r="3981">
      <c r="A3981" s="2" t="s">
        <v>12045</v>
      </c>
      <c r="B3981" s="2" t="s">
        <v>11863</v>
      </c>
      <c r="C3981" s="2" t="s">
        <v>88</v>
      </c>
      <c r="D3981" s="2" t="s">
        <v>2605</v>
      </c>
      <c r="E3981" s="2" t="s">
        <v>2606</v>
      </c>
      <c r="F3981" s="2" t="s">
        <v>1621</v>
      </c>
      <c r="G3981" s="2" t="s">
        <v>1120</v>
      </c>
      <c r="H3981" s="2" t="s">
        <v>12046</v>
      </c>
      <c r="I3981" s="2" t="s">
        <v>12041</v>
      </c>
      <c r="J3981" s="2" t="s">
        <v>11868</v>
      </c>
      <c r="K3981" s="2" t="s">
        <v>2951</v>
      </c>
      <c r="L3981" s="3">
        <v>15.45</v>
      </c>
      <c r="M3981" s="3">
        <v>16.22</v>
      </c>
      <c r="N3981" s="3">
        <v>34.99</v>
      </c>
      <c r="O3981" s="2" t="s">
        <v>97</v>
      </c>
      <c r="P3981" s="2" t="s">
        <v>225</v>
      </c>
      <c r="Q3981" s="2" t="s">
        <v>99</v>
      </c>
      <c r="R3981" s="2" t="s">
        <v>100</v>
      </c>
      <c r="S3981" s="2" t="s">
        <v>12047</v>
      </c>
      <c r="T3981" s="2" t="s">
        <v>100</v>
      </c>
      <c r="U3981" s="2" t="s">
        <v>1847</v>
      </c>
      <c r="V3981" s="2" t="s">
        <v>2935</v>
      </c>
      <c r="W3981" s="2" t="s">
        <v>100</v>
      </c>
      <c r="X3981" s="2" t="s">
        <v>100</v>
      </c>
      <c r="Y3981" s="2" t="s">
        <v>3256</v>
      </c>
      <c r="Z3981" s="4">
        <v>358</v>
      </c>
      <c r="AA3981" s="4">
        <f>=ROUNDDOWN(6.88461538461539,0)</f>
      </c>
      <c r="AB3981" s="5">
        <v>52</v>
      </c>
      <c r="AC3981" s="2" t="s">
        <v>123</v>
      </c>
      <c r="AD3981" s="4">
        <v>448</v>
      </c>
      <c r="AE3981" s="4">
        <v>1212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/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/>
      <c r="BJ3981" s="4">
        <v>68</v>
      </c>
      <c r="BK3981" s="8">
        <v>1208.36</v>
      </c>
      <c r="BL3981" s="2" t="s">
        <v>9565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207</v>
      </c>
      <c r="BV3981" s="2" t="s">
        <v>97</v>
      </c>
      <c r="BW3981" s="2" t="s">
        <v>100</v>
      </c>
      <c r="BX3981" s="2" t="s">
        <v>100</v>
      </c>
      <c r="BY3981" s="2" t="s">
        <v>113</v>
      </c>
      <c r="BZ3981" s="2" t="s">
        <v>100</v>
      </c>
    </row>
    <row r="3982">
      <c r="A3982" s="2" t="s">
        <v>12048</v>
      </c>
      <c r="B3982" s="2" t="s">
        <v>11863</v>
      </c>
      <c r="C3982" s="2" t="s">
        <v>88</v>
      </c>
      <c r="D3982" s="2" t="s">
        <v>2605</v>
      </c>
      <c r="E3982" s="2" t="s">
        <v>2606</v>
      </c>
      <c r="F3982" s="2" t="s">
        <v>1621</v>
      </c>
      <c r="G3982" s="2" t="s">
        <v>1120</v>
      </c>
      <c r="H3982" s="2" t="s">
        <v>12046</v>
      </c>
      <c r="I3982" s="2" t="s">
        <v>12041</v>
      </c>
      <c r="J3982" s="2" t="s">
        <v>11878</v>
      </c>
      <c r="K3982" s="2" t="s">
        <v>2951</v>
      </c>
      <c r="L3982" s="3">
        <v>17.47</v>
      </c>
      <c r="M3982" s="3">
        <v>18.34</v>
      </c>
      <c r="N3982" s="3">
        <v>39.99</v>
      </c>
      <c r="O3982" s="2" t="s">
        <v>97</v>
      </c>
      <c r="P3982" s="2" t="s">
        <v>225</v>
      </c>
      <c r="Q3982" s="2" t="s">
        <v>99</v>
      </c>
      <c r="R3982" s="2" t="s">
        <v>100</v>
      </c>
      <c r="S3982" s="2" t="s">
        <v>12047</v>
      </c>
      <c r="T3982" s="2" t="s">
        <v>100</v>
      </c>
      <c r="U3982" s="2" t="s">
        <v>1847</v>
      </c>
      <c r="V3982" s="2" t="s">
        <v>2935</v>
      </c>
      <c r="W3982" s="2" t="s">
        <v>100</v>
      </c>
      <c r="X3982" s="2" t="s">
        <v>100</v>
      </c>
      <c r="Y3982" s="2" t="s">
        <v>3256</v>
      </c>
      <c r="Z3982" s="4">
        <v>180</v>
      </c>
      <c r="AA3982" s="4">
        <f>=ROUNDDOWN(6.92307692307692,0)</f>
      </c>
      <c r="AB3982" s="5">
        <v>26</v>
      </c>
      <c r="AC3982" s="2" t="s">
        <v>123</v>
      </c>
      <c r="AD3982" s="4">
        <v>232</v>
      </c>
      <c r="AE3982" s="4">
        <v>616</v>
      </c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/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/>
      <c r="BJ3982" s="4">
        <v>20</v>
      </c>
      <c r="BK3982" s="8">
        <v>401.8</v>
      </c>
      <c r="BL3982" s="2" t="s">
        <v>9581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207</v>
      </c>
      <c r="BV3982" s="2" t="s">
        <v>97</v>
      </c>
      <c r="BW3982" s="2" t="s">
        <v>100</v>
      </c>
      <c r="BX3982" s="2" t="s">
        <v>100</v>
      </c>
      <c r="BY3982" s="2" t="s">
        <v>113</v>
      </c>
      <c r="BZ3982" s="2" t="s">
        <v>100</v>
      </c>
    </row>
    <row r="3983">
      <c r="A3983" s="2" t="s">
        <v>12049</v>
      </c>
      <c r="B3983" s="2" t="s">
        <v>11863</v>
      </c>
      <c r="C3983" s="2" t="s">
        <v>88</v>
      </c>
      <c r="D3983" s="2" t="s">
        <v>2605</v>
      </c>
      <c r="E3983" s="2" t="s">
        <v>12050</v>
      </c>
      <c r="F3983" s="2" t="s">
        <v>667</v>
      </c>
      <c r="G3983" s="2" t="s">
        <v>12051</v>
      </c>
      <c r="H3983" s="2" t="s">
        <v>12052</v>
      </c>
      <c r="I3983" s="2" t="s">
        <v>12053</v>
      </c>
      <c r="J3983" s="2" t="s">
        <v>12054</v>
      </c>
      <c r="K3983" s="2" t="s">
        <v>604</v>
      </c>
      <c r="L3983" s="3">
        <v>17.6</v>
      </c>
      <c r="M3983" s="3">
        <v>18.48</v>
      </c>
      <c r="N3983" s="3">
        <v>39.99</v>
      </c>
      <c r="O3983" s="2" t="s">
        <v>97</v>
      </c>
      <c r="P3983" s="2" t="s">
        <v>950</v>
      </c>
      <c r="Q3983" s="2" t="s">
        <v>99</v>
      </c>
      <c r="R3983" s="2" t="s">
        <v>100</v>
      </c>
      <c r="S3983" s="2" t="s">
        <v>12055</v>
      </c>
      <c r="T3983" s="2" t="s">
        <v>100</v>
      </c>
      <c r="U3983" s="2" t="s">
        <v>100</v>
      </c>
      <c r="V3983" s="2" t="s">
        <v>146</v>
      </c>
      <c r="W3983" s="2" t="s">
        <v>561</v>
      </c>
      <c r="X3983" s="2" t="s">
        <v>12056</v>
      </c>
      <c r="Y3983" s="2" t="s">
        <v>5345</v>
      </c>
      <c r="Z3983" s="4">
        <v>151</v>
      </c>
      <c r="AA3983" s="4">
        <f>=ROUNDDOWN(10.7857142857143,0)</f>
      </c>
      <c r="AB3983" s="5">
        <v>14</v>
      </c>
      <c r="AC3983" s="2" t="s">
        <v>282</v>
      </c>
      <c r="AD3983" s="4">
        <v>156</v>
      </c>
      <c r="AE3983" s="4">
        <v>368</v>
      </c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>
        <v>54</v>
      </c>
      <c r="AQ3983" s="8">
        <v>893.16</v>
      </c>
      <c r="AR3983" s="4"/>
      <c r="AS3983" s="8"/>
      <c r="AT3983" s="7"/>
      <c r="AU3983" s="7"/>
      <c r="AV3983" s="4">
        <v>56</v>
      </c>
      <c r="AW3983" s="8">
        <v>930.96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0.9594</v>
      </c>
      <c r="BC3983" s="4">
        <v>67</v>
      </c>
      <c r="BD3983" s="8">
        <v>1127.06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>
        <v>0.826</v>
      </c>
      <c r="BJ3983" s="4">
        <v>311</v>
      </c>
      <c r="BK3983" s="8">
        <v>5748.51</v>
      </c>
      <c r="BL3983" s="2" t="s">
        <v>12057</v>
      </c>
      <c r="BM3983" s="7">
        <v>0.1736</v>
      </c>
      <c r="BN3983" s="7">
        <v>0.1554</v>
      </c>
      <c r="BO3983" s="4">
        <v>54</v>
      </c>
      <c r="BP3983" s="8">
        <v>893.16</v>
      </c>
      <c r="BQ3983" s="4"/>
      <c r="BR3983" s="8"/>
      <c r="BS3983" s="7"/>
      <c r="BT3983" s="7"/>
      <c r="BU3983" s="2" t="s">
        <v>109</v>
      </c>
      <c r="BV3983" s="2" t="s">
        <v>110</v>
      </c>
      <c r="BW3983" s="2" t="s">
        <v>2043</v>
      </c>
      <c r="BX3983" s="2" t="s">
        <v>589</v>
      </c>
      <c r="BY3983" s="2" t="s">
        <v>113</v>
      </c>
      <c r="BZ3983" s="2" t="s">
        <v>245</v>
      </c>
    </row>
    <row r="3984">
      <c r="A3984" s="2" t="s">
        <v>12058</v>
      </c>
      <c r="B3984" s="2" t="s">
        <v>11863</v>
      </c>
      <c r="C3984" s="2" t="s">
        <v>88</v>
      </c>
      <c r="D3984" s="2" t="s">
        <v>2605</v>
      </c>
      <c r="E3984" s="2" t="s">
        <v>12050</v>
      </c>
      <c r="F3984" s="2" t="s">
        <v>667</v>
      </c>
      <c r="G3984" s="2" t="s">
        <v>12051</v>
      </c>
      <c r="H3984" s="2" t="s">
        <v>12052</v>
      </c>
      <c r="I3984" s="2" t="s">
        <v>12053</v>
      </c>
      <c r="J3984" s="2" t="s">
        <v>12059</v>
      </c>
      <c r="K3984" s="2" t="s">
        <v>604</v>
      </c>
      <c r="L3984" s="3">
        <v>20.25</v>
      </c>
      <c r="M3984" s="3">
        <v>21.26</v>
      </c>
      <c r="N3984" s="3">
        <v>44.99</v>
      </c>
      <c r="O3984" s="2" t="s">
        <v>97</v>
      </c>
      <c r="P3984" s="2" t="s">
        <v>950</v>
      </c>
      <c r="Q3984" s="2" t="s">
        <v>99</v>
      </c>
      <c r="R3984" s="2" t="s">
        <v>100</v>
      </c>
      <c r="S3984" s="2" t="s">
        <v>12055</v>
      </c>
      <c r="T3984" s="2" t="s">
        <v>100</v>
      </c>
      <c r="U3984" s="2" t="s">
        <v>100</v>
      </c>
      <c r="V3984" s="2" t="s">
        <v>146</v>
      </c>
      <c r="W3984" s="2" t="s">
        <v>561</v>
      </c>
      <c r="X3984" s="2" t="s">
        <v>12056</v>
      </c>
      <c r="Y3984" s="2" t="s">
        <v>5345</v>
      </c>
      <c r="Z3984" s="4">
        <v>126</v>
      </c>
      <c r="AA3984" s="4">
        <f>=ROUNDDOWN(21,0)</f>
      </c>
      <c r="AB3984" s="5">
        <v>6</v>
      </c>
      <c r="AC3984" s="2" t="s">
        <v>282</v>
      </c>
      <c r="AD3984" s="4">
        <v>100</v>
      </c>
      <c r="AE3984" s="4">
        <v>100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>
        <v>2</v>
      </c>
      <c r="AQ3984" s="8">
        <v>37.8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0.0406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133</v>
      </c>
      <c r="BK3984" s="8">
        <v>3134.97</v>
      </c>
      <c r="BL3984" s="2" t="s">
        <v>12060</v>
      </c>
      <c r="BM3984" s="7">
        <v>0.015</v>
      </c>
      <c r="BN3984" s="7">
        <v>0.0121</v>
      </c>
      <c r="BO3984" s="4">
        <v>2</v>
      </c>
      <c r="BP3984" s="8">
        <v>37.8</v>
      </c>
      <c r="BQ3984" s="4"/>
      <c r="BR3984" s="8"/>
      <c r="BS3984" s="7"/>
      <c r="BT3984" s="7"/>
      <c r="BU3984" s="2" t="s">
        <v>109</v>
      </c>
      <c r="BV3984" s="2" t="s">
        <v>110</v>
      </c>
      <c r="BW3984" s="2" t="s">
        <v>2043</v>
      </c>
      <c r="BX3984" s="2" t="s">
        <v>8608</v>
      </c>
      <c r="BY3984" s="2" t="s">
        <v>113</v>
      </c>
      <c r="BZ3984" s="2" t="s">
        <v>245</v>
      </c>
    </row>
    <row r="3985">
      <c r="A3985" s="2" t="s">
        <v>12061</v>
      </c>
      <c r="B3985" s="2" t="s">
        <v>11863</v>
      </c>
      <c r="C3985" s="2" t="s">
        <v>88</v>
      </c>
      <c r="D3985" s="2" t="s">
        <v>2605</v>
      </c>
      <c r="E3985" s="2" t="s">
        <v>12050</v>
      </c>
      <c r="F3985" s="2" t="s">
        <v>667</v>
      </c>
      <c r="G3985" s="2" t="s">
        <v>12051</v>
      </c>
      <c r="H3985" s="2" t="s">
        <v>12052</v>
      </c>
      <c r="I3985" s="2" t="s">
        <v>12053</v>
      </c>
      <c r="J3985" s="2" t="s">
        <v>12059</v>
      </c>
      <c r="K3985" s="2" t="s">
        <v>189</v>
      </c>
      <c r="L3985" s="3">
        <v>20.25</v>
      </c>
      <c r="M3985" s="3">
        <v>21.26</v>
      </c>
      <c r="N3985" s="3">
        <v>44.99</v>
      </c>
      <c r="O3985" s="2" t="s">
        <v>97</v>
      </c>
      <c r="P3985" s="2" t="s">
        <v>119</v>
      </c>
      <c r="Q3985" s="2" t="s">
        <v>99</v>
      </c>
      <c r="R3985" s="2" t="s">
        <v>100</v>
      </c>
      <c r="S3985" s="2" t="s">
        <v>12062</v>
      </c>
      <c r="T3985" s="2" t="s">
        <v>100</v>
      </c>
      <c r="U3985" s="2" t="s">
        <v>100</v>
      </c>
      <c r="V3985" s="2" t="s">
        <v>146</v>
      </c>
      <c r="W3985" s="2" t="s">
        <v>561</v>
      </c>
      <c r="X3985" s="2" t="s">
        <v>12056</v>
      </c>
      <c r="Y3985" s="2" t="s">
        <v>5345</v>
      </c>
      <c r="Z3985" s="4">
        <v>115</v>
      </c>
      <c r="AA3985" s="4">
        <f>=ROUNDDOWN(19.1666666666667,0)</f>
      </c>
      <c r="AB3985" s="5">
        <v>6</v>
      </c>
      <c r="AC3985" s="2" t="s">
        <v>872</v>
      </c>
      <c r="AD3985" s="4">
        <v>56</v>
      </c>
      <c r="AE3985" s="4">
        <v>56</v>
      </c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>
        <v>6</v>
      </c>
      <c r="AQ3985" s="8">
        <v>113.4</v>
      </c>
      <c r="AR3985" s="4"/>
      <c r="AS3985" s="8"/>
      <c r="AT3985" s="7"/>
      <c r="AU3985" s="7"/>
      <c r="AV3985" s="4">
        <v>6</v>
      </c>
      <c r="AW3985" s="8">
        <v>113.4</v>
      </c>
      <c r="AX3985" s="4"/>
      <c r="AY3985" s="8"/>
      <c r="AZ3985" s="7"/>
      <c r="BA3985" s="7"/>
      <c r="BB3985" s="7">
        <v>1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0.1006</v>
      </c>
      <c r="BJ3985" s="4">
        <v>112</v>
      </c>
      <c r="BK3985" s="8">
        <v>2429.09</v>
      </c>
      <c r="BL3985" s="2" t="s">
        <v>11937</v>
      </c>
      <c r="BM3985" s="7">
        <v>0.0536</v>
      </c>
      <c r="BN3985" s="7">
        <v>0.0467</v>
      </c>
      <c r="BO3985" s="4">
        <v>6</v>
      </c>
      <c r="BP3985" s="8">
        <v>113.4</v>
      </c>
      <c r="BQ3985" s="4"/>
      <c r="BR3985" s="8"/>
      <c r="BS3985" s="7"/>
      <c r="BT3985" s="7"/>
      <c r="BU3985" s="2" t="s">
        <v>109</v>
      </c>
      <c r="BV3985" s="2" t="s">
        <v>110</v>
      </c>
      <c r="BW3985" s="2" t="s">
        <v>2043</v>
      </c>
      <c r="BX3985" s="2" t="s">
        <v>5505</v>
      </c>
      <c r="BY3985" s="2" t="s">
        <v>113</v>
      </c>
      <c r="BZ3985" s="2" t="s">
        <v>245</v>
      </c>
    </row>
    <row r="3986">
      <c r="A3986" s="2" t="s">
        <v>12063</v>
      </c>
      <c r="B3986" s="2" t="s">
        <v>11863</v>
      </c>
      <c r="C3986" s="2" t="s">
        <v>88</v>
      </c>
      <c r="D3986" s="2" t="s">
        <v>2605</v>
      </c>
      <c r="E3986" s="2" t="s">
        <v>12050</v>
      </c>
      <c r="F3986" s="2" t="s">
        <v>667</v>
      </c>
      <c r="G3986" s="2" t="s">
        <v>12051</v>
      </c>
      <c r="H3986" s="2" t="s">
        <v>12052</v>
      </c>
      <c r="I3986" s="2" t="s">
        <v>12053</v>
      </c>
      <c r="J3986" s="2" t="s">
        <v>12054</v>
      </c>
      <c r="K3986" s="2" t="s">
        <v>629</v>
      </c>
      <c r="L3986" s="3">
        <v>17.6</v>
      </c>
      <c r="M3986" s="3">
        <v>18.48</v>
      </c>
      <c r="N3986" s="3">
        <v>39.99</v>
      </c>
      <c r="O3986" s="2" t="s">
        <v>97</v>
      </c>
      <c r="P3986" s="2" t="s">
        <v>119</v>
      </c>
      <c r="Q3986" s="2" t="s">
        <v>99</v>
      </c>
      <c r="R3986" s="2" t="s">
        <v>100</v>
      </c>
      <c r="S3986" s="2" t="s">
        <v>12064</v>
      </c>
      <c r="T3986" s="2" t="s">
        <v>100</v>
      </c>
      <c r="U3986" s="2" t="s">
        <v>100</v>
      </c>
      <c r="V3986" s="2" t="s">
        <v>146</v>
      </c>
      <c r="W3986" s="2" t="s">
        <v>561</v>
      </c>
      <c r="X3986" s="2" t="s">
        <v>12056</v>
      </c>
      <c r="Y3986" s="2" t="s">
        <v>5345</v>
      </c>
      <c r="Z3986" s="4">
        <v>224</v>
      </c>
      <c r="AA3986" s="4">
        <f>=ROUNDDOWN(17.2307692307692,0)</f>
      </c>
      <c r="AB3986" s="5">
        <v>13</v>
      </c>
      <c r="AC3986" s="2" t="s">
        <v>872</v>
      </c>
      <c r="AD3986" s="4">
        <v>100</v>
      </c>
      <c r="AE3986" s="4">
        <v>328</v>
      </c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>
        <v>5</v>
      </c>
      <c r="AQ3986" s="8">
        <v>82.7</v>
      </c>
      <c r="AR3986" s="4"/>
      <c r="AS3986" s="8"/>
      <c r="AT3986" s="7"/>
      <c r="AU3986" s="7"/>
      <c r="AV3986" s="4">
        <v>5</v>
      </c>
      <c r="AW3986" s="8">
        <v>82.7</v>
      </c>
      <c r="AX3986" s="4"/>
      <c r="AY3986" s="8"/>
      <c r="AZ3986" s="7"/>
      <c r="BA3986" s="7"/>
      <c r="BB3986" s="7">
        <v>1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0.0734</v>
      </c>
      <c r="BJ3986" s="4">
        <v>283</v>
      </c>
      <c r="BK3986" s="8">
        <v>5320.81</v>
      </c>
      <c r="BL3986" s="2" t="s">
        <v>12065</v>
      </c>
      <c r="BM3986" s="7">
        <v>0.0177</v>
      </c>
      <c r="BN3986" s="7">
        <v>0.0155</v>
      </c>
      <c r="BO3986" s="4">
        <v>5</v>
      </c>
      <c r="BP3986" s="8">
        <v>82.7</v>
      </c>
      <c r="BQ3986" s="4"/>
      <c r="BR3986" s="8"/>
      <c r="BS3986" s="7"/>
      <c r="BT3986" s="7"/>
      <c r="BU3986" s="2" t="s">
        <v>109</v>
      </c>
      <c r="BV3986" s="2" t="s">
        <v>110</v>
      </c>
      <c r="BW3986" s="2" t="s">
        <v>2043</v>
      </c>
      <c r="BX3986" s="2" t="s">
        <v>10509</v>
      </c>
      <c r="BY3986" s="2" t="s">
        <v>113</v>
      </c>
      <c r="BZ3986" s="2" t="s">
        <v>245</v>
      </c>
    </row>
    <row r="3987">
      <c r="A3987" s="2" t="s">
        <v>12066</v>
      </c>
      <c r="B3987" s="2" t="s">
        <v>11863</v>
      </c>
      <c r="C3987" s="2" t="s">
        <v>88</v>
      </c>
      <c r="D3987" s="2" t="s">
        <v>2605</v>
      </c>
      <c r="E3987" s="2" t="s">
        <v>12050</v>
      </c>
      <c r="F3987" s="2" t="s">
        <v>667</v>
      </c>
      <c r="G3987" s="2" t="s">
        <v>12051</v>
      </c>
      <c r="H3987" s="2" t="s">
        <v>12052</v>
      </c>
      <c r="I3987" s="2" t="s">
        <v>12053</v>
      </c>
      <c r="J3987" s="2" t="s">
        <v>12059</v>
      </c>
      <c r="K3987" s="2" t="s">
        <v>198</v>
      </c>
      <c r="L3987" s="3">
        <v>20.25</v>
      </c>
      <c r="M3987" s="3">
        <v>21.26</v>
      </c>
      <c r="N3987" s="3">
        <v>44.99</v>
      </c>
      <c r="O3987" s="2" t="s">
        <v>97</v>
      </c>
      <c r="P3987" s="2" t="s">
        <v>119</v>
      </c>
      <c r="Q3987" s="2" t="s">
        <v>99</v>
      </c>
      <c r="R3987" s="2" t="s">
        <v>100</v>
      </c>
      <c r="S3987" s="2" t="s">
        <v>12067</v>
      </c>
      <c r="T3987" s="2" t="s">
        <v>100</v>
      </c>
      <c r="U3987" s="2" t="s">
        <v>100</v>
      </c>
      <c r="V3987" s="2" t="s">
        <v>146</v>
      </c>
      <c r="W3987" s="2" t="s">
        <v>561</v>
      </c>
      <c r="X3987" s="2" t="s">
        <v>12056</v>
      </c>
      <c r="Y3987" s="2" t="s">
        <v>5345</v>
      </c>
      <c r="Z3987" s="4">
        <v>55</v>
      </c>
      <c r="AA3987" s="4">
        <f>=ROUNDDOWN(18.3333333333333,0)</f>
      </c>
      <c r="AB3987" s="5">
        <v>3</v>
      </c>
      <c r="AC3987" s="2" t="s">
        <v>1035</v>
      </c>
      <c r="AD3987" s="4">
        <v>60</v>
      </c>
      <c r="AE3987" s="4">
        <v>60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/>
      <c r="BJ3987" s="4">
        <v>58</v>
      </c>
      <c r="BK3987" s="8">
        <v>1229.75</v>
      </c>
      <c r="BL3987" s="2" t="s">
        <v>12068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2043</v>
      </c>
      <c r="BX3987" s="2" t="s">
        <v>4854</v>
      </c>
      <c r="BY3987" s="2" t="s">
        <v>113</v>
      </c>
      <c r="BZ3987" s="2" t="s">
        <v>245</v>
      </c>
    </row>
    <row r="3988">
      <c r="A3988" s="2" t="s">
        <v>12069</v>
      </c>
      <c r="B3988" s="2" t="s">
        <v>11863</v>
      </c>
      <c r="C3988" s="2" t="s">
        <v>88</v>
      </c>
      <c r="D3988" s="2" t="s">
        <v>2605</v>
      </c>
      <c r="E3988" s="2" t="s">
        <v>12050</v>
      </c>
      <c r="F3988" s="2" t="s">
        <v>12070</v>
      </c>
      <c r="G3988" s="2" t="s">
        <v>12071</v>
      </c>
      <c r="H3988" s="2" t="s">
        <v>12072</v>
      </c>
      <c r="I3988" s="2" t="s">
        <v>12073</v>
      </c>
      <c r="J3988" s="2" t="s">
        <v>12074</v>
      </c>
      <c r="K3988" s="2" t="s">
        <v>189</v>
      </c>
      <c r="L3988" s="3">
        <v>14.7</v>
      </c>
      <c r="M3988" s="3">
        <v>15.44</v>
      </c>
      <c r="N3988" s="3">
        <v>29.99</v>
      </c>
      <c r="O3988" s="2" t="s">
        <v>97</v>
      </c>
      <c r="P3988" s="2" t="s">
        <v>950</v>
      </c>
      <c r="Q3988" s="2" t="s">
        <v>99</v>
      </c>
      <c r="R3988" s="2" t="s">
        <v>100</v>
      </c>
      <c r="S3988" s="2" t="s">
        <v>12075</v>
      </c>
      <c r="T3988" s="2" t="s">
        <v>100</v>
      </c>
      <c r="U3988" s="2" t="s">
        <v>100</v>
      </c>
      <c r="V3988" s="2" t="s">
        <v>146</v>
      </c>
      <c r="W3988" s="2" t="s">
        <v>104</v>
      </c>
      <c r="X3988" s="2" t="s">
        <v>12056</v>
      </c>
      <c r="Y3988" s="2" t="s">
        <v>9848</v>
      </c>
      <c r="Z3988" s="4">
        <v>1208</v>
      </c>
      <c r="AA3988" s="4">
        <f>=ROUNDDOWN(31.7894736842105,0)</f>
      </c>
      <c r="AB3988" s="5">
        <v>38</v>
      </c>
      <c r="AC3988" s="2" t="s">
        <v>1342</v>
      </c>
      <c r="AD3988" s="4">
        <v>300</v>
      </c>
      <c r="AE3988" s="4">
        <v>300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>
        <v>13</v>
      </c>
      <c r="AQ3988" s="8">
        <v>191.1</v>
      </c>
      <c r="AR3988" s="4"/>
      <c r="AS3988" s="8"/>
      <c r="AT3988" s="7"/>
      <c r="AU3988" s="7"/>
      <c r="AV3988" s="4">
        <v>20</v>
      </c>
      <c r="AW3988" s="8">
        <v>301.35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0.6341</v>
      </c>
      <c r="BC3988" s="4">
        <v>20</v>
      </c>
      <c r="BD3988" s="8">
        <v>301.35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>
        <v>1</v>
      </c>
      <c r="BJ3988" s="4">
        <v>1000</v>
      </c>
      <c r="BK3988" s="8">
        <v>15501.5</v>
      </c>
      <c r="BL3988" s="2" t="s">
        <v>12076</v>
      </c>
      <c r="BM3988" s="7">
        <v>0.013</v>
      </c>
      <c r="BN3988" s="7">
        <v>0.0123</v>
      </c>
      <c r="BO3988" s="4">
        <v>13</v>
      </c>
      <c r="BP3988" s="8">
        <v>191.1</v>
      </c>
      <c r="BQ3988" s="4"/>
      <c r="BR3988" s="8"/>
      <c r="BS3988" s="7"/>
      <c r="BT3988" s="7"/>
      <c r="BU3988" s="2" t="s">
        <v>109</v>
      </c>
      <c r="BV3988" s="2" t="s">
        <v>110</v>
      </c>
      <c r="BW3988" s="2" t="s">
        <v>5477</v>
      </c>
      <c r="BX3988" s="2" t="s">
        <v>2274</v>
      </c>
      <c r="BY3988" s="2" t="s">
        <v>113</v>
      </c>
      <c r="BZ3988" s="2" t="s">
        <v>245</v>
      </c>
    </row>
    <row r="3989">
      <c r="A3989" s="2" t="s">
        <v>12077</v>
      </c>
      <c r="B3989" s="2" t="s">
        <v>11863</v>
      </c>
      <c r="C3989" s="2" t="s">
        <v>88</v>
      </c>
      <c r="D3989" s="2" t="s">
        <v>2605</v>
      </c>
      <c r="E3989" s="2" t="s">
        <v>12050</v>
      </c>
      <c r="F3989" s="2" t="s">
        <v>12070</v>
      </c>
      <c r="G3989" s="2" t="s">
        <v>12071</v>
      </c>
      <c r="H3989" s="2" t="s">
        <v>12072</v>
      </c>
      <c r="I3989" s="2" t="s">
        <v>12073</v>
      </c>
      <c r="J3989" s="2" t="s">
        <v>12078</v>
      </c>
      <c r="K3989" s="2" t="s">
        <v>189</v>
      </c>
      <c r="L3989" s="3">
        <v>16.17</v>
      </c>
      <c r="M3989" s="3">
        <v>16.98</v>
      </c>
      <c r="N3989" s="3">
        <v>32.99</v>
      </c>
      <c r="O3989" s="2" t="s">
        <v>97</v>
      </c>
      <c r="P3989" s="2" t="s">
        <v>950</v>
      </c>
      <c r="Q3989" s="2" t="s">
        <v>99</v>
      </c>
      <c r="R3989" s="2" t="s">
        <v>100</v>
      </c>
      <c r="S3989" s="2" t="s">
        <v>12075</v>
      </c>
      <c r="T3989" s="2" t="s">
        <v>100</v>
      </c>
      <c r="U3989" s="2" t="s">
        <v>100</v>
      </c>
      <c r="V3989" s="2" t="s">
        <v>146</v>
      </c>
      <c r="W3989" s="2" t="s">
        <v>104</v>
      </c>
      <c r="X3989" s="2" t="s">
        <v>12056</v>
      </c>
      <c r="Y3989" s="2" t="s">
        <v>9848</v>
      </c>
      <c r="Z3989" s="4">
        <v>928</v>
      </c>
      <c r="AA3989" s="4">
        <f>=ROUNDDOWN(40.3478260869565,0)</f>
      </c>
      <c r="AB3989" s="5">
        <v>23</v>
      </c>
      <c r="AC3989" s="2" t="s">
        <v>1342</v>
      </c>
      <c r="AD3989" s="4">
        <v>200</v>
      </c>
      <c r="AE3989" s="4">
        <v>200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>
        <v>7</v>
      </c>
      <c r="AQ3989" s="8">
        <v>110.25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0.3659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666</v>
      </c>
      <c r="BK3989" s="8">
        <v>10899.02</v>
      </c>
      <c r="BL3989" s="2" t="s">
        <v>12079</v>
      </c>
      <c r="BM3989" s="7">
        <v>0.0105</v>
      </c>
      <c r="BN3989" s="7">
        <v>0.0101</v>
      </c>
      <c r="BO3989" s="4">
        <v>7</v>
      </c>
      <c r="BP3989" s="8">
        <v>110.25</v>
      </c>
      <c r="BQ3989" s="4"/>
      <c r="BR3989" s="8"/>
      <c r="BS3989" s="7"/>
      <c r="BT3989" s="7"/>
      <c r="BU3989" s="2" t="s">
        <v>109</v>
      </c>
      <c r="BV3989" s="2" t="s">
        <v>110</v>
      </c>
      <c r="BW3989" s="2" t="s">
        <v>5477</v>
      </c>
      <c r="BX3989" s="2" t="s">
        <v>12080</v>
      </c>
      <c r="BY3989" s="2" t="s">
        <v>113</v>
      </c>
      <c r="BZ3989" s="2" t="s">
        <v>245</v>
      </c>
    </row>
    <row r="3990">
      <c r="A3990" s="2" t="s">
        <v>12081</v>
      </c>
      <c r="B3990" s="2" t="s">
        <v>11863</v>
      </c>
      <c r="C3990" s="2" t="s">
        <v>88</v>
      </c>
      <c r="D3990" s="2" t="s">
        <v>2605</v>
      </c>
      <c r="E3990" s="2" t="s">
        <v>12050</v>
      </c>
      <c r="F3990" s="2" t="s">
        <v>12070</v>
      </c>
      <c r="G3990" s="2" t="s">
        <v>12071</v>
      </c>
      <c r="H3990" s="2" t="s">
        <v>12072</v>
      </c>
      <c r="I3990" s="2" t="s">
        <v>12082</v>
      </c>
      <c r="J3990" s="2" t="s">
        <v>12074</v>
      </c>
      <c r="K3990" s="2" t="s">
        <v>1614</v>
      </c>
      <c r="L3990" s="3">
        <v>14.7</v>
      </c>
      <c r="M3990" s="3">
        <v>15.44</v>
      </c>
      <c r="N3990" s="3">
        <v>29.99</v>
      </c>
      <c r="O3990" s="2" t="s">
        <v>97</v>
      </c>
      <c r="P3990" s="2" t="s">
        <v>119</v>
      </c>
      <c r="Q3990" s="2" t="s">
        <v>99</v>
      </c>
      <c r="R3990" s="2" t="s">
        <v>100</v>
      </c>
      <c r="S3990" s="2" t="s">
        <v>12083</v>
      </c>
      <c r="T3990" s="2" t="s">
        <v>218</v>
      </c>
      <c r="U3990" s="2" t="s">
        <v>1847</v>
      </c>
      <c r="V3990" s="2" t="s">
        <v>146</v>
      </c>
      <c r="W3990" s="2" t="s">
        <v>104</v>
      </c>
      <c r="X3990" s="2" t="s">
        <v>12056</v>
      </c>
      <c r="Y3990" s="2" t="s">
        <v>12084</v>
      </c>
      <c r="Z3990" s="4">
        <v>574</v>
      </c>
      <c r="AA3990" s="4">
        <f>=ROUNDDOWN(31.8888888888889,0)</f>
      </c>
      <c r="AB3990" s="5">
        <v>18</v>
      </c>
      <c r="AC3990" s="2" t="s">
        <v>768</v>
      </c>
      <c r="AD3990" s="4">
        <v>160</v>
      </c>
      <c r="AE3990" s="4">
        <v>380</v>
      </c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/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454</v>
      </c>
      <c r="BK3990" s="8">
        <v>7087.37</v>
      </c>
      <c r="BL3990" s="2" t="s">
        <v>12085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207</v>
      </c>
      <c r="BV3990" s="2" t="s">
        <v>97</v>
      </c>
      <c r="BW3990" s="2" t="s">
        <v>100</v>
      </c>
      <c r="BX3990" s="2" t="s">
        <v>100</v>
      </c>
      <c r="BY3990" s="2" t="s">
        <v>113</v>
      </c>
      <c r="BZ3990" s="2" t="s">
        <v>245</v>
      </c>
    </row>
    <row r="3991">
      <c r="A3991" s="2" t="s">
        <v>12086</v>
      </c>
      <c r="B3991" s="2" t="s">
        <v>11863</v>
      </c>
      <c r="C3991" s="2" t="s">
        <v>88</v>
      </c>
      <c r="D3991" s="2" t="s">
        <v>2605</v>
      </c>
      <c r="E3991" s="2" t="s">
        <v>12050</v>
      </c>
      <c r="F3991" s="2" t="s">
        <v>12070</v>
      </c>
      <c r="G3991" s="2" t="s">
        <v>12071</v>
      </c>
      <c r="H3991" s="2" t="s">
        <v>12072</v>
      </c>
      <c r="I3991" s="2" t="s">
        <v>12082</v>
      </c>
      <c r="J3991" s="2" t="s">
        <v>12087</v>
      </c>
      <c r="K3991" s="2" t="s">
        <v>1614</v>
      </c>
      <c r="L3991" s="3">
        <v>13.23</v>
      </c>
      <c r="M3991" s="3">
        <v>13.89</v>
      </c>
      <c r="N3991" s="3">
        <v>26.99</v>
      </c>
      <c r="O3991" s="2" t="s">
        <v>97</v>
      </c>
      <c r="P3991" s="2" t="s">
        <v>119</v>
      </c>
      <c r="Q3991" s="2" t="s">
        <v>99</v>
      </c>
      <c r="R3991" s="2" t="s">
        <v>100</v>
      </c>
      <c r="S3991" s="2" t="s">
        <v>12083</v>
      </c>
      <c r="T3991" s="2" t="s">
        <v>218</v>
      </c>
      <c r="U3991" s="2" t="s">
        <v>1847</v>
      </c>
      <c r="V3991" s="2" t="s">
        <v>146</v>
      </c>
      <c r="W3991" s="2" t="s">
        <v>104</v>
      </c>
      <c r="X3991" s="2" t="s">
        <v>12056</v>
      </c>
      <c r="Y3991" s="2" t="s">
        <v>12084</v>
      </c>
      <c r="Z3991" s="4">
        <v>221</v>
      </c>
      <c r="AA3991" s="4">
        <f>=ROUNDDOWN(27.625,0)</f>
      </c>
      <c r="AB3991" s="5">
        <v>8</v>
      </c>
      <c r="AC3991" s="2" t="s">
        <v>768</v>
      </c>
      <c r="AD3991" s="4">
        <v>80</v>
      </c>
      <c r="AE3991" s="4">
        <v>176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/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172</v>
      </c>
      <c r="BK3991" s="8">
        <v>2381.85</v>
      </c>
      <c r="BL3991" s="2" t="s">
        <v>12088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207</v>
      </c>
      <c r="BV3991" s="2" t="s">
        <v>97</v>
      </c>
      <c r="BW3991" s="2" t="s">
        <v>100</v>
      </c>
      <c r="BX3991" s="2" t="s">
        <v>100</v>
      </c>
      <c r="BY3991" s="2" t="s">
        <v>113</v>
      </c>
      <c r="BZ3991" s="2" t="s">
        <v>245</v>
      </c>
    </row>
    <row r="3992">
      <c r="A3992" s="2" t="s">
        <v>12089</v>
      </c>
      <c r="B3992" s="2" t="s">
        <v>11863</v>
      </c>
      <c r="C3992" s="2" t="s">
        <v>88</v>
      </c>
      <c r="D3992" s="2" t="s">
        <v>2605</v>
      </c>
      <c r="E3992" s="2" t="s">
        <v>12050</v>
      </c>
      <c r="F3992" s="2" t="s">
        <v>12070</v>
      </c>
      <c r="G3992" s="2" t="s">
        <v>12071</v>
      </c>
      <c r="H3992" s="2" t="s">
        <v>12072</v>
      </c>
      <c r="I3992" s="2" t="s">
        <v>12082</v>
      </c>
      <c r="J3992" s="2" t="s">
        <v>12078</v>
      </c>
      <c r="K3992" s="2" t="s">
        <v>1614</v>
      </c>
      <c r="L3992" s="3">
        <v>16.17</v>
      </c>
      <c r="M3992" s="3">
        <v>16.98</v>
      </c>
      <c r="N3992" s="3">
        <v>32.99</v>
      </c>
      <c r="O3992" s="2" t="s">
        <v>97</v>
      </c>
      <c r="P3992" s="2" t="s">
        <v>119</v>
      </c>
      <c r="Q3992" s="2" t="s">
        <v>99</v>
      </c>
      <c r="R3992" s="2" t="s">
        <v>100</v>
      </c>
      <c r="S3992" s="2" t="s">
        <v>12083</v>
      </c>
      <c r="T3992" s="2" t="s">
        <v>218</v>
      </c>
      <c r="U3992" s="2" t="s">
        <v>1847</v>
      </c>
      <c r="V3992" s="2" t="s">
        <v>146</v>
      </c>
      <c r="W3992" s="2" t="s">
        <v>104</v>
      </c>
      <c r="X3992" s="2" t="s">
        <v>12056</v>
      </c>
      <c r="Y3992" s="2" t="s">
        <v>12084</v>
      </c>
      <c r="Z3992" s="4">
        <v>564</v>
      </c>
      <c r="AA3992" s="4">
        <f>=ROUNDDOWN(51.2727272727273,0)</f>
      </c>
      <c r="AB3992" s="5">
        <v>11</v>
      </c>
      <c r="AC3992" s="2" t="s">
        <v>768</v>
      </c>
      <c r="AD3992" s="4">
        <v>92</v>
      </c>
      <c r="AE3992" s="4">
        <v>252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/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243</v>
      </c>
      <c r="BK3992" s="8">
        <v>4152.39</v>
      </c>
      <c r="BL3992" s="2" t="s">
        <v>12090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207</v>
      </c>
      <c r="BV3992" s="2" t="s">
        <v>97</v>
      </c>
      <c r="BW3992" s="2" t="s">
        <v>100</v>
      </c>
      <c r="BX3992" s="2" t="s">
        <v>100</v>
      </c>
      <c r="BY3992" s="2" t="s">
        <v>113</v>
      </c>
      <c r="BZ3992" s="2" t="s">
        <v>245</v>
      </c>
    </row>
    <row r="3993">
      <c r="A3993" s="2" t="s">
        <v>12091</v>
      </c>
      <c r="B3993" s="2" t="s">
        <v>11863</v>
      </c>
      <c r="C3993" s="2" t="s">
        <v>88</v>
      </c>
      <c r="D3993" s="2" t="s">
        <v>2605</v>
      </c>
      <c r="E3993" s="2" t="s">
        <v>12050</v>
      </c>
      <c r="F3993" s="2" t="s">
        <v>616</v>
      </c>
      <c r="G3993" s="2" t="s">
        <v>5162</v>
      </c>
      <c r="H3993" s="2" t="s">
        <v>4076</v>
      </c>
      <c r="I3993" s="2" t="s">
        <v>12092</v>
      </c>
      <c r="J3993" s="2" t="s">
        <v>12074</v>
      </c>
      <c r="K3993" s="2" t="s">
        <v>96</v>
      </c>
      <c r="L3993" s="3">
        <v>23.77</v>
      </c>
      <c r="M3993" s="3">
        <v>24.96</v>
      </c>
      <c r="N3993" s="3">
        <v>54.99</v>
      </c>
      <c r="O3993" s="2" t="s">
        <v>97</v>
      </c>
      <c r="P3993" s="2" t="s">
        <v>119</v>
      </c>
      <c r="Q3993" s="2" t="s">
        <v>99</v>
      </c>
      <c r="R3993" s="2" t="s">
        <v>100</v>
      </c>
      <c r="S3993" s="2" t="s">
        <v>12093</v>
      </c>
      <c r="T3993" s="2" t="s">
        <v>100</v>
      </c>
      <c r="U3993" s="2" t="s">
        <v>514</v>
      </c>
      <c r="V3993" s="2" t="s">
        <v>292</v>
      </c>
      <c r="W3993" s="2" t="s">
        <v>561</v>
      </c>
      <c r="X3993" s="2" t="s">
        <v>12056</v>
      </c>
      <c r="Y3993" s="2" t="s">
        <v>10133</v>
      </c>
      <c r="Z3993" s="4">
        <v>417</v>
      </c>
      <c r="AA3993" s="4">
        <f>=ROUNDDOWN(29.7857142857143,0)</f>
      </c>
      <c r="AB3993" s="5">
        <v>14</v>
      </c>
      <c r="AC3993" s="2" t="s">
        <v>100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/>
      <c r="BJ3993" s="4">
        <v>343</v>
      </c>
      <c r="BK3993" s="8">
        <v>9539.76</v>
      </c>
      <c r="BL3993" s="2" t="s">
        <v>12094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207</v>
      </c>
      <c r="BV3993" s="2" t="s">
        <v>97</v>
      </c>
      <c r="BW3993" s="2" t="s">
        <v>100</v>
      </c>
      <c r="BX3993" s="2" t="s">
        <v>100</v>
      </c>
      <c r="BY3993" s="2" t="s">
        <v>113</v>
      </c>
      <c r="BZ3993" s="2" t="s">
        <v>245</v>
      </c>
    </row>
    <row r="3994">
      <c r="A3994" s="2" t="s">
        <v>12095</v>
      </c>
      <c r="B3994" s="2" t="s">
        <v>11863</v>
      </c>
      <c r="C3994" s="2" t="s">
        <v>88</v>
      </c>
      <c r="D3994" s="2" t="s">
        <v>2605</v>
      </c>
      <c r="E3994" s="2" t="s">
        <v>12050</v>
      </c>
      <c r="F3994" s="2" t="s">
        <v>616</v>
      </c>
      <c r="G3994" s="2" t="s">
        <v>5162</v>
      </c>
      <c r="H3994" s="2" t="s">
        <v>4076</v>
      </c>
      <c r="I3994" s="2" t="s">
        <v>12092</v>
      </c>
      <c r="J3994" s="2" t="s">
        <v>12074</v>
      </c>
      <c r="K3994" s="2" t="s">
        <v>198</v>
      </c>
      <c r="L3994" s="3">
        <v>23.77</v>
      </c>
      <c r="M3994" s="3">
        <v>24.96</v>
      </c>
      <c r="N3994" s="3">
        <v>54.99</v>
      </c>
      <c r="O3994" s="2" t="s">
        <v>97</v>
      </c>
      <c r="P3994" s="2" t="s">
        <v>119</v>
      </c>
      <c r="Q3994" s="2" t="s">
        <v>99</v>
      </c>
      <c r="R3994" s="2" t="s">
        <v>100</v>
      </c>
      <c r="S3994" s="2" t="s">
        <v>12096</v>
      </c>
      <c r="T3994" s="2" t="s">
        <v>100</v>
      </c>
      <c r="U3994" s="2" t="s">
        <v>514</v>
      </c>
      <c r="V3994" s="2" t="s">
        <v>292</v>
      </c>
      <c r="W3994" s="2" t="s">
        <v>561</v>
      </c>
      <c r="X3994" s="2" t="s">
        <v>12056</v>
      </c>
      <c r="Y3994" s="2" t="s">
        <v>10133</v>
      </c>
      <c r="Z3994" s="4">
        <v>580</v>
      </c>
      <c r="AA3994" s="4">
        <f>=ROUNDDOWN(15.6756756756757,0)</f>
      </c>
      <c r="AB3994" s="5">
        <v>37</v>
      </c>
      <c r="AC3994" s="2" t="s">
        <v>356</v>
      </c>
      <c r="AD3994" s="4">
        <v>364</v>
      </c>
      <c r="AE3994" s="4">
        <v>964</v>
      </c>
      <c r="AF3994" s="6">
        <v>65</v>
      </c>
      <c r="AG3994" s="6"/>
      <c r="AH3994" s="7">
        <v>0.8717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/>
      <c r="BJ3994" s="4">
        <v>747</v>
      </c>
      <c r="BK3994" s="8">
        <v>20628.22</v>
      </c>
      <c r="BL3994" s="2" t="s">
        <v>12097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207</v>
      </c>
      <c r="BV3994" s="2" t="s">
        <v>97</v>
      </c>
      <c r="BW3994" s="2" t="s">
        <v>100</v>
      </c>
      <c r="BX3994" s="2" t="s">
        <v>100</v>
      </c>
      <c r="BY3994" s="2" t="s">
        <v>113</v>
      </c>
      <c r="BZ3994" s="2" t="s">
        <v>245</v>
      </c>
    </row>
    <row r="3995">
      <c r="A3995" s="2" t="s">
        <v>12098</v>
      </c>
      <c r="B3995" s="2" t="s">
        <v>11863</v>
      </c>
      <c r="C3995" s="2" t="s">
        <v>88</v>
      </c>
      <c r="D3995" s="2" t="s">
        <v>2605</v>
      </c>
      <c r="E3995" s="2" t="s">
        <v>12056</v>
      </c>
      <c r="F3995" s="2" t="s">
        <v>12099</v>
      </c>
      <c r="G3995" s="2" t="s">
        <v>12100</v>
      </c>
      <c r="H3995" s="2" t="s">
        <v>12101</v>
      </c>
      <c r="I3995" s="2" t="s">
        <v>12102</v>
      </c>
      <c r="J3995" s="2" t="s">
        <v>11868</v>
      </c>
      <c r="K3995" s="2" t="s">
        <v>432</v>
      </c>
      <c r="L3995" s="3">
        <v>15.05</v>
      </c>
      <c r="M3995" s="3">
        <v>15.8</v>
      </c>
      <c r="N3995" s="3">
        <v>34.99</v>
      </c>
      <c r="O3995" s="2" t="s">
        <v>97</v>
      </c>
      <c r="P3995" s="2" t="s">
        <v>119</v>
      </c>
      <c r="Q3995" s="2" t="s">
        <v>99</v>
      </c>
      <c r="R3995" s="2" t="s">
        <v>100</v>
      </c>
      <c r="S3995" s="2" t="s">
        <v>12103</v>
      </c>
      <c r="T3995" s="2" t="s">
        <v>100</v>
      </c>
      <c r="U3995" s="2" t="s">
        <v>1847</v>
      </c>
      <c r="V3995" s="2" t="s">
        <v>146</v>
      </c>
      <c r="W3995" s="2" t="s">
        <v>158</v>
      </c>
      <c r="X3995" s="2" t="s">
        <v>12056</v>
      </c>
      <c r="Y3995" s="2" t="s">
        <v>5175</v>
      </c>
      <c r="Z3995" s="4">
        <v>302</v>
      </c>
      <c r="AA3995" s="4">
        <f>=ROUNDDOWN(23.2307692307692,0)</f>
      </c>
      <c r="AB3995" s="5">
        <v>13</v>
      </c>
      <c r="AC3995" s="2" t="s">
        <v>1035</v>
      </c>
      <c r="AD3995" s="4">
        <v>200</v>
      </c>
      <c r="AE3995" s="4">
        <v>200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>
        <v>16</v>
      </c>
      <c r="AQ3995" s="8">
        <v>226.88</v>
      </c>
      <c r="AR3995" s="4"/>
      <c r="AS3995" s="8"/>
      <c r="AT3995" s="7"/>
      <c r="AU3995" s="7"/>
      <c r="AV3995" s="4">
        <v>16</v>
      </c>
      <c r="AW3995" s="8">
        <v>226.88</v>
      </c>
      <c r="AX3995" s="4"/>
      <c r="AY3995" s="8"/>
      <c r="AZ3995" s="7"/>
      <c r="BA3995" s="7"/>
      <c r="BB3995" s="7">
        <v>1</v>
      </c>
      <c r="BC3995" s="4">
        <v>26</v>
      </c>
      <c r="BD3995" s="8">
        <v>380.48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>
        <v>0.5963</v>
      </c>
      <c r="BJ3995" s="4">
        <v>303</v>
      </c>
      <c r="BK3995" s="8">
        <v>4982.34</v>
      </c>
      <c r="BL3995" s="2" t="s">
        <v>12104</v>
      </c>
      <c r="BM3995" s="7">
        <v>0.0528</v>
      </c>
      <c r="BN3995" s="7">
        <v>0.0455</v>
      </c>
      <c r="BO3995" s="4">
        <v>16</v>
      </c>
      <c r="BP3995" s="8">
        <v>226.88</v>
      </c>
      <c r="BQ3995" s="4"/>
      <c r="BR3995" s="8"/>
      <c r="BS3995" s="7"/>
      <c r="BT3995" s="7"/>
      <c r="BU3995" s="2" t="s">
        <v>109</v>
      </c>
      <c r="BV3995" s="2" t="s">
        <v>110</v>
      </c>
      <c r="BW3995" s="2" t="s">
        <v>5481</v>
      </c>
      <c r="BX3995" s="2" t="s">
        <v>1899</v>
      </c>
      <c r="BY3995" s="2" t="s">
        <v>113</v>
      </c>
      <c r="BZ3995" s="2" t="s">
        <v>245</v>
      </c>
    </row>
    <row r="3996">
      <c r="A3996" s="2" t="s">
        <v>12105</v>
      </c>
      <c r="B3996" s="2" t="s">
        <v>11863</v>
      </c>
      <c r="C3996" s="2" t="s">
        <v>88</v>
      </c>
      <c r="D3996" s="2" t="s">
        <v>2605</v>
      </c>
      <c r="E3996" s="2" t="s">
        <v>12056</v>
      </c>
      <c r="F3996" s="2" t="s">
        <v>12099</v>
      </c>
      <c r="G3996" s="2" t="s">
        <v>12100</v>
      </c>
      <c r="H3996" s="2" t="s">
        <v>12101</v>
      </c>
      <c r="I3996" s="2" t="s">
        <v>12102</v>
      </c>
      <c r="J3996" s="2" t="s">
        <v>11940</v>
      </c>
      <c r="K3996" s="2" t="s">
        <v>198</v>
      </c>
      <c r="L3996" s="3">
        <v>13.5</v>
      </c>
      <c r="M3996" s="3">
        <v>14.18</v>
      </c>
      <c r="N3996" s="3">
        <v>29.99</v>
      </c>
      <c r="O3996" s="2" t="s">
        <v>97</v>
      </c>
      <c r="P3996" s="2" t="s">
        <v>119</v>
      </c>
      <c r="Q3996" s="2" t="s">
        <v>99</v>
      </c>
      <c r="R3996" s="2" t="s">
        <v>100</v>
      </c>
      <c r="S3996" s="2" t="s">
        <v>12106</v>
      </c>
      <c r="T3996" s="2" t="s">
        <v>100</v>
      </c>
      <c r="U3996" s="2" t="s">
        <v>1847</v>
      </c>
      <c r="V3996" s="2" t="s">
        <v>146</v>
      </c>
      <c r="W3996" s="2" t="s">
        <v>158</v>
      </c>
      <c r="X3996" s="2" t="s">
        <v>12056</v>
      </c>
      <c r="Y3996" s="2" t="s">
        <v>160</v>
      </c>
      <c r="Z3996" s="4">
        <v>260</v>
      </c>
      <c r="AA3996" s="4">
        <f>=ROUNDDOWN(52,0)</f>
      </c>
      <c r="AB3996" s="5">
        <v>5</v>
      </c>
      <c r="AC3996" s="2" t="s">
        <v>100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>
        <v>6</v>
      </c>
      <c r="AW3996" s="8">
        <v>96.88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/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>
        <v>0.2546</v>
      </c>
      <c r="BJ3996" s="4">
        <v>96</v>
      </c>
      <c r="BK3996" s="8">
        <v>1382.96</v>
      </c>
      <c r="BL3996" s="2" t="s">
        <v>1255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5481</v>
      </c>
      <c r="BX3996" s="2" t="s">
        <v>12107</v>
      </c>
      <c r="BY3996" s="2" t="s">
        <v>113</v>
      </c>
      <c r="BZ3996" s="2" t="s">
        <v>245</v>
      </c>
    </row>
    <row r="3997">
      <c r="A3997" s="2" t="s">
        <v>12108</v>
      </c>
      <c r="B3997" s="2" t="s">
        <v>11863</v>
      </c>
      <c r="C3997" s="2" t="s">
        <v>88</v>
      </c>
      <c r="D3997" s="2" t="s">
        <v>2605</v>
      </c>
      <c r="E3997" s="2" t="s">
        <v>12056</v>
      </c>
      <c r="F3997" s="2" t="s">
        <v>12099</v>
      </c>
      <c r="G3997" s="2" t="s">
        <v>12100</v>
      </c>
      <c r="H3997" s="2" t="s">
        <v>12101</v>
      </c>
      <c r="I3997" s="2" t="s">
        <v>12102</v>
      </c>
      <c r="J3997" s="2" t="s">
        <v>11868</v>
      </c>
      <c r="K3997" s="2" t="s">
        <v>198</v>
      </c>
      <c r="L3997" s="3">
        <v>15.05</v>
      </c>
      <c r="M3997" s="3">
        <v>15.8</v>
      </c>
      <c r="N3997" s="3">
        <v>34.99</v>
      </c>
      <c r="O3997" s="2" t="s">
        <v>97</v>
      </c>
      <c r="P3997" s="2" t="s">
        <v>119</v>
      </c>
      <c r="Q3997" s="2" t="s">
        <v>99</v>
      </c>
      <c r="R3997" s="2" t="s">
        <v>100</v>
      </c>
      <c r="S3997" s="2" t="s">
        <v>12106</v>
      </c>
      <c r="T3997" s="2" t="s">
        <v>100</v>
      </c>
      <c r="U3997" s="2" t="s">
        <v>1847</v>
      </c>
      <c r="V3997" s="2" t="s">
        <v>146</v>
      </c>
      <c r="W3997" s="2" t="s">
        <v>158</v>
      </c>
      <c r="X3997" s="2" t="s">
        <v>12056</v>
      </c>
      <c r="Y3997" s="2" t="s">
        <v>160</v>
      </c>
      <c r="Z3997" s="4">
        <v>525</v>
      </c>
      <c r="AA3997" s="4">
        <f>=ROUNDDOWN(52.5,0)</f>
      </c>
      <c r="AB3997" s="5">
        <v>10</v>
      </c>
      <c r="AC3997" s="2" t="s">
        <v>100</v>
      </c>
      <c r="AD3997" s="4"/>
      <c r="AE3997" s="4"/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>
        <v>1</v>
      </c>
      <c r="AQ3997" s="8">
        <v>14.18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0.1464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221</v>
      </c>
      <c r="BK3997" s="8">
        <v>3493.38</v>
      </c>
      <c r="BL3997" s="2" t="s">
        <v>12109</v>
      </c>
      <c r="BM3997" s="7">
        <v>0.0045</v>
      </c>
      <c r="BN3997" s="7">
        <v>0.0041</v>
      </c>
      <c r="BO3997" s="4">
        <v>1</v>
      </c>
      <c r="BP3997" s="8">
        <v>14.18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5481</v>
      </c>
      <c r="BX3997" s="2" t="s">
        <v>12110</v>
      </c>
      <c r="BY3997" s="2" t="s">
        <v>113</v>
      </c>
      <c r="BZ3997" s="2" t="s">
        <v>245</v>
      </c>
    </row>
    <row r="3998">
      <c r="A3998" s="2" t="s">
        <v>12111</v>
      </c>
      <c r="B3998" s="2" t="s">
        <v>11863</v>
      </c>
      <c r="C3998" s="2" t="s">
        <v>88</v>
      </c>
      <c r="D3998" s="2" t="s">
        <v>2605</v>
      </c>
      <c r="E3998" s="2" t="s">
        <v>12056</v>
      </c>
      <c r="F3998" s="2" t="s">
        <v>12099</v>
      </c>
      <c r="G3998" s="2" t="s">
        <v>12100</v>
      </c>
      <c r="H3998" s="2" t="s">
        <v>12101</v>
      </c>
      <c r="I3998" s="2" t="s">
        <v>12102</v>
      </c>
      <c r="J3998" s="2" t="s">
        <v>11878</v>
      </c>
      <c r="K3998" s="2" t="s">
        <v>198</v>
      </c>
      <c r="L3998" s="3">
        <v>17.2</v>
      </c>
      <c r="M3998" s="3">
        <v>18.06</v>
      </c>
      <c r="N3998" s="3">
        <v>39.99</v>
      </c>
      <c r="O3998" s="2" t="s">
        <v>97</v>
      </c>
      <c r="P3998" s="2" t="s">
        <v>119</v>
      </c>
      <c r="Q3998" s="2" t="s">
        <v>99</v>
      </c>
      <c r="R3998" s="2" t="s">
        <v>100</v>
      </c>
      <c r="S3998" s="2" t="s">
        <v>12106</v>
      </c>
      <c r="T3998" s="2" t="s">
        <v>100</v>
      </c>
      <c r="U3998" s="2" t="s">
        <v>1847</v>
      </c>
      <c r="V3998" s="2" t="s">
        <v>146</v>
      </c>
      <c r="W3998" s="2" t="s">
        <v>158</v>
      </c>
      <c r="X3998" s="2" t="s">
        <v>12056</v>
      </c>
      <c r="Y3998" s="2" t="s">
        <v>160</v>
      </c>
      <c r="Z3998" s="4">
        <v>289</v>
      </c>
      <c r="AA3998" s="4">
        <f>=ROUNDDOWN(36.125,0)</f>
      </c>
      <c r="AB3998" s="5">
        <v>8</v>
      </c>
      <c r="AC3998" s="2" t="s">
        <v>100</v>
      </c>
      <c r="AD3998" s="4"/>
      <c r="AE3998" s="4"/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>
        <v>5</v>
      </c>
      <c r="AQ3998" s="8">
        <v>82.7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0.8536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179</v>
      </c>
      <c r="BK3998" s="8">
        <v>3277.07</v>
      </c>
      <c r="BL3998" s="2" t="s">
        <v>12112</v>
      </c>
      <c r="BM3998" s="7">
        <v>0.0279</v>
      </c>
      <c r="BN3998" s="7">
        <v>0.0252</v>
      </c>
      <c r="BO3998" s="4">
        <v>5</v>
      </c>
      <c r="BP3998" s="8">
        <v>82.7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5481</v>
      </c>
      <c r="BX3998" s="2" t="s">
        <v>12113</v>
      </c>
      <c r="BY3998" s="2" t="s">
        <v>113</v>
      </c>
      <c r="BZ3998" s="2" t="s">
        <v>245</v>
      </c>
    </row>
    <row r="3999">
      <c r="A3999" s="2" t="s">
        <v>12114</v>
      </c>
      <c r="B3999" s="2" t="s">
        <v>11863</v>
      </c>
      <c r="C3999" s="2" t="s">
        <v>88</v>
      </c>
      <c r="D3999" s="2" t="s">
        <v>2605</v>
      </c>
      <c r="E3999" s="2" t="s">
        <v>12056</v>
      </c>
      <c r="F3999" s="2" t="s">
        <v>12099</v>
      </c>
      <c r="G3999" s="2" t="s">
        <v>12100</v>
      </c>
      <c r="H3999" s="2" t="s">
        <v>12101</v>
      </c>
      <c r="I3999" s="2" t="s">
        <v>12102</v>
      </c>
      <c r="J3999" s="2" t="s">
        <v>11868</v>
      </c>
      <c r="K3999" s="2" t="s">
        <v>2580</v>
      </c>
      <c r="L3999" s="3">
        <v>15.05</v>
      </c>
      <c r="M3999" s="3">
        <v>15.8</v>
      </c>
      <c r="N3999" s="3">
        <v>34.99</v>
      </c>
      <c r="O3999" s="2" t="s">
        <v>97</v>
      </c>
      <c r="P3999" s="2" t="s">
        <v>119</v>
      </c>
      <c r="Q3999" s="2" t="s">
        <v>99</v>
      </c>
      <c r="R3999" s="2" t="s">
        <v>100</v>
      </c>
      <c r="S3999" s="2" t="s">
        <v>12115</v>
      </c>
      <c r="T3999" s="2" t="s">
        <v>100</v>
      </c>
      <c r="U3999" s="2" t="s">
        <v>1847</v>
      </c>
      <c r="V3999" s="2" t="s">
        <v>146</v>
      </c>
      <c r="W3999" s="2" t="s">
        <v>158</v>
      </c>
      <c r="X3999" s="2" t="s">
        <v>12056</v>
      </c>
      <c r="Y3999" s="2" t="s">
        <v>12116</v>
      </c>
      <c r="Z3999" s="4">
        <v>343</v>
      </c>
      <c r="AA3999" s="4">
        <f>=ROUNDDOWN(26.3846153846154,0)</f>
      </c>
      <c r="AB3999" s="5">
        <v>13</v>
      </c>
      <c r="AC3999" s="2" t="s">
        <v>100</v>
      </c>
      <c r="AD3999" s="4"/>
      <c r="AE3999" s="4"/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>
        <v>4</v>
      </c>
      <c r="AQ3999" s="8">
        <v>56.72</v>
      </c>
      <c r="AR3999" s="4"/>
      <c r="AS3999" s="8"/>
      <c r="AT3999" s="7"/>
      <c r="AU3999" s="7"/>
      <c r="AV3999" s="4">
        <v>4</v>
      </c>
      <c r="AW3999" s="8">
        <v>56.72</v>
      </c>
      <c r="AX3999" s="4"/>
      <c r="AY3999" s="8"/>
      <c r="AZ3999" s="7"/>
      <c r="BA3999" s="7"/>
      <c r="BB3999" s="7">
        <v>1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0.1491</v>
      </c>
      <c r="BJ3999" s="4">
        <v>290</v>
      </c>
      <c r="BK3999" s="8">
        <v>4550.09</v>
      </c>
      <c r="BL3999" s="2" t="s">
        <v>12117</v>
      </c>
      <c r="BM3999" s="7">
        <v>0.0138</v>
      </c>
      <c r="BN3999" s="7">
        <v>0.0125</v>
      </c>
      <c r="BO3999" s="4">
        <v>4</v>
      </c>
      <c r="BP3999" s="8">
        <v>56.72</v>
      </c>
      <c r="BQ3999" s="4"/>
      <c r="BR3999" s="8"/>
      <c r="BS3999" s="7"/>
      <c r="BT3999" s="7"/>
      <c r="BU3999" s="2" t="s">
        <v>109</v>
      </c>
      <c r="BV3999" s="2" t="s">
        <v>110</v>
      </c>
      <c r="BW3999" s="2" t="s">
        <v>2198</v>
      </c>
      <c r="BX3999" s="2" t="s">
        <v>12118</v>
      </c>
      <c r="BY3999" s="2" t="s">
        <v>113</v>
      </c>
      <c r="BZ3999" s="2" t="s">
        <v>245</v>
      </c>
    </row>
    <row r="4000">
      <c r="A4000" s="2" t="s">
        <v>12119</v>
      </c>
      <c r="B4000" s="2" t="s">
        <v>11863</v>
      </c>
      <c r="C4000" s="2" t="s">
        <v>88</v>
      </c>
      <c r="D4000" s="2" t="s">
        <v>2605</v>
      </c>
      <c r="E4000" s="2" t="s">
        <v>12056</v>
      </c>
      <c r="F4000" s="2" t="s">
        <v>2039</v>
      </c>
      <c r="G4000" s="2" t="s">
        <v>12120</v>
      </c>
      <c r="H4000" s="2" t="s">
        <v>12121</v>
      </c>
      <c r="I4000" s="2" t="s">
        <v>12122</v>
      </c>
      <c r="J4000" s="2" t="s">
        <v>11940</v>
      </c>
      <c r="K4000" s="2" t="s">
        <v>1614</v>
      </c>
      <c r="L4000" s="3">
        <v>10.5</v>
      </c>
      <c r="M4000" s="3">
        <v>11.02</v>
      </c>
      <c r="N4000" s="3">
        <v>24.99</v>
      </c>
      <c r="O4000" s="2" t="s">
        <v>97</v>
      </c>
      <c r="P4000" s="2" t="s">
        <v>119</v>
      </c>
      <c r="Q4000" s="2" t="s">
        <v>99</v>
      </c>
      <c r="R4000" s="2" t="s">
        <v>100</v>
      </c>
      <c r="S4000" s="2" t="s">
        <v>12123</v>
      </c>
      <c r="T4000" s="2" t="s">
        <v>100</v>
      </c>
      <c r="U4000" s="2" t="s">
        <v>100</v>
      </c>
      <c r="V4000" s="2" t="s">
        <v>403</v>
      </c>
      <c r="W4000" s="2" t="s">
        <v>561</v>
      </c>
      <c r="X4000" s="2" t="s">
        <v>12056</v>
      </c>
      <c r="Y4000" s="2" t="s">
        <v>240</v>
      </c>
      <c r="Z4000" s="4">
        <v>243</v>
      </c>
      <c r="AA4000" s="4">
        <f>=ROUNDDOWN(24.3,0)</f>
      </c>
      <c r="AB4000" s="5">
        <v>10</v>
      </c>
      <c r="AC4000" s="2" t="s">
        <v>1516</v>
      </c>
      <c r="AD4000" s="4">
        <v>74</v>
      </c>
      <c r="AE4000" s="4">
        <v>74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>
        <v>2</v>
      </c>
      <c r="AQ4000" s="8">
        <v>19.84</v>
      </c>
      <c r="AR4000" s="4"/>
      <c r="AS4000" s="8"/>
      <c r="AT4000" s="7"/>
      <c r="AU4000" s="7"/>
      <c r="AV4000" s="4">
        <v>11</v>
      </c>
      <c r="AW4000" s="8">
        <v>141.36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0.1404</v>
      </c>
      <c r="BC4000" s="4">
        <v>16</v>
      </c>
      <c r="BD4000" s="8">
        <v>199.47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0.7087</v>
      </c>
      <c r="BJ4000" s="4">
        <v>207</v>
      </c>
      <c r="BK4000" s="8">
        <v>2233.93</v>
      </c>
      <c r="BL4000" s="2" t="s">
        <v>12124</v>
      </c>
      <c r="BM4000" s="7">
        <v>0.0097</v>
      </c>
      <c r="BN4000" s="7">
        <v>0.0089</v>
      </c>
      <c r="BO4000" s="4">
        <v>2</v>
      </c>
      <c r="BP4000" s="8">
        <v>19.84</v>
      </c>
      <c r="BQ4000" s="4"/>
      <c r="BR4000" s="8"/>
      <c r="BS4000" s="7"/>
      <c r="BT4000" s="7"/>
      <c r="BU4000" s="2" t="s">
        <v>109</v>
      </c>
      <c r="BV4000" s="2" t="s">
        <v>110</v>
      </c>
      <c r="BW4000" s="2" t="s">
        <v>1796</v>
      </c>
      <c r="BX4000" s="2" t="s">
        <v>2439</v>
      </c>
      <c r="BY4000" s="2" t="s">
        <v>113</v>
      </c>
      <c r="BZ4000" s="2" t="s">
        <v>245</v>
      </c>
    </row>
    <row r="4001">
      <c r="A4001" s="2" t="s">
        <v>12125</v>
      </c>
      <c r="B4001" s="2" t="s">
        <v>11863</v>
      </c>
      <c r="C4001" s="2" t="s">
        <v>88</v>
      </c>
      <c r="D4001" s="2" t="s">
        <v>2605</v>
      </c>
      <c r="E4001" s="2" t="s">
        <v>12056</v>
      </c>
      <c r="F4001" s="2" t="s">
        <v>2039</v>
      </c>
      <c r="G4001" s="2" t="s">
        <v>12120</v>
      </c>
      <c r="H4001" s="2" t="s">
        <v>12121</v>
      </c>
      <c r="I4001" s="2" t="s">
        <v>12122</v>
      </c>
      <c r="J4001" s="2" t="s">
        <v>11868</v>
      </c>
      <c r="K4001" s="2" t="s">
        <v>1614</v>
      </c>
      <c r="L4001" s="3">
        <v>13.2</v>
      </c>
      <c r="M4001" s="3">
        <v>13.86</v>
      </c>
      <c r="N4001" s="3">
        <v>29.99</v>
      </c>
      <c r="O4001" s="2" t="s">
        <v>97</v>
      </c>
      <c r="P4001" s="2" t="s">
        <v>119</v>
      </c>
      <c r="Q4001" s="2" t="s">
        <v>99</v>
      </c>
      <c r="R4001" s="2" t="s">
        <v>100</v>
      </c>
      <c r="S4001" s="2" t="s">
        <v>12123</v>
      </c>
      <c r="T4001" s="2" t="s">
        <v>100</v>
      </c>
      <c r="U4001" s="2" t="s">
        <v>100</v>
      </c>
      <c r="V4001" s="2" t="s">
        <v>403</v>
      </c>
      <c r="W4001" s="2" t="s">
        <v>561</v>
      </c>
      <c r="X4001" s="2" t="s">
        <v>12056</v>
      </c>
      <c r="Y4001" s="2" t="s">
        <v>240</v>
      </c>
      <c r="Z4001" s="4">
        <v>521</v>
      </c>
      <c r="AA4001" s="4">
        <f>=ROUNDDOWN(27.4210526315789,0)</f>
      </c>
      <c r="AB4001" s="5">
        <v>19</v>
      </c>
      <c r="AC4001" s="2" t="s">
        <v>1516</v>
      </c>
      <c r="AD4001" s="4">
        <v>200</v>
      </c>
      <c r="AE4001" s="4">
        <v>200</v>
      </c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>
        <v>5</v>
      </c>
      <c r="AQ4001" s="8">
        <v>62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0.4386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389</v>
      </c>
      <c r="BK4001" s="8">
        <v>5107.71</v>
      </c>
      <c r="BL4001" s="2" t="s">
        <v>12126</v>
      </c>
      <c r="BM4001" s="7">
        <v>0.0129</v>
      </c>
      <c r="BN4001" s="7">
        <v>0.0121</v>
      </c>
      <c r="BO4001" s="4">
        <v>5</v>
      </c>
      <c r="BP4001" s="8">
        <v>62</v>
      </c>
      <c r="BQ4001" s="4"/>
      <c r="BR4001" s="8"/>
      <c r="BS4001" s="7"/>
      <c r="BT4001" s="7"/>
      <c r="BU4001" s="2" t="s">
        <v>109</v>
      </c>
      <c r="BV4001" s="2" t="s">
        <v>110</v>
      </c>
      <c r="BW4001" s="2" t="s">
        <v>1796</v>
      </c>
      <c r="BX4001" s="2" t="s">
        <v>12127</v>
      </c>
      <c r="BY4001" s="2" t="s">
        <v>113</v>
      </c>
      <c r="BZ4001" s="2" t="s">
        <v>245</v>
      </c>
    </row>
    <row r="4002">
      <c r="A4002" s="2" t="s">
        <v>12128</v>
      </c>
      <c r="B4002" s="2" t="s">
        <v>11863</v>
      </c>
      <c r="C4002" s="2" t="s">
        <v>88</v>
      </c>
      <c r="D4002" s="2" t="s">
        <v>2605</v>
      </c>
      <c r="E4002" s="2" t="s">
        <v>12056</v>
      </c>
      <c r="F4002" s="2" t="s">
        <v>2039</v>
      </c>
      <c r="G4002" s="2" t="s">
        <v>12120</v>
      </c>
      <c r="H4002" s="2" t="s">
        <v>12121</v>
      </c>
      <c r="I4002" s="2" t="s">
        <v>12122</v>
      </c>
      <c r="J4002" s="2" t="s">
        <v>11878</v>
      </c>
      <c r="K4002" s="2" t="s">
        <v>1614</v>
      </c>
      <c r="L4002" s="3">
        <v>15.75</v>
      </c>
      <c r="M4002" s="3">
        <v>16.54</v>
      </c>
      <c r="N4002" s="3">
        <v>34.99</v>
      </c>
      <c r="O4002" s="2" t="s">
        <v>97</v>
      </c>
      <c r="P4002" s="2" t="s">
        <v>119</v>
      </c>
      <c r="Q4002" s="2" t="s">
        <v>99</v>
      </c>
      <c r="R4002" s="2" t="s">
        <v>100</v>
      </c>
      <c r="S4002" s="2" t="s">
        <v>12123</v>
      </c>
      <c r="T4002" s="2" t="s">
        <v>100</v>
      </c>
      <c r="U4002" s="2" t="s">
        <v>100</v>
      </c>
      <c r="V4002" s="2" t="s">
        <v>403</v>
      </c>
      <c r="W4002" s="2" t="s">
        <v>561</v>
      </c>
      <c r="X4002" s="2" t="s">
        <v>12056</v>
      </c>
      <c r="Y4002" s="2" t="s">
        <v>240</v>
      </c>
      <c r="Z4002" s="4">
        <v>463</v>
      </c>
      <c r="AA4002" s="4">
        <f>=ROUNDDOWN(35.6153846153846,0)</f>
      </c>
      <c r="AB4002" s="5">
        <v>13</v>
      </c>
      <c r="AC4002" s="2" t="s">
        <v>1516</v>
      </c>
      <c r="AD4002" s="4">
        <v>200</v>
      </c>
      <c r="AE4002" s="4">
        <v>200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>
        <v>4</v>
      </c>
      <c r="AQ4002" s="8">
        <v>59.52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0.4211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237</v>
      </c>
      <c r="BK4002" s="8">
        <v>4196.94</v>
      </c>
      <c r="BL4002" s="2" t="s">
        <v>11945</v>
      </c>
      <c r="BM4002" s="7">
        <v>0.0169</v>
      </c>
      <c r="BN4002" s="7">
        <v>0.0142</v>
      </c>
      <c r="BO4002" s="4">
        <v>4</v>
      </c>
      <c r="BP4002" s="8">
        <v>59.52</v>
      </c>
      <c r="BQ4002" s="4"/>
      <c r="BR4002" s="8"/>
      <c r="BS4002" s="7"/>
      <c r="BT4002" s="7"/>
      <c r="BU4002" s="2" t="s">
        <v>109</v>
      </c>
      <c r="BV4002" s="2" t="s">
        <v>110</v>
      </c>
      <c r="BW4002" s="2" t="s">
        <v>1796</v>
      </c>
      <c r="BX4002" s="2" t="s">
        <v>5345</v>
      </c>
      <c r="BY4002" s="2" t="s">
        <v>113</v>
      </c>
      <c r="BZ4002" s="2" t="s">
        <v>245</v>
      </c>
    </row>
    <row r="4003">
      <c r="A4003" s="2" t="s">
        <v>12129</v>
      </c>
      <c r="B4003" s="2" t="s">
        <v>11863</v>
      </c>
      <c r="C4003" s="2" t="s">
        <v>88</v>
      </c>
      <c r="D4003" s="2" t="s">
        <v>2605</v>
      </c>
      <c r="E4003" s="2" t="s">
        <v>12056</v>
      </c>
      <c r="F4003" s="2" t="s">
        <v>2039</v>
      </c>
      <c r="G4003" s="2" t="s">
        <v>12120</v>
      </c>
      <c r="H4003" s="2" t="s">
        <v>12121</v>
      </c>
      <c r="I4003" s="2" t="s">
        <v>12122</v>
      </c>
      <c r="J4003" s="2" t="s">
        <v>11940</v>
      </c>
      <c r="K4003" s="2" t="s">
        <v>189</v>
      </c>
      <c r="L4003" s="3">
        <v>10.5</v>
      </c>
      <c r="M4003" s="3">
        <v>11.02</v>
      </c>
      <c r="N4003" s="3">
        <v>24.99</v>
      </c>
      <c r="O4003" s="2" t="s">
        <v>97</v>
      </c>
      <c r="P4003" s="2" t="s">
        <v>119</v>
      </c>
      <c r="Q4003" s="2" t="s">
        <v>99</v>
      </c>
      <c r="R4003" s="2" t="s">
        <v>100</v>
      </c>
      <c r="S4003" s="2" t="s">
        <v>12130</v>
      </c>
      <c r="T4003" s="2" t="s">
        <v>100</v>
      </c>
      <c r="U4003" s="2" t="s">
        <v>100</v>
      </c>
      <c r="V4003" s="2" t="s">
        <v>403</v>
      </c>
      <c r="W4003" s="2" t="s">
        <v>561</v>
      </c>
      <c r="X4003" s="2" t="s">
        <v>12056</v>
      </c>
      <c r="Y4003" s="2" t="s">
        <v>240</v>
      </c>
      <c r="Z4003" s="4">
        <v>356</v>
      </c>
      <c r="AA4003" s="4">
        <f>=ROUNDDOWN(32.3636363636364,0)</f>
      </c>
      <c r="AB4003" s="5">
        <v>11</v>
      </c>
      <c r="AC4003" s="2" t="s">
        <v>100</v>
      </c>
      <c r="AD4003" s="4"/>
      <c r="AE4003" s="4"/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>
        <v>3</v>
      </c>
      <c r="AQ4003" s="8">
        <v>28.35</v>
      </c>
      <c r="AR4003" s="4"/>
      <c r="AS4003" s="8"/>
      <c r="AT4003" s="7"/>
      <c r="AU4003" s="7"/>
      <c r="AV4003" s="4">
        <v>5</v>
      </c>
      <c r="AW4003" s="8">
        <v>58.11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0.4879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0.2913</v>
      </c>
      <c r="BJ4003" s="4">
        <v>238</v>
      </c>
      <c r="BK4003" s="8">
        <v>2482.2</v>
      </c>
      <c r="BL4003" s="2" t="s">
        <v>12131</v>
      </c>
      <c r="BM4003" s="7">
        <v>0.0126</v>
      </c>
      <c r="BN4003" s="7">
        <v>0.0114</v>
      </c>
      <c r="BO4003" s="4">
        <v>3</v>
      </c>
      <c r="BP4003" s="8">
        <v>28.35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1796</v>
      </c>
      <c r="BX4003" s="2" t="s">
        <v>12132</v>
      </c>
      <c r="BY4003" s="2" t="s">
        <v>113</v>
      </c>
      <c r="BZ4003" s="2" t="s">
        <v>245</v>
      </c>
    </row>
    <row r="4004">
      <c r="A4004" s="2" t="s">
        <v>12133</v>
      </c>
      <c r="B4004" s="2" t="s">
        <v>11863</v>
      </c>
      <c r="C4004" s="2" t="s">
        <v>88</v>
      </c>
      <c r="D4004" s="2" t="s">
        <v>2605</v>
      </c>
      <c r="E4004" s="2" t="s">
        <v>12056</v>
      </c>
      <c r="F4004" s="2" t="s">
        <v>2039</v>
      </c>
      <c r="G4004" s="2" t="s">
        <v>12120</v>
      </c>
      <c r="H4004" s="2" t="s">
        <v>12121</v>
      </c>
      <c r="I4004" s="2" t="s">
        <v>12122</v>
      </c>
      <c r="J4004" s="2" t="s">
        <v>11878</v>
      </c>
      <c r="K4004" s="2" t="s">
        <v>189</v>
      </c>
      <c r="L4004" s="3">
        <v>15.75</v>
      </c>
      <c r="M4004" s="3">
        <v>16.54</v>
      </c>
      <c r="N4004" s="3">
        <v>34.99</v>
      </c>
      <c r="O4004" s="2" t="s">
        <v>97</v>
      </c>
      <c r="P4004" s="2" t="s">
        <v>119</v>
      </c>
      <c r="Q4004" s="2" t="s">
        <v>99</v>
      </c>
      <c r="R4004" s="2" t="s">
        <v>100</v>
      </c>
      <c r="S4004" s="2" t="s">
        <v>12130</v>
      </c>
      <c r="T4004" s="2" t="s">
        <v>100</v>
      </c>
      <c r="U4004" s="2" t="s">
        <v>100</v>
      </c>
      <c r="V4004" s="2" t="s">
        <v>403</v>
      </c>
      <c r="W4004" s="2" t="s">
        <v>561</v>
      </c>
      <c r="X4004" s="2" t="s">
        <v>12056</v>
      </c>
      <c r="Y4004" s="2" t="s">
        <v>240</v>
      </c>
      <c r="Z4004" s="4">
        <v>235</v>
      </c>
      <c r="AA4004" s="4">
        <f>=ROUNDDOWN(21.3636363636364,0)</f>
      </c>
      <c r="AB4004" s="5">
        <v>11</v>
      </c>
      <c r="AC4004" s="2" t="s">
        <v>174</v>
      </c>
      <c r="AD4004" s="4">
        <v>220</v>
      </c>
      <c r="AE4004" s="4">
        <v>220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>
        <v>2</v>
      </c>
      <c r="AQ4004" s="8">
        <v>29.76</v>
      </c>
      <c r="AR4004" s="4"/>
      <c r="AS4004" s="8"/>
      <c r="AT4004" s="7"/>
      <c r="AU4004" s="7"/>
      <c r="AV4004" s="4" t="s">
        <v>100</v>
      </c>
      <c r="AW4004" s="8" t="s">
        <v>100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0.5121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 t="s">
        <v>100</v>
      </c>
      <c r="BJ4004" s="4">
        <v>183</v>
      </c>
      <c r="BK4004" s="8">
        <v>2748.41</v>
      </c>
      <c r="BL4004" s="2" t="s">
        <v>12134</v>
      </c>
      <c r="BM4004" s="7">
        <v>0.0109</v>
      </c>
      <c r="BN4004" s="7">
        <v>0.0108</v>
      </c>
      <c r="BO4004" s="4">
        <v>2</v>
      </c>
      <c r="BP4004" s="8">
        <v>29.76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1796</v>
      </c>
      <c r="BX4004" s="2" t="s">
        <v>12135</v>
      </c>
      <c r="BY4004" s="2" t="s">
        <v>113</v>
      </c>
      <c r="BZ4004" s="2" t="s">
        <v>245</v>
      </c>
    </row>
    <row r="4005">
      <c r="A4005" s="2" t="s">
        <v>12136</v>
      </c>
      <c r="B4005" s="2" t="s">
        <v>11863</v>
      </c>
      <c r="C4005" s="2" t="s">
        <v>88</v>
      </c>
      <c r="D4005" s="2" t="s">
        <v>2605</v>
      </c>
      <c r="E4005" s="2" t="s">
        <v>12056</v>
      </c>
      <c r="F4005" s="2" t="s">
        <v>12137</v>
      </c>
      <c r="G4005" s="2" t="s">
        <v>12138</v>
      </c>
      <c r="H4005" s="2" t="s">
        <v>12139</v>
      </c>
      <c r="I4005" s="2" t="s">
        <v>12140</v>
      </c>
      <c r="J4005" s="2" t="s">
        <v>11868</v>
      </c>
      <c r="K4005" s="2" t="s">
        <v>198</v>
      </c>
      <c r="L4005" s="3">
        <v>18.24</v>
      </c>
      <c r="M4005" s="3">
        <v>19.15</v>
      </c>
      <c r="N4005" s="3">
        <v>37.99</v>
      </c>
      <c r="O4005" s="2" t="s">
        <v>97</v>
      </c>
      <c r="P4005" s="2" t="s">
        <v>119</v>
      </c>
      <c r="Q4005" s="2" t="s">
        <v>99</v>
      </c>
      <c r="R4005" s="2" t="s">
        <v>100</v>
      </c>
      <c r="S4005" s="2" t="s">
        <v>12141</v>
      </c>
      <c r="T4005" s="2" t="s">
        <v>100</v>
      </c>
      <c r="U4005" s="2" t="s">
        <v>1847</v>
      </c>
      <c r="V4005" s="2" t="s">
        <v>9319</v>
      </c>
      <c r="W4005" s="2" t="s">
        <v>561</v>
      </c>
      <c r="X4005" s="2" t="s">
        <v>11870</v>
      </c>
      <c r="Y4005" s="2" t="s">
        <v>240</v>
      </c>
      <c r="Z4005" s="4">
        <v>179</v>
      </c>
      <c r="AA4005" s="4">
        <f>=ROUNDDOWN(17.9,0)</f>
      </c>
      <c r="AB4005" s="5">
        <v>10</v>
      </c>
      <c r="AC4005" s="2" t="s">
        <v>768</v>
      </c>
      <c r="AD4005" s="4">
        <v>192</v>
      </c>
      <c r="AE4005" s="4">
        <v>192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5</v>
      </c>
      <c r="AQ4005" s="8">
        <v>89.25</v>
      </c>
      <c r="AR4005" s="4"/>
      <c r="AS4005" s="8"/>
      <c r="AT4005" s="7"/>
      <c r="AU4005" s="7"/>
      <c r="AV4005" s="4">
        <v>5</v>
      </c>
      <c r="AW4005" s="8">
        <v>89.25</v>
      </c>
      <c r="AX4005" s="4"/>
      <c r="AY4005" s="8"/>
      <c r="AZ4005" s="7"/>
      <c r="BA4005" s="7"/>
      <c r="BB4005" s="7">
        <v>1</v>
      </c>
      <c r="BC4005" s="4">
        <v>7</v>
      </c>
      <c r="BD4005" s="8">
        <v>117.39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>
        <v>0.7603</v>
      </c>
      <c r="BJ4005" s="4">
        <v>276</v>
      </c>
      <c r="BK4005" s="8">
        <v>4989.82</v>
      </c>
      <c r="BL4005" s="2" t="s">
        <v>12142</v>
      </c>
      <c r="BM4005" s="7">
        <v>0.0181</v>
      </c>
      <c r="BN4005" s="7">
        <v>0.0179</v>
      </c>
      <c r="BO4005" s="4">
        <v>5</v>
      </c>
      <c r="BP4005" s="8">
        <v>89.25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12007</v>
      </c>
      <c r="BX4005" s="2" t="s">
        <v>5672</v>
      </c>
      <c r="BY4005" s="2" t="s">
        <v>113</v>
      </c>
      <c r="BZ4005" s="2" t="s">
        <v>245</v>
      </c>
    </row>
    <row r="4006">
      <c r="A4006" s="2" t="s">
        <v>12143</v>
      </c>
      <c r="B4006" s="2" t="s">
        <v>11863</v>
      </c>
      <c r="C4006" s="2" t="s">
        <v>88</v>
      </c>
      <c r="D4006" s="2" t="s">
        <v>2605</v>
      </c>
      <c r="E4006" s="2" t="s">
        <v>12056</v>
      </c>
      <c r="F4006" s="2" t="s">
        <v>12137</v>
      </c>
      <c r="G4006" s="2" t="s">
        <v>12138</v>
      </c>
      <c r="H4006" s="2" t="s">
        <v>12139</v>
      </c>
      <c r="I4006" s="2" t="s">
        <v>12140</v>
      </c>
      <c r="J4006" s="2" t="s">
        <v>11940</v>
      </c>
      <c r="K4006" s="2" t="s">
        <v>189</v>
      </c>
      <c r="L4006" s="3">
        <v>14.85</v>
      </c>
      <c r="M4006" s="3">
        <v>15.59</v>
      </c>
      <c r="N4006" s="3">
        <v>32.99</v>
      </c>
      <c r="O4006" s="2" t="s">
        <v>97</v>
      </c>
      <c r="P4006" s="2" t="s">
        <v>950</v>
      </c>
      <c r="Q4006" s="2" t="s">
        <v>99</v>
      </c>
      <c r="R4006" s="2" t="s">
        <v>100</v>
      </c>
      <c r="S4006" s="2" t="s">
        <v>12144</v>
      </c>
      <c r="T4006" s="2" t="s">
        <v>100</v>
      </c>
      <c r="U4006" s="2" t="s">
        <v>1847</v>
      </c>
      <c r="V4006" s="2" t="s">
        <v>292</v>
      </c>
      <c r="W4006" s="2" t="s">
        <v>561</v>
      </c>
      <c r="X4006" s="2" t="s">
        <v>11870</v>
      </c>
      <c r="Y4006" s="2" t="s">
        <v>240</v>
      </c>
      <c r="Z4006" s="4">
        <v>429</v>
      </c>
      <c r="AA4006" s="4">
        <f>=ROUNDDOWN(28.6,0)</f>
      </c>
      <c r="AB4006" s="5">
        <v>15</v>
      </c>
      <c r="AC4006" s="2" t="s">
        <v>1035</v>
      </c>
      <c r="AD4006" s="4">
        <v>40</v>
      </c>
      <c r="AE4006" s="4">
        <v>40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>
        <v>2</v>
      </c>
      <c r="AQ4006" s="8">
        <v>28.14</v>
      </c>
      <c r="AR4006" s="4"/>
      <c r="AS4006" s="8"/>
      <c r="AT4006" s="7"/>
      <c r="AU4006" s="7"/>
      <c r="AV4006" s="4">
        <v>2</v>
      </c>
      <c r="AW4006" s="8">
        <v>28.14</v>
      </c>
      <c r="AX4006" s="4"/>
      <c r="AY4006" s="8"/>
      <c r="AZ4006" s="7"/>
      <c r="BA4006" s="7"/>
      <c r="BB4006" s="7">
        <v>1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0.2397</v>
      </c>
      <c r="BJ4006" s="4">
        <v>357</v>
      </c>
      <c r="BK4006" s="8">
        <v>5558.97</v>
      </c>
      <c r="BL4006" s="2" t="s">
        <v>12145</v>
      </c>
      <c r="BM4006" s="7">
        <v>0.0056</v>
      </c>
      <c r="BN4006" s="7">
        <v>0.0051</v>
      </c>
      <c r="BO4006" s="4">
        <v>2</v>
      </c>
      <c r="BP4006" s="8">
        <v>28.14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243</v>
      </c>
      <c r="BX4006" s="2" t="s">
        <v>12146</v>
      </c>
      <c r="BY4006" s="2" t="s">
        <v>113</v>
      </c>
      <c r="BZ4006" s="2" t="s">
        <v>245</v>
      </c>
    </row>
    <row r="4007">
      <c r="A4007" s="2" t="s">
        <v>12147</v>
      </c>
      <c r="B4007" s="2" t="s">
        <v>11863</v>
      </c>
      <c r="C4007" s="2" t="s">
        <v>88</v>
      </c>
      <c r="D4007" s="2" t="s">
        <v>2605</v>
      </c>
      <c r="E4007" s="2" t="s">
        <v>12056</v>
      </c>
      <c r="F4007" s="2" t="s">
        <v>616</v>
      </c>
      <c r="G4007" s="2" t="s">
        <v>5162</v>
      </c>
      <c r="H4007" s="2" t="s">
        <v>4076</v>
      </c>
      <c r="I4007" s="2" t="s">
        <v>12148</v>
      </c>
      <c r="J4007" s="2" t="s">
        <v>11868</v>
      </c>
      <c r="K4007" s="2" t="s">
        <v>96</v>
      </c>
      <c r="L4007" s="3">
        <v>13.86</v>
      </c>
      <c r="M4007" s="3">
        <v>14.55</v>
      </c>
      <c r="N4007" s="3">
        <v>32.99</v>
      </c>
      <c r="O4007" s="2" t="s">
        <v>97</v>
      </c>
      <c r="P4007" s="2" t="s">
        <v>372</v>
      </c>
      <c r="Q4007" s="2" t="s">
        <v>99</v>
      </c>
      <c r="R4007" s="2" t="s">
        <v>100</v>
      </c>
      <c r="S4007" s="2" t="s">
        <v>12093</v>
      </c>
      <c r="T4007" s="2" t="s">
        <v>100</v>
      </c>
      <c r="U4007" s="2" t="s">
        <v>1847</v>
      </c>
      <c r="V4007" s="2" t="s">
        <v>292</v>
      </c>
      <c r="W4007" s="2" t="s">
        <v>561</v>
      </c>
      <c r="X4007" s="2" t="s">
        <v>12056</v>
      </c>
      <c r="Y4007" s="2" t="s">
        <v>12149</v>
      </c>
      <c r="Z4007" s="4">
        <v>2882</v>
      </c>
      <c r="AA4007" s="4">
        <f>=ROUNDDOWN(47.2459016393443,0)</f>
      </c>
      <c r="AB4007" s="5">
        <v>61</v>
      </c>
      <c r="AC4007" s="2" t="s">
        <v>356</v>
      </c>
      <c r="AD4007" s="4">
        <v>2520</v>
      </c>
      <c r="AE4007" s="4">
        <v>2520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/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/>
      <c r="BJ4007" s="4">
        <v>1821</v>
      </c>
      <c r="BK4007" s="8">
        <v>24998.33</v>
      </c>
      <c r="BL4007" s="2" t="s">
        <v>12150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207</v>
      </c>
      <c r="BV4007" s="2" t="s">
        <v>97</v>
      </c>
      <c r="BW4007" s="2" t="s">
        <v>100</v>
      </c>
      <c r="BX4007" s="2" t="s">
        <v>100</v>
      </c>
      <c r="BY4007" s="2" t="s">
        <v>113</v>
      </c>
      <c r="BZ4007" s="2" t="s">
        <v>245</v>
      </c>
    </row>
    <row r="4008">
      <c r="A4008" s="2" t="s">
        <v>12151</v>
      </c>
      <c r="B4008" s="2" t="s">
        <v>11863</v>
      </c>
      <c r="C4008" s="2" t="s">
        <v>88</v>
      </c>
      <c r="D4008" s="2" t="s">
        <v>2605</v>
      </c>
      <c r="E4008" s="2" t="s">
        <v>12056</v>
      </c>
      <c r="F4008" s="2" t="s">
        <v>616</v>
      </c>
      <c r="G4008" s="2" t="s">
        <v>5162</v>
      </c>
      <c r="H4008" s="2" t="s">
        <v>4076</v>
      </c>
      <c r="I4008" s="2" t="s">
        <v>12148</v>
      </c>
      <c r="J4008" s="2" t="s">
        <v>11878</v>
      </c>
      <c r="K4008" s="2" t="s">
        <v>96</v>
      </c>
      <c r="L4008" s="3">
        <v>15.5</v>
      </c>
      <c r="M4008" s="3">
        <v>16.28</v>
      </c>
      <c r="N4008" s="3">
        <v>37.99</v>
      </c>
      <c r="O4008" s="2" t="s">
        <v>97</v>
      </c>
      <c r="P4008" s="2" t="s">
        <v>98</v>
      </c>
      <c r="Q4008" s="2" t="s">
        <v>99</v>
      </c>
      <c r="R4008" s="2" t="s">
        <v>100</v>
      </c>
      <c r="S4008" s="2" t="s">
        <v>12093</v>
      </c>
      <c r="T4008" s="2" t="s">
        <v>100</v>
      </c>
      <c r="U4008" s="2" t="s">
        <v>1847</v>
      </c>
      <c r="V4008" s="2" t="s">
        <v>292</v>
      </c>
      <c r="W4008" s="2" t="s">
        <v>561</v>
      </c>
      <c r="X4008" s="2" t="s">
        <v>12056</v>
      </c>
      <c r="Y4008" s="2" t="s">
        <v>12152</v>
      </c>
      <c r="Z4008" s="4">
        <v>661</v>
      </c>
      <c r="AA4008" s="4">
        <f>=ROUNDDOWN(31.4761904761905,0)</f>
      </c>
      <c r="AB4008" s="5">
        <v>21</v>
      </c>
      <c r="AC4008" s="2" t="s">
        <v>356</v>
      </c>
      <c r="AD4008" s="4">
        <v>2044</v>
      </c>
      <c r="AE4008" s="4">
        <v>2044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>
        <v>549</v>
      </c>
      <c r="BK4008" s="8">
        <v>9421.93</v>
      </c>
      <c r="BL4008" s="2" t="s">
        <v>12153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207</v>
      </c>
      <c r="BV4008" s="2" t="s">
        <v>97</v>
      </c>
      <c r="BW4008" s="2" t="s">
        <v>100</v>
      </c>
      <c r="BX4008" s="2" t="s">
        <v>100</v>
      </c>
      <c r="BY4008" s="2" t="s">
        <v>113</v>
      </c>
      <c r="BZ4008" s="2" t="s">
        <v>245</v>
      </c>
    </row>
    <row r="4009">
      <c r="A4009" s="2" t="s">
        <v>12154</v>
      </c>
      <c r="B4009" s="2" t="s">
        <v>11863</v>
      </c>
      <c r="C4009" s="2" t="s">
        <v>88</v>
      </c>
      <c r="D4009" s="2" t="s">
        <v>2605</v>
      </c>
      <c r="E4009" s="2" t="s">
        <v>12056</v>
      </c>
      <c r="F4009" s="2" t="s">
        <v>616</v>
      </c>
      <c r="G4009" s="2" t="s">
        <v>5162</v>
      </c>
      <c r="H4009" s="2" t="s">
        <v>4076</v>
      </c>
      <c r="I4009" s="2" t="s">
        <v>12148</v>
      </c>
      <c r="J4009" s="2" t="s">
        <v>11878</v>
      </c>
      <c r="K4009" s="2" t="s">
        <v>198</v>
      </c>
      <c r="L4009" s="3">
        <v>15.5</v>
      </c>
      <c r="M4009" s="3">
        <v>16.28</v>
      </c>
      <c r="N4009" s="3">
        <v>37.99</v>
      </c>
      <c r="O4009" s="2" t="s">
        <v>97</v>
      </c>
      <c r="P4009" s="2" t="s">
        <v>372</v>
      </c>
      <c r="Q4009" s="2" t="s">
        <v>99</v>
      </c>
      <c r="R4009" s="2" t="s">
        <v>100</v>
      </c>
      <c r="S4009" s="2" t="s">
        <v>12155</v>
      </c>
      <c r="T4009" s="2" t="s">
        <v>100</v>
      </c>
      <c r="U4009" s="2" t="s">
        <v>1847</v>
      </c>
      <c r="V4009" s="2" t="s">
        <v>292</v>
      </c>
      <c r="W4009" s="2" t="s">
        <v>561</v>
      </c>
      <c r="X4009" s="2" t="s">
        <v>12056</v>
      </c>
      <c r="Y4009" s="2" t="s">
        <v>12152</v>
      </c>
      <c r="Z4009" s="4">
        <v>1720</v>
      </c>
      <c r="AA4009" s="4">
        <f>=ROUNDDOWN(45.2631578947368,0)</f>
      </c>
      <c r="AB4009" s="5">
        <v>38</v>
      </c>
      <c r="AC4009" s="2" t="s">
        <v>356</v>
      </c>
      <c r="AD4009" s="4">
        <v>1960</v>
      </c>
      <c r="AE4009" s="4">
        <v>1960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/>
      <c r="BJ4009" s="4">
        <v>1105</v>
      </c>
      <c r="BK4009" s="8">
        <v>17633.3</v>
      </c>
      <c r="BL4009" s="2" t="s">
        <v>12156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207</v>
      </c>
      <c r="BV4009" s="2" t="s">
        <v>97</v>
      </c>
      <c r="BW4009" s="2" t="s">
        <v>100</v>
      </c>
      <c r="BX4009" s="2" t="s">
        <v>100</v>
      </c>
      <c r="BY4009" s="2" t="s">
        <v>113</v>
      </c>
      <c r="BZ4009" s="2" t="s">
        <v>100</v>
      </c>
    </row>
    <row r="4010">
      <c r="A4010" s="2" t="s">
        <v>12157</v>
      </c>
      <c r="B4010" s="2" t="s">
        <v>11863</v>
      </c>
      <c r="C4010" s="2" t="s">
        <v>88</v>
      </c>
      <c r="D4010" s="2" t="s">
        <v>2605</v>
      </c>
      <c r="E4010" s="2" t="s">
        <v>12056</v>
      </c>
      <c r="F4010" s="2" t="s">
        <v>616</v>
      </c>
      <c r="G4010" s="2" t="s">
        <v>5162</v>
      </c>
      <c r="H4010" s="2" t="s">
        <v>4076</v>
      </c>
      <c r="I4010" s="2" t="s">
        <v>12148</v>
      </c>
      <c r="J4010" s="2" t="s">
        <v>11868</v>
      </c>
      <c r="K4010" s="2" t="s">
        <v>2089</v>
      </c>
      <c r="L4010" s="3">
        <v>13.86</v>
      </c>
      <c r="M4010" s="3">
        <v>14.55</v>
      </c>
      <c r="N4010" s="3">
        <v>32.99</v>
      </c>
      <c r="O4010" s="2" t="s">
        <v>97</v>
      </c>
      <c r="P4010" s="2" t="s">
        <v>372</v>
      </c>
      <c r="Q4010" s="2" t="s">
        <v>99</v>
      </c>
      <c r="R4010" s="2" t="s">
        <v>100</v>
      </c>
      <c r="S4010" s="2" t="s">
        <v>5170</v>
      </c>
      <c r="T4010" s="2" t="s">
        <v>100</v>
      </c>
      <c r="U4010" s="2" t="s">
        <v>1847</v>
      </c>
      <c r="V4010" s="2" t="s">
        <v>292</v>
      </c>
      <c r="W4010" s="2" t="s">
        <v>561</v>
      </c>
      <c r="X4010" s="2" t="s">
        <v>12056</v>
      </c>
      <c r="Y4010" s="2" t="s">
        <v>986</v>
      </c>
      <c r="Z4010" s="4">
        <v>1302</v>
      </c>
      <c r="AA4010" s="4">
        <f>=ROUNDDOWN(20.0307692307692,0)</f>
      </c>
      <c r="AB4010" s="5">
        <v>65</v>
      </c>
      <c r="AC4010" s="2" t="s">
        <v>356</v>
      </c>
      <c r="AD4010" s="4">
        <v>4200</v>
      </c>
      <c r="AE4010" s="4">
        <v>5072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/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/>
      <c r="BJ4010" s="4">
        <v>1856</v>
      </c>
      <c r="BK4010" s="8">
        <v>26399.67</v>
      </c>
      <c r="BL4010" s="2" t="s">
        <v>12158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207</v>
      </c>
      <c r="BV4010" s="2" t="s">
        <v>97</v>
      </c>
      <c r="BW4010" s="2" t="s">
        <v>100</v>
      </c>
      <c r="BX4010" s="2" t="s">
        <v>100</v>
      </c>
      <c r="BY4010" s="2" t="s">
        <v>113</v>
      </c>
      <c r="BZ4010" s="2" t="s">
        <v>245</v>
      </c>
    </row>
    <row r="4011">
      <c r="A4011" s="2" t="s">
        <v>12159</v>
      </c>
      <c r="B4011" s="2" t="s">
        <v>11863</v>
      </c>
      <c r="C4011" s="2" t="s">
        <v>88</v>
      </c>
      <c r="D4011" s="2" t="s">
        <v>2605</v>
      </c>
      <c r="E4011" s="2" t="s">
        <v>12056</v>
      </c>
      <c r="F4011" s="2" t="s">
        <v>616</v>
      </c>
      <c r="G4011" s="2" t="s">
        <v>5162</v>
      </c>
      <c r="H4011" s="2" t="s">
        <v>4076</v>
      </c>
      <c r="I4011" s="2" t="s">
        <v>12148</v>
      </c>
      <c r="J4011" s="2" t="s">
        <v>11878</v>
      </c>
      <c r="K4011" s="2" t="s">
        <v>2089</v>
      </c>
      <c r="L4011" s="3">
        <v>15.5</v>
      </c>
      <c r="M4011" s="3">
        <v>16.28</v>
      </c>
      <c r="N4011" s="3">
        <v>37.99</v>
      </c>
      <c r="O4011" s="2" t="s">
        <v>97</v>
      </c>
      <c r="P4011" s="2" t="s">
        <v>98</v>
      </c>
      <c r="Q4011" s="2" t="s">
        <v>99</v>
      </c>
      <c r="R4011" s="2" t="s">
        <v>100</v>
      </c>
      <c r="S4011" s="2" t="s">
        <v>5170</v>
      </c>
      <c r="T4011" s="2" t="s">
        <v>100</v>
      </c>
      <c r="U4011" s="2" t="s">
        <v>1847</v>
      </c>
      <c r="V4011" s="2" t="s">
        <v>292</v>
      </c>
      <c r="W4011" s="2" t="s">
        <v>561</v>
      </c>
      <c r="X4011" s="2" t="s">
        <v>12056</v>
      </c>
      <c r="Y4011" s="2" t="s">
        <v>12152</v>
      </c>
      <c r="Z4011" s="4">
        <v>525</v>
      </c>
      <c r="AA4011" s="4">
        <f>=ROUNDDOWN(29.1666666666667,0)</f>
      </c>
      <c r="AB4011" s="5">
        <v>18</v>
      </c>
      <c r="AC4011" s="2" t="s">
        <v>356</v>
      </c>
      <c r="AD4011" s="4">
        <v>700</v>
      </c>
      <c r="AE4011" s="4">
        <v>840</v>
      </c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/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/>
      <c r="BJ4011" s="4">
        <v>414</v>
      </c>
      <c r="BK4011" s="8">
        <v>8388.64</v>
      </c>
      <c r="BL4011" s="2" t="s">
        <v>12160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207</v>
      </c>
      <c r="BV4011" s="2" t="s">
        <v>97</v>
      </c>
      <c r="BW4011" s="2" t="s">
        <v>100</v>
      </c>
      <c r="BX4011" s="2" t="s">
        <v>100</v>
      </c>
      <c r="BY4011" s="2" t="s">
        <v>113</v>
      </c>
      <c r="BZ4011" s="2" t="s">
        <v>245</v>
      </c>
    </row>
    <row r="4012">
      <c r="A4012" s="2" t="s">
        <v>12161</v>
      </c>
      <c r="B4012" s="2" t="s">
        <v>11863</v>
      </c>
      <c r="C4012" s="2" t="s">
        <v>88</v>
      </c>
      <c r="D4012" s="2" t="s">
        <v>2605</v>
      </c>
      <c r="E4012" s="2" t="s">
        <v>12056</v>
      </c>
      <c r="F4012" s="2" t="s">
        <v>616</v>
      </c>
      <c r="G4012" s="2" t="s">
        <v>5162</v>
      </c>
      <c r="H4012" s="2" t="s">
        <v>4076</v>
      </c>
      <c r="I4012" s="2" t="s">
        <v>12148</v>
      </c>
      <c r="J4012" s="2" t="s">
        <v>11868</v>
      </c>
      <c r="K4012" s="2" t="s">
        <v>297</v>
      </c>
      <c r="L4012" s="3">
        <v>13.86</v>
      </c>
      <c r="M4012" s="3">
        <v>14.55</v>
      </c>
      <c r="N4012" s="3">
        <v>32.99</v>
      </c>
      <c r="O4012" s="2" t="s">
        <v>97</v>
      </c>
      <c r="P4012" s="2" t="s">
        <v>119</v>
      </c>
      <c r="Q4012" s="2" t="s">
        <v>99</v>
      </c>
      <c r="R4012" s="2" t="s">
        <v>100</v>
      </c>
      <c r="S4012" s="2" t="s">
        <v>12096</v>
      </c>
      <c r="T4012" s="2" t="s">
        <v>100</v>
      </c>
      <c r="U4012" s="2" t="s">
        <v>1847</v>
      </c>
      <c r="V4012" s="2" t="s">
        <v>292</v>
      </c>
      <c r="W4012" s="2" t="s">
        <v>561</v>
      </c>
      <c r="X4012" s="2" t="s">
        <v>12056</v>
      </c>
      <c r="Y4012" s="2" t="s">
        <v>12162</v>
      </c>
      <c r="Z4012" s="4">
        <v>1122</v>
      </c>
      <c r="AA4012" s="4">
        <f>=ROUNDDOWN(14.96,0)</f>
      </c>
      <c r="AB4012" s="5">
        <v>75</v>
      </c>
      <c r="AC4012" s="2" t="s">
        <v>768</v>
      </c>
      <c r="AD4012" s="4">
        <v>280</v>
      </c>
      <c r="AE4012" s="4">
        <v>880</v>
      </c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/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/>
      <c r="BJ4012" s="4">
        <v>2059</v>
      </c>
      <c r="BK4012" s="8">
        <v>29496.77</v>
      </c>
      <c r="BL4012" s="2" t="s">
        <v>2417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207</v>
      </c>
      <c r="BV4012" s="2" t="s">
        <v>97</v>
      </c>
      <c r="BW4012" s="2" t="s">
        <v>100</v>
      </c>
      <c r="BX4012" s="2" t="s">
        <v>100</v>
      </c>
      <c r="BY4012" s="2" t="s">
        <v>113</v>
      </c>
      <c r="BZ4012" s="2" t="s">
        <v>245</v>
      </c>
    </row>
    <row r="4013">
      <c r="A4013" s="2" t="s">
        <v>12163</v>
      </c>
      <c r="B4013" s="2" t="s">
        <v>11863</v>
      </c>
      <c r="C4013" s="2" t="s">
        <v>88</v>
      </c>
      <c r="D4013" s="2" t="s">
        <v>2605</v>
      </c>
      <c r="E4013" s="2" t="s">
        <v>12056</v>
      </c>
      <c r="F4013" s="2" t="s">
        <v>616</v>
      </c>
      <c r="G4013" s="2" t="s">
        <v>5162</v>
      </c>
      <c r="H4013" s="2" t="s">
        <v>4076</v>
      </c>
      <c r="I4013" s="2" t="s">
        <v>12148</v>
      </c>
      <c r="J4013" s="2" t="s">
        <v>11878</v>
      </c>
      <c r="K4013" s="2" t="s">
        <v>297</v>
      </c>
      <c r="L4013" s="3">
        <v>15.5</v>
      </c>
      <c r="M4013" s="3">
        <v>16.28</v>
      </c>
      <c r="N4013" s="3">
        <v>37.99</v>
      </c>
      <c r="O4013" s="2" t="s">
        <v>97</v>
      </c>
      <c r="P4013" s="2" t="s">
        <v>119</v>
      </c>
      <c r="Q4013" s="2" t="s">
        <v>99</v>
      </c>
      <c r="R4013" s="2" t="s">
        <v>100</v>
      </c>
      <c r="S4013" s="2" t="s">
        <v>12096</v>
      </c>
      <c r="T4013" s="2" t="s">
        <v>100</v>
      </c>
      <c r="U4013" s="2" t="s">
        <v>1847</v>
      </c>
      <c r="V4013" s="2" t="s">
        <v>292</v>
      </c>
      <c r="W4013" s="2" t="s">
        <v>561</v>
      </c>
      <c r="X4013" s="2" t="s">
        <v>12056</v>
      </c>
      <c r="Y4013" s="2" t="s">
        <v>12152</v>
      </c>
      <c r="Z4013" s="4">
        <v>587</v>
      </c>
      <c r="AA4013" s="4">
        <f>=ROUNDDOWN(23.48,0)</f>
      </c>
      <c r="AB4013" s="5">
        <v>25</v>
      </c>
      <c r="AC4013" s="2" t="s">
        <v>768</v>
      </c>
      <c r="AD4013" s="4">
        <v>140</v>
      </c>
      <c r="AE4013" s="4">
        <v>140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/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/>
      <c r="BJ4013" s="4">
        <v>608</v>
      </c>
      <c r="BK4013" s="8">
        <v>10886.02</v>
      </c>
      <c r="BL4013" s="2" t="s">
        <v>12153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207</v>
      </c>
      <c r="BV4013" s="2" t="s">
        <v>97</v>
      </c>
      <c r="BW4013" s="2" t="s">
        <v>100</v>
      </c>
      <c r="BX4013" s="2" t="s">
        <v>100</v>
      </c>
      <c r="BY4013" s="2" t="s">
        <v>113</v>
      </c>
      <c r="BZ4013" s="2" t="s">
        <v>245</v>
      </c>
    </row>
    <row r="4014">
      <c r="A4014" s="2" t="s">
        <v>12164</v>
      </c>
      <c r="B4014" s="2" t="s">
        <v>11863</v>
      </c>
      <c r="C4014" s="2" t="s">
        <v>88</v>
      </c>
      <c r="D4014" s="2" t="s">
        <v>2605</v>
      </c>
      <c r="E4014" s="2" t="s">
        <v>12056</v>
      </c>
      <c r="F4014" s="2" t="s">
        <v>12165</v>
      </c>
      <c r="G4014" s="2" t="s">
        <v>12166</v>
      </c>
      <c r="H4014" s="2" t="s">
        <v>12167</v>
      </c>
      <c r="I4014" s="2" t="s">
        <v>12168</v>
      </c>
      <c r="J4014" s="2" t="s">
        <v>11940</v>
      </c>
      <c r="K4014" s="2" t="s">
        <v>858</v>
      </c>
      <c r="L4014" s="3">
        <v>11.88</v>
      </c>
      <c r="M4014" s="3">
        <v>12.47</v>
      </c>
      <c r="N4014" s="3">
        <v>26.99</v>
      </c>
      <c r="O4014" s="2" t="s">
        <v>97</v>
      </c>
      <c r="P4014" s="2" t="s">
        <v>119</v>
      </c>
      <c r="Q4014" s="2" t="s">
        <v>99</v>
      </c>
      <c r="R4014" s="2" t="s">
        <v>100</v>
      </c>
      <c r="S4014" s="2" t="s">
        <v>12169</v>
      </c>
      <c r="T4014" s="2" t="s">
        <v>100</v>
      </c>
      <c r="U4014" s="2" t="s">
        <v>1847</v>
      </c>
      <c r="V4014" s="2" t="s">
        <v>239</v>
      </c>
      <c r="W4014" s="2" t="s">
        <v>239</v>
      </c>
      <c r="X4014" s="2" t="s">
        <v>12056</v>
      </c>
      <c r="Y4014" s="2" t="s">
        <v>10770</v>
      </c>
      <c r="Z4014" s="4">
        <v>355</v>
      </c>
      <c r="AA4014" s="4">
        <f>=ROUNDDOWN(23.6666666666667,0)</f>
      </c>
      <c r="AB4014" s="5">
        <v>15</v>
      </c>
      <c r="AC4014" s="2" t="s">
        <v>5080</v>
      </c>
      <c r="AD4014" s="4">
        <v>120</v>
      </c>
      <c r="AE4014" s="4">
        <v>460</v>
      </c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333</v>
      </c>
      <c r="BK4014" s="8">
        <v>5182.35</v>
      </c>
      <c r="BL4014" s="2" t="s">
        <v>2379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207</v>
      </c>
      <c r="BV4014" s="2" t="s">
        <v>97</v>
      </c>
      <c r="BW4014" s="2" t="s">
        <v>100</v>
      </c>
      <c r="BX4014" s="2" t="s">
        <v>100</v>
      </c>
      <c r="BY4014" s="2" t="s">
        <v>113</v>
      </c>
      <c r="BZ4014" s="2" t="s">
        <v>245</v>
      </c>
    </row>
    <row r="4015">
      <c r="A4015" s="2" t="s">
        <v>12170</v>
      </c>
      <c r="B4015" s="2" t="s">
        <v>11863</v>
      </c>
      <c r="C4015" s="2" t="s">
        <v>88</v>
      </c>
      <c r="D4015" s="2" t="s">
        <v>2605</v>
      </c>
      <c r="E4015" s="2" t="s">
        <v>12056</v>
      </c>
      <c r="F4015" s="2" t="s">
        <v>12165</v>
      </c>
      <c r="G4015" s="2" t="s">
        <v>12166</v>
      </c>
      <c r="H4015" s="2" t="s">
        <v>12167</v>
      </c>
      <c r="I4015" s="2" t="s">
        <v>12168</v>
      </c>
      <c r="J4015" s="2" t="s">
        <v>11868</v>
      </c>
      <c r="K4015" s="2" t="s">
        <v>858</v>
      </c>
      <c r="L4015" s="3">
        <v>14.19</v>
      </c>
      <c r="M4015" s="3">
        <v>14.9</v>
      </c>
      <c r="N4015" s="3">
        <v>32.99</v>
      </c>
      <c r="O4015" s="2" t="s">
        <v>97</v>
      </c>
      <c r="P4015" s="2" t="s">
        <v>119</v>
      </c>
      <c r="Q4015" s="2" t="s">
        <v>99</v>
      </c>
      <c r="R4015" s="2" t="s">
        <v>100</v>
      </c>
      <c r="S4015" s="2" t="s">
        <v>12169</v>
      </c>
      <c r="T4015" s="2" t="s">
        <v>100</v>
      </c>
      <c r="U4015" s="2" t="s">
        <v>1847</v>
      </c>
      <c r="V4015" s="2" t="s">
        <v>239</v>
      </c>
      <c r="W4015" s="2" t="s">
        <v>239</v>
      </c>
      <c r="X4015" s="2" t="s">
        <v>12056</v>
      </c>
      <c r="Y4015" s="2" t="s">
        <v>10770</v>
      </c>
      <c r="Z4015" s="4">
        <v>566</v>
      </c>
      <c r="AA4015" s="4">
        <f>=ROUNDDOWN(23.5833333333333,0)</f>
      </c>
      <c r="AB4015" s="5">
        <v>24</v>
      </c>
      <c r="AC4015" s="2" t="s">
        <v>5080</v>
      </c>
      <c r="AD4015" s="4">
        <v>440</v>
      </c>
      <c r="AE4015" s="4">
        <v>860</v>
      </c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614</v>
      </c>
      <c r="BK4015" s="8">
        <v>9417.01</v>
      </c>
      <c r="BL4015" s="2" t="s">
        <v>12171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207</v>
      </c>
      <c r="BV4015" s="2" t="s">
        <v>97</v>
      </c>
      <c r="BW4015" s="2" t="s">
        <v>100</v>
      </c>
      <c r="BX4015" s="2" t="s">
        <v>100</v>
      </c>
      <c r="BY4015" s="2" t="s">
        <v>113</v>
      </c>
      <c r="BZ4015" s="2" t="s">
        <v>245</v>
      </c>
    </row>
    <row r="4016">
      <c r="A4016" s="2" t="s">
        <v>12172</v>
      </c>
      <c r="B4016" s="2" t="s">
        <v>11863</v>
      </c>
      <c r="C4016" s="2" t="s">
        <v>88</v>
      </c>
      <c r="D4016" s="2" t="s">
        <v>2605</v>
      </c>
      <c r="E4016" s="2" t="s">
        <v>12056</v>
      </c>
      <c r="F4016" s="2" t="s">
        <v>12165</v>
      </c>
      <c r="G4016" s="2" t="s">
        <v>12166</v>
      </c>
      <c r="H4016" s="2" t="s">
        <v>12167</v>
      </c>
      <c r="I4016" s="2" t="s">
        <v>12168</v>
      </c>
      <c r="J4016" s="2" t="s">
        <v>11878</v>
      </c>
      <c r="K4016" s="2" t="s">
        <v>858</v>
      </c>
      <c r="L4016" s="3">
        <v>15.91</v>
      </c>
      <c r="M4016" s="3">
        <v>16.71</v>
      </c>
      <c r="N4016" s="3">
        <v>36.99</v>
      </c>
      <c r="O4016" s="2" t="s">
        <v>97</v>
      </c>
      <c r="P4016" s="2" t="s">
        <v>119</v>
      </c>
      <c r="Q4016" s="2" t="s">
        <v>99</v>
      </c>
      <c r="R4016" s="2" t="s">
        <v>100</v>
      </c>
      <c r="S4016" s="2" t="s">
        <v>12169</v>
      </c>
      <c r="T4016" s="2" t="s">
        <v>100</v>
      </c>
      <c r="U4016" s="2" t="s">
        <v>1847</v>
      </c>
      <c r="V4016" s="2" t="s">
        <v>239</v>
      </c>
      <c r="W4016" s="2" t="s">
        <v>239</v>
      </c>
      <c r="X4016" s="2" t="s">
        <v>12056</v>
      </c>
      <c r="Y4016" s="2" t="s">
        <v>10770</v>
      </c>
      <c r="Z4016" s="4">
        <v>236</v>
      </c>
      <c r="AA4016" s="4">
        <f>=ROUNDDOWN(19.6666666666667,0)</f>
      </c>
      <c r="AB4016" s="5">
        <v>12</v>
      </c>
      <c r="AC4016" s="2" t="s">
        <v>5080</v>
      </c>
      <c r="AD4016" s="4">
        <v>40</v>
      </c>
      <c r="AE4016" s="4">
        <v>300</v>
      </c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/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/>
      <c r="BJ4016" s="4">
        <v>227</v>
      </c>
      <c r="BK4016" s="8">
        <v>3872.43</v>
      </c>
      <c r="BL4016" s="2" t="s">
        <v>12173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207</v>
      </c>
      <c r="BV4016" s="2" t="s">
        <v>97</v>
      </c>
      <c r="BW4016" s="2" t="s">
        <v>100</v>
      </c>
      <c r="BX4016" s="2" t="s">
        <v>100</v>
      </c>
      <c r="BY4016" s="2" t="s">
        <v>113</v>
      </c>
      <c r="BZ4016" s="2" t="s">
        <v>245</v>
      </c>
    </row>
    <row r="4017">
      <c r="A4017" s="2" t="s">
        <v>12174</v>
      </c>
      <c r="B4017" s="2" t="s">
        <v>11863</v>
      </c>
      <c r="C4017" s="2" t="s">
        <v>88</v>
      </c>
      <c r="D4017" s="2" t="s">
        <v>2605</v>
      </c>
      <c r="E4017" s="2" t="s">
        <v>12056</v>
      </c>
      <c r="F4017" s="2" t="s">
        <v>12165</v>
      </c>
      <c r="G4017" s="2" t="s">
        <v>12166</v>
      </c>
      <c r="H4017" s="2" t="s">
        <v>12167</v>
      </c>
      <c r="I4017" s="2" t="s">
        <v>12168</v>
      </c>
      <c r="J4017" s="2" t="s">
        <v>11868</v>
      </c>
      <c r="K4017" s="2" t="s">
        <v>440</v>
      </c>
      <c r="L4017" s="3">
        <v>14.19</v>
      </c>
      <c r="M4017" s="3">
        <v>14.9</v>
      </c>
      <c r="N4017" s="3">
        <v>32.99</v>
      </c>
      <c r="O4017" s="2" t="s">
        <v>97</v>
      </c>
      <c r="P4017" s="2" t="s">
        <v>225</v>
      </c>
      <c r="Q4017" s="2" t="s">
        <v>99</v>
      </c>
      <c r="R4017" s="2" t="s">
        <v>100</v>
      </c>
      <c r="S4017" s="2" t="s">
        <v>12175</v>
      </c>
      <c r="T4017" s="2" t="s">
        <v>100</v>
      </c>
      <c r="U4017" s="2" t="s">
        <v>1847</v>
      </c>
      <c r="V4017" s="2" t="s">
        <v>239</v>
      </c>
      <c r="W4017" s="2" t="s">
        <v>239</v>
      </c>
      <c r="X4017" s="2" t="s">
        <v>12056</v>
      </c>
      <c r="Y4017" s="2" t="s">
        <v>12176</v>
      </c>
      <c r="Z4017" s="4">
        <v>469</v>
      </c>
      <c r="AA4017" s="4">
        <f>=ROUNDDOWN(19.5416666666667,0)</f>
      </c>
      <c r="AB4017" s="5">
        <v>24</v>
      </c>
      <c r="AC4017" s="2" t="s">
        <v>1035</v>
      </c>
      <c r="AD4017" s="4">
        <v>252</v>
      </c>
      <c r="AE4017" s="4">
        <v>704</v>
      </c>
      <c r="AF4017" s="6">
        <v>65</v>
      </c>
      <c r="AG4017" s="6"/>
      <c r="AH4017" s="7">
        <v>0.6257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/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/>
      <c r="BJ4017" s="4">
        <v>301</v>
      </c>
      <c r="BK4017" s="8">
        <v>4674.58</v>
      </c>
      <c r="BL4017" s="2" t="s">
        <v>5230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207</v>
      </c>
      <c r="BV4017" s="2" t="s">
        <v>97</v>
      </c>
      <c r="BW4017" s="2" t="s">
        <v>100</v>
      </c>
      <c r="BX4017" s="2" t="s">
        <v>100</v>
      </c>
      <c r="BY4017" s="2" t="s">
        <v>113</v>
      </c>
      <c r="BZ4017" s="2" t="s">
        <v>245</v>
      </c>
    </row>
    <row r="4018">
      <c r="A4018" s="2" t="s">
        <v>12177</v>
      </c>
      <c r="B4018" s="2" t="s">
        <v>11863</v>
      </c>
      <c r="C4018" s="2" t="s">
        <v>88</v>
      </c>
      <c r="D4018" s="2" t="s">
        <v>2605</v>
      </c>
      <c r="E4018" s="2" t="s">
        <v>12056</v>
      </c>
      <c r="F4018" s="2" t="s">
        <v>12165</v>
      </c>
      <c r="G4018" s="2" t="s">
        <v>12166</v>
      </c>
      <c r="H4018" s="2" t="s">
        <v>12167</v>
      </c>
      <c r="I4018" s="2" t="s">
        <v>12168</v>
      </c>
      <c r="J4018" s="2" t="s">
        <v>11878</v>
      </c>
      <c r="K4018" s="2" t="s">
        <v>440</v>
      </c>
      <c r="L4018" s="3">
        <v>15.91</v>
      </c>
      <c r="M4018" s="3">
        <v>16.71</v>
      </c>
      <c r="N4018" s="3">
        <v>36.99</v>
      </c>
      <c r="O4018" s="2" t="s">
        <v>97</v>
      </c>
      <c r="P4018" s="2" t="s">
        <v>225</v>
      </c>
      <c r="Q4018" s="2" t="s">
        <v>99</v>
      </c>
      <c r="R4018" s="2" t="s">
        <v>100</v>
      </c>
      <c r="S4018" s="2" t="s">
        <v>12178</v>
      </c>
      <c r="T4018" s="2" t="s">
        <v>100</v>
      </c>
      <c r="U4018" s="2" t="s">
        <v>1847</v>
      </c>
      <c r="V4018" s="2" t="s">
        <v>239</v>
      </c>
      <c r="W4018" s="2" t="s">
        <v>239</v>
      </c>
      <c r="X4018" s="2" t="s">
        <v>12056</v>
      </c>
      <c r="Y4018" s="2" t="s">
        <v>12176</v>
      </c>
      <c r="Z4018" s="4">
        <v>152</v>
      </c>
      <c r="AA4018" s="4">
        <f>=ROUNDDOWN(12.6666666666667,0)</f>
      </c>
      <c r="AB4018" s="5">
        <v>12</v>
      </c>
      <c r="AC4018" s="2" t="s">
        <v>1035</v>
      </c>
      <c r="AD4018" s="4">
        <v>120</v>
      </c>
      <c r="AE4018" s="4">
        <v>300</v>
      </c>
      <c r="AF4018" s="6">
        <v>65</v>
      </c>
      <c r="AG4018" s="6"/>
      <c r="AH4018" s="7">
        <v>0.754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/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/>
      <c r="BJ4018" s="4">
        <v>138</v>
      </c>
      <c r="BK4018" s="8">
        <v>2219.61</v>
      </c>
      <c r="BL4018" s="2" t="s">
        <v>2609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207</v>
      </c>
      <c r="BV4018" s="2" t="s">
        <v>97</v>
      </c>
      <c r="BW4018" s="2" t="s">
        <v>100</v>
      </c>
      <c r="BX4018" s="2" t="s">
        <v>100</v>
      </c>
      <c r="BY4018" s="2" t="s">
        <v>113</v>
      </c>
      <c r="BZ4018" s="2" t="s">
        <v>245</v>
      </c>
    </row>
    <row r="4019">
      <c r="A4019" s="2" t="s">
        <v>12179</v>
      </c>
      <c r="B4019" s="2" t="s">
        <v>11863</v>
      </c>
      <c r="C4019" s="2" t="s">
        <v>88</v>
      </c>
      <c r="D4019" s="2" t="s">
        <v>2605</v>
      </c>
      <c r="E4019" s="2" t="s">
        <v>12180</v>
      </c>
      <c r="F4019" s="2" t="s">
        <v>12181</v>
      </c>
      <c r="G4019" s="2" t="s">
        <v>12182</v>
      </c>
      <c r="H4019" s="2" t="s">
        <v>12183</v>
      </c>
      <c r="I4019" s="2" t="s">
        <v>12184</v>
      </c>
      <c r="J4019" s="2" t="s">
        <v>12185</v>
      </c>
      <c r="K4019" s="2" t="s">
        <v>198</v>
      </c>
      <c r="L4019" s="3">
        <v>16.1</v>
      </c>
      <c r="M4019" s="3">
        <v>16.9</v>
      </c>
      <c r="N4019" s="3">
        <v>34.99</v>
      </c>
      <c r="O4019" s="2" t="s">
        <v>97</v>
      </c>
      <c r="P4019" s="2" t="s">
        <v>119</v>
      </c>
      <c r="Q4019" s="2" t="s">
        <v>99</v>
      </c>
      <c r="R4019" s="2" t="s">
        <v>100</v>
      </c>
      <c r="S4019" s="2" t="s">
        <v>12186</v>
      </c>
      <c r="T4019" s="2" t="s">
        <v>100</v>
      </c>
      <c r="U4019" s="2" t="s">
        <v>100</v>
      </c>
      <c r="V4019" s="2" t="s">
        <v>403</v>
      </c>
      <c r="W4019" s="2" t="s">
        <v>104</v>
      </c>
      <c r="X4019" s="2" t="s">
        <v>100</v>
      </c>
      <c r="Y4019" s="2" t="s">
        <v>6310</v>
      </c>
      <c r="Z4019" s="4">
        <v>183</v>
      </c>
      <c r="AA4019" s="4">
        <f>=ROUNDDOWN(36.6,0)</f>
      </c>
      <c r="AB4019" s="5">
        <v>5</v>
      </c>
      <c r="AC4019" s="2" t="s">
        <v>356</v>
      </c>
      <c r="AD4019" s="4">
        <v>300</v>
      </c>
      <c r="AE4019" s="4">
        <v>300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>
        <v>8</v>
      </c>
      <c r="AQ4019" s="8">
        <v>120.96</v>
      </c>
      <c r="AR4019" s="4"/>
      <c r="AS4019" s="8"/>
      <c r="AT4019" s="7"/>
      <c r="AU4019" s="7"/>
      <c r="AV4019" s="4">
        <v>8</v>
      </c>
      <c r="AW4019" s="8">
        <v>120.96</v>
      </c>
      <c r="AX4019" s="4"/>
      <c r="AY4019" s="8"/>
      <c r="AZ4019" s="7"/>
      <c r="BA4019" s="7"/>
      <c r="BB4019" s="7">
        <v>1</v>
      </c>
      <c r="BC4019" s="4">
        <v>18</v>
      </c>
      <c r="BD4019" s="8">
        <v>297.36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>
        <v>0.4068</v>
      </c>
      <c r="BJ4019" s="4">
        <v>79</v>
      </c>
      <c r="BK4019" s="8">
        <v>1295.08</v>
      </c>
      <c r="BL4019" s="2" t="s">
        <v>12065</v>
      </c>
      <c r="BM4019" s="7">
        <v>0.1013</v>
      </c>
      <c r="BN4019" s="7">
        <v>0.0934</v>
      </c>
      <c r="BO4019" s="4">
        <v>8</v>
      </c>
      <c r="BP4019" s="8">
        <v>120.96</v>
      </c>
      <c r="BQ4019" s="4"/>
      <c r="BR4019" s="8"/>
      <c r="BS4019" s="7"/>
      <c r="BT4019" s="7"/>
      <c r="BU4019" s="2" t="s">
        <v>109</v>
      </c>
      <c r="BV4019" s="2" t="s">
        <v>110</v>
      </c>
      <c r="BW4019" s="2" t="s">
        <v>12187</v>
      </c>
      <c r="BX4019" s="2" t="s">
        <v>160</v>
      </c>
      <c r="BY4019" s="2" t="s">
        <v>113</v>
      </c>
      <c r="BZ4019" s="2" t="s">
        <v>245</v>
      </c>
    </row>
    <row r="4020">
      <c r="A4020" s="2" t="s">
        <v>12188</v>
      </c>
      <c r="B4020" s="2" t="s">
        <v>11863</v>
      </c>
      <c r="C4020" s="2" t="s">
        <v>88</v>
      </c>
      <c r="D4020" s="2" t="s">
        <v>2605</v>
      </c>
      <c r="E4020" s="2" t="s">
        <v>12180</v>
      </c>
      <c r="F4020" s="2" t="s">
        <v>12181</v>
      </c>
      <c r="G4020" s="2" t="s">
        <v>12182</v>
      </c>
      <c r="H4020" s="2" t="s">
        <v>12183</v>
      </c>
      <c r="I4020" s="2" t="s">
        <v>12184</v>
      </c>
      <c r="J4020" s="2" t="s">
        <v>12185</v>
      </c>
      <c r="K4020" s="2" t="s">
        <v>1614</v>
      </c>
      <c r="L4020" s="3">
        <v>16.1</v>
      </c>
      <c r="M4020" s="3">
        <v>16.9</v>
      </c>
      <c r="N4020" s="3">
        <v>34.99</v>
      </c>
      <c r="O4020" s="2" t="s">
        <v>97</v>
      </c>
      <c r="P4020" s="2" t="s">
        <v>119</v>
      </c>
      <c r="Q4020" s="2" t="s">
        <v>99</v>
      </c>
      <c r="R4020" s="2" t="s">
        <v>100</v>
      </c>
      <c r="S4020" s="2" t="s">
        <v>12189</v>
      </c>
      <c r="T4020" s="2" t="s">
        <v>100</v>
      </c>
      <c r="U4020" s="2" t="s">
        <v>100</v>
      </c>
      <c r="V4020" s="2" t="s">
        <v>403</v>
      </c>
      <c r="W4020" s="2" t="s">
        <v>104</v>
      </c>
      <c r="X4020" s="2" t="s">
        <v>100</v>
      </c>
      <c r="Y4020" s="2" t="s">
        <v>6310</v>
      </c>
      <c r="Z4020" s="4">
        <v>126</v>
      </c>
      <c r="AA4020" s="4">
        <f>=ROUNDDOWN(10.5,0)</f>
      </c>
      <c r="AB4020" s="5">
        <v>12</v>
      </c>
      <c r="AC4020" s="2" t="s">
        <v>5100</v>
      </c>
      <c r="AD4020" s="4">
        <v>100</v>
      </c>
      <c r="AE4020" s="4">
        <v>240</v>
      </c>
      <c r="AF4020" s="6">
        <v>65</v>
      </c>
      <c r="AG4020" s="6"/>
      <c r="AH4020" s="7">
        <v>0.877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>
        <v>5</v>
      </c>
      <c r="AQ4020" s="8">
        <v>75.6</v>
      </c>
      <c r="AR4020" s="4"/>
      <c r="AS4020" s="8"/>
      <c r="AT4020" s="7"/>
      <c r="AU4020" s="7"/>
      <c r="AV4020" s="4">
        <v>7</v>
      </c>
      <c r="AW4020" s="8">
        <v>115.92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0.6522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>
        <v>0.3898</v>
      </c>
      <c r="BJ4020" s="4">
        <v>252</v>
      </c>
      <c r="BK4020" s="8">
        <v>4684.25</v>
      </c>
      <c r="BL4020" s="2" t="s">
        <v>12190</v>
      </c>
      <c r="BM4020" s="7">
        <v>0.0198</v>
      </c>
      <c r="BN4020" s="7">
        <v>0.0161</v>
      </c>
      <c r="BO4020" s="4">
        <v>5</v>
      </c>
      <c r="BP4020" s="8">
        <v>75.6</v>
      </c>
      <c r="BQ4020" s="4"/>
      <c r="BR4020" s="8"/>
      <c r="BS4020" s="7"/>
      <c r="BT4020" s="7"/>
      <c r="BU4020" s="2" t="s">
        <v>109</v>
      </c>
      <c r="BV4020" s="2" t="s">
        <v>110</v>
      </c>
      <c r="BW4020" s="2" t="s">
        <v>12187</v>
      </c>
      <c r="BX4020" s="2" t="s">
        <v>12191</v>
      </c>
      <c r="BY4020" s="2" t="s">
        <v>113</v>
      </c>
      <c r="BZ4020" s="2" t="s">
        <v>245</v>
      </c>
    </row>
    <row r="4021">
      <c r="A4021" s="2" t="s">
        <v>12192</v>
      </c>
      <c r="B4021" s="2" t="s">
        <v>11863</v>
      </c>
      <c r="C4021" s="2" t="s">
        <v>88</v>
      </c>
      <c r="D4021" s="2" t="s">
        <v>2605</v>
      </c>
      <c r="E4021" s="2" t="s">
        <v>12180</v>
      </c>
      <c r="F4021" s="2" t="s">
        <v>12181</v>
      </c>
      <c r="G4021" s="2" t="s">
        <v>12182</v>
      </c>
      <c r="H4021" s="2" t="s">
        <v>12183</v>
      </c>
      <c r="I4021" s="2" t="s">
        <v>12184</v>
      </c>
      <c r="J4021" s="2" t="s">
        <v>12193</v>
      </c>
      <c r="K4021" s="2" t="s">
        <v>1614</v>
      </c>
      <c r="L4021" s="3">
        <v>21.15</v>
      </c>
      <c r="M4021" s="3">
        <v>22.21</v>
      </c>
      <c r="N4021" s="3">
        <v>44.99</v>
      </c>
      <c r="O4021" s="2" t="s">
        <v>97</v>
      </c>
      <c r="P4021" s="2" t="s">
        <v>119</v>
      </c>
      <c r="Q4021" s="2" t="s">
        <v>99</v>
      </c>
      <c r="R4021" s="2" t="s">
        <v>100</v>
      </c>
      <c r="S4021" s="2" t="s">
        <v>12189</v>
      </c>
      <c r="T4021" s="2" t="s">
        <v>100</v>
      </c>
      <c r="U4021" s="2" t="s">
        <v>100</v>
      </c>
      <c r="V4021" s="2" t="s">
        <v>403</v>
      </c>
      <c r="W4021" s="2" t="s">
        <v>104</v>
      </c>
      <c r="X4021" s="2" t="s">
        <v>100</v>
      </c>
      <c r="Y4021" s="2" t="s">
        <v>6310</v>
      </c>
      <c r="Z4021" s="4">
        <v>104</v>
      </c>
      <c r="AA4021" s="4">
        <f>=ROUNDDOWN(13,0)</f>
      </c>
      <c r="AB4021" s="5">
        <v>8</v>
      </c>
      <c r="AC4021" s="2" t="s">
        <v>5100</v>
      </c>
      <c r="AD4021" s="4">
        <v>32</v>
      </c>
      <c r="AE4021" s="4">
        <v>124</v>
      </c>
      <c r="AF4021" s="6">
        <v>65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>
        <v>2</v>
      </c>
      <c r="AQ4021" s="8">
        <v>40.32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0.3478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183</v>
      </c>
      <c r="BK4021" s="8">
        <v>4168.99</v>
      </c>
      <c r="BL4021" s="2" t="s">
        <v>12194</v>
      </c>
      <c r="BM4021" s="7">
        <v>0.0109</v>
      </c>
      <c r="BN4021" s="7">
        <v>0.0097</v>
      </c>
      <c r="BO4021" s="4">
        <v>2</v>
      </c>
      <c r="BP4021" s="8">
        <v>40.32</v>
      </c>
      <c r="BQ4021" s="4"/>
      <c r="BR4021" s="8"/>
      <c r="BS4021" s="7"/>
      <c r="BT4021" s="7"/>
      <c r="BU4021" s="2" t="s">
        <v>109</v>
      </c>
      <c r="BV4021" s="2" t="s">
        <v>110</v>
      </c>
      <c r="BW4021" s="2" t="s">
        <v>12187</v>
      </c>
      <c r="BX4021" s="2" t="s">
        <v>8960</v>
      </c>
      <c r="BY4021" s="2" t="s">
        <v>113</v>
      </c>
      <c r="BZ4021" s="2" t="s">
        <v>245</v>
      </c>
    </row>
    <row r="4022">
      <c r="A4022" s="2" t="s">
        <v>12195</v>
      </c>
      <c r="B4022" s="2" t="s">
        <v>11863</v>
      </c>
      <c r="C4022" s="2" t="s">
        <v>88</v>
      </c>
      <c r="D4022" s="2" t="s">
        <v>2605</v>
      </c>
      <c r="E4022" s="2" t="s">
        <v>12180</v>
      </c>
      <c r="F4022" s="2" t="s">
        <v>12181</v>
      </c>
      <c r="G4022" s="2" t="s">
        <v>12182</v>
      </c>
      <c r="H4022" s="2" t="s">
        <v>12183</v>
      </c>
      <c r="I4022" s="2" t="s">
        <v>12184</v>
      </c>
      <c r="J4022" s="2" t="s">
        <v>12193</v>
      </c>
      <c r="K4022" s="2" t="s">
        <v>189</v>
      </c>
      <c r="L4022" s="3">
        <v>21.15</v>
      </c>
      <c r="M4022" s="3">
        <v>22.21</v>
      </c>
      <c r="N4022" s="3">
        <v>44.99</v>
      </c>
      <c r="O4022" s="2" t="s">
        <v>97</v>
      </c>
      <c r="P4022" s="2" t="s">
        <v>119</v>
      </c>
      <c r="Q4022" s="2" t="s">
        <v>99</v>
      </c>
      <c r="R4022" s="2" t="s">
        <v>100</v>
      </c>
      <c r="S4022" s="2" t="s">
        <v>12196</v>
      </c>
      <c r="T4022" s="2" t="s">
        <v>100</v>
      </c>
      <c r="U4022" s="2" t="s">
        <v>100</v>
      </c>
      <c r="V4022" s="2" t="s">
        <v>403</v>
      </c>
      <c r="W4022" s="2" t="s">
        <v>104</v>
      </c>
      <c r="X4022" s="2" t="s">
        <v>100</v>
      </c>
      <c r="Y4022" s="2" t="s">
        <v>6310</v>
      </c>
      <c r="Z4022" s="4">
        <v>144</v>
      </c>
      <c r="AA4022" s="4">
        <f>=ROUNDDOWN(20.5714285714286,0)</f>
      </c>
      <c r="AB4022" s="5">
        <v>7</v>
      </c>
      <c r="AC4022" s="2" t="s">
        <v>872</v>
      </c>
      <c r="AD4022" s="4">
        <v>32</v>
      </c>
      <c r="AE4022" s="4">
        <v>116</v>
      </c>
      <c r="AF4022" s="6">
        <v>65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>
        <v>3</v>
      </c>
      <c r="AQ4022" s="8">
        <v>60.48</v>
      </c>
      <c r="AR4022" s="4"/>
      <c r="AS4022" s="8"/>
      <c r="AT4022" s="7"/>
      <c r="AU4022" s="7"/>
      <c r="AV4022" s="4">
        <v>3</v>
      </c>
      <c r="AW4022" s="8">
        <v>60.48</v>
      </c>
      <c r="AX4022" s="4"/>
      <c r="AY4022" s="8"/>
      <c r="AZ4022" s="7"/>
      <c r="BA4022" s="7"/>
      <c r="BB4022" s="7">
        <v>1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>
        <v>0.2034</v>
      </c>
      <c r="BJ4022" s="4">
        <v>156</v>
      </c>
      <c r="BK4022" s="8">
        <v>3577.12</v>
      </c>
      <c r="BL4022" s="2" t="s">
        <v>12197</v>
      </c>
      <c r="BM4022" s="7">
        <v>0.0192</v>
      </c>
      <c r="BN4022" s="7">
        <v>0.0169</v>
      </c>
      <c r="BO4022" s="4">
        <v>3</v>
      </c>
      <c r="BP4022" s="8">
        <v>60.48</v>
      </c>
      <c r="BQ4022" s="4"/>
      <c r="BR4022" s="8"/>
      <c r="BS4022" s="7"/>
      <c r="BT4022" s="7"/>
      <c r="BU4022" s="2" t="s">
        <v>109</v>
      </c>
      <c r="BV4022" s="2" t="s">
        <v>110</v>
      </c>
      <c r="BW4022" s="2" t="s">
        <v>12187</v>
      </c>
      <c r="BX4022" s="2" t="s">
        <v>12198</v>
      </c>
      <c r="BY4022" s="2" t="s">
        <v>113</v>
      </c>
      <c r="BZ4022" s="2" t="s">
        <v>245</v>
      </c>
    </row>
    <row r="4023">
      <c r="A4023" s="2" t="s">
        <v>12199</v>
      </c>
      <c r="B4023" s="2" t="s">
        <v>11863</v>
      </c>
      <c r="C4023" s="2" t="s">
        <v>88</v>
      </c>
      <c r="D4023" s="2" t="s">
        <v>2605</v>
      </c>
      <c r="E4023" s="2" t="s">
        <v>12180</v>
      </c>
      <c r="F4023" s="2" t="s">
        <v>667</v>
      </c>
      <c r="G4023" s="2" t="s">
        <v>12051</v>
      </c>
      <c r="H4023" s="2" t="s">
        <v>12052</v>
      </c>
      <c r="I4023" s="2" t="s">
        <v>12200</v>
      </c>
      <c r="J4023" s="2" t="s">
        <v>12201</v>
      </c>
      <c r="K4023" s="2" t="s">
        <v>629</v>
      </c>
      <c r="L4023" s="3">
        <v>20.25</v>
      </c>
      <c r="M4023" s="3">
        <v>21.26</v>
      </c>
      <c r="N4023" s="3">
        <v>44.99</v>
      </c>
      <c r="O4023" s="2" t="s">
        <v>97</v>
      </c>
      <c r="P4023" s="2" t="s">
        <v>119</v>
      </c>
      <c r="Q4023" s="2" t="s">
        <v>99</v>
      </c>
      <c r="R4023" s="2" t="s">
        <v>100</v>
      </c>
      <c r="S4023" s="2" t="s">
        <v>12064</v>
      </c>
      <c r="T4023" s="2" t="s">
        <v>100</v>
      </c>
      <c r="U4023" s="2" t="s">
        <v>100</v>
      </c>
      <c r="V4023" s="2" t="s">
        <v>146</v>
      </c>
      <c r="W4023" s="2" t="s">
        <v>561</v>
      </c>
      <c r="X4023" s="2" t="s">
        <v>100</v>
      </c>
      <c r="Y4023" s="2" t="s">
        <v>5345</v>
      </c>
      <c r="Z4023" s="4">
        <v>554</v>
      </c>
      <c r="AA4023" s="4">
        <f>=ROUNDDOWN(34.625,0)</f>
      </c>
      <c r="AB4023" s="5">
        <v>16</v>
      </c>
      <c r="AC4023" s="2" t="s">
        <v>2618</v>
      </c>
      <c r="AD4023" s="4">
        <v>72</v>
      </c>
      <c r="AE4023" s="4">
        <v>72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>
        <v>7</v>
      </c>
      <c r="AQ4023" s="8">
        <v>132.3</v>
      </c>
      <c r="AR4023" s="4"/>
      <c r="AS4023" s="8"/>
      <c r="AT4023" s="7"/>
      <c r="AU4023" s="7"/>
      <c r="AV4023" s="4">
        <v>7</v>
      </c>
      <c r="AW4023" s="8">
        <v>132.3</v>
      </c>
      <c r="AX4023" s="4"/>
      <c r="AY4023" s="8"/>
      <c r="AZ4023" s="7"/>
      <c r="BA4023" s="7"/>
      <c r="BB4023" s="7">
        <v>1</v>
      </c>
      <c r="BC4023" s="4">
        <v>9</v>
      </c>
      <c r="BD4023" s="8">
        <v>170.1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>
        <v>0.7778</v>
      </c>
      <c r="BJ4023" s="4">
        <v>361</v>
      </c>
      <c r="BK4023" s="8">
        <v>7665.34</v>
      </c>
      <c r="BL4023" s="2" t="s">
        <v>12202</v>
      </c>
      <c r="BM4023" s="7">
        <v>0.0194</v>
      </c>
      <c r="BN4023" s="7">
        <v>0.0173</v>
      </c>
      <c r="BO4023" s="4">
        <v>7</v>
      </c>
      <c r="BP4023" s="8">
        <v>132.3</v>
      </c>
      <c r="BQ4023" s="4"/>
      <c r="BR4023" s="8"/>
      <c r="BS4023" s="7"/>
      <c r="BT4023" s="7"/>
      <c r="BU4023" s="2" t="s">
        <v>109</v>
      </c>
      <c r="BV4023" s="2" t="s">
        <v>110</v>
      </c>
      <c r="BW4023" s="2" t="s">
        <v>2043</v>
      </c>
      <c r="BX4023" s="2" t="s">
        <v>12203</v>
      </c>
      <c r="BY4023" s="2" t="s">
        <v>113</v>
      </c>
      <c r="BZ4023" s="2" t="s">
        <v>245</v>
      </c>
    </row>
    <row r="4024">
      <c r="A4024" s="2" t="s">
        <v>12204</v>
      </c>
      <c r="B4024" s="2" t="s">
        <v>11863</v>
      </c>
      <c r="C4024" s="2" t="s">
        <v>88</v>
      </c>
      <c r="D4024" s="2" t="s">
        <v>2605</v>
      </c>
      <c r="E4024" s="2" t="s">
        <v>12180</v>
      </c>
      <c r="F4024" s="2" t="s">
        <v>667</v>
      </c>
      <c r="G4024" s="2" t="s">
        <v>12051</v>
      </c>
      <c r="H4024" s="2" t="s">
        <v>12052</v>
      </c>
      <c r="I4024" s="2" t="s">
        <v>12200</v>
      </c>
      <c r="J4024" s="2" t="s">
        <v>12201</v>
      </c>
      <c r="K4024" s="2" t="s">
        <v>198</v>
      </c>
      <c r="L4024" s="3">
        <v>20.25</v>
      </c>
      <c r="M4024" s="3">
        <v>21.26</v>
      </c>
      <c r="N4024" s="3">
        <v>44.99</v>
      </c>
      <c r="O4024" s="2" t="s">
        <v>97</v>
      </c>
      <c r="P4024" s="2" t="s">
        <v>119</v>
      </c>
      <c r="Q4024" s="2" t="s">
        <v>99</v>
      </c>
      <c r="R4024" s="2" t="s">
        <v>100</v>
      </c>
      <c r="S4024" s="2" t="s">
        <v>12067</v>
      </c>
      <c r="T4024" s="2" t="s">
        <v>100</v>
      </c>
      <c r="U4024" s="2" t="s">
        <v>100</v>
      </c>
      <c r="V4024" s="2" t="s">
        <v>146</v>
      </c>
      <c r="W4024" s="2" t="s">
        <v>561</v>
      </c>
      <c r="X4024" s="2" t="s">
        <v>100</v>
      </c>
      <c r="Y4024" s="2" t="s">
        <v>5345</v>
      </c>
      <c r="Z4024" s="4">
        <v>311</v>
      </c>
      <c r="AA4024" s="4">
        <f>=ROUNDDOWN(31.1,0)</f>
      </c>
      <c r="AB4024" s="5">
        <v>10</v>
      </c>
      <c r="AC4024" s="2" t="s">
        <v>100</v>
      </c>
      <c r="AD4024" s="4"/>
      <c r="AE4024" s="4"/>
      <c r="AF4024" s="6">
        <v>65</v>
      </c>
      <c r="AG4024" s="6"/>
      <c r="AH4024" s="7">
        <v>0.9251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/>
      <c r="AP4024" s="4">
        <v>1</v>
      </c>
      <c r="AQ4024" s="8">
        <v>18.9</v>
      </c>
      <c r="AR4024" s="4"/>
      <c r="AS4024" s="8"/>
      <c r="AT4024" s="7"/>
      <c r="AU4024" s="7"/>
      <c r="AV4024" s="4">
        <v>1</v>
      </c>
      <c r="AW4024" s="8">
        <v>18.9</v>
      </c>
      <c r="AX4024" s="4"/>
      <c r="AY4024" s="8"/>
      <c r="AZ4024" s="7"/>
      <c r="BA4024" s="7"/>
      <c r="BB4024" s="7">
        <v>1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0.1111</v>
      </c>
      <c r="BJ4024" s="4">
        <v>203</v>
      </c>
      <c r="BK4024" s="8">
        <v>4306.6</v>
      </c>
      <c r="BL4024" s="2" t="s">
        <v>12205</v>
      </c>
      <c r="BM4024" s="7">
        <v>0.0049</v>
      </c>
      <c r="BN4024" s="7">
        <v>0.0044</v>
      </c>
      <c r="BO4024" s="4">
        <v>1</v>
      </c>
      <c r="BP4024" s="8">
        <v>18.9</v>
      </c>
      <c r="BQ4024" s="4"/>
      <c r="BR4024" s="8"/>
      <c r="BS4024" s="7"/>
      <c r="BT4024" s="7"/>
      <c r="BU4024" s="2" t="s">
        <v>109</v>
      </c>
      <c r="BV4024" s="2" t="s">
        <v>110</v>
      </c>
      <c r="BW4024" s="2" t="s">
        <v>2043</v>
      </c>
      <c r="BX4024" s="2" t="s">
        <v>6086</v>
      </c>
      <c r="BY4024" s="2" t="s">
        <v>113</v>
      </c>
      <c r="BZ4024" s="2" t="s">
        <v>245</v>
      </c>
    </row>
    <row r="4025">
      <c r="A4025" s="2" t="s">
        <v>12206</v>
      </c>
      <c r="B4025" s="2" t="s">
        <v>11863</v>
      </c>
      <c r="C4025" s="2" t="s">
        <v>88</v>
      </c>
      <c r="D4025" s="2" t="s">
        <v>2605</v>
      </c>
      <c r="E4025" s="2" t="s">
        <v>12180</v>
      </c>
      <c r="F4025" s="2" t="s">
        <v>667</v>
      </c>
      <c r="G4025" s="2" t="s">
        <v>12051</v>
      </c>
      <c r="H4025" s="2" t="s">
        <v>12052</v>
      </c>
      <c r="I4025" s="2" t="s">
        <v>12200</v>
      </c>
      <c r="J4025" s="2" t="s">
        <v>12201</v>
      </c>
      <c r="K4025" s="2" t="s">
        <v>189</v>
      </c>
      <c r="L4025" s="3">
        <v>20.25</v>
      </c>
      <c r="M4025" s="3">
        <v>21.26</v>
      </c>
      <c r="N4025" s="3">
        <v>44.99</v>
      </c>
      <c r="O4025" s="2" t="s">
        <v>97</v>
      </c>
      <c r="P4025" s="2" t="s">
        <v>119</v>
      </c>
      <c r="Q4025" s="2" t="s">
        <v>99</v>
      </c>
      <c r="R4025" s="2" t="s">
        <v>100</v>
      </c>
      <c r="S4025" s="2" t="s">
        <v>12062</v>
      </c>
      <c r="T4025" s="2" t="s">
        <v>100</v>
      </c>
      <c r="U4025" s="2" t="s">
        <v>100</v>
      </c>
      <c r="V4025" s="2" t="s">
        <v>146</v>
      </c>
      <c r="W4025" s="2" t="s">
        <v>561</v>
      </c>
      <c r="X4025" s="2" t="s">
        <v>100</v>
      </c>
      <c r="Y4025" s="2" t="s">
        <v>5345</v>
      </c>
      <c r="Z4025" s="4">
        <v>143</v>
      </c>
      <c r="AA4025" s="4">
        <f>=ROUNDDOWN(14.3,0)</f>
      </c>
      <c r="AB4025" s="5">
        <v>10</v>
      </c>
      <c r="AC4025" s="2" t="s">
        <v>872</v>
      </c>
      <c r="AD4025" s="4">
        <v>100</v>
      </c>
      <c r="AE4025" s="4">
        <v>140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>
        <v>1</v>
      </c>
      <c r="AQ4025" s="8">
        <v>18.9</v>
      </c>
      <c r="AR4025" s="4"/>
      <c r="AS4025" s="8"/>
      <c r="AT4025" s="7"/>
      <c r="AU4025" s="7"/>
      <c r="AV4025" s="4">
        <v>1</v>
      </c>
      <c r="AW4025" s="8">
        <v>18.9</v>
      </c>
      <c r="AX4025" s="4"/>
      <c r="AY4025" s="8"/>
      <c r="AZ4025" s="7"/>
      <c r="BA4025" s="7"/>
      <c r="BB4025" s="7">
        <v>1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>
        <v>0.1111</v>
      </c>
      <c r="BJ4025" s="4">
        <v>280</v>
      </c>
      <c r="BK4025" s="8">
        <v>5811.51</v>
      </c>
      <c r="BL4025" s="2" t="s">
        <v>12207</v>
      </c>
      <c r="BM4025" s="7">
        <v>0.0036</v>
      </c>
      <c r="BN4025" s="7">
        <v>0.0033</v>
      </c>
      <c r="BO4025" s="4">
        <v>1</v>
      </c>
      <c r="BP4025" s="8">
        <v>18.9</v>
      </c>
      <c r="BQ4025" s="4"/>
      <c r="BR4025" s="8"/>
      <c r="BS4025" s="7"/>
      <c r="BT4025" s="7"/>
      <c r="BU4025" s="2" t="s">
        <v>109</v>
      </c>
      <c r="BV4025" s="2" t="s">
        <v>110</v>
      </c>
      <c r="BW4025" s="2" t="s">
        <v>2043</v>
      </c>
      <c r="BX4025" s="2" t="s">
        <v>12208</v>
      </c>
      <c r="BY4025" s="2" t="s">
        <v>113</v>
      </c>
      <c r="BZ4025" s="2" t="s">
        <v>245</v>
      </c>
    </row>
    <row r="4026">
      <c r="A4026" s="2" t="s">
        <v>12209</v>
      </c>
      <c r="B4026" s="2" t="s">
        <v>11863</v>
      </c>
      <c r="C4026" s="2" t="s">
        <v>88</v>
      </c>
      <c r="D4026" s="2" t="s">
        <v>2605</v>
      </c>
      <c r="E4026" s="2" t="s">
        <v>12210</v>
      </c>
      <c r="F4026" s="2" t="s">
        <v>12211</v>
      </c>
      <c r="G4026" s="2" t="s">
        <v>12212</v>
      </c>
      <c r="H4026" s="2" t="s">
        <v>12213</v>
      </c>
      <c r="I4026" s="2" t="s">
        <v>12214</v>
      </c>
      <c r="J4026" s="2" t="s">
        <v>12215</v>
      </c>
      <c r="K4026" s="2" t="s">
        <v>198</v>
      </c>
      <c r="L4026" s="3">
        <v>23.75</v>
      </c>
      <c r="M4026" s="3">
        <v>24.94</v>
      </c>
      <c r="N4026" s="3">
        <v>53.99</v>
      </c>
      <c r="O4026" s="2" t="s">
        <v>97</v>
      </c>
      <c r="P4026" s="2" t="s">
        <v>119</v>
      </c>
      <c r="Q4026" s="2" t="s">
        <v>99</v>
      </c>
      <c r="R4026" s="2" t="s">
        <v>100</v>
      </c>
      <c r="S4026" s="2" t="s">
        <v>12216</v>
      </c>
      <c r="T4026" s="2" t="s">
        <v>218</v>
      </c>
      <c r="U4026" s="2" t="s">
        <v>1847</v>
      </c>
      <c r="V4026" s="2" t="s">
        <v>146</v>
      </c>
      <c r="W4026" s="2" t="s">
        <v>183</v>
      </c>
      <c r="X4026" s="2" t="s">
        <v>100</v>
      </c>
      <c r="Y4026" s="2" t="s">
        <v>2338</v>
      </c>
      <c r="Z4026" s="4">
        <v>121</v>
      </c>
      <c r="AA4026" s="4">
        <f>=ROUNDDOWN(17.2857142857143,0)</f>
      </c>
      <c r="AB4026" s="5">
        <v>7</v>
      </c>
      <c r="AC4026" s="2" t="s">
        <v>821</v>
      </c>
      <c r="AD4026" s="4">
        <v>90</v>
      </c>
      <c r="AE4026" s="4">
        <v>90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>
        <v>8</v>
      </c>
      <c r="AW4026" s="8">
        <v>220.48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/>
      <c r="BC4026" s="4">
        <v>8</v>
      </c>
      <c r="BD4026" s="8">
        <v>220.48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>
        <v>1</v>
      </c>
      <c r="BJ4026" s="4">
        <v>213</v>
      </c>
      <c r="BK4026" s="8">
        <v>5581.85</v>
      </c>
      <c r="BL4026" s="2" t="s">
        <v>12217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207</v>
      </c>
      <c r="BV4026" s="2" t="s">
        <v>97</v>
      </c>
      <c r="BW4026" s="2" t="s">
        <v>100</v>
      </c>
      <c r="BX4026" s="2" t="s">
        <v>100</v>
      </c>
      <c r="BY4026" s="2" t="s">
        <v>113</v>
      </c>
      <c r="BZ4026" s="2" t="s">
        <v>245</v>
      </c>
    </row>
    <row r="4027">
      <c r="A4027" s="2" t="s">
        <v>12218</v>
      </c>
      <c r="B4027" s="2" t="s">
        <v>11863</v>
      </c>
      <c r="C4027" s="2" t="s">
        <v>88</v>
      </c>
      <c r="D4027" s="2" t="s">
        <v>2605</v>
      </c>
      <c r="E4027" s="2" t="s">
        <v>12210</v>
      </c>
      <c r="F4027" s="2" t="s">
        <v>12211</v>
      </c>
      <c r="G4027" s="2" t="s">
        <v>12212</v>
      </c>
      <c r="H4027" s="2" t="s">
        <v>12213</v>
      </c>
      <c r="I4027" s="2" t="s">
        <v>12214</v>
      </c>
      <c r="J4027" s="2" t="s">
        <v>12219</v>
      </c>
      <c r="K4027" s="2" t="s">
        <v>198</v>
      </c>
      <c r="L4027" s="3">
        <v>28.5</v>
      </c>
      <c r="M4027" s="3">
        <v>29.93</v>
      </c>
      <c r="N4027" s="3">
        <v>62.99</v>
      </c>
      <c r="O4027" s="2" t="s">
        <v>97</v>
      </c>
      <c r="P4027" s="2" t="s">
        <v>119</v>
      </c>
      <c r="Q4027" s="2" t="s">
        <v>99</v>
      </c>
      <c r="R4027" s="2" t="s">
        <v>100</v>
      </c>
      <c r="S4027" s="2" t="s">
        <v>12216</v>
      </c>
      <c r="T4027" s="2" t="s">
        <v>218</v>
      </c>
      <c r="U4027" s="2" t="s">
        <v>1847</v>
      </c>
      <c r="V4027" s="2" t="s">
        <v>146</v>
      </c>
      <c r="W4027" s="2" t="s">
        <v>183</v>
      </c>
      <c r="X4027" s="2" t="s">
        <v>100</v>
      </c>
      <c r="Y4027" s="2" t="s">
        <v>2338</v>
      </c>
      <c r="Z4027" s="4">
        <v>293</v>
      </c>
      <c r="AA4027" s="4">
        <f>=ROUNDDOWN(58.6,0)</f>
      </c>
      <c r="AB4027" s="5">
        <v>5</v>
      </c>
      <c r="AC4027" s="2" t="s">
        <v>100</v>
      </c>
      <c r="AD4027" s="4"/>
      <c r="AE4027" s="4"/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/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119</v>
      </c>
      <c r="BK4027" s="8">
        <v>3642.58</v>
      </c>
      <c r="BL4027" s="2" t="s">
        <v>12220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207</v>
      </c>
      <c r="BV4027" s="2" t="s">
        <v>97</v>
      </c>
      <c r="BW4027" s="2" t="s">
        <v>100</v>
      </c>
      <c r="BX4027" s="2" t="s">
        <v>100</v>
      </c>
      <c r="BY4027" s="2" t="s">
        <v>113</v>
      </c>
      <c r="BZ4027" s="2" t="s">
        <v>245</v>
      </c>
    </row>
    <row r="4028">
      <c r="A4028" s="2" t="s">
        <v>12221</v>
      </c>
      <c r="B4028" s="2" t="s">
        <v>11863</v>
      </c>
      <c r="C4028" s="2" t="s">
        <v>88</v>
      </c>
      <c r="D4028" s="2" t="s">
        <v>2605</v>
      </c>
      <c r="E4028" s="2" t="s">
        <v>12210</v>
      </c>
      <c r="F4028" s="2" t="s">
        <v>12211</v>
      </c>
      <c r="G4028" s="2" t="s">
        <v>12212</v>
      </c>
      <c r="H4028" s="2" t="s">
        <v>12213</v>
      </c>
      <c r="I4028" s="2" t="s">
        <v>12214</v>
      </c>
      <c r="J4028" s="2" t="s">
        <v>12222</v>
      </c>
      <c r="K4028" s="2" t="s">
        <v>198</v>
      </c>
      <c r="L4028" s="3">
        <v>29.25</v>
      </c>
      <c r="M4028" s="3">
        <v>30.71</v>
      </c>
      <c r="N4028" s="3">
        <v>64.99</v>
      </c>
      <c r="O4028" s="2" t="s">
        <v>97</v>
      </c>
      <c r="P4028" s="2" t="s">
        <v>372</v>
      </c>
      <c r="Q4028" s="2" t="s">
        <v>99</v>
      </c>
      <c r="R4028" s="2" t="s">
        <v>100</v>
      </c>
      <c r="S4028" s="2" t="s">
        <v>12216</v>
      </c>
      <c r="T4028" s="2" t="s">
        <v>218</v>
      </c>
      <c r="U4028" s="2" t="s">
        <v>1847</v>
      </c>
      <c r="V4028" s="2" t="s">
        <v>146</v>
      </c>
      <c r="W4028" s="2" t="s">
        <v>183</v>
      </c>
      <c r="X4028" s="2" t="s">
        <v>100</v>
      </c>
      <c r="Y4028" s="2" t="s">
        <v>986</v>
      </c>
      <c r="Z4028" s="4">
        <v>540</v>
      </c>
      <c r="AA4028" s="4">
        <f>=ROUNDDOWN(41.5384615384615,0)</f>
      </c>
      <c r="AB4028" s="5">
        <v>13</v>
      </c>
      <c r="AC4028" s="2" t="s">
        <v>821</v>
      </c>
      <c r="AD4028" s="4">
        <v>150</v>
      </c>
      <c r="AE4028" s="4">
        <v>150</v>
      </c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>
        <v>8</v>
      </c>
      <c r="AQ4028" s="8">
        <v>220.48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1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441</v>
      </c>
      <c r="BK4028" s="8">
        <v>14172</v>
      </c>
      <c r="BL4028" s="2" t="s">
        <v>12223</v>
      </c>
      <c r="BM4028" s="7">
        <v>0.0181</v>
      </c>
      <c r="BN4028" s="7">
        <v>0.0156</v>
      </c>
      <c r="BO4028" s="4">
        <v>8</v>
      </c>
      <c r="BP4028" s="8">
        <v>220.48</v>
      </c>
      <c r="BQ4028" s="4"/>
      <c r="BR4028" s="8"/>
      <c r="BS4028" s="7"/>
      <c r="BT4028" s="7"/>
      <c r="BU4028" s="2" t="s">
        <v>109</v>
      </c>
      <c r="BV4028" s="2" t="s">
        <v>110</v>
      </c>
      <c r="BW4028" s="2" t="s">
        <v>12224</v>
      </c>
      <c r="BX4028" s="2" t="s">
        <v>4201</v>
      </c>
      <c r="BY4028" s="2" t="s">
        <v>113</v>
      </c>
      <c r="BZ4028" s="2" t="s">
        <v>245</v>
      </c>
    </row>
    <row r="4029">
      <c r="A4029" s="2" t="s">
        <v>12225</v>
      </c>
      <c r="B4029" s="2" t="s">
        <v>11863</v>
      </c>
      <c r="C4029" s="2" t="s">
        <v>88</v>
      </c>
      <c r="D4029" s="2" t="s">
        <v>2605</v>
      </c>
      <c r="E4029" s="2" t="s">
        <v>12210</v>
      </c>
      <c r="F4029" s="2" t="s">
        <v>12211</v>
      </c>
      <c r="G4029" s="2" t="s">
        <v>12212</v>
      </c>
      <c r="H4029" s="2" t="s">
        <v>12213</v>
      </c>
      <c r="I4029" s="2" t="s">
        <v>12214</v>
      </c>
      <c r="J4029" s="2" t="s">
        <v>12226</v>
      </c>
      <c r="K4029" s="2" t="s">
        <v>198</v>
      </c>
      <c r="L4029" s="3">
        <v>33.5</v>
      </c>
      <c r="M4029" s="3">
        <v>35.18</v>
      </c>
      <c r="N4029" s="3">
        <v>74.99</v>
      </c>
      <c r="O4029" s="2" t="s">
        <v>97</v>
      </c>
      <c r="P4029" s="2" t="s">
        <v>98</v>
      </c>
      <c r="Q4029" s="2" t="s">
        <v>99</v>
      </c>
      <c r="R4029" s="2" t="s">
        <v>100</v>
      </c>
      <c r="S4029" s="2" t="s">
        <v>12216</v>
      </c>
      <c r="T4029" s="2" t="s">
        <v>218</v>
      </c>
      <c r="U4029" s="2" t="s">
        <v>1847</v>
      </c>
      <c r="V4029" s="2" t="s">
        <v>146</v>
      </c>
      <c r="W4029" s="2" t="s">
        <v>183</v>
      </c>
      <c r="X4029" s="2" t="s">
        <v>100</v>
      </c>
      <c r="Y4029" s="2" t="s">
        <v>2338</v>
      </c>
      <c r="Z4029" s="4">
        <v>422</v>
      </c>
      <c r="AA4029" s="4">
        <f>=ROUNDDOWN(32.4615384615385,0)</f>
      </c>
      <c r="AB4029" s="5">
        <v>13</v>
      </c>
      <c r="AC4029" s="2" t="s">
        <v>100</v>
      </c>
      <c r="AD4029" s="4"/>
      <c r="AE4029" s="4"/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/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327</v>
      </c>
      <c r="BK4029" s="8">
        <v>11966.34</v>
      </c>
      <c r="BL4029" s="2" t="s">
        <v>12227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207</v>
      </c>
      <c r="BV4029" s="2" t="s">
        <v>97</v>
      </c>
      <c r="BW4029" s="2" t="s">
        <v>100</v>
      </c>
      <c r="BX4029" s="2" t="s">
        <v>100</v>
      </c>
      <c r="BY4029" s="2" t="s">
        <v>113</v>
      </c>
      <c r="BZ4029" s="2" t="s">
        <v>245</v>
      </c>
    </row>
    <row r="4030">
      <c r="A4030" s="2" t="s">
        <v>12228</v>
      </c>
      <c r="B4030" s="2" t="s">
        <v>11863</v>
      </c>
      <c r="C4030" s="2" t="s">
        <v>88</v>
      </c>
      <c r="D4030" s="2" t="s">
        <v>2605</v>
      </c>
      <c r="E4030" s="2" t="s">
        <v>12210</v>
      </c>
      <c r="F4030" s="2" t="s">
        <v>12211</v>
      </c>
      <c r="G4030" s="2" t="s">
        <v>12212</v>
      </c>
      <c r="H4030" s="2" t="s">
        <v>12213</v>
      </c>
      <c r="I4030" s="2" t="s">
        <v>12214</v>
      </c>
      <c r="J4030" s="2" t="s">
        <v>12229</v>
      </c>
      <c r="K4030" s="2" t="s">
        <v>198</v>
      </c>
      <c r="L4030" s="3">
        <v>38.4</v>
      </c>
      <c r="M4030" s="3">
        <v>40.32</v>
      </c>
      <c r="N4030" s="3">
        <v>79.99</v>
      </c>
      <c r="O4030" s="2" t="s">
        <v>97</v>
      </c>
      <c r="P4030" s="2" t="s">
        <v>119</v>
      </c>
      <c r="Q4030" s="2" t="s">
        <v>99</v>
      </c>
      <c r="R4030" s="2" t="s">
        <v>100</v>
      </c>
      <c r="S4030" s="2" t="s">
        <v>12216</v>
      </c>
      <c r="T4030" s="2" t="s">
        <v>218</v>
      </c>
      <c r="U4030" s="2" t="s">
        <v>1847</v>
      </c>
      <c r="V4030" s="2" t="s">
        <v>146</v>
      </c>
      <c r="W4030" s="2" t="s">
        <v>183</v>
      </c>
      <c r="X4030" s="2" t="s">
        <v>100</v>
      </c>
      <c r="Y4030" s="2" t="s">
        <v>12230</v>
      </c>
      <c r="Z4030" s="4">
        <v>299</v>
      </c>
      <c r="AA4030" s="4">
        <f>=ROUNDDOWN(37.375,0)</f>
      </c>
      <c r="AB4030" s="5">
        <v>8</v>
      </c>
      <c r="AC4030" s="2" t="s">
        <v>821</v>
      </c>
      <c r="AD4030" s="4">
        <v>108</v>
      </c>
      <c r="AE4030" s="4">
        <v>108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/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162</v>
      </c>
      <c r="BK4030" s="8">
        <v>6652.88</v>
      </c>
      <c r="BL4030" s="2" t="s">
        <v>12231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207</v>
      </c>
      <c r="BV4030" s="2" t="s">
        <v>97</v>
      </c>
      <c r="BW4030" s="2" t="s">
        <v>100</v>
      </c>
      <c r="BX4030" s="2" t="s">
        <v>100</v>
      </c>
      <c r="BY4030" s="2" t="s">
        <v>113</v>
      </c>
      <c r="BZ4030" s="2" t="s">
        <v>245</v>
      </c>
    </row>
    <row r="4031">
      <c r="A4031" s="2" t="s">
        <v>12232</v>
      </c>
      <c r="B4031" s="2" t="s">
        <v>11863</v>
      </c>
      <c r="C4031" s="2" t="s">
        <v>88</v>
      </c>
      <c r="D4031" s="2" t="s">
        <v>2605</v>
      </c>
      <c r="E4031" s="2" t="s">
        <v>12210</v>
      </c>
      <c r="F4031" s="2" t="s">
        <v>12211</v>
      </c>
      <c r="G4031" s="2" t="s">
        <v>12212</v>
      </c>
      <c r="H4031" s="2" t="s">
        <v>12213</v>
      </c>
      <c r="I4031" s="2" t="s">
        <v>12214</v>
      </c>
      <c r="J4031" s="2" t="s">
        <v>12215</v>
      </c>
      <c r="K4031" s="2" t="s">
        <v>118</v>
      </c>
      <c r="L4031" s="3">
        <v>23.75</v>
      </c>
      <c r="M4031" s="3">
        <v>24.94</v>
      </c>
      <c r="N4031" s="3">
        <v>53.99</v>
      </c>
      <c r="O4031" s="2" t="s">
        <v>97</v>
      </c>
      <c r="P4031" s="2" t="s">
        <v>119</v>
      </c>
      <c r="Q4031" s="2" t="s">
        <v>99</v>
      </c>
      <c r="R4031" s="2" t="s">
        <v>100</v>
      </c>
      <c r="S4031" s="2" t="s">
        <v>12233</v>
      </c>
      <c r="T4031" s="2" t="s">
        <v>218</v>
      </c>
      <c r="U4031" s="2" t="s">
        <v>1847</v>
      </c>
      <c r="V4031" s="2" t="s">
        <v>146</v>
      </c>
      <c r="W4031" s="2" t="s">
        <v>183</v>
      </c>
      <c r="X4031" s="2" t="s">
        <v>100</v>
      </c>
      <c r="Y4031" s="2" t="s">
        <v>7201</v>
      </c>
      <c r="Z4031" s="4">
        <v>175</v>
      </c>
      <c r="AA4031" s="4">
        <f>=ROUNDDOWN(35,0)</f>
      </c>
      <c r="AB4031" s="5">
        <v>5</v>
      </c>
      <c r="AC4031" s="2" t="s">
        <v>768</v>
      </c>
      <c r="AD4031" s="4">
        <v>66</v>
      </c>
      <c r="AE4031" s="4">
        <v>66</v>
      </c>
      <c r="AF4031" s="6">
        <v>65</v>
      </c>
      <c r="AG4031" s="6"/>
      <c r="AH4031" s="7">
        <v>0.7433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82</v>
      </c>
      <c r="BK4031" s="8">
        <v>2192.73</v>
      </c>
      <c r="BL4031" s="2" t="s">
        <v>12234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207</v>
      </c>
      <c r="BV4031" s="2" t="s">
        <v>97</v>
      </c>
      <c r="BW4031" s="2" t="s">
        <v>100</v>
      </c>
      <c r="BX4031" s="2" t="s">
        <v>100</v>
      </c>
      <c r="BY4031" s="2" t="s">
        <v>113</v>
      </c>
      <c r="BZ4031" s="2" t="s">
        <v>245</v>
      </c>
    </row>
    <row r="4032">
      <c r="A4032" s="2" t="s">
        <v>12235</v>
      </c>
      <c r="B4032" s="2" t="s">
        <v>11863</v>
      </c>
      <c r="C4032" s="2" t="s">
        <v>88</v>
      </c>
      <c r="D4032" s="2" t="s">
        <v>2605</v>
      </c>
      <c r="E4032" s="2" t="s">
        <v>12210</v>
      </c>
      <c r="F4032" s="2" t="s">
        <v>12211</v>
      </c>
      <c r="G4032" s="2" t="s">
        <v>12212</v>
      </c>
      <c r="H4032" s="2" t="s">
        <v>12213</v>
      </c>
      <c r="I4032" s="2" t="s">
        <v>12214</v>
      </c>
      <c r="J4032" s="2" t="s">
        <v>12236</v>
      </c>
      <c r="K4032" s="2" t="s">
        <v>118</v>
      </c>
      <c r="L4032" s="3">
        <v>27</v>
      </c>
      <c r="M4032" s="3">
        <v>28.35</v>
      </c>
      <c r="N4032" s="3">
        <v>59.99</v>
      </c>
      <c r="O4032" s="2" t="s">
        <v>97</v>
      </c>
      <c r="P4032" s="2" t="s">
        <v>119</v>
      </c>
      <c r="Q4032" s="2" t="s">
        <v>99</v>
      </c>
      <c r="R4032" s="2" t="s">
        <v>100</v>
      </c>
      <c r="S4032" s="2" t="s">
        <v>12233</v>
      </c>
      <c r="T4032" s="2" t="s">
        <v>218</v>
      </c>
      <c r="U4032" s="2" t="s">
        <v>1847</v>
      </c>
      <c r="V4032" s="2" t="s">
        <v>146</v>
      </c>
      <c r="W4032" s="2" t="s">
        <v>183</v>
      </c>
      <c r="X4032" s="2" t="s">
        <v>100</v>
      </c>
      <c r="Y4032" s="2" t="s">
        <v>12237</v>
      </c>
      <c r="Z4032" s="4">
        <v>365</v>
      </c>
      <c r="AA4032" s="4">
        <f>=ROUNDDOWN(36.5,0)</f>
      </c>
      <c r="AB4032" s="5">
        <v>10</v>
      </c>
      <c r="AC4032" s="2" t="s">
        <v>148</v>
      </c>
      <c r="AD4032" s="4">
        <v>30</v>
      </c>
      <c r="AE4032" s="4">
        <v>30</v>
      </c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/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213</v>
      </c>
      <c r="BK4032" s="8">
        <v>6433.84</v>
      </c>
      <c r="BL4032" s="2" t="s">
        <v>2393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207</v>
      </c>
      <c r="BV4032" s="2" t="s">
        <v>97</v>
      </c>
      <c r="BW4032" s="2" t="s">
        <v>100</v>
      </c>
      <c r="BX4032" s="2" t="s">
        <v>100</v>
      </c>
      <c r="BY4032" s="2" t="s">
        <v>113</v>
      </c>
      <c r="BZ4032" s="2" t="s">
        <v>245</v>
      </c>
    </row>
    <row r="4033">
      <c r="A4033" s="2" t="s">
        <v>12238</v>
      </c>
      <c r="B4033" s="2" t="s">
        <v>11863</v>
      </c>
      <c r="C4033" s="2" t="s">
        <v>88</v>
      </c>
      <c r="D4033" s="2" t="s">
        <v>2605</v>
      </c>
      <c r="E4033" s="2" t="s">
        <v>12210</v>
      </c>
      <c r="F4033" s="2" t="s">
        <v>12211</v>
      </c>
      <c r="G4033" s="2" t="s">
        <v>12212</v>
      </c>
      <c r="H4033" s="2" t="s">
        <v>12213</v>
      </c>
      <c r="I4033" s="2" t="s">
        <v>12214</v>
      </c>
      <c r="J4033" s="2" t="s">
        <v>12219</v>
      </c>
      <c r="K4033" s="2" t="s">
        <v>118</v>
      </c>
      <c r="L4033" s="3">
        <v>28.5</v>
      </c>
      <c r="M4033" s="3">
        <v>29.93</v>
      </c>
      <c r="N4033" s="3">
        <v>62.99</v>
      </c>
      <c r="O4033" s="2" t="s">
        <v>97</v>
      </c>
      <c r="P4033" s="2" t="s">
        <v>119</v>
      </c>
      <c r="Q4033" s="2" t="s">
        <v>99</v>
      </c>
      <c r="R4033" s="2" t="s">
        <v>100</v>
      </c>
      <c r="S4033" s="2" t="s">
        <v>12233</v>
      </c>
      <c r="T4033" s="2" t="s">
        <v>218</v>
      </c>
      <c r="U4033" s="2" t="s">
        <v>1847</v>
      </c>
      <c r="V4033" s="2" t="s">
        <v>146</v>
      </c>
      <c r="W4033" s="2" t="s">
        <v>183</v>
      </c>
      <c r="X4033" s="2" t="s">
        <v>100</v>
      </c>
      <c r="Y4033" s="2" t="s">
        <v>7201</v>
      </c>
      <c r="Z4033" s="4">
        <v>138</v>
      </c>
      <c r="AA4033" s="4">
        <f>=ROUNDDOWN(23,0)</f>
      </c>
      <c r="AB4033" s="5">
        <v>6</v>
      </c>
      <c r="AC4033" s="2" t="s">
        <v>768</v>
      </c>
      <c r="AD4033" s="4">
        <v>72</v>
      </c>
      <c r="AE4033" s="4">
        <v>102</v>
      </c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/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139</v>
      </c>
      <c r="BK4033" s="8">
        <v>4460.48</v>
      </c>
      <c r="BL4033" s="2" t="s">
        <v>12239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207</v>
      </c>
      <c r="BV4033" s="2" t="s">
        <v>97</v>
      </c>
      <c r="BW4033" s="2" t="s">
        <v>100</v>
      </c>
      <c r="BX4033" s="2" t="s">
        <v>100</v>
      </c>
      <c r="BY4033" s="2" t="s">
        <v>113</v>
      </c>
      <c r="BZ4033" s="2" t="s">
        <v>245</v>
      </c>
    </row>
    <row r="4034">
      <c r="A4034" s="2" t="s">
        <v>12240</v>
      </c>
      <c r="B4034" s="2" t="s">
        <v>11863</v>
      </c>
      <c r="C4034" s="2" t="s">
        <v>88</v>
      </c>
      <c r="D4034" s="2" t="s">
        <v>2605</v>
      </c>
      <c r="E4034" s="2" t="s">
        <v>12210</v>
      </c>
      <c r="F4034" s="2" t="s">
        <v>12211</v>
      </c>
      <c r="G4034" s="2" t="s">
        <v>12212</v>
      </c>
      <c r="H4034" s="2" t="s">
        <v>12213</v>
      </c>
      <c r="I4034" s="2" t="s">
        <v>12214</v>
      </c>
      <c r="J4034" s="2" t="s">
        <v>12222</v>
      </c>
      <c r="K4034" s="2" t="s">
        <v>118</v>
      </c>
      <c r="L4034" s="3">
        <v>29.25</v>
      </c>
      <c r="M4034" s="3">
        <v>30.71</v>
      </c>
      <c r="N4034" s="3">
        <v>64.99</v>
      </c>
      <c r="O4034" s="2" t="s">
        <v>97</v>
      </c>
      <c r="P4034" s="2" t="s">
        <v>119</v>
      </c>
      <c r="Q4034" s="2" t="s">
        <v>99</v>
      </c>
      <c r="R4034" s="2" t="s">
        <v>100</v>
      </c>
      <c r="S4034" s="2" t="s">
        <v>12233</v>
      </c>
      <c r="T4034" s="2" t="s">
        <v>218</v>
      </c>
      <c r="U4034" s="2" t="s">
        <v>1847</v>
      </c>
      <c r="V4034" s="2" t="s">
        <v>146</v>
      </c>
      <c r="W4034" s="2" t="s">
        <v>183</v>
      </c>
      <c r="X4034" s="2" t="s">
        <v>100</v>
      </c>
      <c r="Y4034" s="2" t="s">
        <v>12237</v>
      </c>
      <c r="Z4034" s="4">
        <v>170</v>
      </c>
      <c r="AA4034" s="4">
        <f>=ROUNDDOWN(24.2857142857143,0)</f>
      </c>
      <c r="AB4034" s="5">
        <v>7</v>
      </c>
      <c r="AC4034" s="2" t="s">
        <v>100</v>
      </c>
      <c r="AD4034" s="4"/>
      <c r="AE4034" s="4"/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/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188</v>
      </c>
      <c r="BK4034" s="8">
        <v>6147.55</v>
      </c>
      <c r="BL4034" s="2" t="s">
        <v>12241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207</v>
      </c>
      <c r="BV4034" s="2" t="s">
        <v>97</v>
      </c>
      <c r="BW4034" s="2" t="s">
        <v>100</v>
      </c>
      <c r="BX4034" s="2" t="s">
        <v>100</v>
      </c>
      <c r="BY4034" s="2" t="s">
        <v>113</v>
      </c>
      <c r="BZ4034" s="2" t="s">
        <v>245</v>
      </c>
    </row>
    <row r="4035">
      <c r="A4035" s="2" t="s">
        <v>12242</v>
      </c>
      <c r="B4035" s="2" t="s">
        <v>11863</v>
      </c>
      <c r="C4035" s="2" t="s">
        <v>88</v>
      </c>
      <c r="D4035" s="2" t="s">
        <v>2605</v>
      </c>
      <c r="E4035" s="2" t="s">
        <v>12210</v>
      </c>
      <c r="F4035" s="2" t="s">
        <v>12211</v>
      </c>
      <c r="G4035" s="2" t="s">
        <v>12212</v>
      </c>
      <c r="H4035" s="2" t="s">
        <v>12213</v>
      </c>
      <c r="I4035" s="2" t="s">
        <v>12214</v>
      </c>
      <c r="J4035" s="2" t="s">
        <v>12243</v>
      </c>
      <c r="K4035" s="2" t="s">
        <v>118</v>
      </c>
      <c r="L4035" s="3">
        <v>32.2</v>
      </c>
      <c r="M4035" s="3">
        <v>33.81</v>
      </c>
      <c r="N4035" s="3">
        <v>69.99</v>
      </c>
      <c r="O4035" s="2" t="s">
        <v>97</v>
      </c>
      <c r="P4035" s="2" t="s">
        <v>119</v>
      </c>
      <c r="Q4035" s="2" t="s">
        <v>99</v>
      </c>
      <c r="R4035" s="2" t="s">
        <v>100</v>
      </c>
      <c r="S4035" s="2" t="s">
        <v>12233</v>
      </c>
      <c r="T4035" s="2" t="s">
        <v>218</v>
      </c>
      <c r="U4035" s="2" t="s">
        <v>1847</v>
      </c>
      <c r="V4035" s="2" t="s">
        <v>146</v>
      </c>
      <c r="W4035" s="2" t="s">
        <v>183</v>
      </c>
      <c r="X4035" s="2" t="s">
        <v>100</v>
      </c>
      <c r="Y4035" s="2" t="s">
        <v>12237</v>
      </c>
      <c r="Z4035" s="4">
        <v>139</v>
      </c>
      <c r="AA4035" s="4">
        <f>=ROUNDDOWN(17.375,0)</f>
      </c>
      <c r="AB4035" s="5">
        <v>8</v>
      </c>
      <c r="AC4035" s="2" t="s">
        <v>768</v>
      </c>
      <c r="AD4035" s="4">
        <v>72</v>
      </c>
      <c r="AE4035" s="4">
        <v>174</v>
      </c>
      <c r="AF4035" s="6">
        <v>65</v>
      </c>
      <c r="AG4035" s="6"/>
      <c r="AH4035" s="7">
        <v>0.8503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/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176</v>
      </c>
      <c r="BK4035" s="8">
        <v>6240.34</v>
      </c>
      <c r="BL4035" s="2" t="s">
        <v>12244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207</v>
      </c>
      <c r="BV4035" s="2" t="s">
        <v>97</v>
      </c>
      <c r="BW4035" s="2" t="s">
        <v>100</v>
      </c>
      <c r="BX4035" s="2" t="s">
        <v>100</v>
      </c>
      <c r="BY4035" s="2" t="s">
        <v>113</v>
      </c>
      <c r="BZ4035" s="2" t="s">
        <v>245</v>
      </c>
    </row>
    <row r="4036">
      <c r="A4036" s="2" t="s">
        <v>12245</v>
      </c>
      <c r="B4036" s="2" t="s">
        <v>11863</v>
      </c>
      <c r="C4036" s="2" t="s">
        <v>88</v>
      </c>
      <c r="D4036" s="2" t="s">
        <v>2605</v>
      </c>
      <c r="E4036" s="2" t="s">
        <v>12210</v>
      </c>
      <c r="F4036" s="2" t="s">
        <v>12211</v>
      </c>
      <c r="G4036" s="2" t="s">
        <v>12212</v>
      </c>
      <c r="H4036" s="2" t="s">
        <v>12213</v>
      </c>
      <c r="I4036" s="2" t="s">
        <v>12214</v>
      </c>
      <c r="J4036" s="2" t="s">
        <v>12226</v>
      </c>
      <c r="K4036" s="2" t="s">
        <v>118</v>
      </c>
      <c r="L4036" s="3">
        <v>33.5</v>
      </c>
      <c r="M4036" s="3">
        <v>35.18</v>
      </c>
      <c r="N4036" s="3">
        <v>74.99</v>
      </c>
      <c r="O4036" s="2" t="s">
        <v>97</v>
      </c>
      <c r="P4036" s="2" t="s">
        <v>119</v>
      </c>
      <c r="Q4036" s="2" t="s">
        <v>99</v>
      </c>
      <c r="R4036" s="2" t="s">
        <v>100</v>
      </c>
      <c r="S4036" s="2" t="s">
        <v>12233</v>
      </c>
      <c r="T4036" s="2" t="s">
        <v>218</v>
      </c>
      <c r="U4036" s="2" t="s">
        <v>1847</v>
      </c>
      <c r="V4036" s="2" t="s">
        <v>146</v>
      </c>
      <c r="W4036" s="2" t="s">
        <v>183</v>
      </c>
      <c r="X4036" s="2" t="s">
        <v>100</v>
      </c>
      <c r="Y4036" s="2" t="s">
        <v>7201</v>
      </c>
      <c r="Z4036" s="4">
        <v>146</v>
      </c>
      <c r="AA4036" s="4">
        <f>=ROUNDDOWN(20.8571428571429,0)</f>
      </c>
      <c r="AB4036" s="5">
        <v>7</v>
      </c>
      <c r="AC4036" s="2" t="s">
        <v>148</v>
      </c>
      <c r="AD4036" s="4">
        <v>120</v>
      </c>
      <c r="AE4036" s="4">
        <v>120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/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115</v>
      </c>
      <c r="BK4036" s="8">
        <v>4548.12</v>
      </c>
      <c r="BL4036" s="2" t="s">
        <v>12246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207</v>
      </c>
      <c r="BV4036" s="2" t="s">
        <v>97</v>
      </c>
      <c r="BW4036" s="2" t="s">
        <v>100</v>
      </c>
      <c r="BX4036" s="2" t="s">
        <v>100</v>
      </c>
      <c r="BY4036" s="2" t="s">
        <v>113</v>
      </c>
      <c r="BZ4036" s="2" t="s">
        <v>245</v>
      </c>
    </row>
    <row r="4037">
      <c r="A4037" s="2" t="s">
        <v>12247</v>
      </c>
      <c r="B4037" s="2" t="s">
        <v>11863</v>
      </c>
      <c r="C4037" s="2" t="s">
        <v>88</v>
      </c>
      <c r="D4037" s="2" t="s">
        <v>2605</v>
      </c>
      <c r="E4037" s="2" t="s">
        <v>12210</v>
      </c>
      <c r="F4037" s="2" t="s">
        <v>12211</v>
      </c>
      <c r="G4037" s="2" t="s">
        <v>12212</v>
      </c>
      <c r="H4037" s="2" t="s">
        <v>12213</v>
      </c>
      <c r="I4037" s="2" t="s">
        <v>12214</v>
      </c>
      <c r="J4037" s="2" t="s">
        <v>12248</v>
      </c>
      <c r="K4037" s="2" t="s">
        <v>118</v>
      </c>
      <c r="L4037" s="3">
        <v>34.5</v>
      </c>
      <c r="M4037" s="3">
        <v>36.22</v>
      </c>
      <c r="N4037" s="3">
        <v>74.99</v>
      </c>
      <c r="O4037" s="2" t="s">
        <v>97</v>
      </c>
      <c r="P4037" s="2" t="s">
        <v>119</v>
      </c>
      <c r="Q4037" s="2" t="s">
        <v>99</v>
      </c>
      <c r="R4037" s="2" t="s">
        <v>100</v>
      </c>
      <c r="S4037" s="2" t="s">
        <v>12233</v>
      </c>
      <c r="T4037" s="2" t="s">
        <v>218</v>
      </c>
      <c r="U4037" s="2" t="s">
        <v>1847</v>
      </c>
      <c r="V4037" s="2" t="s">
        <v>146</v>
      </c>
      <c r="W4037" s="2" t="s">
        <v>183</v>
      </c>
      <c r="X4037" s="2" t="s">
        <v>100</v>
      </c>
      <c r="Y4037" s="2" t="s">
        <v>12237</v>
      </c>
      <c r="Z4037" s="4">
        <v>291</v>
      </c>
      <c r="AA4037" s="4">
        <f>=ROUNDDOWN(29.1,0)</f>
      </c>
      <c r="AB4037" s="5">
        <v>10</v>
      </c>
      <c r="AC4037" s="2" t="s">
        <v>768</v>
      </c>
      <c r="AD4037" s="4">
        <v>162</v>
      </c>
      <c r="AE4037" s="4">
        <v>162</v>
      </c>
      <c r="AF4037" s="6">
        <v>65</v>
      </c>
      <c r="AG4037" s="6"/>
      <c r="AH4037" s="7">
        <v>0.9144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/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219</v>
      </c>
      <c r="BK4037" s="8">
        <v>8438.16</v>
      </c>
      <c r="BL4037" s="2" t="s">
        <v>12249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207</v>
      </c>
      <c r="BV4037" s="2" t="s">
        <v>97</v>
      </c>
      <c r="BW4037" s="2" t="s">
        <v>100</v>
      </c>
      <c r="BX4037" s="2" t="s">
        <v>100</v>
      </c>
      <c r="BY4037" s="2" t="s">
        <v>113</v>
      </c>
      <c r="BZ4037" s="2" t="s">
        <v>245</v>
      </c>
    </row>
    <row r="4038">
      <c r="A4038" s="2" t="s">
        <v>12250</v>
      </c>
      <c r="B4038" s="2" t="s">
        <v>11863</v>
      </c>
      <c r="C4038" s="2" t="s">
        <v>88</v>
      </c>
      <c r="D4038" s="2" t="s">
        <v>2605</v>
      </c>
      <c r="E4038" s="2" t="s">
        <v>12210</v>
      </c>
      <c r="F4038" s="2" t="s">
        <v>12211</v>
      </c>
      <c r="G4038" s="2" t="s">
        <v>12212</v>
      </c>
      <c r="H4038" s="2" t="s">
        <v>12213</v>
      </c>
      <c r="I4038" s="2" t="s">
        <v>12214</v>
      </c>
      <c r="J4038" s="2" t="s">
        <v>12229</v>
      </c>
      <c r="K4038" s="2" t="s">
        <v>118</v>
      </c>
      <c r="L4038" s="3">
        <v>38.4</v>
      </c>
      <c r="M4038" s="3">
        <v>40.32</v>
      </c>
      <c r="N4038" s="3">
        <v>79.99</v>
      </c>
      <c r="O4038" s="2" t="s">
        <v>97</v>
      </c>
      <c r="P4038" s="2" t="s">
        <v>119</v>
      </c>
      <c r="Q4038" s="2" t="s">
        <v>99</v>
      </c>
      <c r="R4038" s="2" t="s">
        <v>100</v>
      </c>
      <c r="S4038" s="2" t="s">
        <v>12233</v>
      </c>
      <c r="T4038" s="2" t="s">
        <v>218</v>
      </c>
      <c r="U4038" s="2" t="s">
        <v>1847</v>
      </c>
      <c r="V4038" s="2" t="s">
        <v>146</v>
      </c>
      <c r="W4038" s="2" t="s">
        <v>183</v>
      </c>
      <c r="X4038" s="2" t="s">
        <v>100</v>
      </c>
      <c r="Y4038" s="2" t="s">
        <v>12237</v>
      </c>
      <c r="Z4038" s="4">
        <v>264</v>
      </c>
      <c r="AA4038" s="4">
        <f>=ROUNDDOWN(44,0)</f>
      </c>
      <c r="AB4038" s="5">
        <v>6</v>
      </c>
      <c r="AC4038" s="2" t="s">
        <v>768</v>
      </c>
      <c r="AD4038" s="4">
        <v>84</v>
      </c>
      <c r="AE4038" s="4">
        <v>84</v>
      </c>
      <c r="AF4038" s="6">
        <v>65</v>
      </c>
      <c r="AG4038" s="6"/>
      <c r="AH4038" s="7">
        <v>0.7326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/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111</v>
      </c>
      <c r="BK4038" s="8">
        <v>4861.83</v>
      </c>
      <c r="BL4038" s="2" t="s">
        <v>12251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207</v>
      </c>
      <c r="BV4038" s="2" t="s">
        <v>97</v>
      </c>
      <c r="BW4038" s="2" t="s">
        <v>100</v>
      </c>
      <c r="BX4038" s="2" t="s">
        <v>100</v>
      </c>
      <c r="BY4038" s="2" t="s">
        <v>113</v>
      </c>
      <c r="BZ4038" s="2" t="s">
        <v>245</v>
      </c>
    </row>
    <row r="4039">
      <c r="A4039" s="2" t="s">
        <v>12252</v>
      </c>
      <c r="B4039" s="2" t="s">
        <v>11863</v>
      </c>
      <c r="C4039" s="2" t="s">
        <v>88</v>
      </c>
      <c r="D4039" s="2" t="s">
        <v>2605</v>
      </c>
      <c r="E4039" s="2" t="s">
        <v>12210</v>
      </c>
      <c r="F4039" s="2" t="s">
        <v>12211</v>
      </c>
      <c r="G4039" s="2" t="s">
        <v>12212</v>
      </c>
      <c r="H4039" s="2" t="s">
        <v>12213</v>
      </c>
      <c r="I4039" s="2" t="s">
        <v>12214</v>
      </c>
      <c r="J4039" s="2" t="s">
        <v>12215</v>
      </c>
      <c r="K4039" s="2" t="s">
        <v>1614</v>
      </c>
      <c r="L4039" s="3">
        <v>23.75</v>
      </c>
      <c r="M4039" s="3">
        <v>24.94</v>
      </c>
      <c r="N4039" s="3">
        <v>53.99</v>
      </c>
      <c r="O4039" s="2" t="s">
        <v>97</v>
      </c>
      <c r="P4039" s="2" t="s">
        <v>372</v>
      </c>
      <c r="Q4039" s="2" t="s">
        <v>99</v>
      </c>
      <c r="R4039" s="2" t="s">
        <v>100</v>
      </c>
      <c r="S4039" s="2" t="s">
        <v>12253</v>
      </c>
      <c r="T4039" s="2" t="s">
        <v>218</v>
      </c>
      <c r="U4039" s="2" t="s">
        <v>1847</v>
      </c>
      <c r="V4039" s="2" t="s">
        <v>146</v>
      </c>
      <c r="W4039" s="2" t="s">
        <v>183</v>
      </c>
      <c r="X4039" s="2" t="s">
        <v>100</v>
      </c>
      <c r="Y4039" s="2" t="s">
        <v>2338</v>
      </c>
      <c r="Z4039" s="4">
        <v>477</v>
      </c>
      <c r="AA4039" s="4">
        <f>=ROUNDDOWN(14.90625,0)</f>
      </c>
      <c r="AB4039" s="5">
        <v>32</v>
      </c>
      <c r="AC4039" s="2" t="s">
        <v>1102</v>
      </c>
      <c r="AD4039" s="4">
        <v>108</v>
      </c>
      <c r="AE4039" s="4">
        <v>618</v>
      </c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100</v>
      </c>
      <c r="AW4039" s="8" t="s">
        <v>100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/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 t="s">
        <v>100</v>
      </c>
      <c r="BJ4039" s="4">
        <v>715</v>
      </c>
      <c r="BK4039" s="8">
        <v>18672.41</v>
      </c>
      <c r="BL4039" s="2" t="s">
        <v>12153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207</v>
      </c>
      <c r="BV4039" s="2" t="s">
        <v>97</v>
      </c>
      <c r="BW4039" s="2" t="s">
        <v>100</v>
      </c>
      <c r="BX4039" s="2" t="s">
        <v>100</v>
      </c>
      <c r="BY4039" s="2" t="s">
        <v>113</v>
      </c>
      <c r="BZ4039" s="2" t="s">
        <v>245</v>
      </c>
    </row>
    <row r="4040">
      <c r="A4040" s="2" t="s">
        <v>12254</v>
      </c>
      <c r="B4040" s="2" t="s">
        <v>11863</v>
      </c>
      <c r="C4040" s="2" t="s">
        <v>88</v>
      </c>
      <c r="D4040" s="2" t="s">
        <v>2605</v>
      </c>
      <c r="E4040" s="2" t="s">
        <v>12210</v>
      </c>
      <c r="F4040" s="2" t="s">
        <v>12211</v>
      </c>
      <c r="G4040" s="2" t="s">
        <v>12212</v>
      </c>
      <c r="H4040" s="2" t="s">
        <v>12213</v>
      </c>
      <c r="I4040" s="2" t="s">
        <v>12214</v>
      </c>
      <c r="J4040" s="2" t="s">
        <v>12219</v>
      </c>
      <c r="K4040" s="2" t="s">
        <v>1614</v>
      </c>
      <c r="L4040" s="3">
        <v>28.5</v>
      </c>
      <c r="M4040" s="3">
        <v>29.93</v>
      </c>
      <c r="N4040" s="3">
        <v>62.99</v>
      </c>
      <c r="O4040" s="2" t="s">
        <v>97</v>
      </c>
      <c r="P4040" s="2" t="s">
        <v>372</v>
      </c>
      <c r="Q4040" s="2" t="s">
        <v>99</v>
      </c>
      <c r="R4040" s="2" t="s">
        <v>100</v>
      </c>
      <c r="S4040" s="2" t="s">
        <v>12253</v>
      </c>
      <c r="T4040" s="2" t="s">
        <v>218</v>
      </c>
      <c r="U4040" s="2" t="s">
        <v>1847</v>
      </c>
      <c r="V4040" s="2" t="s">
        <v>146</v>
      </c>
      <c r="W4040" s="2" t="s">
        <v>183</v>
      </c>
      <c r="X4040" s="2" t="s">
        <v>100</v>
      </c>
      <c r="Y4040" s="2" t="s">
        <v>2338</v>
      </c>
      <c r="Z4040" s="4">
        <v>772</v>
      </c>
      <c r="AA4040" s="4">
        <f>=ROUNDDOWN(20.8648648648649,0)</f>
      </c>
      <c r="AB4040" s="5">
        <v>37</v>
      </c>
      <c r="AC4040" s="2" t="s">
        <v>1102</v>
      </c>
      <c r="AD4040" s="4">
        <v>300</v>
      </c>
      <c r="AE4040" s="4">
        <v>600</v>
      </c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/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1019</v>
      </c>
      <c r="BK4040" s="8">
        <v>31876.96</v>
      </c>
      <c r="BL4040" s="2" t="s">
        <v>12227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207</v>
      </c>
      <c r="BV4040" s="2" t="s">
        <v>97</v>
      </c>
      <c r="BW4040" s="2" t="s">
        <v>100</v>
      </c>
      <c r="BX4040" s="2" t="s">
        <v>100</v>
      </c>
      <c r="BY4040" s="2" t="s">
        <v>113</v>
      </c>
      <c r="BZ4040" s="2" t="s">
        <v>245</v>
      </c>
    </row>
    <row r="4041">
      <c r="A4041" s="2" t="s">
        <v>12255</v>
      </c>
      <c r="B4041" s="2" t="s">
        <v>11863</v>
      </c>
      <c r="C4041" s="2" t="s">
        <v>88</v>
      </c>
      <c r="D4041" s="2" t="s">
        <v>2605</v>
      </c>
      <c r="E4041" s="2" t="s">
        <v>12210</v>
      </c>
      <c r="F4041" s="2" t="s">
        <v>12211</v>
      </c>
      <c r="G4041" s="2" t="s">
        <v>12212</v>
      </c>
      <c r="H4041" s="2" t="s">
        <v>12213</v>
      </c>
      <c r="I4041" s="2" t="s">
        <v>12214</v>
      </c>
      <c r="J4041" s="2" t="s">
        <v>12226</v>
      </c>
      <c r="K4041" s="2" t="s">
        <v>1614</v>
      </c>
      <c r="L4041" s="3">
        <v>33.5</v>
      </c>
      <c r="M4041" s="3">
        <v>35.18</v>
      </c>
      <c r="N4041" s="3">
        <v>74.99</v>
      </c>
      <c r="O4041" s="2" t="s">
        <v>97</v>
      </c>
      <c r="P4041" s="2" t="s">
        <v>307</v>
      </c>
      <c r="Q4041" s="2" t="s">
        <v>99</v>
      </c>
      <c r="R4041" s="2" t="s">
        <v>100</v>
      </c>
      <c r="S4041" s="2" t="s">
        <v>12253</v>
      </c>
      <c r="T4041" s="2" t="s">
        <v>218</v>
      </c>
      <c r="U4041" s="2" t="s">
        <v>1847</v>
      </c>
      <c r="V4041" s="2" t="s">
        <v>146</v>
      </c>
      <c r="W4041" s="2" t="s">
        <v>183</v>
      </c>
      <c r="X4041" s="2" t="s">
        <v>100</v>
      </c>
      <c r="Y4041" s="2" t="s">
        <v>2338</v>
      </c>
      <c r="Z4041" s="4">
        <v>693</v>
      </c>
      <c r="AA4041" s="4">
        <f>=ROUNDDOWN(15.4,0)</f>
      </c>
      <c r="AB4041" s="5">
        <v>45</v>
      </c>
      <c r="AC4041" s="2" t="s">
        <v>1102</v>
      </c>
      <c r="AD4041" s="4">
        <v>210</v>
      </c>
      <c r="AE4041" s="4">
        <v>1110</v>
      </c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/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1239</v>
      </c>
      <c r="BK4041" s="8">
        <v>45719.94</v>
      </c>
      <c r="BL4041" s="2" t="s">
        <v>12256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207</v>
      </c>
      <c r="BV4041" s="2" t="s">
        <v>97</v>
      </c>
      <c r="BW4041" s="2" t="s">
        <v>100</v>
      </c>
      <c r="BX4041" s="2" t="s">
        <v>100</v>
      </c>
      <c r="BY4041" s="2" t="s">
        <v>113</v>
      </c>
      <c r="BZ4041" s="2" t="s">
        <v>245</v>
      </c>
    </row>
    <row r="4042">
      <c r="A4042" s="2" t="s">
        <v>12257</v>
      </c>
      <c r="B4042" s="2" t="s">
        <v>11863</v>
      </c>
      <c r="C4042" s="2" t="s">
        <v>88</v>
      </c>
      <c r="D4042" s="2" t="s">
        <v>2605</v>
      </c>
      <c r="E4042" s="2" t="s">
        <v>12210</v>
      </c>
      <c r="F4042" s="2" t="s">
        <v>12211</v>
      </c>
      <c r="G4042" s="2" t="s">
        <v>12212</v>
      </c>
      <c r="H4042" s="2" t="s">
        <v>12213</v>
      </c>
      <c r="I4042" s="2" t="s">
        <v>12214</v>
      </c>
      <c r="J4042" s="2" t="s">
        <v>12229</v>
      </c>
      <c r="K4042" s="2" t="s">
        <v>1614</v>
      </c>
      <c r="L4042" s="3">
        <v>38.4</v>
      </c>
      <c r="M4042" s="3">
        <v>40.32</v>
      </c>
      <c r="N4042" s="3">
        <v>79.99</v>
      </c>
      <c r="O4042" s="2" t="s">
        <v>97</v>
      </c>
      <c r="P4042" s="2" t="s">
        <v>372</v>
      </c>
      <c r="Q4042" s="2" t="s">
        <v>99</v>
      </c>
      <c r="R4042" s="2" t="s">
        <v>100</v>
      </c>
      <c r="S4042" s="2" t="s">
        <v>12253</v>
      </c>
      <c r="T4042" s="2" t="s">
        <v>218</v>
      </c>
      <c r="U4042" s="2" t="s">
        <v>1847</v>
      </c>
      <c r="V4042" s="2" t="s">
        <v>146</v>
      </c>
      <c r="W4042" s="2" t="s">
        <v>183</v>
      </c>
      <c r="X4042" s="2" t="s">
        <v>100</v>
      </c>
      <c r="Y4042" s="2" t="s">
        <v>12230</v>
      </c>
      <c r="Z4042" s="4">
        <v>814</v>
      </c>
      <c r="AA4042" s="4">
        <f>=ROUNDDOWN(27.1333333333333,0)</f>
      </c>
      <c r="AB4042" s="5">
        <v>30</v>
      </c>
      <c r="AC4042" s="2" t="s">
        <v>1102</v>
      </c>
      <c r="AD4042" s="4">
        <v>330</v>
      </c>
      <c r="AE4042" s="4">
        <v>390</v>
      </c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/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650</v>
      </c>
      <c r="BK4042" s="8">
        <v>27235.01</v>
      </c>
      <c r="BL4042" s="2" t="s">
        <v>12258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207</v>
      </c>
      <c r="BV4042" s="2" t="s">
        <v>97</v>
      </c>
      <c r="BW4042" s="2" t="s">
        <v>100</v>
      </c>
      <c r="BX4042" s="2" t="s">
        <v>100</v>
      </c>
      <c r="BY4042" s="2" t="s">
        <v>113</v>
      </c>
      <c r="BZ4042" s="2" t="s">
        <v>245</v>
      </c>
    </row>
    <row r="4043">
      <c r="A4043" s="2" t="s">
        <v>12259</v>
      </c>
      <c r="B4043" s="2" t="s">
        <v>11863</v>
      </c>
      <c r="C4043" s="2" t="s">
        <v>88</v>
      </c>
      <c r="D4043" s="2" t="s">
        <v>2605</v>
      </c>
      <c r="E4043" s="2" t="s">
        <v>12210</v>
      </c>
      <c r="F4043" s="2" t="s">
        <v>12211</v>
      </c>
      <c r="G4043" s="2" t="s">
        <v>12212</v>
      </c>
      <c r="H4043" s="2" t="s">
        <v>12213</v>
      </c>
      <c r="I4043" s="2" t="s">
        <v>12214</v>
      </c>
      <c r="J4043" s="2" t="s">
        <v>12215</v>
      </c>
      <c r="K4043" s="2" t="s">
        <v>629</v>
      </c>
      <c r="L4043" s="3">
        <v>23.75</v>
      </c>
      <c r="M4043" s="3">
        <v>24.94</v>
      </c>
      <c r="N4043" s="3">
        <v>53.99</v>
      </c>
      <c r="O4043" s="2" t="s">
        <v>97</v>
      </c>
      <c r="P4043" s="2" t="s">
        <v>119</v>
      </c>
      <c r="Q4043" s="2" t="s">
        <v>99</v>
      </c>
      <c r="R4043" s="2" t="s">
        <v>100</v>
      </c>
      <c r="S4043" s="2" t="s">
        <v>12260</v>
      </c>
      <c r="T4043" s="2" t="s">
        <v>218</v>
      </c>
      <c r="U4043" s="2" t="s">
        <v>1847</v>
      </c>
      <c r="V4043" s="2" t="s">
        <v>146</v>
      </c>
      <c r="W4043" s="2" t="s">
        <v>183</v>
      </c>
      <c r="X4043" s="2" t="s">
        <v>100</v>
      </c>
      <c r="Y4043" s="2" t="s">
        <v>7201</v>
      </c>
      <c r="Z4043" s="4">
        <v>361</v>
      </c>
      <c r="AA4043" s="4">
        <f>=ROUNDDOWN(40.1111111111111,0)</f>
      </c>
      <c r="AB4043" s="5">
        <v>9</v>
      </c>
      <c r="AC4043" s="2" t="s">
        <v>356</v>
      </c>
      <c r="AD4043" s="4">
        <v>816</v>
      </c>
      <c r="AE4043" s="4">
        <v>816</v>
      </c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100</v>
      </c>
      <c r="AW4043" s="8" t="s">
        <v>100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 t="s">
        <v>100</v>
      </c>
      <c r="BJ4043" s="4">
        <v>190</v>
      </c>
      <c r="BK4043" s="8">
        <v>5084.3</v>
      </c>
      <c r="BL4043" s="2" t="s">
        <v>12261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207</v>
      </c>
      <c r="BV4043" s="2" t="s">
        <v>97</v>
      </c>
      <c r="BW4043" s="2" t="s">
        <v>100</v>
      </c>
      <c r="BX4043" s="2" t="s">
        <v>100</v>
      </c>
      <c r="BY4043" s="2" t="s">
        <v>113</v>
      </c>
      <c r="BZ4043" s="2" t="s">
        <v>245</v>
      </c>
    </row>
    <row r="4044">
      <c r="A4044" s="2" t="s">
        <v>12262</v>
      </c>
      <c r="B4044" s="2" t="s">
        <v>11863</v>
      </c>
      <c r="C4044" s="2" t="s">
        <v>88</v>
      </c>
      <c r="D4044" s="2" t="s">
        <v>2605</v>
      </c>
      <c r="E4044" s="2" t="s">
        <v>12210</v>
      </c>
      <c r="F4044" s="2" t="s">
        <v>12211</v>
      </c>
      <c r="G4044" s="2" t="s">
        <v>12212</v>
      </c>
      <c r="H4044" s="2" t="s">
        <v>12213</v>
      </c>
      <c r="I4044" s="2" t="s">
        <v>12214</v>
      </c>
      <c r="J4044" s="2" t="s">
        <v>12236</v>
      </c>
      <c r="K4044" s="2" t="s">
        <v>629</v>
      </c>
      <c r="L4044" s="3">
        <v>27</v>
      </c>
      <c r="M4044" s="3">
        <v>28.35</v>
      </c>
      <c r="N4044" s="3">
        <v>59.99</v>
      </c>
      <c r="O4044" s="2" t="s">
        <v>97</v>
      </c>
      <c r="P4044" s="2" t="s">
        <v>119</v>
      </c>
      <c r="Q4044" s="2" t="s">
        <v>99</v>
      </c>
      <c r="R4044" s="2" t="s">
        <v>100</v>
      </c>
      <c r="S4044" s="2" t="s">
        <v>12260</v>
      </c>
      <c r="T4044" s="2" t="s">
        <v>218</v>
      </c>
      <c r="U4044" s="2" t="s">
        <v>1847</v>
      </c>
      <c r="V4044" s="2" t="s">
        <v>146</v>
      </c>
      <c r="W4044" s="2" t="s">
        <v>183</v>
      </c>
      <c r="X4044" s="2" t="s">
        <v>100</v>
      </c>
      <c r="Y4044" s="2" t="s">
        <v>12237</v>
      </c>
      <c r="Z4044" s="4">
        <v>348</v>
      </c>
      <c r="AA4044" s="4">
        <f>=ROUNDDOWN(12.8888888888889,0)</f>
      </c>
      <c r="AB4044" s="5">
        <v>27</v>
      </c>
      <c r="AC4044" s="2" t="s">
        <v>356</v>
      </c>
      <c r="AD4044" s="4">
        <v>960</v>
      </c>
      <c r="AE4044" s="4">
        <v>1512</v>
      </c>
      <c r="AF4044" s="6">
        <v>65</v>
      </c>
      <c r="AG4044" s="6"/>
      <c r="AH4044" s="7">
        <v>0.5936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/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518</v>
      </c>
      <c r="BK4044" s="8">
        <v>15670.18</v>
      </c>
      <c r="BL4044" s="2" t="s">
        <v>12263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207</v>
      </c>
      <c r="BV4044" s="2" t="s">
        <v>97</v>
      </c>
      <c r="BW4044" s="2" t="s">
        <v>100</v>
      </c>
      <c r="BX4044" s="2" t="s">
        <v>100</v>
      </c>
      <c r="BY4044" s="2" t="s">
        <v>113</v>
      </c>
      <c r="BZ4044" s="2" t="s">
        <v>245</v>
      </c>
    </row>
    <row r="4045">
      <c r="A4045" s="2" t="s">
        <v>12264</v>
      </c>
      <c r="B4045" s="2" t="s">
        <v>11863</v>
      </c>
      <c r="C4045" s="2" t="s">
        <v>88</v>
      </c>
      <c r="D4045" s="2" t="s">
        <v>2605</v>
      </c>
      <c r="E4045" s="2" t="s">
        <v>12210</v>
      </c>
      <c r="F4045" s="2" t="s">
        <v>12211</v>
      </c>
      <c r="G4045" s="2" t="s">
        <v>12212</v>
      </c>
      <c r="H4045" s="2" t="s">
        <v>12213</v>
      </c>
      <c r="I4045" s="2" t="s">
        <v>12214</v>
      </c>
      <c r="J4045" s="2" t="s">
        <v>12219</v>
      </c>
      <c r="K4045" s="2" t="s">
        <v>629</v>
      </c>
      <c r="L4045" s="3">
        <v>28.5</v>
      </c>
      <c r="M4045" s="3">
        <v>29.93</v>
      </c>
      <c r="N4045" s="3">
        <v>62.99</v>
      </c>
      <c r="O4045" s="2" t="s">
        <v>97</v>
      </c>
      <c r="P4045" s="2" t="s">
        <v>119</v>
      </c>
      <c r="Q4045" s="2" t="s">
        <v>99</v>
      </c>
      <c r="R4045" s="2" t="s">
        <v>100</v>
      </c>
      <c r="S4045" s="2" t="s">
        <v>12260</v>
      </c>
      <c r="T4045" s="2" t="s">
        <v>218</v>
      </c>
      <c r="U4045" s="2" t="s">
        <v>1847</v>
      </c>
      <c r="V4045" s="2" t="s">
        <v>146</v>
      </c>
      <c r="W4045" s="2" t="s">
        <v>183</v>
      </c>
      <c r="X4045" s="2" t="s">
        <v>100</v>
      </c>
      <c r="Y4045" s="2" t="s">
        <v>7201</v>
      </c>
      <c r="Z4045" s="4">
        <v>333</v>
      </c>
      <c r="AA4045" s="4">
        <f>=ROUNDDOWN(27.75,0)</f>
      </c>
      <c r="AB4045" s="5">
        <v>12</v>
      </c>
      <c r="AC4045" s="2" t="s">
        <v>356</v>
      </c>
      <c r="AD4045" s="4">
        <v>432</v>
      </c>
      <c r="AE4045" s="4">
        <v>540</v>
      </c>
      <c r="AF4045" s="6">
        <v>65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/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211</v>
      </c>
      <c r="BK4045" s="8">
        <v>6758.95</v>
      </c>
      <c r="BL4045" s="2" t="s">
        <v>12265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207</v>
      </c>
      <c r="BV4045" s="2" t="s">
        <v>97</v>
      </c>
      <c r="BW4045" s="2" t="s">
        <v>100</v>
      </c>
      <c r="BX4045" s="2" t="s">
        <v>100</v>
      </c>
      <c r="BY4045" s="2" t="s">
        <v>113</v>
      </c>
      <c r="BZ4045" s="2" t="s">
        <v>245</v>
      </c>
    </row>
    <row r="4046">
      <c r="A4046" s="2" t="s">
        <v>12266</v>
      </c>
      <c r="B4046" s="2" t="s">
        <v>11863</v>
      </c>
      <c r="C4046" s="2" t="s">
        <v>88</v>
      </c>
      <c r="D4046" s="2" t="s">
        <v>2605</v>
      </c>
      <c r="E4046" s="2" t="s">
        <v>12210</v>
      </c>
      <c r="F4046" s="2" t="s">
        <v>12211</v>
      </c>
      <c r="G4046" s="2" t="s">
        <v>12212</v>
      </c>
      <c r="H4046" s="2" t="s">
        <v>12213</v>
      </c>
      <c r="I4046" s="2" t="s">
        <v>12214</v>
      </c>
      <c r="J4046" s="2" t="s">
        <v>12222</v>
      </c>
      <c r="K4046" s="2" t="s">
        <v>629</v>
      </c>
      <c r="L4046" s="3">
        <v>29.25</v>
      </c>
      <c r="M4046" s="3">
        <v>30.71</v>
      </c>
      <c r="N4046" s="3">
        <v>64.99</v>
      </c>
      <c r="O4046" s="2" t="s">
        <v>97</v>
      </c>
      <c r="P4046" s="2" t="s">
        <v>119</v>
      </c>
      <c r="Q4046" s="2" t="s">
        <v>99</v>
      </c>
      <c r="R4046" s="2" t="s">
        <v>100</v>
      </c>
      <c r="S4046" s="2" t="s">
        <v>12260</v>
      </c>
      <c r="T4046" s="2" t="s">
        <v>218</v>
      </c>
      <c r="U4046" s="2" t="s">
        <v>1847</v>
      </c>
      <c r="V4046" s="2" t="s">
        <v>146</v>
      </c>
      <c r="W4046" s="2" t="s">
        <v>183</v>
      </c>
      <c r="X4046" s="2" t="s">
        <v>100</v>
      </c>
      <c r="Y4046" s="2" t="s">
        <v>12237</v>
      </c>
      <c r="Z4046" s="4">
        <v>264</v>
      </c>
      <c r="AA4046" s="4">
        <f>=ROUNDDOWN(11.4782608695652,0)</f>
      </c>
      <c r="AB4046" s="5">
        <v>23</v>
      </c>
      <c r="AC4046" s="2" t="s">
        <v>356</v>
      </c>
      <c r="AD4046" s="4">
        <v>432</v>
      </c>
      <c r="AE4046" s="4">
        <v>912</v>
      </c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/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431</v>
      </c>
      <c r="BK4046" s="8">
        <v>13917.05</v>
      </c>
      <c r="BL4046" s="2" t="s">
        <v>12267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207</v>
      </c>
      <c r="BV4046" s="2" t="s">
        <v>97</v>
      </c>
      <c r="BW4046" s="2" t="s">
        <v>100</v>
      </c>
      <c r="BX4046" s="2" t="s">
        <v>100</v>
      </c>
      <c r="BY4046" s="2" t="s">
        <v>113</v>
      </c>
      <c r="BZ4046" s="2" t="s">
        <v>245</v>
      </c>
    </row>
    <row r="4047">
      <c r="A4047" s="2" t="s">
        <v>12268</v>
      </c>
      <c r="B4047" s="2" t="s">
        <v>11863</v>
      </c>
      <c r="C4047" s="2" t="s">
        <v>88</v>
      </c>
      <c r="D4047" s="2" t="s">
        <v>2605</v>
      </c>
      <c r="E4047" s="2" t="s">
        <v>12210</v>
      </c>
      <c r="F4047" s="2" t="s">
        <v>12211</v>
      </c>
      <c r="G4047" s="2" t="s">
        <v>12212</v>
      </c>
      <c r="H4047" s="2" t="s">
        <v>12213</v>
      </c>
      <c r="I4047" s="2" t="s">
        <v>12214</v>
      </c>
      <c r="J4047" s="2" t="s">
        <v>12243</v>
      </c>
      <c r="K4047" s="2" t="s">
        <v>629</v>
      </c>
      <c r="L4047" s="3">
        <v>32.2</v>
      </c>
      <c r="M4047" s="3">
        <v>33.81</v>
      </c>
      <c r="N4047" s="3">
        <v>69.99</v>
      </c>
      <c r="O4047" s="2" t="s">
        <v>97</v>
      </c>
      <c r="P4047" s="2" t="s">
        <v>119</v>
      </c>
      <c r="Q4047" s="2" t="s">
        <v>99</v>
      </c>
      <c r="R4047" s="2" t="s">
        <v>100</v>
      </c>
      <c r="S4047" s="2" t="s">
        <v>12260</v>
      </c>
      <c r="T4047" s="2" t="s">
        <v>218</v>
      </c>
      <c r="U4047" s="2" t="s">
        <v>1847</v>
      </c>
      <c r="V4047" s="2" t="s">
        <v>146</v>
      </c>
      <c r="W4047" s="2" t="s">
        <v>183</v>
      </c>
      <c r="X4047" s="2" t="s">
        <v>100</v>
      </c>
      <c r="Y4047" s="2" t="s">
        <v>12237</v>
      </c>
      <c r="Z4047" s="4">
        <v>500</v>
      </c>
      <c r="AA4047" s="4">
        <f>=ROUNDDOWN(20.8333333333333,0)</f>
      </c>
      <c r="AB4047" s="5">
        <v>24</v>
      </c>
      <c r="AC4047" s="2" t="s">
        <v>356</v>
      </c>
      <c r="AD4047" s="4">
        <v>1440</v>
      </c>
      <c r="AE4047" s="4">
        <v>1782</v>
      </c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 t="s">
        <v>100</v>
      </c>
      <c r="AW4047" s="8" t="s">
        <v>100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/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 t="s">
        <v>100</v>
      </c>
      <c r="BJ4047" s="4">
        <v>516</v>
      </c>
      <c r="BK4047" s="8">
        <v>17966.52</v>
      </c>
      <c r="BL4047" s="2" t="s">
        <v>12269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207</v>
      </c>
      <c r="BV4047" s="2" t="s">
        <v>97</v>
      </c>
      <c r="BW4047" s="2" t="s">
        <v>100</v>
      </c>
      <c r="BX4047" s="2" t="s">
        <v>100</v>
      </c>
      <c r="BY4047" s="2" t="s">
        <v>113</v>
      </c>
      <c r="BZ4047" s="2" t="s">
        <v>245</v>
      </c>
    </row>
    <row r="4048">
      <c r="A4048" s="2" t="s">
        <v>12270</v>
      </c>
      <c r="B4048" s="2" t="s">
        <v>11863</v>
      </c>
      <c r="C4048" s="2" t="s">
        <v>88</v>
      </c>
      <c r="D4048" s="2" t="s">
        <v>2605</v>
      </c>
      <c r="E4048" s="2" t="s">
        <v>12210</v>
      </c>
      <c r="F4048" s="2" t="s">
        <v>12211</v>
      </c>
      <c r="G4048" s="2" t="s">
        <v>12212</v>
      </c>
      <c r="H4048" s="2" t="s">
        <v>12213</v>
      </c>
      <c r="I4048" s="2" t="s">
        <v>12214</v>
      </c>
      <c r="J4048" s="2" t="s">
        <v>12226</v>
      </c>
      <c r="K4048" s="2" t="s">
        <v>629</v>
      </c>
      <c r="L4048" s="3">
        <v>33.5</v>
      </c>
      <c r="M4048" s="3">
        <v>35.18</v>
      </c>
      <c r="N4048" s="3">
        <v>74.99</v>
      </c>
      <c r="O4048" s="2" t="s">
        <v>97</v>
      </c>
      <c r="P4048" s="2" t="s">
        <v>119</v>
      </c>
      <c r="Q4048" s="2" t="s">
        <v>99</v>
      </c>
      <c r="R4048" s="2" t="s">
        <v>100</v>
      </c>
      <c r="S4048" s="2" t="s">
        <v>12260</v>
      </c>
      <c r="T4048" s="2" t="s">
        <v>218</v>
      </c>
      <c r="U4048" s="2" t="s">
        <v>1847</v>
      </c>
      <c r="V4048" s="2" t="s">
        <v>146</v>
      </c>
      <c r="W4048" s="2" t="s">
        <v>183</v>
      </c>
      <c r="X4048" s="2" t="s">
        <v>100</v>
      </c>
      <c r="Y4048" s="2" t="s">
        <v>7201</v>
      </c>
      <c r="Z4048" s="4">
        <v>373</v>
      </c>
      <c r="AA4048" s="4">
        <f>=ROUNDDOWN(23.3125,0)</f>
      </c>
      <c r="AB4048" s="5">
        <v>16</v>
      </c>
      <c r="AC4048" s="2" t="s">
        <v>356</v>
      </c>
      <c r="AD4048" s="4">
        <v>1920</v>
      </c>
      <c r="AE4048" s="4">
        <v>2130</v>
      </c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/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390</v>
      </c>
      <c r="BK4048" s="8">
        <v>14317.37</v>
      </c>
      <c r="BL4048" s="2" t="s">
        <v>12256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207</v>
      </c>
      <c r="BV4048" s="2" t="s">
        <v>97</v>
      </c>
      <c r="BW4048" s="2" t="s">
        <v>100</v>
      </c>
      <c r="BX4048" s="2" t="s">
        <v>100</v>
      </c>
      <c r="BY4048" s="2" t="s">
        <v>113</v>
      </c>
      <c r="BZ4048" s="2" t="s">
        <v>245</v>
      </c>
    </row>
    <row r="4049">
      <c r="A4049" s="2" t="s">
        <v>12271</v>
      </c>
      <c r="B4049" s="2" t="s">
        <v>11863</v>
      </c>
      <c r="C4049" s="2" t="s">
        <v>88</v>
      </c>
      <c r="D4049" s="2" t="s">
        <v>2605</v>
      </c>
      <c r="E4049" s="2" t="s">
        <v>12210</v>
      </c>
      <c r="F4049" s="2" t="s">
        <v>12211</v>
      </c>
      <c r="G4049" s="2" t="s">
        <v>12212</v>
      </c>
      <c r="H4049" s="2" t="s">
        <v>12213</v>
      </c>
      <c r="I4049" s="2" t="s">
        <v>12214</v>
      </c>
      <c r="J4049" s="2" t="s">
        <v>12248</v>
      </c>
      <c r="K4049" s="2" t="s">
        <v>629</v>
      </c>
      <c r="L4049" s="3">
        <v>34.5</v>
      </c>
      <c r="M4049" s="3">
        <v>36.22</v>
      </c>
      <c r="N4049" s="3">
        <v>74.99</v>
      </c>
      <c r="O4049" s="2" t="s">
        <v>97</v>
      </c>
      <c r="P4049" s="2" t="s">
        <v>372</v>
      </c>
      <c r="Q4049" s="2" t="s">
        <v>99</v>
      </c>
      <c r="R4049" s="2" t="s">
        <v>100</v>
      </c>
      <c r="S4049" s="2" t="s">
        <v>12260</v>
      </c>
      <c r="T4049" s="2" t="s">
        <v>218</v>
      </c>
      <c r="U4049" s="2" t="s">
        <v>1847</v>
      </c>
      <c r="V4049" s="2" t="s">
        <v>146</v>
      </c>
      <c r="W4049" s="2" t="s">
        <v>183</v>
      </c>
      <c r="X4049" s="2" t="s">
        <v>100</v>
      </c>
      <c r="Y4049" s="2" t="s">
        <v>12237</v>
      </c>
      <c r="Z4049" s="4">
        <v>678</v>
      </c>
      <c r="AA4049" s="4">
        <f>=ROUNDDOWN(28.25,0)</f>
      </c>
      <c r="AB4049" s="5">
        <v>24</v>
      </c>
      <c r="AC4049" s="2" t="s">
        <v>356</v>
      </c>
      <c r="AD4049" s="4">
        <v>576</v>
      </c>
      <c r="AE4049" s="4">
        <v>810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/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601</v>
      </c>
      <c r="BK4049" s="8">
        <v>23122.65</v>
      </c>
      <c r="BL4049" s="2" t="s">
        <v>12272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207</v>
      </c>
      <c r="BV4049" s="2" t="s">
        <v>97</v>
      </c>
      <c r="BW4049" s="2" t="s">
        <v>100</v>
      </c>
      <c r="BX4049" s="2" t="s">
        <v>100</v>
      </c>
      <c r="BY4049" s="2" t="s">
        <v>113</v>
      </c>
      <c r="BZ4049" s="2" t="s">
        <v>245</v>
      </c>
    </row>
    <row r="4050">
      <c r="A4050" s="2" t="s">
        <v>12273</v>
      </c>
      <c r="B4050" s="2" t="s">
        <v>11863</v>
      </c>
      <c r="C4050" s="2" t="s">
        <v>88</v>
      </c>
      <c r="D4050" s="2" t="s">
        <v>2605</v>
      </c>
      <c r="E4050" s="2" t="s">
        <v>12210</v>
      </c>
      <c r="F4050" s="2" t="s">
        <v>12211</v>
      </c>
      <c r="G4050" s="2" t="s">
        <v>12212</v>
      </c>
      <c r="H4050" s="2" t="s">
        <v>12213</v>
      </c>
      <c r="I4050" s="2" t="s">
        <v>12214</v>
      </c>
      <c r="J4050" s="2" t="s">
        <v>12229</v>
      </c>
      <c r="K4050" s="2" t="s">
        <v>629</v>
      </c>
      <c r="L4050" s="3">
        <v>38.4</v>
      </c>
      <c r="M4050" s="3">
        <v>40.32</v>
      </c>
      <c r="N4050" s="3">
        <v>79.99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12260</v>
      </c>
      <c r="T4050" s="2" t="s">
        <v>218</v>
      </c>
      <c r="U4050" s="2" t="s">
        <v>1847</v>
      </c>
      <c r="V4050" s="2" t="s">
        <v>146</v>
      </c>
      <c r="W4050" s="2" t="s">
        <v>183</v>
      </c>
      <c r="X4050" s="2" t="s">
        <v>100</v>
      </c>
      <c r="Y4050" s="2" t="s">
        <v>12237</v>
      </c>
      <c r="Z4050" s="4">
        <v>511</v>
      </c>
      <c r="AA4050" s="4">
        <f>=ROUNDDOWN(30.0588235294118,0)</f>
      </c>
      <c r="AB4050" s="5">
        <v>17</v>
      </c>
      <c r="AC4050" s="2" t="s">
        <v>356</v>
      </c>
      <c r="AD4050" s="4">
        <v>2256</v>
      </c>
      <c r="AE4050" s="4">
        <v>2454</v>
      </c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/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328</v>
      </c>
      <c r="BK4050" s="8">
        <v>13820.11</v>
      </c>
      <c r="BL4050" s="2" t="s">
        <v>12274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207</v>
      </c>
      <c r="BV4050" s="2" t="s">
        <v>97</v>
      </c>
      <c r="BW4050" s="2" t="s">
        <v>100</v>
      </c>
      <c r="BX4050" s="2" t="s">
        <v>100</v>
      </c>
      <c r="BY4050" s="2" t="s">
        <v>113</v>
      </c>
      <c r="BZ4050" s="2" t="s">
        <v>245</v>
      </c>
    </row>
    <row r="4051">
      <c r="A4051" s="2" t="s">
        <v>12275</v>
      </c>
      <c r="B4051" s="2" t="s">
        <v>11863</v>
      </c>
      <c r="C4051" s="2" t="s">
        <v>88</v>
      </c>
      <c r="D4051" s="2" t="s">
        <v>2605</v>
      </c>
      <c r="E4051" s="2" t="s">
        <v>12210</v>
      </c>
      <c r="F4051" s="2" t="s">
        <v>12211</v>
      </c>
      <c r="G4051" s="2" t="s">
        <v>12212</v>
      </c>
      <c r="H4051" s="2" t="s">
        <v>12213</v>
      </c>
      <c r="I4051" s="2" t="s">
        <v>12214</v>
      </c>
      <c r="J4051" s="2" t="s">
        <v>12215</v>
      </c>
      <c r="K4051" s="2" t="s">
        <v>189</v>
      </c>
      <c r="L4051" s="3">
        <v>23.75</v>
      </c>
      <c r="M4051" s="3">
        <v>24.94</v>
      </c>
      <c r="N4051" s="3">
        <v>53.99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12276</v>
      </c>
      <c r="T4051" s="2" t="s">
        <v>218</v>
      </c>
      <c r="U4051" s="2" t="s">
        <v>1847</v>
      </c>
      <c r="V4051" s="2" t="s">
        <v>146</v>
      </c>
      <c r="W4051" s="2" t="s">
        <v>183</v>
      </c>
      <c r="X4051" s="2" t="s">
        <v>100</v>
      </c>
      <c r="Y4051" s="2" t="s">
        <v>7201</v>
      </c>
      <c r="Z4051" s="4">
        <v>631</v>
      </c>
      <c r="AA4051" s="4">
        <f>=ROUNDDOWN(48.5384615384615,0)</f>
      </c>
      <c r="AB4051" s="5">
        <v>13</v>
      </c>
      <c r="AC4051" s="2" t="s">
        <v>100</v>
      </c>
      <c r="AD4051" s="4"/>
      <c r="AE4051" s="4"/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/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280</v>
      </c>
      <c r="BK4051" s="8">
        <v>7621.52</v>
      </c>
      <c r="BL4051" s="2" t="s">
        <v>12277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207</v>
      </c>
      <c r="BV4051" s="2" t="s">
        <v>97</v>
      </c>
      <c r="BW4051" s="2" t="s">
        <v>100</v>
      </c>
      <c r="BX4051" s="2" t="s">
        <v>100</v>
      </c>
      <c r="BY4051" s="2" t="s">
        <v>113</v>
      </c>
      <c r="BZ4051" s="2" t="s">
        <v>245</v>
      </c>
    </row>
    <row r="4052">
      <c r="A4052" s="2" t="s">
        <v>12278</v>
      </c>
      <c r="B4052" s="2" t="s">
        <v>11863</v>
      </c>
      <c r="C4052" s="2" t="s">
        <v>88</v>
      </c>
      <c r="D4052" s="2" t="s">
        <v>2605</v>
      </c>
      <c r="E4052" s="2" t="s">
        <v>12210</v>
      </c>
      <c r="F4052" s="2" t="s">
        <v>12211</v>
      </c>
      <c r="G4052" s="2" t="s">
        <v>12212</v>
      </c>
      <c r="H4052" s="2" t="s">
        <v>12213</v>
      </c>
      <c r="I4052" s="2" t="s">
        <v>12214</v>
      </c>
      <c r="J4052" s="2" t="s">
        <v>12236</v>
      </c>
      <c r="K4052" s="2" t="s">
        <v>189</v>
      </c>
      <c r="L4052" s="3">
        <v>27</v>
      </c>
      <c r="M4052" s="3">
        <v>28.35</v>
      </c>
      <c r="N4052" s="3">
        <v>59.99</v>
      </c>
      <c r="O4052" s="2" t="s">
        <v>97</v>
      </c>
      <c r="P4052" s="2" t="s">
        <v>372</v>
      </c>
      <c r="Q4052" s="2" t="s">
        <v>99</v>
      </c>
      <c r="R4052" s="2" t="s">
        <v>100</v>
      </c>
      <c r="S4052" s="2" t="s">
        <v>12276</v>
      </c>
      <c r="T4052" s="2" t="s">
        <v>218</v>
      </c>
      <c r="U4052" s="2" t="s">
        <v>1847</v>
      </c>
      <c r="V4052" s="2" t="s">
        <v>146</v>
      </c>
      <c r="W4052" s="2" t="s">
        <v>183</v>
      </c>
      <c r="X4052" s="2" t="s">
        <v>100</v>
      </c>
      <c r="Y4052" s="2" t="s">
        <v>5205</v>
      </c>
      <c r="Z4052" s="4">
        <v>1445</v>
      </c>
      <c r="AA4052" s="4">
        <f>=ROUNDDOWN(68.8095238095238,0)</f>
      </c>
      <c r="AB4052" s="5">
        <v>21</v>
      </c>
      <c r="AC4052" s="2" t="s">
        <v>100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100</v>
      </c>
      <c r="AW4052" s="8" t="s">
        <v>100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/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 t="s">
        <v>100</v>
      </c>
      <c r="BJ4052" s="4">
        <v>472</v>
      </c>
      <c r="BK4052" s="8">
        <v>13844.3</v>
      </c>
      <c r="BL4052" s="2" t="s">
        <v>12279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207</v>
      </c>
      <c r="BV4052" s="2" t="s">
        <v>97</v>
      </c>
      <c r="BW4052" s="2" t="s">
        <v>100</v>
      </c>
      <c r="BX4052" s="2" t="s">
        <v>100</v>
      </c>
      <c r="BY4052" s="2" t="s">
        <v>113</v>
      </c>
      <c r="BZ4052" s="2" t="s">
        <v>245</v>
      </c>
    </row>
    <row r="4053">
      <c r="A4053" s="2" t="s">
        <v>12280</v>
      </c>
      <c r="B4053" s="2" t="s">
        <v>11863</v>
      </c>
      <c r="C4053" s="2" t="s">
        <v>88</v>
      </c>
      <c r="D4053" s="2" t="s">
        <v>2605</v>
      </c>
      <c r="E4053" s="2" t="s">
        <v>12210</v>
      </c>
      <c r="F4053" s="2" t="s">
        <v>12211</v>
      </c>
      <c r="G4053" s="2" t="s">
        <v>12212</v>
      </c>
      <c r="H4053" s="2" t="s">
        <v>12213</v>
      </c>
      <c r="I4053" s="2" t="s">
        <v>12214</v>
      </c>
      <c r="J4053" s="2" t="s">
        <v>12219</v>
      </c>
      <c r="K4053" s="2" t="s">
        <v>189</v>
      </c>
      <c r="L4053" s="3">
        <v>28.5</v>
      </c>
      <c r="M4053" s="3">
        <v>29.93</v>
      </c>
      <c r="N4053" s="3">
        <v>62.99</v>
      </c>
      <c r="O4053" s="2" t="s">
        <v>97</v>
      </c>
      <c r="P4053" s="2" t="s">
        <v>98</v>
      </c>
      <c r="Q4053" s="2" t="s">
        <v>99</v>
      </c>
      <c r="R4053" s="2" t="s">
        <v>100</v>
      </c>
      <c r="S4053" s="2" t="s">
        <v>12276</v>
      </c>
      <c r="T4053" s="2" t="s">
        <v>218</v>
      </c>
      <c r="U4053" s="2" t="s">
        <v>1847</v>
      </c>
      <c r="V4053" s="2" t="s">
        <v>146</v>
      </c>
      <c r="W4053" s="2" t="s">
        <v>183</v>
      </c>
      <c r="X4053" s="2" t="s">
        <v>100</v>
      </c>
      <c r="Y4053" s="2" t="s">
        <v>7201</v>
      </c>
      <c r="Z4053" s="4">
        <v>422</v>
      </c>
      <c r="AA4053" s="4">
        <f>=ROUNDDOWN(32.4615384615385,0)</f>
      </c>
      <c r="AB4053" s="5">
        <v>13</v>
      </c>
      <c r="AC4053" s="2" t="s">
        <v>768</v>
      </c>
      <c r="AD4053" s="4">
        <v>120</v>
      </c>
      <c r="AE4053" s="4">
        <v>330</v>
      </c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341</v>
      </c>
      <c r="BK4053" s="8">
        <v>10811.27</v>
      </c>
      <c r="BL4053" s="2" t="s">
        <v>12281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207</v>
      </c>
      <c r="BV4053" s="2" t="s">
        <v>97</v>
      </c>
      <c r="BW4053" s="2" t="s">
        <v>100</v>
      </c>
      <c r="BX4053" s="2" t="s">
        <v>100</v>
      </c>
      <c r="BY4053" s="2" t="s">
        <v>113</v>
      </c>
      <c r="BZ4053" s="2" t="s">
        <v>245</v>
      </c>
    </row>
    <row r="4054">
      <c r="A4054" s="2" t="s">
        <v>12282</v>
      </c>
      <c r="B4054" s="2" t="s">
        <v>11863</v>
      </c>
      <c r="C4054" s="2" t="s">
        <v>88</v>
      </c>
      <c r="D4054" s="2" t="s">
        <v>2605</v>
      </c>
      <c r="E4054" s="2" t="s">
        <v>12210</v>
      </c>
      <c r="F4054" s="2" t="s">
        <v>12211</v>
      </c>
      <c r="G4054" s="2" t="s">
        <v>12212</v>
      </c>
      <c r="H4054" s="2" t="s">
        <v>12213</v>
      </c>
      <c r="I4054" s="2" t="s">
        <v>12214</v>
      </c>
      <c r="J4054" s="2" t="s">
        <v>12222</v>
      </c>
      <c r="K4054" s="2" t="s">
        <v>189</v>
      </c>
      <c r="L4054" s="3">
        <v>29.25</v>
      </c>
      <c r="M4054" s="3">
        <v>30.71</v>
      </c>
      <c r="N4054" s="3">
        <v>64.99</v>
      </c>
      <c r="O4054" s="2" t="s">
        <v>97</v>
      </c>
      <c r="P4054" s="2" t="s">
        <v>372</v>
      </c>
      <c r="Q4054" s="2" t="s">
        <v>99</v>
      </c>
      <c r="R4054" s="2" t="s">
        <v>100</v>
      </c>
      <c r="S4054" s="2" t="s">
        <v>12276</v>
      </c>
      <c r="T4054" s="2" t="s">
        <v>218</v>
      </c>
      <c r="U4054" s="2" t="s">
        <v>1847</v>
      </c>
      <c r="V4054" s="2" t="s">
        <v>146</v>
      </c>
      <c r="W4054" s="2" t="s">
        <v>183</v>
      </c>
      <c r="X4054" s="2" t="s">
        <v>100</v>
      </c>
      <c r="Y4054" s="2" t="s">
        <v>5205</v>
      </c>
      <c r="Z4054" s="4">
        <v>609</v>
      </c>
      <c r="AA4054" s="4">
        <f>=ROUNDDOWN(29,0)</f>
      </c>
      <c r="AB4054" s="5">
        <v>21</v>
      </c>
      <c r="AC4054" s="2" t="s">
        <v>768</v>
      </c>
      <c r="AD4054" s="4">
        <v>60</v>
      </c>
      <c r="AE4054" s="4">
        <v>360</v>
      </c>
      <c r="AF4054" s="6">
        <v>65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558</v>
      </c>
      <c r="BK4054" s="8">
        <v>18258.39</v>
      </c>
      <c r="BL4054" s="2" t="s">
        <v>12283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207</v>
      </c>
      <c r="BV4054" s="2" t="s">
        <v>97</v>
      </c>
      <c r="BW4054" s="2" t="s">
        <v>100</v>
      </c>
      <c r="BX4054" s="2" t="s">
        <v>100</v>
      </c>
      <c r="BY4054" s="2" t="s">
        <v>113</v>
      </c>
      <c r="BZ4054" s="2" t="s">
        <v>245</v>
      </c>
    </row>
    <row r="4055">
      <c r="A4055" s="2" t="s">
        <v>12284</v>
      </c>
      <c r="B4055" s="2" t="s">
        <v>11863</v>
      </c>
      <c r="C4055" s="2" t="s">
        <v>88</v>
      </c>
      <c r="D4055" s="2" t="s">
        <v>2605</v>
      </c>
      <c r="E4055" s="2" t="s">
        <v>12210</v>
      </c>
      <c r="F4055" s="2" t="s">
        <v>12211</v>
      </c>
      <c r="G4055" s="2" t="s">
        <v>12212</v>
      </c>
      <c r="H4055" s="2" t="s">
        <v>12213</v>
      </c>
      <c r="I4055" s="2" t="s">
        <v>12214</v>
      </c>
      <c r="J4055" s="2" t="s">
        <v>12243</v>
      </c>
      <c r="K4055" s="2" t="s">
        <v>189</v>
      </c>
      <c r="L4055" s="3">
        <v>32.2</v>
      </c>
      <c r="M4055" s="3">
        <v>33.81</v>
      </c>
      <c r="N4055" s="3">
        <v>69.99</v>
      </c>
      <c r="O4055" s="2" t="s">
        <v>97</v>
      </c>
      <c r="P4055" s="2" t="s">
        <v>372</v>
      </c>
      <c r="Q4055" s="2" t="s">
        <v>99</v>
      </c>
      <c r="R4055" s="2" t="s">
        <v>100</v>
      </c>
      <c r="S4055" s="2" t="s">
        <v>12276</v>
      </c>
      <c r="T4055" s="2" t="s">
        <v>218</v>
      </c>
      <c r="U4055" s="2" t="s">
        <v>1847</v>
      </c>
      <c r="V4055" s="2" t="s">
        <v>146</v>
      </c>
      <c r="W4055" s="2" t="s">
        <v>183</v>
      </c>
      <c r="X4055" s="2" t="s">
        <v>100</v>
      </c>
      <c r="Y4055" s="2" t="s">
        <v>5205</v>
      </c>
      <c r="Z4055" s="4">
        <v>489</v>
      </c>
      <c r="AA4055" s="4">
        <f>=ROUNDDOWN(28.7647058823529,0)</f>
      </c>
      <c r="AB4055" s="5">
        <v>17</v>
      </c>
      <c r="AC4055" s="2" t="s">
        <v>768</v>
      </c>
      <c r="AD4055" s="4">
        <v>60</v>
      </c>
      <c r="AE4055" s="4">
        <v>300</v>
      </c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/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509</v>
      </c>
      <c r="BK4055" s="8">
        <v>18090.26</v>
      </c>
      <c r="BL4055" s="2" t="s">
        <v>12285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207</v>
      </c>
      <c r="BV4055" s="2" t="s">
        <v>97</v>
      </c>
      <c r="BW4055" s="2" t="s">
        <v>100</v>
      </c>
      <c r="BX4055" s="2" t="s">
        <v>100</v>
      </c>
      <c r="BY4055" s="2" t="s">
        <v>113</v>
      </c>
      <c r="BZ4055" s="2" t="s">
        <v>245</v>
      </c>
    </row>
    <row r="4056">
      <c r="A4056" s="2" t="s">
        <v>12286</v>
      </c>
      <c r="B4056" s="2" t="s">
        <v>11863</v>
      </c>
      <c r="C4056" s="2" t="s">
        <v>88</v>
      </c>
      <c r="D4056" s="2" t="s">
        <v>2605</v>
      </c>
      <c r="E4056" s="2" t="s">
        <v>12210</v>
      </c>
      <c r="F4056" s="2" t="s">
        <v>12211</v>
      </c>
      <c r="G4056" s="2" t="s">
        <v>12212</v>
      </c>
      <c r="H4056" s="2" t="s">
        <v>12213</v>
      </c>
      <c r="I4056" s="2" t="s">
        <v>12214</v>
      </c>
      <c r="J4056" s="2" t="s">
        <v>12226</v>
      </c>
      <c r="K4056" s="2" t="s">
        <v>189</v>
      </c>
      <c r="L4056" s="3">
        <v>33.5</v>
      </c>
      <c r="M4056" s="3">
        <v>35.18</v>
      </c>
      <c r="N4056" s="3">
        <v>74.99</v>
      </c>
      <c r="O4056" s="2" t="s">
        <v>97</v>
      </c>
      <c r="P4056" s="2" t="s">
        <v>98</v>
      </c>
      <c r="Q4056" s="2" t="s">
        <v>99</v>
      </c>
      <c r="R4056" s="2" t="s">
        <v>100</v>
      </c>
      <c r="S4056" s="2" t="s">
        <v>12276</v>
      </c>
      <c r="T4056" s="2" t="s">
        <v>218</v>
      </c>
      <c r="U4056" s="2" t="s">
        <v>1847</v>
      </c>
      <c r="V4056" s="2" t="s">
        <v>146</v>
      </c>
      <c r="W4056" s="2" t="s">
        <v>183</v>
      </c>
      <c r="X4056" s="2" t="s">
        <v>100</v>
      </c>
      <c r="Y4056" s="2" t="s">
        <v>7201</v>
      </c>
      <c r="Z4056" s="4">
        <v>367</v>
      </c>
      <c r="AA4056" s="4">
        <f>=ROUNDDOWN(19.3157894736842,0)</f>
      </c>
      <c r="AB4056" s="5">
        <v>19</v>
      </c>
      <c r="AC4056" s="2" t="s">
        <v>768</v>
      </c>
      <c r="AD4056" s="4">
        <v>180</v>
      </c>
      <c r="AE4056" s="4">
        <v>420</v>
      </c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475</v>
      </c>
      <c r="BK4056" s="8">
        <v>17850.96</v>
      </c>
      <c r="BL4056" s="2" t="s">
        <v>12256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207</v>
      </c>
      <c r="BV4056" s="2" t="s">
        <v>97</v>
      </c>
      <c r="BW4056" s="2" t="s">
        <v>100</v>
      </c>
      <c r="BX4056" s="2" t="s">
        <v>100</v>
      </c>
      <c r="BY4056" s="2" t="s">
        <v>113</v>
      </c>
      <c r="BZ4056" s="2" t="s">
        <v>245</v>
      </c>
    </row>
    <row r="4057">
      <c r="A4057" s="2" t="s">
        <v>12287</v>
      </c>
      <c r="B4057" s="2" t="s">
        <v>11863</v>
      </c>
      <c r="C4057" s="2" t="s">
        <v>88</v>
      </c>
      <c r="D4057" s="2" t="s">
        <v>2605</v>
      </c>
      <c r="E4057" s="2" t="s">
        <v>12210</v>
      </c>
      <c r="F4057" s="2" t="s">
        <v>12211</v>
      </c>
      <c r="G4057" s="2" t="s">
        <v>12212</v>
      </c>
      <c r="H4057" s="2" t="s">
        <v>12213</v>
      </c>
      <c r="I4057" s="2" t="s">
        <v>12214</v>
      </c>
      <c r="J4057" s="2" t="s">
        <v>12248</v>
      </c>
      <c r="K4057" s="2" t="s">
        <v>189</v>
      </c>
      <c r="L4057" s="3">
        <v>34.5</v>
      </c>
      <c r="M4057" s="3">
        <v>36.22</v>
      </c>
      <c r="N4057" s="3">
        <v>74.99</v>
      </c>
      <c r="O4057" s="2" t="s">
        <v>97</v>
      </c>
      <c r="P4057" s="2" t="s">
        <v>307</v>
      </c>
      <c r="Q4057" s="2" t="s">
        <v>99</v>
      </c>
      <c r="R4057" s="2" t="s">
        <v>100</v>
      </c>
      <c r="S4057" s="2" t="s">
        <v>12276</v>
      </c>
      <c r="T4057" s="2" t="s">
        <v>218</v>
      </c>
      <c r="U4057" s="2" t="s">
        <v>1847</v>
      </c>
      <c r="V4057" s="2" t="s">
        <v>146</v>
      </c>
      <c r="W4057" s="2" t="s">
        <v>183</v>
      </c>
      <c r="X4057" s="2" t="s">
        <v>100</v>
      </c>
      <c r="Y4057" s="2" t="s">
        <v>5205</v>
      </c>
      <c r="Z4057" s="4">
        <v>867</v>
      </c>
      <c r="AA4057" s="4">
        <f>=ROUNDDOWN(29.8965517241379,0)</f>
      </c>
      <c r="AB4057" s="5">
        <v>29</v>
      </c>
      <c r="AC4057" s="2" t="s">
        <v>2618</v>
      </c>
      <c r="AD4057" s="4">
        <v>420</v>
      </c>
      <c r="AE4057" s="4">
        <v>420</v>
      </c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100</v>
      </c>
      <c r="AW4057" s="8" t="s">
        <v>100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/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 t="s">
        <v>100</v>
      </c>
      <c r="BJ4057" s="4">
        <v>791</v>
      </c>
      <c r="BK4057" s="8">
        <v>30496.91</v>
      </c>
      <c r="BL4057" s="2" t="s">
        <v>12288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207</v>
      </c>
      <c r="BV4057" s="2" t="s">
        <v>97</v>
      </c>
      <c r="BW4057" s="2" t="s">
        <v>100</v>
      </c>
      <c r="BX4057" s="2" t="s">
        <v>100</v>
      </c>
      <c r="BY4057" s="2" t="s">
        <v>113</v>
      </c>
      <c r="BZ4057" s="2" t="s">
        <v>245</v>
      </c>
    </row>
    <row r="4058">
      <c r="A4058" s="2" t="s">
        <v>12289</v>
      </c>
      <c r="B4058" s="2" t="s">
        <v>11863</v>
      </c>
      <c r="C4058" s="2" t="s">
        <v>88</v>
      </c>
      <c r="D4058" s="2" t="s">
        <v>2605</v>
      </c>
      <c r="E4058" s="2" t="s">
        <v>12210</v>
      </c>
      <c r="F4058" s="2" t="s">
        <v>12211</v>
      </c>
      <c r="G4058" s="2" t="s">
        <v>12212</v>
      </c>
      <c r="H4058" s="2" t="s">
        <v>12213</v>
      </c>
      <c r="I4058" s="2" t="s">
        <v>12214</v>
      </c>
      <c r="J4058" s="2" t="s">
        <v>12229</v>
      </c>
      <c r="K4058" s="2" t="s">
        <v>189</v>
      </c>
      <c r="L4058" s="3">
        <v>38.4</v>
      </c>
      <c r="M4058" s="3">
        <v>40.32</v>
      </c>
      <c r="N4058" s="3">
        <v>79.99</v>
      </c>
      <c r="O4058" s="2" t="s">
        <v>97</v>
      </c>
      <c r="P4058" s="2" t="s">
        <v>372</v>
      </c>
      <c r="Q4058" s="2" t="s">
        <v>99</v>
      </c>
      <c r="R4058" s="2" t="s">
        <v>100</v>
      </c>
      <c r="S4058" s="2" t="s">
        <v>12276</v>
      </c>
      <c r="T4058" s="2" t="s">
        <v>218</v>
      </c>
      <c r="U4058" s="2" t="s">
        <v>1847</v>
      </c>
      <c r="V4058" s="2" t="s">
        <v>146</v>
      </c>
      <c r="W4058" s="2" t="s">
        <v>183</v>
      </c>
      <c r="X4058" s="2" t="s">
        <v>100</v>
      </c>
      <c r="Y4058" s="2" t="s">
        <v>5205</v>
      </c>
      <c r="Z4058" s="4">
        <v>440</v>
      </c>
      <c r="AA4058" s="4">
        <f>=ROUNDDOWN(33.8461538461538,0)</f>
      </c>
      <c r="AB4058" s="5">
        <v>13</v>
      </c>
      <c r="AC4058" s="2" t="s">
        <v>2618</v>
      </c>
      <c r="AD4058" s="4">
        <v>180</v>
      </c>
      <c r="AE4058" s="4">
        <v>180</v>
      </c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/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356</v>
      </c>
      <c r="BK4058" s="8">
        <v>15260.23</v>
      </c>
      <c r="BL4058" s="2" t="s">
        <v>10711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207</v>
      </c>
      <c r="BV4058" s="2" t="s">
        <v>97</v>
      </c>
      <c r="BW4058" s="2" t="s">
        <v>100</v>
      </c>
      <c r="BX4058" s="2" t="s">
        <v>100</v>
      </c>
      <c r="BY4058" s="2" t="s">
        <v>113</v>
      </c>
      <c r="BZ4058" s="2" t="s">
        <v>245</v>
      </c>
    </row>
    <row r="4059">
      <c r="A4059" s="2" t="s">
        <v>12290</v>
      </c>
      <c r="B4059" s="2" t="s">
        <v>11863</v>
      </c>
      <c r="C4059" s="2" t="s">
        <v>88</v>
      </c>
      <c r="D4059" s="2" t="s">
        <v>2605</v>
      </c>
      <c r="E4059" s="2" t="s">
        <v>12210</v>
      </c>
      <c r="F4059" s="2" t="s">
        <v>12291</v>
      </c>
      <c r="G4059" s="2" t="s">
        <v>3474</v>
      </c>
      <c r="H4059" s="2" t="s">
        <v>8906</v>
      </c>
      <c r="I4059" s="2" t="s">
        <v>12292</v>
      </c>
      <c r="J4059" s="2" t="s">
        <v>12236</v>
      </c>
      <c r="K4059" s="2" t="s">
        <v>1614</v>
      </c>
      <c r="L4059" s="3">
        <v>27</v>
      </c>
      <c r="M4059" s="3">
        <v>28.35</v>
      </c>
      <c r="N4059" s="3">
        <v>59.99</v>
      </c>
      <c r="O4059" s="2" t="s">
        <v>97</v>
      </c>
      <c r="P4059" s="2" t="s">
        <v>119</v>
      </c>
      <c r="Q4059" s="2" t="s">
        <v>99</v>
      </c>
      <c r="R4059" s="2" t="s">
        <v>100</v>
      </c>
      <c r="S4059" s="2" t="s">
        <v>12293</v>
      </c>
      <c r="T4059" s="2" t="s">
        <v>218</v>
      </c>
      <c r="U4059" s="2" t="s">
        <v>1847</v>
      </c>
      <c r="V4059" s="2" t="s">
        <v>146</v>
      </c>
      <c r="W4059" s="2" t="s">
        <v>561</v>
      </c>
      <c r="X4059" s="2" t="s">
        <v>100</v>
      </c>
      <c r="Y4059" s="2" t="s">
        <v>4005</v>
      </c>
      <c r="Z4059" s="4">
        <v>219</v>
      </c>
      <c r="AA4059" s="4">
        <f>=ROUNDDOWN(21.9,0)</f>
      </c>
      <c r="AB4059" s="5">
        <v>10</v>
      </c>
      <c r="AC4059" s="2" t="s">
        <v>2618</v>
      </c>
      <c r="AD4059" s="4">
        <v>180</v>
      </c>
      <c r="AE4059" s="4">
        <v>180</v>
      </c>
      <c r="AF4059" s="6">
        <v>65</v>
      </c>
      <c r="AG4059" s="6"/>
      <c r="AH4059" s="7">
        <v>0.984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100</v>
      </c>
      <c r="AW4059" s="8" t="s">
        <v>100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/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/>
      <c r="BJ4059" s="4">
        <v>235</v>
      </c>
      <c r="BK4059" s="8">
        <v>7304.26</v>
      </c>
      <c r="BL4059" s="2" t="s">
        <v>12294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207</v>
      </c>
      <c r="BV4059" s="2" t="s">
        <v>97</v>
      </c>
      <c r="BW4059" s="2" t="s">
        <v>100</v>
      </c>
      <c r="BX4059" s="2" t="s">
        <v>100</v>
      </c>
      <c r="BY4059" s="2" t="s">
        <v>113</v>
      </c>
      <c r="BZ4059" s="2" t="s">
        <v>245</v>
      </c>
    </row>
    <row r="4060">
      <c r="A4060" s="2" t="s">
        <v>12295</v>
      </c>
      <c r="B4060" s="2" t="s">
        <v>11863</v>
      </c>
      <c r="C4060" s="2" t="s">
        <v>88</v>
      </c>
      <c r="D4060" s="2" t="s">
        <v>2605</v>
      </c>
      <c r="E4060" s="2" t="s">
        <v>12210</v>
      </c>
      <c r="F4060" s="2" t="s">
        <v>12291</v>
      </c>
      <c r="G4060" s="2" t="s">
        <v>3474</v>
      </c>
      <c r="H4060" s="2" t="s">
        <v>8906</v>
      </c>
      <c r="I4060" s="2" t="s">
        <v>12292</v>
      </c>
      <c r="J4060" s="2" t="s">
        <v>12222</v>
      </c>
      <c r="K4060" s="2" t="s">
        <v>1614</v>
      </c>
      <c r="L4060" s="3">
        <v>29.25</v>
      </c>
      <c r="M4060" s="3">
        <v>30.71</v>
      </c>
      <c r="N4060" s="3">
        <v>64.99</v>
      </c>
      <c r="O4060" s="2" t="s">
        <v>97</v>
      </c>
      <c r="P4060" s="2" t="s">
        <v>119</v>
      </c>
      <c r="Q4060" s="2" t="s">
        <v>99</v>
      </c>
      <c r="R4060" s="2" t="s">
        <v>100</v>
      </c>
      <c r="S4060" s="2" t="s">
        <v>12293</v>
      </c>
      <c r="T4060" s="2" t="s">
        <v>218</v>
      </c>
      <c r="U4060" s="2" t="s">
        <v>1847</v>
      </c>
      <c r="V4060" s="2" t="s">
        <v>146</v>
      </c>
      <c r="W4060" s="2" t="s">
        <v>561</v>
      </c>
      <c r="X4060" s="2" t="s">
        <v>100</v>
      </c>
      <c r="Y4060" s="2" t="s">
        <v>4005</v>
      </c>
      <c r="Z4060" s="4">
        <v>85</v>
      </c>
      <c r="AA4060" s="4">
        <f>=ROUNDDOWN(10.625,0)</f>
      </c>
      <c r="AB4060" s="5">
        <v>8</v>
      </c>
      <c r="AC4060" s="2" t="s">
        <v>5658</v>
      </c>
      <c r="AD4060" s="4">
        <v>120</v>
      </c>
      <c r="AE4060" s="4">
        <v>282</v>
      </c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/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/>
      <c r="BJ4060" s="4">
        <v>160</v>
      </c>
      <c r="BK4060" s="8">
        <v>5512.11</v>
      </c>
      <c r="BL4060" s="2" t="s">
        <v>12296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207</v>
      </c>
      <c r="BV4060" s="2" t="s">
        <v>97</v>
      </c>
      <c r="BW4060" s="2" t="s">
        <v>100</v>
      </c>
      <c r="BX4060" s="2" t="s">
        <v>100</v>
      </c>
      <c r="BY4060" s="2" t="s">
        <v>113</v>
      </c>
      <c r="BZ4060" s="2" t="s">
        <v>245</v>
      </c>
    </row>
    <row r="4061">
      <c r="A4061" s="2" t="s">
        <v>12297</v>
      </c>
      <c r="B4061" s="2" t="s">
        <v>11863</v>
      </c>
      <c r="C4061" s="2" t="s">
        <v>88</v>
      </c>
      <c r="D4061" s="2" t="s">
        <v>2605</v>
      </c>
      <c r="E4061" s="2" t="s">
        <v>12210</v>
      </c>
      <c r="F4061" s="2" t="s">
        <v>12291</v>
      </c>
      <c r="G4061" s="2" t="s">
        <v>3474</v>
      </c>
      <c r="H4061" s="2" t="s">
        <v>8906</v>
      </c>
      <c r="I4061" s="2" t="s">
        <v>12292</v>
      </c>
      <c r="J4061" s="2" t="s">
        <v>12243</v>
      </c>
      <c r="K4061" s="2" t="s">
        <v>1614</v>
      </c>
      <c r="L4061" s="3">
        <v>32.2</v>
      </c>
      <c r="M4061" s="3">
        <v>33.81</v>
      </c>
      <c r="N4061" s="3">
        <v>69.99</v>
      </c>
      <c r="O4061" s="2" t="s">
        <v>97</v>
      </c>
      <c r="P4061" s="2" t="s">
        <v>119</v>
      </c>
      <c r="Q4061" s="2" t="s">
        <v>99</v>
      </c>
      <c r="R4061" s="2" t="s">
        <v>100</v>
      </c>
      <c r="S4061" s="2" t="s">
        <v>12293</v>
      </c>
      <c r="T4061" s="2" t="s">
        <v>218</v>
      </c>
      <c r="U4061" s="2" t="s">
        <v>1847</v>
      </c>
      <c r="V4061" s="2" t="s">
        <v>146</v>
      </c>
      <c r="W4061" s="2" t="s">
        <v>561</v>
      </c>
      <c r="X4061" s="2" t="s">
        <v>100</v>
      </c>
      <c r="Y4061" s="2" t="s">
        <v>4005</v>
      </c>
      <c r="Z4061" s="4">
        <v>176</v>
      </c>
      <c r="AA4061" s="4">
        <f>=ROUNDDOWN(29.3333333333333,0)</f>
      </c>
      <c r="AB4061" s="5">
        <v>6</v>
      </c>
      <c r="AC4061" s="2" t="s">
        <v>100</v>
      </c>
      <c r="AD4061" s="4"/>
      <c r="AE4061" s="4"/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>
        <v>130</v>
      </c>
      <c r="BK4061" s="8">
        <v>4696.43</v>
      </c>
      <c r="BL4061" s="2" t="s">
        <v>12298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207</v>
      </c>
      <c r="BV4061" s="2" t="s">
        <v>97</v>
      </c>
      <c r="BW4061" s="2" t="s">
        <v>100</v>
      </c>
      <c r="BX4061" s="2" t="s">
        <v>100</v>
      </c>
      <c r="BY4061" s="2" t="s">
        <v>113</v>
      </c>
      <c r="BZ4061" s="2" t="s">
        <v>245</v>
      </c>
    </row>
    <row r="4062">
      <c r="A4062" s="2" t="s">
        <v>12299</v>
      </c>
      <c r="B4062" s="2" t="s">
        <v>11863</v>
      </c>
      <c r="C4062" s="2" t="s">
        <v>88</v>
      </c>
      <c r="D4062" s="2" t="s">
        <v>2605</v>
      </c>
      <c r="E4062" s="2" t="s">
        <v>12210</v>
      </c>
      <c r="F4062" s="2" t="s">
        <v>12291</v>
      </c>
      <c r="G4062" s="2" t="s">
        <v>3474</v>
      </c>
      <c r="H4062" s="2" t="s">
        <v>8906</v>
      </c>
      <c r="I4062" s="2" t="s">
        <v>12292</v>
      </c>
      <c r="J4062" s="2" t="s">
        <v>12248</v>
      </c>
      <c r="K4062" s="2" t="s">
        <v>1614</v>
      </c>
      <c r="L4062" s="3">
        <v>34.5</v>
      </c>
      <c r="M4062" s="3">
        <v>36.23</v>
      </c>
      <c r="N4062" s="3">
        <v>74.99</v>
      </c>
      <c r="O4062" s="2" t="s">
        <v>97</v>
      </c>
      <c r="P4062" s="2" t="s">
        <v>119</v>
      </c>
      <c r="Q4062" s="2" t="s">
        <v>99</v>
      </c>
      <c r="R4062" s="2" t="s">
        <v>100</v>
      </c>
      <c r="S4062" s="2" t="s">
        <v>12293</v>
      </c>
      <c r="T4062" s="2" t="s">
        <v>218</v>
      </c>
      <c r="U4062" s="2" t="s">
        <v>1847</v>
      </c>
      <c r="V4062" s="2" t="s">
        <v>146</v>
      </c>
      <c r="W4062" s="2" t="s">
        <v>561</v>
      </c>
      <c r="X4062" s="2" t="s">
        <v>100</v>
      </c>
      <c r="Y4062" s="2" t="s">
        <v>4005</v>
      </c>
      <c r="Z4062" s="4">
        <v>155</v>
      </c>
      <c r="AA4062" s="4">
        <f>=ROUNDDOWN(11.0714285714286,0)</f>
      </c>
      <c r="AB4062" s="5">
        <v>14</v>
      </c>
      <c r="AC4062" s="2" t="s">
        <v>5658</v>
      </c>
      <c r="AD4062" s="4">
        <v>204</v>
      </c>
      <c r="AE4062" s="4">
        <v>486</v>
      </c>
      <c r="AF4062" s="6">
        <v>65</v>
      </c>
      <c r="AG4062" s="6"/>
      <c r="AH4062" s="7">
        <v>0.9786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/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/>
      <c r="BJ4062" s="4">
        <v>278</v>
      </c>
      <c r="BK4062" s="8">
        <v>10992.22</v>
      </c>
      <c r="BL4062" s="2" t="s">
        <v>12300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207</v>
      </c>
      <c r="BV4062" s="2" t="s">
        <v>97</v>
      </c>
      <c r="BW4062" s="2" t="s">
        <v>100</v>
      </c>
      <c r="BX4062" s="2" t="s">
        <v>100</v>
      </c>
      <c r="BY4062" s="2" t="s">
        <v>113</v>
      </c>
      <c r="BZ4062" s="2" t="s">
        <v>245</v>
      </c>
    </row>
    <row r="4063">
      <c r="A4063" s="2" t="s">
        <v>12301</v>
      </c>
      <c r="B4063" s="2" t="s">
        <v>11863</v>
      </c>
      <c r="C4063" s="2" t="s">
        <v>88</v>
      </c>
      <c r="D4063" s="2" t="s">
        <v>2605</v>
      </c>
      <c r="E4063" s="2" t="s">
        <v>12210</v>
      </c>
      <c r="F4063" s="2" t="s">
        <v>12291</v>
      </c>
      <c r="G4063" s="2" t="s">
        <v>3474</v>
      </c>
      <c r="H4063" s="2" t="s">
        <v>8906</v>
      </c>
      <c r="I4063" s="2" t="s">
        <v>12292</v>
      </c>
      <c r="J4063" s="2" t="s">
        <v>12229</v>
      </c>
      <c r="K4063" s="2" t="s">
        <v>1614</v>
      </c>
      <c r="L4063" s="3">
        <v>38.4</v>
      </c>
      <c r="M4063" s="3">
        <v>40.32</v>
      </c>
      <c r="N4063" s="3">
        <v>79.99</v>
      </c>
      <c r="O4063" s="2" t="s">
        <v>97</v>
      </c>
      <c r="P4063" s="2" t="s">
        <v>119</v>
      </c>
      <c r="Q4063" s="2" t="s">
        <v>99</v>
      </c>
      <c r="R4063" s="2" t="s">
        <v>100</v>
      </c>
      <c r="S4063" s="2" t="s">
        <v>12293</v>
      </c>
      <c r="T4063" s="2" t="s">
        <v>218</v>
      </c>
      <c r="U4063" s="2" t="s">
        <v>1847</v>
      </c>
      <c r="V4063" s="2" t="s">
        <v>146</v>
      </c>
      <c r="W4063" s="2" t="s">
        <v>561</v>
      </c>
      <c r="X4063" s="2" t="s">
        <v>100</v>
      </c>
      <c r="Y4063" s="2" t="s">
        <v>4005</v>
      </c>
      <c r="Z4063" s="4">
        <v>315</v>
      </c>
      <c r="AA4063" s="4">
        <f>=ROUNDDOWN(31.5,0)</f>
      </c>
      <c r="AB4063" s="5">
        <v>10</v>
      </c>
      <c r="AC4063" s="2" t="s">
        <v>2618</v>
      </c>
      <c r="AD4063" s="4">
        <v>84</v>
      </c>
      <c r="AE4063" s="4">
        <v>84</v>
      </c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100</v>
      </c>
      <c r="AW4063" s="8" t="s">
        <v>100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/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/>
      <c r="BJ4063" s="4">
        <v>117</v>
      </c>
      <c r="BK4063" s="8">
        <v>4982.63</v>
      </c>
      <c r="BL4063" s="2" t="s">
        <v>12302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207</v>
      </c>
      <c r="BV4063" s="2" t="s">
        <v>97</v>
      </c>
      <c r="BW4063" s="2" t="s">
        <v>100</v>
      </c>
      <c r="BX4063" s="2" t="s">
        <v>100</v>
      </c>
      <c r="BY4063" s="2" t="s">
        <v>113</v>
      </c>
      <c r="BZ4063" s="2" t="s">
        <v>100</v>
      </c>
    </row>
    <row r="4064">
      <c r="A4064" s="2" t="s">
        <v>12303</v>
      </c>
      <c r="B4064" s="2" t="s">
        <v>11863</v>
      </c>
      <c r="C4064" s="2" t="s">
        <v>88</v>
      </c>
      <c r="D4064" s="2" t="s">
        <v>2605</v>
      </c>
      <c r="E4064" s="2" t="s">
        <v>12210</v>
      </c>
      <c r="F4064" s="2" t="s">
        <v>12291</v>
      </c>
      <c r="G4064" s="2" t="s">
        <v>3474</v>
      </c>
      <c r="H4064" s="2" t="s">
        <v>8906</v>
      </c>
      <c r="I4064" s="2" t="s">
        <v>12292</v>
      </c>
      <c r="J4064" s="2" t="s">
        <v>12236</v>
      </c>
      <c r="K4064" s="2" t="s">
        <v>629</v>
      </c>
      <c r="L4064" s="3">
        <v>27</v>
      </c>
      <c r="M4064" s="3">
        <v>28.35</v>
      </c>
      <c r="N4064" s="3">
        <v>59.99</v>
      </c>
      <c r="O4064" s="2" t="s">
        <v>97</v>
      </c>
      <c r="P4064" s="2" t="s">
        <v>119</v>
      </c>
      <c r="Q4064" s="2" t="s">
        <v>99</v>
      </c>
      <c r="R4064" s="2" t="s">
        <v>100</v>
      </c>
      <c r="S4064" s="2" t="s">
        <v>12304</v>
      </c>
      <c r="T4064" s="2" t="s">
        <v>218</v>
      </c>
      <c r="U4064" s="2" t="s">
        <v>1847</v>
      </c>
      <c r="V4064" s="2" t="s">
        <v>146</v>
      </c>
      <c r="W4064" s="2" t="s">
        <v>561</v>
      </c>
      <c r="X4064" s="2" t="s">
        <v>100</v>
      </c>
      <c r="Y4064" s="2" t="s">
        <v>4005</v>
      </c>
      <c r="Z4064" s="4">
        <v>109</v>
      </c>
      <c r="AA4064" s="4">
        <f>=ROUNDDOWN(18.1666666666667,0)</f>
      </c>
      <c r="AB4064" s="5">
        <v>6</v>
      </c>
      <c r="AC4064" s="2" t="s">
        <v>2618</v>
      </c>
      <c r="AD4064" s="4">
        <v>84</v>
      </c>
      <c r="AE4064" s="4">
        <v>84</v>
      </c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/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/>
      <c r="BJ4064" s="4">
        <v>172</v>
      </c>
      <c r="BK4064" s="8">
        <v>5382.93</v>
      </c>
      <c r="BL4064" s="2" t="s">
        <v>12305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207</v>
      </c>
      <c r="BV4064" s="2" t="s">
        <v>97</v>
      </c>
      <c r="BW4064" s="2" t="s">
        <v>100</v>
      </c>
      <c r="BX4064" s="2" t="s">
        <v>100</v>
      </c>
      <c r="BY4064" s="2" t="s">
        <v>113</v>
      </c>
      <c r="BZ4064" s="2" t="s">
        <v>245</v>
      </c>
    </row>
    <row r="4065">
      <c r="A4065" s="2" t="s">
        <v>12306</v>
      </c>
      <c r="B4065" s="2" t="s">
        <v>11863</v>
      </c>
      <c r="C4065" s="2" t="s">
        <v>88</v>
      </c>
      <c r="D4065" s="2" t="s">
        <v>2605</v>
      </c>
      <c r="E4065" s="2" t="s">
        <v>12210</v>
      </c>
      <c r="F4065" s="2" t="s">
        <v>12291</v>
      </c>
      <c r="G4065" s="2" t="s">
        <v>3474</v>
      </c>
      <c r="H4065" s="2" t="s">
        <v>8906</v>
      </c>
      <c r="I4065" s="2" t="s">
        <v>12292</v>
      </c>
      <c r="J4065" s="2" t="s">
        <v>12222</v>
      </c>
      <c r="K4065" s="2" t="s">
        <v>629</v>
      </c>
      <c r="L4065" s="3">
        <v>29.25</v>
      </c>
      <c r="M4065" s="3">
        <v>30.71</v>
      </c>
      <c r="N4065" s="3">
        <v>64.99</v>
      </c>
      <c r="O4065" s="2" t="s">
        <v>97</v>
      </c>
      <c r="P4065" s="2" t="s">
        <v>119</v>
      </c>
      <c r="Q4065" s="2" t="s">
        <v>99</v>
      </c>
      <c r="R4065" s="2" t="s">
        <v>100</v>
      </c>
      <c r="S4065" s="2" t="s">
        <v>12304</v>
      </c>
      <c r="T4065" s="2" t="s">
        <v>218</v>
      </c>
      <c r="U4065" s="2" t="s">
        <v>1847</v>
      </c>
      <c r="V4065" s="2" t="s">
        <v>146</v>
      </c>
      <c r="W4065" s="2" t="s">
        <v>561</v>
      </c>
      <c r="X4065" s="2" t="s">
        <v>100</v>
      </c>
      <c r="Y4065" s="2" t="s">
        <v>4005</v>
      </c>
      <c r="Z4065" s="4">
        <v>86</v>
      </c>
      <c r="AA4065" s="4">
        <f>=ROUNDDOWN(17.2,0)</f>
      </c>
      <c r="AB4065" s="5">
        <v>5</v>
      </c>
      <c r="AC4065" s="2" t="s">
        <v>5658</v>
      </c>
      <c r="AD4065" s="4">
        <v>90</v>
      </c>
      <c r="AE4065" s="4">
        <v>162</v>
      </c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/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/>
      <c r="BJ4065" s="4">
        <v>90</v>
      </c>
      <c r="BK4065" s="8">
        <v>2987.61</v>
      </c>
      <c r="BL4065" s="2" t="s">
        <v>12307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207</v>
      </c>
      <c r="BV4065" s="2" t="s">
        <v>97</v>
      </c>
      <c r="BW4065" s="2" t="s">
        <v>100</v>
      </c>
      <c r="BX4065" s="2" t="s">
        <v>100</v>
      </c>
      <c r="BY4065" s="2" t="s">
        <v>113</v>
      </c>
      <c r="BZ4065" s="2" t="s">
        <v>245</v>
      </c>
    </row>
    <row r="4066">
      <c r="A4066" s="2" t="s">
        <v>12308</v>
      </c>
      <c r="B4066" s="2" t="s">
        <v>11863</v>
      </c>
      <c r="C4066" s="2" t="s">
        <v>88</v>
      </c>
      <c r="D4066" s="2" t="s">
        <v>2605</v>
      </c>
      <c r="E4066" s="2" t="s">
        <v>12210</v>
      </c>
      <c r="F4066" s="2" t="s">
        <v>12291</v>
      </c>
      <c r="G4066" s="2" t="s">
        <v>3474</v>
      </c>
      <c r="H4066" s="2" t="s">
        <v>8906</v>
      </c>
      <c r="I4066" s="2" t="s">
        <v>12292</v>
      </c>
      <c r="J4066" s="2" t="s">
        <v>12243</v>
      </c>
      <c r="K4066" s="2" t="s">
        <v>629</v>
      </c>
      <c r="L4066" s="3">
        <v>32.2</v>
      </c>
      <c r="M4066" s="3">
        <v>33.81</v>
      </c>
      <c r="N4066" s="3">
        <v>69.99</v>
      </c>
      <c r="O4066" s="2" t="s">
        <v>97</v>
      </c>
      <c r="P4066" s="2" t="s">
        <v>119</v>
      </c>
      <c r="Q4066" s="2" t="s">
        <v>99</v>
      </c>
      <c r="R4066" s="2" t="s">
        <v>100</v>
      </c>
      <c r="S4066" s="2" t="s">
        <v>12304</v>
      </c>
      <c r="T4066" s="2" t="s">
        <v>218</v>
      </c>
      <c r="U4066" s="2" t="s">
        <v>1847</v>
      </c>
      <c r="V4066" s="2" t="s">
        <v>146</v>
      </c>
      <c r="W4066" s="2" t="s">
        <v>561</v>
      </c>
      <c r="X4066" s="2" t="s">
        <v>100</v>
      </c>
      <c r="Y4066" s="2" t="s">
        <v>4005</v>
      </c>
      <c r="Z4066" s="4">
        <v>70</v>
      </c>
      <c r="AA4066" s="4">
        <f>=ROUNDDOWN(11.6666666666667,0)</f>
      </c>
      <c r="AB4066" s="5">
        <v>6</v>
      </c>
      <c r="AC4066" s="2" t="s">
        <v>5658</v>
      </c>
      <c r="AD4066" s="4">
        <v>210</v>
      </c>
      <c r="AE4066" s="4">
        <v>342</v>
      </c>
      <c r="AF4066" s="6">
        <v>65</v>
      </c>
      <c r="AG4066" s="6"/>
      <c r="AH4066" s="7">
        <v>0.8984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>
        <v>120</v>
      </c>
      <c r="BK4066" s="8">
        <v>4427.08</v>
      </c>
      <c r="BL4066" s="2" t="s">
        <v>12309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207</v>
      </c>
      <c r="BV4066" s="2" t="s">
        <v>97</v>
      </c>
      <c r="BW4066" s="2" t="s">
        <v>100</v>
      </c>
      <c r="BX4066" s="2" t="s">
        <v>100</v>
      </c>
      <c r="BY4066" s="2" t="s">
        <v>113</v>
      </c>
      <c r="BZ4066" s="2" t="s">
        <v>245</v>
      </c>
    </row>
    <row r="4067">
      <c r="A4067" s="2" t="s">
        <v>12310</v>
      </c>
      <c r="B4067" s="2" t="s">
        <v>11863</v>
      </c>
      <c r="C4067" s="2" t="s">
        <v>88</v>
      </c>
      <c r="D4067" s="2" t="s">
        <v>2605</v>
      </c>
      <c r="E4067" s="2" t="s">
        <v>12210</v>
      </c>
      <c r="F4067" s="2" t="s">
        <v>12291</v>
      </c>
      <c r="G4067" s="2" t="s">
        <v>3474</v>
      </c>
      <c r="H4067" s="2" t="s">
        <v>8906</v>
      </c>
      <c r="I4067" s="2" t="s">
        <v>12292</v>
      </c>
      <c r="J4067" s="2" t="s">
        <v>12248</v>
      </c>
      <c r="K4067" s="2" t="s">
        <v>629</v>
      </c>
      <c r="L4067" s="3">
        <v>34.5</v>
      </c>
      <c r="M4067" s="3">
        <v>36.23</v>
      </c>
      <c r="N4067" s="3">
        <v>74.99</v>
      </c>
      <c r="O4067" s="2" t="s">
        <v>97</v>
      </c>
      <c r="P4067" s="2" t="s">
        <v>119</v>
      </c>
      <c r="Q4067" s="2" t="s">
        <v>99</v>
      </c>
      <c r="R4067" s="2" t="s">
        <v>100</v>
      </c>
      <c r="S4067" s="2" t="s">
        <v>12304</v>
      </c>
      <c r="T4067" s="2" t="s">
        <v>218</v>
      </c>
      <c r="U4067" s="2" t="s">
        <v>1847</v>
      </c>
      <c r="V4067" s="2" t="s">
        <v>146</v>
      </c>
      <c r="W4067" s="2" t="s">
        <v>561</v>
      </c>
      <c r="X4067" s="2" t="s">
        <v>100</v>
      </c>
      <c r="Y4067" s="2" t="s">
        <v>4005</v>
      </c>
      <c r="Z4067" s="4">
        <v>130</v>
      </c>
      <c r="AA4067" s="4">
        <f>=ROUNDDOWN(18.5714285714286,0)</f>
      </c>
      <c r="AB4067" s="5">
        <v>7</v>
      </c>
      <c r="AC4067" s="2" t="s">
        <v>5658</v>
      </c>
      <c r="AD4067" s="4">
        <v>162</v>
      </c>
      <c r="AE4067" s="4">
        <v>282</v>
      </c>
      <c r="AF4067" s="6">
        <v>65</v>
      </c>
      <c r="AG4067" s="6"/>
      <c r="AH4067" s="7">
        <v>0.8663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/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/>
      <c r="BJ4067" s="4">
        <v>166</v>
      </c>
      <c r="BK4067" s="8">
        <v>6751.31</v>
      </c>
      <c r="BL4067" s="2" t="s">
        <v>12311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207</v>
      </c>
      <c r="BV4067" s="2" t="s">
        <v>97</v>
      </c>
      <c r="BW4067" s="2" t="s">
        <v>100</v>
      </c>
      <c r="BX4067" s="2" t="s">
        <v>100</v>
      </c>
      <c r="BY4067" s="2" t="s">
        <v>113</v>
      </c>
      <c r="BZ4067" s="2" t="s">
        <v>245</v>
      </c>
    </row>
    <row r="4068">
      <c r="A4068" s="2" t="s">
        <v>12312</v>
      </c>
      <c r="B4068" s="2" t="s">
        <v>11863</v>
      </c>
      <c r="C4068" s="2" t="s">
        <v>88</v>
      </c>
      <c r="D4068" s="2" t="s">
        <v>2605</v>
      </c>
      <c r="E4068" s="2" t="s">
        <v>12210</v>
      </c>
      <c r="F4068" s="2" t="s">
        <v>12291</v>
      </c>
      <c r="G4068" s="2" t="s">
        <v>3474</v>
      </c>
      <c r="H4068" s="2" t="s">
        <v>8906</v>
      </c>
      <c r="I4068" s="2" t="s">
        <v>12292</v>
      </c>
      <c r="J4068" s="2" t="s">
        <v>12229</v>
      </c>
      <c r="K4068" s="2" t="s">
        <v>629</v>
      </c>
      <c r="L4068" s="3">
        <v>38.4</v>
      </c>
      <c r="M4068" s="3">
        <v>40.32</v>
      </c>
      <c r="N4068" s="3">
        <v>79.99</v>
      </c>
      <c r="O4068" s="2" t="s">
        <v>97</v>
      </c>
      <c r="P4068" s="2" t="s">
        <v>119</v>
      </c>
      <c r="Q4068" s="2" t="s">
        <v>99</v>
      </c>
      <c r="R4068" s="2" t="s">
        <v>100</v>
      </c>
      <c r="S4068" s="2" t="s">
        <v>12304</v>
      </c>
      <c r="T4068" s="2" t="s">
        <v>218</v>
      </c>
      <c r="U4068" s="2" t="s">
        <v>1847</v>
      </c>
      <c r="V4068" s="2" t="s">
        <v>146</v>
      </c>
      <c r="W4068" s="2" t="s">
        <v>561</v>
      </c>
      <c r="X4068" s="2" t="s">
        <v>100</v>
      </c>
      <c r="Y4068" s="2" t="s">
        <v>4005</v>
      </c>
      <c r="Z4068" s="4">
        <v>26</v>
      </c>
      <c r="AA4068" s="4">
        <f>=ROUNDDOWN(5.2,0)</f>
      </c>
      <c r="AB4068" s="5">
        <v>5</v>
      </c>
      <c r="AC4068" s="2" t="s">
        <v>5658</v>
      </c>
      <c r="AD4068" s="4">
        <v>84</v>
      </c>
      <c r="AE4068" s="4">
        <v>144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>
        <v>94</v>
      </c>
      <c r="BK4068" s="8">
        <v>4055.28</v>
      </c>
      <c r="BL4068" s="2" t="s">
        <v>12313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207</v>
      </c>
      <c r="BV4068" s="2" t="s">
        <v>97</v>
      </c>
      <c r="BW4068" s="2" t="s">
        <v>100</v>
      </c>
      <c r="BX4068" s="2" t="s">
        <v>100</v>
      </c>
      <c r="BY4068" s="2" t="s">
        <v>113</v>
      </c>
      <c r="BZ4068" s="2" t="s">
        <v>245</v>
      </c>
    </row>
    <row r="4069">
      <c r="A4069" s="2" t="s">
        <v>12314</v>
      </c>
      <c r="B4069" s="2" t="s">
        <v>11863</v>
      </c>
      <c r="C4069" s="2" t="s">
        <v>88</v>
      </c>
      <c r="D4069" s="2" t="s">
        <v>2605</v>
      </c>
      <c r="E4069" s="2" t="s">
        <v>12210</v>
      </c>
      <c r="F4069" s="2" t="s">
        <v>12315</v>
      </c>
      <c r="G4069" s="2" t="s">
        <v>12316</v>
      </c>
      <c r="H4069" s="2" t="s">
        <v>12317</v>
      </c>
      <c r="I4069" s="2" t="s">
        <v>12318</v>
      </c>
      <c r="J4069" s="2" t="s">
        <v>12236</v>
      </c>
      <c r="K4069" s="2" t="s">
        <v>12319</v>
      </c>
      <c r="L4069" s="3">
        <v>23.2</v>
      </c>
      <c r="M4069" s="3">
        <v>24.36</v>
      </c>
      <c r="N4069" s="3">
        <v>54.99</v>
      </c>
      <c r="O4069" s="2" t="s">
        <v>97</v>
      </c>
      <c r="P4069" s="2" t="s">
        <v>119</v>
      </c>
      <c r="Q4069" s="2" t="s">
        <v>99</v>
      </c>
      <c r="R4069" s="2" t="s">
        <v>100</v>
      </c>
      <c r="S4069" s="2" t="s">
        <v>12320</v>
      </c>
      <c r="T4069" s="2" t="s">
        <v>12321</v>
      </c>
      <c r="U4069" s="2" t="s">
        <v>1847</v>
      </c>
      <c r="V4069" s="2" t="s">
        <v>146</v>
      </c>
      <c r="W4069" s="2" t="s">
        <v>183</v>
      </c>
      <c r="X4069" s="2" t="s">
        <v>100</v>
      </c>
      <c r="Y4069" s="2" t="s">
        <v>12322</v>
      </c>
      <c r="Z4069" s="4"/>
      <c r="AA4069" s="4">
        <f>=ROUNDDOWN({0},0)</f>
      </c>
      <c r="AB4069" s="5">
        <v>14</v>
      </c>
      <c r="AC4069" s="2" t="s">
        <v>107</v>
      </c>
      <c r="AD4069" s="4">
        <v>252</v>
      </c>
      <c r="AE4069" s="4">
        <v>424</v>
      </c>
      <c r="AF4069" s="6">
        <v>75</v>
      </c>
      <c r="AG4069" s="6"/>
      <c r="AH4069" s="7">
        <v>0.4866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/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/>
      <c r="BJ4069" s="4">
        <v>180</v>
      </c>
      <c r="BK4069" s="8">
        <v>4886.2</v>
      </c>
      <c r="BL4069" s="2" t="s">
        <v>12323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207</v>
      </c>
      <c r="BV4069" s="2" t="s">
        <v>97</v>
      </c>
      <c r="BW4069" s="2" t="s">
        <v>100</v>
      </c>
      <c r="BX4069" s="2" t="s">
        <v>100</v>
      </c>
      <c r="BY4069" s="2" t="s">
        <v>113</v>
      </c>
      <c r="BZ4069" s="2" t="s">
        <v>245</v>
      </c>
    </row>
    <row r="4070">
      <c r="A4070" s="2" t="s">
        <v>12324</v>
      </c>
      <c r="B4070" s="2" t="s">
        <v>11863</v>
      </c>
      <c r="C4070" s="2" t="s">
        <v>88</v>
      </c>
      <c r="D4070" s="2" t="s">
        <v>2605</v>
      </c>
      <c r="E4070" s="2" t="s">
        <v>12210</v>
      </c>
      <c r="F4070" s="2" t="s">
        <v>12315</v>
      </c>
      <c r="G4070" s="2" t="s">
        <v>12316</v>
      </c>
      <c r="H4070" s="2" t="s">
        <v>12317</v>
      </c>
      <c r="I4070" s="2" t="s">
        <v>12318</v>
      </c>
      <c r="J4070" s="2" t="s">
        <v>12219</v>
      </c>
      <c r="K4070" s="2" t="s">
        <v>12319</v>
      </c>
      <c r="L4070" s="3">
        <v>25.75</v>
      </c>
      <c r="M4070" s="3">
        <v>27.04</v>
      </c>
      <c r="N4070" s="3">
        <v>57.99</v>
      </c>
      <c r="O4070" s="2" t="s">
        <v>97</v>
      </c>
      <c r="P4070" s="2" t="s">
        <v>119</v>
      </c>
      <c r="Q4070" s="2" t="s">
        <v>99</v>
      </c>
      <c r="R4070" s="2" t="s">
        <v>100</v>
      </c>
      <c r="S4070" s="2" t="s">
        <v>12320</v>
      </c>
      <c r="T4070" s="2" t="s">
        <v>12321</v>
      </c>
      <c r="U4070" s="2" t="s">
        <v>1847</v>
      </c>
      <c r="V4070" s="2" t="s">
        <v>146</v>
      </c>
      <c r="W4070" s="2" t="s">
        <v>183</v>
      </c>
      <c r="X4070" s="2" t="s">
        <v>100</v>
      </c>
      <c r="Y4070" s="2" t="s">
        <v>12322</v>
      </c>
      <c r="Z4070" s="4">
        <v>220</v>
      </c>
      <c r="AA4070" s="4">
        <f>=ROUNDDOWN(22,0)</f>
      </c>
      <c r="AB4070" s="5">
        <v>10</v>
      </c>
      <c r="AC4070" s="2" t="s">
        <v>107</v>
      </c>
      <c r="AD4070" s="4">
        <v>112</v>
      </c>
      <c r="AE4070" s="4">
        <v>244</v>
      </c>
      <c r="AF4070" s="6">
        <v>75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/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/>
      <c r="BJ4070" s="4">
        <v>202</v>
      </c>
      <c r="BK4070" s="8">
        <v>6050.85</v>
      </c>
      <c r="BL4070" s="2" t="s">
        <v>12325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207</v>
      </c>
      <c r="BV4070" s="2" t="s">
        <v>97</v>
      </c>
      <c r="BW4070" s="2" t="s">
        <v>100</v>
      </c>
      <c r="BX4070" s="2" t="s">
        <v>100</v>
      </c>
      <c r="BY4070" s="2" t="s">
        <v>113</v>
      </c>
      <c r="BZ4070" s="2" t="s">
        <v>245</v>
      </c>
    </row>
    <row r="4071">
      <c r="A4071" s="2" t="s">
        <v>12326</v>
      </c>
      <c r="B4071" s="2" t="s">
        <v>11863</v>
      </c>
      <c r="C4071" s="2" t="s">
        <v>88</v>
      </c>
      <c r="D4071" s="2" t="s">
        <v>2605</v>
      </c>
      <c r="E4071" s="2" t="s">
        <v>12210</v>
      </c>
      <c r="F4071" s="2" t="s">
        <v>12315</v>
      </c>
      <c r="G4071" s="2" t="s">
        <v>12316</v>
      </c>
      <c r="H4071" s="2" t="s">
        <v>12317</v>
      </c>
      <c r="I4071" s="2" t="s">
        <v>12318</v>
      </c>
      <c r="J4071" s="2" t="s">
        <v>12222</v>
      </c>
      <c r="K4071" s="2" t="s">
        <v>12319</v>
      </c>
      <c r="L4071" s="3">
        <v>26.35</v>
      </c>
      <c r="M4071" s="3">
        <v>27.67</v>
      </c>
      <c r="N4071" s="3">
        <v>59.99</v>
      </c>
      <c r="O4071" s="2" t="s">
        <v>97</v>
      </c>
      <c r="P4071" s="2" t="s">
        <v>950</v>
      </c>
      <c r="Q4071" s="2" t="s">
        <v>99</v>
      </c>
      <c r="R4071" s="2" t="s">
        <v>100</v>
      </c>
      <c r="S4071" s="2" t="s">
        <v>12320</v>
      </c>
      <c r="T4071" s="2" t="s">
        <v>12321</v>
      </c>
      <c r="U4071" s="2" t="s">
        <v>1847</v>
      </c>
      <c r="V4071" s="2" t="s">
        <v>146</v>
      </c>
      <c r="W4071" s="2" t="s">
        <v>183</v>
      </c>
      <c r="X4071" s="2" t="s">
        <v>100</v>
      </c>
      <c r="Y4071" s="2" t="s">
        <v>12322</v>
      </c>
      <c r="Z4071" s="4">
        <v>2</v>
      </c>
      <c r="AA4071" s="4">
        <f>=ROUNDDOWN(0.153846153846154,0)</f>
      </c>
      <c r="AB4071" s="5">
        <v>13</v>
      </c>
      <c r="AC4071" s="2" t="s">
        <v>107</v>
      </c>
      <c r="AD4071" s="4">
        <v>220</v>
      </c>
      <c r="AE4071" s="4">
        <v>500</v>
      </c>
      <c r="AF4071" s="6">
        <v>75</v>
      </c>
      <c r="AG4071" s="6"/>
      <c r="AH4071" s="7">
        <v>0.8503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100</v>
      </c>
      <c r="AW4071" s="8" t="s">
        <v>100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/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/>
      <c r="BJ4071" s="4">
        <v>234</v>
      </c>
      <c r="BK4071" s="8">
        <v>7801.33</v>
      </c>
      <c r="BL4071" s="2" t="s">
        <v>12261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207</v>
      </c>
      <c r="BV4071" s="2" t="s">
        <v>97</v>
      </c>
      <c r="BW4071" s="2" t="s">
        <v>100</v>
      </c>
      <c r="BX4071" s="2" t="s">
        <v>100</v>
      </c>
      <c r="BY4071" s="2" t="s">
        <v>113</v>
      </c>
      <c r="BZ4071" s="2" t="s">
        <v>245</v>
      </c>
    </row>
    <row r="4072">
      <c r="A4072" s="2" t="s">
        <v>12327</v>
      </c>
      <c r="B4072" s="2" t="s">
        <v>11863</v>
      </c>
      <c r="C4072" s="2" t="s">
        <v>88</v>
      </c>
      <c r="D4072" s="2" t="s">
        <v>2605</v>
      </c>
      <c r="E4072" s="2" t="s">
        <v>12210</v>
      </c>
      <c r="F4072" s="2" t="s">
        <v>12315</v>
      </c>
      <c r="G4072" s="2" t="s">
        <v>12316</v>
      </c>
      <c r="H4072" s="2" t="s">
        <v>12317</v>
      </c>
      <c r="I4072" s="2" t="s">
        <v>12318</v>
      </c>
      <c r="J4072" s="2" t="s">
        <v>12243</v>
      </c>
      <c r="K4072" s="2" t="s">
        <v>12319</v>
      </c>
      <c r="L4072" s="3">
        <v>27.95</v>
      </c>
      <c r="M4072" s="3">
        <v>29.35</v>
      </c>
      <c r="N4072" s="3">
        <v>64.99</v>
      </c>
      <c r="O4072" s="2" t="s">
        <v>97</v>
      </c>
      <c r="P4072" s="2" t="s">
        <v>950</v>
      </c>
      <c r="Q4072" s="2" t="s">
        <v>99</v>
      </c>
      <c r="R4072" s="2" t="s">
        <v>100</v>
      </c>
      <c r="S4072" s="2" t="s">
        <v>12320</v>
      </c>
      <c r="T4072" s="2" t="s">
        <v>12321</v>
      </c>
      <c r="U4072" s="2" t="s">
        <v>1847</v>
      </c>
      <c r="V4072" s="2" t="s">
        <v>146</v>
      </c>
      <c r="W4072" s="2" t="s">
        <v>183</v>
      </c>
      <c r="X4072" s="2" t="s">
        <v>100</v>
      </c>
      <c r="Y4072" s="2" t="s">
        <v>12322</v>
      </c>
      <c r="Z4072" s="4">
        <v>283</v>
      </c>
      <c r="AA4072" s="4">
        <f>=ROUNDDOWN(23.5833333333333,0)</f>
      </c>
      <c r="AB4072" s="5">
        <v>12</v>
      </c>
      <c r="AC4072" s="2" t="s">
        <v>4334</v>
      </c>
      <c r="AD4072" s="4">
        <v>120</v>
      </c>
      <c r="AE4072" s="4">
        <v>120</v>
      </c>
      <c r="AF4072" s="6">
        <v>75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/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/>
      <c r="BJ4072" s="4">
        <v>285</v>
      </c>
      <c r="BK4072" s="8">
        <v>9778.48</v>
      </c>
      <c r="BL4072" s="2" t="s">
        <v>12328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207</v>
      </c>
      <c r="BV4072" s="2" t="s">
        <v>97</v>
      </c>
      <c r="BW4072" s="2" t="s">
        <v>100</v>
      </c>
      <c r="BX4072" s="2" t="s">
        <v>100</v>
      </c>
      <c r="BY4072" s="2" t="s">
        <v>113</v>
      </c>
      <c r="BZ4072" s="2" t="s">
        <v>245</v>
      </c>
    </row>
    <row r="4073">
      <c r="A4073" s="2" t="s">
        <v>12329</v>
      </c>
      <c r="B4073" s="2" t="s">
        <v>11863</v>
      </c>
      <c r="C4073" s="2" t="s">
        <v>88</v>
      </c>
      <c r="D4073" s="2" t="s">
        <v>2605</v>
      </c>
      <c r="E4073" s="2" t="s">
        <v>12210</v>
      </c>
      <c r="F4073" s="2" t="s">
        <v>12315</v>
      </c>
      <c r="G4073" s="2" t="s">
        <v>12316</v>
      </c>
      <c r="H4073" s="2" t="s">
        <v>12317</v>
      </c>
      <c r="I4073" s="2" t="s">
        <v>12318</v>
      </c>
      <c r="J4073" s="2" t="s">
        <v>12248</v>
      </c>
      <c r="K4073" s="2" t="s">
        <v>12319</v>
      </c>
      <c r="L4073" s="3">
        <v>29.3</v>
      </c>
      <c r="M4073" s="3">
        <v>30.77</v>
      </c>
      <c r="N4073" s="3">
        <v>69.99</v>
      </c>
      <c r="O4073" s="2" t="s">
        <v>97</v>
      </c>
      <c r="P4073" s="2" t="s">
        <v>119</v>
      </c>
      <c r="Q4073" s="2" t="s">
        <v>99</v>
      </c>
      <c r="R4073" s="2" t="s">
        <v>100</v>
      </c>
      <c r="S4073" s="2" t="s">
        <v>12320</v>
      </c>
      <c r="T4073" s="2" t="s">
        <v>12321</v>
      </c>
      <c r="U4073" s="2" t="s">
        <v>1847</v>
      </c>
      <c r="V4073" s="2" t="s">
        <v>146</v>
      </c>
      <c r="W4073" s="2" t="s">
        <v>183</v>
      </c>
      <c r="X4073" s="2" t="s">
        <v>100</v>
      </c>
      <c r="Y4073" s="2" t="s">
        <v>12322</v>
      </c>
      <c r="Z4073" s="4">
        <v>3</v>
      </c>
      <c r="AA4073" s="4">
        <f>=ROUNDDOWN(0.1875,0)</f>
      </c>
      <c r="AB4073" s="5">
        <v>16</v>
      </c>
      <c r="AC4073" s="2" t="s">
        <v>107</v>
      </c>
      <c r="AD4073" s="4">
        <v>412</v>
      </c>
      <c r="AE4073" s="4">
        <v>684</v>
      </c>
      <c r="AF4073" s="6">
        <v>75</v>
      </c>
      <c r="AG4073" s="6"/>
      <c r="AH4073" s="7">
        <v>0.8503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/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/>
      <c r="BJ4073" s="4">
        <v>341</v>
      </c>
      <c r="BK4073" s="8">
        <v>12159.02</v>
      </c>
      <c r="BL4073" s="2" t="s">
        <v>12256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207</v>
      </c>
      <c r="BV4073" s="2" t="s">
        <v>97</v>
      </c>
      <c r="BW4073" s="2" t="s">
        <v>100</v>
      </c>
      <c r="BX4073" s="2" t="s">
        <v>100</v>
      </c>
      <c r="BY4073" s="2" t="s">
        <v>113</v>
      </c>
      <c r="BZ4073" s="2" t="s">
        <v>245</v>
      </c>
    </row>
    <row r="4074">
      <c r="A4074" s="2" t="s">
        <v>12330</v>
      </c>
      <c r="B4074" s="2" t="s">
        <v>11863</v>
      </c>
      <c r="C4074" s="2" t="s">
        <v>88</v>
      </c>
      <c r="D4074" s="2" t="s">
        <v>2605</v>
      </c>
      <c r="E4074" s="2" t="s">
        <v>12210</v>
      </c>
      <c r="F4074" s="2" t="s">
        <v>12315</v>
      </c>
      <c r="G4074" s="2" t="s">
        <v>12316</v>
      </c>
      <c r="H4074" s="2" t="s">
        <v>12317</v>
      </c>
      <c r="I4074" s="2" t="s">
        <v>12318</v>
      </c>
      <c r="J4074" s="2" t="s">
        <v>12236</v>
      </c>
      <c r="K4074" s="2" t="s">
        <v>12331</v>
      </c>
      <c r="L4074" s="3">
        <v>23.2</v>
      </c>
      <c r="M4074" s="3">
        <v>24.36</v>
      </c>
      <c r="N4074" s="3">
        <v>54.99</v>
      </c>
      <c r="O4074" s="2" t="s">
        <v>97</v>
      </c>
      <c r="P4074" s="2" t="s">
        <v>950</v>
      </c>
      <c r="Q4074" s="2" t="s">
        <v>99</v>
      </c>
      <c r="R4074" s="2" t="s">
        <v>100</v>
      </c>
      <c r="S4074" s="2" t="s">
        <v>12332</v>
      </c>
      <c r="T4074" s="2" t="s">
        <v>12321</v>
      </c>
      <c r="U4074" s="2" t="s">
        <v>1847</v>
      </c>
      <c r="V4074" s="2" t="s">
        <v>146</v>
      </c>
      <c r="W4074" s="2" t="s">
        <v>183</v>
      </c>
      <c r="X4074" s="2" t="s">
        <v>100</v>
      </c>
      <c r="Y4074" s="2" t="s">
        <v>12322</v>
      </c>
      <c r="Z4074" s="4"/>
      <c r="AA4074" s="4">
        <f>=ROUNDDOWN({0},0)</f>
      </c>
      <c r="AB4074" s="5">
        <v>16</v>
      </c>
      <c r="AC4074" s="2" t="s">
        <v>107</v>
      </c>
      <c r="AD4074" s="4">
        <v>412</v>
      </c>
      <c r="AE4074" s="4">
        <v>592</v>
      </c>
      <c r="AF4074" s="6">
        <v>75</v>
      </c>
      <c r="AG4074" s="6"/>
      <c r="AH4074" s="7">
        <v>0.5775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/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/>
      <c r="BJ4074" s="4">
        <v>266</v>
      </c>
      <c r="BK4074" s="8">
        <v>7128.6</v>
      </c>
      <c r="BL4074" s="2" t="s">
        <v>12333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207</v>
      </c>
      <c r="BV4074" s="2" t="s">
        <v>97</v>
      </c>
      <c r="BW4074" s="2" t="s">
        <v>100</v>
      </c>
      <c r="BX4074" s="2" t="s">
        <v>100</v>
      </c>
      <c r="BY4074" s="2" t="s">
        <v>113</v>
      </c>
      <c r="BZ4074" s="2" t="s">
        <v>245</v>
      </c>
    </row>
    <row r="4075">
      <c r="A4075" s="2" t="s">
        <v>12334</v>
      </c>
      <c r="B4075" s="2" t="s">
        <v>11863</v>
      </c>
      <c r="C4075" s="2" t="s">
        <v>88</v>
      </c>
      <c r="D4075" s="2" t="s">
        <v>2605</v>
      </c>
      <c r="E4075" s="2" t="s">
        <v>12210</v>
      </c>
      <c r="F4075" s="2" t="s">
        <v>12315</v>
      </c>
      <c r="G4075" s="2" t="s">
        <v>12316</v>
      </c>
      <c r="H4075" s="2" t="s">
        <v>12317</v>
      </c>
      <c r="I4075" s="2" t="s">
        <v>12318</v>
      </c>
      <c r="J4075" s="2" t="s">
        <v>12219</v>
      </c>
      <c r="K4075" s="2" t="s">
        <v>12331</v>
      </c>
      <c r="L4075" s="3">
        <v>25.75</v>
      </c>
      <c r="M4075" s="3">
        <v>27.04</v>
      </c>
      <c r="N4075" s="3">
        <v>57.99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12332</v>
      </c>
      <c r="T4075" s="2" t="s">
        <v>12321</v>
      </c>
      <c r="U4075" s="2" t="s">
        <v>1847</v>
      </c>
      <c r="V4075" s="2" t="s">
        <v>146</v>
      </c>
      <c r="W4075" s="2" t="s">
        <v>183</v>
      </c>
      <c r="X4075" s="2" t="s">
        <v>100</v>
      </c>
      <c r="Y4075" s="2" t="s">
        <v>12322</v>
      </c>
      <c r="Z4075" s="4">
        <v>126</v>
      </c>
      <c r="AA4075" s="4">
        <f>=ROUNDDOWN(9.69230769230769,0)</f>
      </c>
      <c r="AB4075" s="5">
        <v>13</v>
      </c>
      <c r="AC4075" s="2" t="s">
        <v>107</v>
      </c>
      <c r="AD4075" s="4">
        <v>120</v>
      </c>
      <c r="AE4075" s="4">
        <v>384</v>
      </c>
      <c r="AF4075" s="6">
        <v>75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/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/>
      <c r="BJ4075" s="4">
        <v>305</v>
      </c>
      <c r="BK4075" s="8">
        <v>9256.04</v>
      </c>
      <c r="BL4075" s="2" t="s">
        <v>12333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207</v>
      </c>
      <c r="BV4075" s="2" t="s">
        <v>97</v>
      </c>
      <c r="BW4075" s="2" t="s">
        <v>100</v>
      </c>
      <c r="BX4075" s="2" t="s">
        <v>100</v>
      </c>
      <c r="BY4075" s="2" t="s">
        <v>113</v>
      </c>
      <c r="BZ4075" s="2" t="s">
        <v>245</v>
      </c>
    </row>
    <row r="4076">
      <c r="A4076" s="2" t="s">
        <v>12335</v>
      </c>
      <c r="B4076" s="2" t="s">
        <v>11863</v>
      </c>
      <c r="C4076" s="2" t="s">
        <v>88</v>
      </c>
      <c r="D4076" s="2" t="s">
        <v>2605</v>
      </c>
      <c r="E4076" s="2" t="s">
        <v>12210</v>
      </c>
      <c r="F4076" s="2" t="s">
        <v>12315</v>
      </c>
      <c r="G4076" s="2" t="s">
        <v>12316</v>
      </c>
      <c r="H4076" s="2" t="s">
        <v>12317</v>
      </c>
      <c r="I4076" s="2" t="s">
        <v>12318</v>
      </c>
      <c r="J4076" s="2" t="s">
        <v>12222</v>
      </c>
      <c r="K4076" s="2" t="s">
        <v>12331</v>
      </c>
      <c r="L4076" s="3">
        <v>26.35</v>
      </c>
      <c r="M4076" s="3">
        <v>27.67</v>
      </c>
      <c r="N4076" s="3">
        <v>59.99</v>
      </c>
      <c r="O4076" s="2" t="s">
        <v>97</v>
      </c>
      <c r="P4076" s="2" t="s">
        <v>950</v>
      </c>
      <c r="Q4076" s="2" t="s">
        <v>99</v>
      </c>
      <c r="R4076" s="2" t="s">
        <v>100</v>
      </c>
      <c r="S4076" s="2" t="s">
        <v>12332</v>
      </c>
      <c r="T4076" s="2" t="s">
        <v>12321</v>
      </c>
      <c r="U4076" s="2" t="s">
        <v>1847</v>
      </c>
      <c r="V4076" s="2" t="s">
        <v>146</v>
      </c>
      <c r="W4076" s="2" t="s">
        <v>183</v>
      </c>
      <c r="X4076" s="2" t="s">
        <v>100</v>
      </c>
      <c r="Y4076" s="2" t="s">
        <v>12322</v>
      </c>
      <c r="Z4076" s="4">
        <v>264</v>
      </c>
      <c r="AA4076" s="4">
        <f>=ROUNDDOWN(18.8571428571429,0)</f>
      </c>
      <c r="AB4076" s="5">
        <v>14</v>
      </c>
      <c r="AC4076" s="2" t="s">
        <v>107</v>
      </c>
      <c r="AD4076" s="4">
        <v>240</v>
      </c>
      <c r="AE4076" s="4">
        <v>300</v>
      </c>
      <c r="AF4076" s="6">
        <v>75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/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/>
      <c r="BJ4076" s="4">
        <v>318</v>
      </c>
      <c r="BK4076" s="8">
        <v>9729.37</v>
      </c>
      <c r="BL4076" s="2" t="s">
        <v>12333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207</v>
      </c>
      <c r="BV4076" s="2" t="s">
        <v>97</v>
      </c>
      <c r="BW4076" s="2" t="s">
        <v>100</v>
      </c>
      <c r="BX4076" s="2" t="s">
        <v>100</v>
      </c>
      <c r="BY4076" s="2" t="s">
        <v>113</v>
      </c>
      <c r="BZ4076" s="2" t="s">
        <v>245</v>
      </c>
    </row>
    <row r="4077">
      <c r="A4077" s="2" t="s">
        <v>12336</v>
      </c>
      <c r="B4077" s="2" t="s">
        <v>11863</v>
      </c>
      <c r="C4077" s="2" t="s">
        <v>88</v>
      </c>
      <c r="D4077" s="2" t="s">
        <v>2605</v>
      </c>
      <c r="E4077" s="2" t="s">
        <v>12210</v>
      </c>
      <c r="F4077" s="2" t="s">
        <v>12315</v>
      </c>
      <c r="G4077" s="2" t="s">
        <v>12316</v>
      </c>
      <c r="H4077" s="2" t="s">
        <v>12317</v>
      </c>
      <c r="I4077" s="2" t="s">
        <v>12318</v>
      </c>
      <c r="J4077" s="2" t="s">
        <v>12243</v>
      </c>
      <c r="K4077" s="2" t="s">
        <v>12331</v>
      </c>
      <c r="L4077" s="3">
        <v>27.95</v>
      </c>
      <c r="M4077" s="3">
        <v>29.35</v>
      </c>
      <c r="N4077" s="3">
        <v>64.99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12332</v>
      </c>
      <c r="T4077" s="2" t="s">
        <v>12321</v>
      </c>
      <c r="U4077" s="2" t="s">
        <v>1847</v>
      </c>
      <c r="V4077" s="2" t="s">
        <v>146</v>
      </c>
      <c r="W4077" s="2" t="s">
        <v>183</v>
      </c>
      <c r="X4077" s="2" t="s">
        <v>100</v>
      </c>
      <c r="Y4077" s="2" t="s">
        <v>12322</v>
      </c>
      <c r="Z4077" s="4">
        <v>610</v>
      </c>
      <c r="AA4077" s="4">
        <f>=ROUNDDOWN(40.6666666666667,0)</f>
      </c>
      <c r="AB4077" s="5">
        <v>15</v>
      </c>
      <c r="AC4077" s="2" t="s">
        <v>4334</v>
      </c>
      <c r="AD4077" s="4">
        <v>64</v>
      </c>
      <c r="AE4077" s="4">
        <v>64</v>
      </c>
      <c r="AF4077" s="6">
        <v>75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/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/>
      <c r="BJ4077" s="4">
        <v>388</v>
      </c>
      <c r="BK4077" s="8">
        <v>12872.75</v>
      </c>
      <c r="BL4077" s="2" t="s">
        <v>12256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207</v>
      </c>
      <c r="BV4077" s="2" t="s">
        <v>97</v>
      </c>
      <c r="BW4077" s="2" t="s">
        <v>100</v>
      </c>
      <c r="BX4077" s="2" t="s">
        <v>100</v>
      </c>
      <c r="BY4077" s="2" t="s">
        <v>113</v>
      </c>
      <c r="BZ4077" s="2" t="s">
        <v>245</v>
      </c>
    </row>
    <row r="4078">
      <c r="A4078" s="2" t="s">
        <v>12337</v>
      </c>
      <c r="B4078" s="2" t="s">
        <v>11863</v>
      </c>
      <c r="C4078" s="2" t="s">
        <v>88</v>
      </c>
      <c r="D4078" s="2" t="s">
        <v>2605</v>
      </c>
      <c r="E4078" s="2" t="s">
        <v>12210</v>
      </c>
      <c r="F4078" s="2" t="s">
        <v>12315</v>
      </c>
      <c r="G4078" s="2" t="s">
        <v>12316</v>
      </c>
      <c r="H4078" s="2" t="s">
        <v>12317</v>
      </c>
      <c r="I4078" s="2" t="s">
        <v>12318</v>
      </c>
      <c r="J4078" s="2" t="s">
        <v>12248</v>
      </c>
      <c r="K4078" s="2" t="s">
        <v>12331</v>
      </c>
      <c r="L4078" s="3">
        <v>29.3</v>
      </c>
      <c r="M4078" s="3">
        <v>30.77</v>
      </c>
      <c r="N4078" s="3">
        <v>69.99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12332</v>
      </c>
      <c r="T4078" s="2" t="s">
        <v>12321</v>
      </c>
      <c r="U4078" s="2" t="s">
        <v>1847</v>
      </c>
      <c r="V4078" s="2" t="s">
        <v>146</v>
      </c>
      <c r="W4078" s="2" t="s">
        <v>183</v>
      </c>
      <c r="X4078" s="2" t="s">
        <v>100</v>
      </c>
      <c r="Y4078" s="2" t="s">
        <v>12322</v>
      </c>
      <c r="Z4078" s="4">
        <v>172</v>
      </c>
      <c r="AA4078" s="4">
        <f>=ROUNDDOWN(8.6,0)</f>
      </c>
      <c r="AB4078" s="5">
        <v>20</v>
      </c>
      <c r="AC4078" s="2" t="s">
        <v>107</v>
      </c>
      <c r="AD4078" s="4">
        <v>152</v>
      </c>
      <c r="AE4078" s="4">
        <v>448</v>
      </c>
      <c r="AF4078" s="6">
        <v>75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/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/>
      <c r="BJ4078" s="4">
        <v>505</v>
      </c>
      <c r="BK4078" s="8">
        <v>17496.37</v>
      </c>
      <c r="BL4078" s="2" t="s">
        <v>12338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207</v>
      </c>
      <c r="BV4078" s="2" t="s">
        <v>97</v>
      </c>
      <c r="BW4078" s="2" t="s">
        <v>100</v>
      </c>
      <c r="BX4078" s="2" t="s">
        <v>100</v>
      </c>
      <c r="BY4078" s="2" t="s">
        <v>113</v>
      </c>
      <c r="BZ4078" s="2" t="s">
        <v>245</v>
      </c>
    </row>
    <row r="4079">
      <c r="A4079" s="2" t="s">
        <v>12339</v>
      </c>
      <c r="B4079" s="2" t="s">
        <v>11863</v>
      </c>
      <c r="C4079" s="2" t="s">
        <v>88</v>
      </c>
      <c r="D4079" s="2" t="s">
        <v>2605</v>
      </c>
      <c r="E4079" s="2" t="s">
        <v>12340</v>
      </c>
      <c r="F4079" s="2" t="s">
        <v>389</v>
      </c>
      <c r="G4079" s="2" t="s">
        <v>390</v>
      </c>
      <c r="H4079" s="2" t="s">
        <v>391</v>
      </c>
      <c r="I4079" s="2" t="s">
        <v>12341</v>
      </c>
      <c r="J4079" s="2" t="s">
        <v>11878</v>
      </c>
      <c r="K4079" s="2" t="s">
        <v>360</v>
      </c>
      <c r="L4079" s="3">
        <v>29.9</v>
      </c>
      <c r="M4079" s="3">
        <v>31.4</v>
      </c>
      <c r="N4079" s="3">
        <v>64.99</v>
      </c>
      <c r="O4079" s="2" t="s">
        <v>97</v>
      </c>
      <c r="P4079" s="2" t="s">
        <v>98</v>
      </c>
      <c r="Q4079" s="2" t="s">
        <v>99</v>
      </c>
      <c r="R4079" s="2" t="s">
        <v>100</v>
      </c>
      <c r="S4079" s="2" t="s">
        <v>1477</v>
      </c>
      <c r="T4079" s="2" t="s">
        <v>100</v>
      </c>
      <c r="U4079" s="2" t="s">
        <v>100</v>
      </c>
      <c r="V4079" s="2" t="s">
        <v>393</v>
      </c>
      <c r="W4079" s="2" t="s">
        <v>309</v>
      </c>
      <c r="X4079" s="2" t="s">
        <v>11870</v>
      </c>
      <c r="Y4079" s="2" t="s">
        <v>5417</v>
      </c>
      <c r="Z4079" s="4">
        <v>294</v>
      </c>
      <c r="AA4079" s="4">
        <f>=ROUNDDOWN(26.7272727272727,0)</f>
      </c>
      <c r="AB4079" s="5">
        <v>11</v>
      </c>
      <c r="AC4079" s="2" t="s">
        <v>1035</v>
      </c>
      <c r="AD4079" s="4">
        <v>92</v>
      </c>
      <c r="AE4079" s="4">
        <v>144</v>
      </c>
      <c r="AF4079" s="6">
        <v>66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>
        <v>1</v>
      </c>
      <c r="AQ4079" s="8">
        <v>28.35</v>
      </c>
      <c r="AR4079" s="4"/>
      <c r="AS4079" s="8"/>
      <c r="AT4079" s="7"/>
      <c r="AU4079" s="7"/>
      <c r="AV4079" s="4">
        <v>1</v>
      </c>
      <c r="AW4079" s="8">
        <v>28.35</v>
      </c>
      <c r="AX4079" s="4"/>
      <c r="AY4079" s="8"/>
      <c r="AZ4079" s="7"/>
      <c r="BA4079" s="7"/>
      <c r="BB4079" s="7">
        <v>1</v>
      </c>
      <c r="BC4079" s="4">
        <v>1</v>
      </c>
      <c r="BD4079" s="8">
        <v>28.35</v>
      </c>
      <c r="BE4079" s="4"/>
      <c r="BF4079" s="8"/>
      <c r="BG4079" s="7"/>
      <c r="BH4079" s="7"/>
      <c r="BI4079" s="7">
        <v>1</v>
      </c>
      <c r="BJ4079" s="4">
        <v>230</v>
      </c>
      <c r="BK4079" s="8">
        <v>7246.41</v>
      </c>
      <c r="BL4079" s="2" t="s">
        <v>12342</v>
      </c>
      <c r="BM4079" s="7">
        <v>0.0043</v>
      </c>
      <c r="BN4079" s="7">
        <v>0.0039</v>
      </c>
      <c r="BO4079" s="4">
        <v>1</v>
      </c>
      <c r="BP4079" s="8">
        <v>28.35</v>
      </c>
      <c r="BQ4079" s="4"/>
      <c r="BR4079" s="8"/>
      <c r="BS4079" s="7"/>
      <c r="BT4079" s="7"/>
      <c r="BU4079" s="2" t="s">
        <v>109</v>
      </c>
      <c r="BV4079" s="2" t="s">
        <v>110</v>
      </c>
      <c r="BW4079" s="2" t="s">
        <v>12187</v>
      </c>
      <c r="BX4079" s="2" t="s">
        <v>12343</v>
      </c>
      <c r="BY4079" s="2" t="s">
        <v>113</v>
      </c>
      <c r="BZ4079" s="2" t="s">
        <v>245</v>
      </c>
    </row>
    <row r="4080">
      <c r="A4080" s="2" t="s">
        <v>12344</v>
      </c>
      <c r="B4080" s="2" t="s">
        <v>11863</v>
      </c>
      <c r="C4080" s="2" t="s">
        <v>88</v>
      </c>
      <c r="D4080" s="2" t="s">
        <v>2605</v>
      </c>
      <c r="E4080" s="2" t="s">
        <v>12340</v>
      </c>
      <c r="F4080" s="2" t="s">
        <v>1503</v>
      </c>
      <c r="G4080" s="2" t="s">
        <v>117</v>
      </c>
      <c r="H4080" s="2" t="s">
        <v>11960</v>
      </c>
      <c r="I4080" s="2" t="s">
        <v>12345</v>
      </c>
      <c r="J4080" s="2" t="s">
        <v>12074</v>
      </c>
      <c r="K4080" s="2" t="s">
        <v>189</v>
      </c>
      <c r="L4080" s="3">
        <v>28.5</v>
      </c>
      <c r="M4080" s="3">
        <v>29.93</v>
      </c>
      <c r="N4080" s="3">
        <v>69.99</v>
      </c>
      <c r="O4080" s="2" t="s">
        <v>97</v>
      </c>
      <c r="P4080" s="2" t="s">
        <v>119</v>
      </c>
      <c r="Q4080" s="2" t="s">
        <v>99</v>
      </c>
      <c r="R4080" s="2" t="s">
        <v>100</v>
      </c>
      <c r="S4080" s="2" t="s">
        <v>11963</v>
      </c>
      <c r="T4080" s="2" t="s">
        <v>100</v>
      </c>
      <c r="U4080" s="2" t="s">
        <v>514</v>
      </c>
      <c r="V4080" s="2" t="s">
        <v>146</v>
      </c>
      <c r="W4080" s="2" t="s">
        <v>104</v>
      </c>
      <c r="X4080" s="2" t="s">
        <v>11977</v>
      </c>
      <c r="Y4080" s="2" t="s">
        <v>12346</v>
      </c>
      <c r="Z4080" s="4">
        <v>214</v>
      </c>
      <c r="AA4080" s="4">
        <f>=ROUNDDOWN(21.4,0)</f>
      </c>
      <c r="AB4080" s="5">
        <v>10</v>
      </c>
      <c r="AC4080" s="2" t="s">
        <v>768</v>
      </c>
      <c r="AD4080" s="4">
        <v>188</v>
      </c>
      <c r="AE4080" s="4">
        <v>396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300</v>
      </c>
      <c r="BK4080" s="8">
        <v>10014.78</v>
      </c>
      <c r="BL4080" s="2" t="s">
        <v>12097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207</v>
      </c>
      <c r="BV4080" s="2" t="s">
        <v>97</v>
      </c>
      <c r="BW4080" s="2" t="s">
        <v>100</v>
      </c>
      <c r="BX4080" s="2" t="s">
        <v>100</v>
      </c>
      <c r="BY4080" s="2" t="s">
        <v>113</v>
      </c>
      <c r="BZ4080" s="2" t="s">
        <v>100</v>
      </c>
    </row>
    <row r="4081">
      <c r="A4081" s="2" t="s">
        <v>12347</v>
      </c>
      <c r="B4081" s="2" t="s">
        <v>11863</v>
      </c>
      <c r="C4081" s="2" t="s">
        <v>88</v>
      </c>
      <c r="D4081" s="2" t="s">
        <v>2605</v>
      </c>
      <c r="E4081" s="2" t="s">
        <v>12340</v>
      </c>
      <c r="F4081" s="2" t="s">
        <v>12211</v>
      </c>
      <c r="G4081" s="2" t="s">
        <v>12212</v>
      </c>
      <c r="H4081" s="2" t="s">
        <v>12213</v>
      </c>
      <c r="I4081" s="2" t="s">
        <v>12348</v>
      </c>
      <c r="J4081" s="2" t="s">
        <v>12349</v>
      </c>
      <c r="K4081" s="2" t="s">
        <v>1614</v>
      </c>
      <c r="L4081" s="3">
        <v>19</v>
      </c>
      <c r="M4081" s="3">
        <v>19.95</v>
      </c>
      <c r="N4081" s="3">
        <v>39.99</v>
      </c>
      <c r="O4081" s="2" t="s">
        <v>97</v>
      </c>
      <c r="P4081" s="2" t="s">
        <v>119</v>
      </c>
      <c r="Q4081" s="2" t="s">
        <v>99</v>
      </c>
      <c r="R4081" s="2" t="s">
        <v>100</v>
      </c>
      <c r="S4081" s="2" t="s">
        <v>12253</v>
      </c>
      <c r="T4081" s="2" t="s">
        <v>100</v>
      </c>
      <c r="U4081" s="2" t="s">
        <v>514</v>
      </c>
      <c r="V4081" s="2" t="s">
        <v>146</v>
      </c>
      <c r="W4081" s="2" t="s">
        <v>183</v>
      </c>
      <c r="X4081" s="2" t="s">
        <v>11977</v>
      </c>
      <c r="Y4081" s="2" t="s">
        <v>6889</v>
      </c>
      <c r="Z4081" s="4">
        <v>190</v>
      </c>
      <c r="AA4081" s="4">
        <f>=ROUNDDOWN(17.2727272727273,0)</f>
      </c>
      <c r="AB4081" s="5">
        <v>11</v>
      </c>
      <c r="AC4081" s="2" t="s">
        <v>1102</v>
      </c>
      <c r="AD4081" s="4">
        <v>60</v>
      </c>
      <c r="AE4081" s="4">
        <v>240</v>
      </c>
      <c r="AF4081" s="6">
        <v>65</v>
      </c>
      <c r="AG4081" s="6"/>
      <c r="AH4081" s="7">
        <v>0.8503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/>
      <c r="BJ4081" s="4">
        <v>157</v>
      </c>
      <c r="BK4081" s="8">
        <v>4001.94</v>
      </c>
      <c r="BL4081" s="2" t="s">
        <v>12350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207</v>
      </c>
      <c r="BV4081" s="2" t="s">
        <v>97</v>
      </c>
      <c r="BW4081" s="2" t="s">
        <v>100</v>
      </c>
      <c r="BX4081" s="2" t="s">
        <v>100</v>
      </c>
      <c r="BY4081" s="2" t="s">
        <v>113</v>
      </c>
      <c r="BZ4081" s="2" t="s">
        <v>245</v>
      </c>
    </row>
    <row r="4082">
      <c r="A4082" s="2" t="s">
        <v>12351</v>
      </c>
      <c r="B4082" s="2" t="s">
        <v>11863</v>
      </c>
      <c r="C4082" s="2" t="s">
        <v>88</v>
      </c>
      <c r="D4082" s="2" t="s">
        <v>2605</v>
      </c>
      <c r="E4082" s="2" t="s">
        <v>12340</v>
      </c>
      <c r="F4082" s="2" t="s">
        <v>12211</v>
      </c>
      <c r="G4082" s="2" t="s">
        <v>12212</v>
      </c>
      <c r="H4082" s="2" t="s">
        <v>12213</v>
      </c>
      <c r="I4082" s="2" t="s">
        <v>12348</v>
      </c>
      <c r="J4082" s="2" t="s">
        <v>12349</v>
      </c>
      <c r="K4082" s="2" t="s">
        <v>189</v>
      </c>
      <c r="L4082" s="3">
        <v>19</v>
      </c>
      <c r="M4082" s="3">
        <v>19.95</v>
      </c>
      <c r="N4082" s="3">
        <v>39.99</v>
      </c>
      <c r="O4082" s="2" t="s">
        <v>97</v>
      </c>
      <c r="P4082" s="2" t="s">
        <v>119</v>
      </c>
      <c r="Q4082" s="2" t="s">
        <v>99</v>
      </c>
      <c r="R4082" s="2" t="s">
        <v>100</v>
      </c>
      <c r="S4082" s="2" t="s">
        <v>12276</v>
      </c>
      <c r="T4082" s="2" t="s">
        <v>100</v>
      </c>
      <c r="U4082" s="2" t="s">
        <v>514</v>
      </c>
      <c r="V4082" s="2" t="s">
        <v>146</v>
      </c>
      <c r="W4082" s="2" t="s">
        <v>183</v>
      </c>
      <c r="X4082" s="2" t="s">
        <v>11977</v>
      </c>
      <c r="Y4082" s="2" t="s">
        <v>3348</v>
      </c>
      <c r="Z4082" s="4">
        <v>244</v>
      </c>
      <c r="AA4082" s="4">
        <f>=ROUNDDOWN(27.1111111111111,0)</f>
      </c>
      <c r="AB4082" s="5">
        <v>9</v>
      </c>
      <c r="AC4082" s="2" t="s">
        <v>1342</v>
      </c>
      <c r="AD4082" s="4">
        <v>252</v>
      </c>
      <c r="AE4082" s="4">
        <v>252</v>
      </c>
      <c r="AF4082" s="6">
        <v>65</v>
      </c>
      <c r="AG4082" s="6"/>
      <c r="AH4082" s="7">
        <v>0.9679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/>
      <c r="BJ4082" s="4">
        <v>135</v>
      </c>
      <c r="BK4082" s="8">
        <v>3139.27</v>
      </c>
      <c r="BL4082" s="2" t="s">
        <v>12352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207</v>
      </c>
      <c r="BV4082" s="2" t="s">
        <v>97</v>
      </c>
      <c r="BW4082" s="2" t="s">
        <v>100</v>
      </c>
      <c r="BX4082" s="2" t="s">
        <v>100</v>
      </c>
      <c r="BY4082" s="2" t="s">
        <v>113</v>
      </c>
      <c r="BZ4082" s="2" t="s">
        <v>245</v>
      </c>
    </row>
    <row r="4083">
      <c r="A4083" s="2" t="s">
        <v>12353</v>
      </c>
      <c r="B4083" s="2" t="s">
        <v>11863</v>
      </c>
      <c r="C4083" s="2" t="s">
        <v>88</v>
      </c>
      <c r="D4083" s="2" t="s">
        <v>2605</v>
      </c>
      <c r="E4083" s="2" t="s">
        <v>12340</v>
      </c>
      <c r="F4083" s="2" t="s">
        <v>12354</v>
      </c>
      <c r="G4083" s="2" t="s">
        <v>12355</v>
      </c>
      <c r="H4083" s="2" t="s">
        <v>7742</v>
      </c>
      <c r="I4083" s="2" t="s">
        <v>12356</v>
      </c>
      <c r="J4083" s="2" t="s">
        <v>12357</v>
      </c>
      <c r="K4083" s="2" t="s">
        <v>858</v>
      </c>
      <c r="L4083" s="3">
        <v>22.75</v>
      </c>
      <c r="M4083" s="3">
        <v>23.89</v>
      </c>
      <c r="N4083" s="3">
        <v>47.99</v>
      </c>
      <c r="O4083" s="2" t="s">
        <v>97</v>
      </c>
      <c r="P4083" s="2" t="s">
        <v>119</v>
      </c>
      <c r="Q4083" s="2" t="s">
        <v>99</v>
      </c>
      <c r="R4083" s="2" t="s">
        <v>100</v>
      </c>
      <c r="S4083" s="2" t="s">
        <v>12358</v>
      </c>
      <c r="T4083" s="2" t="s">
        <v>100</v>
      </c>
      <c r="U4083" s="2" t="s">
        <v>514</v>
      </c>
      <c r="V4083" s="2" t="s">
        <v>146</v>
      </c>
      <c r="W4083" s="2" t="s">
        <v>183</v>
      </c>
      <c r="X4083" s="2" t="s">
        <v>11870</v>
      </c>
      <c r="Y4083" s="2" t="s">
        <v>12359</v>
      </c>
      <c r="Z4083" s="4">
        <v>464</v>
      </c>
      <c r="AA4083" s="4">
        <f>=ROUNDDOWN(30.9333333333333,0)</f>
      </c>
      <c r="AB4083" s="5">
        <v>15</v>
      </c>
      <c r="AC4083" s="2" t="s">
        <v>1292</v>
      </c>
      <c r="AD4083" s="4">
        <v>32</v>
      </c>
      <c r="AE4083" s="4">
        <v>212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>
        <v>375</v>
      </c>
      <c r="BK4083" s="8">
        <v>10998.25</v>
      </c>
      <c r="BL4083" s="2" t="s">
        <v>12360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207</v>
      </c>
      <c r="BV4083" s="2" t="s">
        <v>97</v>
      </c>
      <c r="BW4083" s="2" t="s">
        <v>100</v>
      </c>
      <c r="BX4083" s="2" t="s">
        <v>100</v>
      </c>
      <c r="BY4083" s="2" t="s">
        <v>113</v>
      </c>
      <c r="BZ4083" s="2" t="s">
        <v>245</v>
      </c>
    </row>
    <row r="4084">
      <c r="A4084" s="2" t="s">
        <v>12361</v>
      </c>
      <c r="B4084" s="2" t="s">
        <v>11863</v>
      </c>
      <c r="C4084" s="2" t="s">
        <v>88</v>
      </c>
      <c r="D4084" s="2" t="s">
        <v>2605</v>
      </c>
      <c r="E4084" s="2" t="s">
        <v>12340</v>
      </c>
      <c r="F4084" s="2" t="s">
        <v>12354</v>
      </c>
      <c r="G4084" s="2" t="s">
        <v>12355</v>
      </c>
      <c r="H4084" s="2" t="s">
        <v>7742</v>
      </c>
      <c r="I4084" s="2" t="s">
        <v>12356</v>
      </c>
      <c r="J4084" s="2" t="s">
        <v>12357</v>
      </c>
      <c r="K4084" s="2" t="s">
        <v>189</v>
      </c>
      <c r="L4084" s="3">
        <v>22.75</v>
      </c>
      <c r="M4084" s="3">
        <v>23.89</v>
      </c>
      <c r="N4084" s="3">
        <v>47.99</v>
      </c>
      <c r="O4084" s="2" t="s">
        <v>97</v>
      </c>
      <c r="P4084" s="2" t="s">
        <v>119</v>
      </c>
      <c r="Q4084" s="2" t="s">
        <v>99</v>
      </c>
      <c r="R4084" s="2" t="s">
        <v>100</v>
      </c>
      <c r="S4084" s="2" t="s">
        <v>12362</v>
      </c>
      <c r="T4084" s="2" t="s">
        <v>100</v>
      </c>
      <c r="U4084" s="2" t="s">
        <v>514</v>
      </c>
      <c r="V4084" s="2" t="s">
        <v>146</v>
      </c>
      <c r="W4084" s="2" t="s">
        <v>183</v>
      </c>
      <c r="X4084" s="2" t="s">
        <v>11870</v>
      </c>
      <c r="Y4084" s="2" t="s">
        <v>12359</v>
      </c>
      <c r="Z4084" s="4">
        <v>706</v>
      </c>
      <c r="AA4084" s="4">
        <f>=ROUNDDOWN(70.6,0)</f>
      </c>
      <c r="AB4084" s="5">
        <v>10</v>
      </c>
      <c r="AC4084" s="2" t="s">
        <v>100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258</v>
      </c>
      <c r="BK4084" s="8">
        <v>7288.15</v>
      </c>
      <c r="BL4084" s="2" t="s">
        <v>12363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207</v>
      </c>
      <c r="BV4084" s="2" t="s">
        <v>97</v>
      </c>
      <c r="BW4084" s="2" t="s">
        <v>100</v>
      </c>
      <c r="BX4084" s="2" t="s">
        <v>100</v>
      </c>
      <c r="BY4084" s="2" t="s">
        <v>113</v>
      </c>
      <c r="BZ4084" s="2" t="s">
        <v>245</v>
      </c>
    </row>
    <row r="4085">
      <c r="A4085" s="2" t="s">
        <v>12364</v>
      </c>
      <c r="B4085" s="2" t="s">
        <v>11863</v>
      </c>
      <c r="C4085" s="2" t="s">
        <v>88</v>
      </c>
      <c r="D4085" s="2" t="s">
        <v>2598</v>
      </c>
      <c r="E4085" s="2" t="s">
        <v>2599</v>
      </c>
      <c r="F4085" s="2" t="s">
        <v>12181</v>
      </c>
      <c r="G4085" s="2" t="s">
        <v>12182</v>
      </c>
      <c r="H4085" s="2" t="s">
        <v>12183</v>
      </c>
      <c r="I4085" s="2" t="s">
        <v>12365</v>
      </c>
      <c r="J4085" s="2" t="s">
        <v>12366</v>
      </c>
      <c r="K4085" s="2" t="s">
        <v>198</v>
      </c>
      <c r="L4085" s="3">
        <v>12.42</v>
      </c>
      <c r="M4085" s="3">
        <v>13.04</v>
      </c>
      <c r="N4085" s="3">
        <v>26.99</v>
      </c>
      <c r="O4085" s="2" t="s">
        <v>97</v>
      </c>
      <c r="P4085" s="2" t="s">
        <v>119</v>
      </c>
      <c r="Q4085" s="2" t="s">
        <v>99</v>
      </c>
      <c r="R4085" s="2" t="s">
        <v>100</v>
      </c>
      <c r="S4085" s="2" t="s">
        <v>12186</v>
      </c>
      <c r="T4085" s="2" t="s">
        <v>100</v>
      </c>
      <c r="U4085" s="2" t="s">
        <v>100</v>
      </c>
      <c r="V4085" s="2" t="s">
        <v>403</v>
      </c>
      <c r="W4085" s="2" t="s">
        <v>104</v>
      </c>
      <c r="X4085" s="2" t="s">
        <v>100</v>
      </c>
      <c r="Y4085" s="2" t="s">
        <v>6310</v>
      </c>
      <c r="Z4085" s="4">
        <v>460</v>
      </c>
      <c r="AA4085" s="4">
        <f>=ROUNDDOWN(32.8571428571429,0)</f>
      </c>
      <c r="AB4085" s="5">
        <v>14</v>
      </c>
      <c r="AC4085" s="2" t="s">
        <v>356</v>
      </c>
      <c r="AD4085" s="4">
        <v>2200</v>
      </c>
      <c r="AE4085" s="4">
        <v>2200</v>
      </c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>
        <v>16</v>
      </c>
      <c r="AQ4085" s="8">
        <v>188.96</v>
      </c>
      <c r="AR4085" s="4"/>
      <c r="AS4085" s="8"/>
      <c r="AT4085" s="7"/>
      <c r="AU4085" s="7"/>
      <c r="AV4085" s="4">
        <v>16</v>
      </c>
      <c r="AW4085" s="8">
        <v>188.96</v>
      </c>
      <c r="AX4085" s="4"/>
      <c r="AY4085" s="8"/>
      <c r="AZ4085" s="7"/>
      <c r="BA4085" s="7"/>
      <c r="BB4085" s="7">
        <v>1</v>
      </c>
      <c r="BC4085" s="4">
        <v>36</v>
      </c>
      <c r="BD4085" s="8">
        <v>425.16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>
        <v>0.4444</v>
      </c>
      <c r="BJ4085" s="4">
        <v>381</v>
      </c>
      <c r="BK4085" s="8">
        <v>4997.6</v>
      </c>
      <c r="BL4085" s="2" t="s">
        <v>12367</v>
      </c>
      <c r="BM4085" s="7">
        <v>0.042</v>
      </c>
      <c r="BN4085" s="7">
        <v>0.0378</v>
      </c>
      <c r="BO4085" s="4">
        <v>16</v>
      </c>
      <c r="BP4085" s="8">
        <v>188.96</v>
      </c>
      <c r="BQ4085" s="4"/>
      <c r="BR4085" s="8"/>
      <c r="BS4085" s="7"/>
      <c r="BT4085" s="7"/>
      <c r="BU4085" s="2" t="s">
        <v>109</v>
      </c>
      <c r="BV4085" s="2" t="s">
        <v>110</v>
      </c>
      <c r="BW4085" s="2" t="s">
        <v>12187</v>
      </c>
      <c r="BX4085" s="2" t="s">
        <v>12368</v>
      </c>
      <c r="BY4085" s="2" t="s">
        <v>113</v>
      </c>
      <c r="BZ4085" s="2" t="s">
        <v>245</v>
      </c>
    </row>
    <row r="4086">
      <c r="A4086" s="2" t="s">
        <v>12369</v>
      </c>
      <c r="B4086" s="2" t="s">
        <v>11863</v>
      </c>
      <c r="C4086" s="2" t="s">
        <v>88</v>
      </c>
      <c r="D4086" s="2" t="s">
        <v>2598</v>
      </c>
      <c r="E4086" s="2" t="s">
        <v>2599</v>
      </c>
      <c r="F4086" s="2" t="s">
        <v>12181</v>
      </c>
      <c r="G4086" s="2" t="s">
        <v>12182</v>
      </c>
      <c r="H4086" s="2" t="s">
        <v>12183</v>
      </c>
      <c r="I4086" s="2" t="s">
        <v>12365</v>
      </c>
      <c r="J4086" s="2" t="s">
        <v>12366</v>
      </c>
      <c r="K4086" s="2" t="s">
        <v>2720</v>
      </c>
      <c r="L4086" s="3">
        <v>12.42</v>
      </c>
      <c r="M4086" s="3">
        <v>13.04</v>
      </c>
      <c r="N4086" s="3">
        <v>26.99</v>
      </c>
      <c r="O4086" s="2" t="s">
        <v>97</v>
      </c>
      <c r="P4086" s="2" t="s">
        <v>119</v>
      </c>
      <c r="Q4086" s="2" t="s">
        <v>99</v>
      </c>
      <c r="R4086" s="2" t="s">
        <v>100</v>
      </c>
      <c r="S4086" s="2" t="s">
        <v>12370</v>
      </c>
      <c r="T4086" s="2" t="s">
        <v>100</v>
      </c>
      <c r="U4086" s="2" t="s">
        <v>100</v>
      </c>
      <c r="V4086" s="2" t="s">
        <v>403</v>
      </c>
      <c r="W4086" s="2" t="s">
        <v>104</v>
      </c>
      <c r="X4086" s="2" t="s">
        <v>100</v>
      </c>
      <c r="Y4086" s="2" t="s">
        <v>6310</v>
      </c>
      <c r="Z4086" s="4">
        <v>238</v>
      </c>
      <c r="AA4086" s="4">
        <f>=ROUNDDOWN(29.75,0)</f>
      </c>
      <c r="AB4086" s="5">
        <v>8</v>
      </c>
      <c r="AC4086" s="2" t="s">
        <v>1035</v>
      </c>
      <c r="AD4086" s="4">
        <v>104</v>
      </c>
      <c r="AE4086" s="4">
        <v>104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>
        <v>9</v>
      </c>
      <c r="AQ4086" s="8">
        <v>106.29</v>
      </c>
      <c r="AR4086" s="4"/>
      <c r="AS4086" s="8"/>
      <c r="AT4086" s="7"/>
      <c r="AU4086" s="7"/>
      <c r="AV4086" s="4">
        <v>9</v>
      </c>
      <c r="AW4086" s="8">
        <v>106.29</v>
      </c>
      <c r="AX4086" s="4"/>
      <c r="AY4086" s="8"/>
      <c r="AZ4086" s="7"/>
      <c r="BA4086" s="7"/>
      <c r="BB4086" s="7">
        <v>1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0.25</v>
      </c>
      <c r="BJ4086" s="4">
        <v>221</v>
      </c>
      <c r="BK4086" s="8">
        <v>2914.91</v>
      </c>
      <c r="BL4086" s="2" t="s">
        <v>12371</v>
      </c>
      <c r="BM4086" s="7">
        <v>0.0407</v>
      </c>
      <c r="BN4086" s="7">
        <v>0.0365</v>
      </c>
      <c r="BO4086" s="4">
        <v>9</v>
      </c>
      <c r="BP4086" s="8">
        <v>106.29</v>
      </c>
      <c r="BQ4086" s="4"/>
      <c r="BR4086" s="8"/>
      <c r="BS4086" s="7"/>
      <c r="BT4086" s="7"/>
      <c r="BU4086" s="2" t="s">
        <v>109</v>
      </c>
      <c r="BV4086" s="2" t="s">
        <v>110</v>
      </c>
      <c r="BW4086" s="2" t="s">
        <v>12187</v>
      </c>
      <c r="BX4086" s="2" t="s">
        <v>12368</v>
      </c>
      <c r="BY4086" s="2" t="s">
        <v>113</v>
      </c>
      <c r="BZ4086" s="2" t="s">
        <v>245</v>
      </c>
    </row>
    <row r="4087">
      <c r="A4087" s="2" t="s">
        <v>12372</v>
      </c>
      <c r="B4087" s="2" t="s">
        <v>11863</v>
      </c>
      <c r="C4087" s="2" t="s">
        <v>88</v>
      </c>
      <c r="D4087" s="2" t="s">
        <v>2598</v>
      </c>
      <c r="E4087" s="2" t="s">
        <v>2599</v>
      </c>
      <c r="F4087" s="2" t="s">
        <v>12181</v>
      </c>
      <c r="G4087" s="2" t="s">
        <v>12182</v>
      </c>
      <c r="H4087" s="2" t="s">
        <v>12183</v>
      </c>
      <c r="I4087" s="2" t="s">
        <v>12365</v>
      </c>
      <c r="J4087" s="2" t="s">
        <v>12366</v>
      </c>
      <c r="K4087" s="2" t="s">
        <v>189</v>
      </c>
      <c r="L4087" s="3">
        <v>12.42</v>
      </c>
      <c r="M4087" s="3">
        <v>13.04</v>
      </c>
      <c r="N4087" s="3">
        <v>26.99</v>
      </c>
      <c r="O4087" s="2" t="s">
        <v>97</v>
      </c>
      <c r="P4087" s="2" t="s">
        <v>119</v>
      </c>
      <c r="Q4087" s="2" t="s">
        <v>99</v>
      </c>
      <c r="R4087" s="2" t="s">
        <v>100</v>
      </c>
      <c r="S4087" s="2" t="s">
        <v>12196</v>
      </c>
      <c r="T4087" s="2" t="s">
        <v>100</v>
      </c>
      <c r="U4087" s="2" t="s">
        <v>100</v>
      </c>
      <c r="V4087" s="2" t="s">
        <v>403</v>
      </c>
      <c r="W4087" s="2" t="s">
        <v>104</v>
      </c>
      <c r="X4087" s="2" t="s">
        <v>100</v>
      </c>
      <c r="Y4087" s="2" t="s">
        <v>6310</v>
      </c>
      <c r="Z4087" s="4">
        <v>288</v>
      </c>
      <c r="AA4087" s="4">
        <f>=ROUNDDOWN(24,0)</f>
      </c>
      <c r="AB4087" s="5">
        <v>12</v>
      </c>
      <c r="AC4087" s="2" t="s">
        <v>356</v>
      </c>
      <c r="AD4087" s="4">
        <v>1120</v>
      </c>
      <c r="AE4087" s="4">
        <v>1280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>
        <v>7</v>
      </c>
      <c r="AQ4087" s="8">
        <v>82.67</v>
      </c>
      <c r="AR4087" s="4"/>
      <c r="AS4087" s="8"/>
      <c r="AT4087" s="7"/>
      <c r="AU4087" s="7"/>
      <c r="AV4087" s="4">
        <v>7</v>
      </c>
      <c r="AW4087" s="8">
        <v>82.67</v>
      </c>
      <c r="AX4087" s="4"/>
      <c r="AY4087" s="8"/>
      <c r="AZ4087" s="7"/>
      <c r="BA4087" s="7"/>
      <c r="BB4087" s="7">
        <v>1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>
        <v>0.1944</v>
      </c>
      <c r="BJ4087" s="4">
        <v>280</v>
      </c>
      <c r="BK4087" s="8">
        <v>3683.37</v>
      </c>
      <c r="BL4087" s="2" t="s">
        <v>12373</v>
      </c>
      <c r="BM4087" s="7">
        <v>0.025</v>
      </c>
      <c r="BN4087" s="7">
        <v>0.0224</v>
      </c>
      <c r="BO4087" s="4">
        <v>7</v>
      </c>
      <c r="BP4087" s="8">
        <v>82.67</v>
      </c>
      <c r="BQ4087" s="4"/>
      <c r="BR4087" s="8"/>
      <c r="BS4087" s="7"/>
      <c r="BT4087" s="7"/>
      <c r="BU4087" s="2" t="s">
        <v>109</v>
      </c>
      <c r="BV4087" s="2" t="s">
        <v>110</v>
      </c>
      <c r="BW4087" s="2" t="s">
        <v>12187</v>
      </c>
      <c r="BX4087" s="2" t="s">
        <v>173</v>
      </c>
      <c r="BY4087" s="2" t="s">
        <v>113</v>
      </c>
      <c r="BZ4087" s="2" t="s">
        <v>245</v>
      </c>
    </row>
    <row r="4088">
      <c r="A4088" s="2" t="s">
        <v>12374</v>
      </c>
      <c r="B4088" s="2" t="s">
        <v>11863</v>
      </c>
      <c r="C4088" s="2" t="s">
        <v>88</v>
      </c>
      <c r="D4088" s="2" t="s">
        <v>2598</v>
      </c>
      <c r="E4088" s="2" t="s">
        <v>2599</v>
      </c>
      <c r="F4088" s="2" t="s">
        <v>12181</v>
      </c>
      <c r="G4088" s="2" t="s">
        <v>12182</v>
      </c>
      <c r="H4088" s="2" t="s">
        <v>12183</v>
      </c>
      <c r="I4088" s="2" t="s">
        <v>12365</v>
      </c>
      <c r="J4088" s="2" t="s">
        <v>12366</v>
      </c>
      <c r="K4088" s="2" t="s">
        <v>1614</v>
      </c>
      <c r="L4088" s="3">
        <v>12.42</v>
      </c>
      <c r="M4088" s="3">
        <v>13.04</v>
      </c>
      <c r="N4088" s="3">
        <v>26.99</v>
      </c>
      <c r="O4088" s="2" t="s">
        <v>97</v>
      </c>
      <c r="P4088" s="2" t="s">
        <v>119</v>
      </c>
      <c r="Q4088" s="2" t="s">
        <v>99</v>
      </c>
      <c r="R4088" s="2" t="s">
        <v>100</v>
      </c>
      <c r="S4088" s="2" t="s">
        <v>12189</v>
      </c>
      <c r="T4088" s="2" t="s">
        <v>100</v>
      </c>
      <c r="U4088" s="2" t="s">
        <v>100</v>
      </c>
      <c r="V4088" s="2" t="s">
        <v>403</v>
      </c>
      <c r="W4088" s="2" t="s">
        <v>104</v>
      </c>
      <c r="X4088" s="2" t="s">
        <v>100</v>
      </c>
      <c r="Y4088" s="2" t="s">
        <v>6310</v>
      </c>
      <c r="Z4088" s="4">
        <v>373</v>
      </c>
      <c r="AA4088" s="4">
        <f>=ROUNDDOWN(31.0833333333333,0)</f>
      </c>
      <c r="AB4088" s="5">
        <v>12</v>
      </c>
      <c r="AC4088" s="2" t="s">
        <v>1342</v>
      </c>
      <c r="AD4088" s="4">
        <v>152</v>
      </c>
      <c r="AE4088" s="4">
        <v>152</v>
      </c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>
        <v>4</v>
      </c>
      <c r="AQ4088" s="8">
        <v>47.24</v>
      </c>
      <c r="AR4088" s="4"/>
      <c r="AS4088" s="8"/>
      <c r="AT4088" s="7"/>
      <c r="AU4088" s="7"/>
      <c r="AV4088" s="4">
        <v>4</v>
      </c>
      <c r="AW4088" s="8">
        <v>47.24</v>
      </c>
      <c r="AX4088" s="4"/>
      <c r="AY4088" s="8"/>
      <c r="AZ4088" s="7"/>
      <c r="BA4088" s="7"/>
      <c r="BB4088" s="7">
        <v>1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>
        <v>0.1111</v>
      </c>
      <c r="BJ4088" s="4">
        <v>264</v>
      </c>
      <c r="BK4088" s="8">
        <v>3422.84</v>
      </c>
      <c r="BL4088" s="2" t="s">
        <v>12375</v>
      </c>
      <c r="BM4088" s="7">
        <v>0.0152</v>
      </c>
      <c r="BN4088" s="7">
        <v>0.0138</v>
      </c>
      <c r="BO4088" s="4">
        <v>4</v>
      </c>
      <c r="BP4088" s="8">
        <v>47.24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12187</v>
      </c>
      <c r="BX4088" s="2" t="s">
        <v>12376</v>
      </c>
      <c r="BY4088" s="2" t="s">
        <v>113</v>
      </c>
      <c r="BZ4088" s="2" t="s">
        <v>245</v>
      </c>
    </row>
    <row r="4089">
      <c r="A4089" s="2" t="s">
        <v>12377</v>
      </c>
      <c r="B4089" s="2" t="s">
        <v>11863</v>
      </c>
      <c r="C4089" s="2" t="s">
        <v>88</v>
      </c>
      <c r="D4089" s="2" t="s">
        <v>2598</v>
      </c>
      <c r="E4089" s="2" t="s">
        <v>2599</v>
      </c>
      <c r="F4089" s="2" t="s">
        <v>1503</v>
      </c>
      <c r="G4089" s="2" t="s">
        <v>117</v>
      </c>
      <c r="H4089" s="2" t="s">
        <v>11960</v>
      </c>
      <c r="I4089" s="2" t="s">
        <v>12378</v>
      </c>
      <c r="J4089" s="2" t="s">
        <v>12379</v>
      </c>
      <c r="K4089" s="2" t="s">
        <v>360</v>
      </c>
      <c r="L4089" s="3">
        <v>12.6</v>
      </c>
      <c r="M4089" s="3">
        <v>13.23</v>
      </c>
      <c r="N4089" s="3">
        <v>29.99</v>
      </c>
      <c r="O4089" s="2" t="s">
        <v>97</v>
      </c>
      <c r="P4089" s="2" t="s">
        <v>119</v>
      </c>
      <c r="Q4089" s="2" t="s">
        <v>99</v>
      </c>
      <c r="R4089" s="2" t="s">
        <v>100</v>
      </c>
      <c r="S4089" s="2" t="s">
        <v>12380</v>
      </c>
      <c r="T4089" s="2" t="s">
        <v>100</v>
      </c>
      <c r="U4089" s="2" t="s">
        <v>1847</v>
      </c>
      <c r="V4089" s="2" t="s">
        <v>146</v>
      </c>
      <c r="W4089" s="2" t="s">
        <v>104</v>
      </c>
      <c r="X4089" s="2" t="s">
        <v>100</v>
      </c>
      <c r="Y4089" s="2" t="s">
        <v>12381</v>
      </c>
      <c r="Z4089" s="4">
        <v>209</v>
      </c>
      <c r="AA4089" s="4">
        <f>=ROUNDDOWN(19,0)</f>
      </c>
      <c r="AB4089" s="5">
        <v>11</v>
      </c>
      <c r="AC4089" s="2" t="s">
        <v>931</v>
      </c>
      <c r="AD4089" s="4">
        <v>104</v>
      </c>
      <c r="AE4089" s="4">
        <v>256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>
        <v>5</v>
      </c>
      <c r="AQ4089" s="8">
        <v>59.05</v>
      </c>
      <c r="AR4089" s="4"/>
      <c r="AS4089" s="8"/>
      <c r="AT4089" s="7"/>
      <c r="AU4089" s="7"/>
      <c r="AV4089" s="4">
        <v>5</v>
      </c>
      <c r="AW4089" s="8">
        <v>59.05</v>
      </c>
      <c r="AX4089" s="4"/>
      <c r="AY4089" s="8"/>
      <c r="AZ4089" s="7"/>
      <c r="BA4089" s="7"/>
      <c r="BB4089" s="7">
        <v>1</v>
      </c>
      <c r="BC4089" s="4">
        <v>9</v>
      </c>
      <c r="BD4089" s="8">
        <v>106.29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>
        <v>0.5556</v>
      </c>
      <c r="BJ4089" s="4">
        <v>206</v>
      </c>
      <c r="BK4089" s="8">
        <v>2934.74</v>
      </c>
      <c r="BL4089" s="2" t="s">
        <v>12382</v>
      </c>
      <c r="BM4089" s="7">
        <v>0.0243</v>
      </c>
      <c r="BN4089" s="7">
        <v>0.0201</v>
      </c>
      <c r="BO4089" s="4">
        <v>5</v>
      </c>
      <c r="BP4089" s="8">
        <v>59.05</v>
      </c>
      <c r="BQ4089" s="4"/>
      <c r="BR4089" s="8"/>
      <c r="BS4089" s="7"/>
      <c r="BT4089" s="7"/>
      <c r="BU4089" s="2" t="s">
        <v>109</v>
      </c>
      <c r="BV4089" s="2" t="s">
        <v>110</v>
      </c>
      <c r="BW4089" s="2" t="s">
        <v>6088</v>
      </c>
      <c r="BX4089" s="2" t="s">
        <v>12383</v>
      </c>
      <c r="BY4089" s="2" t="s">
        <v>113</v>
      </c>
      <c r="BZ4089" s="2" t="s">
        <v>245</v>
      </c>
    </row>
    <row r="4090">
      <c r="A4090" s="2" t="s">
        <v>12384</v>
      </c>
      <c r="B4090" s="2" t="s">
        <v>11863</v>
      </c>
      <c r="C4090" s="2" t="s">
        <v>88</v>
      </c>
      <c r="D4090" s="2" t="s">
        <v>2598</v>
      </c>
      <c r="E4090" s="2" t="s">
        <v>2599</v>
      </c>
      <c r="F4090" s="2" t="s">
        <v>1503</v>
      </c>
      <c r="G4090" s="2" t="s">
        <v>117</v>
      </c>
      <c r="H4090" s="2" t="s">
        <v>11960</v>
      </c>
      <c r="I4090" s="2" t="s">
        <v>12378</v>
      </c>
      <c r="J4090" s="2" t="s">
        <v>12379</v>
      </c>
      <c r="K4090" s="2" t="s">
        <v>432</v>
      </c>
      <c r="L4090" s="3">
        <v>12.6</v>
      </c>
      <c r="M4090" s="3">
        <v>13.23</v>
      </c>
      <c r="N4090" s="3">
        <v>29.99</v>
      </c>
      <c r="O4090" s="2" t="s">
        <v>97</v>
      </c>
      <c r="P4090" s="2" t="s">
        <v>119</v>
      </c>
      <c r="Q4090" s="2" t="s">
        <v>99</v>
      </c>
      <c r="R4090" s="2" t="s">
        <v>100</v>
      </c>
      <c r="S4090" s="2" t="s">
        <v>12385</v>
      </c>
      <c r="T4090" s="2" t="s">
        <v>100</v>
      </c>
      <c r="U4090" s="2" t="s">
        <v>1847</v>
      </c>
      <c r="V4090" s="2" t="s">
        <v>146</v>
      </c>
      <c r="W4090" s="2" t="s">
        <v>104</v>
      </c>
      <c r="X4090" s="2" t="s">
        <v>100</v>
      </c>
      <c r="Y4090" s="2" t="s">
        <v>12381</v>
      </c>
      <c r="Z4090" s="4">
        <v>218</v>
      </c>
      <c r="AA4090" s="4">
        <f>=ROUNDDOWN(31.1428571428571,0)</f>
      </c>
      <c r="AB4090" s="5">
        <v>7</v>
      </c>
      <c r="AC4090" s="2" t="s">
        <v>356</v>
      </c>
      <c r="AD4090" s="4">
        <v>1080</v>
      </c>
      <c r="AE4090" s="4">
        <v>1188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>
        <v>4</v>
      </c>
      <c r="AQ4090" s="8">
        <v>47.24</v>
      </c>
      <c r="AR4090" s="4"/>
      <c r="AS4090" s="8"/>
      <c r="AT4090" s="7"/>
      <c r="AU4090" s="7"/>
      <c r="AV4090" s="4">
        <v>4</v>
      </c>
      <c r="AW4090" s="8">
        <v>47.24</v>
      </c>
      <c r="AX4090" s="4"/>
      <c r="AY4090" s="8"/>
      <c r="AZ4090" s="7"/>
      <c r="BA4090" s="7"/>
      <c r="BB4090" s="7">
        <v>1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>
        <v>0.4444</v>
      </c>
      <c r="BJ4090" s="4">
        <v>119</v>
      </c>
      <c r="BK4090" s="8">
        <v>1635.32</v>
      </c>
      <c r="BL4090" s="2" t="s">
        <v>12386</v>
      </c>
      <c r="BM4090" s="7">
        <v>0.0336</v>
      </c>
      <c r="BN4090" s="7">
        <v>0.0289</v>
      </c>
      <c r="BO4090" s="4">
        <v>4</v>
      </c>
      <c r="BP4090" s="8">
        <v>47.24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6088</v>
      </c>
      <c r="BX4090" s="2" t="s">
        <v>623</v>
      </c>
      <c r="BY4090" s="2" t="s">
        <v>113</v>
      </c>
      <c r="BZ4090" s="2" t="s">
        <v>245</v>
      </c>
    </row>
    <row r="4091">
      <c r="A4091" s="2" t="s">
        <v>12387</v>
      </c>
      <c r="B4091" s="2" t="s">
        <v>11863</v>
      </c>
      <c r="C4091" s="2" t="s">
        <v>88</v>
      </c>
      <c r="D4091" s="2" t="s">
        <v>2598</v>
      </c>
      <c r="E4091" s="2" t="s">
        <v>2599</v>
      </c>
      <c r="F4091" s="2" t="s">
        <v>1503</v>
      </c>
      <c r="G4091" s="2" t="s">
        <v>117</v>
      </c>
      <c r="H4091" s="2" t="s">
        <v>11960</v>
      </c>
      <c r="I4091" s="2" t="s">
        <v>12378</v>
      </c>
      <c r="J4091" s="2" t="s">
        <v>12379</v>
      </c>
      <c r="K4091" s="2" t="s">
        <v>189</v>
      </c>
      <c r="L4091" s="3">
        <v>12.6</v>
      </c>
      <c r="M4091" s="3">
        <v>13.23</v>
      </c>
      <c r="N4091" s="3">
        <v>29.99</v>
      </c>
      <c r="O4091" s="2" t="s">
        <v>97</v>
      </c>
      <c r="P4091" s="2" t="s">
        <v>950</v>
      </c>
      <c r="Q4091" s="2" t="s">
        <v>99</v>
      </c>
      <c r="R4091" s="2" t="s">
        <v>100</v>
      </c>
      <c r="S4091" s="2" t="s">
        <v>11963</v>
      </c>
      <c r="T4091" s="2" t="s">
        <v>100</v>
      </c>
      <c r="U4091" s="2" t="s">
        <v>100</v>
      </c>
      <c r="V4091" s="2" t="s">
        <v>146</v>
      </c>
      <c r="W4091" s="2" t="s">
        <v>104</v>
      </c>
      <c r="X4091" s="2" t="s">
        <v>100</v>
      </c>
      <c r="Y4091" s="2" t="s">
        <v>810</v>
      </c>
      <c r="Z4091" s="4">
        <v>753</v>
      </c>
      <c r="AA4091" s="4">
        <f>=ROUNDDOWN(50.2,0)</f>
      </c>
      <c r="AB4091" s="5">
        <v>15</v>
      </c>
      <c r="AC4091" s="2" t="s">
        <v>100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>
        <v>398</v>
      </c>
      <c r="BK4091" s="8">
        <v>5758.31</v>
      </c>
      <c r="BL4091" s="2" t="s">
        <v>12388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470</v>
      </c>
      <c r="BX4091" s="2" t="s">
        <v>975</v>
      </c>
      <c r="BY4091" s="2" t="s">
        <v>113</v>
      </c>
      <c r="BZ4091" s="2" t="s">
        <v>245</v>
      </c>
    </row>
    <row r="4092">
      <c r="A4092" s="2" t="s">
        <v>12389</v>
      </c>
      <c r="B4092" s="2" t="s">
        <v>11863</v>
      </c>
      <c r="C4092" s="2" t="s">
        <v>88</v>
      </c>
      <c r="D4092" s="2" t="s">
        <v>2598</v>
      </c>
      <c r="E4092" s="2" t="s">
        <v>2599</v>
      </c>
      <c r="F4092" s="2" t="s">
        <v>389</v>
      </c>
      <c r="G4092" s="2" t="s">
        <v>390</v>
      </c>
      <c r="H4092" s="2" t="s">
        <v>391</v>
      </c>
      <c r="I4092" s="2" t="s">
        <v>12390</v>
      </c>
      <c r="J4092" s="2" t="s">
        <v>12391</v>
      </c>
      <c r="K4092" s="2" t="s">
        <v>765</v>
      </c>
      <c r="L4092" s="3">
        <v>12.6</v>
      </c>
      <c r="M4092" s="3">
        <v>13.23</v>
      </c>
      <c r="N4092" s="3">
        <v>29.99</v>
      </c>
      <c r="O4092" s="2" t="s">
        <v>97</v>
      </c>
      <c r="P4092" s="2" t="s">
        <v>119</v>
      </c>
      <c r="Q4092" s="2" t="s">
        <v>99</v>
      </c>
      <c r="R4092" s="2" t="s">
        <v>100</v>
      </c>
      <c r="S4092" s="2" t="s">
        <v>100</v>
      </c>
      <c r="T4092" s="2" t="s">
        <v>100</v>
      </c>
      <c r="U4092" s="2" t="s">
        <v>1847</v>
      </c>
      <c r="V4092" s="2" t="s">
        <v>393</v>
      </c>
      <c r="W4092" s="2" t="s">
        <v>309</v>
      </c>
      <c r="X4092" s="2" t="s">
        <v>100</v>
      </c>
      <c r="Y4092" s="2" t="s">
        <v>5485</v>
      </c>
      <c r="Z4092" s="4">
        <v>699</v>
      </c>
      <c r="AA4092" s="4">
        <f>=ROUNDDOWN(31.7727272727273,0)</f>
      </c>
      <c r="AB4092" s="5">
        <v>22</v>
      </c>
      <c r="AC4092" s="2" t="s">
        <v>934</v>
      </c>
      <c r="AD4092" s="4">
        <v>160</v>
      </c>
      <c r="AE4092" s="4">
        <v>160</v>
      </c>
      <c r="AF4092" s="6">
        <v>66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>
        <v>1</v>
      </c>
      <c r="AQ4092" s="8">
        <v>11.81</v>
      </c>
      <c r="AR4092" s="4"/>
      <c r="AS4092" s="8"/>
      <c r="AT4092" s="7"/>
      <c r="AU4092" s="7"/>
      <c r="AV4092" s="4">
        <v>1</v>
      </c>
      <c r="AW4092" s="8">
        <v>11.81</v>
      </c>
      <c r="AX4092" s="4"/>
      <c r="AY4092" s="8"/>
      <c r="AZ4092" s="7"/>
      <c r="BA4092" s="7"/>
      <c r="BB4092" s="7">
        <v>1</v>
      </c>
      <c r="BC4092" s="4">
        <v>1</v>
      </c>
      <c r="BD4092" s="8">
        <v>11.81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>
        <v>1</v>
      </c>
      <c r="BJ4092" s="4">
        <v>428</v>
      </c>
      <c r="BK4092" s="8">
        <v>5696.34</v>
      </c>
      <c r="BL4092" s="2" t="s">
        <v>12392</v>
      </c>
      <c r="BM4092" s="7">
        <v>0.0023</v>
      </c>
      <c r="BN4092" s="7">
        <v>0.0021</v>
      </c>
      <c r="BO4092" s="4">
        <v>1</v>
      </c>
      <c r="BP4092" s="8">
        <v>11.81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6088</v>
      </c>
      <c r="BX4092" s="2" t="s">
        <v>5409</v>
      </c>
      <c r="BY4092" s="2" t="s">
        <v>113</v>
      </c>
      <c r="BZ4092" s="2" t="s">
        <v>245</v>
      </c>
    </row>
    <row r="4093">
      <c r="A4093" s="2" t="s">
        <v>12393</v>
      </c>
      <c r="B4093" s="2" t="s">
        <v>11863</v>
      </c>
      <c r="C4093" s="2" t="s">
        <v>88</v>
      </c>
      <c r="D4093" s="2" t="s">
        <v>2598</v>
      </c>
      <c r="E4093" s="2" t="s">
        <v>2599</v>
      </c>
      <c r="F4093" s="2" t="s">
        <v>389</v>
      </c>
      <c r="G4093" s="2" t="s">
        <v>390</v>
      </c>
      <c r="H4093" s="2" t="s">
        <v>391</v>
      </c>
      <c r="I4093" s="2" t="s">
        <v>12390</v>
      </c>
      <c r="J4093" s="2" t="s">
        <v>12391</v>
      </c>
      <c r="K4093" s="2" t="s">
        <v>360</v>
      </c>
      <c r="L4093" s="3">
        <v>12.6</v>
      </c>
      <c r="M4093" s="3">
        <v>13.23</v>
      </c>
      <c r="N4093" s="3">
        <v>26.99</v>
      </c>
      <c r="O4093" s="2" t="s">
        <v>97</v>
      </c>
      <c r="P4093" s="2" t="s">
        <v>98</v>
      </c>
      <c r="Q4093" s="2" t="s">
        <v>99</v>
      </c>
      <c r="R4093" s="2" t="s">
        <v>100</v>
      </c>
      <c r="S4093" s="2" t="s">
        <v>12394</v>
      </c>
      <c r="T4093" s="2" t="s">
        <v>218</v>
      </c>
      <c r="U4093" s="2" t="s">
        <v>1847</v>
      </c>
      <c r="V4093" s="2" t="s">
        <v>393</v>
      </c>
      <c r="W4093" s="2" t="s">
        <v>309</v>
      </c>
      <c r="X4093" s="2" t="s">
        <v>100</v>
      </c>
      <c r="Y4093" s="2" t="s">
        <v>12084</v>
      </c>
      <c r="Z4093" s="4">
        <v>470</v>
      </c>
      <c r="AA4093" s="4">
        <f>=ROUNDDOWN(16.7857142857143,0)</f>
      </c>
      <c r="AB4093" s="5">
        <v>28</v>
      </c>
      <c r="AC4093" s="2" t="s">
        <v>1035</v>
      </c>
      <c r="AD4093" s="4">
        <v>160</v>
      </c>
      <c r="AE4093" s="4">
        <v>384</v>
      </c>
      <c r="AF4093" s="6">
        <v>66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/>
      <c r="BJ4093" s="4">
        <v>671</v>
      </c>
      <c r="BK4093" s="8">
        <v>8993.46</v>
      </c>
      <c r="BL4093" s="2" t="s">
        <v>12395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207</v>
      </c>
      <c r="BV4093" s="2" t="s">
        <v>97</v>
      </c>
      <c r="BW4093" s="2" t="s">
        <v>100</v>
      </c>
      <c r="BX4093" s="2" t="s">
        <v>100</v>
      </c>
      <c r="BY4093" s="2" t="s">
        <v>113</v>
      </c>
      <c r="BZ4093" s="2" t="s">
        <v>245</v>
      </c>
    </row>
    <row r="4094">
      <c r="A4094" s="2" t="s">
        <v>12396</v>
      </c>
      <c r="B4094" s="2" t="s">
        <v>11863</v>
      </c>
      <c r="C4094" s="2" t="s">
        <v>88</v>
      </c>
      <c r="D4094" s="2" t="s">
        <v>2598</v>
      </c>
      <c r="E4094" s="2" t="s">
        <v>2599</v>
      </c>
      <c r="F4094" s="2" t="s">
        <v>1093</v>
      </c>
      <c r="G4094" s="2" t="s">
        <v>1094</v>
      </c>
      <c r="H4094" s="2" t="s">
        <v>1095</v>
      </c>
      <c r="I4094" s="2" t="s">
        <v>12397</v>
      </c>
      <c r="J4094" s="2" t="s">
        <v>12391</v>
      </c>
      <c r="K4094" s="2" t="s">
        <v>297</v>
      </c>
      <c r="L4094" s="3">
        <v>11.25</v>
      </c>
      <c r="M4094" s="3">
        <v>11.81</v>
      </c>
      <c r="N4094" s="3">
        <v>24.99</v>
      </c>
      <c r="O4094" s="2" t="s">
        <v>97</v>
      </c>
      <c r="P4094" s="2" t="s">
        <v>119</v>
      </c>
      <c r="Q4094" s="2" t="s">
        <v>99</v>
      </c>
      <c r="R4094" s="2" t="s">
        <v>100</v>
      </c>
      <c r="S4094" s="2" t="s">
        <v>5148</v>
      </c>
      <c r="T4094" s="2" t="s">
        <v>100</v>
      </c>
      <c r="U4094" s="2" t="s">
        <v>1847</v>
      </c>
      <c r="V4094" s="2" t="s">
        <v>434</v>
      </c>
      <c r="W4094" s="2" t="s">
        <v>309</v>
      </c>
      <c r="X4094" s="2" t="s">
        <v>100</v>
      </c>
      <c r="Y4094" s="2" t="s">
        <v>12024</v>
      </c>
      <c r="Z4094" s="4">
        <v>466</v>
      </c>
      <c r="AA4094" s="4">
        <f>=ROUNDDOWN(66.5714285714286,0)</f>
      </c>
      <c r="AB4094" s="5">
        <v>7</v>
      </c>
      <c r="AC4094" s="2" t="s">
        <v>100</v>
      </c>
      <c r="AD4094" s="4"/>
      <c r="AE4094" s="4"/>
      <c r="AF4094" s="6">
        <v>64</v>
      </c>
      <c r="AG4094" s="6"/>
      <c r="AH4094" s="7">
        <v>0.8877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>
        <v>1</v>
      </c>
      <c r="AQ4094" s="8">
        <v>10.49</v>
      </c>
      <c r="AR4094" s="4"/>
      <c r="AS4094" s="8"/>
      <c r="AT4094" s="7"/>
      <c r="AU4094" s="7"/>
      <c r="AV4094" s="4">
        <v>1</v>
      </c>
      <c r="AW4094" s="8">
        <v>10.49</v>
      </c>
      <c r="AX4094" s="4"/>
      <c r="AY4094" s="8"/>
      <c r="AZ4094" s="7"/>
      <c r="BA4094" s="7"/>
      <c r="BB4094" s="7">
        <v>1</v>
      </c>
      <c r="BC4094" s="4">
        <v>1</v>
      </c>
      <c r="BD4094" s="8">
        <v>10.49</v>
      </c>
      <c r="BE4094" s="4"/>
      <c r="BF4094" s="8"/>
      <c r="BG4094" s="7"/>
      <c r="BH4094" s="7"/>
      <c r="BI4094" s="7">
        <v>1</v>
      </c>
      <c r="BJ4094" s="4">
        <v>117</v>
      </c>
      <c r="BK4094" s="8">
        <v>1350.78</v>
      </c>
      <c r="BL4094" s="2" t="s">
        <v>12065</v>
      </c>
      <c r="BM4094" s="7">
        <v>0.0085</v>
      </c>
      <c r="BN4094" s="7">
        <v>0.0078</v>
      </c>
      <c r="BO4094" s="4">
        <v>1</v>
      </c>
      <c r="BP4094" s="8">
        <v>10.49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5477</v>
      </c>
      <c r="BX4094" s="2" t="s">
        <v>945</v>
      </c>
      <c r="BY4094" s="2" t="s">
        <v>113</v>
      </c>
      <c r="BZ4094" s="2" t="s">
        <v>245</v>
      </c>
    </row>
    <row r="4095">
      <c r="A4095" s="2" t="s">
        <v>12398</v>
      </c>
      <c r="B4095" s="2" t="s">
        <v>11863</v>
      </c>
      <c r="C4095" s="2" t="s">
        <v>88</v>
      </c>
      <c r="D4095" s="2" t="s">
        <v>2598</v>
      </c>
      <c r="E4095" s="2" t="s">
        <v>2599</v>
      </c>
      <c r="F4095" s="2" t="s">
        <v>12399</v>
      </c>
      <c r="G4095" s="2" t="s">
        <v>12400</v>
      </c>
      <c r="H4095" s="2" t="s">
        <v>12401</v>
      </c>
      <c r="I4095" s="2" t="s">
        <v>12402</v>
      </c>
      <c r="J4095" s="2" t="s">
        <v>12366</v>
      </c>
      <c r="K4095" s="2" t="s">
        <v>8807</v>
      </c>
      <c r="L4095" s="3">
        <v>12.42</v>
      </c>
      <c r="M4095" s="3">
        <v>13.04</v>
      </c>
      <c r="N4095" s="3">
        <v>26.99</v>
      </c>
      <c r="O4095" s="2" t="s">
        <v>97</v>
      </c>
      <c r="P4095" s="2" t="s">
        <v>119</v>
      </c>
      <c r="Q4095" s="2" t="s">
        <v>99</v>
      </c>
      <c r="R4095" s="2" t="s">
        <v>100</v>
      </c>
      <c r="S4095" s="2" t="s">
        <v>12403</v>
      </c>
      <c r="T4095" s="2" t="s">
        <v>100</v>
      </c>
      <c r="U4095" s="2" t="s">
        <v>100</v>
      </c>
      <c r="V4095" s="2" t="s">
        <v>146</v>
      </c>
      <c r="W4095" s="2" t="s">
        <v>309</v>
      </c>
      <c r="X4095" s="2" t="s">
        <v>100</v>
      </c>
      <c r="Y4095" s="2" t="s">
        <v>7970</v>
      </c>
      <c r="Z4095" s="4">
        <v>431</v>
      </c>
      <c r="AA4095" s="4">
        <f>=ROUNDDOWN(14.3666666666667,0)</f>
      </c>
      <c r="AB4095" s="5">
        <v>30</v>
      </c>
      <c r="AC4095" s="2" t="s">
        <v>356</v>
      </c>
      <c r="AD4095" s="4">
        <v>936</v>
      </c>
      <c r="AE4095" s="4">
        <v>1496</v>
      </c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>
        <v>697</v>
      </c>
      <c r="BK4095" s="8">
        <v>8998.26</v>
      </c>
      <c r="BL4095" s="2" t="s">
        <v>12404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12187</v>
      </c>
      <c r="BX4095" s="2" t="s">
        <v>9719</v>
      </c>
      <c r="BY4095" s="2" t="s">
        <v>113</v>
      </c>
      <c r="BZ4095" s="2" t="s">
        <v>245</v>
      </c>
    </row>
    <row r="4096">
      <c r="A4096" s="2" t="s">
        <v>12405</v>
      </c>
      <c r="B4096" s="2" t="s">
        <v>11863</v>
      </c>
      <c r="C4096" s="2" t="s">
        <v>88</v>
      </c>
      <c r="D4096" s="2" t="s">
        <v>2598</v>
      </c>
      <c r="E4096" s="2" t="s">
        <v>2599</v>
      </c>
      <c r="F4096" s="2" t="s">
        <v>12399</v>
      </c>
      <c r="G4096" s="2" t="s">
        <v>12400</v>
      </c>
      <c r="H4096" s="2" t="s">
        <v>12401</v>
      </c>
      <c r="I4096" s="2" t="s">
        <v>12402</v>
      </c>
      <c r="J4096" s="2" t="s">
        <v>12366</v>
      </c>
      <c r="K4096" s="2" t="s">
        <v>360</v>
      </c>
      <c r="L4096" s="3">
        <v>12.42</v>
      </c>
      <c r="M4096" s="3">
        <v>13.04</v>
      </c>
      <c r="N4096" s="3">
        <v>26.99</v>
      </c>
      <c r="O4096" s="2" t="s">
        <v>97</v>
      </c>
      <c r="P4096" s="2" t="s">
        <v>119</v>
      </c>
      <c r="Q4096" s="2" t="s">
        <v>99</v>
      </c>
      <c r="R4096" s="2" t="s">
        <v>100</v>
      </c>
      <c r="S4096" s="2" t="s">
        <v>12380</v>
      </c>
      <c r="T4096" s="2" t="s">
        <v>200</v>
      </c>
      <c r="U4096" s="2" t="s">
        <v>1847</v>
      </c>
      <c r="V4096" s="2" t="s">
        <v>146</v>
      </c>
      <c r="W4096" s="2" t="s">
        <v>309</v>
      </c>
      <c r="X4096" s="2" t="s">
        <v>100</v>
      </c>
      <c r="Y4096" s="2" t="s">
        <v>12406</v>
      </c>
      <c r="Z4096" s="4">
        <v>237</v>
      </c>
      <c r="AA4096" s="4">
        <f>=ROUNDDOWN(18.2307692307692,0)</f>
      </c>
      <c r="AB4096" s="5">
        <v>13</v>
      </c>
      <c r="AC4096" s="2" t="s">
        <v>931</v>
      </c>
      <c r="AD4096" s="4">
        <v>120</v>
      </c>
      <c r="AE4096" s="4">
        <v>320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>
        <v>258</v>
      </c>
      <c r="BK4096" s="8">
        <v>3758.42</v>
      </c>
      <c r="BL4096" s="2" t="s">
        <v>12407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207</v>
      </c>
      <c r="BV4096" s="2" t="s">
        <v>97</v>
      </c>
      <c r="BW4096" s="2" t="s">
        <v>100</v>
      </c>
      <c r="BX4096" s="2" t="s">
        <v>100</v>
      </c>
      <c r="BY4096" s="2" t="s">
        <v>113</v>
      </c>
      <c r="BZ4096" s="2" t="s">
        <v>245</v>
      </c>
    </row>
    <row r="4097">
      <c r="A4097" s="2" t="s">
        <v>12408</v>
      </c>
      <c r="B4097" s="2" t="s">
        <v>11863</v>
      </c>
      <c r="C4097" s="2" t="s">
        <v>88</v>
      </c>
      <c r="D4097" s="2" t="s">
        <v>2598</v>
      </c>
      <c r="E4097" s="2" t="s">
        <v>2599</v>
      </c>
      <c r="F4097" s="2" t="s">
        <v>12399</v>
      </c>
      <c r="G4097" s="2" t="s">
        <v>12400</v>
      </c>
      <c r="H4097" s="2" t="s">
        <v>12401</v>
      </c>
      <c r="I4097" s="2" t="s">
        <v>12402</v>
      </c>
      <c r="J4097" s="2" t="s">
        <v>12366</v>
      </c>
      <c r="K4097" s="2" t="s">
        <v>1340</v>
      </c>
      <c r="L4097" s="3">
        <v>12.42</v>
      </c>
      <c r="M4097" s="3">
        <v>13.04</v>
      </c>
      <c r="N4097" s="3">
        <v>26.99</v>
      </c>
      <c r="O4097" s="2" t="s">
        <v>97</v>
      </c>
      <c r="P4097" s="2" t="s">
        <v>119</v>
      </c>
      <c r="Q4097" s="2" t="s">
        <v>99</v>
      </c>
      <c r="R4097" s="2" t="s">
        <v>100</v>
      </c>
      <c r="S4097" s="2" t="s">
        <v>12409</v>
      </c>
      <c r="T4097" s="2" t="s">
        <v>200</v>
      </c>
      <c r="U4097" s="2" t="s">
        <v>1847</v>
      </c>
      <c r="V4097" s="2" t="s">
        <v>146</v>
      </c>
      <c r="W4097" s="2" t="s">
        <v>309</v>
      </c>
      <c r="X4097" s="2" t="s">
        <v>100</v>
      </c>
      <c r="Y4097" s="2" t="s">
        <v>12406</v>
      </c>
      <c r="Z4097" s="4">
        <v>850</v>
      </c>
      <c r="AA4097" s="4">
        <f>=ROUNDDOWN(60.7142857142857,0)</f>
      </c>
      <c r="AB4097" s="5">
        <v>14</v>
      </c>
      <c r="AC4097" s="2" t="s">
        <v>100</v>
      </c>
      <c r="AD4097" s="4"/>
      <c r="AE4097" s="4"/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/>
      <c r="BJ4097" s="4">
        <v>351</v>
      </c>
      <c r="BK4097" s="8">
        <v>4565.31</v>
      </c>
      <c r="BL4097" s="2" t="s">
        <v>12410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207</v>
      </c>
      <c r="BV4097" s="2" t="s">
        <v>97</v>
      </c>
      <c r="BW4097" s="2" t="s">
        <v>100</v>
      </c>
      <c r="BX4097" s="2" t="s">
        <v>100</v>
      </c>
      <c r="BY4097" s="2" t="s">
        <v>113</v>
      </c>
      <c r="BZ4097" s="2" t="s">
        <v>245</v>
      </c>
    </row>
    <row r="4098">
      <c r="A4098" s="2" t="s">
        <v>12411</v>
      </c>
      <c r="B4098" s="2" t="s">
        <v>11863</v>
      </c>
      <c r="C4098" s="2" t="s">
        <v>12412</v>
      </c>
      <c r="D4098" s="2" t="s">
        <v>2605</v>
      </c>
      <c r="E4098" s="2" t="s">
        <v>2606</v>
      </c>
      <c r="F4098" s="2" t="s">
        <v>12413</v>
      </c>
      <c r="G4098" s="2" t="s">
        <v>12414</v>
      </c>
      <c r="H4098" s="2" t="s">
        <v>12415</v>
      </c>
      <c r="I4098" s="2" t="s">
        <v>12416</v>
      </c>
      <c r="J4098" s="2" t="s">
        <v>11868</v>
      </c>
      <c r="K4098" s="2" t="s">
        <v>2477</v>
      </c>
      <c r="L4098" s="3">
        <v>16.8</v>
      </c>
      <c r="M4098" s="3">
        <v>17.64</v>
      </c>
      <c r="N4098" s="3">
        <v>39.99</v>
      </c>
      <c r="O4098" s="2" t="s">
        <v>97</v>
      </c>
      <c r="P4098" s="2" t="s">
        <v>119</v>
      </c>
      <c r="Q4098" s="2" t="s">
        <v>99</v>
      </c>
      <c r="R4098" s="2" t="s">
        <v>100</v>
      </c>
      <c r="S4098" s="2" t="s">
        <v>12417</v>
      </c>
      <c r="T4098" s="2" t="s">
        <v>100</v>
      </c>
      <c r="U4098" s="2" t="s">
        <v>100</v>
      </c>
      <c r="V4098" s="2" t="s">
        <v>403</v>
      </c>
      <c r="W4098" s="2" t="s">
        <v>561</v>
      </c>
      <c r="X4098" s="2" t="s">
        <v>11964</v>
      </c>
      <c r="Y4098" s="2" t="s">
        <v>2054</v>
      </c>
      <c r="Z4098" s="4">
        <v>845</v>
      </c>
      <c r="AA4098" s="4">
        <f>=ROUNDDOWN(44.4736842105263,0)</f>
      </c>
      <c r="AB4098" s="5">
        <v>19</v>
      </c>
      <c r="AC4098" s="2" t="s">
        <v>100</v>
      </c>
      <c r="AD4098" s="4"/>
      <c r="AE4098" s="4"/>
      <c r="AF4098" s="6">
        <v>68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>
        <v>119</v>
      </c>
      <c r="AQ4098" s="8">
        <v>1799.28</v>
      </c>
      <c r="AR4098" s="4"/>
      <c r="AS4098" s="8"/>
      <c r="AT4098" s="7"/>
      <c r="AU4098" s="7"/>
      <c r="AV4098" s="4">
        <v>153</v>
      </c>
      <c r="AW4098" s="8">
        <v>2420.69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0.7433</v>
      </c>
      <c r="BC4098" s="4">
        <v>201</v>
      </c>
      <c r="BD4098" s="8">
        <v>3255.93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0.7435</v>
      </c>
      <c r="BJ4098" s="4">
        <v>444</v>
      </c>
      <c r="BK4098" s="8">
        <v>7335.12</v>
      </c>
      <c r="BL4098" s="2" t="s">
        <v>12418</v>
      </c>
      <c r="BM4098" s="7">
        <v>0.268</v>
      </c>
      <c r="BN4098" s="7">
        <v>0.2453</v>
      </c>
      <c r="BO4098" s="4">
        <v>119</v>
      </c>
      <c r="BP4098" s="8">
        <v>1799.28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5481</v>
      </c>
      <c r="BX4098" s="2" t="s">
        <v>12419</v>
      </c>
      <c r="BY4098" s="2" t="s">
        <v>113</v>
      </c>
      <c r="BZ4098" s="2" t="s">
        <v>245</v>
      </c>
    </row>
    <row r="4099">
      <c r="A4099" s="2" t="s">
        <v>12420</v>
      </c>
      <c r="B4099" s="2" t="s">
        <v>11863</v>
      </c>
      <c r="C4099" s="2" t="s">
        <v>12412</v>
      </c>
      <c r="D4099" s="2" t="s">
        <v>2605</v>
      </c>
      <c r="E4099" s="2" t="s">
        <v>2606</v>
      </c>
      <c r="F4099" s="2" t="s">
        <v>12413</v>
      </c>
      <c r="G4099" s="2" t="s">
        <v>12414</v>
      </c>
      <c r="H4099" s="2" t="s">
        <v>12415</v>
      </c>
      <c r="I4099" s="2" t="s">
        <v>12416</v>
      </c>
      <c r="J4099" s="2" t="s">
        <v>11878</v>
      </c>
      <c r="K4099" s="2" t="s">
        <v>2477</v>
      </c>
      <c r="L4099" s="3">
        <v>18.9</v>
      </c>
      <c r="M4099" s="3">
        <v>19.84</v>
      </c>
      <c r="N4099" s="3">
        <v>44.99</v>
      </c>
      <c r="O4099" s="2" t="s">
        <v>97</v>
      </c>
      <c r="P4099" s="2" t="s">
        <v>119</v>
      </c>
      <c r="Q4099" s="2" t="s">
        <v>99</v>
      </c>
      <c r="R4099" s="2" t="s">
        <v>100</v>
      </c>
      <c r="S4099" s="2" t="s">
        <v>12417</v>
      </c>
      <c r="T4099" s="2" t="s">
        <v>100</v>
      </c>
      <c r="U4099" s="2" t="s">
        <v>100</v>
      </c>
      <c r="V4099" s="2" t="s">
        <v>403</v>
      </c>
      <c r="W4099" s="2" t="s">
        <v>561</v>
      </c>
      <c r="X4099" s="2" t="s">
        <v>11964</v>
      </c>
      <c r="Y4099" s="2" t="s">
        <v>2054</v>
      </c>
      <c r="Z4099" s="4">
        <v>477</v>
      </c>
      <c r="AA4099" s="4">
        <f>=ROUNDDOWN(36.6923076923077,0)</f>
      </c>
      <c r="AB4099" s="5">
        <v>13</v>
      </c>
      <c r="AC4099" s="2" t="s">
        <v>100</v>
      </c>
      <c r="AD4099" s="4"/>
      <c r="AE4099" s="4"/>
      <c r="AF4099" s="6">
        <v>68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>
        <v>13</v>
      </c>
      <c r="AQ4099" s="8">
        <v>224.51</v>
      </c>
      <c r="AR4099" s="4"/>
      <c r="AS4099" s="8"/>
      <c r="AT4099" s="7"/>
      <c r="AU4099" s="7"/>
      <c r="AV4099" s="4" t="s">
        <v>100</v>
      </c>
      <c r="AW4099" s="8" t="s">
        <v>100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0.0927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 t="s">
        <v>100</v>
      </c>
      <c r="BJ4099" s="4">
        <v>243</v>
      </c>
      <c r="BK4099" s="8">
        <v>5518.03</v>
      </c>
      <c r="BL4099" s="2" t="s">
        <v>12421</v>
      </c>
      <c r="BM4099" s="7">
        <v>0.0535</v>
      </c>
      <c r="BN4099" s="7">
        <v>0.0407</v>
      </c>
      <c r="BO4099" s="4">
        <v>13</v>
      </c>
      <c r="BP4099" s="8">
        <v>224.51</v>
      </c>
      <c r="BQ4099" s="4"/>
      <c r="BR4099" s="8"/>
      <c r="BS4099" s="7"/>
      <c r="BT4099" s="7"/>
      <c r="BU4099" s="2" t="s">
        <v>109</v>
      </c>
      <c r="BV4099" s="2" t="s">
        <v>110</v>
      </c>
      <c r="BW4099" s="2" t="s">
        <v>5481</v>
      </c>
      <c r="BX4099" s="2" t="s">
        <v>12422</v>
      </c>
      <c r="BY4099" s="2" t="s">
        <v>113</v>
      </c>
      <c r="BZ4099" s="2" t="s">
        <v>245</v>
      </c>
    </row>
    <row r="4100">
      <c r="A4100" s="2" t="s">
        <v>12423</v>
      </c>
      <c r="B4100" s="2" t="s">
        <v>11863</v>
      </c>
      <c r="C4100" s="2" t="s">
        <v>12412</v>
      </c>
      <c r="D4100" s="2" t="s">
        <v>2605</v>
      </c>
      <c r="E4100" s="2" t="s">
        <v>2606</v>
      </c>
      <c r="F4100" s="2" t="s">
        <v>12413</v>
      </c>
      <c r="G4100" s="2" t="s">
        <v>12414</v>
      </c>
      <c r="H4100" s="2" t="s">
        <v>12415</v>
      </c>
      <c r="I4100" s="2" t="s">
        <v>12416</v>
      </c>
      <c r="J4100" s="2" t="s">
        <v>11880</v>
      </c>
      <c r="K4100" s="2" t="s">
        <v>2477</v>
      </c>
      <c r="L4100" s="3">
        <v>21</v>
      </c>
      <c r="M4100" s="3">
        <v>22.05</v>
      </c>
      <c r="N4100" s="3">
        <v>49.99</v>
      </c>
      <c r="O4100" s="2" t="s">
        <v>97</v>
      </c>
      <c r="P4100" s="2" t="s">
        <v>119</v>
      </c>
      <c r="Q4100" s="2" t="s">
        <v>99</v>
      </c>
      <c r="R4100" s="2" t="s">
        <v>100</v>
      </c>
      <c r="S4100" s="2" t="s">
        <v>12417</v>
      </c>
      <c r="T4100" s="2" t="s">
        <v>100</v>
      </c>
      <c r="U4100" s="2" t="s">
        <v>100</v>
      </c>
      <c r="V4100" s="2" t="s">
        <v>403</v>
      </c>
      <c r="W4100" s="2" t="s">
        <v>561</v>
      </c>
      <c r="X4100" s="2" t="s">
        <v>11964</v>
      </c>
      <c r="Y4100" s="2" t="s">
        <v>2054</v>
      </c>
      <c r="Z4100" s="4">
        <v>413</v>
      </c>
      <c r="AA4100" s="4">
        <f>=ROUNDDOWN(59,0)</f>
      </c>
      <c r="AB4100" s="5">
        <v>7</v>
      </c>
      <c r="AC4100" s="2" t="s">
        <v>100</v>
      </c>
      <c r="AD4100" s="4"/>
      <c r="AE4100" s="4"/>
      <c r="AF4100" s="6">
        <v>68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>
        <v>21</v>
      </c>
      <c r="AQ4100" s="8">
        <v>396.9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0.164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129</v>
      </c>
      <c r="BK4100" s="8">
        <v>2646.28</v>
      </c>
      <c r="BL4100" s="2" t="s">
        <v>12424</v>
      </c>
      <c r="BM4100" s="7">
        <v>0.1628</v>
      </c>
      <c r="BN4100" s="7">
        <v>0.15</v>
      </c>
      <c r="BO4100" s="4">
        <v>21</v>
      </c>
      <c r="BP4100" s="8">
        <v>396.9</v>
      </c>
      <c r="BQ4100" s="4"/>
      <c r="BR4100" s="8"/>
      <c r="BS4100" s="7"/>
      <c r="BT4100" s="7"/>
      <c r="BU4100" s="2" t="s">
        <v>109</v>
      </c>
      <c r="BV4100" s="2" t="s">
        <v>110</v>
      </c>
      <c r="BW4100" s="2" t="s">
        <v>5481</v>
      </c>
      <c r="BX4100" s="2" t="s">
        <v>5383</v>
      </c>
      <c r="BY4100" s="2" t="s">
        <v>113</v>
      </c>
      <c r="BZ4100" s="2" t="s">
        <v>100</v>
      </c>
    </row>
    <row r="4101">
      <c r="A4101" s="2" t="s">
        <v>12425</v>
      </c>
      <c r="B4101" s="2" t="s">
        <v>11863</v>
      </c>
      <c r="C4101" s="2" t="s">
        <v>12412</v>
      </c>
      <c r="D4101" s="2" t="s">
        <v>2605</v>
      </c>
      <c r="E4101" s="2" t="s">
        <v>2606</v>
      </c>
      <c r="F4101" s="2" t="s">
        <v>12413</v>
      </c>
      <c r="G4101" s="2" t="s">
        <v>12414</v>
      </c>
      <c r="H4101" s="2" t="s">
        <v>12415</v>
      </c>
      <c r="I4101" s="2" t="s">
        <v>12416</v>
      </c>
      <c r="J4101" s="2" t="s">
        <v>11868</v>
      </c>
      <c r="K4101" s="2" t="s">
        <v>1614</v>
      </c>
      <c r="L4101" s="3">
        <v>16.8</v>
      </c>
      <c r="M4101" s="3">
        <v>17.64</v>
      </c>
      <c r="N4101" s="3">
        <v>39.99</v>
      </c>
      <c r="O4101" s="2" t="s">
        <v>97</v>
      </c>
      <c r="P4101" s="2" t="s">
        <v>950</v>
      </c>
      <c r="Q4101" s="2" t="s">
        <v>99</v>
      </c>
      <c r="R4101" s="2" t="s">
        <v>100</v>
      </c>
      <c r="S4101" s="2" t="s">
        <v>12426</v>
      </c>
      <c r="T4101" s="2" t="s">
        <v>100</v>
      </c>
      <c r="U4101" s="2" t="s">
        <v>100</v>
      </c>
      <c r="V4101" s="2" t="s">
        <v>403</v>
      </c>
      <c r="W4101" s="2" t="s">
        <v>561</v>
      </c>
      <c r="X4101" s="2" t="s">
        <v>11964</v>
      </c>
      <c r="Y4101" s="2" t="s">
        <v>2054</v>
      </c>
      <c r="Z4101" s="4">
        <v>489</v>
      </c>
      <c r="AA4101" s="4">
        <f>=ROUNDDOWN(18.8076923076923,0)</f>
      </c>
      <c r="AB4101" s="5">
        <v>26</v>
      </c>
      <c r="AC4101" s="2" t="s">
        <v>768</v>
      </c>
      <c r="AD4101" s="4">
        <v>160</v>
      </c>
      <c r="AE4101" s="4">
        <v>648</v>
      </c>
      <c r="AF4101" s="6">
        <v>68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>
        <v>13</v>
      </c>
      <c r="AQ4101" s="8">
        <v>196.56</v>
      </c>
      <c r="AR4101" s="4"/>
      <c r="AS4101" s="8"/>
      <c r="AT4101" s="7"/>
      <c r="AU4101" s="7"/>
      <c r="AV4101" s="4">
        <v>48</v>
      </c>
      <c r="AW4101" s="8">
        <v>835.24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0.2353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>
        <v>0.2565</v>
      </c>
      <c r="BJ4101" s="4">
        <v>613</v>
      </c>
      <c r="BK4101" s="8">
        <v>10166.48</v>
      </c>
      <c r="BL4101" s="2" t="s">
        <v>12427</v>
      </c>
      <c r="BM4101" s="7">
        <v>0.0212</v>
      </c>
      <c r="BN4101" s="7">
        <v>0.0193</v>
      </c>
      <c r="BO4101" s="4">
        <v>13</v>
      </c>
      <c r="BP4101" s="8">
        <v>196.56</v>
      </c>
      <c r="BQ4101" s="4"/>
      <c r="BR4101" s="8"/>
      <c r="BS4101" s="7"/>
      <c r="BT4101" s="7"/>
      <c r="BU4101" s="2" t="s">
        <v>109</v>
      </c>
      <c r="BV4101" s="2" t="s">
        <v>110</v>
      </c>
      <c r="BW4101" s="2" t="s">
        <v>5481</v>
      </c>
      <c r="BX4101" s="2" t="s">
        <v>12428</v>
      </c>
      <c r="BY4101" s="2" t="s">
        <v>113</v>
      </c>
      <c r="BZ4101" s="2" t="s">
        <v>245</v>
      </c>
    </row>
    <row r="4102">
      <c r="A4102" s="2" t="s">
        <v>12429</v>
      </c>
      <c r="B4102" s="2" t="s">
        <v>11863</v>
      </c>
      <c r="C4102" s="2" t="s">
        <v>12412</v>
      </c>
      <c r="D4102" s="2" t="s">
        <v>2605</v>
      </c>
      <c r="E4102" s="2" t="s">
        <v>2606</v>
      </c>
      <c r="F4102" s="2" t="s">
        <v>12413</v>
      </c>
      <c r="G4102" s="2" t="s">
        <v>12414</v>
      </c>
      <c r="H4102" s="2" t="s">
        <v>12415</v>
      </c>
      <c r="I4102" s="2" t="s">
        <v>12416</v>
      </c>
      <c r="J4102" s="2" t="s">
        <v>11878</v>
      </c>
      <c r="K4102" s="2" t="s">
        <v>1614</v>
      </c>
      <c r="L4102" s="3">
        <v>18.9</v>
      </c>
      <c r="M4102" s="3">
        <v>19.84</v>
      </c>
      <c r="N4102" s="3">
        <v>44.99</v>
      </c>
      <c r="O4102" s="2" t="s">
        <v>97</v>
      </c>
      <c r="P4102" s="2" t="s">
        <v>950</v>
      </c>
      <c r="Q4102" s="2" t="s">
        <v>99</v>
      </c>
      <c r="R4102" s="2" t="s">
        <v>100</v>
      </c>
      <c r="S4102" s="2" t="s">
        <v>12426</v>
      </c>
      <c r="T4102" s="2" t="s">
        <v>100</v>
      </c>
      <c r="U4102" s="2" t="s">
        <v>100</v>
      </c>
      <c r="V4102" s="2" t="s">
        <v>403</v>
      </c>
      <c r="W4102" s="2" t="s">
        <v>561</v>
      </c>
      <c r="X4102" s="2" t="s">
        <v>11964</v>
      </c>
      <c r="Y4102" s="2" t="s">
        <v>2054</v>
      </c>
      <c r="Z4102" s="4">
        <v>371</v>
      </c>
      <c r="AA4102" s="4">
        <f>=ROUNDDOWN(16.1304347826087,0)</f>
      </c>
      <c r="AB4102" s="5">
        <v>23</v>
      </c>
      <c r="AC4102" s="2" t="s">
        <v>768</v>
      </c>
      <c r="AD4102" s="4">
        <v>120</v>
      </c>
      <c r="AE4102" s="4">
        <v>528</v>
      </c>
      <c r="AF4102" s="6">
        <v>68</v>
      </c>
      <c r="AG4102" s="6"/>
      <c r="AH4102" s="7">
        <v>0.9947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>
        <v>14</v>
      </c>
      <c r="AQ4102" s="8">
        <v>241.78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0.2895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478</v>
      </c>
      <c r="BK4102" s="8">
        <v>9219.31</v>
      </c>
      <c r="BL4102" s="2" t="s">
        <v>12430</v>
      </c>
      <c r="BM4102" s="7">
        <v>0.0293</v>
      </c>
      <c r="BN4102" s="7">
        <v>0.0262</v>
      </c>
      <c r="BO4102" s="4">
        <v>14</v>
      </c>
      <c r="BP4102" s="8">
        <v>241.78</v>
      </c>
      <c r="BQ4102" s="4"/>
      <c r="BR4102" s="8"/>
      <c r="BS4102" s="7"/>
      <c r="BT4102" s="7"/>
      <c r="BU4102" s="2" t="s">
        <v>109</v>
      </c>
      <c r="BV4102" s="2" t="s">
        <v>110</v>
      </c>
      <c r="BW4102" s="2" t="s">
        <v>5481</v>
      </c>
      <c r="BX4102" s="2" t="s">
        <v>5478</v>
      </c>
      <c r="BY4102" s="2" t="s">
        <v>113</v>
      </c>
      <c r="BZ4102" s="2" t="s">
        <v>245</v>
      </c>
    </row>
    <row r="4103">
      <c r="A4103" s="2" t="s">
        <v>12431</v>
      </c>
      <c r="B4103" s="2" t="s">
        <v>11863</v>
      </c>
      <c r="C4103" s="2" t="s">
        <v>12412</v>
      </c>
      <c r="D4103" s="2" t="s">
        <v>2605</v>
      </c>
      <c r="E4103" s="2" t="s">
        <v>2606</v>
      </c>
      <c r="F4103" s="2" t="s">
        <v>12413</v>
      </c>
      <c r="G4103" s="2" t="s">
        <v>12414</v>
      </c>
      <c r="H4103" s="2" t="s">
        <v>12415</v>
      </c>
      <c r="I4103" s="2" t="s">
        <v>12416</v>
      </c>
      <c r="J4103" s="2" t="s">
        <v>11880</v>
      </c>
      <c r="K4103" s="2" t="s">
        <v>1614</v>
      </c>
      <c r="L4103" s="3">
        <v>21</v>
      </c>
      <c r="M4103" s="3">
        <v>22.05</v>
      </c>
      <c r="N4103" s="3">
        <v>49.99</v>
      </c>
      <c r="O4103" s="2" t="s">
        <v>97</v>
      </c>
      <c r="P4103" s="2" t="s">
        <v>950</v>
      </c>
      <c r="Q4103" s="2" t="s">
        <v>99</v>
      </c>
      <c r="R4103" s="2" t="s">
        <v>100</v>
      </c>
      <c r="S4103" s="2" t="s">
        <v>12426</v>
      </c>
      <c r="T4103" s="2" t="s">
        <v>100</v>
      </c>
      <c r="U4103" s="2" t="s">
        <v>100</v>
      </c>
      <c r="V4103" s="2" t="s">
        <v>403</v>
      </c>
      <c r="W4103" s="2" t="s">
        <v>561</v>
      </c>
      <c r="X4103" s="2" t="s">
        <v>11964</v>
      </c>
      <c r="Y4103" s="2" t="s">
        <v>2054</v>
      </c>
      <c r="Z4103" s="4">
        <v>305</v>
      </c>
      <c r="AA4103" s="4">
        <f>=ROUNDDOWN(17.9411764705882,0)</f>
      </c>
      <c r="AB4103" s="5">
        <v>17</v>
      </c>
      <c r="AC4103" s="2" t="s">
        <v>768</v>
      </c>
      <c r="AD4103" s="4">
        <v>92</v>
      </c>
      <c r="AE4103" s="4">
        <v>452</v>
      </c>
      <c r="AF4103" s="6">
        <v>68</v>
      </c>
      <c r="AG4103" s="6"/>
      <c r="AH4103" s="7">
        <v>0.7861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>
        <v>21</v>
      </c>
      <c r="AQ4103" s="8">
        <v>396.9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0.4752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300</v>
      </c>
      <c r="BK4103" s="8">
        <v>6313.13</v>
      </c>
      <c r="BL4103" s="2" t="s">
        <v>12432</v>
      </c>
      <c r="BM4103" s="7">
        <v>0.07</v>
      </c>
      <c r="BN4103" s="7">
        <v>0.0629</v>
      </c>
      <c r="BO4103" s="4">
        <v>21</v>
      </c>
      <c r="BP4103" s="8">
        <v>396.9</v>
      </c>
      <c r="BQ4103" s="4"/>
      <c r="BR4103" s="8"/>
      <c r="BS4103" s="7"/>
      <c r="BT4103" s="7"/>
      <c r="BU4103" s="2" t="s">
        <v>109</v>
      </c>
      <c r="BV4103" s="2" t="s">
        <v>110</v>
      </c>
      <c r="BW4103" s="2" t="s">
        <v>5481</v>
      </c>
      <c r="BX4103" s="2" t="s">
        <v>5383</v>
      </c>
      <c r="BY4103" s="2" t="s">
        <v>113</v>
      </c>
      <c r="BZ4103" s="2" t="s">
        <v>245</v>
      </c>
    </row>
    <row r="4104">
      <c r="A4104" s="2" t="s">
        <v>12433</v>
      </c>
      <c r="B4104" s="2" t="s">
        <v>11863</v>
      </c>
      <c r="C4104" s="2" t="s">
        <v>12412</v>
      </c>
      <c r="D4104" s="2" t="s">
        <v>2605</v>
      </c>
      <c r="E4104" s="2" t="s">
        <v>2606</v>
      </c>
      <c r="F4104" s="2" t="s">
        <v>12413</v>
      </c>
      <c r="G4104" s="2" t="s">
        <v>12414</v>
      </c>
      <c r="H4104" s="2" t="s">
        <v>12415</v>
      </c>
      <c r="I4104" s="2" t="s">
        <v>12416</v>
      </c>
      <c r="J4104" s="2" t="s">
        <v>11868</v>
      </c>
      <c r="K4104" s="2" t="s">
        <v>360</v>
      </c>
      <c r="L4104" s="3">
        <v>16.8</v>
      </c>
      <c r="M4104" s="3">
        <v>17.64</v>
      </c>
      <c r="N4104" s="3">
        <v>39.99</v>
      </c>
      <c r="O4104" s="2" t="s">
        <v>97</v>
      </c>
      <c r="P4104" s="2" t="s">
        <v>119</v>
      </c>
      <c r="Q4104" s="2" t="s">
        <v>99</v>
      </c>
      <c r="R4104" s="2" t="s">
        <v>100</v>
      </c>
      <c r="S4104" s="2" t="s">
        <v>12434</v>
      </c>
      <c r="T4104" s="2" t="s">
        <v>218</v>
      </c>
      <c r="U4104" s="2" t="s">
        <v>1847</v>
      </c>
      <c r="V4104" s="2" t="s">
        <v>403</v>
      </c>
      <c r="W4104" s="2" t="s">
        <v>561</v>
      </c>
      <c r="X4104" s="2" t="s">
        <v>11964</v>
      </c>
      <c r="Y4104" s="2" t="s">
        <v>2013</v>
      </c>
      <c r="Z4104" s="4">
        <v>473</v>
      </c>
      <c r="AA4104" s="4">
        <f>=ROUNDDOWN(31.5333333333333,0)</f>
      </c>
      <c r="AB4104" s="5">
        <v>15</v>
      </c>
      <c r="AC4104" s="2" t="s">
        <v>356</v>
      </c>
      <c r="AD4104" s="4">
        <v>240</v>
      </c>
      <c r="AE4104" s="4">
        <v>540</v>
      </c>
      <c r="AF4104" s="6">
        <v>68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341</v>
      </c>
      <c r="BK4104" s="8">
        <v>6092.16</v>
      </c>
      <c r="BL4104" s="2" t="s">
        <v>12435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2480</v>
      </c>
      <c r="BV4104" s="2" t="s">
        <v>97</v>
      </c>
      <c r="BW4104" s="2" t="s">
        <v>100</v>
      </c>
      <c r="BX4104" s="2" t="s">
        <v>100</v>
      </c>
      <c r="BY4104" s="2" t="s">
        <v>113</v>
      </c>
      <c r="BZ4104" s="2" t="s">
        <v>100</v>
      </c>
    </row>
    <row r="4105">
      <c r="A4105" s="2" t="s">
        <v>12436</v>
      </c>
      <c r="B4105" s="2" t="s">
        <v>11863</v>
      </c>
      <c r="C4105" s="2" t="s">
        <v>12412</v>
      </c>
      <c r="D4105" s="2" t="s">
        <v>2605</v>
      </c>
      <c r="E4105" s="2" t="s">
        <v>2606</v>
      </c>
      <c r="F4105" s="2" t="s">
        <v>12413</v>
      </c>
      <c r="G4105" s="2" t="s">
        <v>12414</v>
      </c>
      <c r="H4105" s="2" t="s">
        <v>12415</v>
      </c>
      <c r="I4105" s="2" t="s">
        <v>12416</v>
      </c>
      <c r="J4105" s="2" t="s">
        <v>11878</v>
      </c>
      <c r="K4105" s="2" t="s">
        <v>360</v>
      </c>
      <c r="L4105" s="3">
        <v>18.9</v>
      </c>
      <c r="M4105" s="3">
        <v>19.84</v>
      </c>
      <c r="N4105" s="3">
        <v>44.99</v>
      </c>
      <c r="O4105" s="2" t="s">
        <v>97</v>
      </c>
      <c r="P4105" s="2" t="s">
        <v>119</v>
      </c>
      <c r="Q4105" s="2" t="s">
        <v>99</v>
      </c>
      <c r="R4105" s="2" t="s">
        <v>100</v>
      </c>
      <c r="S4105" s="2" t="s">
        <v>12434</v>
      </c>
      <c r="T4105" s="2" t="s">
        <v>218</v>
      </c>
      <c r="U4105" s="2" t="s">
        <v>1847</v>
      </c>
      <c r="V4105" s="2" t="s">
        <v>403</v>
      </c>
      <c r="W4105" s="2" t="s">
        <v>561</v>
      </c>
      <c r="X4105" s="2" t="s">
        <v>11964</v>
      </c>
      <c r="Y4105" s="2" t="s">
        <v>2013</v>
      </c>
      <c r="Z4105" s="4">
        <v>201</v>
      </c>
      <c r="AA4105" s="4">
        <f>=ROUNDDOWN(22.3333333333333,0)</f>
      </c>
      <c r="AB4105" s="5">
        <v>9</v>
      </c>
      <c r="AC4105" s="2" t="s">
        <v>356</v>
      </c>
      <c r="AD4105" s="4">
        <v>280</v>
      </c>
      <c r="AE4105" s="4">
        <v>512</v>
      </c>
      <c r="AF4105" s="6">
        <v>68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/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195</v>
      </c>
      <c r="BK4105" s="8">
        <v>4029</v>
      </c>
      <c r="BL4105" s="2" t="s">
        <v>12437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2480</v>
      </c>
      <c r="BV4105" s="2" t="s">
        <v>97</v>
      </c>
      <c r="BW4105" s="2" t="s">
        <v>100</v>
      </c>
      <c r="BX4105" s="2" t="s">
        <v>100</v>
      </c>
      <c r="BY4105" s="2" t="s">
        <v>113</v>
      </c>
      <c r="BZ4105" s="2" t="s">
        <v>245</v>
      </c>
    </row>
    <row r="4106">
      <c r="A4106" s="2" t="s">
        <v>12438</v>
      </c>
      <c r="B4106" s="2" t="s">
        <v>11863</v>
      </c>
      <c r="C4106" s="2" t="s">
        <v>12412</v>
      </c>
      <c r="D4106" s="2" t="s">
        <v>2605</v>
      </c>
      <c r="E4106" s="2" t="s">
        <v>2606</v>
      </c>
      <c r="F4106" s="2" t="s">
        <v>12413</v>
      </c>
      <c r="G4106" s="2" t="s">
        <v>12414</v>
      </c>
      <c r="H4106" s="2" t="s">
        <v>12415</v>
      </c>
      <c r="I4106" s="2" t="s">
        <v>12416</v>
      </c>
      <c r="J4106" s="2" t="s">
        <v>11868</v>
      </c>
      <c r="K4106" s="2" t="s">
        <v>629</v>
      </c>
      <c r="L4106" s="3">
        <v>16.8</v>
      </c>
      <c r="M4106" s="3">
        <v>17.64</v>
      </c>
      <c r="N4106" s="3">
        <v>39.99</v>
      </c>
      <c r="O4106" s="2" t="s">
        <v>97</v>
      </c>
      <c r="P4106" s="2" t="s">
        <v>119</v>
      </c>
      <c r="Q4106" s="2" t="s">
        <v>99</v>
      </c>
      <c r="R4106" s="2" t="s">
        <v>100</v>
      </c>
      <c r="S4106" s="2" t="s">
        <v>12439</v>
      </c>
      <c r="T4106" s="2" t="s">
        <v>100</v>
      </c>
      <c r="U4106" s="2" t="s">
        <v>1847</v>
      </c>
      <c r="V4106" s="2" t="s">
        <v>403</v>
      </c>
      <c r="W4106" s="2" t="s">
        <v>561</v>
      </c>
      <c r="X4106" s="2" t="s">
        <v>11964</v>
      </c>
      <c r="Y4106" s="2" t="s">
        <v>4379</v>
      </c>
      <c r="Z4106" s="4">
        <v>808</v>
      </c>
      <c r="AA4106" s="4">
        <f>=ROUNDDOWN(57.7142857142857,0)</f>
      </c>
      <c r="AB4106" s="5">
        <v>14</v>
      </c>
      <c r="AC4106" s="2" t="s">
        <v>100</v>
      </c>
      <c r="AD4106" s="4"/>
      <c r="AE4106" s="4"/>
      <c r="AF4106" s="6">
        <v>68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300</v>
      </c>
      <c r="BK4106" s="8">
        <v>5180.06</v>
      </c>
      <c r="BL4106" s="2" t="s">
        <v>12440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2480</v>
      </c>
      <c r="BV4106" s="2" t="s">
        <v>97</v>
      </c>
      <c r="BW4106" s="2" t="s">
        <v>100</v>
      </c>
      <c r="BX4106" s="2" t="s">
        <v>100</v>
      </c>
      <c r="BY4106" s="2" t="s">
        <v>113</v>
      </c>
      <c r="BZ4106" s="2" t="s">
        <v>100</v>
      </c>
    </row>
    <row r="4107">
      <c r="A4107" s="2" t="s">
        <v>12441</v>
      </c>
      <c r="B4107" s="2" t="s">
        <v>11863</v>
      </c>
      <c r="C4107" s="2" t="s">
        <v>12412</v>
      </c>
      <c r="D4107" s="2" t="s">
        <v>2605</v>
      </c>
      <c r="E4107" s="2" t="s">
        <v>2606</v>
      </c>
      <c r="F4107" s="2" t="s">
        <v>12413</v>
      </c>
      <c r="G4107" s="2" t="s">
        <v>12414</v>
      </c>
      <c r="H4107" s="2" t="s">
        <v>12415</v>
      </c>
      <c r="I4107" s="2" t="s">
        <v>12416</v>
      </c>
      <c r="J4107" s="2" t="s">
        <v>11878</v>
      </c>
      <c r="K4107" s="2" t="s">
        <v>629</v>
      </c>
      <c r="L4107" s="3">
        <v>18.9</v>
      </c>
      <c r="M4107" s="3">
        <v>19.84</v>
      </c>
      <c r="N4107" s="3">
        <v>44.99</v>
      </c>
      <c r="O4107" s="2" t="s">
        <v>97</v>
      </c>
      <c r="P4107" s="2" t="s">
        <v>119</v>
      </c>
      <c r="Q4107" s="2" t="s">
        <v>99</v>
      </c>
      <c r="R4107" s="2" t="s">
        <v>100</v>
      </c>
      <c r="S4107" s="2" t="s">
        <v>12439</v>
      </c>
      <c r="T4107" s="2" t="s">
        <v>100</v>
      </c>
      <c r="U4107" s="2" t="s">
        <v>1847</v>
      </c>
      <c r="V4107" s="2" t="s">
        <v>403</v>
      </c>
      <c r="W4107" s="2" t="s">
        <v>561</v>
      </c>
      <c r="X4107" s="2" t="s">
        <v>11964</v>
      </c>
      <c r="Y4107" s="2" t="s">
        <v>4379</v>
      </c>
      <c r="Z4107" s="4">
        <v>419</v>
      </c>
      <c r="AA4107" s="4">
        <f>=ROUNDDOWN(34.9166666666667,0)</f>
      </c>
      <c r="AB4107" s="5">
        <v>12</v>
      </c>
      <c r="AC4107" s="2" t="s">
        <v>100</v>
      </c>
      <c r="AD4107" s="4"/>
      <c r="AE4107" s="4"/>
      <c r="AF4107" s="6">
        <v>68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/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293</v>
      </c>
      <c r="BK4107" s="8">
        <v>7026.52</v>
      </c>
      <c r="BL4107" s="2" t="s">
        <v>12442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2480</v>
      </c>
      <c r="BV4107" s="2" t="s">
        <v>97</v>
      </c>
      <c r="BW4107" s="2" t="s">
        <v>100</v>
      </c>
      <c r="BX4107" s="2" t="s">
        <v>100</v>
      </c>
      <c r="BY4107" s="2" t="s">
        <v>113</v>
      </c>
      <c r="BZ4107" s="2" t="s">
        <v>245</v>
      </c>
    </row>
    <row r="4108">
      <c r="A4108" s="2" t="s">
        <v>12443</v>
      </c>
      <c r="B4108" s="2" t="s">
        <v>11863</v>
      </c>
      <c r="C4108" s="2" t="s">
        <v>12412</v>
      </c>
      <c r="D4108" s="2" t="s">
        <v>2605</v>
      </c>
      <c r="E4108" s="2" t="s">
        <v>2606</v>
      </c>
      <c r="F4108" s="2" t="s">
        <v>12444</v>
      </c>
      <c r="G4108" s="2" t="s">
        <v>12445</v>
      </c>
      <c r="H4108" s="2" t="s">
        <v>12446</v>
      </c>
      <c r="I4108" s="2" t="s">
        <v>12447</v>
      </c>
      <c r="J4108" s="2" t="s">
        <v>12448</v>
      </c>
      <c r="K4108" s="2" t="s">
        <v>198</v>
      </c>
      <c r="L4108" s="3">
        <v>25.65</v>
      </c>
      <c r="M4108" s="3">
        <v>26.93</v>
      </c>
      <c r="N4108" s="3">
        <v>56.99</v>
      </c>
      <c r="O4108" s="2" t="s">
        <v>97</v>
      </c>
      <c r="P4108" s="2" t="s">
        <v>950</v>
      </c>
      <c r="Q4108" s="2" t="s">
        <v>99</v>
      </c>
      <c r="R4108" s="2" t="s">
        <v>100</v>
      </c>
      <c r="S4108" s="2" t="s">
        <v>12449</v>
      </c>
      <c r="T4108" s="2" t="s">
        <v>100</v>
      </c>
      <c r="U4108" s="2" t="s">
        <v>1847</v>
      </c>
      <c r="V4108" s="2" t="s">
        <v>2661</v>
      </c>
      <c r="W4108" s="2" t="s">
        <v>561</v>
      </c>
      <c r="X4108" s="2" t="s">
        <v>12450</v>
      </c>
      <c r="Y4108" s="2" t="s">
        <v>5368</v>
      </c>
      <c r="Z4108" s="4">
        <v>548</v>
      </c>
      <c r="AA4108" s="4">
        <f>=ROUNDDOWN(26.0952380952381,0)</f>
      </c>
      <c r="AB4108" s="5">
        <v>21</v>
      </c>
      <c r="AC4108" s="2" t="s">
        <v>123</v>
      </c>
      <c r="AD4108" s="4">
        <v>200</v>
      </c>
      <c r="AE4108" s="4">
        <v>200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>
        <v>26</v>
      </c>
      <c r="AW4108" s="8">
        <v>430.04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/>
      <c r="BC4108" s="4">
        <v>31</v>
      </c>
      <c r="BD4108" s="8">
        <v>504.04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0.8532</v>
      </c>
      <c r="BJ4108" s="4">
        <v>525</v>
      </c>
      <c r="BK4108" s="8">
        <v>14613.26</v>
      </c>
      <c r="BL4108" s="2" t="s">
        <v>6010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2480</v>
      </c>
      <c r="BV4108" s="2" t="s">
        <v>97</v>
      </c>
      <c r="BW4108" s="2" t="s">
        <v>100</v>
      </c>
      <c r="BX4108" s="2" t="s">
        <v>100</v>
      </c>
      <c r="BY4108" s="2" t="s">
        <v>113</v>
      </c>
      <c r="BZ4108" s="2" t="s">
        <v>245</v>
      </c>
    </row>
    <row r="4109">
      <c r="A4109" s="2" t="s">
        <v>12451</v>
      </c>
      <c r="B4109" s="2" t="s">
        <v>11863</v>
      </c>
      <c r="C4109" s="2" t="s">
        <v>12412</v>
      </c>
      <c r="D4109" s="2" t="s">
        <v>2605</v>
      </c>
      <c r="E4109" s="2" t="s">
        <v>2606</v>
      </c>
      <c r="F4109" s="2" t="s">
        <v>12444</v>
      </c>
      <c r="G4109" s="2" t="s">
        <v>12445</v>
      </c>
      <c r="H4109" s="2" t="s">
        <v>12446</v>
      </c>
      <c r="I4109" s="2" t="s">
        <v>12452</v>
      </c>
      <c r="J4109" s="2" t="s">
        <v>11878</v>
      </c>
      <c r="K4109" s="2" t="s">
        <v>198</v>
      </c>
      <c r="L4109" s="3">
        <v>18</v>
      </c>
      <c r="M4109" s="3">
        <v>18.9</v>
      </c>
      <c r="N4109" s="3">
        <v>39.99</v>
      </c>
      <c r="O4109" s="2" t="s">
        <v>97</v>
      </c>
      <c r="P4109" s="2" t="s">
        <v>950</v>
      </c>
      <c r="Q4109" s="2" t="s">
        <v>99</v>
      </c>
      <c r="R4109" s="2" t="s">
        <v>100</v>
      </c>
      <c r="S4109" s="2" t="s">
        <v>12453</v>
      </c>
      <c r="T4109" s="2" t="s">
        <v>100</v>
      </c>
      <c r="U4109" s="2" t="s">
        <v>100</v>
      </c>
      <c r="V4109" s="2" t="s">
        <v>2661</v>
      </c>
      <c r="W4109" s="2" t="s">
        <v>561</v>
      </c>
      <c r="X4109" s="2" t="s">
        <v>12450</v>
      </c>
      <c r="Y4109" s="2" t="s">
        <v>2054</v>
      </c>
      <c r="Z4109" s="4">
        <v>478</v>
      </c>
      <c r="AA4109" s="4">
        <f>=ROUNDDOWN(28.1176470588235,0)</f>
      </c>
      <c r="AB4109" s="5">
        <v>17</v>
      </c>
      <c r="AC4109" s="2" t="s">
        <v>123</v>
      </c>
      <c r="AD4109" s="4">
        <v>92</v>
      </c>
      <c r="AE4109" s="4">
        <v>92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>
        <v>26</v>
      </c>
      <c r="AQ4109" s="8">
        <v>430.04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1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316</v>
      </c>
      <c r="BK4109" s="8">
        <v>6029.82</v>
      </c>
      <c r="BL4109" s="2" t="s">
        <v>12454</v>
      </c>
      <c r="BM4109" s="7">
        <v>0.0823</v>
      </c>
      <c r="BN4109" s="7">
        <v>0.0713</v>
      </c>
      <c r="BO4109" s="4">
        <v>26</v>
      </c>
      <c r="BP4109" s="8">
        <v>430.04</v>
      </c>
      <c r="BQ4109" s="4"/>
      <c r="BR4109" s="8"/>
      <c r="BS4109" s="7"/>
      <c r="BT4109" s="7"/>
      <c r="BU4109" s="2" t="s">
        <v>109</v>
      </c>
      <c r="BV4109" s="2" t="s">
        <v>110</v>
      </c>
      <c r="BW4109" s="2" t="s">
        <v>5481</v>
      </c>
      <c r="BX4109" s="2" t="s">
        <v>6324</v>
      </c>
      <c r="BY4109" s="2" t="s">
        <v>113</v>
      </c>
      <c r="BZ4109" s="2" t="s">
        <v>100</v>
      </c>
    </row>
    <row r="4110">
      <c r="A4110" s="2" t="s">
        <v>12455</v>
      </c>
      <c r="B4110" s="2" t="s">
        <v>11863</v>
      </c>
      <c r="C4110" s="2" t="s">
        <v>12412</v>
      </c>
      <c r="D4110" s="2" t="s">
        <v>2605</v>
      </c>
      <c r="E4110" s="2" t="s">
        <v>2606</v>
      </c>
      <c r="F4110" s="2" t="s">
        <v>12444</v>
      </c>
      <c r="G4110" s="2" t="s">
        <v>12445</v>
      </c>
      <c r="H4110" s="2" t="s">
        <v>12446</v>
      </c>
      <c r="I4110" s="2" t="s">
        <v>12447</v>
      </c>
      <c r="J4110" s="2" t="s">
        <v>12448</v>
      </c>
      <c r="K4110" s="2" t="s">
        <v>96</v>
      </c>
      <c r="L4110" s="3">
        <v>25.65</v>
      </c>
      <c r="M4110" s="3">
        <v>26.93</v>
      </c>
      <c r="N4110" s="3">
        <v>56.99</v>
      </c>
      <c r="O4110" s="2" t="s">
        <v>97</v>
      </c>
      <c r="P4110" s="2" t="s">
        <v>119</v>
      </c>
      <c r="Q4110" s="2" t="s">
        <v>99</v>
      </c>
      <c r="R4110" s="2" t="s">
        <v>100</v>
      </c>
      <c r="S4110" s="2" t="s">
        <v>12449</v>
      </c>
      <c r="T4110" s="2" t="s">
        <v>100</v>
      </c>
      <c r="U4110" s="2" t="s">
        <v>1847</v>
      </c>
      <c r="V4110" s="2" t="s">
        <v>2661</v>
      </c>
      <c r="W4110" s="2" t="s">
        <v>561</v>
      </c>
      <c r="X4110" s="2" t="s">
        <v>12450</v>
      </c>
      <c r="Y4110" s="2" t="s">
        <v>5368</v>
      </c>
      <c r="Z4110" s="4">
        <v>192</v>
      </c>
      <c r="AA4110" s="4">
        <f>=ROUNDDOWN(12,0)</f>
      </c>
      <c r="AB4110" s="5">
        <v>16</v>
      </c>
      <c r="AC4110" s="2" t="s">
        <v>1102</v>
      </c>
      <c r="AD4110" s="4">
        <v>172</v>
      </c>
      <c r="AE4110" s="4">
        <v>432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>
        <v>5</v>
      </c>
      <c r="AW4110" s="8">
        <v>74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/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0.1468</v>
      </c>
      <c r="BJ4110" s="4">
        <v>354</v>
      </c>
      <c r="BK4110" s="8">
        <v>9750.31</v>
      </c>
      <c r="BL4110" s="2" t="s">
        <v>12456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2480</v>
      </c>
      <c r="BV4110" s="2" t="s">
        <v>97</v>
      </c>
      <c r="BW4110" s="2" t="s">
        <v>100</v>
      </c>
      <c r="BX4110" s="2" t="s">
        <v>100</v>
      </c>
      <c r="BY4110" s="2" t="s">
        <v>113</v>
      </c>
      <c r="BZ4110" s="2" t="s">
        <v>245</v>
      </c>
    </row>
    <row r="4111">
      <c r="A4111" s="2" t="s">
        <v>12457</v>
      </c>
      <c r="B4111" s="2" t="s">
        <v>11863</v>
      </c>
      <c r="C4111" s="2" t="s">
        <v>12412</v>
      </c>
      <c r="D4111" s="2" t="s">
        <v>2605</v>
      </c>
      <c r="E4111" s="2" t="s">
        <v>2606</v>
      </c>
      <c r="F4111" s="2" t="s">
        <v>12444</v>
      </c>
      <c r="G4111" s="2" t="s">
        <v>12445</v>
      </c>
      <c r="H4111" s="2" t="s">
        <v>12446</v>
      </c>
      <c r="I4111" s="2" t="s">
        <v>12452</v>
      </c>
      <c r="J4111" s="2" t="s">
        <v>11868</v>
      </c>
      <c r="K4111" s="2" t="s">
        <v>96</v>
      </c>
      <c r="L4111" s="3">
        <v>16.65</v>
      </c>
      <c r="M4111" s="3">
        <v>17.48</v>
      </c>
      <c r="N4111" s="3">
        <v>36.99</v>
      </c>
      <c r="O4111" s="2" t="s">
        <v>97</v>
      </c>
      <c r="P4111" s="2" t="s">
        <v>119</v>
      </c>
      <c r="Q4111" s="2" t="s">
        <v>99</v>
      </c>
      <c r="R4111" s="2" t="s">
        <v>100</v>
      </c>
      <c r="S4111" s="2" t="s">
        <v>12458</v>
      </c>
      <c r="T4111" s="2" t="s">
        <v>100</v>
      </c>
      <c r="U4111" s="2" t="s">
        <v>100</v>
      </c>
      <c r="V4111" s="2" t="s">
        <v>2661</v>
      </c>
      <c r="W4111" s="2" t="s">
        <v>561</v>
      </c>
      <c r="X4111" s="2" t="s">
        <v>12450</v>
      </c>
      <c r="Y4111" s="2" t="s">
        <v>2054</v>
      </c>
      <c r="Z4111" s="4">
        <v>566</v>
      </c>
      <c r="AA4111" s="4">
        <f>=ROUNDDOWN(16.1714285714286,0)</f>
      </c>
      <c r="AB4111" s="5">
        <v>35</v>
      </c>
      <c r="AC4111" s="2" t="s">
        <v>1102</v>
      </c>
      <c r="AD4111" s="4">
        <v>120</v>
      </c>
      <c r="AE4111" s="4">
        <v>1232</v>
      </c>
      <c r="AF4111" s="6">
        <v>65</v>
      </c>
      <c r="AG4111" s="6"/>
      <c r="AH4111" s="7">
        <v>0.9733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>
        <v>5</v>
      </c>
      <c r="AQ4111" s="8">
        <v>74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827</v>
      </c>
      <c r="BK4111" s="8">
        <v>13210.6</v>
      </c>
      <c r="BL4111" s="2" t="s">
        <v>12459</v>
      </c>
      <c r="BM4111" s="7">
        <v>0.006</v>
      </c>
      <c r="BN4111" s="7">
        <v>0.0056</v>
      </c>
      <c r="BO4111" s="4">
        <v>5</v>
      </c>
      <c r="BP4111" s="8">
        <v>74</v>
      </c>
      <c r="BQ4111" s="4"/>
      <c r="BR4111" s="8"/>
      <c r="BS4111" s="7"/>
      <c r="BT4111" s="7"/>
      <c r="BU4111" s="2" t="s">
        <v>109</v>
      </c>
      <c r="BV4111" s="2" t="s">
        <v>110</v>
      </c>
      <c r="BW4111" s="2" t="s">
        <v>5481</v>
      </c>
      <c r="BX4111" s="2" t="s">
        <v>12460</v>
      </c>
      <c r="BY4111" s="2" t="s">
        <v>113</v>
      </c>
      <c r="BZ4111" s="2" t="s">
        <v>245</v>
      </c>
    </row>
    <row r="4112">
      <c r="A4112" s="2" t="s">
        <v>12461</v>
      </c>
      <c r="B4112" s="2" t="s">
        <v>11863</v>
      </c>
      <c r="C4112" s="2" t="s">
        <v>12412</v>
      </c>
      <c r="D4112" s="2" t="s">
        <v>2605</v>
      </c>
      <c r="E4112" s="2" t="s">
        <v>2606</v>
      </c>
      <c r="F4112" s="2" t="s">
        <v>12444</v>
      </c>
      <c r="G4112" s="2" t="s">
        <v>12445</v>
      </c>
      <c r="H4112" s="2" t="s">
        <v>12446</v>
      </c>
      <c r="I4112" s="2" t="s">
        <v>12447</v>
      </c>
      <c r="J4112" s="2" t="s">
        <v>12448</v>
      </c>
      <c r="K4112" s="2" t="s">
        <v>629</v>
      </c>
      <c r="L4112" s="3">
        <v>25.65</v>
      </c>
      <c r="M4112" s="3">
        <v>26.93</v>
      </c>
      <c r="N4112" s="3">
        <v>56.99</v>
      </c>
      <c r="O4112" s="2" t="s">
        <v>97</v>
      </c>
      <c r="P4112" s="2" t="s">
        <v>119</v>
      </c>
      <c r="Q4112" s="2" t="s">
        <v>99</v>
      </c>
      <c r="R4112" s="2" t="s">
        <v>100</v>
      </c>
      <c r="S4112" s="2" t="s">
        <v>12449</v>
      </c>
      <c r="T4112" s="2" t="s">
        <v>100</v>
      </c>
      <c r="U4112" s="2" t="s">
        <v>1847</v>
      </c>
      <c r="V4112" s="2" t="s">
        <v>2661</v>
      </c>
      <c r="W4112" s="2" t="s">
        <v>561</v>
      </c>
      <c r="X4112" s="2" t="s">
        <v>12450</v>
      </c>
      <c r="Y4112" s="2" t="s">
        <v>5368</v>
      </c>
      <c r="Z4112" s="4">
        <v>244</v>
      </c>
      <c r="AA4112" s="4">
        <f>=ROUNDDOWN(13.5555555555556,0)</f>
      </c>
      <c r="AB4112" s="5">
        <v>18</v>
      </c>
      <c r="AC4112" s="2" t="s">
        <v>931</v>
      </c>
      <c r="AD4112" s="4">
        <v>240</v>
      </c>
      <c r="AE4112" s="4">
        <v>360</v>
      </c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/>
      <c r="BJ4112" s="4">
        <v>425</v>
      </c>
      <c r="BK4112" s="8">
        <v>11876.83</v>
      </c>
      <c r="BL4112" s="2" t="s">
        <v>12462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2480</v>
      </c>
      <c r="BV4112" s="2" t="s">
        <v>97</v>
      </c>
      <c r="BW4112" s="2" t="s">
        <v>100</v>
      </c>
      <c r="BX4112" s="2" t="s">
        <v>100</v>
      </c>
      <c r="BY4112" s="2" t="s">
        <v>113</v>
      </c>
      <c r="BZ4112" s="2" t="s">
        <v>245</v>
      </c>
    </row>
    <row r="4113">
      <c r="A4113" s="2" t="s">
        <v>12463</v>
      </c>
      <c r="B4113" s="2" t="s">
        <v>11863</v>
      </c>
      <c r="C4113" s="2" t="s">
        <v>12412</v>
      </c>
      <c r="D4113" s="2" t="s">
        <v>2605</v>
      </c>
      <c r="E4113" s="2" t="s">
        <v>2606</v>
      </c>
      <c r="F4113" s="2" t="s">
        <v>6684</v>
      </c>
      <c r="G4113" s="2" t="s">
        <v>981</v>
      </c>
      <c r="H4113" s="2" t="s">
        <v>12464</v>
      </c>
      <c r="I4113" s="2" t="s">
        <v>12465</v>
      </c>
      <c r="J4113" s="2" t="s">
        <v>11868</v>
      </c>
      <c r="K4113" s="2" t="s">
        <v>96</v>
      </c>
      <c r="L4113" s="3">
        <v>15.05</v>
      </c>
      <c r="M4113" s="3">
        <v>15.8</v>
      </c>
      <c r="N4113" s="3">
        <v>34.99</v>
      </c>
      <c r="O4113" s="2" t="s">
        <v>97</v>
      </c>
      <c r="P4113" s="2" t="s">
        <v>119</v>
      </c>
      <c r="Q4113" s="2" t="s">
        <v>99</v>
      </c>
      <c r="R4113" s="2" t="s">
        <v>100</v>
      </c>
      <c r="S4113" s="2" t="s">
        <v>12466</v>
      </c>
      <c r="T4113" s="2" t="s">
        <v>100</v>
      </c>
      <c r="U4113" s="2" t="s">
        <v>100</v>
      </c>
      <c r="V4113" s="2" t="s">
        <v>256</v>
      </c>
      <c r="W4113" s="2" t="s">
        <v>183</v>
      </c>
      <c r="X4113" s="2" t="s">
        <v>11977</v>
      </c>
      <c r="Y4113" s="2" t="s">
        <v>1798</v>
      </c>
      <c r="Z4113" s="4">
        <v>163</v>
      </c>
      <c r="AA4113" s="4">
        <f>=ROUNDDOWN(7.08695652173913,0)</f>
      </c>
      <c r="AB4113" s="5">
        <v>23</v>
      </c>
      <c r="AC4113" s="2" t="s">
        <v>282</v>
      </c>
      <c r="AD4113" s="4">
        <v>256</v>
      </c>
      <c r="AE4113" s="4">
        <v>576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>
        <v>10</v>
      </c>
      <c r="AQ4113" s="8">
        <v>141.8</v>
      </c>
      <c r="AR4113" s="4"/>
      <c r="AS4113" s="8"/>
      <c r="AT4113" s="7"/>
      <c r="AU4113" s="7"/>
      <c r="AV4113" s="4">
        <v>10</v>
      </c>
      <c r="AW4113" s="8">
        <v>141.8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1</v>
      </c>
      <c r="BC4113" s="4">
        <v>10</v>
      </c>
      <c r="BD4113" s="8">
        <v>141.8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>
        <v>1</v>
      </c>
      <c r="BJ4113" s="4">
        <v>558</v>
      </c>
      <c r="BK4113" s="8">
        <v>9186.64</v>
      </c>
      <c r="BL4113" s="2" t="s">
        <v>12467</v>
      </c>
      <c r="BM4113" s="7">
        <v>0.0179</v>
      </c>
      <c r="BN4113" s="7">
        <v>0.0154</v>
      </c>
      <c r="BO4113" s="4">
        <v>10</v>
      </c>
      <c r="BP4113" s="8">
        <v>141.8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12468</v>
      </c>
      <c r="BX4113" s="2" t="s">
        <v>4505</v>
      </c>
      <c r="BY4113" s="2" t="s">
        <v>113</v>
      </c>
      <c r="BZ4113" s="2" t="s">
        <v>245</v>
      </c>
    </row>
    <row r="4114">
      <c r="A4114" s="2" t="s">
        <v>12469</v>
      </c>
      <c r="B4114" s="2" t="s">
        <v>11863</v>
      </c>
      <c r="C4114" s="2" t="s">
        <v>12412</v>
      </c>
      <c r="D4114" s="2" t="s">
        <v>2605</v>
      </c>
      <c r="E4114" s="2" t="s">
        <v>2606</v>
      </c>
      <c r="F4114" s="2" t="s">
        <v>6684</v>
      </c>
      <c r="G4114" s="2" t="s">
        <v>981</v>
      </c>
      <c r="H4114" s="2" t="s">
        <v>12464</v>
      </c>
      <c r="I4114" s="2" t="s">
        <v>12465</v>
      </c>
      <c r="J4114" s="2" t="s">
        <v>11878</v>
      </c>
      <c r="K4114" s="2" t="s">
        <v>96</v>
      </c>
      <c r="L4114" s="3">
        <v>17.2</v>
      </c>
      <c r="M4114" s="3">
        <v>18.06</v>
      </c>
      <c r="N4114" s="3">
        <v>39.99</v>
      </c>
      <c r="O4114" s="2" t="s">
        <v>97</v>
      </c>
      <c r="P4114" s="2" t="s">
        <v>119</v>
      </c>
      <c r="Q4114" s="2" t="s">
        <v>99</v>
      </c>
      <c r="R4114" s="2" t="s">
        <v>100</v>
      </c>
      <c r="S4114" s="2" t="s">
        <v>12466</v>
      </c>
      <c r="T4114" s="2" t="s">
        <v>100</v>
      </c>
      <c r="U4114" s="2" t="s">
        <v>100</v>
      </c>
      <c r="V4114" s="2" t="s">
        <v>256</v>
      </c>
      <c r="W4114" s="2" t="s">
        <v>183</v>
      </c>
      <c r="X4114" s="2" t="s">
        <v>11977</v>
      </c>
      <c r="Y4114" s="2" t="s">
        <v>1798</v>
      </c>
      <c r="Z4114" s="4">
        <v>53</v>
      </c>
      <c r="AA4114" s="4">
        <f>=ROUNDDOWN(6.625,0)</f>
      </c>
      <c r="AB4114" s="5">
        <v>8</v>
      </c>
      <c r="AC4114" s="2" t="s">
        <v>282</v>
      </c>
      <c r="AD4114" s="4">
        <v>200</v>
      </c>
      <c r="AE4114" s="4">
        <v>240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/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207</v>
      </c>
      <c r="BK4114" s="8">
        <v>4009.42</v>
      </c>
      <c r="BL4114" s="2" t="s">
        <v>12470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12468</v>
      </c>
      <c r="BX4114" s="2" t="s">
        <v>5505</v>
      </c>
      <c r="BY4114" s="2" t="s">
        <v>113</v>
      </c>
      <c r="BZ4114" s="2" t="s">
        <v>245</v>
      </c>
    </row>
    <row r="4115">
      <c r="A4115" s="2" t="s">
        <v>12471</v>
      </c>
      <c r="B4115" s="2" t="s">
        <v>11863</v>
      </c>
      <c r="C4115" s="2" t="s">
        <v>12412</v>
      </c>
      <c r="D4115" s="2" t="s">
        <v>2605</v>
      </c>
      <c r="E4115" s="2" t="s">
        <v>2606</v>
      </c>
      <c r="F4115" s="2" t="s">
        <v>12472</v>
      </c>
      <c r="G4115" s="2" t="s">
        <v>8337</v>
      </c>
      <c r="H4115" s="2" t="s">
        <v>4340</v>
      </c>
      <c r="I4115" s="2" t="s">
        <v>12473</v>
      </c>
      <c r="J4115" s="2" t="s">
        <v>11868</v>
      </c>
      <c r="K4115" s="2" t="s">
        <v>5676</v>
      </c>
      <c r="L4115" s="3">
        <v>22.5</v>
      </c>
      <c r="M4115" s="3">
        <v>23.62</v>
      </c>
      <c r="N4115" s="3">
        <v>49.99</v>
      </c>
      <c r="O4115" s="2" t="s">
        <v>97</v>
      </c>
      <c r="P4115" s="2" t="s">
        <v>119</v>
      </c>
      <c r="Q4115" s="2" t="s">
        <v>99</v>
      </c>
      <c r="R4115" s="2" t="s">
        <v>100</v>
      </c>
      <c r="S4115" s="2" t="s">
        <v>12474</v>
      </c>
      <c r="T4115" s="2" t="s">
        <v>100</v>
      </c>
      <c r="U4115" s="2" t="s">
        <v>1847</v>
      </c>
      <c r="V4115" s="2" t="s">
        <v>1150</v>
      </c>
      <c r="W4115" s="2" t="s">
        <v>673</v>
      </c>
      <c r="X4115" s="2" t="s">
        <v>11964</v>
      </c>
      <c r="Y4115" s="2" t="s">
        <v>12475</v>
      </c>
      <c r="Z4115" s="4">
        <v>279</v>
      </c>
      <c r="AA4115" s="4">
        <f>=ROUNDDOWN(31,0)</f>
      </c>
      <c r="AB4115" s="5">
        <v>9</v>
      </c>
      <c r="AC4115" s="2" t="s">
        <v>100</v>
      </c>
      <c r="AD4115" s="4"/>
      <c r="AE4115" s="4"/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/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/>
      <c r="BJ4115" s="4">
        <v>185</v>
      </c>
      <c r="BK4115" s="8">
        <v>4884.52</v>
      </c>
      <c r="BL4115" s="2" t="s">
        <v>12476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2480</v>
      </c>
      <c r="BV4115" s="2" t="s">
        <v>97</v>
      </c>
      <c r="BW4115" s="2" t="s">
        <v>100</v>
      </c>
      <c r="BX4115" s="2" t="s">
        <v>100</v>
      </c>
      <c r="BY4115" s="2" t="s">
        <v>113</v>
      </c>
      <c r="BZ4115" s="2" t="s">
        <v>100</v>
      </c>
    </row>
    <row r="4116">
      <c r="A4116" s="2" t="s">
        <v>12477</v>
      </c>
      <c r="B4116" s="2" t="s">
        <v>11863</v>
      </c>
      <c r="C4116" s="2" t="s">
        <v>12412</v>
      </c>
      <c r="D4116" s="2" t="s">
        <v>2605</v>
      </c>
      <c r="E4116" s="2" t="s">
        <v>2606</v>
      </c>
      <c r="F4116" s="2" t="s">
        <v>12472</v>
      </c>
      <c r="G4116" s="2" t="s">
        <v>8337</v>
      </c>
      <c r="H4116" s="2" t="s">
        <v>4340</v>
      </c>
      <c r="I4116" s="2" t="s">
        <v>12473</v>
      </c>
      <c r="J4116" s="2" t="s">
        <v>11878</v>
      </c>
      <c r="K4116" s="2" t="s">
        <v>5676</v>
      </c>
      <c r="L4116" s="3">
        <v>24.75</v>
      </c>
      <c r="M4116" s="3">
        <v>25.99</v>
      </c>
      <c r="N4116" s="3">
        <v>54.99</v>
      </c>
      <c r="O4116" s="2" t="s">
        <v>97</v>
      </c>
      <c r="P4116" s="2" t="s">
        <v>119</v>
      </c>
      <c r="Q4116" s="2" t="s">
        <v>99</v>
      </c>
      <c r="R4116" s="2" t="s">
        <v>100</v>
      </c>
      <c r="S4116" s="2" t="s">
        <v>12474</v>
      </c>
      <c r="T4116" s="2" t="s">
        <v>100</v>
      </c>
      <c r="U4116" s="2" t="s">
        <v>1847</v>
      </c>
      <c r="V4116" s="2" t="s">
        <v>1150</v>
      </c>
      <c r="W4116" s="2" t="s">
        <v>673</v>
      </c>
      <c r="X4116" s="2" t="s">
        <v>11964</v>
      </c>
      <c r="Y4116" s="2" t="s">
        <v>12475</v>
      </c>
      <c r="Z4116" s="4">
        <v>553</v>
      </c>
      <c r="AA4116" s="4">
        <f>=ROUNDDOWN(55.3,0)</f>
      </c>
      <c r="AB4116" s="5">
        <v>10</v>
      </c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 t="s">
        <v>100</v>
      </c>
      <c r="AW4116" s="8" t="s">
        <v>100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/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/>
      <c r="BJ4116" s="4">
        <v>220</v>
      </c>
      <c r="BK4116" s="8">
        <v>5906.77</v>
      </c>
      <c r="BL4116" s="2" t="s">
        <v>12478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2480</v>
      </c>
      <c r="BV4116" s="2" t="s">
        <v>97</v>
      </c>
      <c r="BW4116" s="2" t="s">
        <v>100</v>
      </c>
      <c r="BX4116" s="2" t="s">
        <v>100</v>
      </c>
      <c r="BY4116" s="2" t="s">
        <v>113</v>
      </c>
      <c r="BZ4116" s="2" t="s">
        <v>245</v>
      </c>
    </row>
    <row r="4117">
      <c r="A4117" s="2" t="s">
        <v>12479</v>
      </c>
      <c r="B4117" s="2" t="s">
        <v>11863</v>
      </c>
      <c r="C4117" s="2" t="s">
        <v>12412</v>
      </c>
      <c r="D4117" s="2" t="s">
        <v>2605</v>
      </c>
      <c r="E4117" s="2" t="s">
        <v>2606</v>
      </c>
      <c r="F4117" s="2" t="s">
        <v>12472</v>
      </c>
      <c r="G4117" s="2" t="s">
        <v>8337</v>
      </c>
      <c r="H4117" s="2" t="s">
        <v>4340</v>
      </c>
      <c r="I4117" s="2" t="s">
        <v>12473</v>
      </c>
      <c r="J4117" s="2" t="s">
        <v>11880</v>
      </c>
      <c r="K4117" s="2" t="s">
        <v>5676</v>
      </c>
      <c r="L4117" s="3">
        <v>27</v>
      </c>
      <c r="M4117" s="3">
        <v>28.35</v>
      </c>
      <c r="N4117" s="3">
        <v>59.99</v>
      </c>
      <c r="O4117" s="2" t="s">
        <v>97</v>
      </c>
      <c r="P4117" s="2" t="s">
        <v>119</v>
      </c>
      <c r="Q4117" s="2" t="s">
        <v>99</v>
      </c>
      <c r="R4117" s="2" t="s">
        <v>100</v>
      </c>
      <c r="S4117" s="2" t="s">
        <v>12474</v>
      </c>
      <c r="T4117" s="2" t="s">
        <v>100</v>
      </c>
      <c r="U4117" s="2" t="s">
        <v>1847</v>
      </c>
      <c r="V4117" s="2" t="s">
        <v>1150</v>
      </c>
      <c r="W4117" s="2" t="s">
        <v>673</v>
      </c>
      <c r="X4117" s="2" t="s">
        <v>11964</v>
      </c>
      <c r="Y4117" s="2" t="s">
        <v>12475</v>
      </c>
      <c r="Z4117" s="4">
        <v>250</v>
      </c>
      <c r="AA4117" s="4">
        <f>=ROUNDDOWN(31.25,0)</f>
      </c>
      <c r="AB4117" s="5">
        <v>8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/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/>
      <c r="BJ4117" s="4">
        <v>165</v>
      </c>
      <c r="BK4117" s="8">
        <v>4637.69</v>
      </c>
      <c r="BL4117" s="2" t="s">
        <v>12480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2480</v>
      </c>
      <c r="BV4117" s="2" t="s">
        <v>97</v>
      </c>
      <c r="BW4117" s="2" t="s">
        <v>100</v>
      </c>
      <c r="BX4117" s="2" t="s">
        <v>100</v>
      </c>
      <c r="BY4117" s="2" t="s">
        <v>113</v>
      </c>
      <c r="BZ4117" s="2" t="s">
        <v>245</v>
      </c>
    </row>
    <row r="4118">
      <c r="A4118" s="2" t="s">
        <v>12481</v>
      </c>
      <c r="B4118" s="2" t="s">
        <v>11863</v>
      </c>
      <c r="C4118" s="2" t="s">
        <v>12412</v>
      </c>
      <c r="D4118" s="2" t="s">
        <v>2605</v>
      </c>
      <c r="E4118" s="2" t="s">
        <v>2606</v>
      </c>
      <c r="F4118" s="2" t="s">
        <v>12482</v>
      </c>
      <c r="G4118" s="2" t="s">
        <v>12483</v>
      </c>
      <c r="H4118" s="2" t="s">
        <v>12484</v>
      </c>
      <c r="I4118" s="2" t="s">
        <v>12485</v>
      </c>
      <c r="J4118" s="2" t="s">
        <v>12486</v>
      </c>
      <c r="K4118" s="2" t="s">
        <v>12487</v>
      </c>
      <c r="L4118" s="3">
        <v>25.85</v>
      </c>
      <c r="M4118" s="3">
        <v>27.14</v>
      </c>
      <c r="N4118" s="3">
        <v>54.99</v>
      </c>
      <c r="O4118" s="2" t="s">
        <v>97</v>
      </c>
      <c r="P4118" s="2" t="s">
        <v>119</v>
      </c>
      <c r="Q4118" s="2" t="s">
        <v>99</v>
      </c>
      <c r="R4118" s="2" t="s">
        <v>100</v>
      </c>
      <c r="S4118" s="2" t="s">
        <v>12488</v>
      </c>
      <c r="T4118" s="2" t="s">
        <v>100</v>
      </c>
      <c r="U4118" s="2" t="s">
        <v>1847</v>
      </c>
      <c r="V4118" s="2" t="s">
        <v>146</v>
      </c>
      <c r="W4118" s="2" t="s">
        <v>183</v>
      </c>
      <c r="X4118" s="2" t="s">
        <v>12450</v>
      </c>
      <c r="Y4118" s="2" t="s">
        <v>5368</v>
      </c>
      <c r="Z4118" s="4">
        <v>406</v>
      </c>
      <c r="AA4118" s="4">
        <f>=ROUNDDOWN(45.1111111111111,0)</f>
      </c>
      <c r="AB4118" s="5">
        <v>9</v>
      </c>
      <c r="AC4118" s="2" t="s">
        <v>100</v>
      </c>
      <c r="AD4118" s="4"/>
      <c r="AE4118" s="4"/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/>
      <c r="BJ4118" s="4">
        <v>198</v>
      </c>
      <c r="BK4118" s="8">
        <v>5530.27</v>
      </c>
      <c r="BL4118" s="2" t="s">
        <v>12489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2480</v>
      </c>
      <c r="BV4118" s="2" t="s">
        <v>97</v>
      </c>
      <c r="BW4118" s="2" t="s">
        <v>100</v>
      </c>
      <c r="BX4118" s="2" t="s">
        <v>100</v>
      </c>
      <c r="BY4118" s="2" t="s">
        <v>113</v>
      </c>
      <c r="BZ4118" s="2" t="s">
        <v>245</v>
      </c>
    </row>
    <row r="4119">
      <c r="A4119" s="2" t="s">
        <v>12490</v>
      </c>
      <c r="B4119" s="2" t="s">
        <v>11863</v>
      </c>
      <c r="C4119" s="2" t="s">
        <v>12412</v>
      </c>
      <c r="D4119" s="2" t="s">
        <v>2605</v>
      </c>
      <c r="E4119" s="2" t="s">
        <v>2606</v>
      </c>
      <c r="F4119" s="2" t="s">
        <v>12482</v>
      </c>
      <c r="G4119" s="2" t="s">
        <v>12483</v>
      </c>
      <c r="H4119" s="2" t="s">
        <v>12484</v>
      </c>
      <c r="I4119" s="2" t="s">
        <v>12485</v>
      </c>
      <c r="J4119" s="2" t="s">
        <v>12486</v>
      </c>
      <c r="K4119" s="2" t="s">
        <v>198</v>
      </c>
      <c r="L4119" s="3">
        <v>25.85</v>
      </c>
      <c r="M4119" s="3">
        <v>27.14</v>
      </c>
      <c r="N4119" s="3">
        <v>54.99</v>
      </c>
      <c r="O4119" s="2" t="s">
        <v>97</v>
      </c>
      <c r="P4119" s="2" t="s">
        <v>119</v>
      </c>
      <c r="Q4119" s="2" t="s">
        <v>99</v>
      </c>
      <c r="R4119" s="2" t="s">
        <v>100</v>
      </c>
      <c r="S4119" s="2" t="s">
        <v>12491</v>
      </c>
      <c r="T4119" s="2" t="s">
        <v>100</v>
      </c>
      <c r="U4119" s="2" t="s">
        <v>1847</v>
      </c>
      <c r="V4119" s="2" t="s">
        <v>146</v>
      </c>
      <c r="W4119" s="2" t="s">
        <v>183</v>
      </c>
      <c r="X4119" s="2" t="s">
        <v>12450</v>
      </c>
      <c r="Y4119" s="2" t="s">
        <v>5368</v>
      </c>
      <c r="Z4119" s="4">
        <v>274</v>
      </c>
      <c r="AA4119" s="4">
        <f>=ROUNDDOWN(18.2666666666667,0)</f>
      </c>
      <c r="AB4119" s="5">
        <v>15</v>
      </c>
      <c r="AC4119" s="2" t="s">
        <v>184</v>
      </c>
      <c r="AD4119" s="4">
        <v>120</v>
      </c>
      <c r="AE4119" s="4">
        <v>260</v>
      </c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/>
      <c r="BJ4119" s="4">
        <v>370</v>
      </c>
      <c r="BK4119" s="8">
        <v>10355.02</v>
      </c>
      <c r="BL4119" s="2" t="s">
        <v>12492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2480</v>
      </c>
      <c r="BV4119" s="2" t="s">
        <v>97</v>
      </c>
      <c r="BW4119" s="2" t="s">
        <v>100</v>
      </c>
      <c r="BX4119" s="2" t="s">
        <v>100</v>
      </c>
      <c r="BY4119" s="2" t="s">
        <v>113</v>
      </c>
      <c r="BZ4119" s="2" t="s">
        <v>245</v>
      </c>
    </row>
    <row r="4120">
      <c r="A4120" s="2" t="s">
        <v>12493</v>
      </c>
      <c r="B4120" s="2" t="s">
        <v>11863</v>
      </c>
      <c r="C4120" s="2" t="s">
        <v>12412</v>
      </c>
      <c r="D4120" s="2" t="s">
        <v>2605</v>
      </c>
      <c r="E4120" s="2" t="s">
        <v>2606</v>
      </c>
      <c r="F4120" s="2" t="s">
        <v>12482</v>
      </c>
      <c r="G4120" s="2" t="s">
        <v>12483</v>
      </c>
      <c r="H4120" s="2" t="s">
        <v>12484</v>
      </c>
      <c r="I4120" s="2" t="s">
        <v>12485</v>
      </c>
      <c r="J4120" s="2" t="s">
        <v>12486</v>
      </c>
      <c r="K4120" s="2" t="s">
        <v>629</v>
      </c>
      <c r="L4120" s="3">
        <v>25.85</v>
      </c>
      <c r="M4120" s="3">
        <v>27.14</v>
      </c>
      <c r="N4120" s="3">
        <v>54.99</v>
      </c>
      <c r="O4120" s="2" t="s">
        <v>97</v>
      </c>
      <c r="P4120" s="2" t="s">
        <v>950</v>
      </c>
      <c r="Q4120" s="2" t="s">
        <v>99</v>
      </c>
      <c r="R4120" s="2" t="s">
        <v>100</v>
      </c>
      <c r="S4120" s="2" t="s">
        <v>12494</v>
      </c>
      <c r="T4120" s="2" t="s">
        <v>100</v>
      </c>
      <c r="U4120" s="2" t="s">
        <v>1847</v>
      </c>
      <c r="V4120" s="2" t="s">
        <v>146</v>
      </c>
      <c r="W4120" s="2" t="s">
        <v>183</v>
      </c>
      <c r="X4120" s="2" t="s">
        <v>12450</v>
      </c>
      <c r="Y4120" s="2" t="s">
        <v>5368</v>
      </c>
      <c r="Z4120" s="4">
        <v>672</v>
      </c>
      <c r="AA4120" s="4">
        <f>=ROUNDDOWN(29.2173913043478,0)</f>
      </c>
      <c r="AB4120" s="5">
        <v>23</v>
      </c>
      <c r="AC4120" s="2" t="s">
        <v>1035</v>
      </c>
      <c r="AD4120" s="4">
        <v>220</v>
      </c>
      <c r="AE4120" s="4">
        <v>220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/>
      <c r="BJ4120" s="4">
        <v>548</v>
      </c>
      <c r="BK4120" s="8">
        <v>15342.42</v>
      </c>
      <c r="BL4120" s="2" t="s">
        <v>12495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2480</v>
      </c>
      <c r="BV4120" s="2" t="s">
        <v>97</v>
      </c>
      <c r="BW4120" s="2" t="s">
        <v>100</v>
      </c>
      <c r="BX4120" s="2" t="s">
        <v>100</v>
      </c>
      <c r="BY4120" s="2" t="s">
        <v>113</v>
      </c>
      <c r="BZ4120" s="2" t="s">
        <v>245</v>
      </c>
    </row>
    <row r="4121">
      <c r="A4121" s="2" t="s">
        <v>12496</v>
      </c>
      <c r="B4121" s="2" t="s">
        <v>11863</v>
      </c>
      <c r="C4121" s="2" t="s">
        <v>12412</v>
      </c>
      <c r="D4121" s="2" t="s">
        <v>2605</v>
      </c>
      <c r="E4121" s="2" t="s">
        <v>2606</v>
      </c>
      <c r="F4121" s="2" t="s">
        <v>304</v>
      </c>
      <c r="G4121" s="2" t="s">
        <v>12497</v>
      </c>
      <c r="H4121" s="2" t="s">
        <v>12498</v>
      </c>
      <c r="I4121" s="2" t="s">
        <v>12499</v>
      </c>
      <c r="J4121" s="2" t="s">
        <v>11868</v>
      </c>
      <c r="K4121" s="2" t="s">
        <v>360</v>
      </c>
      <c r="L4121" s="3">
        <v>16.8</v>
      </c>
      <c r="M4121" s="3">
        <v>17.64</v>
      </c>
      <c r="N4121" s="3">
        <v>39.99</v>
      </c>
      <c r="O4121" s="2" t="s">
        <v>97</v>
      </c>
      <c r="P4121" s="2" t="s">
        <v>119</v>
      </c>
      <c r="Q4121" s="2" t="s">
        <v>99</v>
      </c>
      <c r="R4121" s="2" t="s">
        <v>100</v>
      </c>
      <c r="S4121" s="2" t="s">
        <v>12500</v>
      </c>
      <c r="T4121" s="2" t="s">
        <v>100</v>
      </c>
      <c r="U4121" s="2" t="s">
        <v>1847</v>
      </c>
      <c r="V4121" s="2" t="s">
        <v>489</v>
      </c>
      <c r="W4121" s="2" t="s">
        <v>673</v>
      </c>
      <c r="X4121" s="2" t="s">
        <v>11964</v>
      </c>
      <c r="Y4121" s="2" t="s">
        <v>11323</v>
      </c>
      <c r="Z4121" s="4">
        <v>604</v>
      </c>
      <c r="AA4121" s="4">
        <f>=ROUNDDOWN(37.75,0)</f>
      </c>
      <c r="AB4121" s="5">
        <v>16</v>
      </c>
      <c r="AC4121" s="2" t="s">
        <v>100</v>
      </c>
      <c r="AD4121" s="4"/>
      <c r="AE4121" s="4"/>
      <c r="AF4121" s="6">
        <v>68</v>
      </c>
      <c r="AG4121" s="6"/>
      <c r="AH4121" s="7">
        <v>0.984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/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/>
      <c r="BJ4121" s="4">
        <v>420</v>
      </c>
      <c r="BK4121" s="8">
        <v>7152.29</v>
      </c>
      <c r="BL4121" s="2" t="s">
        <v>12501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2480</v>
      </c>
      <c r="BV4121" s="2" t="s">
        <v>97</v>
      </c>
      <c r="BW4121" s="2" t="s">
        <v>100</v>
      </c>
      <c r="BX4121" s="2" t="s">
        <v>100</v>
      </c>
      <c r="BY4121" s="2" t="s">
        <v>113</v>
      </c>
      <c r="BZ4121" s="2" t="s">
        <v>245</v>
      </c>
    </row>
    <row r="4122">
      <c r="A4122" s="2" t="s">
        <v>12502</v>
      </c>
      <c r="B4122" s="2" t="s">
        <v>11863</v>
      </c>
      <c r="C4122" s="2" t="s">
        <v>12412</v>
      </c>
      <c r="D4122" s="2" t="s">
        <v>2605</v>
      </c>
      <c r="E4122" s="2" t="s">
        <v>2606</v>
      </c>
      <c r="F4122" s="2" t="s">
        <v>304</v>
      </c>
      <c r="G4122" s="2" t="s">
        <v>12497</v>
      </c>
      <c r="H4122" s="2" t="s">
        <v>12498</v>
      </c>
      <c r="I4122" s="2" t="s">
        <v>12499</v>
      </c>
      <c r="J4122" s="2" t="s">
        <v>11878</v>
      </c>
      <c r="K4122" s="2" t="s">
        <v>360</v>
      </c>
      <c r="L4122" s="3">
        <v>18</v>
      </c>
      <c r="M4122" s="3">
        <v>18.9</v>
      </c>
      <c r="N4122" s="3">
        <v>44.99</v>
      </c>
      <c r="O4122" s="2" t="s">
        <v>97</v>
      </c>
      <c r="P4122" s="2" t="s">
        <v>119</v>
      </c>
      <c r="Q4122" s="2" t="s">
        <v>99</v>
      </c>
      <c r="R4122" s="2" t="s">
        <v>100</v>
      </c>
      <c r="S4122" s="2" t="s">
        <v>12500</v>
      </c>
      <c r="T4122" s="2" t="s">
        <v>100</v>
      </c>
      <c r="U4122" s="2" t="s">
        <v>1847</v>
      </c>
      <c r="V4122" s="2" t="s">
        <v>489</v>
      </c>
      <c r="W4122" s="2" t="s">
        <v>673</v>
      </c>
      <c r="X4122" s="2" t="s">
        <v>11964</v>
      </c>
      <c r="Y4122" s="2" t="s">
        <v>11323</v>
      </c>
      <c r="Z4122" s="4">
        <v>344</v>
      </c>
      <c r="AA4122" s="4">
        <f>=ROUNDDOWN(22.9333333333333,0)</f>
      </c>
      <c r="AB4122" s="5">
        <v>15</v>
      </c>
      <c r="AC4122" s="2" t="s">
        <v>3031</v>
      </c>
      <c r="AD4122" s="4">
        <v>200</v>
      </c>
      <c r="AE4122" s="4">
        <v>200</v>
      </c>
      <c r="AF4122" s="6">
        <v>68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/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/>
      <c r="BJ4122" s="4">
        <v>331</v>
      </c>
      <c r="BK4122" s="8">
        <v>6893.08</v>
      </c>
      <c r="BL4122" s="2" t="s">
        <v>12503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2480</v>
      </c>
      <c r="BV4122" s="2" t="s">
        <v>97</v>
      </c>
      <c r="BW4122" s="2" t="s">
        <v>100</v>
      </c>
      <c r="BX4122" s="2" t="s">
        <v>100</v>
      </c>
      <c r="BY4122" s="2" t="s">
        <v>113</v>
      </c>
      <c r="BZ4122" s="2" t="s">
        <v>100</v>
      </c>
    </row>
    <row r="4123">
      <c r="A4123" s="2" t="s">
        <v>12504</v>
      </c>
      <c r="B4123" s="2" t="s">
        <v>11863</v>
      </c>
      <c r="C4123" s="2" t="s">
        <v>12412</v>
      </c>
      <c r="D4123" s="2" t="s">
        <v>2605</v>
      </c>
      <c r="E4123" s="2" t="s">
        <v>2606</v>
      </c>
      <c r="F4123" s="2" t="s">
        <v>304</v>
      </c>
      <c r="G4123" s="2" t="s">
        <v>12497</v>
      </c>
      <c r="H4123" s="2" t="s">
        <v>12498</v>
      </c>
      <c r="I4123" s="2" t="s">
        <v>12499</v>
      </c>
      <c r="J4123" s="2" t="s">
        <v>11880</v>
      </c>
      <c r="K4123" s="2" t="s">
        <v>360</v>
      </c>
      <c r="L4123" s="3">
        <v>21</v>
      </c>
      <c r="M4123" s="3">
        <v>22.05</v>
      </c>
      <c r="N4123" s="3">
        <v>49.99</v>
      </c>
      <c r="O4123" s="2" t="s">
        <v>97</v>
      </c>
      <c r="P4123" s="2" t="s">
        <v>119</v>
      </c>
      <c r="Q4123" s="2" t="s">
        <v>99</v>
      </c>
      <c r="R4123" s="2" t="s">
        <v>100</v>
      </c>
      <c r="S4123" s="2" t="s">
        <v>12500</v>
      </c>
      <c r="T4123" s="2" t="s">
        <v>100</v>
      </c>
      <c r="U4123" s="2" t="s">
        <v>1847</v>
      </c>
      <c r="V4123" s="2" t="s">
        <v>489</v>
      </c>
      <c r="W4123" s="2" t="s">
        <v>673</v>
      </c>
      <c r="X4123" s="2" t="s">
        <v>11964</v>
      </c>
      <c r="Y4123" s="2" t="s">
        <v>11323</v>
      </c>
      <c r="Z4123" s="4">
        <v>456</v>
      </c>
      <c r="AA4123" s="4">
        <f>=ROUNDDOWN(41.4545454545455,0)</f>
      </c>
      <c r="AB4123" s="5">
        <v>11</v>
      </c>
      <c r="AC4123" s="2" t="s">
        <v>100</v>
      </c>
      <c r="AD4123" s="4"/>
      <c r="AE4123" s="4"/>
      <c r="AF4123" s="6">
        <v>68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/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/>
      <c r="BJ4123" s="4">
        <v>183</v>
      </c>
      <c r="BK4123" s="8">
        <v>3843.48</v>
      </c>
      <c r="BL4123" s="2" t="s">
        <v>12505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2480</v>
      </c>
      <c r="BV4123" s="2" t="s">
        <v>97</v>
      </c>
      <c r="BW4123" s="2" t="s">
        <v>100</v>
      </c>
      <c r="BX4123" s="2" t="s">
        <v>100</v>
      </c>
      <c r="BY4123" s="2" t="s">
        <v>113</v>
      </c>
      <c r="BZ4123" s="2" t="s">
        <v>245</v>
      </c>
    </row>
    <row r="4124">
      <c r="A4124" s="2" t="s">
        <v>12506</v>
      </c>
      <c r="B4124" s="2" t="s">
        <v>11863</v>
      </c>
      <c r="C4124" s="2" t="s">
        <v>12412</v>
      </c>
      <c r="D4124" s="2" t="s">
        <v>2605</v>
      </c>
      <c r="E4124" s="2" t="s">
        <v>2606</v>
      </c>
      <c r="F4124" s="2" t="s">
        <v>12507</v>
      </c>
      <c r="G4124" s="2" t="s">
        <v>12508</v>
      </c>
      <c r="H4124" s="2" t="s">
        <v>12509</v>
      </c>
      <c r="I4124" s="2" t="s">
        <v>12510</v>
      </c>
      <c r="J4124" s="2" t="s">
        <v>11868</v>
      </c>
      <c r="K4124" s="2" t="s">
        <v>1614</v>
      </c>
      <c r="L4124" s="3">
        <v>20.25</v>
      </c>
      <c r="M4124" s="3">
        <v>21.26</v>
      </c>
      <c r="N4124" s="3">
        <v>44.99</v>
      </c>
      <c r="O4124" s="2" t="s">
        <v>97</v>
      </c>
      <c r="P4124" s="2" t="s">
        <v>119</v>
      </c>
      <c r="Q4124" s="2" t="s">
        <v>99</v>
      </c>
      <c r="R4124" s="2" t="s">
        <v>100</v>
      </c>
      <c r="S4124" s="2" t="s">
        <v>12511</v>
      </c>
      <c r="T4124" s="2" t="s">
        <v>100</v>
      </c>
      <c r="U4124" s="2" t="s">
        <v>1847</v>
      </c>
      <c r="V4124" s="2" t="s">
        <v>2661</v>
      </c>
      <c r="W4124" s="2" t="s">
        <v>561</v>
      </c>
      <c r="X4124" s="2" t="s">
        <v>11964</v>
      </c>
      <c r="Y4124" s="2" t="s">
        <v>12512</v>
      </c>
      <c r="Z4124" s="4">
        <v>354</v>
      </c>
      <c r="AA4124" s="4">
        <f>=ROUNDDOWN(14.75,0)</f>
      </c>
      <c r="AB4124" s="5">
        <v>24</v>
      </c>
      <c r="AC4124" s="2" t="s">
        <v>356</v>
      </c>
      <c r="AD4124" s="4">
        <v>600</v>
      </c>
      <c r="AE4124" s="4">
        <v>1148</v>
      </c>
      <c r="AF4124" s="6">
        <v>65</v>
      </c>
      <c r="AG4124" s="6"/>
      <c r="AH4124" s="7">
        <v>0.9679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/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/>
      <c r="BJ4124" s="4">
        <v>552</v>
      </c>
      <c r="BK4124" s="8">
        <v>11942.52</v>
      </c>
      <c r="BL4124" s="2" t="s">
        <v>12263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2480</v>
      </c>
      <c r="BV4124" s="2" t="s">
        <v>97</v>
      </c>
      <c r="BW4124" s="2" t="s">
        <v>100</v>
      </c>
      <c r="BX4124" s="2" t="s">
        <v>100</v>
      </c>
      <c r="BY4124" s="2" t="s">
        <v>113</v>
      </c>
      <c r="BZ4124" s="2" t="s">
        <v>100</v>
      </c>
    </row>
    <row r="4125">
      <c r="A4125" s="2" t="s">
        <v>12513</v>
      </c>
      <c r="B4125" s="2" t="s">
        <v>11863</v>
      </c>
      <c r="C4125" s="2" t="s">
        <v>12412</v>
      </c>
      <c r="D4125" s="2" t="s">
        <v>2605</v>
      </c>
      <c r="E4125" s="2" t="s">
        <v>2606</v>
      </c>
      <c r="F4125" s="2" t="s">
        <v>12507</v>
      </c>
      <c r="G4125" s="2" t="s">
        <v>12508</v>
      </c>
      <c r="H4125" s="2" t="s">
        <v>12509</v>
      </c>
      <c r="I4125" s="2" t="s">
        <v>12510</v>
      </c>
      <c r="J4125" s="2" t="s">
        <v>11878</v>
      </c>
      <c r="K4125" s="2" t="s">
        <v>1614</v>
      </c>
      <c r="L4125" s="3">
        <v>22.5</v>
      </c>
      <c r="M4125" s="3">
        <v>23.62</v>
      </c>
      <c r="N4125" s="3">
        <v>49.99</v>
      </c>
      <c r="O4125" s="2" t="s">
        <v>97</v>
      </c>
      <c r="P4125" s="2" t="s">
        <v>119</v>
      </c>
      <c r="Q4125" s="2" t="s">
        <v>99</v>
      </c>
      <c r="R4125" s="2" t="s">
        <v>100</v>
      </c>
      <c r="S4125" s="2" t="s">
        <v>12511</v>
      </c>
      <c r="T4125" s="2" t="s">
        <v>100</v>
      </c>
      <c r="U4125" s="2" t="s">
        <v>100</v>
      </c>
      <c r="V4125" s="2" t="s">
        <v>2661</v>
      </c>
      <c r="W4125" s="2" t="s">
        <v>561</v>
      </c>
      <c r="X4125" s="2" t="s">
        <v>11964</v>
      </c>
      <c r="Y4125" s="2" t="s">
        <v>12512</v>
      </c>
      <c r="Z4125" s="4">
        <v>390</v>
      </c>
      <c r="AA4125" s="4">
        <f>=ROUNDDOWN(35.4545454545455,0)</f>
      </c>
      <c r="AB4125" s="5">
        <v>11</v>
      </c>
      <c r="AC4125" s="2" t="s">
        <v>100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 t="s">
        <v>100</v>
      </c>
      <c r="AW4125" s="8" t="s">
        <v>100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/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/>
      <c r="BJ4125" s="4">
        <v>188</v>
      </c>
      <c r="BK4125" s="8">
        <v>4245.72</v>
      </c>
      <c r="BL4125" s="2" t="s">
        <v>12514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2480</v>
      </c>
      <c r="BV4125" s="2" t="s">
        <v>97</v>
      </c>
      <c r="BW4125" s="2" t="s">
        <v>100</v>
      </c>
      <c r="BX4125" s="2" t="s">
        <v>100</v>
      </c>
      <c r="BY4125" s="2" t="s">
        <v>113</v>
      </c>
      <c r="BZ4125" s="2" t="s">
        <v>245</v>
      </c>
    </row>
    <row r="4126">
      <c r="A4126" s="2" t="s">
        <v>12515</v>
      </c>
      <c r="B4126" s="2" t="s">
        <v>11863</v>
      </c>
      <c r="C4126" s="2" t="s">
        <v>12412</v>
      </c>
      <c r="D4126" s="2" t="s">
        <v>2605</v>
      </c>
      <c r="E4126" s="2" t="s">
        <v>2606</v>
      </c>
      <c r="F4126" s="2" t="s">
        <v>12507</v>
      </c>
      <c r="G4126" s="2" t="s">
        <v>12508</v>
      </c>
      <c r="H4126" s="2" t="s">
        <v>12509</v>
      </c>
      <c r="I4126" s="2" t="s">
        <v>12510</v>
      </c>
      <c r="J4126" s="2" t="s">
        <v>11880</v>
      </c>
      <c r="K4126" s="2" t="s">
        <v>1614</v>
      </c>
      <c r="L4126" s="3">
        <v>24.75</v>
      </c>
      <c r="M4126" s="3">
        <v>25.99</v>
      </c>
      <c r="N4126" s="3">
        <v>54.99</v>
      </c>
      <c r="O4126" s="2" t="s">
        <v>97</v>
      </c>
      <c r="P4126" s="2" t="s">
        <v>119</v>
      </c>
      <c r="Q4126" s="2" t="s">
        <v>99</v>
      </c>
      <c r="R4126" s="2" t="s">
        <v>100</v>
      </c>
      <c r="S4126" s="2" t="s">
        <v>12511</v>
      </c>
      <c r="T4126" s="2" t="s">
        <v>100</v>
      </c>
      <c r="U4126" s="2" t="s">
        <v>1847</v>
      </c>
      <c r="V4126" s="2" t="s">
        <v>2661</v>
      </c>
      <c r="W4126" s="2" t="s">
        <v>561</v>
      </c>
      <c r="X4126" s="2" t="s">
        <v>11964</v>
      </c>
      <c r="Y4126" s="2" t="s">
        <v>12512</v>
      </c>
      <c r="Z4126" s="4">
        <v>269</v>
      </c>
      <c r="AA4126" s="4">
        <f>=ROUNDDOWN(19.2142857142857,0)</f>
      </c>
      <c r="AB4126" s="5">
        <v>14</v>
      </c>
      <c r="AC4126" s="2" t="s">
        <v>356</v>
      </c>
      <c r="AD4126" s="4">
        <v>336</v>
      </c>
      <c r="AE4126" s="4">
        <v>588</v>
      </c>
      <c r="AF4126" s="6">
        <v>65</v>
      </c>
      <c r="AG4126" s="6"/>
      <c r="AH4126" s="7">
        <v>0.9037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/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/>
      <c r="BJ4126" s="4">
        <v>265</v>
      </c>
      <c r="BK4126" s="8">
        <v>6865.25</v>
      </c>
      <c r="BL4126" s="2" t="s">
        <v>12263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2480</v>
      </c>
      <c r="BV4126" s="2" t="s">
        <v>97</v>
      </c>
      <c r="BW4126" s="2" t="s">
        <v>100</v>
      </c>
      <c r="BX4126" s="2" t="s">
        <v>100</v>
      </c>
      <c r="BY4126" s="2" t="s">
        <v>113</v>
      </c>
      <c r="BZ4126" s="2" t="s">
        <v>245</v>
      </c>
    </row>
    <row r="4127">
      <c r="A4127" s="2" t="s">
        <v>12516</v>
      </c>
      <c r="B4127" s="2" t="s">
        <v>11863</v>
      </c>
      <c r="C4127" s="2" t="s">
        <v>12412</v>
      </c>
      <c r="D4127" s="2" t="s">
        <v>2605</v>
      </c>
      <c r="E4127" s="2" t="s">
        <v>12340</v>
      </c>
      <c r="F4127" s="2" t="s">
        <v>12291</v>
      </c>
      <c r="G4127" s="2" t="s">
        <v>3474</v>
      </c>
      <c r="H4127" s="2" t="s">
        <v>8906</v>
      </c>
      <c r="I4127" s="2" t="s">
        <v>12517</v>
      </c>
      <c r="J4127" s="2" t="s">
        <v>12054</v>
      </c>
      <c r="K4127" s="2" t="s">
        <v>1614</v>
      </c>
      <c r="L4127" s="3">
        <v>23.65</v>
      </c>
      <c r="M4127" s="3">
        <v>24.83</v>
      </c>
      <c r="N4127" s="3">
        <v>54.99</v>
      </c>
      <c r="O4127" s="2" t="s">
        <v>97</v>
      </c>
      <c r="P4127" s="2" t="s">
        <v>119</v>
      </c>
      <c r="Q4127" s="2" t="s">
        <v>99</v>
      </c>
      <c r="R4127" s="2" t="s">
        <v>100</v>
      </c>
      <c r="S4127" s="2" t="s">
        <v>12293</v>
      </c>
      <c r="T4127" s="2" t="s">
        <v>218</v>
      </c>
      <c r="U4127" s="2" t="s">
        <v>514</v>
      </c>
      <c r="V4127" s="2" t="s">
        <v>146</v>
      </c>
      <c r="W4127" s="2" t="s">
        <v>561</v>
      </c>
      <c r="X4127" s="2" t="s">
        <v>11977</v>
      </c>
      <c r="Y4127" s="2" t="s">
        <v>6472</v>
      </c>
      <c r="Z4127" s="4">
        <v>370</v>
      </c>
      <c r="AA4127" s="4">
        <f>=ROUNDDOWN(41.1111111111111,0)</f>
      </c>
      <c r="AB4127" s="5">
        <v>9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/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/>
      <c r="BJ4127" s="4">
        <v>193</v>
      </c>
      <c r="BK4127" s="8">
        <v>4860.24</v>
      </c>
      <c r="BL4127" s="2" t="s">
        <v>12518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2480</v>
      </c>
      <c r="BV4127" s="2" t="s">
        <v>97</v>
      </c>
      <c r="BW4127" s="2" t="s">
        <v>100</v>
      </c>
      <c r="BX4127" s="2" t="s">
        <v>100</v>
      </c>
      <c r="BY4127" s="2" t="s">
        <v>113</v>
      </c>
      <c r="BZ4127" s="2" t="s">
        <v>245</v>
      </c>
    </row>
    <row r="4128">
      <c r="A4128" s="2" t="s">
        <v>12519</v>
      </c>
      <c r="B4128" s="2" t="s">
        <v>11863</v>
      </c>
      <c r="C4128" s="2" t="s">
        <v>12412</v>
      </c>
      <c r="D4128" s="2" t="s">
        <v>2605</v>
      </c>
      <c r="E4128" s="2" t="s">
        <v>12340</v>
      </c>
      <c r="F4128" s="2" t="s">
        <v>12291</v>
      </c>
      <c r="G4128" s="2" t="s">
        <v>3474</v>
      </c>
      <c r="H4128" s="2" t="s">
        <v>8906</v>
      </c>
      <c r="I4128" s="2" t="s">
        <v>12517</v>
      </c>
      <c r="J4128" s="2" t="s">
        <v>12059</v>
      </c>
      <c r="K4128" s="2" t="s">
        <v>1614</v>
      </c>
      <c r="L4128" s="3">
        <v>25.8</v>
      </c>
      <c r="M4128" s="3">
        <v>27.09</v>
      </c>
      <c r="N4128" s="3">
        <v>59.99</v>
      </c>
      <c r="O4128" s="2" t="s">
        <v>97</v>
      </c>
      <c r="P4128" s="2" t="s">
        <v>119</v>
      </c>
      <c r="Q4128" s="2" t="s">
        <v>99</v>
      </c>
      <c r="R4128" s="2" t="s">
        <v>100</v>
      </c>
      <c r="S4128" s="2" t="s">
        <v>12293</v>
      </c>
      <c r="T4128" s="2" t="s">
        <v>218</v>
      </c>
      <c r="U4128" s="2" t="s">
        <v>514</v>
      </c>
      <c r="V4128" s="2" t="s">
        <v>146</v>
      </c>
      <c r="W4128" s="2" t="s">
        <v>561</v>
      </c>
      <c r="X4128" s="2" t="s">
        <v>11977</v>
      </c>
      <c r="Y4128" s="2" t="s">
        <v>6472</v>
      </c>
      <c r="Z4128" s="4">
        <v>503</v>
      </c>
      <c r="AA4128" s="4">
        <f>=ROUNDDOWN(41.9166666666667,0)</f>
      </c>
      <c r="AB4128" s="5">
        <v>12</v>
      </c>
      <c r="AC4128" s="2" t="s">
        <v>100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/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/>
      <c r="BJ4128" s="4">
        <v>221</v>
      </c>
      <c r="BK4128" s="8">
        <v>7673.68</v>
      </c>
      <c r="BL4128" s="2" t="s">
        <v>12520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2480</v>
      </c>
      <c r="BV4128" s="2" t="s">
        <v>97</v>
      </c>
      <c r="BW4128" s="2" t="s">
        <v>100</v>
      </c>
      <c r="BX4128" s="2" t="s">
        <v>100</v>
      </c>
      <c r="BY4128" s="2" t="s">
        <v>113</v>
      </c>
      <c r="BZ4128" s="2" t="s">
        <v>245</v>
      </c>
    </row>
    <row r="4129">
      <c r="A4129" s="2" t="s">
        <v>12521</v>
      </c>
      <c r="B4129" s="2" t="s">
        <v>11863</v>
      </c>
      <c r="C4129" s="2" t="s">
        <v>12412</v>
      </c>
      <c r="D4129" s="2" t="s">
        <v>2605</v>
      </c>
      <c r="E4129" s="2" t="s">
        <v>12340</v>
      </c>
      <c r="F4129" s="2" t="s">
        <v>12291</v>
      </c>
      <c r="G4129" s="2" t="s">
        <v>3474</v>
      </c>
      <c r="H4129" s="2" t="s">
        <v>8906</v>
      </c>
      <c r="I4129" s="2" t="s">
        <v>12517</v>
      </c>
      <c r="J4129" s="2" t="s">
        <v>12054</v>
      </c>
      <c r="K4129" s="2" t="s">
        <v>629</v>
      </c>
      <c r="L4129" s="3">
        <v>23.65</v>
      </c>
      <c r="M4129" s="3">
        <v>24.83</v>
      </c>
      <c r="N4129" s="3">
        <v>54.99</v>
      </c>
      <c r="O4129" s="2" t="s">
        <v>97</v>
      </c>
      <c r="P4129" s="2" t="s">
        <v>119</v>
      </c>
      <c r="Q4129" s="2" t="s">
        <v>99</v>
      </c>
      <c r="R4129" s="2" t="s">
        <v>100</v>
      </c>
      <c r="S4129" s="2" t="s">
        <v>12304</v>
      </c>
      <c r="T4129" s="2" t="s">
        <v>218</v>
      </c>
      <c r="U4129" s="2" t="s">
        <v>514</v>
      </c>
      <c r="V4129" s="2" t="s">
        <v>146</v>
      </c>
      <c r="W4129" s="2" t="s">
        <v>561</v>
      </c>
      <c r="X4129" s="2" t="s">
        <v>11977</v>
      </c>
      <c r="Y4129" s="2" t="s">
        <v>6472</v>
      </c>
      <c r="Z4129" s="4">
        <v>307</v>
      </c>
      <c r="AA4129" s="4">
        <f>=ROUNDDOWN(61.4,0)</f>
      </c>
      <c r="AB4129" s="5">
        <v>5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/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/>
      <c r="BJ4129" s="4">
        <v>83</v>
      </c>
      <c r="BK4129" s="8">
        <v>2057.61</v>
      </c>
      <c r="BL4129" s="2" t="s">
        <v>12522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2480</v>
      </c>
      <c r="BV4129" s="2" t="s">
        <v>97</v>
      </c>
      <c r="BW4129" s="2" t="s">
        <v>100</v>
      </c>
      <c r="BX4129" s="2" t="s">
        <v>100</v>
      </c>
      <c r="BY4129" s="2" t="s">
        <v>113</v>
      </c>
      <c r="BZ4129" s="2" t="s">
        <v>245</v>
      </c>
    </row>
    <row r="4130">
      <c r="A4130" s="2" t="s">
        <v>12523</v>
      </c>
      <c r="B4130" s="2" t="s">
        <v>11863</v>
      </c>
      <c r="C4130" s="2" t="s">
        <v>12412</v>
      </c>
      <c r="D4130" s="2" t="s">
        <v>2605</v>
      </c>
      <c r="E4130" s="2" t="s">
        <v>12340</v>
      </c>
      <c r="F4130" s="2" t="s">
        <v>12291</v>
      </c>
      <c r="G4130" s="2" t="s">
        <v>3474</v>
      </c>
      <c r="H4130" s="2" t="s">
        <v>8906</v>
      </c>
      <c r="I4130" s="2" t="s">
        <v>12517</v>
      </c>
      <c r="J4130" s="2" t="s">
        <v>12059</v>
      </c>
      <c r="K4130" s="2" t="s">
        <v>629</v>
      </c>
      <c r="L4130" s="3">
        <v>25.8</v>
      </c>
      <c r="M4130" s="3">
        <v>27.09</v>
      </c>
      <c r="N4130" s="3">
        <v>59.99</v>
      </c>
      <c r="O4130" s="2" t="s">
        <v>97</v>
      </c>
      <c r="P4130" s="2" t="s">
        <v>119</v>
      </c>
      <c r="Q4130" s="2" t="s">
        <v>99</v>
      </c>
      <c r="R4130" s="2" t="s">
        <v>100</v>
      </c>
      <c r="S4130" s="2" t="s">
        <v>12304</v>
      </c>
      <c r="T4130" s="2" t="s">
        <v>218</v>
      </c>
      <c r="U4130" s="2" t="s">
        <v>514</v>
      </c>
      <c r="V4130" s="2" t="s">
        <v>146</v>
      </c>
      <c r="W4130" s="2" t="s">
        <v>561</v>
      </c>
      <c r="X4130" s="2" t="s">
        <v>11977</v>
      </c>
      <c r="Y4130" s="2" t="s">
        <v>6472</v>
      </c>
      <c r="Z4130" s="4">
        <v>312</v>
      </c>
      <c r="AA4130" s="4">
        <f>=ROUNDDOWN(44.5714285714286,0)</f>
      </c>
      <c r="AB4130" s="5">
        <v>7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 t="s">
        <v>100</v>
      </c>
      <c r="AW4130" s="8" t="s">
        <v>100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/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/>
      <c r="BJ4130" s="4">
        <v>151</v>
      </c>
      <c r="BK4130" s="8">
        <v>5277.21</v>
      </c>
      <c r="BL4130" s="2" t="s">
        <v>12524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2480</v>
      </c>
      <c r="BV4130" s="2" t="s">
        <v>97</v>
      </c>
      <c r="BW4130" s="2" t="s">
        <v>100</v>
      </c>
      <c r="BX4130" s="2" t="s">
        <v>100</v>
      </c>
      <c r="BY4130" s="2" t="s">
        <v>113</v>
      </c>
      <c r="BZ4130" s="2" t="s">
        <v>245</v>
      </c>
    </row>
    <row r="4131">
      <c r="A4131" s="2" t="s">
        <v>12525</v>
      </c>
      <c r="B4131" s="2" t="s">
        <v>11863</v>
      </c>
      <c r="C4131" s="2" t="s">
        <v>12412</v>
      </c>
      <c r="D4131" s="2" t="s">
        <v>2605</v>
      </c>
      <c r="E4131" s="2" t="s">
        <v>12340</v>
      </c>
      <c r="F4131" s="2" t="s">
        <v>304</v>
      </c>
      <c r="G4131" s="2" t="s">
        <v>12497</v>
      </c>
      <c r="H4131" s="2" t="s">
        <v>12498</v>
      </c>
      <c r="I4131" s="2" t="s">
        <v>12526</v>
      </c>
      <c r="J4131" s="2" t="s">
        <v>12074</v>
      </c>
      <c r="K4131" s="2" t="s">
        <v>6430</v>
      </c>
      <c r="L4131" s="3">
        <v>30.1</v>
      </c>
      <c r="M4131" s="3">
        <v>31.61</v>
      </c>
      <c r="N4131" s="3">
        <v>69.99</v>
      </c>
      <c r="O4131" s="2" t="s">
        <v>97</v>
      </c>
      <c r="P4131" s="2" t="s">
        <v>119</v>
      </c>
      <c r="Q4131" s="2" t="s">
        <v>99</v>
      </c>
      <c r="R4131" s="2" t="s">
        <v>100</v>
      </c>
      <c r="S4131" s="2" t="s">
        <v>12527</v>
      </c>
      <c r="T4131" s="2" t="s">
        <v>100</v>
      </c>
      <c r="U4131" s="2" t="s">
        <v>514</v>
      </c>
      <c r="V4131" s="2" t="s">
        <v>489</v>
      </c>
      <c r="W4131" s="2" t="s">
        <v>673</v>
      </c>
      <c r="X4131" s="2" t="s">
        <v>11964</v>
      </c>
      <c r="Y4131" s="2" t="s">
        <v>12528</v>
      </c>
      <c r="Z4131" s="4">
        <v>346</v>
      </c>
      <c r="AA4131" s="4">
        <f>=ROUNDDOWN(57.6666666666667,0)</f>
      </c>
      <c r="AB4131" s="5">
        <v>6</v>
      </c>
      <c r="AC4131" s="2" t="s">
        <v>100</v>
      </c>
      <c r="AD4131" s="4"/>
      <c r="AE4131" s="4"/>
      <c r="AF4131" s="6">
        <v>68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95</v>
      </c>
      <c r="BK4131" s="8">
        <v>3389.56</v>
      </c>
      <c r="BL4131" s="2" t="s">
        <v>12529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2480</v>
      </c>
      <c r="BV4131" s="2" t="s">
        <v>97</v>
      </c>
      <c r="BW4131" s="2" t="s">
        <v>100</v>
      </c>
      <c r="BX4131" s="2" t="s">
        <v>100</v>
      </c>
      <c r="BY4131" s="2" t="s">
        <v>113</v>
      </c>
      <c r="BZ4131" s="2" t="s">
        <v>245</v>
      </c>
    </row>
    <row r="4132">
      <c r="A4132" s="2" t="s">
        <v>12530</v>
      </c>
      <c r="B4132" s="2" t="s">
        <v>11863</v>
      </c>
      <c r="C4132" s="2" t="s">
        <v>2213</v>
      </c>
      <c r="D4132" s="2" t="s">
        <v>2605</v>
      </c>
      <c r="E4132" s="2" t="s">
        <v>12340</v>
      </c>
      <c r="F4132" s="2" t="s">
        <v>12531</v>
      </c>
      <c r="G4132" s="2" t="s">
        <v>12532</v>
      </c>
      <c r="H4132" s="2" t="s">
        <v>8495</v>
      </c>
      <c r="I4132" s="2" t="s">
        <v>12533</v>
      </c>
      <c r="J4132" s="2" t="s">
        <v>12534</v>
      </c>
      <c r="K4132" s="2" t="s">
        <v>1614</v>
      </c>
      <c r="L4132" s="3">
        <v>17.02</v>
      </c>
      <c r="M4132" s="3">
        <v>17.87</v>
      </c>
      <c r="N4132" s="3">
        <v>36.99</v>
      </c>
      <c r="O4132" s="2" t="s">
        <v>97</v>
      </c>
      <c r="P4132" s="2" t="s">
        <v>98</v>
      </c>
      <c r="Q4132" s="2" t="s">
        <v>99</v>
      </c>
      <c r="R4132" s="2" t="s">
        <v>100</v>
      </c>
      <c r="S4132" s="2" t="s">
        <v>12535</v>
      </c>
      <c r="T4132" s="2" t="s">
        <v>672</v>
      </c>
      <c r="U4132" s="2" t="s">
        <v>514</v>
      </c>
      <c r="V4132" s="2" t="s">
        <v>146</v>
      </c>
      <c r="W4132" s="2" t="s">
        <v>561</v>
      </c>
      <c r="X4132" s="2" t="s">
        <v>11977</v>
      </c>
      <c r="Y4132" s="2" t="s">
        <v>1686</v>
      </c>
      <c r="Z4132" s="4">
        <v>103</v>
      </c>
      <c r="AA4132" s="4">
        <f>=ROUNDDOWN(14.7142857142857,0)</f>
      </c>
      <c r="AB4132" s="5">
        <v>7</v>
      </c>
      <c r="AC4132" s="2" t="s">
        <v>282</v>
      </c>
      <c r="AD4132" s="4">
        <v>136</v>
      </c>
      <c r="AE4132" s="4">
        <v>348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>
        <v>11</v>
      </c>
      <c r="AW4132" s="8">
        <v>214.98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/>
      <c r="BC4132" s="4">
        <v>13</v>
      </c>
      <c r="BD4132" s="8">
        <v>252.78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0.8505</v>
      </c>
      <c r="BJ4132" s="4">
        <v>179</v>
      </c>
      <c r="BK4132" s="8">
        <v>3225.03</v>
      </c>
      <c r="BL4132" s="2" t="s">
        <v>12536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6088</v>
      </c>
      <c r="BX4132" s="2" t="s">
        <v>12537</v>
      </c>
      <c r="BY4132" s="2" t="s">
        <v>113</v>
      </c>
      <c r="BZ4132" s="2" t="s">
        <v>245</v>
      </c>
    </row>
    <row r="4133">
      <c r="A4133" s="2" t="s">
        <v>12538</v>
      </c>
      <c r="B4133" s="2" t="s">
        <v>11863</v>
      </c>
      <c r="C4133" s="2" t="s">
        <v>2213</v>
      </c>
      <c r="D4133" s="2" t="s">
        <v>2605</v>
      </c>
      <c r="E4133" s="2" t="s">
        <v>12340</v>
      </c>
      <c r="F4133" s="2" t="s">
        <v>12531</v>
      </c>
      <c r="G4133" s="2" t="s">
        <v>12532</v>
      </c>
      <c r="H4133" s="2" t="s">
        <v>8495</v>
      </c>
      <c r="I4133" s="2" t="s">
        <v>12533</v>
      </c>
      <c r="J4133" s="2" t="s">
        <v>12539</v>
      </c>
      <c r="K4133" s="2" t="s">
        <v>1614</v>
      </c>
      <c r="L4133" s="3">
        <v>19.32</v>
      </c>
      <c r="M4133" s="3">
        <v>20.29</v>
      </c>
      <c r="N4133" s="3">
        <v>41.99</v>
      </c>
      <c r="O4133" s="2" t="s">
        <v>97</v>
      </c>
      <c r="P4133" s="2" t="s">
        <v>119</v>
      </c>
      <c r="Q4133" s="2" t="s">
        <v>99</v>
      </c>
      <c r="R4133" s="2" t="s">
        <v>100</v>
      </c>
      <c r="S4133" s="2" t="s">
        <v>12535</v>
      </c>
      <c r="T4133" s="2" t="s">
        <v>672</v>
      </c>
      <c r="U4133" s="2" t="s">
        <v>514</v>
      </c>
      <c r="V4133" s="2" t="s">
        <v>146</v>
      </c>
      <c r="W4133" s="2" t="s">
        <v>561</v>
      </c>
      <c r="X4133" s="2" t="s">
        <v>11977</v>
      </c>
      <c r="Y4133" s="2" t="s">
        <v>1686</v>
      </c>
      <c r="Z4133" s="4">
        <v>385</v>
      </c>
      <c r="AA4133" s="4">
        <f>=ROUNDDOWN(29.6153846153846,0)</f>
      </c>
      <c r="AB4133" s="5">
        <v>13</v>
      </c>
      <c r="AC4133" s="2" t="s">
        <v>282</v>
      </c>
      <c r="AD4133" s="4">
        <v>148</v>
      </c>
      <c r="AE4133" s="4">
        <v>460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>
        <v>8</v>
      </c>
      <c r="AQ4133" s="8">
        <v>151.2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0.7033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335</v>
      </c>
      <c r="BK4133" s="8">
        <v>7518.54</v>
      </c>
      <c r="BL4133" s="2" t="s">
        <v>12467</v>
      </c>
      <c r="BM4133" s="7">
        <v>0.0239</v>
      </c>
      <c r="BN4133" s="7">
        <v>0.0201</v>
      </c>
      <c r="BO4133" s="4">
        <v>8</v>
      </c>
      <c r="BP4133" s="8">
        <v>151.2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1266</v>
      </c>
      <c r="BX4133" s="2" t="s">
        <v>1448</v>
      </c>
      <c r="BY4133" s="2" t="s">
        <v>113</v>
      </c>
      <c r="BZ4133" s="2" t="s">
        <v>245</v>
      </c>
    </row>
    <row r="4134">
      <c r="A4134" s="2" t="s">
        <v>12540</v>
      </c>
      <c r="B4134" s="2" t="s">
        <v>11863</v>
      </c>
      <c r="C4134" s="2" t="s">
        <v>2213</v>
      </c>
      <c r="D4134" s="2" t="s">
        <v>2605</v>
      </c>
      <c r="E4134" s="2" t="s">
        <v>12340</v>
      </c>
      <c r="F4134" s="2" t="s">
        <v>12531</v>
      </c>
      <c r="G4134" s="2" t="s">
        <v>12532</v>
      </c>
      <c r="H4134" s="2" t="s">
        <v>8495</v>
      </c>
      <c r="I4134" s="2" t="s">
        <v>12533</v>
      </c>
      <c r="J4134" s="2" t="s">
        <v>12541</v>
      </c>
      <c r="K4134" s="2" t="s">
        <v>1614</v>
      </c>
      <c r="L4134" s="3">
        <v>22.09</v>
      </c>
      <c r="M4134" s="3">
        <v>23.19</v>
      </c>
      <c r="N4134" s="3">
        <v>46.99</v>
      </c>
      <c r="O4134" s="2" t="s">
        <v>97</v>
      </c>
      <c r="P4134" s="2" t="s">
        <v>119</v>
      </c>
      <c r="Q4134" s="2" t="s">
        <v>99</v>
      </c>
      <c r="R4134" s="2" t="s">
        <v>100</v>
      </c>
      <c r="S4134" s="2" t="s">
        <v>12535</v>
      </c>
      <c r="T4134" s="2" t="s">
        <v>672</v>
      </c>
      <c r="U4134" s="2" t="s">
        <v>514</v>
      </c>
      <c r="V4134" s="2" t="s">
        <v>146</v>
      </c>
      <c r="W4134" s="2" t="s">
        <v>561</v>
      </c>
      <c r="X4134" s="2" t="s">
        <v>11977</v>
      </c>
      <c r="Y4134" s="2" t="s">
        <v>1686</v>
      </c>
      <c r="Z4134" s="4">
        <v>457</v>
      </c>
      <c r="AA4134" s="4">
        <f>=ROUNDDOWN(35.1538461538462,0)</f>
      </c>
      <c r="AB4134" s="5">
        <v>13</v>
      </c>
      <c r="AC4134" s="2" t="s">
        <v>282</v>
      </c>
      <c r="AD4134" s="4">
        <v>216</v>
      </c>
      <c r="AE4134" s="4">
        <v>496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>
        <v>3</v>
      </c>
      <c r="AQ4134" s="8">
        <v>63.78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0.2967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246</v>
      </c>
      <c r="BK4134" s="8">
        <v>5699.43</v>
      </c>
      <c r="BL4134" s="2" t="s">
        <v>12542</v>
      </c>
      <c r="BM4134" s="7">
        <v>0.0122</v>
      </c>
      <c r="BN4134" s="7">
        <v>0.0112</v>
      </c>
      <c r="BO4134" s="4">
        <v>3</v>
      </c>
      <c r="BP4134" s="8">
        <v>63.78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6088</v>
      </c>
      <c r="BX4134" s="2" t="s">
        <v>11621</v>
      </c>
      <c r="BY4134" s="2" t="s">
        <v>113</v>
      </c>
      <c r="BZ4134" s="2" t="s">
        <v>245</v>
      </c>
    </row>
    <row r="4135">
      <c r="A4135" s="2" t="s">
        <v>12543</v>
      </c>
      <c r="B4135" s="2" t="s">
        <v>11863</v>
      </c>
      <c r="C4135" s="2" t="s">
        <v>2213</v>
      </c>
      <c r="D4135" s="2" t="s">
        <v>2605</v>
      </c>
      <c r="E4135" s="2" t="s">
        <v>12340</v>
      </c>
      <c r="F4135" s="2" t="s">
        <v>12531</v>
      </c>
      <c r="G4135" s="2" t="s">
        <v>12532</v>
      </c>
      <c r="H4135" s="2" t="s">
        <v>8495</v>
      </c>
      <c r="I4135" s="2" t="s">
        <v>12533</v>
      </c>
      <c r="J4135" s="2" t="s">
        <v>12534</v>
      </c>
      <c r="K4135" s="2" t="s">
        <v>360</v>
      </c>
      <c r="L4135" s="3">
        <v>17.02</v>
      </c>
      <c r="M4135" s="3">
        <v>17.87</v>
      </c>
      <c r="N4135" s="3">
        <v>36.99</v>
      </c>
      <c r="O4135" s="2" t="s">
        <v>97</v>
      </c>
      <c r="P4135" s="2" t="s">
        <v>119</v>
      </c>
      <c r="Q4135" s="2" t="s">
        <v>99</v>
      </c>
      <c r="R4135" s="2" t="s">
        <v>100</v>
      </c>
      <c r="S4135" s="2" t="s">
        <v>12544</v>
      </c>
      <c r="T4135" s="2" t="s">
        <v>672</v>
      </c>
      <c r="U4135" s="2" t="s">
        <v>514</v>
      </c>
      <c r="V4135" s="2" t="s">
        <v>146</v>
      </c>
      <c r="W4135" s="2" t="s">
        <v>561</v>
      </c>
      <c r="X4135" s="2" t="s">
        <v>11977</v>
      </c>
      <c r="Y4135" s="2" t="s">
        <v>1686</v>
      </c>
      <c r="Z4135" s="4">
        <v>87</v>
      </c>
      <c r="AA4135" s="4">
        <f>=ROUNDDOWN(29,0)</f>
      </c>
      <c r="AB4135" s="5">
        <v>3</v>
      </c>
      <c r="AC4135" s="2" t="s">
        <v>417</v>
      </c>
      <c r="AD4135" s="4">
        <v>20</v>
      </c>
      <c r="AE4135" s="4">
        <v>20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>
        <v>2</v>
      </c>
      <c r="AW4135" s="8">
        <v>37.8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/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>
        <v>0.1495</v>
      </c>
      <c r="BJ4135" s="4">
        <v>49</v>
      </c>
      <c r="BK4135" s="8">
        <v>886.32</v>
      </c>
      <c r="BL4135" s="2" t="s">
        <v>12545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6088</v>
      </c>
      <c r="BX4135" s="2" t="s">
        <v>1666</v>
      </c>
      <c r="BY4135" s="2" t="s">
        <v>113</v>
      </c>
      <c r="BZ4135" s="2" t="s">
        <v>245</v>
      </c>
    </row>
    <row r="4136">
      <c r="A4136" s="2" t="s">
        <v>12546</v>
      </c>
      <c r="B4136" s="2" t="s">
        <v>11863</v>
      </c>
      <c r="C4136" s="2" t="s">
        <v>2213</v>
      </c>
      <c r="D4136" s="2" t="s">
        <v>2605</v>
      </c>
      <c r="E4136" s="2" t="s">
        <v>12340</v>
      </c>
      <c r="F4136" s="2" t="s">
        <v>12531</v>
      </c>
      <c r="G4136" s="2" t="s">
        <v>12532</v>
      </c>
      <c r="H4136" s="2" t="s">
        <v>8495</v>
      </c>
      <c r="I4136" s="2" t="s">
        <v>12533</v>
      </c>
      <c r="J4136" s="2" t="s">
        <v>12539</v>
      </c>
      <c r="K4136" s="2" t="s">
        <v>360</v>
      </c>
      <c r="L4136" s="3">
        <v>19.32</v>
      </c>
      <c r="M4136" s="3">
        <v>20.29</v>
      </c>
      <c r="N4136" s="3">
        <v>41.99</v>
      </c>
      <c r="O4136" s="2" t="s">
        <v>97</v>
      </c>
      <c r="P4136" s="2" t="s">
        <v>119</v>
      </c>
      <c r="Q4136" s="2" t="s">
        <v>99</v>
      </c>
      <c r="R4136" s="2" t="s">
        <v>100</v>
      </c>
      <c r="S4136" s="2" t="s">
        <v>12544</v>
      </c>
      <c r="T4136" s="2" t="s">
        <v>672</v>
      </c>
      <c r="U4136" s="2" t="s">
        <v>514</v>
      </c>
      <c r="V4136" s="2" t="s">
        <v>146</v>
      </c>
      <c r="W4136" s="2" t="s">
        <v>561</v>
      </c>
      <c r="X4136" s="2" t="s">
        <v>11977</v>
      </c>
      <c r="Y4136" s="2" t="s">
        <v>1686</v>
      </c>
      <c r="Z4136" s="4">
        <v>78</v>
      </c>
      <c r="AA4136" s="4">
        <f>=ROUNDDOWN(9.75,0)</f>
      </c>
      <c r="AB4136" s="5">
        <v>8</v>
      </c>
      <c r="AC4136" s="2" t="s">
        <v>417</v>
      </c>
      <c r="AD4136" s="4">
        <v>340</v>
      </c>
      <c r="AE4136" s="4">
        <v>340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>
        <v>2</v>
      </c>
      <c r="AQ4136" s="8">
        <v>37.8</v>
      </c>
      <c r="AR4136" s="4"/>
      <c r="AS4136" s="8"/>
      <c r="AT4136" s="7"/>
      <c r="AU4136" s="7"/>
      <c r="AV4136" s="4" t="s">
        <v>100</v>
      </c>
      <c r="AW4136" s="8" t="s">
        <v>100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1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 t="s">
        <v>100</v>
      </c>
      <c r="BJ4136" s="4">
        <v>178</v>
      </c>
      <c r="BK4136" s="8">
        <v>3688.63</v>
      </c>
      <c r="BL4136" s="2" t="s">
        <v>12547</v>
      </c>
      <c r="BM4136" s="7">
        <v>0.0112</v>
      </c>
      <c r="BN4136" s="7">
        <v>0.0102</v>
      </c>
      <c r="BO4136" s="4">
        <v>2</v>
      </c>
      <c r="BP4136" s="8">
        <v>37.8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6088</v>
      </c>
      <c r="BX4136" s="2" t="s">
        <v>1666</v>
      </c>
      <c r="BY4136" s="2" t="s">
        <v>113</v>
      </c>
      <c r="BZ4136" s="2" t="s">
        <v>245</v>
      </c>
    </row>
    <row r="4137">
      <c r="A4137" s="2" t="s">
        <v>12548</v>
      </c>
      <c r="B4137" s="2" t="s">
        <v>11863</v>
      </c>
      <c r="C4137" s="2" t="s">
        <v>2213</v>
      </c>
      <c r="D4137" s="2" t="s">
        <v>2605</v>
      </c>
      <c r="E4137" s="2" t="s">
        <v>12340</v>
      </c>
      <c r="F4137" s="2" t="s">
        <v>12531</v>
      </c>
      <c r="G4137" s="2" t="s">
        <v>12532</v>
      </c>
      <c r="H4137" s="2" t="s">
        <v>8495</v>
      </c>
      <c r="I4137" s="2" t="s">
        <v>12533</v>
      </c>
      <c r="J4137" s="2" t="s">
        <v>12541</v>
      </c>
      <c r="K4137" s="2" t="s">
        <v>360</v>
      </c>
      <c r="L4137" s="3">
        <v>22.09</v>
      </c>
      <c r="M4137" s="3">
        <v>23.19</v>
      </c>
      <c r="N4137" s="3">
        <v>46.99</v>
      </c>
      <c r="O4137" s="2" t="s">
        <v>97</v>
      </c>
      <c r="P4137" s="2" t="s">
        <v>119</v>
      </c>
      <c r="Q4137" s="2" t="s">
        <v>99</v>
      </c>
      <c r="R4137" s="2" t="s">
        <v>100</v>
      </c>
      <c r="S4137" s="2" t="s">
        <v>12544</v>
      </c>
      <c r="T4137" s="2" t="s">
        <v>672</v>
      </c>
      <c r="U4137" s="2" t="s">
        <v>514</v>
      </c>
      <c r="V4137" s="2" t="s">
        <v>146</v>
      </c>
      <c r="W4137" s="2" t="s">
        <v>561</v>
      </c>
      <c r="X4137" s="2" t="s">
        <v>11977</v>
      </c>
      <c r="Y4137" s="2" t="s">
        <v>1686</v>
      </c>
      <c r="Z4137" s="4">
        <v>249</v>
      </c>
      <c r="AA4137" s="4">
        <f>=ROUNDDOWN(41.5,0)</f>
      </c>
      <c r="AB4137" s="5">
        <v>6</v>
      </c>
      <c r="AC4137" s="2" t="s">
        <v>417</v>
      </c>
      <c r="AD4137" s="4">
        <v>100</v>
      </c>
      <c r="AE4137" s="4">
        <v>100</v>
      </c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/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111</v>
      </c>
      <c r="BK4137" s="8">
        <v>2945.91</v>
      </c>
      <c r="BL4137" s="2" t="s">
        <v>12549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6088</v>
      </c>
      <c r="BX4137" s="2" t="s">
        <v>6347</v>
      </c>
      <c r="BY4137" s="2" t="s">
        <v>113</v>
      </c>
      <c r="BZ4137" s="2" t="s">
        <v>245</v>
      </c>
    </row>
    <row r="4138">
      <c r="A4138" s="2" t="s">
        <v>12550</v>
      </c>
      <c r="B4138" s="2" t="s">
        <v>11863</v>
      </c>
      <c r="C4138" s="2" t="s">
        <v>2213</v>
      </c>
      <c r="D4138" s="2" t="s">
        <v>2605</v>
      </c>
      <c r="E4138" s="2" t="s">
        <v>12340</v>
      </c>
      <c r="F4138" s="2" t="s">
        <v>12531</v>
      </c>
      <c r="G4138" s="2" t="s">
        <v>12532</v>
      </c>
      <c r="H4138" s="2" t="s">
        <v>8495</v>
      </c>
      <c r="I4138" s="2" t="s">
        <v>12533</v>
      </c>
      <c r="J4138" s="2" t="s">
        <v>12539</v>
      </c>
      <c r="K4138" s="2" t="s">
        <v>12551</v>
      </c>
      <c r="L4138" s="3">
        <v>19.32</v>
      </c>
      <c r="M4138" s="3">
        <v>20.29</v>
      </c>
      <c r="N4138" s="3">
        <v>41.99</v>
      </c>
      <c r="O4138" s="2" t="s">
        <v>97</v>
      </c>
      <c r="P4138" s="2" t="s">
        <v>225</v>
      </c>
      <c r="Q4138" s="2" t="s">
        <v>99</v>
      </c>
      <c r="R4138" s="2" t="s">
        <v>100</v>
      </c>
      <c r="S4138" s="2" t="s">
        <v>12552</v>
      </c>
      <c r="T4138" s="2" t="s">
        <v>672</v>
      </c>
      <c r="U4138" s="2" t="s">
        <v>514</v>
      </c>
      <c r="V4138" s="2" t="s">
        <v>146</v>
      </c>
      <c r="W4138" s="2" t="s">
        <v>561</v>
      </c>
      <c r="X4138" s="2" t="s">
        <v>11977</v>
      </c>
      <c r="Y4138" s="2" t="s">
        <v>12553</v>
      </c>
      <c r="Z4138" s="4">
        <v>213</v>
      </c>
      <c r="AA4138" s="4">
        <f>=ROUNDDOWN(42.6,0)</f>
      </c>
      <c r="AB4138" s="5">
        <v>5</v>
      </c>
      <c r="AC4138" s="2" t="s">
        <v>100</v>
      </c>
      <c r="AD4138" s="4"/>
      <c r="AE4138" s="4"/>
      <c r="AF4138" s="6">
        <v>64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 t="s">
        <v>100</v>
      </c>
      <c r="BJ4138" s="4">
        <v>15</v>
      </c>
      <c r="BK4138" s="8">
        <v>346.15</v>
      </c>
      <c r="BL4138" s="2" t="s">
        <v>12554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207</v>
      </c>
      <c r="BV4138" s="2" t="s">
        <v>97</v>
      </c>
      <c r="BW4138" s="2" t="s">
        <v>100</v>
      </c>
      <c r="BX4138" s="2" t="s">
        <v>100</v>
      </c>
      <c r="BY4138" s="2" t="s">
        <v>113</v>
      </c>
      <c r="BZ4138" s="2" t="s">
        <v>245</v>
      </c>
    </row>
    <row r="4139">
      <c r="A4139" s="2" t="s">
        <v>12555</v>
      </c>
      <c r="B4139" s="2" t="s">
        <v>11863</v>
      </c>
      <c r="C4139" s="2" t="s">
        <v>2213</v>
      </c>
      <c r="D4139" s="2" t="s">
        <v>2605</v>
      </c>
      <c r="E4139" s="2" t="s">
        <v>12340</v>
      </c>
      <c r="F4139" s="2" t="s">
        <v>12531</v>
      </c>
      <c r="G4139" s="2" t="s">
        <v>12532</v>
      </c>
      <c r="H4139" s="2" t="s">
        <v>8495</v>
      </c>
      <c r="I4139" s="2" t="s">
        <v>12533</v>
      </c>
      <c r="J4139" s="2" t="s">
        <v>12541</v>
      </c>
      <c r="K4139" s="2" t="s">
        <v>12551</v>
      </c>
      <c r="L4139" s="3">
        <v>22.09</v>
      </c>
      <c r="M4139" s="3">
        <v>23.19</v>
      </c>
      <c r="N4139" s="3">
        <v>46.99</v>
      </c>
      <c r="O4139" s="2" t="s">
        <v>97</v>
      </c>
      <c r="P4139" s="2" t="s">
        <v>225</v>
      </c>
      <c r="Q4139" s="2" t="s">
        <v>99</v>
      </c>
      <c r="R4139" s="2" t="s">
        <v>100</v>
      </c>
      <c r="S4139" s="2" t="s">
        <v>12552</v>
      </c>
      <c r="T4139" s="2" t="s">
        <v>672</v>
      </c>
      <c r="U4139" s="2" t="s">
        <v>514</v>
      </c>
      <c r="V4139" s="2" t="s">
        <v>146</v>
      </c>
      <c r="W4139" s="2" t="s">
        <v>561</v>
      </c>
      <c r="X4139" s="2" t="s">
        <v>11977</v>
      </c>
      <c r="Y4139" s="2" t="s">
        <v>12553</v>
      </c>
      <c r="Z4139" s="4">
        <v>240</v>
      </c>
      <c r="AA4139" s="4">
        <f>=ROUNDDOWN(120,0)</f>
      </c>
      <c r="AB4139" s="5">
        <v>2</v>
      </c>
      <c r="AC4139" s="2" t="s">
        <v>100</v>
      </c>
      <c r="AD4139" s="4"/>
      <c r="AE4139" s="4"/>
      <c r="AF4139" s="6">
        <v>64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/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4</v>
      </c>
      <c r="BK4139" s="8">
        <v>92.76</v>
      </c>
      <c r="BL4139" s="2" t="s">
        <v>8944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207</v>
      </c>
      <c r="BV4139" s="2" t="s">
        <v>97</v>
      </c>
      <c r="BW4139" s="2" t="s">
        <v>100</v>
      </c>
      <c r="BX4139" s="2" t="s">
        <v>100</v>
      </c>
      <c r="BY4139" s="2" t="s">
        <v>113</v>
      </c>
      <c r="BZ4139" s="2" t="s">
        <v>245</v>
      </c>
    </row>
    <row r="4140">
      <c r="A4140" s="2" t="s">
        <v>12556</v>
      </c>
      <c r="B4140" s="2" t="s">
        <v>11863</v>
      </c>
      <c r="C4140" s="2" t="s">
        <v>2213</v>
      </c>
      <c r="D4140" s="2" t="s">
        <v>2605</v>
      </c>
      <c r="E4140" s="2" t="s">
        <v>12340</v>
      </c>
      <c r="F4140" s="2" t="s">
        <v>12531</v>
      </c>
      <c r="G4140" s="2" t="s">
        <v>12532</v>
      </c>
      <c r="H4140" s="2" t="s">
        <v>8495</v>
      </c>
      <c r="I4140" s="2" t="s">
        <v>12533</v>
      </c>
      <c r="J4140" s="2" t="s">
        <v>12539</v>
      </c>
      <c r="K4140" s="2" t="s">
        <v>8996</v>
      </c>
      <c r="L4140" s="3">
        <v>19.32</v>
      </c>
      <c r="M4140" s="3">
        <v>20.29</v>
      </c>
      <c r="N4140" s="3">
        <v>41.99</v>
      </c>
      <c r="O4140" s="2" t="s">
        <v>97</v>
      </c>
      <c r="P4140" s="2" t="s">
        <v>225</v>
      </c>
      <c r="Q4140" s="2" t="s">
        <v>99</v>
      </c>
      <c r="R4140" s="2" t="s">
        <v>100</v>
      </c>
      <c r="S4140" s="2" t="s">
        <v>12557</v>
      </c>
      <c r="T4140" s="2" t="s">
        <v>672</v>
      </c>
      <c r="U4140" s="2" t="s">
        <v>514</v>
      </c>
      <c r="V4140" s="2" t="s">
        <v>146</v>
      </c>
      <c r="W4140" s="2" t="s">
        <v>561</v>
      </c>
      <c r="X4140" s="2" t="s">
        <v>11977</v>
      </c>
      <c r="Y4140" s="2" t="s">
        <v>12553</v>
      </c>
      <c r="Z4140" s="4">
        <v>354</v>
      </c>
      <c r="AA4140" s="4">
        <f>=ROUNDDOWN(32.1818181818182,0)</f>
      </c>
      <c r="AB4140" s="5">
        <v>11</v>
      </c>
      <c r="AC4140" s="2" t="s">
        <v>1457</v>
      </c>
      <c r="AD4140" s="4">
        <v>168</v>
      </c>
      <c r="AE4140" s="4">
        <v>388</v>
      </c>
      <c r="AF4140" s="6">
        <v>64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/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56</v>
      </c>
      <c r="BK4140" s="8">
        <v>1114.82</v>
      </c>
      <c r="BL4140" s="2" t="s">
        <v>12558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207</v>
      </c>
      <c r="BV4140" s="2" t="s">
        <v>97</v>
      </c>
      <c r="BW4140" s="2" t="s">
        <v>100</v>
      </c>
      <c r="BX4140" s="2" t="s">
        <v>100</v>
      </c>
      <c r="BY4140" s="2" t="s">
        <v>113</v>
      </c>
      <c r="BZ4140" s="2" t="s">
        <v>245</v>
      </c>
    </row>
    <row r="4141">
      <c r="A4141" s="2" t="s">
        <v>12559</v>
      </c>
      <c r="B4141" s="2" t="s">
        <v>11863</v>
      </c>
      <c r="C4141" s="2" t="s">
        <v>2213</v>
      </c>
      <c r="D4141" s="2" t="s">
        <v>2605</v>
      </c>
      <c r="E4141" s="2" t="s">
        <v>12340</v>
      </c>
      <c r="F4141" s="2" t="s">
        <v>12531</v>
      </c>
      <c r="G4141" s="2" t="s">
        <v>12532</v>
      </c>
      <c r="H4141" s="2" t="s">
        <v>8495</v>
      </c>
      <c r="I4141" s="2" t="s">
        <v>12533</v>
      </c>
      <c r="J4141" s="2" t="s">
        <v>12541</v>
      </c>
      <c r="K4141" s="2" t="s">
        <v>8996</v>
      </c>
      <c r="L4141" s="3">
        <v>22.09</v>
      </c>
      <c r="M4141" s="3">
        <v>23.19</v>
      </c>
      <c r="N4141" s="3">
        <v>46.99</v>
      </c>
      <c r="O4141" s="2" t="s">
        <v>97</v>
      </c>
      <c r="P4141" s="2" t="s">
        <v>225</v>
      </c>
      <c r="Q4141" s="2" t="s">
        <v>99</v>
      </c>
      <c r="R4141" s="2" t="s">
        <v>100</v>
      </c>
      <c r="S4141" s="2" t="s">
        <v>12557</v>
      </c>
      <c r="T4141" s="2" t="s">
        <v>672</v>
      </c>
      <c r="U4141" s="2" t="s">
        <v>514</v>
      </c>
      <c r="V4141" s="2" t="s">
        <v>146</v>
      </c>
      <c r="W4141" s="2" t="s">
        <v>561</v>
      </c>
      <c r="X4141" s="2" t="s">
        <v>11977</v>
      </c>
      <c r="Y4141" s="2" t="s">
        <v>12553</v>
      </c>
      <c r="Z4141" s="4">
        <v>322</v>
      </c>
      <c r="AA4141" s="4">
        <f>=ROUNDDOWN(21.4666666666667,0)</f>
      </c>
      <c r="AB4141" s="5">
        <v>15</v>
      </c>
      <c r="AC4141" s="2" t="s">
        <v>1457</v>
      </c>
      <c r="AD4141" s="4">
        <v>100</v>
      </c>
      <c r="AE4141" s="4">
        <v>320</v>
      </c>
      <c r="AF4141" s="6">
        <v>64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/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18</v>
      </c>
      <c r="BK4141" s="8">
        <v>394.95</v>
      </c>
      <c r="BL4141" s="2" t="s">
        <v>12560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207</v>
      </c>
      <c r="BV4141" s="2" t="s">
        <v>97</v>
      </c>
      <c r="BW4141" s="2" t="s">
        <v>100</v>
      </c>
      <c r="BX4141" s="2" t="s">
        <v>100</v>
      </c>
      <c r="BY4141" s="2" t="s">
        <v>113</v>
      </c>
      <c r="BZ4141" s="2" t="s">
        <v>245</v>
      </c>
    </row>
    <row r="4142">
      <c r="A4142" s="2" t="s">
        <v>12561</v>
      </c>
      <c r="B4142" s="2" t="s">
        <v>11863</v>
      </c>
      <c r="C4142" s="2" t="s">
        <v>2213</v>
      </c>
      <c r="D4142" s="2" t="s">
        <v>12562</v>
      </c>
      <c r="E4142" s="2" t="s">
        <v>12562</v>
      </c>
      <c r="F4142" s="2" t="s">
        <v>12563</v>
      </c>
      <c r="G4142" s="2" t="s">
        <v>12564</v>
      </c>
      <c r="H4142" s="2" t="s">
        <v>12564</v>
      </c>
      <c r="I4142" s="2" t="s">
        <v>12565</v>
      </c>
      <c r="J4142" s="2" t="s">
        <v>12566</v>
      </c>
      <c r="K4142" s="2" t="s">
        <v>3004</v>
      </c>
      <c r="L4142" s="3">
        <v>14.71</v>
      </c>
      <c r="M4142" s="3">
        <v>15.45</v>
      </c>
      <c r="N4142" s="3">
        <v>32.99</v>
      </c>
      <c r="O4142" s="2" t="s">
        <v>97</v>
      </c>
      <c r="P4142" s="2" t="s">
        <v>225</v>
      </c>
      <c r="Q4142" s="2" t="s">
        <v>99</v>
      </c>
      <c r="R4142" s="2" t="s">
        <v>100</v>
      </c>
      <c r="S4142" s="2" t="s">
        <v>12567</v>
      </c>
      <c r="T4142" s="2" t="s">
        <v>100</v>
      </c>
      <c r="U4142" s="2" t="s">
        <v>1847</v>
      </c>
      <c r="V4142" s="2" t="s">
        <v>2661</v>
      </c>
      <c r="W4142" s="2" t="s">
        <v>100</v>
      </c>
      <c r="X4142" s="2" t="s">
        <v>100</v>
      </c>
      <c r="Y4142" s="2" t="s">
        <v>5007</v>
      </c>
      <c r="Z4142" s="4">
        <v>94</v>
      </c>
      <c r="AA4142" s="4">
        <f>=ROUNDDOWN(18.8,0)</f>
      </c>
      <c r="AB4142" s="5">
        <v>5</v>
      </c>
      <c r="AC4142" s="2" t="s">
        <v>100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/>
      <c r="BJ4142" s="4">
        <v>13</v>
      </c>
      <c r="BK4142" s="8">
        <v>218.82</v>
      </c>
      <c r="BL4142" s="2" t="s">
        <v>9400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207</v>
      </c>
      <c r="BV4142" s="2" t="s">
        <v>97</v>
      </c>
      <c r="BW4142" s="2" t="s">
        <v>100</v>
      </c>
      <c r="BX4142" s="2" t="s">
        <v>100</v>
      </c>
      <c r="BY4142" s="2" t="s">
        <v>113</v>
      </c>
      <c r="BZ4142" s="2" t="s">
        <v>100</v>
      </c>
    </row>
    <row r="4143">
      <c r="A4143" s="2" t="s">
        <v>12568</v>
      </c>
      <c r="B4143" s="2" t="s">
        <v>11863</v>
      </c>
      <c r="C4143" s="2" t="s">
        <v>2213</v>
      </c>
      <c r="D4143" s="2" t="s">
        <v>12562</v>
      </c>
      <c r="E4143" s="2" t="s">
        <v>12562</v>
      </c>
      <c r="F4143" s="2" t="s">
        <v>12563</v>
      </c>
      <c r="G4143" s="2" t="s">
        <v>12564</v>
      </c>
      <c r="H4143" s="2" t="s">
        <v>12564</v>
      </c>
      <c r="I4143" s="2" t="s">
        <v>12565</v>
      </c>
      <c r="J4143" s="2" t="s">
        <v>12566</v>
      </c>
      <c r="K4143" s="2" t="s">
        <v>12569</v>
      </c>
      <c r="L4143" s="3">
        <v>14.71</v>
      </c>
      <c r="M4143" s="3">
        <v>15.45</v>
      </c>
      <c r="N4143" s="3">
        <v>32.99</v>
      </c>
      <c r="O4143" s="2" t="s">
        <v>97</v>
      </c>
      <c r="P4143" s="2" t="s">
        <v>225</v>
      </c>
      <c r="Q4143" s="2" t="s">
        <v>99</v>
      </c>
      <c r="R4143" s="2" t="s">
        <v>100</v>
      </c>
      <c r="S4143" s="2" t="s">
        <v>12570</v>
      </c>
      <c r="T4143" s="2" t="s">
        <v>100</v>
      </c>
      <c r="U4143" s="2" t="s">
        <v>1847</v>
      </c>
      <c r="V4143" s="2" t="s">
        <v>350</v>
      </c>
      <c r="W4143" s="2" t="s">
        <v>100</v>
      </c>
      <c r="X4143" s="2" t="s">
        <v>100</v>
      </c>
      <c r="Y4143" s="2" t="s">
        <v>5007</v>
      </c>
      <c r="Z4143" s="4">
        <v>144</v>
      </c>
      <c r="AA4143" s="4">
        <f>=ROUNDDOWN(24,0)</f>
      </c>
      <c r="AB4143" s="5">
        <v>6</v>
      </c>
      <c r="AC4143" s="2" t="s">
        <v>100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/>
      <c r="BJ4143" s="4"/>
      <c r="BK4143" s="8"/>
      <c r="BL4143" s="2" t="s">
        <v>100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207</v>
      </c>
      <c r="BV4143" s="2" t="s">
        <v>97</v>
      </c>
      <c r="BW4143" s="2" t="s">
        <v>100</v>
      </c>
      <c r="BX4143" s="2" t="s">
        <v>100</v>
      </c>
      <c r="BY4143" s="2" t="s">
        <v>113</v>
      </c>
      <c r="BZ4143" s="2" t="s">
        <v>100</v>
      </c>
    </row>
    <row r="4144">
      <c r="A4144" s="2" t="s">
        <v>12571</v>
      </c>
      <c r="B4144" s="2" t="s">
        <v>11863</v>
      </c>
      <c r="C4144" s="2" t="s">
        <v>2213</v>
      </c>
      <c r="D4144" s="2" t="s">
        <v>12562</v>
      </c>
      <c r="E4144" s="2" t="s">
        <v>12562</v>
      </c>
      <c r="F4144" s="2" t="s">
        <v>12572</v>
      </c>
      <c r="G4144" s="2" t="s">
        <v>12573</v>
      </c>
      <c r="H4144" s="2" t="s">
        <v>12573</v>
      </c>
      <c r="I4144" s="2" t="s">
        <v>12574</v>
      </c>
      <c r="J4144" s="2" t="s">
        <v>12575</v>
      </c>
      <c r="K4144" s="2" t="s">
        <v>3004</v>
      </c>
      <c r="L4144" s="3">
        <v>62.42</v>
      </c>
      <c r="M4144" s="3">
        <v>65.54</v>
      </c>
      <c r="N4144" s="3">
        <v>139.99</v>
      </c>
      <c r="O4144" s="2" t="s">
        <v>97</v>
      </c>
      <c r="P4144" s="2" t="s">
        <v>225</v>
      </c>
      <c r="Q4144" s="2" t="s">
        <v>99</v>
      </c>
      <c r="R4144" s="2" t="s">
        <v>100</v>
      </c>
      <c r="S4144" s="2" t="s">
        <v>12576</v>
      </c>
      <c r="T4144" s="2" t="s">
        <v>100</v>
      </c>
      <c r="U4144" s="2" t="s">
        <v>1847</v>
      </c>
      <c r="V4144" s="2" t="s">
        <v>2661</v>
      </c>
      <c r="W4144" s="2" t="s">
        <v>100</v>
      </c>
      <c r="X4144" s="2" t="s">
        <v>100</v>
      </c>
      <c r="Y4144" s="2" t="s">
        <v>11299</v>
      </c>
      <c r="Z4144" s="4">
        <v>122</v>
      </c>
      <c r="AA4144" s="4">
        <f>=ROUNDDOWN(24.4,0)</f>
      </c>
      <c r="AB4144" s="5">
        <v>5</v>
      </c>
      <c r="AC4144" s="2" t="s">
        <v>100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/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/>
      <c r="BJ4144" s="4"/>
      <c r="BK4144" s="8"/>
      <c r="BL4144" s="2" t="s">
        <v>100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207</v>
      </c>
      <c r="BV4144" s="2" t="s">
        <v>97</v>
      </c>
      <c r="BW4144" s="2" t="s">
        <v>100</v>
      </c>
      <c r="BX4144" s="2" t="s">
        <v>100</v>
      </c>
      <c r="BY4144" s="2" t="s">
        <v>113</v>
      </c>
      <c r="BZ4144" s="2" t="s">
        <v>100</v>
      </c>
    </row>
    <row r="4145">
      <c r="A4145" s="2" t="s">
        <v>12577</v>
      </c>
      <c r="B4145" s="2" t="s">
        <v>11863</v>
      </c>
      <c r="C4145" s="2" t="s">
        <v>2213</v>
      </c>
      <c r="D4145" s="2" t="s">
        <v>12562</v>
      </c>
      <c r="E4145" s="2" t="s">
        <v>12562</v>
      </c>
      <c r="F4145" s="2" t="s">
        <v>12572</v>
      </c>
      <c r="G4145" s="2" t="s">
        <v>12573</v>
      </c>
      <c r="H4145" s="2" t="s">
        <v>12573</v>
      </c>
      <c r="I4145" s="2" t="s">
        <v>12574</v>
      </c>
      <c r="J4145" s="2" t="s">
        <v>12578</v>
      </c>
      <c r="K4145" s="2" t="s">
        <v>3004</v>
      </c>
      <c r="L4145" s="3">
        <v>93.63</v>
      </c>
      <c r="M4145" s="3">
        <v>98.31</v>
      </c>
      <c r="N4145" s="3">
        <v>209.99</v>
      </c>
      <c r="O4145" s="2" t="s">
        <v>97</v>
      </c>
      <c r="P4145" s="2" t="s">
        <v>225</v>
      </c>
      <c r="Q4145" s="2" t="s">
        <v>99</v>
      </c>
      <c r="R4145" s="2" t="s">
        <v>100</v>
      </c>
      <c r="S4145" s="2" t="s">
        <v>12579</v>
      </c>
      <c r="T4145" s="2" t="s">
        <v>100</v>
      </c>
      <c r="U4145" s="2" t="s">
        <v>1847</v>
      </c>
      <c r="V4145" s="2" t="s">
        <v>2661</v>
      </c>
      <c r="W4145" s="2" t="s">
        <v>100</v>
      </c>
      <c r="X4145" s="2" t="s">
        <v>100</v>
      </c>
      <c r="Y4145" s="2" t="s">
        <v>11299</v>
      </c>
      <c r="Z4145" s="4">
        <v>120</v>
      </c>
      <c r="AA4145" s="4">
        <f>=ROUNDDOWN(24,0)</f>
      </c>
      <c r="AB4145" s="5">
        <v>5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/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/>
      <c r="BJ4145" s="4">
        <v>2</v>
      </c>
      <c r="BK4145" s="8">
        <v>196.62</v>
      </c>
      <c r="BL4145" s="2" t="s">
        <v>7767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207</v>
      </c>
      <c r="BV4145" s="2" t="s">
        <v>97</v>
      </c>
      <c r="BW4145" s="2" t="s">
        <v>100</v>
      </c>
      <c r="BX4145" s="2" t="s">
        <v>100</v>
      </c>
      <c r="BY4145" s="2" t="s">
        <v>113</v>
      </c>
      <c r="BZ4145" s="2" t="s">
        <v>100</v>
      </c>
    </row>
    <row r="4146">
      <c r="A4146" s="2" t="s">
        <v>12580</v>
      </c>
      <c r="B4146" s="2" t="s">
        <v>11863</v>
      </c>
      <c r="C4146" s="2" t="s">
        <v>2213</v>
      </c>
      <c r="D4146" s="2" t="s">
        <v>12562</v>
      </c>
      <c r="E4146" s="2" t="s">
        <v>12562</v>
      </c>
      <c r="F4146" s="2" t="s">
        <v>12572</v>
      </c>
      <c r="G4146" s="2" t="s">
        <v>12573</v>
      </c>
      <c r="H4146" s="2" t="s">
        <v>12573</v>
      </c>
      <c r="I4146" s="2" t="s">
        <v>12574</v>
      </c>
      <c r="J4146" s="2" t="s">
        <v>12578</v>
      </c>
      <c r="K4146" s="2" t="s">
        <v>130</v>
      </c>
      <c r="L4146" s="3">
        <v>93.63</v>
      </c>
      <c r="M4146" s="3">
        <v>98.31</v>
      </c>
      <c r="N4146" s="3">
        <v>209.99</v>
      </c>
      <c r="O4146" s="2" t="s">
        <v>97</v>
      </c>
      <c r="P4146" s="2" t="s">
        <v>225</v>
      </c>
      <c r="Q4146" s="2" t="s">
        <v>99</v>
      </c>
      <c r="R4146" s="2" t="s">
        <v>100</v>
      </c>
      <c r="S4146" s="2" t="s">
        <v>12581</v>
      </c>
      <c r="T4146" s="2" t="s">
        <v>100</v>
      </c>
      <c r="U4146" s="2" t="s">
        <v>1847</v>
      </c>
      <c r="V4146" s="2" t="s">
        <v>393</v>
      </c>
      <c r="W4146" s="2" t="s">
        <v>100</v>
      </c>
      <c r="X4146" s="2" t="s">
        <v>100</v>
      </c>
      <c r="Y4146" s="2" t="s">
        <v>11299</v>
      </c>
      <c r="Z4146" s="4">
        <v>187</v>
      </c>
      <c r="AA4146" s="4">
        <f>=ROUNDDOWN(23.375,0)</f>
      </c>
      <c r="AB4146" s="5">
        <v>8</v>
      </c>
      <c r="AC4146" s="2" t="s">
        <v>100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/>
      <c r="BJ4146" s="4">
        <v>3</v>
      </c>
      <c r="BK4146" s="8">
        <v>287.58</v>
      </c>
      <c r="BL4146" s="2" t="s">
        <v>12582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207</v>
      </c>
      <c r="BV4146" s="2" t="s">
        <v>97</v>
      </c>
      <c r="BW4146" s="2" t="s">
        <v>100</v>
      </c>
      <c r="BX4146" s="2" t="s">
        <v>100</v>
      </c>
      <c r="BY4146" s="2" t="s">
        <v>113</v>
      </c>
      <c r="BZ4146" s="2" t="s">
        <v>100</v>
      </c>
    </row>
    <row r="4147">
      <c r="A4147" s="2" t="s">
        <v>12583</v>
      </c>
      <c r="B4147" s="2" t="s">
        <v>11863</v>
      </c>
      <c r="C4147" s="2" t="s">
        <v>2213</v>
      </c>
      <c r="D4147" s="2" t="s">
        <v>12562</v>
      </c>
      <c r="E4147" s="2" t="s">
        <v>12562</v>
      </c>
      <c r="F4147" s="2" t="s">
        <v>12572</v>
      </c>
      <c r="G4147" s="2" t="s">
        <v>12573</v>
      </c>
      <c r="H4147" s="2" t="s">
        <v>12573</v>
      </c>
      <c r="I4147" s="2" t="s">
        <v>12574</v>
      </c>
      <c r="J4147" s="2" t="s">
        <v>12575</v>
      </c>
      <c r="K4147" s="2" t="s">
        <v>12569</v>
      </c>
      <c r="L4147" s="3">
        <v>62.42</v>
      </c>
      <c r="M4147" s="3">
        <v>65.54</v>
      </c>
      <c r="N4147" s="3">
        <v>139.99</v>
      </c>
      <c r="O4147" s="2" t="s">
        <v>97</v>
      </c>
      <c r="P4147" s="2" t="s">
        <v>225</v>
      </c>
      <c r="Q4147" s="2" t="s">
        <v>99</v>
      </c>
      <c r="R4147" s="2" t="s">
        <v>100</v>
      </c>
      <c r="S4147" s="2" t="s">
        <v>12584</v>
      </c>
      <c r="T4147" s="2" t="s">
        <v>100</v>
      </c>
      <c r="U4147" s="2" t="s">
        <v>1847</v>
      </c>
      <c r="V4147" s="2" t="s">
        <v>350</v>
      </c>
      <c r="W4147" s="2" t="s">
        <v>100</v>
      </c>
      <c r="X4147" s="2" t="s">
        <v>100</v>
      </c>
      <c r="Y4147" s="2" t="s">
        <v>11299</v>
      </c>
      <c r="Z4147" s="4">
        <v>146</v>
      </c>
      <c r="AA4147" s="4">
        <f>=ROUNDDOWN(24.3333333333333,0)</f>
      </c>
      <c r="AB4147" s="5">
        <v>6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/>
      <c r="BJ4147" s="4"/>
      <c r="BK4147" s="8"/>
      <c r="BL4147" s="2" t="s">
        <v>100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207</v>
      </c>
      <c r="BV4147" s="2" t="s">
        <v>97</v>
      </c>
      <c r="BW4147" s="2" t="s">
        <v>100</v>
      </c>
      <c r="BX4147" s="2" t="s">
        <v>100</v>
      </c>
      <c r="BY4147" s="2" t="s">
        <v>113</v>
      </c>
      <c r="BZ4147" s="2" t="s">
        <v>100</v>
      </c>
    </row>
    <row r="4148">
      <c r="A4148" s="2" t="s">
        <v>12585</v>
      </c>
      <c r="B4148" s="2" t="s">
        <v>11863</v>
      </c>
      <c r="C4148" s="2" t="s">
        <v>2213</v>
      </c>
      <c r="D4148" s="2" t="s">
        <v>12562</v>
      </c>
      <c r="E4148" s="2" t="s">
        <v>12562</v>
      </c>
      <c r="F4148" s="2" t="s">
        <v>12586</v>
      </c>
      <c r="G4148" s="2" t="s">
        <v>12587</v>
      </c>
      <c r="H4148" s="2" t="s">
        <v>12587</v>
      </c>
      <c r="I4148" s="2" t="s">
        <v>12588</v>
      </c>
      <c r="J4148" s="2" t="s">
        <v>12589</v>
      </c>
      <c r="K4148" s="2" t="s">
        <v>3004</v>
      </c>
      <c r="L4148" s="3">
        <v>18.72</v>
      </c>
      <c r="M4148" s="3">
        <v>19.66</v>
      </c>
      <c r="N4148" s="3">
        <v>41.99</v>
      </c>
      <c r="O4148" s="2" t="s">
        <v>97</v>
      </c>
      <c r="P4148" s="2" t="s">
        <v>225</v>
      </c>
      <c r="Q4148" s="2" t="s">
        <v>99</v>
      </c>
      <c r="R4148" s="2" t="s">
        <v>100</v>
      </c>
      <c r="S4148" s="2" t="s">
        <v>12590</v>
      </c>
      <c r="T4148" s="2" t="s">
        <v>100</v>
      </c>
      <c r="U4148" s="2" t="s">
        <v>1847</v>
      </c>
      <c r="V4148" s="2" t="s">
        <v>2661</v>
      </c>
      <c r="W4148" s="2" t="s">
        <v>100</v>
      </c>
      <c r="X4148" s="2" t="s">
        <v>100</v>
      </c>
      <c r="Y4148" s="2" t="s">
        <v>5007</v>
      </c>
      <c r="Z4148" s="4">
        <v>122</v>
      </c>
      <c r="AA4148" s="4">
        <f>=ROUNDDOWN(24.4,0)</f>
      </c>
      <c r="AB4148" s="5">
        <v>5</v>
      </c>
      <c r="AC4148" s="2" t="s">
        <v>100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/>
      <c r="BJ4148" s="4">
        <v>1</v>
      </c>
      <c r="BK4148" s="8">
        <v>19.66</v>
      </c>
      <c r="BL4148" s="2" t="s">
        <v>7767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207</v>
      </c>
      <c r="BV4148" s="2" t="s">
        <v>97</v>
      </c>
      <c r="BW4148" s="2" t="s">
        <v>100</v>
      </c>
      <c r="BX4148" s="2" t="s">
        <v>100</v>
      </c>
      <c r="BY4148" s="2" t="s">
        <v>113</v>
      </c>
      <c r="BZ4148" s="2" t="s">
        <v>100</v>
      </c>
    </row>
    <row r="4149">
      <c r="A4149" s="2" t="s">
        <v>12591</v>
      </c>
      <c r="B4149" s="2" t="s">
        <v>11863</v>
      </c>
      <c r="C4149" s="2" t="s">
        <v>2213</v>
      </c>
      <c r="D4149" s="2" t="s">
        <v>12562</v>
      </c>
      <c r="E4149" s="2" t="s">
        <v>12562</v>
      </c>
      <c r="F4149" s="2" t="s">
        <v>12586</v>
      </c>
      <c r="G4149" s="2" t="s">
        <v>12587</v>
      </c>
      <c r="H4149" s="2" t="s">
        <v>12587</v>
      </c>
      <c r="I4149" s="2" t="s">
        <v>12588</v>
      </c>
      <c r="J4149" s="2" t="s">
        <v>12589</v>
      </c>
      <c r="K4149" s="2" t="s">
        <v>130</v>
      </c>
      <c r="L4149" s="3">
        <v>18.72</v>
      </c>
      <c r="M4149" s="3">
        <v>19.66</v>
      </c>
      <c r="N4149" s="3">
        <v>41.99</v>
      </c>
      <c r="O4149" s="2" t="s">
        <v>97</v>
      </c>
      <c r="P4149" s="2" t="s">
        <v>225</v>
      </c>
      <c r="Q4149" s="2" t="s">
        <v>99</v>
      </c>
      <c r="R4149" s="2" t="s">
        <v>100</v>
      </c>
      <c r="S4149" s="2" t="s">
        <v>12592</v>
      </c>
      <c r="T4149" s="2" t="s">
        <v>100</v>
      </c>
      <c r="U4149" s="2" t="s">
        <v>1847</v>
      </c>
      <c r="V4149" s="2" t="s">
        <v>393</v>
      </c>
      <c r="W4149" s="2" t="s">
        <v>100</v>
      </c>
      <c r="X4149" s="2" t="s">
        <v>100</v>
      </c>
      <c r="Y4149" s="2" t="s">
        <v>5007</v>
      </c>
      <c r="Z4149" s="4">
        <v>191</v>
      </c>
      <c r="AA4149" s="4">
        <f>=ROUNDDOWN(23.875,0)</f>
      </c>
      <c r="AB4149" s="5">
        <v>8</v>
      </c>
      <c r="AC4149" s="2" t="s">
        <v>100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/>
      <c r="BJ4149" s="4">
        <v>1</v>
      </c>
      <c r="BK4149" s="8">
        <v>19.66</v>
      </c>
      <c r="BL4149" s="2" t="s">
        <v>7767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207</v>
      </c>
      <c r="BV4149" s="2" t="s">
        <v>97</v>
      </c>
      <c r="BW4149" s="2" t="s">
        <v>100</v>
      </c>
      <c r="BX4149" s="2" t="s">
        <v>100</v>
      </c>
      <c r="BY4149" s="2" t="s">
        <v>113</v>
      </c>
      <c r="BZ4149" s="2" t="s">
        <v>100</v>
      </c>
    </row>
    <row r="4150">
      <c r="A4150" s="2" t="s">
        <v>12593</v>
      </c>
      <c r="B4150" s="2" t="s">
        <v>11863</v>
      </c>
      <c r="C4150" s="2" t="s">
        <v>12594</v>
      </c>
      <c r="D4150" s="2" t="s">
        <v>2605</v>
      </c>
      <c r="E4150" s="2" t="s">
        <v>2606</v>
      </c>
      <c r="F4150" s="2" t="s">
        <v>12595</v>
      </c>
      <c r="G4150" s="2" t="s">
        <v>12596</v>
      </c>
      <c r="H4150" s="2" t="s">
        <v>12597</v>
      </c>
      <c r="I4150" s="2" t="s">
        <v>12598</v>
      </c>
      <c r="J4150" s="2" t="s">
        <v>11868</v>
      </c>
      <c r="K4150" s="2" t="s">
        <v>130</v>
      </c>
      <c r="L4150" s="3">
        <v>16.8</v>
      </c>
      <c r="M4150" s="3">
        <v>17.64</v>
      </c>
      <c r="N4150" s="3">
        <v>39.99</v>
      </c>
      <c r="O4150" s="2" t="s">
        <v>97</v>
      </c>
      <c r="P4150" s="2" t="s">
        <v>119</v>
      </c>
      <c r="Q4150" s="2" t="s">
        <v>99</v>
      </c>
      <c r="R4150" s="2" t="s">
        <v>100</v>
      </c>
      <c r="S4150" s="2" t="s">
        <v>12599</v>
      </c>
      <c r="T4150" s="2" t="s">
        <v>100</v>
      </c>
      <c r="U4150" s="2" t="s">
        <v>100</v>
      </c>
      <c r="V4150" s="2" t="s">
        <v>3937</v>
      </c>
      <c r="W4150" s="2" t="s">
        <v>183</v>
      </c>
      <c r="X4150" s="2" t="s">
        <v>12450</v>
      </c>
      <c r="Y4150" s="2" t="s">
        <v>12600</v>
      </c>
      <c r="Z4150" s="4">
        <v>229</v>
      </c>
      <c r="AA4150" s="4">
        <f>=ROUNDDOWN(19.0833333333333,0)</f>
      </c>
      <c r="AB4150" s="5">
        <v>12</v>
      </c>
      <c r="AC4150" s="2" t="s">
        <v>2618</v>
      </c>
      <c r="AD4150" s="4">
        <v>176</v>
      </c>
      <c r="AE4150" s="4">
        <v>176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>
        <v>17</v>
      </c>
      <c r="AQ4150" s="8">
        <v>251.77</v>
      </c>
      <c r="AR4150" s="4"/>
      <c r="AS4150" s="8"/>
      <c r="AT4150" s="7"/>
      <c r="AU4150" s="7"/>
      <c r="AV4150" s="4">
        <v>17</v>
      </c>
      <c r="AW4150" s="8">
        <v>251.77</v>
      </c>
      <c r="AX4150" s="4"/>
      <c r="AY4150" s="8"/>
      <c r="AZ4150" s="7"/>
      <c r="BA4150" s="7"/>
      <c r="BB4150" s="7">
        <v>1</v>
      </c>
      <c r="BC4150" s="4">
        <v>17</v>
      </c>
      <c r="BD4150" s="8">
        <v>251.77</v>
      </c>
      <c r="BE4150" s="4"/>
      <c r="BF4150" s="8"/>
      <c r="BG4150" s="7"/>
      <c r="BH4150" s="7"/>
      <c r="BI4150" s="7">
        <v>1</v>
      </c>
      <c r="BJ4150" s="4">
        <v>295</v>
      </c>
      <c r="BK4150" s="8">
        <v>4965.21</v>
      </c>
      <c r="BL4150" s="2" t="s">
        <v>12601</v>
      </c>
      <c r="BM4150" s="7">
        <v>0.0576</v>
      </c>
      <c r="BN4150" s="7">
        <v>0.0507</v>
      </c>
      <c r="BO4150" s="4">
        <v>17</v>
      </c>
      <c r="BP4150" s="8">
        <v>251.77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12187</v>
      </c>
      <c r="BX4150" s="2" t="s">
        <v>12602</v>
      </c>
      <c r="BY4150" s="2" t="s">
        <v>113</v>
      </c>
      <c r="BZ4150" s="2" t="s">
        <v>245</v>
      </c>
    </row>
    <row r="4151">
      <c r="A4151" s="2" t="s">
        <v>12603</v>
      </c>
      <c r="B4151" s="2" t="s">
        <v>11863</v>
      </c>
      <c r="C4151" s="2" t="s">
        <v>3934</v>
      </c>
      <c r="D4151" s="2" t="s">
        <v>2605</v>
      </c>
      <c r="E4151" s="2" t="s">
        <v>2606</v>
      </c>
      <c r="F4151" s="2" t="s">
        <v>12604</v>
      </c>
      <c r="G4151" s="2" t="s">
        <v>8653</v>
      </c>
      <c r="H4151" s="2" t="s">
        <v>12605</v>
      </c>
      <c r="I4151" s="2" t="s">
        <v>12606</v>
      </c>
      <c r="J4151" s="2" t="s">
        <v>11868</v>
      </c>
      <c r="K4151" s="2" t="s">
        <v>130</v>
      </c>
      <c r="L4151" s="3">
        <v>18</v>
      </c>
      <c r="M4151" s="3">
        <v>18.9</v>
      </c>
      <c r="N4151" s="3">
        <v>39.99</v>
      </c>
      <c r="O4151" s="2" t="s">
        <v>97</v>
      </c>
      <c r="P4151" s="2" t="s">
        <v>119</v>
      </c>
      <c r="Q4151" s="2" t="s">
        <v>99</v>
      </c>
      <c r="R4151" s="2" t="s">
        <v>100</v>
      </c>
      <c r="S4151" s="2" t="s">
        <v>12607</v>
      </c>
      <c r="T4151" s="2" t="s">
        <v>280</v>
      </c>
      <c r="U4151" s="2" t="s">
        <v>1847</v>
      </c>
      <c r="V4151" s="2" t="s">
        <v>5245</v>
      </c>
      <c r="W4151" s="2" t="s">
        <v>183</v>
      </c>
      <c r="X4151" s="2" t="s">
        <v>11870</v>
      </c>
      <c r="Y4151" s="2" t="s">
        <v>1928</v>
      </c>
      <c r="Z4151" s="4">
        <v>358</v>
      </c>
      <c r="AA4151" s="4">
        <f>=ROUNDDOWN(25.5714285714286,0)</f>
      </c>
      <c r="AB4151" s="5">
        <v>14</v>
      </c>
      <c r="AC4151" s="2" t="s">
        <v>5073</v>
      </c>
      <c r="AD4151" s="4">
        <v>384</v>
      </c>
      <c r="AE4151" s="4">
        <v>384</v>
      </c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>
        <v>5</v>
      </c>
      <c r="AQ4151" s="8">
        <v>88.2</v>
      </c>
      <c r="AR4151" s="4"/>
      <c r="AS4151" s="8"/>
      <c r="AT4151" s="7"/>
      <c r="AU4151" s="7"/>
      <c r="AV4151" s="4">
        <v>5</v>
      </c>
      <c r="AW4151" s="8">
        <v>88.2</v>
      </c>
      <c r="AX4151" s="4"/>
      <c r="AY4151" s="8"/>
      <c r="AZ4151" s="7"/>
      <c r="BA4151" s="7"/>
      <c r="BB4151" s="7">
        <v>1</v>
      </c>
      <c r="BC4151" s="4">
        <v>5</v>
      </c>
      <c r="BD4151" s="8">
        <v>88.2</v>
      </c>
      <c r="BE4151" s="4"/>
      <c r="BF4151" s="8"/>
      <c r="BG4151" s="7"/>
      <c r="BH4151" s="7"/>
      <c r="BI4151" s="7">
        <v>1</v>
      </c>
      <c r="BJ4151" s="4">
        <v>278</v>
      </c>
      <c r="BK4151" s="8">
        <v>5536.28</v>
      </c>
      <c r="BL4151" s="2" t="s">
        <v>12018</v>
      </c>
      <c r="BM4151" s="7">
        <v>0.018</v>
      </c>
      <c r="BN4151" s="7">
        <v>0.0159</v>
      </c>
      <c r="BO4151" s="4">
        <v>5</v>
      </c>
      <c r="BP4151" s="8">
        <v>88.2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2198</v>
      </c>
      <c r="BX4151" s="2" t="s">
        <v>8608</v>
      </c>
      <c r="BY4151" s="2" t="s">
        <v>113</v>
      </c>
      <c r="BZ4151" s="2" t="s">
        <v>245</v>
      </c>
    </row>
    <row r="4152">
      <c r="A4152" s="2" t="s">
        <v>12608</v>
      </c>
      <c r="B4152" s="2" t="s">
        <v>11863</v>
      </c>
      <c r="C4152" s="2" t="s">
        <v>3934</v>
      </c>
      <c r="D4152" s="2" t="s">
        <v>2605</v>
      </c>
      <c r="E4152" s="2" t="s">
        <v>2606</v>
      </c>
      <c r="F4152" s="2" t="s">
        <v>5241</v>
      </c>
      <c r="G4152" s="2" t="s">
        <v>5242</v>
      </c>
      <c r="H4152" s="2" t="s">
        <v>5243</v>
      </c>
      <c r="I4152" s="2" t="s">
        <v>12609</v>
      </c>
      <c r="J4152" s="2" t="s">
        <v>11940</v>
      </c>
      <c r="K4152" s="2" t="s">
        <v>335</v>
      </c>
      <c r="L4152" s="3">
        <v>12.3</v>
      </c>
      <c r="M4152" s="3">
        <v>12.92</v>
      </c>
      <c r="N4152" s="3">
        <v>29.99</v>
      </c>
      <c r="O4152" s="2" t="s">
        <v>97</v>
      </c>
      <c r="P4152" s="2" t="s">
        <v>119</v>
      </c>
      <c r="Q4152" s="2" t="s">
        <v>99</v>
      </c>
      <c r="R4152" s="2" t="s">
        <v>100</v>
      </c>
      <c r="S4152" s="2" t="s">
        <v>5244</v>
      </c>
      <c r="T4152" s="2" t="s">
        <v>100</v>
      </c>
      <c r="U4152" s="2" t="s">
        <v>1847</v>
      </c>
      <c r="V4152" s="2" t="s">
        <v>5245</v>
      </c>
      <c r="W4152" s="2" t="s">
        <v>183</v>
      </c>
      <c r="X4152" s="2" t="s">
        <v>11870</v>
      </c>
      <c r="Y4152" s="2" t="s">
        <v>12610</v>
      </c>
      <c r="Z4152" s="4">
        <v>3</v>
      </c>
      <c r="AA4152" s="4">
        <f>=ROUNDDOWN(0.428571428571429,0)</f>
      </c>
      <c r="AB4152" s="5">
        <v>7</v>
      </c>
      <c r="AC4152" s="2" t="s">
        <v>768</v>
      </c>
      <c r="AD4152" s="4">
        <v>192</v>
      </c>
      <c r="AE4152" s="4">
        <v>616</v>
      </c>
      <c r="AF4152" s="6">
        <v>65</v>
      </c>
      <c r="AG4152" s="6"/>
      <c r="AH4152" s="7">
        <v>0.893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>
        <v>5</v>
      </c>
      <c r="AW4152" s="8">
        <v>66.15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/>
      <c r="BC4152" s="4">
        <v>5</v>
      </c>
      <c r="BD4152" s="8">
        <v>66.15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>
        <v>1</v>
      </c>
      <c r="BJ4152" s="4">
        <v>181</v>
      </c>
      <c r="BK4152" s="8">
        <v>2431.5</v>
      </c>
      <c r="BL4152" s="2" t="s">
        <v>12611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12224</v>
      </c>
      <c r="BX4152" s="2" t="s">
        <v>841</v>
      </c>
      <c r="BY4152" s="2" t="s">
        <v>113</v>
      </c>
      <c r="BZ4152" s="2" t="s">
        <v>245</v>
      </c>
    </row>
    <row r="4153">
      <c r="A4153" s="2" t="s">
        <v>12612</v>
      </c>
      <c r="B4153" s="2" t="s">
        <v>11863</v>
      </c>
      <c r="C4153" s="2" t="s">
        <v>3934</v>
      </c>
      <c r="D4153" s="2" t="s">
        <v>2605</v>
      </c>
      <c r="E4153" s="2" t="s">
        <v>2606</v>
      </c>
      <c r="F4153" s="2" t="s">
        <v>5241</v>
      </c>
      <c r="G4153" s="2" t="s">
        <v>5242</v>
      </c>
      <c r="H4153" s="2" t="s">
        <v>5243</v>
      </c>
      <c r="I4153" s="2" t="s">
        <v>12609</v>
      </c>
      <c r="J4153" s="2" t="s">
        <v>11868</v>
      </c>
      <c r="K4153" s="2" t="s">
        <v>335</v>
      </c>
      <c r="L4153" s="3">
        <v>14</v>
      </c>
      <c r="M4153" s="3">
        <v>14.7</v>
      </c>
      <c r="N4153" s="3">
        <v>34.99</v>
      </c>
      <c r="O4153" s="2" t="s">
        <v>97</v>
      </c>
      <c r="P4153" s="2" t="s">
        <v>119</v>
      </c>
      <c r="Q4153" s="2" t="s">
        <v>99</v>
      </c>
      <c r="R4153" s="2" t="s">
        <v>100</v>
      </c>
      <c r="S4153" s="2" t="s">
        <v>5244</v>
      </c>
      <c r="T4153" s="2" t="s">
        <v>100</v>
      </c>
      <c r="U4153" s="2" t="s">
        <v>1847</v>
      </c>
      <c r="V4153" s="2" t="s">
        <v>5245</v>
      </c>
      <c r="W4153" s="2" t="s">
        <v>183</v>
      </c>
      <c r="X4153" s="2" t="s">
        <v>11870</v>
      </c>
      <c r="Y4153" s="2" t="s">
        <v>12610</v>
      </c>
      <c r="Z4153" s="4">
        <v>250</v>
      </c>
      <c r="AA4153" s="4">
        <f>=ROUNDDOWN(19.2307692307692,0)</f>
      </c>
      <c r="AB4153" s="5">
        <v>13</v>
      </c>
      <c r="AC4153" s="2" t="s">
        <v>768</v>
      </c>
      <c r="AD4153" s="4">
        <v>40</v>
      </c>
      <c r="AE4153" s="4">
        <v>988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>
        <v>5</v>
      </c>
      <c r="AQ4153" s="8">
        <v>66.15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1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423</v>
      </c>
      <c r="BK4153" s="8">
        <v>6465.37</v>
      </c>
      <c r="BL4153" s="2" t="s">
        <v>12613</v>
      </c>
      <c r="BM4153" s="7">
        <v>0.0118</v>
      </c>
      <c r="BN4153" s="7">
        <v>0.0102</v>
      </c>
      <c r="BO4153" s="4">
        <v>5</v>
      </c>
      <c r="BP4153" s="8">
        <v>66.15</v>
      </c>
      <c r="BQ4153" s="4"/>
      <c r="BR4153" s="8"/>
      <c r="BS4153" s="7"/>
      <c r="BT4153" s="7"/>
      <c r="BU4153" s="2" t="s">
        <v>109</v>
      </c>
      <c r="BV4153" s="2" t="s">
        <v>110</v>
      </c>
      <c r="BW4153" s="2" t="s">
        <v>12224</v>
      </c>
      <c r="BX4153" s="2" t="s">
        <v>12614</v>
      </c>
      <c r="BY4153" s="2" t="s">
        <v>113</v>
      </c>
      <c r="BZ4153" s="2" t="s">
        <v>245</v>
      </c>
    </row>
    <row r="4154">
      <c r="A4154" s="2" t="s">
        <v>12615</v>
      </c>
      <c r="B4154" s="2" t="s">
        <v>11863</v>
      </c>
      <c r="C4154" s="2" t="s">
        <v>3934</v>
      </c>
      <c r="D4154" s="2" t="s">
        <v>2605</v>
      </c>
      <c r="E4154" s="2" t="s">
        <v>2606</v>
      </c>
      <c r="F4154" s="2" t="s">
        <v>12616</v>
      </c>
      <c r="G4154" s="2" t="s">
        <v>12617</v>
      </c>
      <c r="H4154" s="2" t="s">
        <v>12618</v>
      </c>
      <c r="I4154" s="2" t="s">
        <v>12619</v>
      </c>
      <c r="J4154" s="2" t="s">
        <v>11940</v>
      </c>
      <c r="K4154" s="2" t="s">
        <v>8996</v>
      </c>
      <c r="L4154" s="3">
        <v>16.25</v>
      </c>
      <c r="M4154" s="3">
        <v>17.06</v>
      </c>
      <c r="N4154" s="3">
        <v>34.99</v>
      </c>
      <c r="O4154" s="2" t="s">
        <v>97</v>
      </c>
      <c r="P4154" s="2" t="s">
        <v>119</v>
      </c>
      <c r="Q4154" s="2" t="s">
        <v>99</v>
      </c>
      <c r="R4154" s="2" t="s">
        <v>100</v>
      </c>
      <c r="S4154" s="2" t="s">
        <v>12620</v>
      </c>
      <c r="T4154" s="2" t="s">
        <v>218</v>
      </c>
      <c r="U4154" s="2" t="s">
        <v>1847</v>
      </c>
      <c r="V4154" s="2" t="s">
        <v>2508</v>
      </c>
      <c r="W4154" s="2" t="s">
        <v>673</v>
      </c>
      <c r="X4154" s="2" t="s">
        <v>11964</v>
      </c>
      <c r="Y4154" s="2" t="s">
        <v>10769</v>
      </c>
      <c r="Z4154" s="4">
        <v>448</v>
      </c>
      <c r="AA4154" s="4">
        <f>=ROUNDDOWN(49.7777777777778,0)</f>
      </c>
      <c r="AB4154" s="5">
        <v>9</v>
      </c>
      <c r="AC4154" s="2" t="s">
        <v>100</v>
      </c>
      <c r="AD4154" s="4"/>
      <c r="AE4154" s="4"/>
      <c r="AF4154" s="6">
        <v>64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/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/>
      <c r="BJ4154" s="4">
        <v>161</v>
      </c>
      <c r="BK4154" s="8">
        <v>3294.37</v>
      </c>
      <c r="BL4154" s="2" t="s">
        <v>12621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207</v>
      </c>
      <c r="BV4154" s="2" t="s">
        <v>97</v>
      </c>
      <c r="BW4154" s="2" t="s">
        <v>100</v>
      </c>
      <c r="BX4154" s="2" t="s">
        <v>100</v>
      </c>
      <c r="BY4154" s="2" t="s">
        <v>113</v>
      </c>
      <c r="BZ4154" s="2" t="s">
        <v>245</v>
      </c>
    </row>
    <row r="4155">
      <c r="A4155" s="2" t="s">
        <v>12622</v>
      </c>
      <c r="B4155" s="2" t="s">
        <v>11863</v>
      </c>
      <c r="C4155" s="2" t="s">
        <v>3934</v>
      </c>
      <c r="D4155" s="2" t="s">
        <v>2605</v>
      </c>
      <c r="E4155" s="2" t="s">
        <v>2606</v>
      </c>
      <c r="F4155" s="2" t="s">
        <v>12616</v>
      </c>
      <c r="G4155" s="2" t="s">
        <v>12617</v>
      </c>
      <c r="H4155" s="2" t="s">
        <v>12618</v>
      </c>
      <c r="I4155" s="2" t="s">
        <v>12619</v>
      </c>
      <c r="J4155" s="2" t="s">
        <v>11868</v>
      </c>
      <c r="K4155" s="2" t="s">
        <v>8996</v>
      </c>
      <c r="L4155" s="3">
        <v>18.38</v>
      </c>
      <c r="M4155" s="3">
        <v>19.3</v>
      </c>
      <c r="N4155" s="3">
        <v>39.99</v>
      </c>
      <c r="O4155" s="2" t="s">
        <v>97</v>
      </c>
      <c r="P4155" s="2" t="s">
        <v>119</v>
      </c>
      <c r="Q4155" s="2" t="s">
        <v>99</v>
      </c>
      <c r="R4155" s="2" t="s">
        <v>100</v>
      </c>
      <c r="S4155" s="2" t="s">
        <v>12620</v>
      </c>
      <c r="T4155" s="2" t="s">
        <v>218</v>
      </c>
      <c r="U4155" s="2" t="s">
        <v>1847</v>
      </c>
      <c r="V4155" s="2" t="s">
        <v>2508</v>
      </c>
      <c r="W4155" s="2" t="s">
        <v>673</v>
      </c>
      <c r="X4155" s="2" t="s">
        <v>11964</v>
      </c>
      <c r="Y4155" s="2" t="s">
        <v>10769</v>
      </c>
      <c r="Z4155" s="4">
        <v>529</v>
      </c>
      <c r="AA4155" s="4">
        <f>=ROUNDDOWN(35.2666666666667,0)</f>
      </c>
      <c r="AB4155" s="5">
        <v>15</v>
      </c>
      <c r="AC4155" s="2" t="s">
        <v>100</v>
      </c>
      <c r="AD4155" s="4"/>
      <c r="AE4155" s="4"/>
      <c r="AF4155" s="6">
        <v>64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/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/>
      <c r="BJ4155" s="4">
        <v>331</v>
      </c>
      <c r="BK4155" s="8">
        <v>6811.93</v>
      </c>
      <c r="BL4155" s="2" t="s">
        <v>12288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207</v>
      </c>
      <c r="BV4155" s="2" t="s">
        <v>97</v>
      </c>
      <c r="BW4155" s="2" t="s">
        <v>100</v>
      </c>
      <c r="BX4155" s="2" t="s">
        <v>100</v>
      </c>
      <c r="BY4155" s="2" t="s">
        <v>113</v>
      </c>
      <c r="BZ4155" s="2" t="s">
        <v>245</v>
      </c>
    </row>
    <row r="4156">
      <c r="A4156" s="2" t="s">
        <v>12623</v>
      </c>
      <c r="B4156" s="2" t="s">
        <v>11863</v>
      </c>
      <c r="C4156" s="2" t="s">
        <v>3934</v>
      </c>
      <c r="D4156" s="2" t="s">
        <v>2605</v>
      </c>
      <c r="E4156" s="2" t="s">
        <v>2606</v>
      </c>
      <c r="F4156" s="2" t="s">
        <v>5667</v>
      </c>
      <c r="G4156" s="2" t="s">
        <v>5668</v>
      </c>
      <c r="H4156" s="2" t="s">
        <v>5669</v>
      </c>
      <c r="I4156" s="2" t="s">
        <v>12624</v>
      </c>
      <c r="J4156" s="2" t="s">
        <v>11940</v>
      </c>
      <c r="K4156" s="2" t="s">
        <v>1032</v>
      </c>
      <c r="L4156" s="3">
        <v>19.2</v>
      </c>
      <c r="M4156" s="3">
        <v>20.16</v>
      </c>
      <c r="N4156" s="3">
        <v>39.99</v>
      </c>
      <c r="O4156" s="2" t="s">
        <v>97</v>
      </c>
      <c r="P4156" s="2" t="s">
        <v>119</v>
      </c>
      <c r="Q4156" s="2" t="s">
        <v>99</v>
      </c>
      <c r="R4156" s="2" t="s">
        <v>100</v>
      </c>
      <c r="S4156" s="2" t="s">
        <v>5671</v>
      </c>
      <c r="T4156" s="2" t="s">
        <v>100</v>
      </c>
      <c r="U4156" s="2" t="s">
        <v>1847</v>
      </c>
      <c r="V4156" s="2" t="s">
        <v>403</v>
      </c>
      <c r="W4156" s="2" t="s">
        <v>183</v>
      </c>
      <c r="X4156" s="2" t="s">
        <v>11964</v>
      </c>
      <c r="Y4156" s="2" t="s">
        <v>12625</v>
      </c>
      <c r="Z4156" s="4">
        <v>382</v>
      </c>
      <c r="AA4156" s="4">
        <f>=ROUNDDOWN(19.1,0)</f>
      </c>
      <c r="AB4156" s="5">
        <v>20</v>
      </c>
      <c r="AC4156" s="2" t="s">
        <v>282</v>
      </c>
      <c r="AD4156" s="4">
        <v>312</v>
      </c>
      <c r="AE4156" s="4">
        <v>312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/>
      <c r="BJ4156" s="4">
        <v>532</v>
      </c>
      <c r="BK4156" s="8">
        <v>11306.61</v>
      </c>
      <c r="BL4156" s="2" t="s">
        <v>12626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207</v>
      </c>
      <c r="BV4156" s="2" t="s">
        <v>97</v>
      </c>
      <c r="BW4156" s="2" t="s">
        <v>100</v>
      </c>
      <c r="BX4156" s="2" t="s">
        <v>100</v>
      </c>
      <c r="BY4156" s="2" t="s">
        <v>113</v>
      </c>
      <c r="BZ4156" s="2" t="s">
        <v>245</v>
      </c>
    </row>
    <row r="4157">
      <c r="A4157" s="2" t="s">
        <v>12627</v>
      </c>
      <c r="B4157" s="2" t="s">
        <v>11863</v>
      </c>
      <c r="C4157" s="2" t="s">
        <v>3934</v>
      </c>
      <c r="D4157" s="2" t="s">
        <v>2605</v>
      </c>
      <c r="E4157" s="2" t="s">
        <v>2606</v>
      </c>
      <c r="F4157" s="2" t="s">
        <v>5667</v>
      </c>
      <c r="G4157" s="2" t="s">
        <v>5668</v>
      </c>
      <c r="H4157" s="2" t="s">
        <v>5669</v>
      </c>
      <c r="I4157" s="2" t="s">
        <v>12624</v>
      </c>
      <c r="J4157" s="2" t="s">
        <v>11940</v>
      </c>
      <c r="K4157" s="2" t="s">
        <v>11059</v>
      </c>
      <c r="L4157" s="3">
        <v>19.2</v>
      </c>
      <c r="M4157" s="3">
        <v>20.16</v>
      </c>
      <c r="N4157" s="3">
        <v>39.99</v>
      </c>
      <c r="O4157" s="2" t="s">
        <v>97</v>
      </c>
      <c r="P4157" s="2" t="s">
        <v>119</v>
      </c>
      <c r="Q4157" s="2" t="s">
        <v>99</v>
      </c>
      <c r="R4157" s="2" t="s">
        <v>100</v>
      </c>
      <c r="S4157" s="2" t="s">
        <v>12628</v>
      </c>
      <c r="T4157" s="2" t="s">
        <v>100</v>
      </c>
      <c r="U4157" s="2" t="s">
        <v>1847</v>
      </c>
      <c r="V4157" s="2" t="s">
        <v>403</v>
      </c>
      <c r="W4157" s="2" t="s">
        <v>183</v>
      </c>
      <c r="X4157" s="2" t="s">
        <v>11964</v>
      </c>
      <c r="Y4157" s="2" t="s">
        <v>12625</v>
      </c>
      <c r="Z4157" s="4">
        <v>331</v>
      </c>
      <c r="AA4157" s="4">
        <f>=ROUNDDOWN(22.0666666666667,0)</f>
      </c>
      <c r="AB4157" s="5">
        <v>15</v>
      </c>
      <c r="AC4157" s="2" t="s">
        <v>417</v>
      </c>
      <c r="AD4157" s="4">
        <v>600</v>
      </c>
      <c r="AE4157" s="4">
        <v>600</v>
      </c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/>
      <c r="BJ4157" s="4">
        <v>366</v>
      </c>
      <c r="BK4157" s="8">
        <v>7945.82</v>
      </c>
      <c r="BL4157" s="2" t="s">
        <v>12629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207</v>
      </c>
      <c r="BV4157" s="2" t="s">
        <v>97</v>
      </c>
      <c r="BW4157" s="2" t="s">
        <v>100</v>
      </c>
      <c r="BX4157" s="2" t="s">
        <v>100</v>
      </c>
      <c r="BY4157" s="2" t="s">
        <v>113</v>
      </c>
      <c r="BZ4157" s="2" t="s">
        <v>245</v>
      </c>
    </row>
    <row r="4158">
      <c r="A4158" s="2" t="s">
        <v>12630</v>
      </c>
      <c r="B4158" s="2" t="s">
        <v>11863</v>
      </c>
      <c r="C4158" s="2" t="s">
        <v>3934</v>
      </c>
      <c r="D4158" s="2" t="s">
        <v>2605</v>
      </c>
      <c r="E4158" s="2" t="s">
        <v>2606</v>
      </c>
      <c r="F4158" s="2" t="s">
        <v>5667</v>
      </c>
      <c r="G4158" s="2" t="s">
        <v>5668</v>
      </c>
      <c r="H4158" s="2" t="s">
        <v>5669</v>
      </c>
      <c r="I4158" s="2" t="s">
        <v>12624</v>
      </c>
      <c r="J4158" s="2" t="s">
        <v>11940</v>
      </c>
      <c r="K4158" s="2" t="s">
        <v>5676</v>
      </c>
      <c r="L4158" s="3">
        <v>19.2</v>
      </c>
      <c r="M4158" s="3">
        <v>20.16</v>
      </c>
      <c r="N4158" s="3">
        <v>39.99</v>
      </c>
      <c r="O4158" s="2" t="s">
        <v>97</v>
      </c>
      <c r="P4158" s="2" t="s">
        <v>372</v>
      </c>
      <c r="Q4158" s="2" t="s">
        <v>99</v>
      </c>
      <c r="R4158" s="2" t="s">
        <v>100</v>
      </c>
      <c r="S4158" s="2" t="s">
        <v>5677</v>
      </c>
      <c r="T4158" s="2" t="s">
        <v>100</v>
      </c>
      <c r="U4158" s="2" t="s">
        <v>1847</v>
      </c>
      <c r="V4158" s="2" t="s">
        <v>403</v>
      </c>
      <c r="W4158" s="2" t="s">
        <v>183</v>
      </c>
      <c r="X4158" s="2" t="s">
        <v>11964</v>
      </c>
      <c r="Y4158" s="2" t="s">
        <v>12625</v>
      </c>
      <c r="Z4158" s="4">
        <v>447</v>
      </c>
      <c r="AA4158" s="4">
        <f>=ROUNDDOWN(27.9375,0)</f>
      </c>
      <c r="AB4158" s="5">
        <v>16</v>
      </c>
      <c r="AC4158" s="2" t="s">
        <v>417</v>
      </c>
      <c r="AD4158" s="4">
        <v>56</v>
      </c>
      <c r="AE4158" s="4">
        <v>384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/>
      <c r="BJ4158" s="4">
        <v>312</v>
      </c>
      <c r="BK4158" s="8">
        <v>6464.18</v>
      </c>
      <c r="BL4158" s="2" t="s">
        <v>12631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207</v>
      </c>
      <c r="BV4158" s="2" t="s">
        <v>97</v>
      </c>
      <c r="BW4158" s="2" t="s">
        <v>100</v>
      </c>
      <c r="BX4158" s="2" t="s">
        <v>100</v>
      </c>
      <c r="BY4158" s="2" t="s">
        <v>113</v>
      </c>
      <c r="BZ4158" s="2" t="s">
        <v>245</v>
      </c>
    </row>
    <row r="4159">
      <c r="A4159" s="2" t="s">
        <v>12632</v>
      </c>
      <c r="B4159" s="2" t="s">
        <v>11863</v>
      </c>
      <c r="C4159" s="2" t="s">
        <v>3934</v>
      </c>
      <c r="D4159" s="2" t="s">
        <v>2605</v>
      </c>
      <c r="E4159" s="2" t="s">
        <v>2606</v>
      </c>
      <c r="F4159" s="2" t="s">
        <v>5667</v>
      </c>
      <c r="G4159" s="2" t="s">
        <v>5668</v>
      </c>
      <c r="H4159" s="2" t="s">
        <v>5669</v>
      </c>
      <c r="I4159" s="2" t="s">
        <v>12624</v>
      </c>
      <c r="J4159" s="2" t="s">
        <v>11940</v>
      </c>
      <c r="K4159" s="2" t="s">
        <v>12633</v>
      </c>
      <c r="L4159" s="3">
        <v>19.2</v>
      </c>
      <c r="M4159" s="3">
        <v>20.16</v>
      </c>
      <c r="N4159" s="3">
        <v>39.99</v>
      </c>
      <c r="O4159" s="2" t="s">
        <v>97</v>
      </c>
      <c r="P4159" s="2" t="s">
        <v>950</v>
      </c>
      <c r="Q4159" s="2" t="s">
        <v>99</v>
      </c>
      <c r="R4159" s="2" t="s">
        <v>100</v>
      </c>
      <c r="S4159" s="2" t="s">
        <v>12634</v>
      </c>
      <c r="T4159" s="2" t="s">
        <v>100</v>
      </c>
      <c r="U4159" s="2" t="s">
        <v>1847</v>
      </c>
      <c r="V4159" s="2" t="s">
        <v>403</v>
      </c>
      <c r="W4159" s="2" t="s">
        <v>183</v>
      </c>
      <c r="X4159" s="2" t="s">
        <v>11964</v>
      </c>
      <c r="Y4159" s="2" t="s">
        <v>12625</v>
      </c>
      <c r="Z4159" s="4">
        <v>374</v>
      </c>
      <c r="AA4159" s="4">
        <f>=ROUNDDOWN(7.19230769230769,0)</f>
      </c>
      <c r="AB4159" s="5">
        <v>52</v>
      </c>
      <c r="AC4159" s="2" t="s">
        <v>205</v>
      </c>
      <c r="AD4159" s="4">
        <v>600</v>
      </c>
      <c r="AE4159" s="4">
        <v>1500</v>
      </c>
      <c r="AF4159" s="6">
        <v>65</v>
      </c>
      <c r="AG4159" s="6"/>
      <c r="AH4159" s="7">
        <v>0.8717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/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/>
      <c r="BJ4159" s="4">
        <v>760</v>
      </c>
      <c r="BK4159" s="8">
        <v>15412.33</v>
      </c>
      <c r="BL4159" s="2" t="s">
        <v>12635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207</v>
      </c>
      <c r="BV4159" s="2" t="s">
        <v>97</v>
      </c>
      <c r="BW4159" s="2" t="s">
        <v>100</v>
      </c>
      <c r="BX4159" s="2" t="s">
        <v>100</v>
      </c>
      <c r="BY4159" s="2" t="s">
        <v>113</v>
      </c>
      <c r="BZ4159" s="2" t="s">
        <v>245</v>
      </c>
    </row>
    <row r="4160">
      <c r="A4160" s="2" t="s">
        <v>12636</v>
      </c>
      <c r="B4160" s="2" t="s">
        <v>11863</v>
      </c>
      <c r="C4160" s="2" t="s">
        <v>3934</v>
      </c>
      <c r="D4160" s="2" t="s">
        <v>2605</v>
      </c>
      <c r="E4160" s="2" t="s">
        <v>2606</v>
      </c>
      <c r="F4160" s="2" t="s">
        <v>5667</v>
      </c>
      <c r="G4160" s="2" t="s">
        <v>5668</v>
      </c>
      <c r="H4160" s="2" t="s">
        <v>5669</v>
      </c>
      <c r="I4160" s="2" t="s">
        <v>12624</v>
      </c>
      <c r="J4160" s="2" t="s">
        <v>11868</v>
      </c>
      <c r="K4160" s="2" t="s">
        <v>12633</v>
      </c>
      <c r="L4160" s="3">
        <v>19.2</v>
      </c>
      <c r="M4160" s="3">
        <v>20.16</v>
      </c>
      <c r="N4160" s="3">
        <v>39.99</v>
      </c>
      <c r="O4160" s="2" t="s">
        <v>97</v>
      </c>
      <c r="P4160" s="2" t="s">
        <v>950</v>
      </c>
      <c r="Q4160" s="2" t="s">
        <v>99</v>
      </c>
      <c r="R4160" s="2" t="s">
        <v>100</v>
      </c>
      <c r="S4160" s="2" t="s">
        <v>12634</v>
      </c>
      <c r="T4160" s="2" t="s">
        <v>100</v>
      </c>
      <c r="U4160" s="2" t="s">
        <v>100</v>
      </c>
      <c r="V4160" s="2" t="s">
        <v>403</v>
      </c>
      <c r="W4160" s="2" t="s">
        <v>183</v>
      </c>
      <c r="X4160" s="2" t="s">
        <v>11964</v>
      </c>
      <c r="Y4160" s="2" t="s">
        <v>12625</v>
      </c>
      <c r="Z4160" s="4">
        <v>1130</v>
      </c>
      <c r="AA4160" s="4">
        <f>=ROUNDDOWN(45.2,0)</f>
      </c>
      <c r="AB4160" s="5">
        <v>25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100</v>
      </c>
      <c r="AW4160" s="8" t="s">
        <v>100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/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/>
      <c r="BJ4160" s="4">
        <v>684</v>
      </c>
      <c r="BK4160" s="8">
        <v>14054.51</v>
      </c>
      <c r="BL4160" s="2" t="s">
        <v>12637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207</v>
      </c>
      <c r="BV4160" s="2" t="s">
        <v>97</v>
      </c>
      <c r="BW4160" s="2" t="s">
        <v>100</v>
      </c>
      <c r="BX4160" s="2" t="s">
        <v>100</v>
      </c>
      <c r="BY4160" s="2" t="s">
        <v>113</v>
      </c>
      <c r="BZ4160" s="2" t="s">
        <v>245</v>
      </c>
    </row>
    <row r="4161">
      <c r="A4161" s="2" t="s">
        <v>12638</v>
      </c>
      <c r="B4161" s="2" t="s">
        <v>11863</v>
      </c>
      <c r="C4161" s="2" t="s">
        <v>3934</v>
      </c>
      <c r="D4161" s="2" t="s">
        <v>2605</v>
      </c>
      <c r="E4161" s="2" t="s">
        <v>2606</v>
      </c>
      <c r="F4161" s="2" t="s">
        <v>5667</v>
      </c>
      <c r="G4161" s="2" t="s">
        <v>5668</v>
      </c>
      <c r="H4161" s="2" t="s">
        <v>5669</v>
      </c>
      <c r="I4161" s="2" t="s">
        <v>12624</v>
      </c>
      <c r="J4161" s="2" t="s">
        <v>11940</v>
      </c>
      <c r="K4161" s="2" t="s">
        <v>9267</v>
      </c>
      <c r="L4161" s="3">
        <v>19.2</v>
      </c>
      <c r="M4161" s="3">
        <v>20.16</v>
      </c>
      <c r="N4161" s="3">
        <v>39.99</v>
      </c>
      <c r="O4161" s="2" t="s">
        <v>97</v>
      </c>
      <c r="P4161" s="2" t="s">
        <v>119</v>
      </c>
      <c r="Q4161" s="2" t="s">
        <v>99</v>
      </c>
      <c r="R4161" s="2" t="s">
        <v>100</v>
      </c>
      <c r="S4161" s="2" t="s">
        <v>12639</v>
      </c>
      <c r="T4161" s="2" t="s">
        <v>100</v>
      </c>
      <c r="U4161" s="2" t="s">
        <v>100</v>
      </c>
      <c r="V4161" s="2" t="s">
        <v>403</v>
      </c>
      <c r="W4161" s="2" t="s">
        <v>183</v>
      </c>
      <c r="X4161" s="2" t="s">
        <v>11964</v>
      </c>
      <c r="Y4161" s="2" t="s">
        <v>4482</v>
      </c>
      <c r="Z4161" s="4">
        <v>174</v>
      </c>
      <c r="AA4161" s="4">
        <f>=ROUNDDOWN(5.27272727272727,0)</f>
      </c>
      <c r="AB4161" s="5">
        <v>33</v>
      </c>
      <c r="AC4161" s="2" t="s">
        <v>205</v>
      </c>
      <c r="AD4161" s="4">
        <v>440</v>
      </c>
      <c r="AE4161" s="4">
        <v>1100</v>
      </c>
      <c r="AF4161" s="6">
        <v>65</v>
      </c>
      <c r="AG4161" s="6"/>
      <c r="AH4161" s="7">
        <v>0.9626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/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/>
      <c r="BJ4161" s="4">
        <v>506</v>
      </c>
      <c r="BK4161" s="8">
        <v>9878.5</v>
      </c>
      <c r="BL4161" s="2" t="s">
        <v>12640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207</v>
      </c>
      <c r="BV4161" s="2" t="s">
        <v>97</v>
      </c>
      <c r="BW4161" s="2" t="s">
        <v>100</v>
      </c>
      <c r="BX4161" s="2" t="s">
        <v>100</v>
      </c>
      <c r="BY4161" s="2" t="s">
        <v>113</v>
      </c>
      <c r="BZ4161" s="2" t="s">
        <v>245</v>
      </c>
    </row>
    <row r="4162">
      <c r="A4162" s="2" t="s">
        <v>12641</v>
      </c>
      <c r="B4162" s="2" t="s">
        <v>11863</v>
      </c>
      <c r="C4162" s="2" t="s">
        <v>3934</v>
      </c>
      <c r="D4162" s="2" t="s">
        <v>2605</v>
      </c>
      <c r="E4162" s="2" t="s">
        <v>2606</v>
      </c>
      <c r="F4162" s="2" t="s">
        <v>5667</v>
      </c>
      <c r="G4162" s="2" t="s">
        <v>5668</v>
      </c>
      <c r="H4162" s="2" t="s">
        <v>5669</v>
      </c>
      <c r="I4162" s="2" t="s">
        <v>12624</v>
      </c>
      <c r="J4162" s="2" t="s">
        <v>11868</v>
      </c>
      <c r="K4162" s="2" t="s">
        <v>9267</v>
      </c>
      <c r="L4162" s="3">
        <v>19.2</v>
      </c>
      <c r="M4162" s="3">
        <v>20.16</v>
      </c>
      <c r="N4162" s="3">
        <v>39.99</v>
      </c>
      <c r="O4162" s="2" t="s">
        <v>97</v>
      </c>
      <c r="P4162" s="2" t="s">
        <v>119</v>
      </c>
      <c r="Q4162" s="2" t="s">
        <v>99</v>
      </c>
      <c r="R4162" s="2" t="s">
        <v>100</v>
      </c>
      <c r="S4162" s="2" t="s">
        <v>12639</v>
      </c>
      <c r="T4162" s="2" t="s">
        <v>100</v>
      </c>
      <c r="U4162" s="2" t="s">
        <v>100</v>
      </c>
      <c r="V4162" s="2" t="s">
        <v>403</v>
      </c>
      <c r="W4162" s="2" t="s">
        <v>183</v>
      </c>
      <c r="X4162" s="2" t="s">
        <v>11964</v>
      </c>
      <c r="Y4162" s="2" t="s">
        <v>4482</v>
      </c>
      <c r="Z4162" s="4">
        <v>708</v>
      </c>
      <c r="AA4162" s="4">
        <f>=ROUNDDOWN(32.1818181818182,0)</f>
      </c>
      <c r="AB4162" s="5">
        <v>22</v>
      </c>
      <c r="AC4162" s="2" t="s">
        <v>205</v>
      </c>
      <c r="AD4162" s="4">
        <v>160</v>
      </c>
      <c r="AE4162" s="4">
        <v>220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/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/>
      <c r="BJ4162" s="4">
        <v>531</v>
      </c>
      <c r="BK4162" s="8">
        <v>11433.35</v>
      </c>
      <c r="BL4162" s="2" t="s">
        <v>12642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207</v>
      </c>
      <c r="BV4162" s="2" t="s">
        <v>97</v>
      </c>
      <c r="BW4162" s="2" t="s">
        <v>100</v>
      </c>
      <c r="BX4162" s="2" t="s">
        <v>100</v>
      </c>
      <c r="BY4162" s="2" t="s">
        <v>113</v>
      </c>
      <c r="BZ4162" s="2" t="s">
        <v>245</v>
      </c>
    </row>
    <row r="4163">
      <c r="A4163" s="2" t="s">
        <v>12643</v>
      </c>
      <c r="B4163" s="2" t="s">
        <v>11863</v>
      </c>
      <c r="C4163" s="2" t="s">
        <v>3934</v>
      </c>
      <c r="D4163" s="2" t="s">
        <v>2605</v>
      </c>
      <c r="E4163" s="2" t="s">
        <v>12340</v>
      </c>
      <c r="F4163" s="2" t="s">
        <v>5667</v>
      </c>
      <c r="G4163" s="2" t="s">
        <v>5668</v>
      </c>
      <c r="H4163" s="2" t="s">
        <v>5669</v>
      </c>
      <c r="I4163" s="2" t="s">
        <v>12644</v>
      </c>
      <c r="J4163" s="2" t="s">
        <v>12074</v>
      </c>
      <c r="K4163" s="2" t="s">
        <v>5676</v>
      </c>
      <c r="L4163" s="3">
        <v>32.5</v>
      </c>
      <c r="M4163" s="3">
        <v>34.13</v>
      </c>
      <c r="N4163" s="3">
        <v>69.99</v>
      </c>
      <c r="O4163" s="2" t="s">
        <v>97</v>
      </c>
      <c r="P4163" s="2" t="s">
        <v>119</v>
      </c>
      <c r="Q4163" s="2" t="s">
        <v>99</v>
      </c>
      <c r="R4163" s="2" t="s">
        <v>100</v>
      </c>
      <c r="S4163" s="2" t="s">
        <v>5677</v>
      </c>
      <c r="T4163" s="2" t="s">
        <v>100</v>
      </c>
      <c r="U4163" s="2" t="s">
        <v>514</v>
      </c>
      <c r="V4163" s="2" t="s">
        <v>403</v>
      </c>
      <c r="W4163" s="2" t="s">
        <v>183</v>
      </c>
      <c r="X4163" s="2" t="s">
        <v>11964</v>
      </c>
      <c r="Y4163" s="2" t="s">
        <v>4624</v>
      </c>
      <c r="Z4163" s="4">
        <v>549</v>
      </c>
      <c r="AA4163" s="4">
        <f>=ROUNDDOWN(49.9090909090909,0)</f>
      </c>
      <c r="AB4163" s="5">
        <v>11</v>
      </c>
      <c r="AC4163" s="2" t="s">
        <v>356</v>
      </c>
      <c r="AD4163" s="4">
        <v>200</v>
      </c>
      <c r="AE4163" s="4">
        <v>200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/>
      <c r="BJ4163" s="4">
        <v>214</v>
      </c>
      <c r="BK4163" s="8">
        <v>7994.54</v>
      </c>
      <c r="BL4163" s="2" t="s">
        <v>12645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207</v>
      </c>
      <c r="BV4163" s="2" t="s">
        <v>97</v>
      </c>
      <c r="BW4163" s="2" t="s">
        <v>100</v>
      </c>
      <c r="BX4163" s="2" t="s">
        <v>100</v>
      </c>
      <c r="BY4163" s="2" t="s">
        <v>113</v>
      </c>
      <c r="BZ4163" s="2" t="s">
        <v>245</v>
      </c>
    </row>
    <row r="4164">
      <c r="A4164" s="2" t="s">
        <v>12646</v>
      </c>
      <c r="B4164" s="2" t="s">
        <v>11863</v>
      </c>
      <c r="C4164" s="2" t="s">
        <v>3934</v>
      </c>
      <c r="D4164" s="2" t="s">
        <v>2605</v>
      </c>
      <c r="E4164" s="2" t="s">
        <v>12340</v>
      </c>
      <c r="F4164" s="2" t="s">
        <v>5667</v>
      </c>
      <c r="G4164" s="2" t="s">
        <v>5668</v>
      </c>
      <c r="H4164" s="2" t="s">
        <v>5669</v>
      </c>
      <c r="I4164" s="2" t="s">
        <v>12644</v>
      </c>
      <c r="J4164" s="2" t="s">
        <v>12074</v>
      </c>
      <c r="K4164" s="2" t="s">
        <v>12633</v>
      </c>
      <c r="L4164" s="3">
        <v>32.5</v>
      </c>
      <c r="M4164" s="3">
        <v>34.13</v>
      </c>
      <c r="N4164" s="3">
        <v>69.99</v>
      </c>
      <c r="O4164" s="2" t="s">
        <v>97</v>
      </c>
      <c r="P4164" s="2" t="s">
        <v>119</v>
      </c>
      <c r="Q4164" s="2" t="s">
        <v>99</v>
      </c>
      <c r="R4164" s="2" t="s">
        <v>100</v>
      </c>
      <c r="S4164" s="2" t="s">
        <v>12634</v>
      </c>
      <c r="T4164" s="2" t="s">
        <v>100</v>
      </c>
      <c r="U4164" s="2" t="s">
        <v>514</v>
      </c>
      <c r="V4164" s="2" t="s">
        <v>403</v>
      </c>
      <c r="W4164" s="2" t="s">
        <v>183</v>
      </c>
      <c r="X4164" s="2" t="s">
        <v>11964</v>
      </c>
      <c r="Y4164" s="2" t="s">
        <v>4624</v>
      </c>
      <c r="Z4164" s="4">
        <v>435</v>
      </c>
      <c r="AA4164" s="4">
        <f>=ROUNDDOWN(31.0714285714286,0)</f>
      </c>
      <c r="AB4164" s="5">
        <v>14</v>
      </c>
      <c r="AC4164" s="2" t="s">
        <v>356</v>
      </c>
      <c r="AD4164" s="4">
        <v>188</v>
      </c>
      <c r="AE4164" s="4">
        <v>320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/>
      <c r="BJ4164" s="4">
        <v>239</v>
      </c>
      <c r="BK4164" s="8">
        <v>8638.67</v>
      </c>
      <c r="BL4164" s="2" t="s">
        <v>12647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207</v>
      </c>
      <c r="BV4164" s="2" t="s">
        <v>97</v>
      </c>
      <c r="BW4164" s="2" t="s">
        <v>100</v>
      </c>
      <c r="BX4164" s="2" t="s">
        <v>100</v>
      </c>
      <c r="BY4164" s="2" t="s">
        <v>113</v>
      </c>
      <c r="BZ4164" s="2" t="s">
        <v>245</v>
      </c>
    </row>
    <row r="4165">
      <c r="A4165" s="2" t="s">
        <v>12648</v>
      </c>
      <c r="B4165" s="2" t="s">
        <v>11863</v>
      </c>
      <c r="C4165" s="2" t="s">
        <v>3934</v>
      </c>
      <c r="D4165" s="2" t="s">
        <v>12649</v>
      </c>
      <c r="E4165" s="2" t="s">
        <v>12650</v>
      </c>
      <c r="F4165" s="2" t="s">
        <v>12651</v>
      </c>
      <c r="G4165" s="2" t="s">
        <v>12652</v>
      </c>
      <c r="H4165" s="2" t="s">
        <v>12653</v>
      </c>
      <c r="I4165" s="2" t="s">
        <v>12654</v>
      </c>
      <c r="J4165" s="2" t="s">
        <v>12655</v>
      </c>
      <c r="K4165" s="2" t="s">
        <v>96</v>
      </c>
      <c r="L4165" s="3">
        <v>24.85</v>
      </c>
      <c r="M4165" s="3">
        <v>26.09</v>
      </c>
      <c r="N4165" s="3">
        <v>49.99</v>
      </c>
      <c r="O4165" s="2" t="s">
        <v>97</v>
      </c>
      <c r="P4165" s="2" t="s">
        <v>225</v>
      </c>
      <c r="Q4165" s="2" t="s">
        <v>99</v>
      </c>
      <c r="R4165" s="2" t="s">
        <v>100</v>
      </c>
      <c r="S4165" s="2" t="s">
        <v>12656</v>
      </c>
      <c r="T4165" s="2" t="s">
        <v>100</v>
      </c>
      <c r="U4165" s="2" t="s">
        <v>1847</v>
      </c>
      <c r="V4165" s="2" t="s">
        <v>146</v>
      </c>
      <c r="W4165" s="2" t="s">
        <v>183</v>
      </c>
      <c r="X4165" s="2" t="s">
        <v>100</v>
      </c>
      <c r="Y4165" s="2" t="s">
        <v>184</v>
      </c>
      <c r="Z4165" s="4"/>
      <c r="AA4165" s="4">
        <f>=ROUNDDOWN({0},0)</f>
      </c>
      <c r="AB4165" s="5">
        <v>30</v>
      </c>
      <c r="AC4165" s="2" t="s">
        <v>241</v>
      </c>
      <c r="AD4165" s="4">
        <v>300</v>
      </c>
      <c r="AE4165" s="4">
        <v>2112</v>
      </c>
      <c r="AF4165" s="6">
        <v>65</v>
      </c>
      <c r="AG4165" s="6"/>
      <c r="AH4165" s="7"/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/>
      <c r="BJ4165" s="4"/>
      <c r="BK4165" s="8"/>
      <c r="BL4165" s="2" t="s">
        <v>100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207</v>
      </c>
      <c r="BV4165" s="2" t="s">
        <v>97</v>
      </c>
      <c r="BW4165" s="2" t="s">
        <v>100</v>
      </c>
      <c r="BX4165" s="2" t="s">
        <v>100</v>
      </c>
      <c r="BY4165" s="2" t="s">
        <v>113</v>
      </c>
      <c r="BZ4165" s="2" t="s">
        <v>100</v>
      </c>
    </row>
    <row r="4166">
      <c r="A4166" s="2" t="s">
        <v>12657</v>
      </c>
      <c r="B4166" s="2" t="s">
        <v>11863</v>
      </c>
      <c r="C4166" s="2" t="s">
        <v>3934</v>
      </c>
      <c r="D4166" s="2" t="s">
        <v>12649</v>
      </c>
      <c r="E4166" s="2" t="s">
        <v>12650</v>
      </c>
      <c r="F4166" s="2" t="s">
        <v>12651</v>
      </c>
      <c r="G4166" s="2" t="s">
        <v>12652</v>
      </c>
      <c r="H4166" s="2" t="s">
        <v>12653</v>
      </c>
      <c r="I4166" s="2" t="s">
        <v>12654</v>
      </c>
      <c r="J4166" s="2" t="s">
        <v>12655</v>
      </c>
      <c r="K4166" s="2" t="s">
        <v>432</v>
      </c>
      <c r="L4166" s="3">
        <v>24.85</v>
      </c>
      <c r="M4166" s="3">
        <v>26.09</v>
      </c>
      <c r="N4166" s="3">
        <v>49.99</v>
      </c>
      <c r="O4166" s="2" t="s">
        <v>97</v>
      </c>
      <c r="P4166" s="2" t="s">
        <v>225</v>
      </c>
      <c r="Q4166" s="2" t="s">
        <v>99</v>
      </c>
      <c r="R4166" s="2" t="s">
        <v>100</v>
      </c>
      <c r="S4166" s="2" t="s">
        <v>12658</v>
      </c>
      <c r="T4166" s="2" t="s">
        <v>100</v>
      </c>
      <c r="U4166" s="2" t="s">
        <v>1847</v>
      </c>
      <c r="V4166" s="2" t="s">
        <v>146</v>
      </c>
      <c r="W4166" s="2" t="s">
        <v>183</v>
      </c>
      <c r="X4166" s="2" t="s">
        <v>100</v>
      </c>
      <c r="Y4166" s="2" t="s">
        <v>184</v>
      </c>
      <c r="Z4166" s="4"/>
      <c r="AA4166" s="4">
        <f>=ROUNDDOWN({0},0)</f>
      </c>
      <c r="AB4166" s="5">
        <v>30</v>
      </c>
      <c r="AC4166" s="2" t="s">
        <v>241</v>
      </c>
      <c r="AD4166" s="4">
        <v>300</v>
      </c>
      <c r="AE4166" s="4">
        <v>2788</v>
      </c>
      <c r="AF4166" s="6">
        <v>65</v>
      </c>
      <c r="AG4166" s="6"/>
      <c r="AH4166" s="7"/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/>
      <c r="BJ4166" s="4"/>
      <c r="BK4166" s="8"/>
      <c r="BL4166" s="2" t="s">
        <v>100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207</v>
      </c>
      <c r="BV4166" s="2" t="s">
        <v>97</v>
      </c>
      <c r="BW4166" s="2" t="s">
        <v>100</v>
      </c>
      <c r="BX4166" s="2" t="s">
        <v>100</v>
      </c>
      <c r="BY4166" s="2" t="s">
        <v>113</v>
      </c>
      <c r="BZ4166" s="2" t="s">
        <v>100</v>
      </c>
    </row>
    <row r="4167">
      <c r="A4167" s="2" t="s">
        <v>12659</v>
      </c>
      <c r="B4167" s="2" t="s">
        <v>11863</v>
      </c>
      <c r="C4167" s="2" t="s">
        <v>3934</v>
      </c>
      <c r="D4167" s="2" t="s">
        <v>12649</v>
      </c>
      <c r="E4167" s="2" t="s">
        <v>12650</v>
      </c>
      <c r="F4167" s="2" t="s">
        <v>12651</v>
      </c>
      <c r="G4167" s="2" t="s">
        <v>12652</v>
      </c>
      <c r="H4167" s="2" t="s">
        <v>12653</v>
      </c>
      <c r="I4167" s="2" t="s">
        <v>12654</v>
      </c>
      <c r="J4167" s="2" t="s">
        <v>3174</v>
      </c>
      <c r="K4167" s="2" t="s">
        <v>12660</v>
      </c>
      <c r="L4167" s="3">
        <v>20.7</v>
      </c>
      <c r="M4167" s="3">
        <v>21.74</v>
      </c>
      <c r="N4167" s="3">
        <v>44.99</v>
      </c>
      <c r="O4167" s="2" t="s">
        <v>97</v>
      </c>
      <c r="P4167" s="2" t="s">
        <v>225</v>
      </c>
      <c r="Q4167" s="2" t="s">
        <v>99</v>
      </c>
      <c r="R4167" s="2" t="s">
        <v>100</v>
      </c>
      <c r="S4167" s="2" t="s">
        <v>12661</v>
      </c>
      <c r="T4167" s="2" t="s">
        <v>100</v>
      </c>
      <c r="U4167" s="2" t="s">
        <v>1847</v>
      </c>
      <c r="V4167" s="2" t="s">
        <v>146</v>
      </c>
      <c r="W4167" s="2" t="s">
        <v>183</v>
      </c>
      <c r="X4167" s="2" t="s">
        <v>100</v>
      </c>
      <c r="Y4167" s="2" t="s">
        <v>11299</v>
      </c>
      <c r="Z4167" s="4">
        <v>940</v>
      </c>
      <c r="AA4167" s="4">
        <f>=ROUNDDOWN(20,0)</f>
      </c>
      <c r="AB4167" s="5">
        <v>47</v>
      </c>
      <c r="AC4167" s="2" t="s">
        <v>3031</v>
      </c>
      <c r="AD4167" s="4">
        <v>580</v>
      </c>
      <c r="AE4167" s="4">
        <v>580</v>
      </c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/>
      <c r="BJ4167" s="4">
        <v>311</v>
      </c>
      <c r="BK4167" s="8">
        <v>7205.67</v>
      </c>
      <c r="BL4167" s="2" t="s">
        <v>12662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207</v>
      </c>
      <c r="BV4167" s="2" t="s">
        <v>97</v>
      </c>
      <c r="BW4167" s="2" t="s">
        <v>100</v>
      </c>
      <c r="BX4167" s="2" t="s">
        <v>100</v>
      </c>
      <c r="BY4167" s="2" t="s">
        <v>113</v>
      </c>
      <c r="BZ4167" s="2" t="s">
        <v>100</v>
      </c>
    </row>
    <row r="4168">
      <c r="A4168" s="2" t="s">
        <v>12663</v>
      </c>
      <c r="B4168" s="2" t="s">
        <v>11863</v>
      </c>
      <c r="C4168" s="2" t="s">
        <v>3934</v>
      </c>
      <c r="D4168" s="2" t="s">
        <v>12649</v>
      </c>
      <c r="E4168" s="2" t="s">
        <v>12650</v>
      </c>
      <c r="F4168" s="2" t="s">
        <v>12651</v>
      </c>
      <c r="G4168" s="2" t="s">
        <v>12652</v>
      </c>
      <c r="H4168" s="2" t="s">
        <v>12653</v>
      </c>
      <c r="I4168" s="2" t="s">
        <v>12654</v>
      </c>
      <c r="J4168" s="2" t="s">
        <v>12655</v>
      </c>
      <c r="K4168" s="2" t="s">
        <v>1614</v>
      </c>
      <c r="L4168" s="3">
        <v>24.85</v>
      </c>
      <c r="M4168" s="3">
        <v>26.09</v>
      </c>
      <c r="N4168" s="3">
        <v>49.99</v>
      </c>
      <c r="O4168" s="2" t="s">
        <v>97</v>
      </c>
      <c r="P4168" s="2" t="s">
        <v>225</v>
      </c>
      <c r="Q4168" s="2" t="s">
        <v>99</v>
      </c>
      <c r="R4168" s="2" t="s">
        <v>100</v>
      </c>
      <c r="S4168" s="2" t="s">
        <v>12664</v>
      </c>
      <c r="T4168" s="2" t="s">
        <v>100</v>
      </c>
      <c r="U4168" s="2" t="s">
        <v>1847</v>
      </c>
      <c r="V4168" s="2" t="s">
        <v>146</v>
      </c>
      <c r="W4168" s="2" t="s">
        <v>183</v>
      </c>
      <c r="X4168" s="2" t="s">
        <v>100</v>
      </c>
      <c r="Y4168" s="2" t="s">
        <v>184</v>
      </c>
      <c r="Z4168" s="4"/>
      <c r="AA4168" s="4">
        <f>=ROUNDDOWN({0},0)</f>
      </c>
      <c r="AB4168" s="5">
        <v>60</v>
      </c>
      <c r="AC4168" s="2" t="s">
        <v>241</v>
      </c>
      <c r="AD4168" s="4">
        <v>300</v>
      </c>
      <c r="AE4168" s="4">
        <v>3222</v>
      </c>
      <c r="AF4168" s="6">
        <v>65</v>
      </c>
      <c r="AG4168" s="6"/>
      <c r="AH4168" s="7"/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/>
      <c r="BJ4168" s="4"/>
      <c r="BK4168" s="8"/>
      <c r="BL4168" s="2" t="s">
        <v>100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207</v>
      </c>
      <c r="BV4168" s="2" t="s">
        <v>97</v>
      </c>
      <c r="BW4168" s="2" t="s">
        <v>100</v>
      </c>
      <c r="BX4168" s="2" t="s">
        <v>100</v>
      </c>
      <c r="BY4168" s="2" t="s">
        <v>113</v>
      </c>
      <c r="BZ4168" s="2" t="s">
        <v>100</v>
      </c>
    </row>
    <row r="4169">
      <c r="A4169" s="2" t="s">
        <v>12665</v>
      </c>
      <c r="B4169" s="2" t="s">
        <v>11863</v>
      </c>
      <c r="C4169" s="2" t="s">
        <v>3934</v>
      </c>
      <c r="D4169" s="2" t="s">
        <v>12649</v>
      </c>
      <c r="E4169" s="2" t="s">
        <v>12650</v>
      </c>
      <c r="F4169" s="2" t="s">
        <v>12651</v>
      </c>
      <c r="G4169" s="2" t="s">
        <v>12652</v>
      </c>
      <c r="H4169" s="2" t="s">
        <v>12653</v>
      </c>
      <c r="I4169" s="2" t="s">
        <v>12654</v>
      </c>
      <c r="J4169" s="2" t="s">
        <v>12655</v>
      </c>
      <c r="K4169" s="2" t="s">
        <v>360</v>
      </c>
      <c r="L4169" s="3">
        <v>24.85</v>
      </c>
      <c r="M4169" s="3">
        <v>26.09</v>
      </c>
      <c r="N4169" s="3">
        <v>49.99</v>
      </c>
      <c r="O4169" s="2" t="s">
        <v>97</v>
      </c>
      <c r="P4169" s="2" t="s">
        <v>225</v>
      </c>
      <c r="Q4169" s="2" t="s">
        <v>99</v>
      </c>
      <c r="R4169" s="2" t="s">
        <v>100</v>
      </c>
      <c r="S4169" s="2" t="s">
        <v>12658</v>
      </c>
      <c r="T4169" s="2" t="s">
        <v>100</v>
      </c>
      <c r="U4169" s="2" t="s">
        <v>1847</v>
      </c>
      <c r="V4169" s="2" t="s">
        <v>146</v>
      </c>
      <c r="W4169" s="2" t="s">
        <v>183</v>
      </c>
      <c r="X4169" s="2" t="s">
        <v>100</v>
      </c>
      <c r="Y4169" s="2" t="s">
        <v>184</v>
      </c>
      <c r="Z4169" s="4"/>
      <c r="AA4169" s="4">
        <f>=ROUNDDOWN({0},0)</f>
      </c>
      <c r="AB4169" s="5">
        <v>30</v>
      </c>
      <c r="AC4169" s="2" t="s">
        <v>241</v>
      </c>
      <c r="AD4169" s="4">
        <v>300</v>
      </c>
      <c r="AE4169" s="4">
        <v>2386</v>
      </c>
      <c r="AF4169" s="6">
        <v>65</v>
      </c>
      <c r="AG4169" s="6"/>
      <c r="AH4169" s="7"/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/>
      <c r="BJ4169" s="4"/>
      <c r="BK4169" s="8"/>
      <c r="BL4169" s="2" t="s">
        <v>100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207</v>
      </c>
      <c r="BV4169" s="2" t="s">
        <v>97</v>
      </c>
      <c r="BW4169" s="2" t="s">
        <v>100</v>
      </c>
      <c r="BX4169" s="2" t="s">
        <v>100</v>
      </c>
      <c r="BY4169" s="2" t="s">
        <v>113</v>
      </c>
      <c r="BZ4169" s="2" t="s">
        <v>100</v>
      </c>
    </row>
    <row r="4170">
      <c r="A4170" s="2" t="s">
        <v>12666</v>
      </c>
      <c r="B4170" s="2" t="s">
        <v>11863</v>
      </c>
      <c r="C4170" s="2" t="s">
        <v>3934</v>
      </c>
      <c r="D4170" s="2" t="s">
        <v>12649</v>
      </c>
      <c r="E4170" s="2" t="s">
        <v>12650</v>
      </c>
      <c r="F4170" s="2" t="s">
        <v>1890</v>
      </c>
      <c r="G4170" s="2" t="s">
        <v>12667</v>
      </c>
      <c r="H4170" s="2" t="s">
        <v>12668</v>
      </c>
      <c r="I4170" s="2" t="s">
        <v>12669</v>
      </c>
      <c r="J4170" s="2" t="s">
        <v>12670</v>
      </c>
      <c r="K4170" s="2" t="s">
        <v>96</v>
      </c>
      <c r="L4170" s="3">
        <v>18.25</v>
      </c>
      <c r="M4170" s="3">
        <v>19.16</v>
      </c>
      <c r="N4170" s="3">
        <v>39.99</v>
      </c>
      <c r="O4170" s="2" t="s">
        <v>97</v>
      </c>
      <c r="P4170" s="2" t="s">
        <v>119</v>
      </c>
      <c r="Q4170" s="2" t="s">
        <v>99</v>
      </c>
      <c r="R4170" s="2" t="s">
        <v>100</v>
      </c>
      <c r="S4170" s="2" t="s">
        <v>12656</v>
      </c>
      <c r="T4170" s="2" t="s">
        <v>100</v>
      </c>
      <c r="U4170" s="2" t="s">
        <v>1847</v>
      </c>
      <c r="V4170" s="2" t="s">
        <v>146</v>
      </c>
      <c r="W4170" s="2" t="s">
        <v>183</v>
      </c>
      <c r="X4170" s="2" t="s">
        <v>100</v>
      </c>
      <c r="Y4170" s="2" t="s">
        <v>12671</v>
      </c>
      <c r="Z4170" s="4">
        <v>175</v>
      </c>
      <c r="AA4170" s="4">
        <f>=ROUNDDOWN(13.4615384615385,0)</f>
      </c>
      <c r="AB4170" s="5">
        <v>13</v>
      </c>
      <c r="AC4170" s="2" t="s">
        <v>608</v>
      </c>
      <c r="AD4170" s="4">
        <v>40</v>
      </c>
      <c r="AE4170" s="4">
        <v>190</v>
      </c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/>
      <c r="BJ4170" s="4">
        <v>236</v>
      </c>
      <c r="BK4170" s="8">
        <v>4917.27</v>
      </c>
      <c r="BL4170" s="2" t="s">
        <v>12672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207</v>
      </c>
      <c r="BV4170" s="2" t="s">
        <v>97</v>
      </c>
      <c r="BW4170" s="2" t="s">
        <v>100</v>
      </c>
      <c r="BX4170" s="2" t="s">
        <v>100</v>
      </c>
      <c r="BY4170" s="2" t="s">
        <v>113</v>
      </c>
      <c r="BZ4170" s="2" t="s">
        <v>245</v>
      </c>
    </row>
    <row r="4171">
      <c r="A4171" s="2" t="s">
        <v>12673</v>
      </c>
      <c r="B4171" s="2" t="s">
        <v>11863</v>
      </c>
      <c r="C4171" s="2" t="s">
        <v>3934</v>
      </c>
      <c r="D4171" s="2" t="s">
        <v>12649</v>
      </c>
      <c r="E4171" s="2" t="s">
        <v>12650</v>
      </c>
      <c r="F4171" s="2" t="s">
        <v>1890</v>
      </c>
      <c r="G4171" s="2" t="s">
        <v>12667</v>
      </c>
      <c r="H4171" s="2" t="s">
        <v>12668</v>
      </c>
      <c r="I4171" s="2" t="s">
        <v>12669</v>
      </c>
      <c r="J4171" s="2" t="s">
        <v>12670</v>
      </c>
      <c r="K4171" s="2" t="s">
        <v>432</v>
      </c>
      <c r="L4171" s="3">
        <v>18.25</v>
      </c>
      <c r="M4171" s="3">
        <v>19.16</v>
      </c>
      <c r="N4171" s="3">
        <v>39.99</v>
      </c>
      <c r="O4171" s="2" t="s">
        <v>97</v>
      </c>
      <c r="P4171" s="2" t="s">
        <v>119</v>
      </c>
      <c r="Q4171" s="2" t="s">
        <v>99</v>
      </c>
      <c r="R4171" s="2" t="s">
        <v>100</v>
      </c>
      <c r="S4171" s="2" t="s">
        <v>12658</v>
      </c>
      <c r="T4171" s="2" t="s">
        <v>100</v>
      </c>
      <c r="U4171" s="2" t="s">
        <v>1847</v>
      </c>
      <c r="V4171" s="2" t="s">
        <v>146</v>
      </c>
      <c r="W4171" s="2" t="s">
        <v>183</v>
      </c>
      <c r="X4171" s="2" t="s">
        <v>100</v>
      </c>
      <c r="Y4171" s="2" t="s">
        <v>12671</v>
      </c>
      <c r="Z4171" s="4">
        <v>114</v>
      </c>
      <c r="AA4171" s="4">
        <f>=ROUNDDOWN(8.76923076923077,0)</f>
      </c>
      <c r="AB4171" s="5">
        <v>13</v>
      </c>
      <c r="AC4171" s="2" t="s">
        <v>931</v>
      </c>
      <c r="AD4171" s="4">
        <v>210</v>
      </c>
      <c r="AE4171" s="4">
        <v>210</v>
      </c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/>
      <c r="BJ4171" s="4">
        <v>278</v>
      </c>
      <c r="BK4171" s="8">
        <v>5808.26</v>
      </c>
      <c r="BL4171" s="2" t="s">
        <v>1056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207</v>
      </c>
      <c r="BV4171" s="2" t="s">
        <v>97</v>
      </c>
      <c r="BW4171" s="2" t="s">
        <v>100</v>
      </c>
      <c r="BX4171" s="2" t="s">
        <v>100</v>
      </c>
      <c r="BY4171" s="2" t="s">
        <v>113</v>
      </c>
      <c r="BZ4171" s="2" t="s">
        <v>245</v>
      </c>
    </row>
    <row r="4172">
      <c r="A4172" s="2" t="s">
        <v>12674</v>
      </c>
      <c r="B4172" s="2" t="s">
        <v>11863</v>
      </c>
      <c r="C4172" s="2" t="s">
        <v>3934</v>
      </c>
      <c r="D4172" s="2" t="s">
        <v>12649</v>
      </c>
      <c r="E4172" s="2" t="s">
        <v>12650</v>
      </c>
      <c r="F4172" s="2" t="s">
        <v>1890</v>
      </c>
      <c r="G4172" s="2" t="s">
        <v>12667</v>
      </c>
      <c r="H4172" s="2" t="s">
        <v>12668</v>
      </c>
      <c r="I4172" s="2" t="s">
        <v>12669</v>
      </c>
      <c r="J4172" s="2" t="s">
        <v>12670</v>
      </c>
      <c r="K4172" s="2" t="s">
        <v>198</v>
      </c>
      <c r="L4172" s="3">
        <v>18.25</v>
      </c>
      <c r="M4172" s="3">
        <v>19.16</v>
      </c>
      <c r="N4172" s="3">
        <v>39.99</v>
      </c>
      <c r="O4172" s="2" t="s">
        <v>97</v>
      </c>
      <c r="P4172" s="2" t="s">
        <v>119</v>
      </c>
      <c r="Q4172" s="2" t="s">
        <v>99</v>
      </c>
      <c r="R4172" s="2" t="s">
        <v>100</v>
      </c>
      <c r="S4172" s="2" t="s">
        <v>12675</v>
      </c>
      <c r="T4172" s="2" t="s">
        <v>100</v>
      </c>
      <c r="U4172" s="2" t="s">
        <v>1847</v>
      </c>
      <c r="V4172" s="2" t="s">
        <v>146</v>
      </c>
      <c r="W4172" s="2" t="s">
        <v>183</v>
      </c>
      <c r="X4172" s="2" t="s">
        <v>100</v>
      </c>
      <c r="Y4172" s="2" t="s">
        <v>12671</v>
      </c>
      <c r="Z4172" s="4">
        <v>277</v>
      </c>
      <c r="AA4172" s="4">
        <f>=ROUNDDOWN(27.7,0)</f>
      </c>
      <c r="AB4172" s="5">
        <v>10</v>
      </c>
      <c r="AC4172" s="2" t="s">
        <v>100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/>
      <c r="BJ4172" s="4">
        <v>207</v>
      </c>
      <c r="BK4172" s="8">
        <v>4283.92</v>
      </c>
      <c r="BL4172" s="2" t="s">
        <v>852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207</v>
      </c>
      <c r="BV4172" s="2" t="s">
        <v>97</v>
      </c>
      <c r="BW4172" s="2" t="s">
        <v>100</v>
      </c>
      <c r="BX4172" s="2" t="s">
        <v>100</v>
      </c>
      <c r="BY4172" s="2" t="s">
        <v>113</v>
      </c>
      <c r="BZ4172" s="2" t="s">
        <v>245</v>
      </c>
    </row>
    <row r="4173">
      <c r="A4173" s="2" t="s">
        <v>12676</v>
      </c>
      <c r="B4173" s="2" t="s">
        <v>11863</v>
      </c>
      <c r="C4173" s="2" t="s">
        <v>3934</v>
      </c>
      <c r="D4173" s="2" t="s">
        <v>12649</v>
      </c>
      <c r="E4173" s="2" t="s">
        <v>12650</v>
      </c>
      <c r="F4173" s="2" t="s">
        <v>1890</v>
      </c>
      <c r="G4173" s="2" t="s">
        <v>12667</v>
      </c>
      <c r="H4173" s="2" t="s">
        <v>12668</v>
      </c>
      <c r="I4173" s="2" t="s">
        <v>12669</v>
      </c>
      <c r="J4173" s="2" t="s">
        <v>12670</v>
      </c>
      <c r="K4173" s="2" t="s">
        <v>1614</v>
      </c>
      <c r="L4173" s="3">
        <v>18.25</v>
      </c>
      <c r="M4173" s="3">
        <v>19.16</v>
      </c>
      <c r="N4173" s="3">
        <v>39.99</v>
      </c>
      <c r="O4173" s="2" t="s">
        <v>97</v>
      </c>
      <c r="P4173" s="2" t="s">
        <v>119</v>
      </c>
      <c r="Q4173" s="2" t="s">
        <v>99</v>
      </c>
      <c r="R4173" s="2" t="s">
        <v>100</v>
      </c>
      <c r="S4173" s="2" t="s">
        <v>12664</v>
      </c>
      <c r="T4173" s="2" t="s">
        <v>100</v>
      </c>
      <c r="U4173" s="2" t="s">
        <v>1847</v>
      </c>
      <c r="V4173" s="2" t="s">
        <v>146</v>
      </c>
      <c r="W4173" s="2" t="s">
        <v>183</v>
      </c>
      <c r="X4173" s="2" t="s">
        <v>100</v>
      </c>
      <c r="Y4173" s="2" t="s">
        <v>12671</v>
      </c>
      <c r="Z4173" s="4">
        <v>364</v>
      </c>
      <c r="AA4173" s="4">
        <f>=ROUNDDOWN(16.5454545454545,0)</f>
      </c>
      <c r="AB4173" s="5">
        <v>22</v>
      </c>
      <c r="AC4173" s="2" t="s">
        <v>931</v>
      </c>
      <c r="AD4173" s="4">
        <v>160</v>
      </c>
      <c r="AE4173" s="4">
        <v>480</v>
      </c>
      <c r="AF4173" s="6">
        <v>65</v>
      </c>
      <c r="AG4173" s="6"/>
      <c r="AH4173" s="7">
        <v>0.9037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/>
      <c r="BJ4173" s="4">
        <v>369</v>
      </c>
      <c r="BK4173" s="8">
        <v>7647.97</v>
      </c>
      <c r="BL4173" s="2" t="s">
        <v>1056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207</v>
      </c>
      <c r="BV4173" s="2" t="s">
        <v>97</v>
      </c>
      <c r="BW4173" s="2" t="s">
        <v>100</v>
      </c>
      <c r="BX4173" s="2" t="s">
        <v>100</v>
      </c>
      <c r="BY4173" s="2" t="s">
        <v>113</v>
      </c>
      <c r="BZ4173" s="2" t="s">
        <v>245</v>
      </c>
    </row>
    <row r="4174">
      <c r="A4174" s="2" t="s">
        <v>12677</v>
      </c>
      <c r="B4174" s="2" t="s">
        <v>11863</v>
      </c>
      <c r="C4174" s="2" t="s">
        <v>3934</v>
      </c>
      <c r="D4174" s="2" t="s">
        <v>12649</v>
      </c>
      <c r="E4174" s="2" t="s">
        <v>12678</v>
      </c>
      <c r="F4174" s="2" t="s">
        <v>12651</v>
      </c>
      <c r="G4174" s="2" t="s">
        <v>12652</v>
      </c>
      <c r="H4174" s="2" t="s">
        <v>12653</v>
      </c>
      <c r="I4174" s="2" t="s">
        <v>12654</v>
      </c>
      <c r="J4174" s="2" t="s">
        <v>3174</v>
      </c>
      <c r="K4174" s="2" t="s">
        <v>297</v>
      </c>
      <c r="L4174" s="3">
        <v>20.7</v>
      </c>
      <c r="M4174" s="3">
        <v>21.74</v>
      </c>
      <c r="N4174" s="3">
        <v>44.99</v>
      </c>
      <c r="O4174" s="2" t="s">
        <v>97</v>
      </c>
      <c r="P4174" s="2" t="s">
        <v>225</v>
      </c>
      <c r="Q4174" s="2" t="s">
        <v>99</v>
      </c>
      <c r="R4174" s="2" t="s">
        <v>100</v>
      </c>
      <c r="S4174" s="2" t="s">
        <v>12679</v>
      </c>
      <c r="T4174" s="2" t="s">
        <v>100</v>
      </c>
      <c r="U4174" s="2" t="s">
        <v>1847</v>
      </c>
      <c r="V4174" s="2" t="s">
        <v>146</v>
      </c>
      <c r="W4174" s="2" t="s">
        <v>183</v>
      </c>
      <c r="X4174" s="2" t="s">
        <v>100</v>
      </c>
      <c r="Y4174" s="2" t="s">
        <v>12680</v>
      </c>
      <c r="Z4174" s="4">
        <v>1668</v>
      </c>
      <c r="AA4174" s="4">
        <f>=ROUNDDOWN(36.2608695652174,0)</f>
      </c>
      <c r="AB4174" s="5">
        <v>46</v>
      </c>
      <c r="AC4174" s="2" t="s">
        <v>356</v>
      </c>
      <c r="AD4174" s="4">
        <v>1000</v>
      </c>
      <c r="AE4174" s="4">
        <v>1000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951</v>
      </c>
      <c r="BK4174" s="8">
        <v>20957.43</v>
      </c>
      <c r="BL4174" s="2" t="s">
        <v>12681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207</v>
      </c>
      <c r="BV4174" s="2" t="s">
        <v>97</v>
      </c>
      <c r="BW4174" s="2" t="s">
        <v>100</v>
      </c>
      <c r="BX4174" s="2" t="s">
        <v>100</v>
      </c>
      <c r="BY4174" s="2" t="s">
        <v>113</v>
      </c>
      <c r="BZ4174" s="2" t="s">
        <v>245</v>
      </c>
    </row>
    <row r="4175">
      <c r="A4175" s="2" t="s">
        <v>12682</v>
      </c>
      <c r="B4175" s="2" t="s">
        <v>11863</v>
      </c>
      <c r="C4175" s="2" t="s">
        <v>3934</v>
      </c>
      <c r="D4175" s="2" t="s">
        <v>12649</v>
      </c>
      <c r="E4175" s="2" t="s">
        <v>12678</v>
      </c>
      <c r="F4175" s="2" t="s">
        <v>12683</v>
      </c>
      <c r="G4175" s="2" t="s">
        <v>12684</v>
      </c>
      <c r="H4175" s="2" t="s">
        <v>12685</v>
      </c>
      <c r="I4175" s="2" t="s">
        <v>12686</v>
      </c>
      <c r="J4175" s="2" t="s">
        <v>12687</v>
      </c>
      <c r="K4175" s="2" t="s">
        <v>2477</v>
      </c>
      <c r="L4175" s="3">
        <v>43.13</v>
      </c>
      <c r="M4175" s="3">
        <v>45.29</v>
      </c>
      <c r="N4175" s="3">
        <v>89.99</v>
      </c>
      <c r="O4175" s="2" t="s">
        <v>97</v>
      </c>
      <c r="P4175" s="2" t="s">
        <v>225</v>
      </c>
      <c r="Q4175" s="2" t="s">
        <v>99</v>
      </c>
      <c r="R4175" s="2" t="s">
        <v>100</v>
      </c>
      <c r="S4175" s="2" t="s">
        <v>12688</v>
      </c>
      <c r="T4175" s="2" t="s">
        <v>100</v>
      </c>
      <c r="U4175" s="2" t="s">
        <v>1847</v>
      </c>
      <c r="V4175" s="2" t="s">
        <v>146</v>
      </c>
      <c r="W4175" s="2" t="s">
        <v>183</v>
      </c>
      <c r="X4175" s="2" t="s">
        <v>100</v>
      </c>
      <c r="Y4175" s="2" t="s">
        <v>11299</v>
      </c>
      <c r="Z4175" s="4">
        <v>425</v>
      </c>
      <c r="AA4175" s="4">
        <f>=ROUNDDOWN(25,0)</f>
      </c>
      <c r="AB4175" s="5">
        <v>17</v>
      </c>
      <c r="AC4175" s="2" t="s">
        <v>100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/>
      <c r="BJ4175" s="4">
        <v>87</v>
      </c>
      <c r="BK4175" s="8">
        <v>4017.01</v>
      </c>
      <c r="BL4175" s="2" t="s">
        <v>12662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207</v>
      </c>
      <c r="BV4175" s="2" t="s">
        <v>97</v>
      </c>
      <c r="BW4175" s="2" t="s">
        <v>100</v>
      </c>
      <c r="BX4175" s="2" t="s">
        <v>100</v>
      </c>
      <c r="BY4175" s="2" t="s">
        <v>113</v>
      </c>
      <c r="BZ4175" s="2" t="s">
        <v>100</v>
      </c>
    </row>
    <row r="4176">
      <c r="A4176" s="2" t="s">
        <v>12689</v>
      </c>
      <c r="B4176" s="2" t="s">
        <v>11863</v>
      </c>
      <c r="C4176" s="2" t="s">
        <v>3934</v>
      </c>
      <c r="D4176" s="2" t="s">
        <v>12649</v>
      </c>
      <c r="E4176" s="2" t="s">
        <v>12678</v>
      </c>
      <c r="F4176" s="2" t="s">
        <v>12683</v>
      </c>
      <c r="G4176" s="2" t="s">
        <v>12684</v>
      </c>
      <c r="H4176" s="2" t="s">
        <v>12685</v>
      </c>
      <c r="I4176" s="2" t="s">
        <v>12686</v>
      </c>
      <c r="J4176" s="2" t="s">
        <v>12687</v>
      </c>
      <c r="K4176" s="2" t="s">
        <v>198</v>
      </c>
      <c r="L4176" s="3">
        <v>43.13</v>
      </c>
      <c r="M4176" s="3">
        <v>45.29</v>
      </c>
      <c r="N4176" s="3">
        <v>89.99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12690</v>
      </c>
      <c r="T4176" s="2" t="s">
        <v>100</v>
      </c>
      <c r="U4176" s="2" t="s">
        <v>1847</v>
      </c>
      <c r="V4176" s="2" t="s">
        <v>146</v>
      </c>
      <c r="W4176" s="2" t="s">
        <v>183</v>
      </c>
      <c r="X4176" s="2" t="s">
        <v>100</v>
      </c>
      <c r="Y4176" s="2" t="s">
        <v>12691</v>
      </c>
      <c r="Z4176" s="4">
        <v>860</v>
      </c>
      <c r="AA4176" s="4">
        <f>=ROUNDDOWN(40.952380952381,0)</f>
      </c>
      <c r="AB4176" s="5">
        <v>21</v>
      </c>
      <c r="AC4176" s="2" t="s">
        <v>100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/>
      <c r="BJ4176" s="4">
        <v>581</v>
      </c>
      <c r="BK4176" s="8">
        <v>26502.92</v>
      </c>
      <c r="BL4176" s="2" t="s">
        <v>12692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207</v>
      </c>
      <c r="BV4176" s="2" t="s">
        <v>97</v>
      </c>
      <c r="BW4176" s="2" t="s">
        <v>100</v>
      </c>
      <c r="BX4176" s="2" t="s">
        <v>100</v>
      </c>
      <c r="BY4176" s="2" t="s">
        <v>113</v>
      </c>
      <c r="BZ4176" s="2" t="s">
        <v>245</v>
      </c>
    </row>
    <row r="4177">
      <c r="A4177" s="2" t="s">
        <v>12693</v>
      </c>
      <c r="B4177" s="2" t="s">
        <v>11863</v>
      </c>
      <c r="C4177" s="2" t="s">
        <v>3934</v>
      </c>
      <c r="D4177" s="2" t="s">
        <v>12649</v>
      </c>
      <c r="E4177" s="2" t="s">
        <v>12678</v>
      </c>
      <c r="F4177" s="2" t="s">
        <v>12683</v>
      </c>
      <c r="G4177" s="2" t="s">
        <v>12684</v>
      </c>
      <c r="H4177" s="2" t="s">
        <v>12685</v>
      </c>
      <c r="I4177" s="2" t="s">
        <v>12686</v>
      </c>
      <c r="J4177" s="2" t="s">
        <v>12687</v>
      </c>
      <c r="K4177" s="2" t="s">
        <v>1614</v>
      </c>
      <c r="L4177" s="3">
        <v>43.13</v>
      </c>
      <c r="M4177" s="3">
        <v>45.29</v>
      </c>
      <c r="N4177" s="3">
        <v>89.99</v>
      </c>
      <c r="O4177" s="2" t="s">
        <v>97</v>
      </c>
      <c r="P4177" s="2" t="s">
        <v>119</v>
      </c>
      <c r="Q4177" s="2" t="s">
        <v>99</v>
      </c>
      <c r="R4177" s="2" t="s">
        <v>100</v>
      </c>
      <c r="S4177" s="2" t="s">
        <v>12690</v>
      </c>
      <c r="T4177" s="2" t="s">
        <v>100</v>
      </c>
      <c r="U4177" s="2" t="s">
        <v>1847</v>
      </c>
      <c r="V4177" s="2" t="s">
        <v>146</v>
      </c>
      <c r="W4177" s="2" t="s">
        <v>183</v>
      </c>
      <c r="X4177" s="2" t="s">
        <v>100</v>
      </c>
      <c r="Y4177" s="2" t="s">
        <v>12691</v>
      </c>
      <c r="Z4177" s="4">
        <v>641</v>
      </c>
      <c r="AA4177" s="4">
        <f>=ROUNDDOWN(16.025,0)</f>
      </c>
      <c r="AB4177" s="5">
        <v>40</v>
      </c>
      <c r="AC4177" s="2" t="s">
        <v>768</v>
      </c>
      <c r="AD4177" s="4">
        <v>240</v>
      </c>
      <c r="AE4177" s="4">
        <v>860</v>
      </c>
      <c r="AF4177" s="6">
        <v>65</v>
      </c>
      <c r="AG4177" s="6"/>
      <c r="AH4177" s="7">
        <v>0.9465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/>
      <c r="BJ4177" s="4">
        <v>977</v>
      </c>
      <c r="BK4177" s="8">
        <v>43899.77</v>
      </c>
      <c r="BL4177" s="2" t="s">
        <v>12694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207</v>
      </c>
      <c r="BV4177" s="2" t="s">
        <v>97</v>
      </c>
      <c r="BW4177" s="2" t="s">
        <v>100</v>
      </c>
      <c r="BX4177" s="2" t="s">
        <v>100</v>
      </c>
      <c r="BY4177" s="2" t="s">
        <v>113</v>
      </c>
      <c r="BZ4177" s="2" t="s">
        <v>245</v>
      </c>
    </row>
    <row r="4178">
      <c r="A4178" s="2" t="s">
        <v>12695</v>
      </c>
      <c r="B4178" s="2" t="s">
        <v>11863</v>
      </c>
      <c r="C4178" s="2" t="s">
        <v>2850</v>
      </c>
      <c r="D4178" s="2" t="s">
        <v>2605</v>
      </c>
      <c r="E4178" s="2" t="s">
        <v>2606</v>
      </c>
      <c r="F4178" s="2" t="s">
        <v>12696</v>
      </c>
      <c r="G4178" s="2" t="s">
        <v>12697</v>
      </c>
      <c r="H4178" s="2" t="s">
        <v>12698</v>
      </c>
      <c r="I4178" s="2" t="s">
        <v>12699</v>
      </c>
      <c r="J4178" s="2" t="s">
        <v>12074</v>
      </c>
      <c r="K4178" s="2" t="s">
        <v>12700</v>
      </c>
      <c r="L4178" s="3">
        <v>25.6</v>
      </c>
      <c r="M4178" s="3">
        <v>26.88</v>
      </c>
      <c r="N4178" s="3">
        <v>59.99</v>
      </c>
      <c r="O4178" s="2" t="s">
        <v>97</v>
      </c>
      <c r="P4178" s="2" t="s">
        <v>225</v>
      </c>
      <c r="Q4178" s="2" t="s">
        <v>99</v>
      </c>
      <c r="R4178" s="2" t="s">
        <v>100</v>
      </c>
      <c r="S4178" s="2" t="s">
        <v>12701</v>
      </c>
      <c r="T4178" s="2" t="s">
        <v>100</v>
      </c>
      <c r="U4178" s="2" t="s">
        <v>514</v>
      </c>
      <c r="V4178" s="2" t="s">
        <v>2935</v>
      </c>
      <c r="W4178" s="2" t="s">
        <v>100</v>
      </c>
      <c r="X4178" s="2" t="s">
        <v>100</v>
      </c>
      <c r="Y4178" s="2" t="s">
        <v>3256</v>
      </c>
      <c r="Z4178" s="4">
        <v>234</v>
      </c>
      <c r="AA4178" s="4">
        <f>=ROUNDDOWN(4.03448275862069,0)</f>
      </c>
      <c r="AB4178" s="5">
        <v>58</v>
      </c>
      <c r="AC4178" s="2" t="s">
        <v>5658</v>
      </c>
      <c r="AD4178" s="4">
        <v>436</v>
      </c>
      <c r="AE4178" s="4">
        <v>1308</v>
      </c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/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/>
      <c r="BJ4178" s="4">
        <v>208</v>
      </c>
      <c r="BK4178" s="8">
        <v>6122.97</v>
      </c>
      <c r="BL4178" s="2" t="s">
        <v>12702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2528</v>
      </c>
      <c r="BV4178" s="2" t="s">
        <v>97</v>
      </c>
      <c r="BW4178" s="2" t="s">
        <v>100</v>
      </c>
      <c r="BX4178" s="2" t="s">
        <v>100</v>
      </c>
      <c r="BY4178" s="2" t="s">
        <v>113</v>
      </c>
      <c r="BZ4178" s="2" t="s">
        <v>100</v>
      </c>
    </row>
    <row r="4179">
      <c r="A4179" s="2" t="s">
        <v>12703</v>
      </c>
      <c r="B4179" s="2" t="s">
        <v>11863</v>
      </c>
      <c r="C4179" s="2" t="s">
        <v>2850</v>
      </c>
      <c r="D4179" s="2" t="s">
        <v>2605</v>
      </c>
      <c r="E4179" s="2" t="s">
        <v>2606</v>
      </c>
      <c r="F4179" s="2" t="s">
        <v>12696</v>
      </c>
      <c r="G4179" s="2" t="s">
        <v>12697</v>
      </c>
      <c r="H4179" s="2" t="s">
        <v>12698</v>
      </c>
      <c r="I4179" s="2" t="s">
        <v>12699</v>
      </c>
      <c r="J4179" s="2" t="s">
        <v>12078</v>
      </c>
      <c r="K4179" s="2" t="s">
        <v>12700</v>
      </c>
      <c r="L4179" s="3">
        <v>29.45</v>
      </c>
      <c r="M4179" s="3">
        <v>30.92</v>
      </c>
      <c r="N4179" s="3">
        <v>64.99</v>
      </c>
      <c r="O4179" s="2" t="s">
        <v>97</v>
      </c>
      <c r="P4179" s="2" t="s">
        <v>225</v>
      </c>
      <c r="Q4179" s="2" t="s">
        <v>99</v>
      </c>
      <c r="R4179" s="2" t="s">
        <v>100</v>
      </c>
      <c r="S4179" s="2" t="s">
        <v>12701</v>
      </c>
      <c r="T4179" s="2" t="s">
        <v>100</v>
      </c>
      <c r="U4179" s="2" t="s">
        <v>514</v>
      </c>
      <c r="V4179" s="2" t="s">
        <v>2935</v>
      </c>
      <c r="W4179" s="2" t="s">
        <v>100</v>
      </c>
      <c r="X4179" s="2" t="s">
        <v>100</v>
      </c>
      <c r="Y4179" s="2" t="s">
        <v>3256</v>
      </c>
      <c r="Z4179" s="4">
        <v>134</v>
      </c>
      <c r="AA4179" s="4">
        <f>=ROUNDDOWN(4.62068965517241,0)</f>
      </c>
      <c r="AB4179" s="5">
        <v>29</v>
      </c>
      <c r="AC4179" s="2" t="s">
        <v>5658</v>
      </c>
      <c r="AD4179" s="4">
        <v>224</v>
      </c>
      <c r="AE4179" s="4">
        <v>668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/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/>
      <c r="BJ4179" s="4">
        <v>90</v>
      </c>
      <c r="BK4179" s="8">
        <v>3048.3</v>
      </c>
      <c r="BL4179" s="2" t="s">
        <v>9565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2528</v>
      </c>
      <c r="BV4179" s="2" t="s">
        <v>97</v>
      </c>
      <c r="BW4179" s="2" t="s">
        <v>100</v>
      </c>
      <c r="BX4179" s="2" t="s">
        <v>100</v>
      </c>
      <c r="BY4179" s="2" t="s">
        <v>113</v>
      </c>
      <c r="BZ4179" s="2" t="s">
        <v>100</v>
      </c>
    </row>
    <row r="4180">
      <c r="A4180" s="2" t="s">
        <v>12704</v>
      </c>
      <c r="B4180" s="2" t="s">
        <v>11863</v>
      </c>
      <c r="C4180" s="2" t="s">
        <v>2850</v>
      </c>
      <c r="D4180" s="2" t="s">
        <v>2605</v>
      </c>
      <c r="E4180" s="2" t="s">
        <v>2606</v>
      </c>
      <c r="F4180" s="2" t="s">
        <v>2932</v>
      </c>
      <c r="G4180" s="2" t="s">
        <v>2932</v>
      </c>
      <c r="H4180" s="2" t="s">
        <v>2932</v>
      </c>
      <c r="I4180" s="2" t="s">
        <v>12705</v>
      </c>
      <c r="J4180" s="2" t="s">
        <v>11880</v>
      </c>
      <c r="K4180" s="2" t="s">
        <v>118</v>
      </c>
      <c r="L4180" s="3">
        <v>30</v>
      </c>
      <c r="M4180" s="3">
        <v>31.5</v>
      </c>
      <c r="N4180" s="3">
        <v>69.99</v>
      </c>
      <c r="O4180" s="2" t="s">
        <v>97</v>
      </c>
      <c r="P4180" s="2" t="s">
        <v>225</v>
      </c>
      <c r="Q4180" s="2" t="s">
        <v>99</v>
      </c>
      <c r="R4180" s="2" t="s">
        <v>100</v>
      </c>
      <c r="S4180" s="2" t="s">
        <v>100</v>
      </c>
      <c r="T4180" s="2" t="s">
        <v>280</v>
      </c>
      <c r="U4180" s="2" t="s">
        <v>1847</v>
      </c>
      <c r="V4180" s="2" t="s">
        <v>403</v>
      </c>
      <c r="W4180" s="2" t="s">
        <v>1580</v>
      </c>
      <c r="X4180" s="2" t="s">
        <v>12706</v>
      </c>
      <c r="Y4180" s="2" t="s">
        <v>222</v>
      </c>
      <c r="Z4180" s="4"/>
      <c r="AA4180" s="4">
        <f>=ROUNDDOWN({0},0)</f>
      </c>
      <c r="AB4180" s="5">
        <v>18</v>
      </c>
      <c r="AC4180" s="2" t="s">
        <v>542</v>
      </c>
      <c r="AD4180" s="4">
        <v>352</v>
      </c>
      <c r="AE4180" s="4">
        <v>352</v>
      </c>
      <c r="AF4180" s="6">
        <v>69</v>
      </c>
      <c r="AG4180" s="6"/>
      <c r="AH4180" s="7"/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/>
      <c r="BJ4180" s="4"/>
      <c r="BK4180" s="8"/>
      <c r="BL4180" s="2" t="s">
        <v>100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2528</v>
      </c>
      <c r="BV4180" s="2" t="s">
        <v>97</v>
      </c>
      <c r="BW4180" s="2" t="s">
        <v>100</v>
      </c>
      <c r="BX4180" s="2" t="s">
        <v>100</v>
      </c>
      <c r="BY4180" s="2" t="s">
        <v>113</v>
      </c>
      <c r="BZ4180" s="2" t="s">
        <v>100</v>
      </c>
    </row>
    <row r="4181">
      <c r="A4181" s="2" t="s">
        <v>12707</v>
      </c>
      <c r="B4181" s="2" t="s">
        <v>11863</v>
      </c>
      <c r="C4181" s="2" t="s">
        <v>2850</v>
      </c>
      <c r="D4181" s="2" t="s">
        <v>2605</v>
      </c>
      <c r="E4181" s="2" t="s">
        <v>2606</v>
      </c>
      <c r="F4181" s="2" t="s">
        <v>2932</v>
      </c>
      <c r="G4181" s="2" t="s">
        <v>2932</v>
      </c>
      <c r="H4181" s="2" t="s">
        <v>2932</v>
      </c>
      <c r="I4181" s="2" t="s">
        <v>12705</v>
      </c>
      <c r="J4181" s="2" t="s">
        <v>11868</v>
      </c>
      <c r="K4181" s="2" t="s">
        <v>432</v>
      </c>
      <c r="L4181" s="3">
        <v>24.75</v>
      </c>
      <c r="M4181" s="3">
        <v>25.99</v>
      </c>
      <c r="N4181" s="3">
        <v>59.99</v>
      </c>
      <c r="O4181" s="2" t="s">
        <v>97</v>
      </c>
      <c r="P4181" s="2" t="s">
        <v>119</v>
      </c>
      <c r="Q4181" s="2" t="s">
        <v>99</v>
      </c>
      <c r="R4181" s="2" t="s">
        <v>100</v>
      </c>
      <c r="S4181" s="2" t="s">
        <v>12708</v>
      </c>
      <c r="T4181" s="2" t="s">
        <v>280</v>
      </c>
      <c r="U4181" s="2" t="s">
        <v>1847</v>
      </c>
      <c r="V4181" s="2" t="s">
        <v>403</v>
      </c>
      <c r="W4181" s="2" t="s">
        <v>1580</v>
      </c>
      <c r="X4181" s="2" t="s">
        <v>11870</v>
      </c>
      <c r="Y4181" s="2" t="s">
        <v>7237</v>
      </c>
      <c r="Z4181" s="4">
        <v>1181</v>
      </c>
      <c r="AA4181" s="4">
        <f>=ROUNDDOWN(23.62,0)</f>
      </c>
      <c r="AB4181" s="5">
        <v>50</v>
      </c>
      <c r="AC4181" s="2" t="s">
        <v>5126</v>
      </c>
      <c r="AD4181" s="4">
        <v>400</v>
      </c>
      <c r="AE4181" s="4">
        <v>800</v>
      </c>
      <c r="AF4181" s="6">
        <v>69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/>
      <c r="BJ4181" s="4">
        <v>906</v>
      </c>
      <c r="BK4181" s="8">
        <v>24954</v>
      </c>
      <c r="BL4181" s="2" t="s">
        <v>12709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2528</v>
      </c>
      <c r="BV4181" s="2" t="s">
        <v>97</v>
      </c>
      <c r="BW4181" s="2" t="s">
        <v>100</v>
      </c>
      <c r="BX4181" s="2" t="s">
        <v>100</v>
      </c>
      <c r="BY4181" s="2" t="s">
        <v>113</v>
      </c>
      <c r="BZ4181" s="2" t="s">
        <v>245</v>
      </c>
    </row>
    <row r="4182">
      <c r="A4182" s="2" t="s">
        <v>12710</v>
      </c>
      <c r="B4182" s="2" t="s">
        <v>11863</v>
      </c>
      <c r="C4182" s="2" t="s">
        <v>2850</v>
      </c>
      <c r="D4182" s="2" t="s">
        <v>2605</v>
      </c>
      <c r="E4182" s="2" t="s">
        <v>2606</v>
      </c>
      <c r="F4182" s="2" t="s">
        <v>2932</v>
      </c>
      <c r="G4182" s="2" t="s">
        <v>2932</v>
      </c>
      <c r="H4182" s="2" t="s">
        <v>2932</v>
      </c>
      <c r="I4182" s="2" t="s">
        <v>12705</v>
      </c>
      <c r="J4182" s="2" t="s">
        <v>11868</v>
      </c>
      <c r="K4182" s="2" t="s">
        <v>1148</v>
      </c>
      <c r="L4182" s="3">
        <v>24.75</v>
      </c>
      <c r="M4182" s="3">
        <v>25.99</v>
      </c>
      <c r="N4182" s="3">
        <v>59.99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5751</v>
      </c>
      <c r="T4182" s="2" t="s">
        <v>280</v>
      </c>
      <c r="U4182" s="2" t="s">
        <v>1847</v>
      </c>
      <c r="V4182" s="2" t="s">
        <v>403</v>
      </c>
      <c r="W4182" s="2" t="s">
        <v>1580</v>
      </c>
      <c r="X4182" s="2" t="s">
        <v>11870</v>
      </c>
      <c r="Y4182" s="2" t="s">
        <v>12084</v>
      </c>
      <c r="Z4182" s="4">
        <v>1472</v>
      </c>
      <c r="AA4182" s="4">
        <f>=ROUNDDOWN(18.8717948717949,0)</f>
      </c>
      <c r="AB4182" s="5">
        <v>78</v>
      </c>
      <c r="AC4182" s="2" t="s">
        <v>542</v>
      </c>
      <c r="AD4182" s="4">
        <v>400</v>
      </c>
      <c r="AE4182" s="4">
        <v>1420</v>
      </c>
      <c r="AF4182" s="6">
        <v>69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/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/>
      <c r="BJ4182" s="4">
        <v>2207</v>
      </c>
      <c r="BK4182" s="8">
        <v>58827.83</v>
      </c>
      <c r="BL4182" s="2" t="s">
        <v>12711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2528</v>
      </c>
      <c r="BV4182" s="2" t="s">
        <v>97</v>
      </c>
      <c r="BW4182" s="2" t="s">
        <v>100</v>
      </c>
      <c r="BX4182" s="2" t="s">
        <v>100</v>
      </c>
      <c r="BY4182" s="2" t="s">
        <v>113</v>
      </c>
      <c r="BZ4182" s="2" t="s">
        <v>245</v>
      </c>
    </row>
    <row r="4183">
      <c r="A4183" s="2" t="s">
        <v>12712</v>
      </c>
      <c r="B4183" s="2" t="s">
        <v>11863</v>
      </c>
      <c r="C4183" s="2" t="s">
        <v>2850</v>
      </c>
      <c r="D4183" s="2" t="s">
        <v>2605</v>
      </c>
      <c r="E4183" s="2" t="s">
        <v>2606</v>
      </c>
      <c r="F4183" s="2" t="s">
        <v>2932</v>
      </c>
      <c r="G4183" s="2" t="s">
        <v>2932</v>
      </c>
      <c r="H4183" s="2" t="s">
        <v>2932</v>
      </c>
      <c r="I4183" s="2" t="s">
        <v>12705</v>
      </c>
      <c r="J4183" s="2" t="s">
        <v>11878</v>
      </c>
      <c r="K4183" s="2" t="s">
        <v>1148</v>
      </c>
      <c r="L4183" s="3">
        <v>28</v>
      </c>
      <c r="M4183" s="3">
        <v>29.4</v>
      </c>
      <c r="N4183" s="3">
        <v>64.99</v>
      </c>
      <c r="O4183" s="2" t="s">
        <v>97</v>
      </c>
      <c r="P4183" s="2" t="s">
        <v>119</v>
      </c>
      <c r="Q4183" s="2" t="s">
        <v>99</v>
      </c>
      <c r="R4183" s="2" t="s">
        <v>100</v>
      </c>
      <c r="S4183" s="2" t="s">
        <v>5751</v>
      </c>
      <c r="T4183" s="2" t="s">
        <v>280</v>
      </c>
      <c r="U4183" s="2" t="s">
        <v>1847</v>
      </c>
      <c r="V4183" s="2" t="s">
        <v>403</v>
      </c>
      <c r="W4183" s="2" t="s">
        <v>1580</v>
      </c>
      <c r="X4183" s="2" t="s">
        <v>11870</v>
      </c>
      <c r="Y4183" s="2" t="s">
        <v>6633</v>
      </c>
      <c r="Z4183" s="4">
        <v>709</v>
      </c>
      <c r="AA4183" s="4">
        <f>=ROUNDDOWN(39.3888888888889,0)</f>
      </c>
      <c r="AB4183" s="5">
        <v>18</v>
      </c>
      <c r="AC4183" s="2" t="s">
        <v>2618</v>
      </c>
      <c r="AD4183" s="4">
        <v>160</v>
      </c>
      <c r="AE4183" s="4">
        <v>160</v>
      </c>
      <c r="AF4183" s="6">
        <v>69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/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/>
      <c r="BJ4183" s="4">
        <v>423</v>
      </c>
      <c r="BK4183" s="8">
        <v>13110.08</v>
      </c>
      <c r="BL4183" s="2" t="s">
        <v>12713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2528</v>
      </c>
      <c r="BV4183" s="2" t="s">
        <v>97</v>
      </c>
      <c r="BW4183" s="2" t="s">
        <v>100</v>
      </c>
      <c r="BX4183" s="2" t="s">
        <v>100</v>
      </c>
      <c r="BY4183" s="2" t="s">
        <v>113</v>
      </c>
      <c r="BZ4183" s="2" t="s">
        <v>245</v>
      </c>
    </row>
    <row r="4184">
      <c r="A4184" s="2" t="s">
        <v>12714</v>
      </c>
      <c r="B4184" s="2" t="s">
        <v>11863</v>
      </c>
      <c r="C4184" s="2" t="s">
        <v>2850</v>
      </c>
      <c r="D4184" s="2" t="s">
        <v>2605</v>
      </c>
      <c r="E4184" s="2" t="s">
        <v>2606</v>
      </c>
      <c r="F4184" s="2" t="s">
        <v>2932</v>
      </c>
      <c r="G4184" s="2" t="s">
        <v>2932</v>
      </c>
      <c r="H4184" s="2" t="s">
        <v>2932</v>
      </c>
      <c r="I4184" s="2" t="s">
        <v>12705</v>
      </c>
      <c r="J4184" s="2" t="s">
        <v>11868</v>
      </c>
      <c r="K4184" s="2" t="s">
        <v>278</v>
      </c>
      <c r="L4184" s="3">
        <v>24.75</v>
      </c>
      <c r="M4184" s="3">
        <v>25.99</v>
      </c>
      <c r="N4184" s="3">
        <v>59.99</v>
      </c>
      <c r="O4184" s="2" t="s">
        <v>97</v>
      </c>
      <c r="P4184" s="2" t="s">
        <v>2478</v>
      </c>
      <c r="Q4184" s="2" t="s">
        <v>99</v>
      </c>
      <c r="R4184" s="2" t="s">
        <v>100</v>
      </c>
      <c r="S4184" s="2" t="s">
        <v>100</v>
      </c>
      <c r="T4184" s="2" t="s">
        <v>280</v>
      </c>
      <c r="U4184" s="2" t="s">
        <v>1847</v>
      </c>
      <c r="V4184" s="2" t="s">
        <v>403</v>
      </c>
      <c r="W4184" s="2" t="s">
        <v>12715</v>
      </c>
      <c r="X4184" s="2" t="s">
        <v>11870</v>
      </c>
      <c r="Y4184" s="2" t="s">
        <v>100</v>
      </c>
      <c r="Z4184" s="4"/>
      <c r="AA4184" s="4">
        <f>=ROUNDDOWN({0},0)</f>
      </c>
      <c r="AB4184" s="5"/>
      <c r="AC4184" s="2" t="s">
        <v>1259</v>
      </c>
      <c r="AD4184" s="4">
        <v>960</v>
      </c>
      <c r="AE4184" s="4">
        <v>960</v>
      </c>
      <c r="AF4184" s="6"/>
      <c r="AG4184" s="6"/>
      <c r="AH4184" s="7"/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100</v>
      </c>
      <c r="AW4184" s="8" t="s">
        <v>100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/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/>
      <c r="BJ4184" s="4"/>
      <c r="BK4184" s="8"/>
      <c r="BL4184" s="2" t="s">
        <v>100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2528</v>
      </c>
      <c r="BV4184" s="2" t="s">
        <v>97</v>
      </c>
      <c r="BW4184" s="2" t="s">
        <v>100</v>
      </c>
      <c r="BX4184" s="2" t="s">
        <v>100</v>
      </c>
      <c r="BY4184" s="2" t="s">
        <v>113</v>
      </c>
      <c r="BZ4184" s="2" t="s">
        <v>100</v>
      </c>
    </row>
    <row r="4185">
      <c r="A4185" s="2" t="s">
        <v>12716</v>
      </c>
      <c r="B4185" s="2" t="s">
        <v>11863</v>
      </c>
      <c r="C4185" s="2" t="s">
        <v>2850</v>
      </c>
      <c r="D4185" s="2" t="s">
        <v>2605</v>
      </c>
      <c r="E4185" s="2" t="s">
        <v>2606</v>
      </c>
      <c r="F4185" s="2" t="s">
        <v>2932</v>
      </c>
      <c r="G4185" s="2" t="s">
        <v>2932</v>
      </c>
      <c r="H4185" s="2" t="s">
        <v>2932</v>
      </c>
      <c r="I4185" s="2" t="s">
        <v>12705</v>
      </c>
      <c r="J4185" s="2" t="s">
        <v>11878</v>
      </c>
      <c r="K4185" s="2" t="s">
        <v>278</v>
      </c>
      <c r="L4185" s="3">
        <v>28</v>
      </c>
      <c r="M4185" s="3">
        <v>29.4</v>
      </c>
      <c r="N4185" s="3">
        <v>64.99</v>
      </c>
      <c r="O4185" s="2" t="s">
        <v>97</v>
      </c>
      <c r="P4185" s="2" t="s">
        <v>2478</v>
      </c>
      <c r="Q4185" s="2" t="s">
        <v>99</v>
      </c>
      <c r="R4185" s="2" t="s">
        <v>100</v>
      </c>
      <c r="S4185" s="2" t="s">
        <v>100</v>
      </c>
      <c r="T4185" s="2" t="s">
        <v>280</v>
      </c>
      <c r="U4185" s="2" t="s">
        <v>1847</v>
      </c>
      <c r="V4185" s="2" t="s">
        <v>403</v>
      </c>
      <c r="W4185" s="2" t="s">
        <v>12715</v>
      </c>
      <c r="X4185" s="2" t="s">
        <v>11870</v>
      </c>
      <c r="Y4185" s="2" t="s">
        <v>100</v>
      </c>
      <c r="Z4185" s="4"/>
      <c r="AA4185" s="4">
        <f>=ROUNDDOWN({0},0)</f>
      </c>
      <c r="AB4185" s="5"/>
      <c r="AC4185" s="2" t="s">
        <v>1259</v>
      </c>
      <c r="AD4185" s="4">
        <v>768</v>
      </c>
      <c r="AE4185" s="4">
        <v>768</v>
      </c>
      <c r="AF4185" s="6"/>
      <c r="AG4185" s="6"/>
      <c r="AH4185" s="7"/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/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/>
      <c r="BJ4185" s="4"/>
      <c r="BK4185" s="8"/>
      <c r="BL4185" s="2" t="s">
        <v>100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2528</v>
      </c>
      <c r="BV4185" s="2" t="s">
        <v>97</v>
      </c>
      <c r="BW4185" s="2" t="s">
        <v>100</v>
      </c>
      <c r="BX4185" s="2" t="s">
        <v>100</v>
      </c>
      <c r="BY4185" s="2" t="s">
        <v>113</v>
      </c>
      <c r="BZ4185" s="2" t="s">
        <v>100</v>
      </c>
    </row>
    <row r="4186">
      <c r="A4186" s="2" t="s">
        <v>12717</v>
      </c>
      <c r="B4186" s="2" t="s">
        <v>11863</v>
      </c>
      <c r="C4186" s="2" t="s">
        <v>2850</v>
      </c>
      <c r="D4186" s="2" t="s">
        <v>2605</v>
      </c>
      <c r="E4186" s="2" t="s">
        <v>2606</v>
      </c>
      <c r="F4186" s="2" t="s">
        <v>2932</v>
      </c>
      <c r="G4186" s="2" t="s">
        <v>2932</v>
      </c>
      <c r="H4186" s="2" t="s">
        <v>2932</v>
      </c>
      <c r="I4186" s="2" t="s">
        <v>12705</v>
      </c>
      <c r="J4186" s="2" t="s">
        <v>11880</v>
      </c>
      <c r="K4186" s="2" t="s">
        <v>278</v>
      </c>
      <c r="L4186" s="3">
        <v>30</v>
      </c>
      <c r="M4186" s="3">
        <v>31.5</v>
      </c>
      <c r="N4186" s="3">
        <v>69.99</v>
      </c>
      <c r="O4186" s="2" t="s">
        <v>97</v>
      </c>
      <c r="P4186" s="2" t="s">
        <v>2478</v>
      </c>
      <c r="Q4186" s="2" t="s">
        <v>99</v>
      </c>
      <c r="R4186" s="2" t="s">
        <v>100</v>
      </c>
      <c r="S4186" s="2" t="s">
        <v>100</v>
      </c>
      <c r="T4186" s="2" t="s">
        <v>280</v>
      </c>
      <c r="U4186" s="2" t="s">
        <v>1847</v>
      </c>
      <c r="V4186" s="2" t="s">
        <v>403</v>
      </c>
      <c r="W4186" s="2" t="s">
        <v>12715</v>
      </c>
      <c r="X4186" s="2" t="s">
        <v>11870</v>
      </c>
      <c r="Y4186" s="2" t="s">
        <v>100</v>
      </c>
      <c r="Z4186" s="4"/>
      <c r="AA4186" s="4">
        <f>=ROUNDDOWN({0},0)</f>
      </c>
      <c r="AB4186" s="5"/>
      <c r="AC4186" s="2" t="s">
        <v>100</v>
      </c>
      <c r="AD4186" s="4"/>
      <c r="AE4186" s="4"/>
      <c r="AF4186" s="6"/>
      <c r="AG4186" s="6"/>
      <c r="AH4186" s="7"/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/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/>
      <c r="BJ4186" s="4"/>
      <c r="BK4186" s="8"/>
      <c r="BL4186" s="2" t="s">
        <v>100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2528</v>
      </c>
      <c r="BV4186" s="2" t="s">
        <v>97</v>
      </c>
      <c r="BW4186" s="2" t="s">
        <v>100</v>
      </c>
      <c r="BX4186" s="2" t="s">
        <v>100</v>
      </c>
      <c r="BY4186" s="2" t="s">
        <v>113</v>
      </c>
      <c r="BZ4186" s="2" t="s">
        <v>100</v>
      </c>
    </row>
    <row r="4187">
      <c r="A4187" s="2" t="s">
        <v>12718</v>
      </c>
      <c r="B4187" s="2" t="s">
        <v>11863</v>
      </c>
      <c r="C4187" s="2" t="s">
        <v>2850</v>
      </c>
      <c r="D4187" s="2" t="s">
        <v>2605</v>
      </c>
      <c r="E4187" s="2" t="s">
        <v>2606</v>
      </c>
      <c r="F4187" s="2" t="s">
        <v>2932</v>
      </c>
      <c r="G4187" s="2" t="s">
        <v>2932</v>
      </c>
      <c r="H4187" s="2" t="s">
        <v>2932</v>
      </c>
      <c r="I4187" s="2" t="s">
        <v>12705</v>
      </c>
      <c r="J4187" s="2" t="s">
        <v>11868</v>
      </c>
      <c r="K4187" s="2" t="s">
        <v>1614</v>
      </c>
      <c r="L4187" s="3">
        <v>24.75</v>
      </c>
      <c r="M4187" s="3">
        <v>25.99</v>
      </c>
      <c r="N4187" s="3">
        <v>59.99</v>
      </c>
      <c r="O4187" s="2" t="s">
        <v>97</v>
      </c>
      <c r="P4187" s="2" t="s">
        <v>307</v>
      </c>
      <c r="Q4187" s="2" t="s">
        <v>99</v>
      </c>
      <c r="R4187" s="2" t="s">
        <v>100</v>
      </c>
      <c r="S4187" s="2" t="s">
        <v>100</v>
      </c>
      <c r="T4187" s="2" t="s">
        <v>280</v>
      </c>
      <c r="U4187" s="2" t="s">
        <v>1847</v>
      </c>
      <c r="V4187" s="2" t="s">
        <v>403</v>
      </c>
      <c r="W4187" s="2" t="s">
        <v>1580</v>
      </c>
      <c r="X4187" s="2" t="s">
        <v>11870</v>
      </c>
      <c r="Y4187" s="2" t="s">
        <v>12084</v>
      </c>
      <c r="Z4187" s="4">
        <v>6775</v>
      </c>
      <c r="AA4187" s="4">
        <f>=ROUNDDOWN(7.59529147982063,0)</f>
      </c>
      <c r="AB4187" s="5">
        <v>892</v>
      </c>
      <c r="AC4187" s="2" t="s">
        <v>542</v>
      </c>
      <c r="AD4187" s="4">
        <v>3200</v>
      </c>
      <c r="AE4187" s="4">
        <v>12800</v>
      </c>
      <c r="AF4187" s="6">
        <v>69</v>
      </c>
      <c r="AG4187" s="6"/>
      <c r="AH4187" s="7">
        <v>0.9198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/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/>
      <c r="BJ4187" s="4">
        <v>20419</v>
      </c>
      <c r="BK4187" s="8">
        <v>544274.05</v>
      </c>
      <c r="BL4187" s="2" t="s">
        <v>12719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2528</v>
      </c>
      <c r="BV4187" s="2" t="s">
        <v>97</v>
      </c>
      <c r="BW4187" s="2" t="s">
        <v>100</v>
      </c>
      <c r="BX4187" s="2" t="s">
        <v>100</v>
      </c>
      <c r="BY4187" s="2" t="s">
        <v>113</v>
      </c>
      <c r="BZ4187" s="2" t="s">
        <v>245</v>
      </c>
    </row>
    <row r="4188">
      <c r="A4188" s="2" t="s">
        <v>12720</v>
      </c>
      <c r="B4188" s="2" t="s">
        <v>11863</v>
      </c>
      <c r="C4188" s="2" t="s">
        <v>2850</v>
      </c>
      <c r="D4188" s="2" t="s">
        <v>2605</v>
      </c>
      <c r="E4188" s="2" t="s">
        <v>2606</v>
      </c>
      <c r="F4188" s="2" t="s">
        <v>2932</v>
      </c>
      <c r="G4188" s="2" t="s">
        <v>2932</v>
      </c>
      <c r="H4188" s="2" t="s">
        <v>2932</v>
      </c>
      <c r="I4188" s="2" t="s">
        <v>12705</v>
      </c>
      <c r="J4188" s="2" t="s">
        <v>11878</v>
      </c>
      <c r="K4188" s="2" t="s">
        <v>1614</v>
      </c>
      <c r="L4188" s="3">
        <v>28</v>
      </c>
      <c r="M4188" s="3">
        <v>29.4</v>
      </c>
      <c r="N4188" s="3">
        <v>64.99</v>
      </c>
      <c r="O4188" s="2" t="s">
        <v>97</v>
      </c>
      <c r="P4188" s="2" t="s">
        <v>307</v>
      </c>
      <c r="Q4188" s="2" t="s">
        <v>99</v>
      </c>
      <c r="R4188" s="2" t="s">
        <v>100</v>
      </c>
      <c r="S4188" s="2" t="s">
        <v>5755</v>
      </c>
      <c r="T4188" s="2" t="s">
        <v>280</v>
      </c>
      <c r="U4188" s="2" t="s">
        <v>1847</v>
      </c>
      <c r="V4188" s="2" t="s">
        <v>403</v>
      </c>
      <c r="W4188" s="2" t="s">
        <v>1580</v>
      </c>
      <c r="X4188" s="2" t="s">
        <v>11870</v>
      </c>
      <c r="Y4188" s="2" t="s">
        <v>1195</v>
      </c>
      <c r="Z4188" s="4">
        <v>2214</v>
      </c>
      <c r="AA4188" s="4">
        <f>=ROUNDDOWN(8.48275862068965,0)</f>
      </c>
      <c r="AB4188" s="5">
        <v>261</v>
      </c>
      <c r="AC4188" s="2" t="s">
        <v>1728</v>
      </c>
      <c r="AD4188" s="4">
        <v>1400</v>
      </c>
      <c r="AE4188" s="4">
        <v>7000</v>
      </c>
      <c r="AF4188" s="6">
        <v>69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/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/>
      <c r="BJ4188" s="4">
        <v>6838</v>
      </c>
      <c r="BK4188" s="8">
        <v>204469.24</v>
      </c>
      <c r="BL4188" s="2" t="s">
        <v>12721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2480</v>
      </c>
      <c r="BV4188" s="2" t="s">
        <v>97</v>
      </c>
      <c r="BW4188" s="2" t="s">
        <v>100</v>
      </c>
      <c r="BX4188" s="2" t="s">
        <v>100</v>
      </c>
      <c r="BY4188" s="2" t="s">
        <v>113</v>
      </c>
      <c r="BZ4188" s="2" t="s">
        <v>245</v>
      </c>
    </row>
    <row r="4189">
      <c r="A4189" s="2" t="s">
        <v>12722</v>
      </c>
      <c r="B4189" s="2" t="s">
        <v>11863</v>
      </c>
      <c r="C4189" s="2" t="s">
        <v>2850</v>
      </c>
      <c r="D4189" s="2" t="s">
        <v>2605</v>
      </c>
      <c r="E4189" s="2" t="s">
        <v>2606</v>
      </c>
      <c r="F4189" s="2" t="s">
        <v>2932</v>
      </c>
      <c r="G4189" s="2" t="s">
        <v>2932</v>
      </c>
      <c r="H4189" s="2" t="s">
        <v>2932</v>
      </c>
      <c r="I4189" s="2" t="s">
        <v>12705</v>
      </c>
      <c r="J4189" s="2" t="s">
        <v>11880</v>
      </c>
      <c r="K4189" s="2" t="s">
        <v>1614</v>
      </c>
      <c r="L4189" s="3">
        <v>30</v>
      </c>
      <c r="M4189" s="3">
        <v>31.5</v>
      </c>
      <c r="N4189" s="3">
        <v>69.99</v>
      </c>
      <c r="O4189" s="2" t="s">
        <v>97</v>
      </c>
      <c r="P4189" s="2" t="s">
        <v>225</v>
      </c>
      <c r="Q4189" s="2" t="s">
        <v>99</v>
      </c>
      <c r="R4189" s="2" t="s">
        <v>100</v>
      </c>
      <c r="S4189" s="2" t="s">
        <v>100</v>
      </c>
      <c r="T4189" s="2" t="s">
        <v>280</v>
      </c>
      <c r="U4189" s="2" t="s">
        <v>1847</v>
      </c>
      <c r="V4189" s="2" t="s">
        <v>403</v>
      </c>
      <c r="W4189" s="2" t="s">
        <v>1580</v>
      </c>
      <c r="X4189" s="2" t="s">
        <v>12706</v>
      </c>
      <c r="Y4189" s="2" t="s">
        <v>222</v>
      </c>
      <c r="Z4189" s="4"/>
      <c r="AA4189" s="4">
        <f>=ROUNDDOWN({0},0)</f>
      </c>
      <c r="AB4189" s="5">
        <v>18</v>
      </c>
      <c r="AC4189" s="2" t="s">
        <v>542</v>
      </c>
      <c r="AD4189" s="4">
        <v>352</v>
      </c>
      <c r="AE4189" s="4">
        <v>352</v>
      </c>
      <c r="AF4189" s="6">
        <v>69</v>
      </c>
      <c r="AG4189" s="6"/>
      <c r="AH4189" s="7"/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/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/>
      <c r="BJ4189" s="4"/>
      <c r="BK4189" s="8"/>
      <c r="BL4189" s="2" t="s">
        <v>100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2528</v>
      </c>
      <c r="BV4189" s="2" t="s">
        <v>97</v>
      </c>
      <c r="BW4189" s="2" t="s">
        <v>100</v>
      </c>
      <c r="BX4189" s="2" t="s">
        <v>100</v>
      </c>
      <c r="BY4189" s="2" t="s">
        <v>113</v>
      </c>
      <c r="BZ4189" s="2" t="s">
        <v>100</v>
      </c>
    </row>
    <row r="4190">
      <c r="A4190" s="2" t="s">
        <v>12723</v>
      </c>
      <c r="B4190" s="2" t="s">
        <v>11863</v>
      </c>
      <c r="C4190" s="2" t="s">
        <v>2850</v>
      </c>
      <c r="D4190" s="2" t="s">
        <v>2605</v>
      </c>
      <c r="E4190" s="2" t="s">
        <v>2606</v>
      </c>
      <c r="F4190" s="2" t="s">
        <v>2932</v>
      </c>
      <c r="G4190" s="2" t="s">
        <v>2932</v>
      </c>
      <c r="H4190" s="2" t="s">
        <v>2932</v>
      </c>
      <c r="I4190" s="2" t="s">
        <v>12705</v>
      </c>
      <c r="J4190" s="2" t="s">
        <v>11868</v>
      </c>
      <c r="K4190" s="2" t="s">
        <v>2951</v>
      </c>
      <c r="L4190" s="3">
        <v>24.75</v>
      </c>
      <c r="M4190" s="3">
        <v>25.99</v>
      </c>
      <c r="N4190" s="3">
        <v>59.99</v>
      </c>
      <c r="O4190" s="2" t="s">
        <v>97</v>
      </c>
      <c r="P4190" s="2" t="s">
        <v>372</v>
      </c>
      <c r="Q4190" s="2" t="s">
        <v>99</v>
      </c>
      <c r="R4190" s="2" t="s">
        <v>100</v>
      </c>
      <c r="S4190" s="2" t="s">
        <v>2952</v>
      </c>
      <c r="T4190" s="2" t="s">
        <v>280</v>
      </c>
      <c r="U4190" s="2" t="s">
        <v>1847</v>
      </c>
      <c r="V4190" s="2" t="s">
        <v>403</v>
      </c>
      <c r="W4190" s="2" t="s">
        <v>1580</v>
      </c>
      <c r="X4190" s="2" t="s">
        <v>11870</v>
      </c>
      <c r="Y4190" s="2" t="s">
        <v>6633</v>
      </c>
      <c r="Z4190" s="4">
        <v>1183</v>
      </c>
      <c r="AA4190" s="4">
        <f>=ROUNDDOWN(12.8586956521739,0)</f>
      </c>
      <c r="AB4190" s="5">
        <v>92</v>
      </c>
      <c r="AC4190" s="2" t="s">
        <v>542</v>
      </c>
      <c r="AD4190" s="4">
        <v>500</v>
      </c>
      <c r="AE4190" s="4">
        <v>1580</v>
      </c>
      <c r="AF4190" s="6">
        <v>69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/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/>
      <c r="BJ4190" s="4">
        <v>2357</v>
      </c>
      <c r="BK4190" s="8">
        <v>64983.32</v>
      </c>
      <c r="BL4190" s="2" t="s">
        <v>12724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2528</v>
      </c>
      <c r="BV4190" s="2" t="s">
        <v>97</v>
      </c>
      <c r="BW4190" s="2" t="s">
        <v>100</v>
      </c>
      <c r="BX4190" s="2" t="s">
        <v>100</v>
      </c>
      <c r="BY4190" s="2" t="s">
        <v>113</v>
      </c>
      <c r="BZ4190" s="2" t="s">
        <v>245</v>
      </c>
    </row>
    <row r="4191">
      <c r="A4191" s="2" t="s">
        <v>12725</v>
      </c>
      <c r="B4191" s="2" t="s">
        <v>11863</v>
      </c>
      <c r="C4191" s="2" t="s">
        <v>2850</v>
      </c>
      <c r="D4191" s="2" t="s">
        <v>2605</v>
      </c>
      <c r="E4191" s="2" t="s">
        <v>2606</v>
      </c>
      <c r="F4191" s="2" t="s">
        <v>2932</v>
      </c>
      <c r="G4191" s="2" t="s">
        <v>2932</v>
      </c>
      <c r="H4191" s="2" t="s">
        <v>2932</v>
      </c>
      <c r="I4191" s="2" t="s">
        <v>12705</v>
      </c>
      <c r="J4191" s="2" t="s">
        <v>11878</v>
      </c>
      <c r="K4191" s="2" t="s">
        <v>2951</v>
      </c>
      <c r="L4191" s="3">
        <v>28</v>
      </c>
      <c r="M4191" s="3">
        <v>29.4</v>
      </c>
      <c r="N4191" s="3">
        <v>64.99</v>
      </c>
      <c r="O4191" s="2" t="s">
        <v>97</v>
      </c>
      <c r="P4191" s="2" t="s">
        <v>950</v>
      </c>
      <c r="Q4191" s="2" t="s">
        <v>99</v>
      </c>
      <c r="R4191" s="2" t="s">
        <v>100</v>
      </c>
      <c r="S4191" s="2" t="s">
        <v>2952</v>
      </c>
      <c r="T4191" s="2" t="s">
        <v>280</v>
      </c>
      <c r="U4191" s="2" t="s">
        <v>1847</v>
      </c>
      <c r="V4191" s="2" t="s">
        <v>403</v>
      </c>
      <c r="W4191" s="2" t="s">
        <v>1580</v>
      </c>
      <c r="X4191" s="2" t="s">
        <v>11870</v>
      </c>
      <c r="Y4191" s="2" t="s">
        <v>6633</v>
      </c>
      <c r="Z4191" s="4">
        <v>543</v>
      </c>
      <c r="AA4191" s="4">
        <f>=ROUNDDOWN(12.3409090909091,0)</f>
      </c>
      <c r="AB4191" s="5">
        <v>44</v>
      </c>
      <c r="AC4191" s="2" t="s">
        <v>542</v>
      </c>
      <c r="AD4191" s="4">
        <v>100</v>
      </c>
      <c r="AE4191" s="4">
        <v>600</v>
      </c>
      <c r="AF4191" s="6">
        <v>69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/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/>
      <c r="BJ4191" s="4">
        <v>973</v>
      </c>
      <c r="BK4191" s="8">
        <v>27737.79</v>
      </c>
      <c r="BL4191" s="2" t="s">
        <v>12726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2480</v>
      </c>
      <c r="BV4191" s="2" t="s">
        <v>97</v>
      </c>
      <c r="BW4191" s="2" t="s">
        <v>100</v>
      </c>
      <c r="BX4191" s="2" t="s">
        <v>100</v>
      </c>
      <c r="BY4191" s="2" t="s">
        <v>113</v>
      </c>
      <c r="BZ4191" s="2" t="s">
        <v>245</v>
      </c>
    </row>
    <row r="4192">
      <c r="A4192" s="2" t="s">
        <v>12727</v>
      </c>
      <c r="B4192" s="2" t="s">
        <v>11863</v>
      </c>
      <c r="C4192" s="2" t="s">
        <v>2850</v>
      </c>
      <c r="D4192" s="2" t="s">
        <v>2605</v>
      </c>
      <c r="E4192" s="2" t="s">
        <v>2606</v>
      </c>
      <c r="F4192" s="2" t="s">
        <v>2985</v>
      </c>
      <c r="G4192" s="2" t="s">
        <v>2985</v>
      </c>
      <c r="H4192" s="2" t="s">
        <v>2985</v>
      </c>
      <c r="I4192" s="2" t="s">
        <v>12728</v>
      </c>
      <c r="J4192" s="2" t="s">
        <v>11868</v>
      </c>
      <c r="K4192" s="2" t="s">
        <v>360</v>
      </c>
      <c r="L4192" s="3">
        <v>22.5</v>
      </c>
      <c r="M4192" s="3">
        <v>23.62</v>
      </c>
      <c r="N4192" s="3">
        <v>49.99</v>
      </c>
      <c r="O4192" s="2" t="s">
        <v>97</v>
      </c>
      <c r="P4192" s="2" t="s">
        <v>119</v>
      </c>
      <c r="Q4192" s="2" t="s">
        <v>99</v>
      </c>
      <c r="R4192" s="2" t="s">
        <v>100</v>
      </c>
      <c r="S4192" s="2" t="s">
        <v>2992</v>
      </c>
      <c r="T4192" s="2" t="s">
        <v>280</v>
      </c>
      <c r="U4192" s="2" t="s">
        <v>1847</v>
      </c>
      <c r="V4192" s="2" t="s">
        <v>319</v>
      </c>
      <c r="W4192" s="2" t="s">
        <v>2897</v>
      </c>
      <c r="X4192" s="2" t="s">
        <v>11870</v>
      </c>
      <c r="Y4192" s="2" t="s">
        <v>12729</v>
      </c>
      <c r="Z4192" s="4">
        <v>227</v>
      </c>
      <c r="AA4192" s="4">
        <f>=ROUNDDOWN(9.45833333333333,0)</f>
      </c>
      <c r="AB4192" s="5">
        <v>24</v>
      </c>
      <c r="AC4192" s="2" t="s">
        <v>977</v>
      </c>
      <c r="AD4192" s="4">
        <v>300</v>
      </c>
      <c r="AE4192" s="4">
        <v>600</v>
      </c>
      <c r="AF4192" s="6">
        <v>68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/>
      <c r="BJ4192" s="4">
        <v>581</v>
      </c>
      <c r="BK4192" s="8">
        <v>14761.63</v>
      </c>
      <c r="BL4192" s="2" t="s">
        <v>12730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2528</v>
      </c>
      <c r="BV4192" s="2" t="s">
        <v>97</v>
      </c>
      <c r="BW4192" s="2" t="s">
        <v>100</v>
      </c>
      <c r="BX4192" s="2" t="s">
        <v>100</v>
      </c>
      <c r="BY4192" s="2" t="s">
        <v>113</v>
      </c>
      <c r="BZ4192" s="2" t="s">
        <v>245</v>
      </c>
    </row>
    <row r="4193">
      <c r="A4193" s="2" t="s">
        <v>12731</v>
      </c>
      <c r="B4193" s="2" t="s">
        <v>11863</v>
      </c>
      <c r="C4193" s="2" t="s">
        <v>2850</v>
      </c>
      <c r="D4193" s="2" t="s">
        <v>2605</v>
      </c>
      <c r="E4193" s="2" t="s">
        <v>2606</v>
      </c>
      <c r="F4193" s="2" t="s">
        <v>2985</v>
      </c>
      <c r="G4193" s="2" t="s">
        <v>2985</v>
      </c>
      <c r="H4193" s="2" t="s">
        <v>2985</v>
      </c>
      <c r="I4193" s="2" t="s">
        <v>12728</v>
      </c>
      <c r="J4193" s="2" t="s">
        <v>11868</v>
      </c>
      <c r="K4193" s="2" t="s">
        <v>629</v>
      </c>
      <c r="L4193" s="3">
        <v>22.5</v>
      </c>
      <c r="M4193" s="3">
        <v>23.62</v>
      </c>
      <c r="N4193" s="3">
        <v>49.99</v>
      </c>
      <c r="O4193" s="2" t="s">
        <v>97</v>
      </c>
      <c r="P4193" s="2" t="s">
        <v>119</v>
      </c>
      <c r="Q4193" s="2" t="s">
        <v>99</v>
      </c>
      <c r="R4193" s="2" t="s">
        <v>100</v>
      </c>
      <c r="S4193" s="2" t="s">
        <v>2997</v>
      </c>
      <c r="T4193" s="2" t="s">
        <v>280</v>
      </c>
      <c r="U4193" s="2" t="s">
        <v>1847</v>
      </c>
      <c r="V4193" s="2" t="s">
        <v>319</v>
      </c>
      <c r="W4193" s="2" t="s">
        <v>2897</v>
      </c>
      <c r="X4193" s="2" t="s">
        <v>11870</v>
      </c>
      <c r="Y4193" s="2" t="s">
        <v>890</v>
      </c>
      <c r="Z4193" s="4">
        <v>500</v>
      </c>
      <c r="AA4193" s="4">
        <f>=ROUNDDOWN(20.8333333333333,0)</f>
      </c>
      <c r="AB4193" s="5">
        <v>24</v>
      </c>
      <c r="AC4193" s="2" t="s">
        <v>1164</v>
      </c>
      <c r="AD4193" s="4">
        <v>300</v>
      </c>
      <c r="AE4193" s="4">
        <v>300</v>
      </c>
      <c r="AF4193" s="6">
        <v>68</v>
      </c>
      <c r="AG4193" s="6"/>
      <c r="AH4193" s="7">
        <v>0.984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/>
      <c r="BJ4193" s="4">
        <v>540</v>
      </c>
      <c r="BK4193" s="8">
        <v>14067.44</v>
      </c>
      <c r="BL4193" s="2" t="s">
        <v>12732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2528</v>
      </c>
      <c r="BV4193" s="2" t="s">
        <v>97</v>
      </c>
      <c r="BW4193" s="2" t="s">
        <v>100</v>
      </c>
      <c r="BX4193" s="2" t="s">
        <v>100</v>
      </c>
      <c r="BY4193" s="2" t="s">
        <v>113</v>
      </c>
      <c r="BZ4193" s="2" t="s">
        <v>245</v>
      </c>
    </row>
    <row r="4194">
      <c r="A4194" s="2" t="s">
        <v>12733</v>
      </c>
      <c r="B4194" s="2" t="s">
        <v>11863</v>
      </c>
      <c r="C4194" s="2" t="s">
        <v>2850</v>
      </c>
      <c r="D4194" s="2" t="s">
        <v>2605</v>
      </c>
      <c r="E4194" s="2" t="s">
        <v>2606</v>
      </c>
      <c r="F4194" s="2" t="s">
        <v>3002</v>
      </c>
      <c r="G4194" s="2" t="s">
        <v>3002</v>
      </c>
      <c r="H4194" s="2" t="s">
        <v>3002</v>
      </c>
      <c r="I4194" s="2" t="s">
        <v>12734</v>
      </c>
      <c r="J4194" s="2" t="s">
        <v>11868</v>
      </c>
      <c r="K4194" s="2" t="s">
        <v>3011</v>
      </c>
      <c r="L4194" s="3">
        <v>21.12</v>
      </c>
      <c r="M4194" s="3">
        <v>22.18</v>
      </c>
      <c r="N4194" s="3">
        <v>47.99</v>
      </c>
      <c r="O4194" s="2" t="s">
        <v>97</v>
      </c>
      <c r="P4194" s="2" t="s">
        <v>119</v>
      </c>
      <c r="Q4194" s="2" t="s">
        <v>99</v>
      </c>
      <c r="R4194" s="2" t="s">
        <v>100</v>
      </c>
      <c r="S4194" s="2" t="s">
        <v>3012</v>
      </c>
      <c r="T4194" s="2" t="s">
        <v>280</v>
      </c>
      <c r="U4194" s="2" t="s">
        <v>1847</v>
      </c>
      <c r="V4194" s="2" t="s">
        <v>319</v>
      </c>
      <c r="W4194" s="2" t="s">
        <v>561</v>
      </c>
      <c r="X4194" s="2" t="s">
        <v>11870</v>
      </c>
      <c r="Y4194" s="2" t="s">
        <v>12735</v>
      </c>
      <c r="Z4194" s="4">
        <v>656</v>
      </c>
      <c r="AA4194" s="4">
        <f>=ROUNDDOWN(28.5217391304348,0)</f>
      </c>
      <c r="AB4194" s="5">
        <v>23</v>
      </c>
      <c r="AC4194" s="2" t="s">
        <v>5658</v>
      </c>
      <c r="AD4194" s="4">
        <v>356</v>
      </c>
      <c r="AE4194" s="4">
        <v>356</v>
      </c>
      <c r="AF4194" s="6">
        <v>64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439</v>
      </c>
      <c r="BK4194" s="8">
        <v>9799.58</v>
      </c>
      <c r="BL4194" s="2" t="s">
        <v>12736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2528</v>
      </c>
      <c r="BV4194" s="2" t="s">
        <v>97</v>
      </c>
      <c r="BW4194" s="2" t="s">
        <v>100</v>
      </c>
      <c r="BX4194" s="2" t="s">
        <v>100</v>
      </c>
      <c r="BY4194" s="2" t="s">
        <v>113</v>
      </c>
      <c r="BZ4194" s="2" t="s">
        <v>245</v>
      </c>
    </row>
    <row r="4195">
      <c r="A4195" s="2" t="s">
        <v>12737</v>
      </c>
      <c r="B4195" s="2" t="s">
        <v>12738</v>
      </c>
      <c r="C4195" s="2" t="s">
        <v>3934</v>
      </c>
      <c r="D4195" s="2" t="s">
        <v>803</v>
      </c>
      <c r="E4195" s="2" t="s">
        <v>1475</v>
      </c>
      <c r="F4195" s="2" t="s">
        <v>12739</v>
      </c>
      <c r="G4195" s="2" t="s">
        <v>12740</v>
      </c>
      <c r="H4195" s="2" t="s">
        <v>12741</v>
      </c>
      <c r="I4195" s="2" t="s">
        <v>12742</v>
      </c>
      <c r="J4195" s="2" t="s">
        <v>2072</v>
      </c>
      <c r="K4195" s="2" t="s">
        <v>8757</v>
      </c>
      <c r="L4195" s="3">
        <v>35.52</v>
      </c>
      <c r="M4195" s="3">
        <v>37.3</v>
      </c>
      <c r="N4195" s="3">
        <v>78.99</v>
      </c>
      <c r="O4195" s="2" t="s">
        <v>97</v>
      </c>
      <c r="P4195" s="2" t="s">
        <v>372</v>
      </c>
      <c r="Q4195" s="2" t="s">
        <v>99</v>
      </c>
      <c r="R4195" s="2" t="s">
        <v>100</v>
      </c>
      <c r="S4195" s="2" t="s">
        <v>12743</v>
      </c>
      <c r="T4195" s="2" t="s">
        <v>218</v>
      </c>
      <c r="U4195" s="2" t="s">
        <v>337</v>
      </c>
      <c r="V4195" s="2" t="s">
        <v>201</v>
      </c>
      <c r="W4195" s="2" t="s">
        <v>183</v>
      </c>
      <c r="X4195" s="2" t="s">
        <v>202</v>
      </c>
      <c r="Y4195" s="2" t="s">
        <v>12744</v>
      </c>
      <c r="Z4195" s="4">
        <v>789</v>
      </c>
      <c r="AA4195" s="4">
        <f>=ROUNDDOWN(35.8636363636364,0)</f>
      </c>
      <c r="AB4195" s="5">
        <v>22</v>
      </c>
      <c r="AC4195" s="2" t="s">
        <v>100</v>
      </c>
      <c r="AD4195" s="4"/>
      <c r="AE4195" s="4"/>
      <c r="AF4195" s="6">
        <v>64</v>
      </c>
      <c r="AG4195" s="6">
        <v>47</v>
      </c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>
        <v>67</v>
      </c>
      <c r="AQ4195" s="8">
        <v>1994.59</v>
      </c>
      <c r="AR4195" s="4"/>
      <c r="AS4195" s="8"/>
      <c r="AT4195" s="7"/>
      <c r="AU4195" s="7"/>
      <c r="AV4195" s="4">
        <v>197</v>
      </c>
      <c r="AW4195" s="8">
        <v>6796.4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0.2935</v>
      </c>
      <c r="BC4195" s="4">
        <v>197</v>
      </c>
      <c r="BD4195" s="8">
        <v>6796.4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1</v>
      </c>
      <c r="BJ4195" s="4">
        <v>901</v>
      </c>
      <c r="BK4195" s="8">
        <v>33706.99</v>
      </c>
      <c r="BL4195" s="2" t="s">
        <v>12745</v>
      </c>
      <c r="BM4195" s="7">
        <v>0.0744</v>
      </c>
      <c r="BN4195" s="7">
        <v>0.0592</v>
      </c>
      <c r="BO4195" s="4">
        <v>67</v>
      </c>
      <c r="BP4195" s="8">
        <v>1994.59</v>
      </c>
      <c r="BQ4195" s="4"/>
      <c r="BR4195" s="8"/>
      <c r="BS4195" s="7"/>
      <c r="BT4195" s="7"/>
      <c r="BU4195" s="2" t="s">
        <v>109</v>
      </c>
      <c r="BV4195" s="2" t="s">
        <v>110</v>
      </c>
      <c r="BW4195" s="2" t="s">
        <v>111</v>
      </c>
      <c r="BX4195" s="2" t="s">
        <v>8355</v>
      </c>
      <c r="BY4195" s="2" t="s">
        <v>113</v>
      </c>
      <c r="BZ4195" s="2" t="s">
        <v>100</v>
      </c>
    </row>
    <row r="4196">
      <c r="A4196" s="2" t="s">
        <v>12746</v>
      </c>
      <c r="B4196" s="2" t="s">
        <v>12738</v>
      </c>
      <c r="C4196" s="2" t="s">
        <v>3934</v>
      </c>
      <c r="D4196" s="2" t="s">
        <v>803</v>
      </c>
      <c r="E4196" s="2" t="s">
        <v>1475</v>
      </c>
      <c r="F4196" s="2" t="s">
        <v>12739</v>
      </c>
      <c r="G4196" s="2" t="s">
        <v>12740</v>
      </c>
      <c r="H4196" s="2" t="s">
        <v>12741</v>
      </c>
      <c r="I4196" s="2" t="s">
        <v>12742</v>
      </c>
      <c r="J4196" s="2" t="s">
        <v>717</v>
      </c>
      <c r="K4196" s="2" t="s">
        <v>8757</v>
      </c>
      <c r="L4196" s="3">
        <v>38.4</v>
      </c>
      <c r="M4196" s="3">
        <v>40.32</v>
      </c>
      <c r="N4196" s="3">
        <v>84.99</v>
      </c>
      <c r="O4196" s="2" t="s">
        <v>97</v>
      </c>
      <c r="P4196" s="2" t="s">
        <v>372</v>
      </c>
      <c r="Q4196" s="2" t="s">
        <v>99</v>
      </c>
      <c r="R4196" s="2" t="s">
        <v>100</v>
      </c>
      <c r="S4196" s="2" t="s">
        <v>12743</v>
      </c>
      <c r="T4196" s="2" t="s">
        <v>218</v>
      </c>
      <c r="U4196" s="2" t="s">
        <v>1240</v>
      </c>
      <c r="V4196" s="2" t="s">
        <v>201</v>
      </c>
      <c r="W4196" s="2" t="s">
        <v>183</v>
      </c>
      <c r="X4196" s="2" t="s">
        <v>202</v>
      </c>
      <c r="Y4196" s="2" t="s">
        <v>12744</v>
      </c>
      <c r="Z4196" s="4">
        <v>1112</v>
      </c>
      <c r="AA4196" s="4">
        <f>=ROUNDDOWN(46.3333333333333,0)</f>
      </c>
      <c r="AB4196" s="5">
        <v>24</v>
      </c>
      <c r="AC4196" s="2" t="s">
        <v>100</v>
      </c>
      <c r="AD4196" s="4"/>
      <c r="AE4196" s="4"/>
      <c r="AF4196" s="6">
        <v>64</v>
      </c>
      <c r="AG4196" s="6">
        <v>47</v>
      </c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>
        <v>39</v>
      </c>
      <c r="AQ4196" s="8">
        <v>1290.12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0.1898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686</v>
      </c>
      <c r="BK4196" s="8">
        <v>28089.48</v>
      </c>
      <c r="BL4196" s="2" t="s">
        <v>12747</v>
      </c>
      <c r="BM4196" s="7">
        <v>0.0569</v>
      </c>
      <c r="BN4196" s="7">
        <v>0.0459</v>
      </c>
      <c r="BO4196" s="4">
        <v>39</v>
      </c>
      <c r="BP4196" s="8">
        <v>1290.12</v>
      </c>
      <c r="BQ4196" s="4"/>
      <c r="BR4196" s="8"/>
      <c r="BS4196" s="7"/>
      <c r="BT4196" s="7"/>
      <c r="BU4196" s="2" t="s">
        <v>109</v>
      </c>
      <c r="BV4196" s="2" t="s">
        <v>110</v>
      </c>
      <c r="BW4196" s="2" t="s">
        <v>111</v>
      </c>
      <c r="BX4196" s="2" t="s">
        <v>4696</v>
      </c>
      <c r="BY4196" s="2" t="s">
        <v>113</v>
      </c>
      <c r="BZ4196" s="2" t="s">
        <v>100</v>
      </c>
    </row>
    <row r="4197">
      <c r="A4197" s="2" t="s">
        <v>12748</v>
      </c>
      <c r="B4197" s="2" t="s">
        <v>12738</v>
      </c>
      <c r="C4197" s="2" t="s">
        <v>3934</v>
      </c>
      <c r="D4197" s="2" t="s">
        <v>803</v>
      </c>
      <c r="E4197" s="2" t="s">
        <v>1475</v>
      </c>
      <c r="F4197" s="2" t="s">
        <v>12739</v>
      </c>
      <c r="G4197" s="2" t="s">
        <v>12740</v>
      </c>
      <c r="H4197" s="2" t="s">
        <v>12741</v>
      </c>
      <c r="I4197" s="2" t="s">
        <v>12742</v>
      </c>
      <c r="J4197" s="2" t="s">
        <v>706</v>
      </c>
      <c r="K4197" s="2" t="s">
        <v>8757</v>
      </c>
      <c r="L4197" s="3">
        <v>44.1</v>
      </c>
      <c r="M4197" s="3">
        <v>46.3</v>
      </c>
      <c r="N4197" s="3">
        <v>94.99</v>
      </c>
      <c r="O4197" s="2" t="s">
        <v>97</v>
      </c>
      <c r="P4197" s="2" t="s">
        <v>372</v>
      </c>
      <c r="Q4197" s="2" t="s">
        <v>99</v>
      </c>
      <c r="R4197" s="2" t="s">
        <v>100</v>
      </c>
      <c r="S4197" s="2" t="s">
        <v>12743</v>
      </c>
      <c r="T4197" s="2" t="s">
        <v>218</v>
      </c>
      <c r="U4197" s="2" t="s">
        <v>1240</v>
      </c>
      <c r="V4197" s="2" t="s">
        <v>201</v>
      </c>
      <c r="W4197" s="2" t="s">
        <v>183</v>
      </c>
      <c r="X4197" s="2" t="s">
        <v>202</v>
      </c>
      <c r="Y4197" s="2" t="s">
        <v>12744</v>
      </c>
      <c r="Z4197" s="4">
        <v>1375</v>
      </c>
      <c r="AA4197" s="4">
        <f>=ROUNDDOWN(57.2916666666667,0)</f>
      </c>
      <c r="AB4197" s="5">
        <v>24</v>
      </c>
      <c r="AC4197" s="2" t="s">
        <v>100</v>
      </c>
      <c r="AD4197" s="4"/>
      <c r="AE4197" s="4"/>
      <c r="AF4197" s="6">
        <v>64</v>
      </c>
      <c r="AG4197" s="6">
        <v>47</v>
      </c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>
        <v>91</v>
      </c>
      <c r="AQ4197" s="8">
        <v>3511.69</v>
      </c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0.5167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746</v>
      </c>
      <c r="BK4197" s="8">
        <v>35834.8</v>
      </c>
      <c r="BL4197" s="2" t="s">
        <v>12749</v>
      </c>
      <c r="BM4197" s="7">
        <v>0.122</v>
      </c>
      <c r="BN4197" s="7">
        <v>0.098</v>
      </c>
      <c r="BO4197" s="4">
        <v>91</v>
      </c>
      <c r="BP4197" s="8">
        <v>3511.69</v>
      </c>
      <c r="BQ4197" s="4"/>
      <c r="BR4197" s="8"/>
      <c r="BS4197" s="7"/>
      <c r="BT4197" s="7"/>
      <c r="BU4197" s="2" t="s">
        <v>109</v>
      </c>
      <c r="BV4197" s="2" t="s">
        <v>110</v>
      </c>
      <c r="BW4197" s="2" t="s">
        <v>111</v>
      </c>
      <c r="BX4197" s="2" t="s">
        <v>112</v>
      </c>
      <c r="BY4197" s="2" t="s">
        <v>113</v>
      </c>
      <c r="BZ4197" s="2" t="s">
        <v>100</v>
      </c>
    </row>
    <row r="4198">
      <c r="A4198" s="2" t="s">
        <v>12750</v>
      </c>
      <c r="B4198" s="2" t="s">
        <v>12738</v>
      </c>
      <c r="C4198" s="2" t="s">
        <v>3934</v>
      </c>
      <c r="D4198" s="2" t="s">
        <v>803</v>
      </c>
      <c r="E4198" s="2" t="s">
        <v>1475</v>
      </c>
      <c r="F4198" s="2" t="s">
        <v>12739</v>
      </c>
      <c r="G4198" s="2" t="s">
        <v>12740</v>
      </c>
      <c r="H4198" s="2" t="s">
        <v>12741</v>
      </c>
      <c r="I4198" s="2" t="s">
        <v>12742</v>
      </c>
      <c r="J4198" s="2" t="s">
        <v>1936</v>
      </c>
      <c r="K4198" s="2" t="s">
        <v>12751</v>
      </c>
      <c r="L4198" s="3">
        <v>33.6</v>
      </c>
      <c r="M4198" s="3">
        <v>35.28</v>
      </c>
      <c r="N4198" s="3">
        <v>74.99</v>
      </c>
      <c r="O4198" s="2" t="s">
        <v>97</v>
      </c>
      <c r="P4198" s="2" t="s">
        <v>119</v>
      </c>
      <c r="Q4198" s="2" t="s">
        <v>99</v>
      </c>
      <c r="R4198" s="2" t="s">
        <v>100</v>
      </c>
      <c r="S4198" s="2" t="s">
        <v>12752</v>
      </c>
      <c r="T4198" s="2" t="s">
        <v>218</v>
      </c>
      <c r="U4198" s="2" t="s">
        <v>337</v>
      </c>
      <c r="V4198" s="2" t="s">
        <v>201</v>
      </c>
      <c r="W4198" s="2" t="s">
        <v>183</v>
      </c>
      <c r="X4198" s="2" t="s">
        <v>202</v>
      </c>
      <c r="Y4198" s="2" t="s">
        <v>2136</v>
      </c>
      <c r="Z4198" s="4">
        <v>171</v>
      </c>
      <c r="AA4198" s="4">
        <f>=ROUNDDOWN(42.75,0)</f>
      </c>
      <c r="AB4198" s="5">
        <v>4</v>
      </c>
      <c r="AC4198" s="2" t="s">
        <v>100</v>
      </c>
      <c r="AD4198" s="4"/>
      <c r="AE4198" s="4"/>
      <c r="AF4198" s="6">
        <v>64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100</v>
      </c>
      <c r="AW4198" s="8" t="s">
        <v>100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/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 t="s">
        <v>100</v>
      </c>
      <c r="BJ4198" s="4">
        <v>28</v>
      </c>
      <c r="BK4198" s="8">
        <v>1058.36</v>
      </c>
      <c r="BL4198" s="2" t="s">
        <v>12753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207</v>
      </c>
      <c r="BV4198" s="2" t="s">
        <v>97</v>
      </c>
      <c r="BW4198" s="2" t="s">
        <v>100</v>
      </c>
      <c r="BX4198" s="2" t="s">
        <v>100</v>
      </c>
      <c r="BY4198" s="2" t="s">
        <v>113</v>
      </c>
      <c r="BZ4198" s="2" t="s">
        <v>100</v>
      </c>
    </row>
    <row r="4199">
      <c r="A4199" s="2" t="s">
        <v>12754</v>
      </c>
      <c r="B4199" s="2" t="s">
        <v>12738</v>
      </c>
      <c r="C4199" s="2" t="s">
        <v>3934</v>
      </c>
      <c r="D4199" s="2" t="s">
        <v>803</v>
      </c>
      <c r="E4199" s="2" t="s">
        <v>1475</v>
      </c>
      <c r="F4199" s="2" t="s">
        <v>12739</v>
      </c>
      <c r="G4199" s="2" t="s">
        <v>12740</v>
      </c>
      <c r="H4199" s="2" t="s">
        <v>12741</v>
      </c>
      <c r="I4199" s="2" t="s">
        <v>12742</v>
      </c>
      <c r="J4199" s="2" t="s">
        <v>2072</v>
      </c>
      <c r="K4199" s="2" t="s">
        <v>12751</v>
      </c>
      <c r="L4199" s="3">
        <v>35.52</v>
      </c>
      <c r="M4199" s="3">
        <v>37.3</v>
      </c>
      <c r="N4199" s="3">
        <v>78.99</v>
      </c>
      <c r="O4199" s="2" t="s">
        <v>97</v>
      </c>
      <c r="P4199" s="2" t="s">
        <v>119</v>
      </c>
      <c r="Q4199" s="2" t="s">
        <v>99</v>
      </c>
      <c r="R4199" s="2" t="s">
        <v>100</v>
      </c>
      <c r="S4199" s="2" t="s">
        <v>12752</v>
      </c>
      <c r="T4199" s="2" t="s">
        <v>218</v>
      </c>
      <c r="U4199" s="2" t="s">
        <v>337</v>
      </c>
      <c r="V4199" s="2" t="s">
        <v>201</v>
      </c>
      <c r="W4199" s="2" t="s">
        <v>183</v>
      </c>
      <c r="X4199" s="2" t="s">
        <v>202</v>
      </c>
      <c r="Y4199" s="2" t="s">
        <v>2136</v>
      </c>
      <c r="Z4199" s="4">
        <v>230</v>
      </c>
      <c r="AA4199" s="4">
        <f>=ROUNDDOWN(57.5,0)</f>
      </c>
      <c r="AB4199" s="5">
        <v>4</v>
      </c>
      <c r="AC4199" s="2" t="s">
        <v>100</v>
      </c>
      <c r="AD4199" s="4"/>
      <c r="AE4199" s="4"/>
      <c r="AF4199" s="6">
        <v>64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50</v>
      </c>
      <c r="BK4199" s="8">
        <v>2009.42</v>
      </c>
      <c r="BL4199" s="2" t="s">
        <v>10130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207</v>
      </c>
      <c r="BV4199" s="2" t="s">
        <v>97</v>
      </c>
      <c r="BW4199" s="2" t="s">
        <v>100</v>
      </c>
      <c r="BX4199" s="2" t="s">
        <v>100</v>
      </c>
      <c r="BY4199" s="2" t="s">
        <v>113</v>
      </c>
      <c r="BZ4199" s="2" t="s">
        <v>100</v>
      </c>
    </row>
    <row r="4200">
      <c r="A4200" s="2" t="s">
        <v>12755</v>
      </c>
      <c r="B4200" s="2" t="s">
        <v>12738</v>
      </c>
      <c r="C4200" s="2" t="s">
        <v>3934</v>
      </c>
      <c r="D4200" s="2" t="s">
        <v>803</v>
      </c>
      <c r="E4200" s="2" t="s">
        <v>1475</v>
      </c>
      <c r="F4200" s="2" t="s">
        <v>12739</v>
      </c>
      <c r="G4200" s="2" t="s">
        <v>12740</v>
      </c>
      <c r="H4200" s="2" t="s">
        <v>12741</v>
      </c>
      <c r="I4200" s="2" t="s">
        <v>12742</v>
      </c>
      <c r="J4200" s="2" t="s">
        <v>717</v>
      </c>
      <c r="K4200" s="2" t="s">
        <v>12751</v>
      </c>
      <c r="L4200" s="3">
        <v>38.4</v>
      </c>
      <c r="M4200" s="3">
        <v>40.32</v>
      </c>
      <c r="N4200" s="3">
        <v>84.99</v>
      </c>
      <c r="O4200" s="2" t="s">
        <v>97</v>
      </c>
      <c r="P4200" s="2" t="s">
        <v>119</v>
      </c>
      <c r="Q4200" s="2" t="s">
        <v>99</v>
      </c>
      <c r="R4200" s="2" t="s">
        <v>100</v>
      </c>
      <c r="S4200" s="2" t="s">
        <v>12752</v>
      </c>
      <c r="T4200" s="2" t="s">
        <v>218</v>
      </c>
      <c r="U4200" s="2" t="s">
        <v>1240</v>
      </c>
      <c r="V4200" s="2" t="s">
        <v>201</v>
      </c>
      <c r="W4200" s="2" t="s">
        <v>183</v>
      </c>
      <c r="X4200" s="2" t="s">
        <v>202</v>
      </c>
      <c r="Y4200" s="2" t="s">
        <v>2136</v>
      </c>
      <c r="Z4200" s="4">
        <v>298</v>
      </c>
      <c r="AA4200" s="4">
        <f>=ROUNDDOWN(42.5714285714286,0)</f>
      </c>
      <c r="AB4200" s="5">
        <v>7</v>
      </c>
      <c r="AC4200" s="2" t="s">
        <v>100</v>
      </c>
      <c r="AD4200" s="4"/>
      <c r="AE4200" s="4"/>
      <c r="AF4200" s="6">
        <v>64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40</v>
      </c>
      <c r="BK4200" s="8">
        <v>1716.57</v>
      </c>
      <c r="BL4200" s="2" t="s">
        <v>9409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207</v>
      </c>
      <c r="BV4200" s="2" t="s">
        <v>97</v>
      </c>
      <c r="BW4200" s="2" t="s">
        <v>100</v>
      </c>
      <c r="BX4200" s="2" t="s">
        <v>100</v>
      </c>
      <c r="BY4200" s="2" t="s">
        <v>113</v>
      </c>
      <c r="BZ4200" s="2" t="s">
        <v>100</v>
      </c>
    </row>
    <row r="4201">
      <c r="A4201" s="2" t="s">
        <v>12756</v>
      </c>
      <c r="B4201" s="2" t="s">
        <v>12738</v>
      </c>
      <c r="C4201" s="2" t="s">
        <v>3934</v>
      </c>
      <c r="D4201" s="2" t="s">
        <v>803</v>
      </c>
      <c r="E4201" s="2" t="s">
        <v>1475</v>
      </c>
      <c r="F4201" s="2" t="s">
        <v>12739</v>
      </c>
      <c r="G4201" s="2" t="s">
        <v>12740</v>
      </c>
      <c r="H4201" s="2" t="s">
        <v>12741</v>
      </c>
      <c r="I4201" s="2" t="s">
        <v>12742</v>
      </c>
      <c r="J4201" s="2" t="s">
        <v>706</v>
      </c>
      <c r="K4201" s="2" t="s">
        <v>12751</v>
      </c>
      <c r="L4201" s="3">
        <v>44.1</v>
      </c>
      <c r="M4201" s="3">
        <v>46.31</v>
      </c>
      <c r="N4201" s="3">
        <v>94.99</v>
      </c>
      <c r="O4201" s="2" t="s">
        <v>97</v>
      </c>
      <c r="P4201" s="2" t="s">
        <v>119</v>
      </c>
      <c r="Q4201" s="2" t="s">
        <v>99</v>
      </c>
      <c r="R4201" s="2" t="s">
        <v>100</v>
      </c>
      <c r="S4201" s="2" t="s">
        <v>12752</v>
      </c>
      <c r="T4201" s="2" t="s">
        <v>218</v>
      </c>
      <c r="U4201" s="2" t="s">
        <v>1240</v>
      </c>
      <c r="V4201" s="2" t="s">
        <v>201</v>
      </c>
      <c r="W4201" s="2" t="s">
        <v>183</v>
      </c>
      <c r="X4201" s="2" t="s">
        <v>202</v>
      </c>
      <c r="Y4201" s="2" t="s">
        <v>2136</v>
      </c>
      <c r="Z4201" s="4">
        <v>333</v>
      </c>
      <c r="AA4201" s="4">
        <f>=ROUNDDOWN(37,0)</f>
      </c>
      <c r="AB4201" s="5">
        <v>9</v>
      </c>
      <c r="AC4201" s="2" t="s">
        <v>100</v>
      </c>
      <c r="AD4201" s="4"/>
      <c r="AE4201" s="4"/>
      <c r="AF4201" s="6">
        <v>64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100</v>
      </c>
      <c r="AW4201" s="8" t="s">
        <v>100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/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 t="s">
        <v>100</v>
      </c>
      <c r="BJ4201" s="4">
        <v>44</v>
      </c>
      <c r="BK4201" s="8">
        <v>2091.83</v>
      </c>
      <c r="BL4201" s="2" t="s">
        <v>229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207</v>
      </c>
      <c r="BV4201" s="2" t="s">
        <v>97</v>
      </c>
      <c r="BW4201" s="2" t="s">
        <v>100</v>
      </c>
      <c r="BX4201" s="2" t="s">
        <v>100</v>
      </c>
      <c r="BY4201" s="2" t="s">
        <v>113</v>
      </c>
      <c r="BZ4201" s="2" t="s">
        <v>100</v>
      </c>
    </row>
    <row r="4202">
      <c r="A4202" s="2" t="s">
        <v>12757</v>
      </c>
      <c r="B4202" s="2" t="s">
        <v>12738</v>
      </c>
      <c r="C4202" s="2" t="s">
        <v>3934</v>
      </c>
      <c r="D4202" s="2" t="s">
        <v>803</v>
      </c>
      <c r="E4202" s="2" t="s">
        <v>1475</v>
      </c>
      <c r="F4202" s="2" t="s">
        <v>12758</v>
      </c>
      <c r="G4202" s="2" t="s">
        <v>12759</v>
      </c>
      <c r="H4202" s="2" t="s">
        <v>12760</v>
      </c>
      <c r="I4202" s="2" t="s">
        <v>12761</v>
      </c>
      <c r="J4202" s="2" t="s">
        <v>1936</v>
      </c>
      <c r="K4202" s="2" t="s">
        <v>2115</v>
      </c>
      <c r="L4202" s="3">
        <v>29.61</v>
      </c>
      <c r="M4202" s="3">
        <v>31.09</v>
      </c>
      <c r="N4202" s="3">
        <v>59.99</v>
      </c>
      <c r="O4202" s="2" t="s">
        <v>97</v>
      </c>
      <c r="P4202" s="2" t="s">
        <v>119</v>
      </c>
      <c r="Q4202" s="2" t="s">
        <v>99</v>
      </c>
      <c r="R4202" s="2" t="s">
        <v>100</v>
      </c>
      <c r="S4202" s="2" t="s">
        <v>12762</v>
      </c>
      <c r="T4202" s="2" t="s">
        <v>218</v>
      </c>
      <c r="U4202" s="2" t="s">
        <v>102</v>
      </c>
      <c r="V4202" s="2" t="s">
        <v>350</v>
      </c>
      <c r="W4202" s="2" t="s">
        <v>183</v>
      </c>
      <c r="X4202" s="2" t="s">
        <v>104</v>
      </c>
      <c r="Y4202" s="2" t="s">
        <v>12381</v>
      </c>
      <c r="Z4202" s="4">
        <v>221</v>
      </c>
      <c r="AA4202" s="4">
        <f>=ROUNDDOWN(25.4022988505747,0)</f>
      </c>
      <c r="AB4202" s="5">
        <v>8.7</v>
      </c>
      <c r="AC4202" s="2" t="s">
        <v>5308</v>
      </c>
      <c r="AD4202" s="4">
        <v>160</v>
      </c>
      <c r="AE4202" s="4">
        <v>160</v>
      </c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>
        <v>1</v>
      </c>
      <c r="AQ4202" s="8">
        <v>33.08</v>
      </c>
      <c r="AR4202" s="4"/>
      <c r="AS4202" s="8"/>
      <c r="AT4202" s="7"/>
      <c r="AU4202" s="7"/>
      <c r="AV4202" s="4">
        <v>7</v>
      </c>
      <c r="AW4202" s="8">
        <v>272.88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0.1212</v>
      </c>
      <c r="BC4202" s="4">
        <v>7</v>
      </c>
      <c r="BD4202" s="8">
        <v>272.88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>
        <v>1</v>
      </c>
      <c r="BJ4202" s="4">
        <v>231</v>
      </c>
      <c r="BK4202" s="8">
        <v>7367.91</v>
      </c>
      <c r="BL4202" s="2" t="s">
        <v>4784</v>
      </c>
      <c r="BM4202" s="7">
        <v>0.0043</v>
      </c>
      <c r="BN4202" s="7">
        <v>0.0045</v>
      </c>
      <c r="BO4202" s="4">
        <v>1</v>
      </c>
      <c r="BP4202" s="8">
        <v>33.08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12763</v>
      </c>
      <c r="BX4202" s="2" t="s">
        <v>8548</v>
      </c>
      <c r="BY4202" s="2" t="s">
        <v>113</v>
      </c>
      <c r="BZ4202" s="2" t="s">
        <v>100</v>
      </c>
    </row>
    <row r="4203">
      <c r="A4203" s="2" t="s">
        <v>12764</v>
      </c>
      <c r="B4203" s="2" t="s">
        <v>12738</v>
      </c>
      <c r="C4203" s="2" t="s">
        <v>3934</v>
      </c>
      <c r="D4203" s="2" t="s">
        <v>803</v>
      </c>
      <c r="E4203" s="2" t="s">
        <v>1475</v>
      </c>
      <c r="F4203" s="2" t="s">
        <v>12758</v>
      </c>
      <c r="G4203" s="2" t="s">
        <v>12759</v>
      </c>
      <c r="H4203" s="2" t="s">
        <v>12760</v>
      </c>
      <c r="I4203" s="2" t="s">
        <v>12761</v>
      </c>
      <c r="J4203" s="2" t="s">
        <v>2072</v>
      </c>
      <c r="K4203" s="2" t="s">
        <v>2115</v>
      </c>
      <c r="L4203" s="3">
        <v>32.4</v>
      </c>
      <c r="M4203" s="3">
        <v>34.02</v>
      </c>
      <c r="N4203" s="3">
        <v>64.99</v>
      </c>
      <c r="O4203" s="2" t="s">
        <v>97</v>
      </c>
      <c r="P4203" s="2" t="s">
        <v>119</v>
      </c>
      <c r="Q4203" s="2" t="s">
        <v>99</v>
      </c>
      <c r="R4203" s="2" t="s">
        <v>100</v>
      </c>
      <c r="S4203" s="2" t="s">
        <v>12762</v>
      </c>
      <c r="T4203" s="2" t="s">
        <v>218</v>
      </c>
      <c r="U4203" s="2" t="s">
        <v>102</v>
      </c>
      <c r="V4203" s="2" t="s">
        <v>350</v>
      </c>
      <c r="W4203" s="2" t="s">
        <v>183</v>
      </c>
      <c r="X4203" s="2" t="s">
        <v>104</v>
      </c>
      <c r="Y4203" s="2" t="s">
        <v>12381</v>
      </c>
      <c r="Z4203" s="4">
        <v>476</v>
      </c>
      <c r="AA4203" s="4">
        <f>=ROUNDDOWN(68,0)</f>
      </c>
      <c r="AB4203" s="5">
        <v>7</v>
      </c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>
        <v>1</v>
      </c>
      <c r="AQ4203" s="8">
        <v>35.83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0.1313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377</v>
      </c>
      <c r="BK4203" s="8">
        <v>13258.54</v>
      </c>
      <c r="BL4203" s="2" t="s">
        <v>12765</v>
      </c>
      <c r="BM4203" s="7">
        <v>0.0027</v>
      </c>
      <c r="BN4203" s="7">
        <v>0.0027</v>
      </c>
      <c r="BO4203" s="4">
        <v>1</v>
      </c>
      <c r="BP4203" s="8">
        <v>35.83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12763</v>
      </c>
      <c r="BX4203" s="2" t="s">
        <v>9039</v>
      </c>
      <c r="BY4203" s="2" t="s">
        <v>113</v>
      </c>
      <c r="BZ4203" s="2" t="s">
        <v>100</v>
      </c>
    </row>
    <row r="4204">
      <c r="A4204" s="2" t="s">
        <v>12766</v>
      </c>
      <c r="B4204" s="2" t="s">
        <v>12738</v>
      </c>
      <c r="C4204" s="2" t="s">
        <v>3934</v>
      </c>
      <c r="D4204" s="2" t="s">
        <v>803</v>
      </c>
      <c r="E4204" s="2" t="s">
        <v>1475</v>
      </c>
      <c r="F4204" s="2" t="s">
        <v>12758</v>
      </c>
      <c r="G4204" s="2" t="s">
        <v>12759</v>
      </c>
      <c r="H4204" s="2" t="s">
        <v>12760</v>
      </c>
      <c r="I4204" s="2" t="s">
        <v>12761</v>
      </c>
      <c r="J4204" s="2" t="s">
        <v>717</v>
      </c>
      <c r="K4204" s="2" t="s">
        <v>2115</v>
      </c>
      <c r="L4204" s="3">
        <v>34.56</v>
      </c>
      <c r="M4204" s="3">
        <v>36.29</v>
      </c>
      <c r="N4204" s="3">
        <v>69.99</v>
      </c>
      <c r="O4204" s="2" t="s">
        <v>97</v>
      </c>
      <c r="P4204" s="2" t="s">
        <v>119</v>
      </c>
      <c r="Q4204" s="2" t="s">
        <v>99</v>
      </c>
      <c r="R4204" s="2" t="s">
        <v>100</v>
      </c>
      <c r="S4204" s="2" t="s">
        <v>12762</v>
      </c>
      <c r="T4204" s="2" t="s">
        <v>218</v>
      </c>
      <c r="U4204" s="2" t="s">
        <v>833</v>
      </c>
      <c r="V4204" s="2" t="s">
        <v>350</v>
      </c>
      <c r="W4204" s="2" t="s">
        <v>183</v>
      </c>
      <c r="X4204" s="2" t="s">
        <v>104</v>
      </c>
      <c r="Y4204" s="2" t="s">
        <v>12381</v>
      </c>
      <c r="Z4204" s="4">
        <v>288</v>
      </c>
      <c r="AA4204" s="4">
        <f>=ROUNDDOWN(36.9230769230769,0)</f>
      </c>
      <c r="AB4204" s="5">
        <v>7.8</v>
      </c>
      <c r="AC4204" s="2" t="s">
        <v>5308</v>
      </c>
      <c r="AD4204" s="4">
        <v>130</v>
      </c>
      <c r="AE4204" s="4">
        <v>130</v>
      </c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>
        <v>3</v>
      </c>
      <c r="AQ4204" s="8">
        <v>115.77</v>
      </c>
      <c r="AR4204" s="4"/>
      <c r="AS4204" s="8"/>
      <c r="AT4204" s="7"/>
      <c r="AU4204" s="7"/>
      <c r="AV4204" s="4" t="s">
        <v>100</v>
      </c>
      <c r="AW4204" s="8" t="s">
        <v>100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0.4243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 t="s">
        <v>100</v>
      </c>
      <c r="BJ4204" s="4">
        <v>246</v>
      </c>
      <c r="BK4204" s="8">
        <v>9467.45</v>
      </c>
      <c r="BL4204" s="2" t="s">
        <v>12767</v>
      </c>
      <c r="BM4204" s="7">
        <v>0.0122</v>
      </c>
      <c r="BN4204" s="7">
        <v>0.0122</v>
      </c>
      <c r="BO4204" s="4">
        <v>3</v>
      </c>
      <c r="BP4204" s="8">
        <v>115.77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10229</v>
      </c>
      <c r="BX4204" s="2" t="s">
        <v>9753</v>
      </c>
      <c r="BY4204" s="2" t="s">
        <v>113</v>
      </c>
      <c r="BZ4204" s="2" t="s">
        <v>100</v>
      </c>
    </row>
    <row r="4205">
      <c r="A4205" s="2" t="s">
        <v>12768</v>
      </c>
      <c r="B4205" s="2" t="s">
        <v>12738</v>
      </c>
      <c r="C4205" s="2" t="s">
        <v>3934</v>
      </c>
      <c r="D4205" s="2" t="s">
        <v>803</v>
      </c>
      <c r="E4205" s="2" t="s">
        <v>1475</v>
      </c>
      <c r="F4205" s="2" t="s">
        <v>12758</v>
      </c>
      <c r="G4205" s="2" t="s">
        <v>12759</v>
      </c>
      <c r="H4205" s="2" t="s">
        <v>12760</v>
      </c>
      <c r="I4205" s="2" t="s">
        <v>12761</v>
      </c>
      <c r="J4205" s="2" t="s">
        <v>706</v>
      </c>
      <c r="K4205" s="2" t="s">
        <v>2115</v>
      </c>
      <c r="L4205" s="3">
        <v>39.69</v>
      </c>
      <c r="M4205" s="3">
        <v>41.67</v>
      </c>
      <c r="N4205" s="3">
        <v>79.99</v>
      </c>
      <c r="O4205" s="2" t="s">
        <v>97</v>
      </c>
      <c r="P4205" s="2" t="s">
        <v>119</v>
      </c>
      <c r="Q4205" s="2" t="s">
        <v>99</v>
      </c>
      <c r="R4205" s="2" t="s">
        <v>100</v>
      </c>
      <c r="S4205" s="2" t="s">
        <v>12762</v>
      </c>
      <c r="T4205" s="2" t="s">
        <v>218</v>
      </c>
      <c r="U4205" s="2" t="s">
        <v>833</v>
      </c>
      <c r="V4205" s="2" t="s">
        <v>350</v>
      </c>
      <c r="W4205" s="2" t="s">
        <v>183</v>
      </c>
      <c r="X4205" s="2" t="s">
        <v>104</v>
      </c>
      <c r="Y4205" s="2" t="s">
        <v>12381</v>
      </c>
      <c r="Z4205" s="4">
        <v>217</v>
      </c>
      <c r="AA4205" s="4">
        <f>=ROUNDDOWN(27.125,0)</f>
      </c>
      <c r="AB4205" s="5">
        <v>8</v>
      </c>
      <c r="AC4205" s="2" t="s">
        <v>5308</v>
      </c>
      <c r="AD4205" s="4">
        <v>150</v>
      </c>
      <c r="AE4205" s="4">
        <v>150</v>
      </c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>
        <v>2</v>
      </c>
      <c r="AQ4205" s="8">
        <v>88.2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0.3232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233</v>
      </c>
      <c r="BK4205" s="8">
        <v>10544.53</v>
      </c>
      <c r="BL4205" s="2" t="s">
        <v>12769</v>
      </c>
      <c r="BM4205" s="7">
        <v>0.0086</v>
      </c>
      <c r="BN4205" s="7">
        <v>0.0084</v>
      </c>
      <c r="BO4205" s="4">
        <v>2</v>
      </c>
      <c r="BP4205" s="8">
        <v>88.2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12763</v>
      </c>
      <c r="BX4205" s="2" t="s">
        <v>12770</v>
      </c>
      <c r="BY4205" s="2" t="s">
        <v>113</v>
      </c>
      <c r="BZ4205" s="2" t="s">
        <v>100</v>
      </c>
    </row>
    <row r="4206">
      <c r="A4206" s="2" t="s">
        <v>12771</v>
      </c>
      <c r="B4206" s="2" t="s">
        <v>12738</v>
      </c>
      <c r="C4206" s="2" t="s">
        <v>3934</v>
      </c>
      <c r="D4206" s="2" t="s">
        <v>803</v>
      </c>
      <c r="E4206" s="2" t="s">
        <v>804</v>
      </c>
      <c r="F4206" s="2" t="s">
        <v>12772</v>
      </c>
      <c r="G4206" s="2" t="s">
        <v>12773</v>
      </c>
      <c r="H4206" s="2" t="s">
        <v>12774</v>
      </c>
      <c r="I4206" s="2" t="s">
        <v>12775</v>
      </c>
      <c r="J4206" s="2" t="s">
        <v>237</v>
      </c>
      <c r="K4206" s="2" t="s">
        <v>335</v>
      </c>
      <c r="L4206" s="3">
        <v>31.05</v>
      </c>
      <c r="M4206" s="3">
        <v>32.6</v>
      </c>
      <c r="N4206" s="3">
        <v>59.99</v>
      </c>
      <c r="O4206" s="2" t="s">
        <v>97</v>
      </c>
      <c r="P4206" s="2" t="s">
        <v>372</v>
      </c>
      <c r="Q4206" s="2" t="s">
        <v>99</v>
      </c>
      <c r="R4206" s="2" t="s">
        <v>100</v>
      </c>
      <c r="S4206" s="2" t="s">
        <v>12776</v>
      </c>
      <c r="T4206" s="2" t="s">
        <v>672</v>
      </c>
      <c r="U4206" s="2" t="s">
        <v>480</v>
      </c>
      <c r="V4206" s="2" t="s">
        <v>146</v>
      </c>
      <c r="W4206" s="2" t="s">
        <v>673</v>
      </c>
      <c r="X4206" s="2" t="s">
        <v>6540</v>
      </c>
      <c r="Y4206" s="2" t="s">
        <v>2013</v>
      </c>
      <c r="Z4206" s="4">
        <v>399</v>
      </c>
      <c r="AA4206" s="4">
        <f>=ROUNDDOWN(49.875,0)</f>
      </c>
      <c r="AB4206" s="5">
        <v>8</v>
      </c>
      <c r="AC4206" s="2" t="s">
        <v>100</v>
      </c>
      <c r="AD4206" s="4"/>
      <c r="AE4206" s="4"/>
      <c r="AF4206" s="6">
        <v>64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7</v>
      </c>
      <c r="AQ4206" s="8">
        <v>253.61</v>
      </c>
      <c r="AR4206" s="4"/>
      <c r="AS4206" s="8"/>
      <c r="AT4206" s="7"/>
      <c r="AU4206" s="7"/>
      <c r="AV4206" s="4">
        <v>24</v>
      </c>
      <c r="AW4206" s="8">
        <v>981.89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0.2583</v>
      </c>
      <c r="BC4206" s="4">
        <v>53</v>
      </c>
      <c r="BD4206" s="8">
        <v>2149.33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0.4568</v>
      </c>
      <c r="BJ4206" s="4">
        <v>302</v>
      </c>
      <c r="BK4206" s="8">
        <v>9948.3</v>
      </c>
      <c r="BL4206" s="2" t="s">
        <v>12777</v>
      </c>
      <c r="BM4206" s="7">
        <v>0.0232</v>
      </c>
      <c r="BN4206" s="7">
        <v>0.0255</v>
      </c>
      <c r="BO4206" s="4">
        <v>7</v>
      </c>
      <c r="BP4206" s="8">
        <v>253.61</v>
      </c>
      <c r="BQ4206" s="4"/>
      <c r="BR4206" s="8"/>
      <c r="BS4206" s="7"/>
      <c r="BT4206" s="7"/>
      <c r="BU4206" s="2" t="s">
        <v>109</v>
      </c>
      <c r="BV4206" s="2" t="s">
        <v>110</v>
      </c>
      <c r="BW4206" s="2" t="s">
        <v>6814</v>
      </c>
      <c r="BX4206" s="2" t="s">
        <v>10333</v>
      </c>
      <c r="BY4206" s="2" t="s">
        <v>113</v>
      </c>
      <c r="BZ4206" s="2" t="s">
        <v>100</v>
      </c>
    </row>
    <row r="4207">
      <c r="A4207" s="2" t="s">
        <v>12778</v>
      </c>
      <c r="B4207" s="2" t="s">
        <v>12738</v>
      </c>
      <c r="C4207" s="2" t="s">
        <v>3934</v>
      </c>
      <c r="D4207" s="2" t="s">
        <v>803</v>
      </c>
      <c r="E4207" s="2" t="s">
        <v>804</v>
      </c>
      <c r="F4207" s="2" t="s">
        <v>12772</v>
      </c>
      <c r="G4207" s="2" t="s">
        <v>12773</v>
      </c>
      <c r="H4207" s="2" t="s">
        <v>12774</v>
      </c>
      <c r="I4207" s="2" t="s">
        <v>12775</v>
      </c>
      <c r="J4207" s="2" t="s">
        <v>247</v>
      </c>
      <c r="K4207" s="2" t="s">
        <v>335</v>
      </c>
      <c r="L4207" s="3">
        <v>36.72</v>
      </c>
      <c r="M4207" s="3">
        <v>38.56</v>
      </c>
      <c r="N4207" s="3">
        <v>69.99</v>
      </c>
      <c r="O4207" s="2" t="s">
        <v>97</v>
      </c>
      <c r="P4207" s="2" t="s">
        <v>372</v>
      </c>
      <c r="Q4207" s="2" t="s">
        <v>99</v>
      </c>
      <c r="R4207" s="2" t="s">
        <v>100</v>
      </c>
      <c r="S4207" s="2" t="s">
        <v>12776</v>
      </c>
      <c r="T4207" s="2" t="s">
        <v>672</v>
      </c>
      <c r="U4207" s="2" t="s">
        <v>402</v>
      </c>
      <c r="V4207" s="2" t="s">
        <v>146</v>
      </c>
      <c r="W4207" s="2" t="s">
        <v>673</v>
      </c>
      <c r="X4207" s="2" t="s">
        <v>6540</v>
      </c>
      <c r="Y4207" s="2" t="s">
        <v>2013</v>
      </c>
      <c r="Z4207" s="4">
        <v>2260</v>
      </c>
      <c r="AA4207" s="4">
        <f>=ROUNDDOWN(75.3333333333333,0)</f>
      </c>
      <c r="AB4207" s="5">
        <v>30</v>
      </c>
      <c r="AC4207" s="2" t="s">
        <v>100</v>
      </c>
      <c r="AD4207" s="4"/>
      <c r="AE4207" s="4"/>
      <c r="AF4207" s="6">
        <v>64</v>
      </c>
      <c r="AG4207" s="6">
        <v>47</v>
      </c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>
        <v>17</v>
      </c>
      <c r="AQ4207" s="8">
        <v>728.28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0.7417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1003</v>
      </c>
      <c r="BK4207" s="8">
        <v>39034.81</v>
      </c>
      <c r="BL4207" s="2" t="s">
        <v>12779</v>
      </c>
      <c r="BM4207" s="7">
        <v>0.0169</v>
      </c>
      <c r="BN4207" s="7">
        <v>0.0187</v>
      </c>
      <c r="BO4207" s="4">
        <v>17</v>
      </c>
      <c r="BP4207" s="8">
        <v>728.28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501</v>
      </c>
      <c r="BX4207" s="2" t="s">
        <v>6856</v>
      </c>
      <c r="BY4207" s="2" t="s">
        <v>113</v>
      </c>
      <c r="BZ4207" s="2" t="s">
        <v>100</v>
      </c>
    </row>
    <row r="4208">
      <c r="A4208" s="2" t="s">
        <v>12780</v>
      </c>
      <c r="B4208" s="2" t="s">
        <v>12738</v>
      </c>
      <c r="C4208" s="2" t="s">
        <v>3934</v>
      </c>
      <c r="D4208" s="2" t="s">
        <v>803</v>
      </c>
      <c r="E4208" s="2" t="s">
        <v>804</v>
      </c>
      <c r="F4208" s="2" t="s">
        <v>12772</v>
      </c>
      <c r="G4208" s="2" t="s">
        <v>12773</v>
      </c>
      <c r="H4208" s="2" t="s">
        <v>12774</v>
      </c>
      <c r="I4208" s="2" t="s">
        <v>12775</v>
      </c>
      <c r="J4208" s="2" t="s">
        <v>270</v>
      </c>
      <c r="K4208" s="2" t="s">
        <v>335</v>
      </c>
      <c r="L4208" s="3">
        <v>40.5</v>
      </c>
      <c r="M4208" s="3">
        <v>42.52</v>
      </c>
      <c r="N4208" s="3">
        <v>79.99</v>
      </c>
      <c r="O4208" s="2" t="s">
        <v>97</v>
      </c>
      <c r="P4208" s="2" t="s">
        <v>372</v>
      </c>
      <c r="Q4208" s="2" t="s">
        <v>99</v>
      </c>
      <c r="R4208" s="2" t="s">
        <v>100</v>
      </c>
      <c r="S4208" s="2" t="s">
        <v>12776</v>
      </c>
      <c r="T4208" s="2" t="s">
        <v>672</v>
      </c>
      <c r="U4208" s="2" t="s">
        <v>402</v>
      </c>
      <c r="V4208" s="2" t="s">
        <v>146</v>
      </c>
      <c r="W4208" s="2" t="s">
        <v>673</v>
      </c>
      <c r="X4208" s="2" t="s">
        <v>6540</v>
      </c>
      <c r="Y4208" s="2" t="s">
        <v>12781</v>
      </c>
      <c r="Z4208" s="4">
        <v>1184</v>
      </c>
      <c r="AA4208" s="4">
        <f>=ROUNDDOWN(59.2,0)</f>
      </c>
      <c r="AB4208" s="5">
        <v>20</v>
      </c>
      <c r="AC4208" s="2" t="s">
        <v>100</v>
      </c>
      <c r="AD4208" s="4"/>
      <c r="AE4208" s="4"/>
      <c r="AF4208" s="6">
        <v>64</v>
      </c>
      <c r="AG4208" s="6">
        <v>47</v>
      </c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/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479</v>
      </c>
      <c r="BK4208" s="8">
        <v>21688.02</v>
      </c>
      <c r="BL4208" s="2" t="s">
        <v>12782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207</v>
      </c>
      <c r="BV4208" s="2" t="s">
        <v>97</v>
      </c>
      <c r="BW4208" s="2" t="s">
        <v>100</v>
      </c>
      <c r="BX4208" s="2" t="s">
        <v>100</v>
      </c>
      <c r="BY4208" s="2" t="s">
        <v>113</v>
      </c>
      <c r="BZ4208" s="2" t="s">
        <v>245</v>
      </c>
    </row>
    <row r="4209">
      <c r="A4209" s="2" t="s">
        <v>12783</v>
      </c>
      <c r="B4209" s="2" t="s">
        <v>12738</v>
      </c>
      <c r="C4209" s="2" t="s">
        <v>3934</v>
      </c>
      <c r="D4209" s="2" t="s">
        <v>803</v>
      </c>
      <c r="E4209" s="2" t="s">
        <v>804</v>
      </c>
      <c r="F4209" s="2" t="s">
        <v>12772</v>
      </c>
      <c r="G4209" s="2" t="s">
        <v>12773</v>
      </c>
      <c r="H4209" s="2" t="s">
        <v>12774</v>
      </c>
      <c r="I4209" s="2" t="s">
        <v>12775</v>
      </c>
      <c r="J4209" s="2" t="s">
        <v>237</v>
      </c>
      <c r="K4209" s="2" t="s">
        <v>878</v>
      </c>
      <c r="L4209" s="3">
        <v>31.05</v>
      </c>
      <c r="M4209" s="3">
        <v>32.6</v>
      </c>
      <c r="N4209" s="3">
        <v>59.99</v>
      </c>
      <c r="O4209" s="2" t="s">
        <v>97</v>
      </c>
      <c r="P4209" s="2" t="s">
        <v>950</v>
      </c>
      <c r="Q4209" s="2" t="s">
        <v>99</v>
      </c>
      <c r="R4209" s="2" t="s">
        <v>100</v>
      </c>
      <c r="S4209" s="2" t="s">
        <v>12784</v>
      </c>
      <c r="T4209" s="2" t="s">
        <v>672</v>
      </c>
      <c r="U4209" s="2" t="s">
        <v>480</v>
      </c>
      <c r="V4209" s="2" t="s">
        <v>146</v>
      </c>
      <c r="W4209" s="2" t="s">
        <v>673</v>
      </c>
      <c r="X4209" s="2" t="s">
        <v>6540</v>
      </c>
      <c r="Y4209" s="2" t="s">
        <v>10879</v>
      </c>
      <c r="Z4209" s="4">
        <v>331</v>
      </c>
      <c r="AA4209" s="4">
        <f>=ROUNDDOWN(41.375,0)</f>
      </c>
      <c r="AB4209" s="5">
        <v>8</v>
      </c>
      <c r="AC4209" s="2" t="s">
        <v>3031</v>
      </c>
      <c r="AD4209" s="4">
        <v>290</v>
      </c>
      <c r="AE4209" s="4">
        <v>290</v>
      </c>
      <c r="AF4209" s="6">
        <v>64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>
        <v>7</v>
      </c>
      <c r="AQ4209" s="8">
        <v>253.61</v>
      </c>
      <c r="AR4209" s="4"/>
      <c r="AS4209" s="8"/>
      <c r="AT4209" s="7"/>
      <c r="AU4209" s="7"/>
      <c r="AV4209" s="4">
        <v>17</v>
      </c>
      <c r="AW4209" s="8">
        <v>690.83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0.3671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0.3214</v>
      </c>
      <c r="BJ4209" s="4">
        <v>230</v>
      </c>
      <c r="BK4209" s="8">
        <v>7365</v>
      </c>
      <c r="BL4209" s="2" t="s">
        <v>10825</v>
      </c>
      <c r="BM4209" s="7">
        <v>0.0304</v>
      </c>
      <c r="BN4209" s="7">
        <v>0.0344</v>
      </c>
      <c r="BO4209" s="4">
        <v>7</v>
      </c>
      <c r="BP4209" s="8">
        <v>253.61</v>
      </c>
      <c r="BQ4209" s="4"/>
      <c r="BR4209" s="8"/>
      <c r="BS4209" s="7"/>
      <c r="BT4209" s="7"/>
      <c r="BU4209" s="2" t="s">
        <v>109</v>
      </c>
      <c r="BV4209" s="2" t="s">
        <v>110</v>
      </c>
      <c r="BW4209" s="2" t="s">
        <v>1688</v>
      </c>
      <c r="BX4209" s="2" t="s">
        <v>12785</v>
      </c>
      <c r="BY4209" s="2" t="s">
        <v>113</v>
      </c>
      <c r="BZ4209" s="2" t="s">
        <v>100</v>
      </c>
    </row>
    <row r="4210">
      <c r="A4210" s="2" t="s">
        <v>12786</v>
      </c>
      <c r="B4210" s="2" t="s">
        <v>12738</v>
      </c>
      <c r="C4210" s="2" t="s">
        <v>3934</v>
      </c>
      <c r="D4210" s="2" t="s">
        <v>803</v>
      </c>
      <c r="E4210" s="2" t="s">
        <v>804</v>
      </c>
      <c r="F4210" s="2" t="s">
        <v>12772</v>
      </c>
      <c r="G4210" s="2" t="s">
        <v>12773</v>
      </c>
      <c r="H4210" s="2" t="s">
        <v>12774</v>
      </c>
      <c r="I4210" s="2" t="s">
        <v>12775</v>
      </c>
      <c r="J4210" s="2" t="s">
        <v>247</v>
      </c>
      <c r="K4210" s="2" t="s">
        <v>878</v>
      </c>
      <c r="L4210" s="3">
        <v>36.72</v>
      </c>
      <c r="M4210" s="3">
        <v>38.56</v>
      </c>
      <c r="N4210" s="3">
        <v>69.99</v>
      </c>
      <c r="O4210" s="2" t="s">
        <v>97</v>
      </c>
      <c r="P4210" s="2" t="s">
        <v>950</v>
      </c>
      <c r="Q4210" s="2" t="s">
        <v>99</v>
      </c>
      <c r="R4210" s="2" t="s">
        <v>100</v>
      </c>
      <c r="S4210" s="2" t="s">
        <v>12784</v>
      </c>
      <c r="T4210" s="2" t="s">
        <v>672</v>
      </c>
      <c r="U4210" s="2" t="s">
        <v>402</v>
      </c>
      <c r="V4210" s="2" t="s">
        <v>146</v>
      </c>
      <c r="W4210" s="2" t="s">
        <v>673</v>
      </c>
      <c r="X4210" s="2" t="s">
        <v>6540</v>
      </c>
      <c r="Y4210" s="2" t="s">
        <v>1879</v>
      </c>
      <c r="Z4210" s="4">
        <v>562</v>
      </c>
      <c r="AA4210" s="4">
        <f>=ROUNDDOWN(25.5454545454545,0)</f>
      </c>
      <c r="AB4210" s="5">
        <v>22</v>
      </c>
      <c r="AC4210" s="2" t="s">
        <v>184</v>
      </c>
      <c r="AD4210" s="4">
        <v>400</v>
      </c>
      <c r="AE4210" s="4">
        <v>950</v>
      </c>
      <c r="AF4210" s="6">
        <v>64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>
        <v>8</v>
      </c>
      <c r="AQ4210" s="8">
        <v>342.72</v>
      </c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0.4961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 t="s">
        <v>100</v>
      </c>
      <c r="BJ4210" s="4">
        <v>664</v>
      </c>
      <c r="BK4210" s="8">
        <v>25796.89</v>
      </c>
      <c r="BL4210" s="2" t="s">
        <v>12787</v>
      </c>
      <c r="BM4210" s="7">
        <v>0.012</v>
      </c>
      <c r="BN4210" s="7">
        <v>0.0133</v>
      </c>
      <c r="BO4210" s="4">
        <v>8</v>
      </c>
      <c r="BP4210" s="8">
        <v>342.72</v>
      </c>
      <c r="BQ4210" s="4"/>
      <c r="BR4210" s="8"/>
      <c r="BS4210" s="7"/>
      <c r="BT4210" s="7"/>
      <c r="BU4210" s="2" t="s">
        <v>109</v>
      </c>
      <c r="BV4210" s="2" t="s">
        <v>110</v>
      </c>
      <c r="BW4210" s="2" t="s">
        <v>1688</v>
      </c>
      <c r="BX4210" s="2" t="s">
        <v>5191</v>
      </c>
      <c r="BY4210" s="2" t="s">
        <v>113</v>
      </c>
      <c r="BZ4210" s="2" t="s">
        <v>100</v>
      </c>
    </row>
    <row r="4211">
      <c r="A4211" s="2" t="s">
        <v>12788</v>
      </c>
      <c r="B4211" s="2" t="s">
        <v>12738</v>
      </c>
      <c r="C4211" s="2" t="s">
        <v>3934</v>
      </c>
      <c r="D4211" s="2" t="s">
        <v>803</v>
      </c>
      <c r="E4211" s="2" t="s">
        <v>804</v>
      </c>
      <c r="F4211" s="2" t="s">
        <v>12772</v>
      </c>
      <c r="G4211" s="2" t="s">
        <v>12773</v>
      </c>
      <c r="H4211" s="2" t="s">
        <v>12774</v>
      </c>
      <c r="I4211" s="2" t="s">
        <v>12775</v>
      </c>
      <c r="J4211" s="2" t="s">
        <v>270</v>
      </c>
      <c r="K4211" s="2" t="s">
        <v>878</v>
      </c>
      <c r="L4211" s="3">
        <v>40.5</v>
      </c>
      <c r="M4211" s="3">
        <v>42.52</v>
      </c>
      <c r="N4211" s="3">
        <v>79.99</v>
      </c>
      <c r="O4211" s="2" t="s">
        <v>97</v>
      </c>
      <c r="P4211" s="2" t="s">
        <v>950</v>
      </c>
      <c r="Q4211" s="2" t="s">
        <v>99</v>
      </c>
      <c r="R4211" s="2" t="s">
        <v>100</v>
      </c>
      <c r="S4211" s="2" t="s">
        <v>12784</v>
      </c>
      <c r="T4211" s="2" t="s">
        <v>672</v>
      </c>
      <c r="U4211" s="2" t="s">
        <v>402</v>
      </c>
      <c r="V4211" s="2" t="s">
        <v>146</v>
      </c>
      <c r="W4211" s="2" t="s">
        <v>673</v>
      </c>
      <c r="X4211" s="2" t="s">
        <v>6540</v>
      </c>
      <c r="Y4211" s="2" t="s">
        <v>12789</v>
      </c>
      <c r="Z4211" s="4">
        <v>410</v>
      </c>
      <c r="AA4211" s="4">
        <f>=ROUNDDOWN(27.3333333333333,0)</f>
      </c>
      <c r="AB4211" s="5">
        <v>15</v>
      </c>
      <c r="AC4211" s="2" t="s">
        <v>3031</v>
      </c>
      <c r="AD4211" s="4">
        <v>630</v>
      </c>
      <c r="AE4211" s="4">
        <v>630</v>
      </c>
      <c r="AF4211" s="6">
        <v>64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>
        <v>2</v>
      </c>
      <c r="AQ4211" s="8">
        <v>94.5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0.1368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339</v>
      </c>
      <c r="BK4211" s="8">
        <v>15526.59</v>
      </c>
      <c r="BL4211" s="2" t="s">
        <v>10332</v>
      </c>
      <c r="BM4211" s="7">
        <v>0.0059</v>
      </c>
      <c r="BN4211" s="7">
        <v>0.0061</v>
      </c>
      <c r="BO4211" s="4">
        <v>2</v>
      </c>
      <c r="BP4211" s="8">
        <v>94.5</v>
      </c>
      <c r="BQ4211" s="4"/>
      <c r="BR4211" s="8"/>
      <c r="BS4211" s="7"/>
      <c r="BT4211" s="7"/>
      <c r="BU4211" s="2" t="s">
        <v>109</v>
      </c>
      <c r="BV4211" s="2" t="s">
        <v>110</v>
      </c>
      <c r="BW4211" s="2" t="s">
        <v>1688</v>
      </c>
      <c r="BX4211" s="2" t="s">
        <v>11606</v>
      </c>
      <c r="BY4211" s="2" t="s">
        <v>113</v>
      </c>
      <c r="BZ4211" s="2" t="s">
        <v>100</v>
      </c>
    </row>
    <row r="4212">
      <c r="A4212" s="2" t="s">
        <v>12790</v>
      </c>
      <c r="B4212" s="2" t="s">
        <v>12738</v>
      </c>
      <c r="C4212" s="2" t="s">
        <v>3934</v>
      </c>
      <c r="D4212" s="2" t="s">
        <v>803</v>
      </c>
      <c r="E4212" s="2" t="s">
        <v>804</v>
      </c>
      <c r="F4212" s="2" t="s">
        <v>12772</v>
      </c>
      <c r="G4212" s="2" t="s">
        <v>12773</v>
      </c>
      <c r="H4212" s="2" t="s">
        <v>12774</v>
      </c>
      <c r="I4212" s="2" t="s">
        <v>12775</v>
      </c>
      <c r="J4212" s="2" t="s">
        <v>237</v>
      </c>
      <c r="K4212" s="2" t="s">
        <v>578</v>
      </c>
      <c r="L4212" s="3">
        <v>31.05</v>
      </c>
      <c r="M4212" s="3">
        <v>32.6</v>
      </c>
      <c r="N4212" s="3">
        <v>59.99</v>
      </c>
      <c r="O4212" s="2" t="s">
        <v>97</v>
      </c>
      <c r="P4212" s="2" t="s">
        <v>98</v>
      </c>
      <c r="Q4212" s="2" t="s">
        <v>99</v>
      </c>
      <c r="R4212" s="2" t="s">
        <v>100</v>
      </c>
      <c r="S4212" s="2" t="s">
        <v>12791</v>
      </c>
      <c r="T4212" s="2" t="s">
        <v>672</v>
      </c>
      <c r="U4212" s="2" t="s">
        <v>480</v>
      </c>
      <c r="V4212" s="2" t="s">
        <v>146</v>
      </c>
      <c r="W4212" s="2" t="s">
        <v>673</v>
      </c>
      <c r="X4212" s="2" t="s">
        <v>6540</v>
      </c>
      <c r="Y4212" s="2" t="s">
        <v>1879</v>
      </c>
      <c r="Z4212" s="4">
        <v>285</v>
      </c>
      <c r="AA4212" s="4">
        <f>=ROUNDDOWN(47.5,0)</f>
      </c>
      <c r="AB4212" s="5">
        <v>6</v>
      </c>
      <c r="AC4212" s="2" t="s">
        <v>608</v>
      </c>
      <c r="AD4212" s="4">
        <v>140</v>
      </c>
      <c r="AE4212" s="4">
        <v>360</v>
      </c>
      <c r="AF4212" s="6">
        <v>64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>
        <v>3</v>
      </c>
      <c r="AQ4212" s="8">
        <v>108.69</v>
      </c>
      <c r="AR4212" s="4"/>
      <c r="AS4212" s="8"/>
      <c r="AT4212" s="7"/>
      <c r="AU4212" s="7"/>
      <c r="AV4212" s="4">
        <v>10</v>
      </c>
      <c r="AW4212" s="8">
        <v>408.57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0.266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0.1901</v>
      </c>
      <c r="BJ4212" s="4">
        <v>135</v>
      </c>
      <c r="BK4212" s="8">
        <v>4387.59</v>
      </c>
      <c r="BL4212" s="2" t="s">
        <v>12792</v>
      </c>
      <c r="BM4212" s="7">
        <v>0.0222</v>
      </c>
      <c r="BN4212" s="7">
        <v>0.0248</v>
      </c>
      <c r="BO4212" s="4">
        <v>3</v>
      </c>
      <c r="BP4212" s="8">
        <v>108.69</v>
      </c>
      <c r="BQ4212" s="4"/>
      <c r="BR4212" s="8"/>
      <c r="BS4212" s="7"/>
      <c r="BT4212" s="7"/>
      <c r="BU4212" s="2" t="s">
        <v>109</v>
      </c>
      <c r="BV4212" s="2" t="s">
        <v>110</v>
      </c>
      <c r="BW4212" s="2" t="s">
        <v>1688</v>
      </c>
      <c r="BX4212" s="2" t="s">
        <v>10151</v>
      </c>
      <c r="BY4212" s="2" t="s">
        <v>113</v>
      </c>
      <c r="BZ4212" s="2" t="s">
        <v>100</v>
      </c>
    </row>
    <row r="4213">
      <c r="A4213" s="2" t="s">
        <v>12793</v>
      </c>
      <c r="B4213" s="2" t="s">
        <v>12738</v>
      </c>
      <c r="C4213" s="2" t="s">
        <v>3934</v>
      </c>
      <c r="D4213" s="2" t="s">
        <v>803</v>
      </c>
      <c r="E4213" s="2" t="s">
        <v>804</v>
      </c>
      <c r="F4213" s="2" t="s">
        <v>12772</v>
      </c>
      <c r="G4213" s="2" t="s">
        <v>12773</v>
      </c>
      <c r="H4213" s="2" t="s">
        <v>12774</v>
      </c>
      <c r="I4213" s="2" t="s">
        <v>12775</v>
      </c>
      <c r="J4213" s="2" t="s">
        <v>247</v>
      </c>
      <c r="K4213" s="2" t="s">
        <v>578</v>
      </c>
      <c r="L4213" s="3">
        <v>36.72</v>
      </c>
      <c r="M4213" s="3">
        <v>38.56</v>
      </c>
      <c r="N4213" s="3">
        <v>69.99</v>
      </c>
      <c r="O4213" s="2" t="s">
        <v>97</v>
      </c>
      <c r="P4213" s="2" t="s">
        <v>98</v>
      </c>
      <c r="Q4213" s="2" t="s">
        <v>99</v>
      </c>
      <c r="R4213" s="2" t="s">
        <v>100</v>
      </c>
      <c r="S4213" s="2" t="s">
        <v>12791</v>
      </c>
      <c r="T4213" s="2" t="s">
        <v>672</v>
      </c>
      <c r="U4213" s="2" t="s">
        <v>402</v>
      </c>
      <c r="V4213" s="2" t="s">
        <v>146</v>
      </c>
      <c r="W4213" s="2" t="s">
        <v>673</v>
      </c>
      <c r="X4213" s="2" t="s">
        <v>6540</v>
      </c>
      <c r="Y4213" s="2" t="s">
        <v>1879</v>
      </c>
      <c r="Z4213" s="4">
        <v>1122</v>
      </c>
      <c r="AA4213" s="4">
        <f>=ROUNDDOWN(66,0)</f>
      </c>
      <c r="AB4213" s="5">
        <v>17</v>
      </c>
      <c r="AC4213" s="2" t="s">
        <v>3031</v>
      </c>
      <c r="AD4213" s="4">
        <v>540</v>
      </c>
      <c r="AE4213" s="4">
        <v>540</v>
      </c>
      <c r="AF4213" s="6">
        <v>64</v>
      </c>
      <c r="AG4213" s="6">
        <v>47</v>
      </c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>
        <v>7</v>
      </c>
      <c r="AQ4213" s="8">
        <v>299.88</v>
      </c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0.734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 t="s">
        <v>100</v>
      </c>
      <c r="BJ4213" s="4">
        <v>389</v>
      </c>
      <c r="BK4213" s="8">
        <v>15046.22</v>
      </c>
      <c r="BL4213" s="2" t="s">
        <v>12794</v>
      </c>
      <c r="BM4213" s="7">
        <v>0.018</v>
      </c>
      <c r="BN4213" s="7">
        <v>0.0199</v>
      </c>
      <c r="BO4213" s="4">
        <v>7</v>
      </c>
      <c r="BP4213" s="8">
        <v>299.88</v>
      </c>
      <c r="BQ4213" s="4"/>
      <c r="BR4213" s="8"/>
      <c r="BS4213" s="7"/>
      <c r="BT4213" s="7"/>
      <c r="BU4213" s="2" t="s">
        <v>109</v>
      </c>
      <c r="BV4213" s="2" t="s">
        <v>110</v>
      </c>
      <c r="BW4213" s="2" t="s">
        <v>1688</v>
      </c>
      <c r="BX4213" s="2" t="s">
        <v>5168</v>
      </c>
      <c r="BY4213" s="2" t="s">
        <v>113</v>
      </c>
      <c r="BZ4213" s="2" t="s">
        <v>100</v>
      </c>
    </row>
    <row r="4214">
      <c r="A4214" s="2" t="s">
        <v>12795</v>
      </c>
      <c r="B4214" s="2" t="s">
        <v>12738</v>
      </c>
      <c r="C4214" s="2" t="s">
        <v>3934</v>
      </c>
      <c r="D4214" s="2" t="s">
        <v>803</v>
      </c>
      <c r="E4214" s="2" t="s">
        <v>804</v>
      </c>
      <c r="F4214" s="2" t="s">
        <v>12772</v>
      </c>
      <c r="G4214" s="2" t="s">
        <v>12773</v>
      </c>
      <c r="H4214" s="2" t="s">
        <v>12774</v>
      </c>
      <c r="I4214" s="2" t="s">
        <v>12775</v>
      </c>
      <c r="J4214" s="2" t="s">
        <v>270</v>
      </c>
      <c r="K4214" s="2" t="s">
        <v>578</v>
      </c>
      <c r="L4214" s="3">
        <v>40.5</v>
      </c>
      <c r="M4214" s="3">
        <v>42.52</v>
      </c>
      <c r="N4214" s="3">
        <v>79.99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12791</v>
      </c>
      <c r="T4214" s="2" t="s">
        <v>672</v>
      </c>
      <c r="U4214" s="2" t="s">
        <v>402</v>
      </c>
      <c r="V4214" s="2" t="s">
        <v>146</v>
      </c>
      <c r="W4214" s="2" t="s">
        <v>673</v>
      </c>
      <c r="X4214" s="2" t="s">
        <v>6540</v>
      </c>
      <c r="Y4214" s="2" t="s">
        <v>12796</v>
      </c>
      <c r="Z4214" s="4">
        <v>487</v>
      </c>
      <c r="AA4214" s="4">
        <f>=ROUNDDOWN(37.4615384615385,0)</f>
      </c>
      <c r="AB4214" s="5">
        <v>13</v>
      </c>
      <c r="AC4214" s="2" t="s">
        <v>3031</v>
      </c>
      <c r="AD4214" s="4">
        <v>460</v>
      </c>
      <c r="AE4214" s="4">
        <v>460</v>
      </c>
      <c r="AF4214" s="6">
        <v>64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/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384</v>
      </c>
      <c r="BK4214" s="8">
        <v>17661.49</v>
      </c>
      <c r="BL4214" s="2" t="s">
        <v>12797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207</v>
      </c>
      <c r="BV4214" s="2" t="s">
        <v>97</v>
      </c>
      <c r="BW4214" s="2" t="s">
        <v>100</v>
      </c>
      <c r="BX4214" s="2" t="s">
        <v>100</v>
      </c>
      <c r="BY4214" s="2" t="s">
        <v>113</v>
      </c>
      <c r="BZ4214" s="2" t="s">
        <v>245</v>
      </c>
    </row>
    <row r="4215">
      <c r="A4215" s="2" t="s">
        <v>12798</v>
      </c>
      <c r="B4215" s="2" t="s">
        <v>12738</v>
      </c>
      <c r="C4215" s="2" t="s">
        <v>3934</v>
      </c>
      <c r="D4215" s="2" t="s">
        <v>803</v>
      </c>
      <c r="E4215" s="2" t="s">
        <v>804</v>
      </c>
      <c r="F4215" s="2" t="s">
        <v>12772</v>
      </c>
      <c r="G4215" s="2" t="s">
        <v>12773</v>
      </c>
      <c r="H4215" s="2" t="s">
        <v>12774</v>
      </c>
      <c r="I4215" s="2" t="s">
        <v>12775</v>
      </c>
      <c r="J4215" s="2" t="s">
        <v>237</v>
      </c>
      <c r="K4215" s="2" t="s">
        <v>360</v>
      </c>
      <c r="L4215" s="3">
        <v>31.05</v>
      </c>
      <c r="M4215" s="3">
        <v>32.6</v>
      </c>
      <c r="N4215" s="3">
        <v>59.99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12799</v>
      </c>
      <c r="T4215" s="2" t="s">
        <v>672</v>
      </c>
      <c r="U4215" s="2" t="s">
        <v>480</v>
      </c>
      <c r="V4215" s="2" t="s">
        <v>146</v>
      </c>
      <c r="W4215" s="2" t="s">
        <v>673</v>
      </c>
      <c r="X4215" s="2" t="s">
        <v>6540</v>
      </c>
      <c r="Y4215" s="2" t="s">
        <v>12800</v>
      </c>
      <c r="Z4215" s="4">
        <v>555</v>
      </c>
      <c r="AA4215" s="4">
        <f>=ROUNDDOWN(79.2857142857143,0)</f>
      </c>
      <c r="AB4215" s="5">
        <v>7</v>
      </c>
      <c r="AC4215" s="2" t="s">
        <v>3031</v>
      </c>
      <c r="AD4215" s="4">
        <v>180</v>
      </c>
      <c r="AE4215" s="4">
        <v>180</v>
      </c>
      <c r="AF4215" s="6">
        <v>64</v>
      </c>
      <c r="AG4215" s="6">
        <v>47</v>
      </c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>
        <v>2</v>
      </c>
      <c r="AQ4215" s="8">
        <v>68.04</v>
      </c>
      <c r="AR4215" s="4"/>
      <c r="AS4215" s="8"/>
      <c r="AT4215" s="7"/>
      <c r="AU4215" s="7"/>
      <c r="AV4215" s="4">
        <v>2</v>
      </c>
      <c r="AW4215" s="8">
        <v>68.04</v>
      </c>
      <c r="AX4215" s="4"/>
      <c r="AY4215" s="8"/>
      <c r="AZ4215" s="7"/>
      <c r="BA4215" s="7"/>
      <c r="BB4215" s="7">
        <v>1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>
        <v>0.0317</v>
      </c>
      <c r="BJ4215" s="4">
        <v>196</v>
      </c>
      <c r="BK4215" s="8">
        <v>6490.13</v>
      </c>
      <c r="BL4215" s="2" t="s">
        <v>12801</v>
      </c>
      <c r="BM4215" s="7">
        <v>0.0102</v>
      </c>
      <c r="BN4215" s="7">
        <v>0.0105</v>
      </c>
      <c r="BO4215" s="4">
        <v>2</v>
      </c>
      <c r="BP4215" s="8">
        <v>68.04</v>
      </c>
      <c r="BQ4215" s="4"/>
      <c r="BR4215" s="8"/>
      <c r="BS4215" s="7"/>
      <c r="BT4215" s="7"/>
      <c r="BU4215" s="2" t="s">
        <v>109</v>
      </c>
      <c r="BV4215" s="2" t="s">
        <v>110</v>
      </c>
      <c r="BW4215" s="2" t="s">
        <v>12802</v>
      </c>
      <c r="BX4215" s="2" t="s">
        <v>6468</v>
      </c>
      <c r="BY4215" s="2" t="s">
        <v>113</v>
      </c>
      <c r="BZ4215" s="2" t="s">
        <v>100</v>
      </c>
    </row>
    <row r="4216">
      <c r="A4216" s="2" t="s">
        <v>12803</v>
      </c>
      <c r="B4216" s="2" t="s">
        <v>12738</v>
      </c>
      <c r="C4216" s="2" t="s">
        <v>3934</v>
      </c>
      <c r="D4216" s="2" t="s">
        <v>803</v>
      </c>
      <c r="E4216" s="2" t="s">
        <v>804</v>
      </c>
      <c r="F4216" s="2" t="s">
        <v>12772</v>
      </c>
      <c r="G4216" s="2" t="s">
        <v>12773</v>
      </c>
      <c r="H4216" s="2" t="s">
        <v>12774</v>
      </c>
      <c r="I4216" s="2" t="s">
        <v>12775</v>
      </c>
      <c r="J4216" s="2" t="s">
        <v>237</v>
      </c>
      <c r="K4216" s="2" t="s">
        <v>118</v>
      </c>
      <c r="L4216" s="3">
        <v>31.05</v>
      </c>
      <c r="M4216" s="3">
        <v>32.6</v>
      </c>
      <c r="N4216" s="3">
        <v>59.99</v>
      </c>
      <c r="O4216" s="2" t="s">
        <v>97</v>
      </c>
      <c r="P4216" s="2" t="s">
        <v>119</v>
      </c>
      <c r="Q4216" s="2" t="s">
        <v>99</v>
      </c>
      <c r="R4216" s="2" t="s">
        <v>100</v>
      </c>
      <c r="S4216" s="2" t="s">
        <v>12804</v>
      </c>
      <c r="T4216" s="2" t="s">
        <v>672</v>
      </c>
      <c r="U4216" s="2" t="s">
        <v>480</v>
      </c>
      <c r="V4216" s="2" t="s">
        <v>146</v>
      </c>
      <c r="W4216" s="2" t="s">
        <v>673</v>
      </c>
      <c r="X4216" s="2" t="s">
        <v>6540</v>
      </c>
      <c r="Y4216" s="2" t="s">
        <v>2953</v>
      </c>
      <c r="Z4216" s="4">
        <v>378</v>
      </c>
      <c r="AA4216" s="4">
        <f>=ROUNDDOWN(63,0)</f>
      </c>
      <c r="AB4216" s="5">
        <v>6</v>
      </c>
      <c r="AC4216" s="2" t="s">
        <v>148</v>
      </c>
      <c r="AD4216" s="4">
        <v>190</v>
      </c>
      <c r="AE4216" s="4">
        <v>190</v>
      </c>
      <c r="AF4216" s="6">
        <v>64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/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121</v>
      </c>
      <c r="BK4216" s="8">
        <v>3887.22</v>
      </c>
      <c r="BL4216" s="2" t="s">
        <v>12805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207</v>
      </c>
      <c r="BV4216" s="2" t="s">
        <v>97</v>
      </c>
      <c r="BW4216" s="2" t="s">
        <v>100</v>
      </c>
      <c r="BX4216" s="2" t="s">
        <v>100</v>
      </c>
      <c r="BY4216" s="2" t="s">
        <v>113</v>
      </c>
      <c r="BZ4216" s="2" t="s">
        <v>245</v>
      </c>
    </row>
    <row r="4217">
      <c r="A4217" s="2" t="s">
        <v>12806</v>
      </c>
      <c r="B4217" s="2" t="s">
        <v>12738</v>
      </c>
      <c r="C4217" s="2" t="s">
        <v>3934</v>
      </c>
      <c r="D4217" s="2" t="s">
        <v>803</v>
      </c>
      <c r="E4217" s="2" t="s">
        <v>804</v>
      </c>
      <c r="F4217" s="2" t="s">
        <v>12772</v>
      </c>
      <c r="G4217" s="2" t="s">
        <v>12773</v>
      </c>
      <c r="H4217" s="2" t="s">
        <v>12774</v>
      </c>
      <c r="I4217" s="2" t="s">
        <v>12775</v>
      </c>
      <c r="J4217" s="2" t="s">
        <v>247</v>
      </c>
      <c r="K4217" s="2" t="s">
        <v>118</v>
      </c>
      <c r="L4217" s="3">
        <v>36.72</v>
      </c>
      <c r="M4217" s="3">
        <v>38.56</v>
      </c>
      <c r="N4217" s="3">
        <v>69.99</v>
      </c>
      <c r="O4217" s="2" t="s">
        <v>97</v>
      </c>
      <c r="P4217" s="2" t="s">
        <v>119</v>
      </c>
      <c r="Q4217" s="2" t="s">
        <v>99</v>
      </c>
      <c r="R4217" s="2" t="s">
        <v>100</v>
      </c>
      <c r="S4217" s="2" t="s">
        <v>12804</v>
      </c>
      <c r="T4217" s="2" t="s">
        <v>672</v>
      </c>
      <c r="U4217" s="2" t="s">
        <v>402</v>
      </c>
      <c r="V4217" s="2" t="s">
        <v>146</v>
      </c>
      <c r="W4217" s="2" t="s">
        <v>673</v>
      </c>
      <c r="X4217" s="2" t="s">
        <v>6540</v>
      </c>
      <c r="Y4217" s="2" t="s">
        <v>2953</v>
      </c>
      <c r="Z4217" s="4">
        <v>145</v>
      </c>
      <c r="AA4217" s="4">
        <f>=ROUNDDOWN(13.1818181818182,0)</f>
      </c>
      <c r="AB4217" s="5">
        <v>11</v>
      </c>
      <c r="AC4217" s="2" t="s">
        <v>148</v>
      </c>
      <c r="AD4217" s="4">
        <v>180</v>
      </c>
      <c r="AE4217" s="4">
        <v>180</v>
      </c>
      <c r="AF4217" s="6">
        <v>64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/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256</v>
      </c>
      <c r="BK4217" s="8">
        <v>10069.6</v>
      </c>
      <c r="BL4217" s="2" t="s">
        <v>12807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207</v>
      </c>
      <c r="BV4217" s="2" t="s">
        <v>97</v>
      </c>
      <c r="BW4217" s="2" t="s">
        <v>100</v>
      </c>
      <c r="BX4217" s="2" t="s">
        <v>100</v>
      </c>
      <c r="BY4217" s="2" t="s">
        <v>113</v>
      </c>
      <c r="BZ4217" s="2" t="s">
        <v>245</v>
      </c>
    </row>
    <row r="4218">
      <c r="A4218" s="2" t="s">
        <v>12808</v>
      </c>
      <c r="B4218" s="2" t="s">
        <v>12738</v>
      </c>
      <c r="C4218" s="2" t="s">
        <v>3934</v>
      </c>
      <c r="D4218" s="2" t="s">
        <v>803</v>
      </c>
      <c r="E4218" s="2" t="s">
        <v>804</v>
      </c>
      <c r="F4218" s="2" t="s">
        <v>12772</v>
      </c>
      <c r="G4218" s="2" t="s">
        <v>12773</v>
      </c>
      <c r="H4218" s="2" t="s">
        <v>12774</v>
      </c>
      <c r="I4218" s="2" t="s">
        <v>12775</v>
      </c>
      <c r="J4218" s="2" t="s">
        <v>270</v>
      </c>
      <c r="K4218" s="2" t="s">
        <v>118</v>
      </c>
      <c r="L4218" s="3">
        <v>40.5</v>
      </c>
      <c r="M4218" s="3">
        <v>42.52</v>
      </c>
      <c r="N4218" s="3">
        <v>79.99</v>
      </c>
      <c r="O4218" s="2" t="s">
        <v>97</v>
      </c>
      <c r="P4218" s="2" t="s">
        <v>119</v>
      </c>
      <c r="Q4218" s="2" t="s">
        <v>99</v>
      </c>
      <c r="R4218" s="2" t="s">
        <v>100</v>
      </c>
      <c r="S4218" s="2" t="s">
        <v>12804</v>
      </c>
      <c r="T4218" s="2" t="s">
        <v>672</v>
      </c>
      <c r="U4218" s="2" t="s">
        <v>402</v>
      </c>
      <c r="V4218" s="2" t="s">
        <v>146</v>
      </c>
      <c r="W4218" s="2" t="s">
        <v>673</v>
      </c>
      <c r="X4218" s="2" t="s">
        <v>6540</v>
      </c>
      <c r="Y4218" s="2" t="s">
        <v>2953</v>
      </c>
      <c r="Z4218" s="4">
        <v>279</v>
      </c>
      <c r="AA4218" s="4">
        <f>=ROUNDDOWN(39.8571428571429,0)</f>
      </c>
      <c r="AB4218" s="5">
        <v>7</v>
      </c>
      <c r="AC4218" s="2" t="s">
        <v>148</v>
      </c>
      <c r="AD4218" s="4">
        <v>150</v>
      </c>
      <c r="AE4218" s="4">
        <v>150</v>
      </c>
      <c r="AF4218" s="6">
        <v>64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/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136</v>
      </c>
      <c r="BK4218" s="8">
        <v>6131.97</v>
      </c>
      <c r="BL4218" s="2" t="s">
        <v>12809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207</v>
      </c>
      <c r="BV4218" s="2" t="s">
        <v>97</v>
      </c>
      <c r="BW4218" s="2" t="s">
        <v>100</v>
      </c>
      <c r="BX4218" s="2" t="s">
        <v>100</v>
      </c>
      <c r="BY4218" s="2" t="s">
        <v>113</v>
      </c>
      <c r="BZ4218" s="2" t="s">
        <v>245</v>
      </c>
    </row>
    <row r="4219">
      <c r="A4219" s="2" t="s">
        <v>12810</v>
      </c>
      <c r="B4219" s="2" t="s">
        <v>12738</v>
      </c>
      <c r="C4219" s="2" t="s">
        <v>3934</v>
      </c>
      <c r="D4219" s="2" t="s">
        <v>803</v>
      </c>
      <c r="E4219" s="2" t="s">
        <v>804</v>
      </c>
      <c r="F4219" s="2" t="s">
        <v>12772</v>
      </c>
      <c r="G4219" s="2" t="s">
        <v>12773</v>
      </c>
      <c r="H4219" s="2" t="s">
        <v>12774</v>
      </c>
      <c r="I4219" s="2" t="s">
        <v>12775</v>
      </c>
      <c r="J4219" s="2" t="s">
        <v>237</v>
      </c>
      <c r="K4219" s="2" t="s">
        <v>6430</v>
      </c>
      <c r="L4219" s="3">
        <v>31.05</v>
      </c>
      <c r="M4219" s="3">
        <v>32.6</v>
      </c>
      <c r="N4219" s="3">
        <v>59.99</v>
      </c>
      <c r="O4219" s="2" t="s">
        <v>97</v>
      </c>
      <c r="P4219" s="2" t="s">
        <v>119</v>
      </c>
      <c r="Q4219" s="2" t="s">
        <v>99</v>
      </c>
      <c r="R4219" s="2" t="s">
        <v>100</v>
      </c>
      <c r="S4219" s="2" t="s">
        <v>12811</v>
      </c>
      <c r="T4219" s="2" t="s">
        <v>672</v>
      </c>
      <c r="U4219" s="2" t="s">
        <v>480</v>
      </c>
      <c r="V4219" s="2" t="s">
        <v>146</v>
      </c>
      <c r="W4219" s="2" t="s">
        <v>673</v>
      </c>
      <c r="X4219" s="2" t="s">
        <v>6540</v>
      </c>
      <c r="Y4219" s="2" t="s">
        <v>5379</v>
      </c>
      <c r="Z4219" s="4">
        <v>70</v>
      </c>
      <c r="AA4219" s="4">
        <f>=ROUNDDOWN(23.3333333333333,0)</f>
      </c>
      <c r="AB4219" s="5">
        <v>3</v>
      </c>
      <c r="AC4219" s="2" t="s">
        <v>1115</v>
      </c>
      <c r="AD4219" s="4">
        <v>75</v>
      </c>
      <c r="AE4219" s="4">
        <v>75</v>
      </c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/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77</v>
      </c>
      <c r="BK4219" s="8">
        <v>2583.17</v>
      </c>
      <c r="BL4219" s="2" t="s">
        <v>12681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207</v>
      </c>
      <c r="BV4219" s="2" t="s">
        <v>97</v>
      </c>
      <c r="BW4219" s="2" t="s">
        <v>100</v>
      </c>
      <c r="BX4219" s="2" t="s">
        <v>100</v>
      </c>
      <c r="BY4219" s="2" t="s">
        <v>113</v>
      </c>
      <c r="BZ4219" s="2" t="s">
        <v>100</v>
      </c>
    </row>
    <row r="4220">
      <c r="A4220" s="2" t="s">
        <v>12812</v>
      </c>
      <c r="B4220" s="2" t="s">
        <v>12738</v>
      </c>
      <c r="C4220" s="2" t="s">
        <v>3934</v>
      </c>
      <c r="D4220" s="2" t="s">
        <v>803</v>
      </c>
      <c r="E4220" s="2" t="s">
        <v>804</v>
      </c>
      <c r="F4220" s="2" t="s">
        <v>12772</v>
      </c>
      <c r="G4220" s="2" t="s">
        <v>12773</v>
      </c>
      <c r="H4220" s="2" t="s">
        <v>12774</v>
      </c>
      <c r="I4220" s="2" t="s">
        <v>12775</v>
      </c>
      <c r="J4220" s="2" t="s">
        <v>247</v>
      </c>
      <c r="K4220" s="2" t="s">
        <v>6430</v>
      </c>
      <c r="L4220" s="3">
        <v>36.72</v>
      </c>
      <c r="M4220" s="3">
        <v>38.56</v>
      </c>
      <c r="N4220" s="3">
        <v>69.99</v>
      </c>
      <c r="O4220" s="2" t="s">
        <v>97</v>
      </c>
      <c r="P4220" s="2" t="s">
        <v>119</v>
      </c>
      <c r="Q4220" s="2" t="s">
        <v>99</v>
      </c>
      <c r="R4220" s="2" t="s">
        <v>100</v>
      </c>
      <c r="S4220" s="2" t="s">
        <v>12811</v>
      </c>
      <c r="T4220" s="2" t="s">
        <v>672</v>
      </c>
      <c r="U4220" s="2" t="s">
        <v>402</v>
      </c>
      <c r="V4220" s="2" t="s">
        <v>146</v>
      </c>
      <c r="W4220" s="2" t="s">
        <v>673</v>
      </c>
      <c r="X4220" s="2" t="s">
        <v>6540</v>
      </c>
      <c r="Y4220" s="2" t="s">
        <v>5379</v>
      </c>
      <c r="Z4220" s="4">
        <v>226</v>
      </c>
      <c r="AA4220" s="4">
        <f>=ROUNDDOWN(17.3846153846154,0)</f>
      </c>
      <c r="AB4220" s="5">
        <v>13</v>
      </c>
      <c r="AC4220" s="2" t="s">
        <v>1115</v>
      </c>
      <c r="AD4220" s="4">
        <v>275</v>
      </c>
      <c r="AE4220" s="4">
        <v>275</v>
      </c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210</v>
      </c>
      <c r="BK4220" s="8">
        <v>8269.72</v>
      </c>
      <c r="BL4220" s="2" t="s">
        <v>12813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207</v>
      </c>
      <c r="BV4220" s="2" t="s">
        <v>97</v>
      </c>
      <c r="BW4220" s="2" t="s">
        <v>100</v>
      </c>
      <c r="BX4220" s="2" t="s">
        <v>100</v>
      </c>
      <c r="BY4220" s="2" t="s">
        <v>113</v>
      </c>
      <c r="BZ4220" s="2" t="s">
        <v>100</v>
      </c>
    </row>
    <row r="4221">
      <c r="A4221" s="2" t="s">
        <v>12814</v>
      </c>
      <c r="B4221" s="2" t="s">
        <v>12738</v>
      </c>
      <c r="C4221" s="2" t="s">
        <v>3934</v>
      </c>
      <c r="D4221" s="2" t="s">
        <v>803</v>
      </c>
      <c r="E4221" s="2" t="s">
        <v>804</v>
      </c>
      <c r="F4221" s="2" t="s">
        <v>12772</v>
      </c>
      <c r="G4221" s="2" t="s">
        <v>12773</v>
      </c>
      <c r="H4221" s="2" t="s">
        <v>12774</v>
      </c>
      <c r="I4221" s="2" t="s">
        <v>12775</v>
      </c>
      <c r="J4221" s="2" t="s">
        <v>270</v>
      </c>
      <c r="K4221" s="2" t="s">
        <v>6430</v>
      </c>
      <c r="L4221" s="3">
        <v>40.5</v>
      </c>
      <c r="M4221" s="3">
        <v>42.52</v>
      </c>
      <c r="N4221" s="3">
        <v>79.99</v>
      </c>
      <c r="O4221" s="2" t="s">
        <v>97</v>
      </c>
      <c r="P4221" s="2" t="s">
        <v>119</v>
      </c>
      <c r="Q4221" s="2" t="s">
        <v>99</v>
      </c>
      <c r="R4221" s="2" t="s">
        <v>100</v>
      </c>
      <c r="S4221" s="2" t="s">
        <v>12811</v>
      </c>
      <c r="T4221" s="2" t="s">
        <v>672</v>
      </c>
      <c r="U4221" s="2" t="s">
        <v>402</v>
      </c>
      <c r="V4221" s="2" t="s">
        <v>146</v>
      </c>
      <c r="W4221" s="2" t="s">
        <v>673</v>
      </c>
      <c r="X4221" s="2" t="s">
        <v>6540</v>
      </c>
      <c r="Y4221" s="2" t="s">
        <v>5379</v>
      </c>
      <c r="Z4221" s="4">
        <v>86</v>
      </c>
      <c r="AA4221" s="4">
        <f>=ROUNDDOWN(9.55555555555556,0)</f>
      </c>
      <c r="AB4221" s="5">
        <v>9</v>
      </c>
      <c r="AC4221" s="2" t="s">
        <v>1115</v>
      </c>
      <c r="AD4221" s="4">
        <v>160</v>
      </c>
      <c r="AE4221" s="4">
        <v>160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191</v>
      </c>
      <c r="BK4221" s="8">
        <v>8365.3</v>
      </c>
      <c r="BL4221" s="2" t="s">
        <v>7387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207</v>
      </c>
      <c r="BV4221" s="2" t="s">
        <v>97</v>
      </c>
      <c r="BW4221" s="2" t="s">
        <v>100</v>
      </c>
      <c r="BX4221" s="2" t="s">
        <v>100</v>
      </c>
      <c r="BY4221" s="2" t="s">
        <v>113</v>
      </c>
      <c r="BZ4221" s="2" t="s">
        <v>100</v>
      </c>
    </row>
    <row r="4222">
      <c r="A4222" s="2" t="s">
        <v>12815</v>
      </c>
      <c r="B4222" s="2" t="s">
        <v>12738</v>
      </c>
      <c r="C4222" s="2" t="s">
        <v>3934</v>
      </c>
      <c r="D4222" s="2" t="s">
        <v>803</v>
      </c>
      <c r="E4222" s="2" t="s">
        <v>804</v>
      </c>
      <c r="F4222" s="2" t="s">
        <v>12772</v>
      </c>
      <c r="G4222" s="2" t="s">
        <v>12773</v>
      </c>
      <c r="H4222" s="2" t="s">
        <v>12774</v>
      </c>
      <c r="I4222" s="2" t="s">
        <v>12775</v>
      </c>
      <c r="J4222" s="2" t="s">
        <v>237</v>
      </c>
      <c r="K4222" s="2" t="s">
        <v>278</v>
      </c>
      <c r="L4222" s="3">
        <v>31.05</v>
      </c>
      <c r="M4222" s="3">
        <v>32.6</v>
      </c>
      <c r="N4222" s="3">
        <v>59.99</v>
      </c>
      <c r="O4222" s="2" t="s">
        <v>97</v>
      </c>
      <c r="P4222" s="2" t="s">
        <v>119</v>
      </c>
      <c r="Q4222" s="2" t="s">
        <v>99</v>
      </c>
      <c r="R4222" s="2" t="s">
        <v>100</v>
      </c>
      <c r="S4222" s="2" t="s">
        <v>12816</v>
      </c>
      <c r="T4222" s="2" t="s">
        <v>672</v>
      </c>
      <c r="U4222" s="2" t="s">
        <v>480</v>
      </c>
      <c r="V4222" s="2" t="s">
        <v>146</v>
      </c>
      <c r="W4222" s="2" t="s">
        <v>673</v>
      </c>
      <c r="X4222" s="2" t="s">
        <v>6540</v>
      </c>
      <c r="Y4222" s="2" t="s">
        <v>5379</v>
      </c>
      <c r="Z4222" s="4">
        <v>82</v>
      </c>
      <c r="AA4222" s="4">
        <f>=ROUNDDOWN(27.3333333333333,0)</f>
      </c>
      <c r="AB4222" s="5">
        <v>3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60</v>
      </c>
      <c r="BK4222" s="8">
        <v>1953.98</v>
      </c>
      <c r="BL4222" s="2" t="s">
        <v>5008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207</v>
      </c>
      <c r="BV4222" s="2" t="s">
        <v>97</v>
      </c>
      <c r="BW4222" s="2" t="s">
        <v>100</v>
      </c>
      <c r="BX4222" s="2" t="s">
        <v>100</v>
      </c>
      <c r="BY4222" s="2" t="s">
        <v>113</v>
      </c>
      <c r="BZ4222" s="2" t="s">
        <v>100</v>
      </c>
    </row>
    <row r="4223">
      <c r="A4223" s="2" t="s">
        <v>12817</v>
      </c>
      <c r="B4223" s="2" t="s">
        <v>12738</v>
      </c>
      <c r="C4223" s="2" t="s">
        <v>3934</v>
      </c>
      <c r="D4223" s="2" t="s">
        <v>803</v>
      </c>
      <c r="E4223" s="2" t="s">
        <v>804</v>
      </c>
      <c r="F4223" s="2" t="s">
        <v>12772</v>
      </c>
      <c r="G4223" s="2" t="s">
        <v>12773</v>
      </c>
      <c r="H4223" s="2" t="s">
        <v>12774</v>
      </c>
      <c r="I4223" s="2" t="s">
        <v>12775</v>
      </c>
      <c r="J4223" s="2" t="s">
        <v>247</v>
      </c>
      <c r="K4223" s="2" t="s">
        <v>278</v>
      </c>
      <c r="L4223" s="3">
        <v>36.72</v>
      </c>
      <c r="M4223" s="3">
        <v>38.56</v>
      </c>
      <c r="N4223" s="3">
        <v>69.99</v>
      </c>
      <c r="O4223" s="2" t="s">
        <v>97</v>
      </c>
      <c r="P4223" s="2" t="s">
        <v>119</v>
      </c>
      <c r="Q4223" s="2" t="s">
        <v>99</v>
      </c>
      <c r="R4223" s="2" t="s">
        <v>100</v>
      </c>
      <c r="S4223" s="2" t="s">
        <v>12816</v>
      </c>
      <c r="T4223" s="2" t="s">
        <v>672</v>
      </c>
      <c r="U4223" s="2" t="s">
        <v>402</v>
      </c>
      <c r="V4223" s="2" t="s">
        <v>146</v>
      </c>
      <c r="W4223" s="2" t="s">
        <v>673</v>
      </c>
      <c r="X4223" s="2" t="s">
        <v>6540</v>
      </c>
      <c r="Y4223" s="2" t="s">
        <v>5379</v>
      </c>
      <c r="Z4223" s="4">
        <v>220</v>
      </c>
      <c r="AA4223" s="4">
        <f>=ROUNDDOWN(28.5714285714286,0)</f>
      </c>
      <c r="AB4223" s="5">
        <v>7.7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108</v>
      </c>
      <c r="BK4223" s="8">
        <v>4077.13</v>
      </c>
      <c r="BL4223" s="2" t="s">
        <v>12681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207</v>
      </c>
      <c r="BV4223" s="2" t="s">
        <v>97</v>
      </c>
      <c r="BW4223" s="2" t="s">
        <v>100</v>
      </c>
      <c r="BX4223" s="2" t="s">
        <v>100</v>
      </c>
      <c r="BY4223" s="2" t="s">
        <v>113</v>
      </c>
      <c r="BZ4223" s="2" t="s">
        <v>100</v>
      </c>
    </row>
    <row r="4224">
      <c r="A4224" s="2" t="s">
        <v>12818</v>
      </c>
      <c r="B4224" s="2" t="s">
        <v>12738</v>
      </c>
      <c r="C4224" s="2" t="s">
        <v>3934</v>
      </c>
      <c r="D4224" s="2" t="s">
        <v>803</v>
      </c>
      <c r="E4224" s="2" t="s">
        <v>804</v>
      </c>
      <c r="F4224" s="2" t="s">
        <v>12772</v>
      </c>
      <c r="G4224" s="2" t="s">
        <v>12773</v>
      </c>
      <c r="H4224" s="2" t="s">
        <v>12774</v>
      </c>
      <c r="I4224" s="2" t="s">
        <v>12775</v>
      </c>
      <c r="J4224" s="2" t="s">
        <v>270</v>
      </c>
      <c r="K4224" s="2" t="s">
        <v>278</v>
      </c>
      <c r="L4224" s="3">
        <v>40.5</v>
      </c>
      <c r="M4224" s="3">
        <v>42.52</v>
      </c>
      <c r="N4224" s="3">
        <v>79.99</v>
      </c>
      <c r="O4224" s="2" t="s">
        <v>97</v>
      </c>
      <c r="P4224" s="2" t="s">
        <v>119</v>
      </c>
      <c r="Q4224" s="2" t="s">
        <v>99</v>
      </c>
      <c r="R4224" s="2" t="s">
        <v>100</v>
      </c>
      <c r="S4224" s="2" t="s">
        <v>12816</v>
      </c>
      <c r="T4224" s="2" t="s">
        <v>672</v>
      </c>
      <c r="U4224" s="2" t="s">
        <v>402</v>
      </c>
      <c r="V4224" s="2" t="s">
        <v>146</v>
      </c>
      <c r="W4224" s="2" t="s">
        <v>673</v>
      </c>
      <c r="X4224" s="2" t="s">
        <v>6540</v>
      </c>
      <c r="Y4224" s="2" t="s">
        <v>5379</v>
      </c>
      <c r="Z4224" s="4">
        <v>181</v>
      </c>
      <c r="AA4224" s="4">
        <f>=ROUNDDOWN(36.2,0)</f>
      </c>
      <c r="AB4224" s="5">
        <v>5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77</v>
      </c>
      <c r="BK4224" s="8">
        <v>3399.46</v>
      </c>
      <c r="BL4224" s="2" t="s">
        <v>5008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207</v>
      </c>
      <c r="BV4224" s="2" t="s">
        <v>97</v>
      </c>
      <c r="BW4224" s="2" t="s">
        <v>100</v>
      </c>
      <c r="BX4224" s="2" t="s">
        <v>100</v>
      </c>
      <c r="BY4224" s="2" t="s">
        <v>113</v>
      </c>
      <c r="BZ4224" s="2" t="s">
        <v>100</v>
      </c>
    </row>
    <row r="4225">
      <c r="A4225" s="2" t="s">
        <v>12819</v>
      </c>
      <c r="B4225" s="2" t="s">
        <v>12738</v>
      </c>
      <c r="C4225" s="2" t="s">
        <v>3934</v>
      </c>
      <c r="D4225" s="2" t="s">
        <v>803</v>
      </c>
      <c r="E4225" s="2" t="s">
        <v>804</v>
      </c>
      <c r="F4225" s="2" t="s">
        <v>12772</v>
      </c>
      <c r="G4225" s="2" t="s">
        <v>12773</v>
      </c>
      <c r="H4225" s="2" t="s">
        <v>12774</v>
      </c>
      <c r="I4225" s="2" t="s">
        <v>12775</v>
      </c>
      <c r="J4225" s="2" t="s">
        <v>270</v>
      </c>
      <c r="K4225" s="2" t="s">
        <v>198</v>
      </c>
      <c r="L4225" s="3">
        <v>40.5</v>
      </c>
      <c r="M4225" s="3">
        <v>42.52</v>
      </c>
      <c r="N4225" s="3">
        <v>79.99</v>
      </c>
      <c r="O4225" s="2" t="s">
        <v>97</v>
      </c>
      <c r="P4225" s="2" t="s">
        <v>98</v>
      </c>
      <c r="Q4225" s="2" t="s">
        <v>99</v>
      </c>
      <c r="R4225" s="2" t="s">
        <v>100</v>
      </c>
      <c r="S4225" s="2" t="s">
        <v>12820</v>
      </c>
      <c r="T4225" s="2" t="s">
        <v>672</v>
      </c>
      <c r="U4225" s="2" t="s">
        <v>402</v>
      </c>
      <c r="V4225" s="2" t="s">
        <v>146</v>
      </c>
      <c r="W4225" s="2" t="s">
        <v>673</v>
      </c>
      <c r="X4225" s="2" t="s">
        <v>6540</v>
      </c>
      <c r="Y4225" s="2" t="s">
        <v>12821</v>
      </c>
      <c r="Z4225" s="4">
        <v>528</v>
      </c>
      <c r="AA4225" s="4">
        <f>=ROUNDDOWN(35.2,0)</f>
      </c>
      <c r="AB4225" s="5">
        <v>15</v>
      </c>
      <c r="AC4225" s="2" t="s">
        <v>184</v>
      </c>
      <c r="AD4225" s="4">
        <v>10</v>
      </c>
      <c r="AE4225" s="4">
        <v>280</v>
      </c>
      <c r="AF4225" s="6">
        <v>64</v>
      </c>
      <c r="AG4225" s="6">
        <v>47</v>
      </c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>
        <v>358</v>
      </c>
      <c r="BK4225" s="8">
        <v>16265.93</v>
      </c>
      <c r="BL4225" s="2" t="s">
        <v>12822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207</v>
      </c>
      <c r="BV4225" s="2" t="s">
        <v>97</v>
      </c>
      <c r="BW4225" s="2" t="s">
        <v>100</v>
      </c>
      <c r="BX4225" s="2" t="s">
        <v>100</v>
      </c>
      <c r="BY4225" s="2" t="s">
        <v>113</v>
      </c>
      <c r="BZ4225" s="2" t="s">
        <v>245</v>
      </c>
    </row>
    <row r="4226">
      <c r="A4226" s="2" t="s">
        <v>12823</v>
      </c>
      <c r="B4226" s="2" t="s">
        <v>12738</v>
      </c>
      <c r="C4226" s="2" t="s">
        <v>3934</v>
      </c>
      <c r="D4226" s="2" t="s">
        <v>803</v>
      </c>
      <c r="E4226" s="2" t="s">
        <v>804</v>
      </c>
      <c r="F4226" s="2" t="s">
        <v>12772</v>
      </c>
      <c r="G4226" s="2" t="s">
        <v>12773</v>
      </c>
      <c r="H4226" s="2" t="s">
        <v>12774</v>
      </c>
      <c r="I4226" s="2" t="s">
        <v>12775</v>
      </c>
      <c r="J4226" s="2" t="s">
        <v>237</v>
      </c>
      <c r="K4226" s="2" t="s">
        <v>677</v>
      </c>
      <c r="L4226" s="3">
        <v>31.05</v>
      </c>
      <c r="M4226" s="3">
        <v>32.6</v>
      </c>
      <c r="N4226" s="3">
        <v>59.99</v>
      </c>
      <c r="O4226" s="2" t="s">
        <v>97</v>
      </c>
      <c r="P4226" s="2" t="s">
        <v>119</v>
      </c>
      <c r="Q4226" s="2" t="s">
        <v>99</v>
      </c>
      <c r="R4226" s="2" t="s">
        <v>100</v>
      </c>
      <c r="S4226" s="2" t="s">
        <v>12824</v>
      </c>
      <c r="T4226" s="2" t="s">
        <v>672</v>
      </c>
      <c r="U4226" s="2" t="s">
        <v>480</v>
      </c>
      <c r="V4226" s="2" t="s">
        <v>146</v>
      </c>
      <c r="W4226" s="2" t="s">
        <v>673</v>
      </c>
      <c r="X4226" s="2" t="s">
        <v>6540</v>
      </c>
      <c r="Y4226" s="2" t="s">
        <v>5379</v>
      </c>
      <c r="Z4226" s="4">
        <v>125</v>
      </c>
      <c r="AA4226" s="4">
        <f>=ROUNDDOWN(41.6666666666667,0)</f>
      </c>
      <c r="AB4226" s="5">
        <v>3</v>
      </c>
      <c r="AC4226" s="2" t="s">
        <v>100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34</v>
      </c>
      <c r="BK4226" s="8">
        <v>1129.76</v>
      </c>
      <c r="BL4226" s="2" t="s">
        <v>4619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207</v>
      </c>
      <c r="BV4226" s="2" t="s">
        <v>97</v>
      </c>
      <c r="BW4226" s="2" t="s">
        <v>100</v>
      </c>
      <c r="BX4226" s="2" t="s">
        <v>100</v>
      </c>
      <c r="BY4226" s="2" t="s">
        <v>113</v>
      </c>
      <c r="BZ4226" s="2" t="s">
        <v>100</v>
      </c>
    </row>
    <row r="4227">
      <c r="A4227" s="2" t="s">
        <v>12825</v>
      </c>
      <c r="B4227" s="2" t="s">
        <v>12738</v>
      </c>
      <c r="C4227" s="2" t="s">
        <v>3934</v>
      </c>
      <c r="D4227" s="2" t="s">
        <v>803</v>
      </c>
      <c r="E4227" s="2" t="s">
        <v>804</v>
      </c>
      <c r="F4227" s="2" t="s">
        <v>12772</v>
      </c>
      <c r="G4227" s="2" t="s">
        <v>12773</v>
      </c>
      <c r="H4227" s="2" t="s">
        <v>12774</v>
      </c>
      <c r="I4227" s="2" t="s">
        <v>12775</v>
      </c>
      <c r="J4227" s="2" t="s">
        <v>247</v>
      </c>
      <c r="K4227" s="2" t="s">
        <v>677</v>
      </c>
      <c r="L4227" s="3">
        <v>36.72</v>
      </c>
      <c r="M4227" s="3">
        <v>38.56</v>
      </c>
      <c r="N4227" s="3">
        <v>69.99</v>
      </c>
      <c r="O4227" s="2" t="s">
        <v>97</v>
      </c>
      <c r="P4227" s="2" t="s">
        <v>119</v>
      </c>
      <c r="Q4227" s="2" t="s">
        <v>99</v>
      </c>
      <c r="R4227" s="2" t="s">
        <v>100</v>
      </c>
      <c r="S4227" s="2" t="s">
        <v>12824</v>
      </c>
      <c r="T4227" s="2" t="s">
        <v>672</v>
      </c>
      <c r="U4227" s="2" t="s">
        <v>402</v>
      </c>
      <c r="V4227" s="2" t="s">
        <v>146</v>
      </c>
      <c r="W4227" s="2" t="s">
        <v>673</v>
      </c>
      <c r="X4227" s="2" t="s">
        <v>6540</v>
      </c>
      <c r="Y4227" s="2" t="s">
        <v>5379</v>
      </c>
      <c r="Z4227" s="4">
        <v>223</v>
      </c>
      <c r="AA4227" s="4">
        <f>=ROUNDDOWN(27.875,0)</f>
      </c>
      <c r="AB4227" s="5">
        <v>8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124</v>
      </c>
      <c r="BK4227" s="8">
        <v>4708.66</v>
      </c>
      <c r="BL4227" s="2" t="s">
        <v>5008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207</v>
      </c>
      <c r="BV4227" s="2" t="s">
        <v>97</v>
      </c>
      <c r="BW4227" s="2" t="s">
        <v>100</v>
      </c>
      <c r="BX4227" s="2" t="s">
        <v>100</v>
      </c>
      <c r="BY4227" s="2" t="s">
        <v>113</v>
      </c>
      <c r="BZ4227" s="2" t="s">
        <v>100</v>
      </c>
    </row>
    <row r="4228">
      <c r="A4228" s="2" t="s">
        <v>12826</v>
      </c>
      <c r="B4228" s="2" t="s">
        <v>12738</v>
      </c>
      <c r="C4228" s="2" t="s">
        <v>3934</v>
      </c>
      <c r="D4228" s="2" t="s">
        <v>803</v>
      </c>
      <c r="E4228" s="2" t="s">
        <v>804</v>
      </c>
      <c r="F4228" s="2" t="s">
        <v>12772</v>
      </c>
      <c r="G4228" s="2" t="s">
        <v>12773</v>
      </c>
      <c r="H4228" s="2" t="s">
        <v>12774</v>
      </c>
      <c r="I4228" s="2" t="s">
        <v>12775</v>
      </c>
      <c r="J4228" s="2" t="s">
        <v>270</v>
      </c>
      <c r="K4228" s="2" t="s">
        <v>677</v>
      </c>
      <c r="L4228" s="3">
        <v>40.5</v>
      </c>
      <c r="M4228" s="3">
        <v>42.52</v>
      </c>
      <c r="N4228" s="3">
        <v>79.99</v>
      </c>
      <c r="O4228" s="2" t="s">
        <v>97</v>
      </c>
      <c r="P4228" s="2" t="s">
        <v>119</v>
      </c>
      <c r="Q4228" s="2" t="s">
        <v>99</v>
      </c>
      <c r="R4228" s="2" t="s">
        <v>100</v>
      </c>
      <c r="S4228" s="2" t="s">
        <v>12824</v>
      </c>
      <c r="T4228" s="2" t="s">
        <v>672</v>
      </c>
      <c r="U4228" s="2" t="s">
        <v>402</v>
      </c>
      <c r="V4228" s="2" t="s">
        <v>146</v>
      </c>
      <c r="W4228" s="2" t="s">
        <v>673</v>
      </c>
      <c r="X4228" s="2" t="s">
        <v>6540</v>
      </c>
      <c r="Y4228" s="2" t="s">
        <v>5379</v>
      </c>
      <c r="Z4228" s="4">
        <v>65</v>
      </c>
      <c r="AA4228" s="4">
        <f>=ROUNDDOWN(9.28571428571429,0)</f>
      </c>
      <c r="AB4228" s="5">
        <v>7</v>
      </c>
      <c r="AC4228" s="2" t="s">
        <v>100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 t="s">
        <v>100</v>
      </c>
      <c r="BJ4228" s="4">
        <v>126</v>
      </c>
      <c r="BK4228" s="8">
        <v>5513.55</v>
      </c>
      <c r="BL4228" s="2" t="s">
        <v>5008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207</v>
      </c>
      <c r="BV4228" s="2" t="s">
        <v>97</v>
      </c>
      <c r="BW4228" s="2" t="s">
        <v>100</v>
      </c>
      <c r="BX4228" s="2" t="s">
        <v>100</v>
      </c>
      <c r="BY4228" s="2" t="s">
        <v>113</v>
      </c>
      <c r="BZ4228" s="2" t="s">
        <v>100</v>
      </c>
    </row>
    <row r="4229">
      <c r="A4229" s="2" t="s">
        <v>12827</v>
      </c>
      <c r="B4229" s="2" t="s">
        <v>12738</v>
      </c>
      <c r="C4229" s="2" t="s">
        <v>3934</v>
      </c>
      <c r="D4229" s="2" t="s">
        <v>803</v>
      </c>
      <c r="E4229" s="2" t="s">
        <v>804</v>
      </c>
      <c r="F4229" s="2" t="s">
        <v>8231</v>
      </c>
      <c r="G4229" s="2" t="s">
        <v>12828</v>
      </c>
      <c r="H4229" s="2" t="s">
        <v>12604</v>
      </c>
      <c r="I4229" s="2" t="s">
        <v>2559</v>
      </c>
      <c r="J4229" s="2" t="s">
        <v>237</v>
      </c>
      <c r="K4229" s="2" t="s">
        <v>878</v>
      </c>
      <c r="L4229" s="3">
        <v>32.2</v>
      </c>
      <c r="M4229" s="3">
        <v>33.81</v>
      </c>
      <c r="N4229" s="3">
        <v>69.99</v>
      </c>
      <c r="O4229" s="2" t="s">
        <v>97</v>
      </c>
      <c r="P4229" s="2" t="s">
        <v>119</v>
      </c>
      <c r="Q4229" s="2" t="s">
        <v>99</v>
      </c>
      <c r="R4229" s="2" t="s">
        <v>100</v>
      </c>
      <c r="S4229" s="2" t="s">
        <v>12829</v>
      </c>
      <c r="T4229" s="2" t="s">
        <v>218</v>
      </c>
      <c r="U4229" s="2" t="s">
        <v>402</v>
      </c>
      <c r="V4229" s="2" t="s">
        <v>319</v>
      </c>
      <c r="W4229" s="2" t="s">
        <v>2897</v>
      </c>
      <c r="X4229" s="2" t="s">
        <v>378</v>
      </c>
      <c r="Y4229" s="2" t="s">
        <v>240</v>
      </c>
      <c r="Z4229" s="4">
        <v>504</v>
      </c>
      <c r="AA4229" s="4">
        <f>=ROUNDDOWN(112,0)</f>
      </c>
      <c r="AB4229" s="5">
        <v>4.5</v>
      </c>
      <c r="AC4229" s="2" t="s">
        <v>100</v>
      </c>
      <c r="AD4229" s="4"/>
      <c r="AE4229" s="4"/>
      <c r="AF4229" s="6">
        <v>65</v>
      </c>
      <c r="AG4229" s="6">
        <v>73</v>
      </c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>
        <v>16</v>
      </c>
      <c r="AQ4229" s="8">
        <v>522.56</v>
      </c>
      <c r="AR4229" s="4"/>
      <c r="AS4229" s="8"/>
      <c r="AT4229" s="7"/>
      <c r="AU4229" s="7"/>
      <c r="AV4229" s="4">
        <v>16</v>
      </c>
      <c r="AW4229" s="8">
        <v>522.56</v>
      </c>
      <c r="AX4229" s="4"/>
      <c r="AY4229" s="8"/>
      <c r="AZ4229" s="7"/>
      <c r="BA4229" s="7"/>
      <c r="BB4229" s="7">
        <v>1</v>
      </c>
      <c r="BC4229" s="4">
        <v>16</v>
      </c>
      <c r="BD4229" s="8">
        <v>522.56</v>
      </c>
      <c r="BE4229" s="4"/>
      <c r="BF4229" s="8"/>
      <c r="BG4229" s="7"/>
      <c r="BH4229" s="7"/>
      <c r="BI4229" s="7">
        <v>1</v>
      </c>
      <c r="BJ4229" s="4">
        <v>216</v>
      </c>
      <c r="BK4229" s="8">
        <v>7273.62</v>
      </c>
      <c r="BL4229" s="2" t="s">
        <v>1492</v>
      </c>
      <c r="BM4229" s="7">
        <v>0.0741</v>
      </c>
      <c r="BN4229" s="7">
        <v>0.0718</v>
      </c>
      <c r="BO4229" s="4">
        <v>16</v>
      </c>
      <c r="BP4229" s="8">
        <v>522.56</v>
      </c>
      <c r="BQ4229" s="4"/>
      <c r="BR4229" s="8"/>
      <c r="BS4229" s="7"/>
      <c r="BT4229" s="7"/>
      <c r="BU4229" s="2" t="s">
        <v>109</v>
      </c>
      <c r="BV4229" s="2" t="s">
        <v>110</v>
      </c>
      <c r="BW4229" s="2" t="s">
        <v>284</v>
      </c>
      <c r="BX4229" s="2" t="s">
        <v>576</v>
      </c>
      <c r="BY4229" s="2" t="s">
        <v>113</v>
      </c>
      <c r="BZ4229" s="2" t="s">
        <v>100</v>
      </c>
    </row>
    <row r="4230">
      <c r="A4230" s="2" t="s">
        <v>12830</v>
      </c>
      <c r="B4230" s="2" t="s">
        <v>12738</v>
      </c>
      <c r="C4230" s="2" t="s">
        <v>3934</v>
      </c>
      <c r="D4230" s="2" t="s">
        <v>803</v>
      </c>
      <c r="E4230" s="2" t="s">
        <v>804</v>
      </c>
      <c r="F4230" s="2" t="s">
        <v>12831</v>
      </c>
      <c r="G4230" s="2" t="s">
        <v>5243</v>
      </c>
      <c r="H4230" s="2" t="s">
        <v>8100</v>
      </c>
      <c r="I4230" s="2" t="s">
        <v>12832</v>
      </c>
      <c r="J4230" s="2" t="s">
        <v>270</v>
      </c>
      <c r="K4230" s="2" t="s">
        <v>3560</v>
      </c>
      <c r="L4230" s="3">
        <v>41.12</v>
      </c>
      <c r="M4230" s="3">
        <v>43.18</v>
      </c>
      <c r="N4230" s="3">
        <v>84.99</v>
      </c>
      <c r="O4230" s="2" t="s">
        <v>97</v>
      </c>
      <c r="P4230" s="2" t="s">
        <v>119</v>
      </c>
      <c r="Q4230" s="2" t="s">
        <v>99</v>
      </c>
      <c r="R4230" s="2" t="s">
        <v>100</v>
      </c>
      <c r="S4230" s="2" t="s">
        <v>12833</v>
      </c>
      <c r="T4230" s="2" t="s">
        <v>218</v>
      </c>
      <c r="U4230" s="2" t="s">
        <v>171</v>
      </c>
      <c r="V4230" s="2" t="s">
        <v>256</v>
      </c>
      <c r="W4230" s="2" t="s">
        <v>183</v>
      </c>
      <c r="X4230" s="2" t="s">
        <v>104</v>
      </c>
      <c r="Y4230" s="2" t="s">
        <v>240</v>
      </c>
      <c r="Z4230" s="4">
        <v>322</v>
      </c>
      <c r="AA4230" s="4">
        <f>=ROUNDDOWN(46,0)</f>
      </c>
      <c r="AB4230" s="5">
        <v>7</v>
      </c>
      <c r="AC4230" s="2" t="s">
        <v>768</v>
      </c>
      <c r="AD4230" s="4">
        <v>80</v>
      </c>
      <c r="AE4230" s="4">
        <v>80</v>
      </c>
      <c r="AF4230" s="6">
        <v>64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>
        <v>8</v>
      </c>
      <c r="AQ4230" s="8">
        <v>348.32</v>
      </c>
      <c r="AR4230" s="4"/>
      <c r="AS4230" s="8"/>
      <c r="AT4230" s="7"/>
      <c r="AU4230" s="7"/>
      <c r="AV4230" s="4">
        <v>8</v>
      </c>
      <c r="AW4230" s="8">
        <v>348.32</v>
      </c>
      <c r="AX4230" s="4"/>
      <c r="AY4230" s="8"/>
      <c r="AZ4230" s="7"/>
      <c r="BA4230" s="7"/>
      <c r="BB4230" s="7">
        <v>1</v>
      </c>
      <c r="BC4230" s="4">
        <v>8</v>
      </c>
      <c r="BD4230" s="8">
        <v>348.32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>
        <v>1</v>
      </c>
      <c r="BJ4230" s="4">
        <v>292</v>
      </c>
      <c r="BK4230" s="8">
        <v>13226.65</v>
      </c>
      <c r="BL4230" s="2" t="s">
        <v>12834</v>
      </c>
      <c r="BM4230" s="7">
        <v>0.0274</v>
      </c>
      <c r="BN4230" s="7">
        <v>0.0263</v>
      </c>
      <c r="BO4230" s="4">
        <v>8</v>
      </c>
      <c r="BP4230" s="8">
        <v>348.32</v>
      </c>
      <c r="BQ4230" s="4"/>
      <c r="BR4230" s="8"/>
      <c r="BS4230" s="7"/>
      <c r="BT4230" s="7"/>
      <c r="BU4230" s="2" t="s">
        <v>109</v>
      </c>
      <c r="BV4230" s="2" t="s">
        <v>110</v>
      </c>
      <c r="BW4230" s="2" t="s">
        <v>243</v>
      </c>
      <c r="BX4230" s="2" t="s">
        <v>322</v>
      </c>
      <c r="BY4230" s="2" t="s">
        <v>113</v>
      </c>
      <c r="BZ4230" s="2" t="s">
        <v>100</v>
      </c>
    </row>
    <row r="4231">
      <c r="A4231" s="2" t="s">
        <v>12835</v>
      </c>
      <c r="B4231" s="2" t="s">
        <v>12738</v>
      </c>
      <c r="C4231" s="2" t="s">
        <v>3934</v>
      </c>
      <c r="D4231" s="2" t="s">
        <v>803</v>
      </c>
      <c r="E4231" s="2" t="s">
        <v>804</v>
      </c>
      <c r="F4231" s="2" t="s">
        <v>12831</v>
      </c>
      <c r="G4231" s="2" t="s">
        <v>5243</v>
      </c>
      <c r="H4231" s="2" t="s">
        <v>8100</v>
      </c>
      <c r="I4231" s="2" t="s">
        <v>12832</v>
      </c>
      <c r="J4231" s="2" t="s">
        <v>237</v>
      </c>
      <c r="K4231" s="2" t="s">
        <v>118</v>
      </c>
      <c r="L4231" s="3">
        <v>31.29</v>
      </c>
      <c r="M4231" s="3">
        <v>32.85</v>
      </c>
      <c r="N4231" s="3">
        <v>64.99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12836</v>
      </c>
      <c r="T4231" s="2" t="s">
        <v>218</v>
      </c>
      <c r="U4231" s="2" t="s">
        <v>402</v>
      </c>
      <c r="V4231" s="2" t="s">
        <v>256</v>
      </c>
      <c r="W4231" s="2" t="s">
        <v>183</v>
      </c>
      <c r="X4231" s="2" t="s">
        <v>104</v>
      </c>
      <c r="Y4231" s="2" t="s">
        <v>240</v>
      </c>
      <c r="Z4231" s="4">
        <v>278</v>
      </c>
      <c r="AA4231" s="4">
        <f>=ROUNDDOWN(46.3333333333333,0)</f>
      </c>
      <c r="AB4231" s="5">
        <v>6</v>
      </c>
      <c r="AC4231" s="2" t="s">
        <v>135</v>
      </c>
      <c r="AD4231" s="4">
        <v>50</v>
      </c>
      <c r="AE4231" s="4">
        <v>50</v>
      </c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/>
      <c r="BJ4231" s="4">
        <v>356</v>
      </c>
      <c r="BK4231" s="8">
        <v>12380.89</v>
      </c>
      <c r="BL4231" s="2" t="s">
        <v>12837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243</v>
      </c>
      <c r="BX4231" s="2" t="s">
        <v>10957</v>
      </c>
      <c r="BY4231" s="2" t="s">
        <v>113</v>
      </c>
      <c r="BZ4231" s="2" t="s">
        <v>100</v>
      </c>
    </row>
    <row r="4232">
      <c r="A4232" s="2" t="s">
        <v>12838</v>
      </c>
      <c r="B4232" s="2" t="s">
        <v>12738</v>
      </c>
      <c r="C4232" s="2" t="s">
        <v>3934</v>
      </c>
      <c r="D4232" s="2" t="s">
        <v>803</v>
      </c>
      <c r="E4232" s="2" t="s">
        <v>804</v>
      </c>
      <c r="F4232" s="2" t="s">
        <v>12839</v>
      </c>
      <c r="G4232" s="2" t="s">
        <v>4077</v>
      </c>
      <c r="H4232" s="2" t="s">
        <v>12840</v>
      </c>
      <c r="I4232" s="2" t="s">
        <v>12841</v>
      </c>
      <c r="J4232" s="2" t="s">
        <v>247</v>
      </c>
      <c r="K4232" s="2" t="s">
        <v>335</v>
      </c>
      <c r="L4232" s="3">
        <v>34.5</v>
      </c>
      <c r="M4232" s="3">
        <v>36.22</v>
      </c>
      <c r="N4232" s="3">
        <v>74.99</v>
      </c>
      <c r="O4232" s="2" t="s">
        <v>97</v>
      </c>
      <c r="P4232" s="2" t="s">
        <v>119</v>
      </c>
      <c r="Q4232" s="2" t="s">
        <v>99</v>
      </c>
      <c r="R4232" s="2" t="s">
        <v>100</v>
      </c>
      <c r="S4232" s="2" t="s">
        <v>100</v>
      </c>
      <c r="T4232" s="2" t="s">
        <v>218</v>
      </c>
      <c r="U4232" s="2" t="s">
        <v>171</v>
      </c>
      <c r="V4232" s="2" t="s">
        <v>201</v>
      </c>
      <c r="W4232" s="2" t="s">
        <v>183</v>
      </c>
      <c r="X4232" s="2" t="s">
        <v>202</v>
      </c>
      <c r="Y4232" s="2" t="s">
        <v>2942</v>
      </c>
      <c r="Z4232" s="4">
        <v>1374</v>
      </c>
      <c r="AA4232" s="4">
        <f>=ROUNDDOWN(144.631578947368,0)</f>
      </c>
      <c r="AB4232" s="5">
        <v>9.5</v>
      </c>
      <c r="AC4232" s="2" t="s">
        <v>100</v>
      </c>
      <c r="AD4232" s="4"/>
      <c r="AE4232" s="4"/>
      <c r="AF4232" s="6">
        <v>64</v>
      </c>
      <c r="AG4232" s="6">
        <v>47</v>
      </c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>
        <v>9</v>
      </c>
      <c r="AQ4232" s="8">
        <v>294.84</v>
      </c>
      <c r="AR4232" s="4"/>
      <c r="AS4232" s="8"/>
      <c r="AT4232" s="7"/>
      <c r="AU4232" s="7"/>
      <c r="AV4232" s="4">
        <v>9</v>
      </c>
      <c r="AW4232" s="8">
        <v>294.84</v>
      </c>
      <c r="AX4232" s="4"/>
      <c r="AY4232" s="8"/>
      <c r="AZ4232" s="7"/>
      <c r="BA4232" s="7"/>
      <c r="BB4232" s="7">
        <v>1</v>
      </c>
      <c r="BC4232" s="4">
        <v>9</v>
      </c>
      <c r="BD4232" s="8">
        <v>294.84</v>
      </c>
      <c r="BE4232" s="4"/>
      <c r="BF4232" s="8"/>
      <c r="BG4232" s="7"/>
      <c r="BH4232" s="7"/>
      <c r="BI4232" s="7">
        <v>1</v>
      </c>
      <c r="BJ4232" s="4">
        <v>397</v>
      </c>
      <c r="BK4232" s="8">
        <v>14769.29</v>
      </c>
      <c r="BL4232" s="2" t="s">
        <v>12842</v>
      </c>
      <c r="BM4232" s="7">
        <v>0.0227</v>
      </c>
      <c r="BN4232" s="7">
        <v>0.02</v>
      </c>
      <c r="BO4232" s="4">
        <v>9</v>
      </c>
      <c r="BP4232" s="8">
        <v>294.84</v>
      </c>
      <c r="BQ4232" s="4"/>
      <c r="BR4232" s="8"/>
      <c r="BS4232" s="7"/>
      <c r="BT4232" s="7"/>
      <c r="BU4232" s="2" t="s">
        <v>109</v>
      </c>
      <c r="BV4232" s="2" t="s">
        <v>110</v>
      </c>
      <c r="BW4232" s="2" t="s">
        <v>2247</v>
      </c>
      <c r="BX4232" s="2" t="s">
        <v>1716</v>
      </c>
      <c r="BY4232" s="2" t="s">
        <v>113</v>
      </c>
      <c r="BZ4232" s="2" t="s">
        <v>100</v>
      </c>
    </row>
    <row r="4233">
      <c r="A4233" s="2" t="s">
        <v>12843</v>
      </c>
      <c r="B4233" s="2" t="s">
        <v>12738</v>
      </c>
      <c r="C4233" s="2" t="s">
        <v>3934</v>
      </c>
      <c r="D4233" s="2" t="s">
        <v>803</v>
      </c>
      <c r="E4233" s="2" t="s">
        <v>804</v>
      </c>
      <c r="F4233" s="2" t="s">
        <v>3414</v>
      </c>
      <c r="G4233" s="2" t="s">
        <v>8343</v>
      </c>
      <c r="H4233" s="2" t="s">
        <v>12844</v>
      </c>
      <c r="I4233" s="2" t="s">
        <v>12841</v>
      </c>
      <c r="J4233" s="2" t="s">
        <v>237</v>
      </c>
      <c r="K4233" s="2" t="s">
        <v>12845</v>
      </c>
      <c r="L4233" s="3">
        <v>23.8</v>
      </c>
      <c r="M4233" s="3">
        <v>24.99</v>
      </c>
      <c r="N4233" s="3">
        <v>49.99</v>
      </c>
      <c r="O4233" s="2" t="s">
        <v>97</v>
      </c>
      <c r="P4233" s="2" t="s">
        <v>119</v>
      </c>
      <c r="Q4233" s="2" t="s">
        <v>99</v>
      </c>
      <c r="R4233" s="2" t="s">
        <v>100</v>
      </c>
      <c r="S4233" s="2" t="s">
        <v>12846</v>
      </c>
      <c r="T4233" s="2" t="s">
        <v>218</v>
      </c>
      <c r="U4233" s="2" t="s">
        <v>402</v>
      </c>
      <c r="V4233" s="2" t="s">
        <v>201</v>
      </c>
      <c r="W4233" s="2" t="s">
        <v>183</v>
      </c>
      <c r="X4233" s="2" t="s">
        <v>202</v>
      </c>
      <c r="Y4233" s="2" t="s">
        <v>1471</v>
      </c>
      <c r="Z4233" s="4"/>
      <c r="AA4233" s="4">
        <f>=ROUNDDOWN({0},0)</f>
      </c>
      <c r="AB4233" s="5">
        <v>9</v>
      </c>
      <c r="AC4233" s="2" t="s">
        <v>282</v>
      </c>
      <c r="AD4233" s="4">
        <v>210</v>
      </c>
      <c r="AE4233" s="4">
        <v>390</v>
      </c>
      <c r="AF4233" s="6">
        <v>64</v>
      </c>
      <c r="AG4233" s="6"/>
      <c r="AH4233" s="7">
        <v>0.7433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/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/>
      <c r="BJ4233" s="4">
        <v>241</v>
      </c>
      <c r="BK4233" s="8">
        <v>6561.31</v>
      </c>
      <c r="BL4233" s="2" t="s">
        <v>267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207</v>
      </c>
      <c r="BV4233" s="2" t="s">
        <v>97</v>
      </c>
      <c r="BW4233" s="2" t="s">
        <v>100</v>
      </c>
      <c r="BX4233" s="2" t="s">
        <v>100</v>
      </c>
      <c r="BY4233" s="2" t="s">
        <v>113</v>
      </c>
      <c r="BZ4233" s="2" t="s">
        <v>100</v>
      </c>
    </row>
    <row r="4234">
      <c r="A4234" s="2" t="s">
        <v>12847</v>
      </c>
      <c r="B4234" s="2" t="s">
        <v>12738</v>
      </c>
      <c r="C4234" s="2" t="s">
        <v>3934</v>
      </c>
      <c r="D4234" s="2" t="s">
        <v>803</v>
      </c>
      <c r="E4234" s="2" t="s">
        <v>804</v>
      </c>
      <c r="F4234" s="2" t="s">
        <v>3414</v>
      </c>
      <c r="G4234" s="2" t="s">
        <v>8343</v>
      </c>
      <c r="H4234" s="2" t="s">
        <v>12844</v>
      </c>
      <c r="I4234" s="2" t="s">
        <v>12841</v>
      </c>
      <c r="J4234" s="2" t="s">
        <v>247</v>
      </c>
      <c r="K4234" s="2" t="s">
        <v>12845</v>
      </c>
      <c r="L4234" s="3">
        <v>28.57</v>
      </c>
      <c r="M4234" s="3">
        <v>30</v>
      </c>
      <c r="N4234" s="3">
        <v>59.99</v>
      </c>
      <c r="O4234" s="2" t="s">
        <v>97</v>
      </c>
      <c r="P4234" s="2" t="s">
        <v>119</v>
      </c>
      <c r="Q4234" s="2" t="s">
        <v>99</v>
      </c>
      <c r="R4234" s="2" t="s">
        <v>100</v>
      </c>
      <c r="S4234" s="2" t="s">
        <v>12846</v>
      </c>
      <c r="T4234" s="2" t="s">
        <v>218</v>
      </c>
      <c r="U4234" s="2" t="s">
        <v>171</v>
      </c>
      <c r="V4234" s="2" t="s">
        <v>201</v>
      </c>
      <c r="W4234" s="2" t="s">
        <v>183</v>
      </c>
      <c r="X4234" s="2" t="s">
        <v>202</v>
      </c>
      <c r="Y4234" s="2" t="s">
        <v>1471</v>
      </c>
      <c r="Z4234" s="4"/>
      <c r="AA4234" s="4">
        <f>=ROUNDDOWN({0},0)</f>
      </c>
      <c r="AB4234" s="5">
        <v>13</v>
      </c>
      <c r="AC4234" s="2" t="s">
        <v>282</v>
      </c>
      <c r="AD4234" s="4">
        <v>265</v>
      </c>
      <c r="AE4234" s="4">
        <v>565</v>
      </c>
      <c r="AF4234" s="6">
        <v>64</v>
      </c>
      <c r="AG4234" s="6"/>
      <c r="AH4234" s="7">
        <v>0.8503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/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/>
      <c r="BJ4234" s="4">
        <v>285</v>
      </c>
      <c r="BK4234" s="8">
        <v>9348.32</v>
      </c>
      <c r="BL4234" s="2" t="s">
        <v>633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207</v>
      </c>
      <c r="BV4234" s="2" t="s">
        <v>97</v>
      </c>
      <c r="BW4234" s="2" t="s">
        <v>100</v>
      </c>
      <c r="BX4234" s="2" t="s">
        <v>100</v>
      </c>
      <c r="BY4234" s="2" t="s">
        <v>113</v>
      </c>
      <c r="BZ4234" s="2" t="s">
        <v>100</v>
      </c>
    </row>
    <row r="4235">
      <c r="A4235" s="2" t="s">
        <v>12848</v>
      </c>
      <c r="B4235" s="2" t="s">
        <v>12738</v>
      </c>
      <c r="C4235" s="2" t="s">
        <v>3934</v>
      </c>
      <c r="D4235" s="2" t="s">
        <v>803</v>
      </c>
      <c r="E4235" s="2" t="s">
        <v>804</v>
      </c>
      <c r="F4235" s="2" t="s">
        <v>12849</v>
      </c>
      <c r="G4235" s="2" t="s">
        <v>2067</v>
      </c>
      <c r="H4235" s="2" t="s">
        <v>12850</v>
      </c>
      <c r="I4235" s="2" t="s">
        <v>12851</v>
      </c>
      <c r="J4235" s="2" t="s">
        <v>237</v>
      </c>
      <c r="K4235" s="2" t="s">
        <v>96</v>
      </c>
      <c r="L4235" s="3">
        <v>31.25</v>
      </c>
      <c r="M4235" s="3">
        <v>32.81</v>
      </c>
      <c r="N4235" s="3">
        <v>69.99</v>
      </c>
      <c r="O4235" s="2" t="s">
        <v>97</v>
      </c>
      <c r="P4235" s="2" t="s">
        <v>307</v>
      </c>
      <c r="Q4235" s="2" t="s">
        <v>99</v>
      </c>
      <c r="R4235" s="2" t="s">
        <v>100</v>
      </c>
      <c r="S4235" s="2" t="s">
        <v>12852</v>
      </c>
      <c r="T4235" s="2" t="s">
        <v>218</v>
      </c>
      <c r="U4235" s="2" t="s">
        <v>480</v>
      </c>
      <c r="V4235" s="2" t="s">
        <v>1150</v>
      </c>
      <c r="W4235" s="2" t="s">
        <v>561</v>
      </c>
      <c r="X4235" s="2" t="s">
        <v>183</v>
      </c>
      <c r="Y4235" s="2" t="s">
        <v>12853</v>
      </c>
      <c r="Z4235" s="4">
        <v>3583</v>
      </c>
      <c r="AA4235" s="4">
        <f>=ROUNDDOWN(79.6222222222222,0)</f>
      </c>
      <c r="AB4235" s="5">
        <v>45</v>
      </c>
      <c r="AC4235" s="2" t="s">
        <v>562</v>
      </c>
      <c r="AD4235" s="4">
        <v>70</v>
      </c>
      <c r="AE4235" s="4">
        <v>340</v>
      </c>
      <c r="AF4235" s="6">
        <v>65</v>
      </c>
      <c r="AG4235" s="6">
        <v>48</v>
      </c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/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/>
      <c r="BJ4235" s="4">
        <v>1969</v>
      </c>
      <c r="BK4235" s="8">
        <v>66727.73</v>
      </c>
      <c r="BL4235" s="2" t="s">
        <v>12854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2528</v>
      </c>
      <c r="BV4235" s="2" t="s">
        <v>97</v>
      </c>
      <c r="BW4235" s="2" t="s">
        <v>100</v>
      </c>
      <c r="BX4235" s="2" t="s">
        <v>100</v>
      </c>
      <c r="BY4235" s="2" t="s">
        <v>113</v>
      </c>
      <c r="BZ4235" s="2" t="s">
        <v>245</v>
      </c>
    </row>
    <row r="4236">
      <c r="A4236" s="2" t="s">
        <v>12855</v>
      </c>
      <c r="B4236" s="2" t="s">
        <v>12738</v>
      </c>
      <c r="C4236" s="2" t="s">
        <v>3934</v>
      </c>
      <c r="D4236" s="2" t="s">
        <v>803</v>
      </c>
      <c r="E4236" s="2" t="s">
        <v>804</v>
      </c>
      <c r="F4236" s="2" t="s">
        <v>12849</v>
      </c>
      <c r="G4236" s="2" t="s">
        <v>2067</v>
      </c>
      <c r="H4236" s="2" t="s">
        <v>12850</v>
      </c>
      <c r="I4236" s="2" t="s">
        <v>12851</v>
      </c>
      <c r="J4236" s="2" t="s">
        <v>247</v>
      </c>
      <c r="K4236" s="2" t="s">
        <v>96</v>
      </c>
      <c r="L4236" s="3">
        <v>36.67</v>
      </c>
      <c r="M4236" s="3">
        <v>38.5</v>
      </c>
      <c r="N4236" s="3">
        <v>79.99</v>
      </c>
      <c r="O4236" s="2" t="s">
        <v>97</v>
      </c>
      <c r="P4236" s="2" t="s">
        <v>307</v>
      </c>
      <c r="Q4236" s="2" t="s">
        <v>99</v>
      </c>
      <c r="R4236" s="2" t="s">
        <v>100</v>
      </c>
      <c r="S4236" s="2" t="s">
        <v>12852</v>
      </c>
      <c r="T4236" s="2" t="s">
        <v>218</v>
      </c>
      <c r="U4236" s="2" t="s">
        <v>402</v>
      </c>
      <c r="V4236" s="2" t="s">
        <v>1150</v>
      </c>
      <c r="W4236" s="2" t="s">
        <v>561</v>
      </c>
      <c r="X4236" s="2" t="s">
        <v>183</v>
      </c>
      <c r="Y4236" s="2" t="s">
        <v>12853</v>
      </c>
      <c r="Z4236" s="4">
        <v>5971</v>
      </c>
      <c r="AA4236" s="4">
        <f>=ROUNDDOWN(76.551282051282,0)</f>
      </c>
      <c r="AB4236" s="5">
        <v>78</v>
      </c>
      <c r="AC4236" s="2" t="s">
        <v>562</v>
      </c>
      <c r="AD4236" s="4">
        <v>220</v>
      </c>
      <c r="AE4236" s="4">
        <v>1120</v>
      </c>
      <c r="AF4236" s="6">
        <v>65</v>
      </c>
      <c r="AG4236" s="6">
        <v>48</v>
      </c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/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/>
      <c r="BJ4236" s="4">
        <v>3540</v>
      </c>
      <c r="BK4236" s="8">
        <v>141359</v>
      </c>
      <c r="BL4236" s="2" t="s">
        <v>12856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2528</v>
      </c>
      <c r="BV4236" s="2" t="s">
        <v>97</v>
      </c>
      <c r="BW4236" s="2" t="s">
        <v>100</v>
      </c>
      <c r="BX4236" s="2" t="s">
        <v>100</v>
      </c>
      <c r="BY4236" s="2" t="s">
        <v>113</v>
      </c>
      <c r="BZ4236" s="2" t="s">
        <v>245</v>
      </c>
    </row>
    <row r="4237">
      <c r="A4237" s="2" t="s">
        <v>12857</v>
      </c>
      <c r="B4237" s="2" t="s">
        <v>12738</v>
      </c>
      <c r="C4237" s="2" t="s">
        <v>3934</v>
      </c>
      <c r="D4237" s="2" t="s">
        <v>803</v>
      </c>
      <c r="E4237" s="2" t="s">
        <v>804</v>
      </c>
      <c r="F4237" s="2" t="s">
        <v>12849</v>
      </c>
      <c r="G4237" s="2" t="s">
        <v>2067</v>
      </c>
      <c r="H4237" s="2" t="s">
        <v>12850</v>
      </c>
      <c r="I4237" s="2" t="s">
        <v>12851</v>
      </c>
      <c r="J4237" s="2" t="s">
        <v>270</v>
      </c>
      <c r="K4237" s="2" t="s">
        <v>96</v>
      </c>
      <c r="L4237" s="3">
        <v>39.5</v>
      </c>
      <c r="M4237" s="3">
        <v>41.48</v>
      </c>
      <c r="N4237" s="3">
        <v>89.99</v>
      </c>
      <c r="O4237" s="2" t="s">
        <v>97</v>
      </c>
      <c r="P4237" s="2" t="s">
        <v>307</v>
      </c>
      <c r="Q4237" s="2" t="s">
        <v>99</v>
      </c>
      <c r="R4237" s="2" t="s">
        <v>100</v>
      </c>
      <c r="S4237" s="2" t="s">
        <v>12858</v>
      </c>
      <c r="T4237" s="2" t="s">
        <v>218</v>
      </c>
      <c r="U4237" s="2" t="s">
        <v>402</v>
      </c>
      <c r="V4237" s="2" t="s">
        <v>1150</v>
      </c>
      <c r="W4237" s="2" t="s">
        <v>561</v>
      </c>
      <c r="X4237" s="2" t="s">
        <v>183</v>
      </c>
      <c r="Y4237" s="2" t="s">
        <v>12859</v>
      </c>
      <c r="Z4237" s="4">
        <v>1288</v>
      </c>
      <c r="AA4237" s="4">
        <f>=ROUNDDOWN(128.8,0)</f>
      </c>
      <c r="AB4237" s="5">
        <v>10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/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/>
      <c r="BJ4237" s="4">
        <v>184</v>
      </c>
      <c r="BK4237" s="8">
        <v>8150.77</v>
      </c>
      <c r="BL4237" s="2" t="s">
        <v>5277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207</v>
      </c>
      <c r="BV4237" s="2" t="s">
        <v>97</v>
      </c>
      <c r="BW4237" s="2" t="s">
        <v>100</v>
      </c>
      <c r="BX4237" s="2" t="s">
        <v>100</v>
      </c>
      <c r="BY4237" s="2" t="s">
        <v>113</v>
      </c>
      <c r="BZ4237" s="2" t="s">
        <v>245</v>
      </c>
    </row>
    <row r="4238">
      <c r="A4238" s="2" t="s">
        <v>12860</v>
      </c>
      <c r="B4238" s="2" t="s">
        <v>12738</v>
      </c>
      <c r="C4238" s="2" t="s">
        <v>3934</v>
      </c>
      <c r="D4238" s="2" t="s">
        <v>803</v>
      </c>
      <c r="E4238" s="2" t="s">
        <v>804</v>
      </c>
      <c r="F4238" s="2" t="s">
        <v>12849</v>
      </c>
      <c r="G4238" s="2" t="s">
        <v>2067</v>
      </c>
      <c r="H4238" s="2" t="s">
        <v>12850</v>
      </c>
      <c r="I4238" s="2" t="s">
        <v>12851</v>
      </c>
      <c r="J4238" s="2" t="s">
        <v>237</v>
      </c>
      <c r="K4238" s="2" t="s">
        <v>2477</v>
      </c>
      <c r="L4238" s="3">
        <v>31.25</v>
      </c>
      <c r="M4238" s="3">
        <v>32.81</v>
      </c>
      <c r="N4238" s="3">
        <v>69.99</v>
      </c>
      <c r="O4238" s="2" t="s">
        <v>97</v>
      </c>
      <c r="P4238" s="2" t="s">
        <v>119</v>
      </c>
      <c r="Q4238" s="2" t="s">
        <v>99</v>
      </c>
      <c r="R4238" s="2" t="s">
        <v>100</v>
      </c>
      <c r="S4238" s="2" t="s">
        <v>12861</v>
      </c>
      <c r="T4238" s="2" t="s">
        <v>218</v>
      </c>
      <c r="U4238" s="2" t="s">
        <v>480</v>
      </c>
      <c r="V4238" s="2" t="s">
        <v>1150</v>
      </c>
      <c r="W4238" s="2" t="s">
        <v>561</v>
      </c>
      <c r="X4238" s="2" t="s">
        <v>183</v>
      </c>
      <c r="Y4238" s="2" t="s">
        <v>7661</v>
      </c>
      <c r="Z4238" s="4">
        <v>241</v>
      </c>
      <c r="AA4238" s="4">
        <f>=ROUNDDOWN(48.2,0)</f>
      </c>
      <c r="AB4238" s="5">
        <v>5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/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/>
      <c r="BJ4238" s="4">
        <v>45</v>
      </c>
      <c r="BK4238" s="8">
        <v>1499.56</v>
      </c>
      <c r="BL4238" s="2" t="s">
        <v>4942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207</v>
      </c>
      <c r="BV4238" s="2" t="s">
        <v>97</v>
      </c>
      <c r="BW4238" s="2" t="s">
        <v>100</v>
      </c>
      <c r="BX4238" s="2" t="s">
        <v>100</v>
      </c>
      <c r="BY4238" s="2" t="s">
        <v>113</v>
      </c>
      <c r="BZ4238" s="2" t="s">
        <v>100</v>
      </c>
    </row>
    <row r="4239">
      <c r="A4239" s="2" t="s">
        <v>12862</v>
      </c>
      <c r="B4239" s="2" t="s">
        <v>12738</v>
      </c>
      <c r="C4239" s="2" t="s">
        <v>3934</v>
      </c>
      <c r="D4239" s="2" t="s">
        <v>803</v>
      </c>
      <c r="E4239" s="2" t="s">
        <v>804</v>
      </c>
      <c r="F4239" s="2" t="s">
        <v>12849</v>
      </c>
      <c r="G4239" s="2" t="s">
        <v>2067</v>
      </c>
      <c r="H4239" s="2" t="s">
        <v>12850</v>
      </c>
      <c r="I4239" s="2" t="s">
        <v>12851</v>
      </c>
      <c r="J4239" s="2" t="s">
        <v>247</v>
      </c>
      <c r="K4239" s="2" t="s">
        <v>2477</v>
      </c>
      <c r="L4239" s="3">
        <v>36.67</v>
      </c>
      <c r="M4239" s="3">
        <v>38.5</v>
      </c>
      <c r="N4239" s="3">
        <v>79.99</v>
      </c>
      <c r="O4239" s="2" t="s">
        <v>97</v>
      </c>
      <c r="P4239" s="2" t="s">
        <v>119</v>
      </c>
      <c r="Q4239" s="2" t="s">
        <v>99</v>
      </c>
      <c r="R4239" s="2" t="s">
        <v>100</v>
      </c>
      <c r="S4239" s="2" t="s">
        <v>12861</v>
      </c>
      <c r="T4239" s="2" t="s">
        <v>218</v>
      </c>
      <c r="U4239" s="2" t="s">
        <v>402</v>
      </c>
      <c r="V4239" s="2" t="s">
        <v>1150</v>
      </c>
      <c r="W4239" s="2" t="s">
        <v>561</v>
      </c>
      <c r="X4239" s="2" t="s">
        <v>183</v>
      </c>
      <c r="Y4239" s="2" t="s">
        <v>3205</v>
      </c>
      <c r="Z4239" s="4">
        <v>429</v>
      </c>
      <c r="AA4239" s="4">
        <f>=ROUNDDOWN(35.75,0)</f>
      </c>
      <c r="AB4239" s="5">
        <v>12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/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/>
      <c r="BJ4239" s="4">
        <v>83</v>
      </c>
      <c r="BK4239" s="8">
        <v>3308.63</v>
      </c>
      <c r="BL4239" s="2" t="s">
        <v>2355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207</v>
      </c>
      <c r="BV4239" s="2" t="s">
        <v>97</v>
      </c>
      <c r="BW4239" s="2" t="s">
        <v>100</v>
      </c>
      <c r="BX4239" s="2" t="s">
        <v>100</v>
      </c>
      <c r="BY4239" s="2" t="s">
        <v>113</v>
      </c>
      <c r="BZ4239" s="2" t="s">
        <v>100</v>
      </c>
    </row>
    <row r="4240">
      <c r="A4240" s="2" t="s">
        <v>12863</v>
      </c>
      <c r="B4240" s="2" t="s">
        <v>12738</v>
      </c>
      <c r="C4240" s="2" t="s">
        <v>3934</v>
      </c>
      <c r="D4240" s="2" t="s">
        <v>803</v>
      </c>
      <c r="E4240" s="2" t="s">
        <v>804</v>
      </c>
      <c r="F4240" s="2" t="s">
        <v>12849</v>
      </c>
      <c r="G4240" s="2" t="s">
        <v>2067</v>
      </c>
      <c r="H4240" s="2" t="s">
        <v>12850</v>
      </c>
      <c r="I4240" s="2" t="s">
        <v>12851</v>
      </c>
      <c r="J4240" s="2" t="s">
        <v>270</v>
      </c>
      <c r="K4240" s="2" t="s">
        <v>2477</v>
      </c>
      <c r="L4240" s="3">
        <v>39.5</v>
      </c>
      <c r="M4240" s="3">
        <v>41.48</v>
      </c>
      <c r="N4240" s="3">
        <v>89.99</v>
      </c>
      <c r="O4240" s="2" t="s">
        <v>97</v>
      </c>
      <c r="P4240" s="2" t="s">
        <v>119</v>
      </c>
      <c r="Q4240" s="2" t="s">
        <v>99</v>
      </c>
      <c r="R4240" s="2" t="s">
        <v>100</v>
      </c>
      <c r="S4240" s="2" t="s">
        <v>12861</v>
      </c>
      <c r="T4240" s="2" t="s">
        <v>218</v>
      </c>
      <c r="U4240" s="2" t="s">
        <v>402</v>
      </c>
      <c r="V4240" s="2" t="s">
        <v>1150</v>
      </c>
      <c r="W4240" s="2" t="s">
        <v>561</v>
      </c>
      <c r="X4240" s="2" t="s">
        <v>183</v>
      </c>
      <c r="Y4240" s="2" t="s">
        <v>12864</v>
      </c>
      <c r="Z4240" s="4">
        <v>142</v>
      </c>
      <c r="AA4240" s="4">
        <f>=ROUNDDOWN(28.4,0)</f>
      </c>
      <c r="AB4240" s="5">
        <v>5</v>
      </c>
      <c r="AC4240" s="2" t="s">
        <v>100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/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/>
      <c r="BJ4240" s="4">
        <v>33</v>
      </c>
      <c r="BK4240" s="8">
        <v>1425.58</v>
      </c>
      <c r="BL4240" s="2" t="s">
        <v>12865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207</v>
      </c>
      <c r="BV4240" s="2" t="s">
        <v>97</v>
      </c>
      <c r="BW4240" s="2" t="s">
        <v>100</v>
      </c>
      <c r="BX4240" s="2" t="s">
        <v>100</v>
      </c>
      <c r="BY4240" s="2" t="s">
        <v>113</v>
      </c>
      <c r="BZ4240" s="2" t="s">
        <v>100</v>
      </c>
    </row>
    <row r="4241">
      <c r="A4241" s="2" t="s">
        <v>12866</v>
      </c>
      <c r="B4241" s="2" t="s">
        <v>12738</v>
      </c>
      <c r="C4241" s="2" t="s">
        <v>3934</v>
      </c>
      <c r="D4241" s="2" t="s">
        <v>803</v>
      </c>
      <c r="E4241" s="2" t="s">
        <v>804</v>
      </c>
      <c r="F4241" s="2" t="s">
        <v>12849</v>
      </c>
      <c r="G4241" s="2" t="s">
        <v>2067</v>
      </c>
      <c r="H4241" s="2" t="s">
        <v>12850</v>
      </c>
      <c r="I4241" s="2" t="s">
        <v>12851</v>
      </c>
      <c r="J4241" s="2" t="s">
        <v>237</v>
      </c>
      <c r="K4241" s="2" t="s">
        <v>5794</v>
      </c>
      <c r="L4241" s="3">
        <v>31.25</v>
      </c>
      <c r="M4241" s="3">
        <v>32.81</v>
      </c>
      <c r="N4241" s="3">
        <v>69.99</v>
      </c>
      <c r="O4241" s="2" t="s">
        <v>97</v>
      </c>
      <c r="P4241" s="2" t="s">
        <v>950</v>
      </c>
      <c r="Q4241" s="2" t="s">
        <v>99</v>
      </c>
      <c r="R4241" s="2" t="s">
        <v>100</v>
      </c>
      <c r="S4241" s="2" t="s">
        <v>12867</v>
      </c>
      <c r="T4241" s="2" t="s">
        <v>218</v>
      </c>
      <c r="U4241" s="2" t="s">
        <v>480</v>
      </c>
      <c r="V4241" s="2" t="s">
        <v>1150</v>
      </c>
      <c r="W4241" s="2" t="s">
        <v>561</v>
      </c>
      <c r="X4241" s="2" t="s">
        <v>183</v>
      </c>
      <c r="Y4241" s="2" t="s">
        <v>12868</v>
      </c>
      <c r="Z4241" s="4">
        <v>1048</v>
      </c>
      <c r="AA4241" s="4">
        <f>=ROUNDDOWN(87.3333333333333,0)</f>
      </c>
      <c r="AB4241" s="5">
        <v>12</v>
      </c>
      <c r="AC4241" s="2" t="s">
        <v>100</v>
      </c>
      <c r="AD4241" s="4"/>
      <c r="AE4241" s="4"/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>
        <v>273</v>
      </c>
      <c r="BK4241" s="8">
        <v>9083.97</v>
      </c>
      <c r="BL4241" s="2" t="s">
        <v>3629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207</v>
      </c>
      <c r="BV4241" s="2" t="s">
        <v>97</v>
      </c>
      <c r="BW4241" s="2" t="s">
        <v>100</v>
      </c>
      <c r="BX4241" s="2" t="s">
        <v>100</v>
      </c>
      <c r="BY4241" s="2" t="s">
        <v>113</v>
      </c>
      <c r="BZ4241" s="2" t="s">
        <v>100</v>
      </c>
    </row>
    <row r="4242">
      <c r="A4242" s="2" t="s">
        <v>12869</v>
      </c>
      <c r="B4242" s="2" t="s">
        <v>12738</v>
      </c>
      <c r="C4242" s="2" t="s">
        <v>3934</v>
      </c>
      <c r="D4242" s="2" t="s">
        <v>803</v>
      </c>
      <c r="E4242" s="2" t="s">
        <v>804</v>
      </c>
      <c r="F4242" s="2" t="s">
        <v>12849</v>
      </c>
      <c r="G4242" s="2" t="s">
        <v>2067</v>
      </c>
      <c r="H4242" s="2" t="s">
        <v>12850</v>
      </c>
      <c r="I4242" s="2" t="s">
        <v>12851</v>
      </c>
      <c r="J4242" s="2" t="s">
        <v>247</v>
      </c>
      <c r="K4242" s="2" t="s">
        <v>5794</v>
      </c>
      <c r="L4242" s="3">
        <v>36.67</v>
      </c>
      <c r="M4242" s="3">
        <v>38.5</v>
      </c>
      <c r="N4242" s="3">
        <v>79.99</v>
      </c>
      <c r="O4242" s="2" t="s">
        <v>97</v>
      </c>
      <c r="P4242" s="2" t="s">
        <v>950</v>
      </c>
      <c r="Q4242" s="2" t="s">
        <v>99</v>
      </c>
      <c r="R4242" s="2" t="s">
        <v>100</v>
      </c>
      <c r="S4242" s="2" t="s">
        <v>12867</v>
      </c>
      <c r="T4242" s="2" t="s">
        <v>218</v>
      </c>
      <c r="U4242" s="2" t="s">
        <v>402</v>
      </c>
      <c r="V4242" s="2" t="s">
        <v>1150</v>
      </c>
      <c r="W4242" s="2" t="s">
        <v>561</v>
      </c>
      <c r="X4242" s="2" t="s">
        <v>183</v>
      </c>
      <c r="Y4242" s="2" t="s">
        <v>12868</v>
      </c>
      <c r="Z4242" s="4">
        <v>1792</v>
      </c>
      <c r="AA4242" s="4">
        <f>=ROUNDDOWN(77.9130434782609,0)</f>
      </c>
      <c r="AB4242" s="5">
        <v>23</v>
      </c>
      <c r="AC4242" s="2" t="s">
        <v>100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/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/>
      <c r="BJ4242" s="4">
        <v>578</v>
      </c>
      <c r="BK4242" s="8">
        <v>22822.22</v>
      </c>
      <c r="BL4242" s="2" t="s">
        <v>12870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207</v>
      </c>
      <c r="BV4242" s="2" t="s">
        <v>97</v>
      </c>
      <c r="BW4242" s="2" t="s">
        <v>100</v>
      </c>
      <c r="BX4242" s="2" t="s">
        <v>100</v>
      </c>
      <c r="BY4242" s="2" t="s">
        <v>113</v>
      </c>
      <c r="BZ4242" s="2" t="s">
        <v>100</v>
      </c>
    </row>
    <row r="4243">
      <c r="A4243" s="2" t="s">
        <v>12871</v>
      </c>
      <c r="B4243" s="2" t="s">
        <v>12738</v>
      </c>
      <c r="C4243" s="2" t="s">
        <v>3934</v>
      </c>
      <c r="D4243" s="2" t="s">
        <v>803</v>
      </c>
      <c r="E4243" s="2" t="s">
        <v>804</v>
      </c>
      <c r="F4243" s="2" t="s">
        <v>12849</v>
      </c>
      <c r="G4243" s="2" t="s">
        <v>2067</v>
      </c>
      <c r="H4243" s="2" t="s">
        <v>12850</v>
      </c>
      <c r="I4243" s="2" t="s">
        <v>12851</v>
      </c>
      <c r="J4243" s="2" t="s">
        <v>270</v>
      </c>
      <c r="K4243" s="2" t="s">
        <v>5794</v>
      </c>
      <c r="L4243" s="3">
        <v>39.5</v>
      </c>
      <c r="M4243" s="3">
        <v>41.48</v>
      </c>
      <c r="N4243" s="3">
        <v>89.99</v>
      </c>
      <c r="O4243" s="2" t="s">
        <v>97</v>
      </c>
      <c r="P4243" s="2" t="s">
        <v>950</v>
      </c>
      <c r="Q4243" s="2" t="s">
        <v>99</v>
      </c>
      <c r="R4243" s="2" t="s">
        <v>100</v>
      </c>
      <c r="S4243" s="2" t="s">
        <v>12867</v>
      </c>
      <c r="T4243" s="2" t="s">
        <v>218</v>
      </c>
      <c r="U4243" s="2" t="s">
        <v>402</v>
      </c>
      <c r="V4243" s="2" t="s">
        <v>1150</v>
      </c>
      <c r="W4243" s="2" t="s">
        <v>561</v>
      </c>
      <c r="X4243" s="2" t="s">
        <v>183</v>
      </c>
      <c r="Y4243" s="2" t="s">
        <v>12868</v>
      </c>
      <c r="Z4243" s="4">
        <v>663</v>
      </c>
      <c r="AA4243" s="4">
        <f>=ROUNDDOWN(94.7142857142857,0)</f>
      </c>
      <c r="AB4243" s="5">
        <v>7</v>
      </c>
      <c r="AC4243" s="2" t="s">
        <v>100</v>
      </c>
      <c r="AD4243" s="4"/>
      <c r="AE4243" s="4"/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/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/>
      <c r="BJ4243" s="4">
        <v>123</v>
      </c>
      <c r="BK4243" s="8">
        <v>5212.6</v>
      </c>
      <c r="BL4243" s="2" t="s">
        <v>12872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207</v>
      </c>
      <c r="BV4243" s="2" t="s">
        <v>97</v>
      </c>
      <c r="BW4243" s="2" t="s">
        <v>100</v>
      </c>
      <c r="BX4243" s="2" t="s">
        <v>100</v>
      </c>
      <c r="BY4243" s="2" t="s">
        <v>113</v>
      </c>
      <c r="BZ4243" s="2" t="s">
        <v>100</v>
      </c>
    </row>
    <row r="4244">
      <c r="A4244" s="2" t="s">
        <v>12873</v>
      </c>
      <c r="B4244" s="2" t="s">
        <v>12738</v>
      </c>
      <c r="C4244" s="2" t="s">
        <v>3934</v>
      </c>
      <c r="D4244" s="2" t="s">
        <v>803</v>
      </c>
      <c r="E4244" s="2" t="s">
        <v>804</v>
      </c>
      <c r="F4244" s="2" t="s">
        <v>12874</v>
      </c>
      <c r="G4244" s="2" t="s">
        <v>12572</v>
      </c>
      <c r="H4244" s="2" t="s">
        <v>12875</v>
      </c>
      <c r="I4244" s="2" t="s">
        <v>12876</v>
      </c>
      <c r="J4244" s="2" t="s">
        <v>237</v>
      </c>
      <c r="K4244" s="2" t="s">
        <v>118</v>
      </c>
      <c r="L4244" s="3">
        <v>23.8</v>
      </c>
      <c r="M4244" s="3">
        <v>24.99</v>
      </c>
      <c r="N4244" s="3">
        <v>49.99</v>
      </c>
      <c r="O4244" s="2" t="s">
        <v>97</v>
      </c>
      <c r="P4244" s="2" t="s">
        <v>119</v>
      </c>
      <c r="Q4244" s="2" t="s">
        <v>99</v>
      </c>
      <c r="R4244" s="2" t="s">
        <v>100</v>
      </c>
      <c r="S4244" s="2" t="s">
        <v>12877</v>
      </c>
      <c r="T4244" s="2" t="s">
        <v>218</v>
      </c>
      <c r="U4244" s="2" t="s">
        <v>402</v>
      </c>
      <c r="V4244" s="2" t="s">
        <v>12878</v>
      </c>
      <c r="W4244" s="2" t="s">
        <v>219</v>
      </c>
      <c r="X4244" s="2" t="s">
        <v>100</v>
      </c>
      <c r="Y4244" s="2" t="s">
        <v>4929</v>
      </c>
      <c r="Z4244" s="4"/>
      <c r="AA4244" s="4">
        <f>=ROUNDDOWN({0},0)</f>
      </c>
      <c r="AB4244" s="5">
        <v>9</v>
      </c>
      <c r="AC4244" s="2" t="s">
        <v>768</v>
      </c>
      <c r="AD4244" s="4">
        <v>280</v>
      </c>
      <c r="AE4244" s="4">
        <v>280</v>
      </c>
      <c r="AF4244" s="6">
        <v>64</v>
      </c>
      <c r="AG4244" s="6"/>
      <c r="AH4244" s="7">
        <v>0.5294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/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/>
      <c r="BJ4244" s="4">
        <v>226</v>
      </c>
      <c r="BK4244" s="8">
        <v>6167.7</v>
      </c>
      <c r="BL4244" s="2" t="s">
        <v>12879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207</v>
      </c>
      <c r="BV4244" s="2" t="s">
        <v>97</v>
      </c>
      <c r="BW4244" s="2" t="s">
        <v>100</v>
      </c>
      <c r="BX4244" s="2" t="s">
        <v>100</v>
      </c>
      <c r="BY4244" s="2" t="s">
        <v>113</v>
      </c>
      <c r="BZ4244" s="2" t="s">
        <v>100</v>
      </c>
    </row>
    <row r="4245">
      <c r="A4245" s="2" t="s">
        <v>12880</v>
      </c>
      <c r="B4245" s="2" t="s">
        <v>12738</v>
      </c>
      <c r="C4245" s="2" t="s">
        <v>3934</v>
      </c>
      <c r="D4245" s="2" t="s">
        <v>803</v>
      </c>
      <c r="E4245" s="2" t="s">
        <v>804</v>
      </c>
      <c r="F4245" s="2" t="s">
        <v>12874</v>
      </c>
      <c r="G4245" s="2" t="s">
        <v>12572</v>
      </c>
      <c r="H4245" s="2" t="s">
        <v>12875</v>
      </c>
      <c r="I4245" s="2" t="s">
        <v>12876</v>
      </c>
      <c r="J4245" s="2" t="s">
        <v>247</v>
      </c>
      <c r="K4245" s="2" t="s">
        <v>118</v>
      </c>
      <c r="L4245" s="3">
        <v>28.57</v>
      </c>
      <c r="M4245" s="3">
        <v>30</v>
      </c>
      <c r="N4245" s="3">
        <v>59.99</v>
      </c>
      <c r="O4245" s="2" t="s">
        <v>97</v>
      </c>
      <c r="P4245" s="2" t="s">
        <v>119</v>
      </c>
      <c r="Q4245" s="2" t="s">
        <v>99</v>
      </c>
      <c r="R4245" s="2" t="s">
        <v>100</v>
      </c>
      <c r="S4245" s="2" t="s">
        <v>12877</v>
      </c>
      <c r="T4245" s="2" t="s">
        <v>218</v>
      </c>
      <c r="U4245" s="2" t="s">
        <v>171</v>
      </c>
      <c r="V4245" s="2" t="s">
        <v>12878</v>
      </c>
      <c r="W4245" s="2" t="s">
        <v>219</v>
      </c>
      <c r="X4245" s="2" t="s">
        <v>100</v>
      </c>
      <c r="Y4245" s="2" t="s">
        <v>4929</v>
      </c>
      <c r="Z4245" s="4">
        <v>115</v>
      </c>
      <c r="AA4245" s="4">
        <f>=ROUNDDOWN(9.58333333333333,0)</f>
      </c>
      <c r="AB4245" s="5">
        <v>12</v>
      </c>
      <c r="AC4245" s="2" t="s">
        <v>768</v>
      </c>
      <c r="AD4245" s="4">
        <v>330</v>
      </c>
      <c r="AE4245" s="4">
        <v>330</v>
      </c>
      <c r="AF4245" s="6">
        <v>64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/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/>
      <c r="BJ4245" s="4">
        <v>222</v>
      </c>
      <c r="BK4245" s="8">
        <v>7538.54</v>
      </c>
      <c r="BL4245" s="2" t="s">
        <v>446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207</v>
      </c>
      <c r="BV4245" s="2" t="s">
        <v>97</v>
      </c>
      <c r="BW4245" s="2" t="s">
        <v>100</v>
      </c>
      <c r="BX4245" s="2" t="s">
        <v>100</v>
      </c>
      <c r="BY4245" s="2" t="s">
        <v>113</v>
      </c>
      <c r="BZ4245" s="2" t="s">
        <v>100</v>
      </c>
    </row>
    <row r="4246">
      <c r="A4246" s="2" t="s">
        <v>12881</v>
      </c>
      <c r="B4246" s="2" t="s">
        <v>12738</v>
      </c>
      <c r="C4246" s="2" t="s">
        <v>3934</v>
      </c>
      <c r="D4246" s="2" t="s">
        <v>803</v>
      </c>
      <c r="E4246" s="2" t="s">
        <v>804</v>
      </c>
      <c r="F4246" s="2" t="s">
        <v>12882</v>
      </c>
      <c r="G4246" s="2" t="s">
        <v>12883</v>
      </c>
      <c r="H4246" s="2" t="s">
        <v>3568</v>
      </c>
      <c r="I4246" s="2" t="s">
        <v>12884</v>
      </c>
      <c r="J4246" s="2" t="s">
        <v>270</v>
      </c>
      <c r="K4246" s="2" t="s">
        <v>3004</v>
      </c>
      <c r="L4246" s="3">
        <v>38.07</v>
      </c>
      <c r="M4246" s="3">
        <v>39.97</v>
      </c>
      <c r="N4246" s="3">
        <v>84.99</v>
      </c>
      <c r="O4246" s="2" t="s">
        <v>97</v>
      </c>
      <c r="P4246" s="2" t="s">
        <v>950</v>
      </c>
      <c r="Q4246" s="2" t="s">
        <v>99</v>
      </c>
      <c r="R4246" s="2" t="s">
        <v>100</v>
      </c>
      <c r="S4246" s="2" t="s">
        <v>12885</v>
      </c>
      <c r="T4246" s="2" t="s">
        <v>218</v>
      </c>
      <c r="U4246" s="2" t="s">
        <v>171</v>
      </c>
      <c r="V4246" s="2" t="s">
        <v>256</v>
      </c>
      <c r="W4246" s="2" t="s">
        <v>104</v>
      </c>
      <c r="X4246" s="2" t="s">
        <v>378</v>
      </c>
      <c r="Y4246" s="2" t="s">
        <v>12886</v>
      </c>
      <c r="Z4246" s="4">
        <v>449</v>
      </c>
      <c r="AA4246" s="4">
        <f>=ROUNDDOWN(49.3406593406593,0)</f>
      </c>
      <c r="AB4246" s="5">
        <v>9.1</v>
      </c>
      <c r="AC4246" s="2" t="s">
        <v>100</v>
      </c>
      <c r="AD4246" s="4"/>
      <c r="AE4246" s="4"/>
      <c r="AF4246" s="6">
        <v>64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>
        <v>343</v>
      </c>
      <c r="BK4246" s="8">
        <v>15954.76</v>
      </c>
      <c r="BL4246" s="2" t="s">
        <v>12887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207</v>
      </c>
      <c r="BV4246" s="2" t="s">
        <v>97</v>
      </c>
      <c r="BW4246" s="2" t="s">
        <v>100</v>
      </c>
      <c r="BX4246" s="2" t="s">
        <v>100</v>
      </c>
      <c r="BY4246" s="2" t="s">
        <v>113</v>
      </c>
      <c r="BZ4246" s="2" t="s">
        <v>245</v>
      </c>
    </row>
    <row r="4247">
      <c r="A4247" s="2" t="s">
        <v>12888</v>
      </c>
      <c r="B4247" s="2" t="s">
        <v>12738</v>
      </c>
      <c r="C4247" s="2" t="s">
        <v>3934</v>
      </c>
      <c r="D4247" s="2" t="s">
        <v>803</v>
      </c>
      <c r="E4247" s="2" t="s">
        <v>804</v>
      </c>
      <c r="F4247" s="2" t="s">
        <v>12889</v>
      </c>
      <c r="G4247" s="2" t="s">
        <v>12890</v>
      </c>
      <c r="H4247" s="2" t="s">
        <v>3511</v>
      </c>
      <c r="I4247" s="2" t="s">
        <v>12891</v>
      </c>
      <c r="J4247" s="2" t="s">
        <v>237</v>
      </c>
      <c r="K4247" s="2" t="s">
        <v>278</v>
      </c>
      <c r="L4247" s="3">
        <v>23.8</v>
      </c>
      <c r="M4247" s="3">
        <v>24.99</v>
      </c>
      <c r="N4247" s="3">
        <v>49.99</v>
      </c>
      <c r="O4247" s="2" t="s">
        <v>97</v>
      </c>
      <c r="P4247" s="2" t="s">
        <v>119</v>
      </c>
      <c r="Q4247" s="2" t="s">
        <v>99</v>
      </c>
      <c r="R4247" s="2" t="s">
        <v>100</v>
      </c>
      <c r="S4247" s="2" t="s">
        <v>12892</v>
      </c>
      <c r="T4247" s="2" t="s">
        <v>218</v>
      </c>
      <c r="U4247" s="2" t="s">
        <v>480</v>
      </c>
      <c r="V4247" s="2" t="s">
        <v>292</v>
      </c>
      <c r="W4247" s="2" t="s">
        <v>183</v>
      </c>
      <c r="X4247" s="2" t="s">
        <v>100</v>
      </c>
      <c r="Y4247" s="2" t="s">
        <v>12893</v>
      </c>
      <c r="Z4247" s="4">
        <v>800</v>
      </c>
      <c r="AA4247" s="4">
        <f>=ROUNDDOWN(25.8064516129032,0)</f>
      </c>
      <c r="AB4247" s="5">
        <v>31</v>
      </c>
      <c r="AC4247" s="2" t="s">
        <v>872</v>
      </c>
      <c r="AD4247" s="4">
        <v>450</v>
      </c>
      <c r="AE4247" s="4">
        <v>450</v>
      </c>
      <c r="AF4247" s="6">
        <v>64</v>
      </c>
      <c r="AG4247" s="6"/>
      <c r="AH4247" s="7">
        <v>0.6257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/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/>
      <c r="BJ4247" s="4">
        <v>407</v>
      </c>
      <c r="BK4247" s="8">
        <v>11075.07</v>
      </c>
      <c r="BL4247" s="2" t="s">
        <v>550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207</v>
      </c>
      <c r="BV4247" s="2" t="s">
        <v>97</v>
      </c>
      <c r="BW4247" s="2" t="s">
        <v>100</v>
      </c>
      <c r="BX4247" s="2" t="s">
        <v>100</v>
      </c>
      <c r="BY4247" s="2" t="s">
        <v>113</v>
      </c>
      <c r="BZ4247" s="2" t="s">
        <v>100</v>
      </c>
    </row>
    <row r="4248">
      <c r="A4248" s="2" t="s">
        <v>12894</v>
      </c>
      <c r="B4248" s="2" t="s">
        <v>12738</v>
      </c>
      <c r="C4248" s="2" t="s">
        <v>3934</v>
      </c>
      <c r="D4248" s="2" t="s">
        <v>803</v>
      </c>
      <c r="E4248" s="2" t="s">
        <v>804</v>
      </c>
      <c r="F4248" s="2" t="s">
        <v>12889</v>
      </c>
      <c r="G4248" s="2" t="s">
        <v>12890</v>
      </c>
      <c r="H4248" s="2" t="s">
        <v>3511</v>
      </c>
      <c r="I4248" s="2" t="s">
        <v>12891</v>
      </c>
      <c r="J4248" s="2" t="s">
        <v>247</v>
      </c>
      <c r="K4248" s="2" t="s">
        <v>278</v>
      </c>
      <c r="L4248" s="3">
        <v>28.57</v>
      </c>
      <c r="M4248" s="3">
        <v>30</v>
      </c>
      <c r="N4248" s="3">
        <v>59.99</v>
      </c>
      <c r="O4248" s="2" t="s">
        <v>97</v>
      </c>
      <c r="P4248" s="2" t="s">
        <v>119</v>
      </c>
      <c r="Q4248" s="2" t="s">
        <v>99</v>
      </c>
      <c r="R4248" s="2" t="s">
        <v>100</v>
      </c>
      <c r="S4248" s="2" t="s">
        <v>12892</v>
      </c>
      <c r="T4248" s="2" t="s">
        <v>218</v>
      </c>
      <c r="U4248" s="2" t="s">
        <v>402</v>
      </c>
      <c r="V4248" s="2" t="s">
        <v>292</v>
      </c>
      <c r="W4248" s="2" t="s">
        <v>183</v>
      </c>
      <c r="X4248" s="2" t="s">
        <v>100</v>
      </c>
      <c r="Y4248" s="2" t="s">
        <v>4929</v>
      </c>
      <c r="Z4248" s="4">
        <v>1176</v>
      </c>
      <c r="AA4248" s="4">
        <f>=ROUNDDOWN(26.1333333333333,0)</f>
      </c>
      <c r="AB4248" s="5">
        <v>45</v>
      </c>
      <c r="AC4248" s="2" t="s">
        <v>872</v>
      </c>
      <c r="AD4248" s="4">
        <v>550</v>
      </c>
      <c r="AE4248" s="4">
        <v>550</v>
      </c>
      <c r="AF4248" s="6">
        <v>64</v>
      </c>
      <c r="AG4248" s="6"/>
      <c r="AH4248" s="7">
        <v>0.5722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/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/>
      <c r="BJ4248" s="4">
        <v>536</v>
      </c>
      <c r="BK4248" s="8">
        <v>17537.61</v>
      </c>
      <c r="BL4248" s="2" t="s">
        <v>550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207</v>
      </c>
      <c r="BV4248" s="2" t="s">
        <v>97</v>
      </c>
      <c r="BW4248" s="2" t="s">
        <v>100</v>
      </c>
      <c r="BX4248" s="2" t="s">
        <v>100</v>
      </c>
      <c r="BY4248" s="2" t="s">
        <v>113</v>
      </c>
      <c r="BZ4248" s="2" t="s">
        <v>100</v>
      </c>
    </row>
    <row r="4249">
      <c r="A4249" s="2" t="s">
        <v>12895</v>
      </c>
      <c r="B4249" s="2" t="s">
        <v>12738</v>
      </c>
      <c r="C4249" s="2" t="s">
        <v>3934</v>
      </c>
      <c r="D4249" s="2" t="s">
        <v>803</v>
      </c>
      <c r="E4249" s="2" t="s">
        <v>804</v>
      </c>
      <c r="F4249" s="2" t="s">
        <v>5266</v>
      </c>
      <c r="G4249" s="2" t="s">
        <v>12896</v>
      </c>
      <c r="H4249" s="2" t="s">
        <v>12897</v>
      </c>
      <c r="I4249" s="2" t="s">
        <v>12898</v>
      </c>
      <c r="J4249" s="2" t="s">
        <v>237</v>
      </c>
      <c r="K4249" s="2" t="s">
        <v>3004</v>
      </c>
      <c r="L4249" s="3">
        <v>23.8</v>
      </c>
      <c r="M4249" s="3">
        <v>24.99</v>
      </c>
      <c r="N4249" s="3">
        <v>49.99</v>
      </c>
      <c r="O4249" s="2" t="s">
        <v>97</v>
      </c>
      <c r="P4249" s="2" t="s">
        <v>119</v>
      </c>
      <c r="Q4249" s="2" t="s">
        <v>99</v>
      </c>
      <c r="R4249" s="2" t="s">
        <v>100</v>
      </c>
      <c r="S4249" s="2" t="s">
        <v>12899</v>
      </c>
      <c r="T4249" s="2" t="s">
        <v>218</v>
      </c>
      <c r="U4249" s="2" t="s">
        <v>402</v>
      </c>
      <c r="V4249" s="2" t="s">
        <v>403</v>
      </c>
      <c r="W4249" s="2" t="s">
        <v>561</v>
      </c>
      <c r="X4249" s="2" t="s">
        <v>100</v>
      </c>
      <c r="Y4249" s="2" t="s">
        <v>3509</v>
      </c>
      <c r="Z4249" s="4">
        <v>4</v>
      </c>
      <c r="AA4249" s="4">
        <f>=ROUNDDOWN(0.5,0)</f>
      </c>
      <c r="AB4249" s="5">
        <v>8</v>
      </c>
      <c r="AC4249" s="2" t="s">
        <v>282</v>
      </c>
      <c r="AD4249" s="4">
        <v>300</v>
      </c>
      <c r="AE4249" s="4">
        <v>300</v>
      </c>
      <c r="AF4249" s="6">
        <v>64</v>
      </c>
      <c r="AG4249" s="6"/>
      <c r="AH4249" s="7">
        <v>0.9572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/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/>
      <c r="BJ4249" s="4">
        <v>229</v>
      </c>
      <c r="BK4249" s="8">
        <v>6157.23</v>
      </c>
      <c r="BL4249" s="2" t="s">
        <v>553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207</v>
      </c>
      <c r="BV4249" s="2" t="s">
        <v>97</v>
      </c>
      <c r="BW4249" s="2" t="s">
        <v>100</v>
      </c>
      <c r="BX4249" s="2" t="s">
        <v>100</v>
      </c>
      <c r="BY4249" s="2" t="s">
        <v>113</v>
      </c>
      <c r="BZ4249" s="2" t="s">
        <v>100</v>
      </c>
    </row>
    <row r="4250">
      <c r="A4250" s="2" t="s">
        <v>12900</v>
      </c>
      <c r="B4250" s="2" t="s">
        <v>12738</v>
      </c>
      <c r="C4250" s="2" t="s">
        <v>3934</v>
      </c>
      <c r="D4250" s="2" t="s">
        <v>803</v>
      </c>
      <c r="E4250" s="2" t="s">
        <v>804</v>
      </c>
      <c r="F4250" s="2" t="s">
        <v>5266</v>
      </c>
      <c r="G4250" s="2" t="s">
        <v>12896</v>
      </c>
      <c r="H4250" s="2" t="s">
        <v>12897</v>
      </c>
      <c r="I4250" s="2" t="s">
        <v>12898</v>
      </c>
      <c r="J4250" s="2" t="s">
        <v>247</v>
      </c>
      <c r="K4250" s="2" t="s">
        <v>3004</v>
      </c>
      <c r="L4250" s="3">
        <v>28.57</v>
      </c>
      <c r="M4250" s="3">
        <v>30</v>
      </c>
      <c r="N4250" s="3">
        <v>59.99</v>
      </c>
      <c r="O4250" s="2" t="s">
        <v>97</v>
      </c>
      <c r="P4250" s="2" t="s">
        <v>119</v>
      </c>
      <c r="Q4250" s="2" t="s">
        <v>99</v>
      </c>
      <c r="R4250" s="2" t="s">
        <v>100</v>
      </c>
      <c r="S4250" s="2" t="s">
        <v>12899</v>
      </c>
      <c r="T4250" s="2" t="s">
        <v>218</v>
      </c>
      <c r="U4250" s="2" t="s">
        <v>171</v>
      </c>
      <c r="V4250" s="2" t="s">
        <v>403</v>
      </c>
      <c r="W4250" s="2" t="s">
        <v>561</v>
      </c>
      <c r="X4250" s="2" t="s">
        <v>100</v>
      </c>
      <c r="Y4250" s="2" t="s">
        <v>3509</v>
      </c>
      <c r="Z4250" s="4">
        <v>133</v>
      </c>
      <c r="AA4250" s="4">
        <f>=ROUNDDOWN(13.3,0)</f>
      </c>
      <c r="AB4250" s="5">
        <v>10</v>
      </c>
      <c r="AC4250" s="2" t="s">
        <v>282</v>
      </c>
      <c r="AD4250" s="4">
        <v>300</v>
      </c>
      <c r="AE4250" s="4">
        <v>300</v>
      </c>
      <c r="AF4250" s="6">
        <v>64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/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/>
      <c r="BJ4250" s="4">
        <v>214</v>
      </c>
      <c r="BK4250" s="8">
        <v>6867.12</v>
      </c>
      <c r="BL4250" s="2" t="s">
        <v>550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207</v>
      </c>
      <c r="BV4250" s="2" t="s">
        <v>97</v>
      </c>
      <c r="BW4250" s="2" t="s">
        <v>100</v>
      </c>
      <c r="BX4250" s="2" t="s">
        <v>100</v>
      </c>
      <c r="BY4250" s="2" t="s">
        <v>113</v>
      </c>
      <c r="BZ4250" s="2" t="s">
        <v>100</v>
      </c>
    </row>
    <row r="4251">
      <c r="A4251" s="2" t="s">
        <v>12901</v>
      </c>
      <c r="B4251" s="2" t="s">
        <v>12738</v>
      </c>
      <c r="C4251" s="2" t="s">
        <v>3934</v>
      </c>
      <c r="D4251" s="2" t="s">
        <v>803</v>
      </c>
      <c r="E4251" s="2" t="s">
        <v>804</v>
      </c>
      <c r="F4251" s="2" t="s">
        <v>12902</v>
      </c>
      <c r="G4251" s="2" t="s">
        <v>12903</v>
      </c>
      <c r="H4251" s="2" t="s">
        <v>8240</v>
      </c>
      <c r="I4251" s="2" t="s">
        <v>12904</v>
      </c>
      <c r="J4251" s="2" t="s">
        <v>237</v>
      </c>
      <c r="K4251" s="2" t="s">
        <v>3560</v>
      </c>
      <c r="L4251" s="3">
        <v>23.8</v>
      </c>
      <c r="M4251" s="3">
        <v>24.99</v>
      </c>
      <c r="N4251" s="3">
        <v>49.99</v>
      </c>
      <c r="O4251" s="2" t="s">
        <v>97</v>
      </c>
      <c r="P4251" s="2" t="s">
        <v>119</v>
      </c>
      <c r="Q4251" s="2" t="s">
        <v>99</v>
      </c>
      <c r="R4251" s="2" t="s">
        <v>100</v>
      </c>
      <c r="S4251" s="2" t="s">
        <v>12905</v>
      </c>
      <c r="T4251" s="2" t="s">
        <v>218</v>
      </c>
      <c r="U4251" s="2" t="s">
        <v>402</v>
      </c>
      <c r="V4251" s="2" t="s">
        <v>12878</v>
      </c>
      <c r="W4251" s="2" t="s">
        <v>219</v>
      </c>
      <c r="X4251" s="2" t="s">
        <v>100</v>
      </c>
      <c r="Y4251" s="2" t="s">
        <v>4929</v>
      </c>
      <c r="Z4251" s="4"/>
      <c r="AA4251" s="4">
        <f>=ROUNDDOWN({0},0)</f>
      </c>
      <c r="AB4251" s="5">
        <v>8</v>
      </c>
      <c r="AC4251" s="2" t="s">
        <v>205</v>
      </c>
      <c r="AD4251" s="4">
        <v>250</v>
      </c>
      <c r="AE4251" s="4">
        <v>250</v>
      </c>
      <c r="AF4251" s="6">
        <v>64</v>
      </c>
      <c r="AG4251" s="6"/>
      <c r="AH4251" s="7">
        <v>0.5775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/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/>
      <c r="BJ4251" s="4">
        <v>226</v>
      </c>
      <c r="BK4251" s="8">
        <v>6149.15</v>
      </c>
      <c r="BL4251" s="2" t="s">
        <v>1241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207</v>
      </c>
      <c r="BV4251" s="2" t="s">
        <v>97</v>
      </c>
      <c r="BW4251" s="2" t="s">
        <v>100</v>
      </c>
      <c r="BX4251" s="2" t="s">
        <v>100</v>
      </c>
      <c r="BY4251" s="2" t="s">
        <v>113</v>
      </c>
      <c r="BZ4251" s="2" t="s">
        <v>100</v>
      </c>
    </row>
    <row r="4252">
      <c r="A4252" s="2" t="s">
        <v>12906</v>
      </c>
      <c r="B4252" s="2" t="s">
        <v>12738</v>
      </c>
      <c r="C4252" s="2" t="s">
        <v>3934</v>
      </c>
      <c r="D4252" s="2" t="s">
        <v>803</v>
      </c>
      <c r="E4252" s="2" t="s">
        <v>804</v>
      </c>
      <c r="F4252" s="2" t="s">
        <v>12902</v>
      </c>
      <c r="G4252" s="2" t="s">
        <v>12903</v>
      </c>
      <c r="H4252" s="2" t="s">
        <v>8240</v>
      </c>
      <c r="I4252" s="2" t="s">
        <v>12904</v>
      </c>
      <c r="J4252" s="2" t="s">
        <v>247</v>
      </c>
      <c r="K4252" s="2" t="s">
        <v>3560</v>
      </c>
      <c r="L4252" s="3">
        <v>28.57</v>
      </c>
      <c r="M4252" s="3">
        <v>30</v>
      </c>
      <c r="N4252" s="3">
        <v>59.99</v>
      </c>
      <c r="O4252" s="2" t="s">
        <v>97</v>
      </c>
      <c r="P4252" s="2" t="s">
        <v>119</v>
      </c>
      <c r="Q4252" s="2" t="s">
        <v>99</v>
      </c>
      <c r="R4252" s="2" t="s">
        <v>100</v>
      </c>
      <c r="S4252" s="2" t="s">
        <v>12905</v>
      </c>
      <c r="T4252" s="2" t="s">
        <v>218</v>
      </c>
      <c r="U4252" s="2" t="s">
        <v>171</v>
      </c>
      <c r="V4252" s="2" t="s">
        <v>12878</v>
      </c>
      <c r="W4252" s="2" t="s">
        <v>219</v>
      </c>
      <c r="X4252" s="2" t="s">
        <v>100</v>
      </c>
      <c r="Y4252" s="2" t="s">
        <v>4929</v>
      </c>
      <c r="Z4252" s="4">
        <v>6</v>
      </c>
      <c r="AA4252" s="4">
        <f>=ROUNDDOWN(0.6,0)</f>
      </c>
      <c r="AB4252" s="5">
        <v>10</v>
      </c>
      <c r="AC4252" s="2" t="s">
        <v>205</v>
      </c>
      <c r="AD4252" s="4">
        <v>250</v>
      </c>
      <c r="AE4252" s="4">
        <v>250</v>
      </c>
      <c r="AF4252" s="6">
        <v>64</v>
      </c>
      <c r="AG4252" s="6"/>
      <c r="AH4252" s="7">
        <v>0.984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>
        <v>335</v>
      </c>
      <c r="BK4252" s="8">
        <v>10998.2</v>
      </c>
      <c r="BL4252" s="2" t="s">
        <v>446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207</v>
      </c>
      <c r="BV4252" s="2" t="s">
        <v>97</v>
      </c>
      <c r="BW4252" s="2" t="s">
        <v>100</v>
      </c>
      <c r="BX4252" s="2" t="s">
        <v>100</v>
      </c>
      <c r="BY4252" s="2" t="s">
        <v>113</v>
      </c>
      <c r="BZ4252" s="2" t="s">
        <v>100</v>
      </c>
    </row>
    <row r="4253">
      <c r="A4253" s="2" t="s">
        <v>12907</v>
      </c>
      <c r="B4253" s="2" t="s">
        <v>12738</v>
      </c>
      <c r="C4253" s="2" t="s">
        <v>3934</v>
      </c>
      <c r="D4253" s="2" t="s">
        <v>803</v>
      </c>
      <c r="E4253" s="2" t="s">
        <v>804</v>
      </c>
      <c r="F4253" s="2" t="s">
        <v>8014</v>
      </c>
      <c r="G4253" s="2" t="s">
        <v>12908</v>
      </c>
      <c r="H4253" s="2" t="s">
        <v>12909</v>
      </c>
      <c r="I4253" s="2" t="s">
        <v>12910</v>
      </c>
      <c r="J4253" s="2" t="s">
        <v>237</v>
      </c>
      <c r="K4253" s="2" t="s">
        <v>1148</v>
      </c>
      <c r="L4253" s="3">
        <v>23.8</v>
      </c>
      <c r="M4253" s="3">
        <v>24.99</v>
      </c>
      <c r="N4253" s="3">
        <v>49.99</v>
      </c>
      <c r="O4253" s="2" t="s">
        <v>97</v>
      </c>
      <c r="P4253" s="2" t="s">
        <v>225</v>
      </c>
      <c r="Q4253" s="2" t="s">
        <v>99</v>
      </c>
      <c r="R4253" s="2" t="s">
        <v>100</v>
      </c>
      <c r="S4253" s="2" t="s">
        <v>12911</v>
      </c>
      <c r="T4253" s="2" t="s">
        <v>200</v>
      </c>
      <c r="U4253" s="2" t="s">
        <v>480</v>
      </c>
      <c r="V4253" s="2" t="s">
        <v>146</v>
      </c>
      <c r="W4253" s="2" t="s">
        <v>561</v>
      </c>
      <c r="X4253" s="2" t="s">
        <v>183</v>
      </c>
      <c r="Y4253" s="2" t="s">
        <v>12912</v>
      </c>
      <c r="Z4253" s="4">
        <v>223</v>
      </c>
      <c r="AA4253" s="4">
        <f>=ROUNDDOWN(111.5,0)</f>
      </c>
      <c r="AB4253" s="5">
        <v>2</v>
      </c>
      <c r="AC4253" s="2" t="s">
        <v>100</v>
      </c>
      <c r="AD4253" s="4"/>
      <c r="AE4253" s="4"/>
      <c r="AF4253" s="6">
        <v>64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>
        <v>35</v>
      </c>
      <c r="BK4253" s="8">
        <v>941.75</v>
      </c>
      <c r="BL4253" s="2" t="s">
        <v>12913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207</v>
      </c>
      <c r="BV4253" s="2" t="s">
        <v>97</v>
      </c>
      <c r="BW4253" s="2" t="s">
        <v>100</v>
      </c>
      <c r="BX4253" s="2" t="s">
        <v>100</v>
      </c>
      <c r="BY4253" s="2" t="s">
        <v>113</v>
      </c>
      <c r="BZ4253" s="2" t="s">
        <v>100</v>
      </c>
    </row>
    <row r="4254">
      <c r="A4254" s="2" t="s">
        <v>12914</v>
      </c>
      <c r="B4254" s="2" t="s">
        <v>12738</v>
      </c>
      <c r="C4254" s="2" t="s">
        <v>3934</v>
      </c>
      <c r="D4254" s="2" t="s">
        <v>803</v>
      </c>
      <c r="E4254" s="2" t="s">
        <v>804</v>
      </c>
      <c r="F4254" s="2" t="s">
        <v>8014</v>
      </c>
      <c r="G4254" s="2" t="s">
        <v>12908</v>
      </c>
      <c r="H4254" s="2" t="s">
        <v>12909</v>
      </c>
      <c r="I4254" s="2" t="s">
        <v>12910</v>
      </c>
      <c r="J4254" s="2" t="s">
        <v>247</v>
      </c>
      <c r="K4254" s="2" t="s">
        <v>1148</v>
      </c>
      <c r="L4254" s="3">
        <v>28.57</v>
      </c>
      <c r="M4254" s="3">
        <v>30</v>
      </c>
      <c r="N4254" s="3">
        <v>59.99</v>
      </c>
      <c r="O4254" s="2" t="s">
        <v>97</v>
      </c>
      <c r="P4254" s="2" t="s">
        <v>225</v>
      </c>
      <c r="Q4254" s="2" t="s">
        <v>99</v>
      </c>
      <c r="R4254" s="2" t="s">
        <v>100</v>
      </c>
      <c r="S4254" s="2" t="s">
        <v>12911</v>
      </c>
      <c r="T4254" s="2" t="s">
        <v>200</v>
      </c>
      <c r="U4254" s="2" t="s">
        <v>402</v>
      </c>
      <c r="V4254" s="2" t="s">
        <v>146</v>
      </c>
      <c r="W4254" s="2" t="s">
        <v>561</v>
      </c>
      <c r="X4254" s="2" t="s">
        <v>183</v>
      </c>
      <c r="Y4254" s="2" t="s">
        <v>12912</v>
      </c>
      <c r="Z4254" s="4">
        <v>326</v>
      </c>
      <c r="AA4254" s="4">
        <f>=ROUNDDOWN(81.5,0)</f>
      </c>
      <c r="AB4254" s="5">
        <v>4</v>
      </c>
      <c r="AC4254" s="2" t="s">
        <v>100</v>
      </c>
      <c r="AD4254" s="4"/>
      <c r="AE4254" s="4"/>
      <c r="AF4254" s="6">
        <v>64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/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/>
      <c r="BJ4254" s="4">
        <v>52</v>
      </c>
      <c r="BK4254" s="8">
        <v>1666.22</v>
      </c>
      <c r="BL4254" s="2" t="s">
        <v>6016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207</v>
      </c>
      <c r="BV4254" s="2" t="s">
        <v>97</v>
      </c>
      <c r="BW4254" s="2" t="s">
        <v>100</v>
      </c>
      <c r="BX4254" s="2" t="s">
        <v>100</v>
      </c>
      <c r="BY4254" s="2" t="s">
        <v>113</v>
      </c>
      <c r="BZ4254" s="2" t="s">
        <v>100</v>
      </c>
    </row>
    <row r="4255">
      <c r="A4255" s="2" t="s">
        <v>12915</v>
      </c>
      <c r="B4255" s="2" t="s">
        <v>12738</v>
      </c>
      <c r="C4255" s="2" t="s">
        <v>3934</v>
      </c>
      <c r="D4255" s="2" t="s">
        <v>803</v>
      </c>
      <c r="E4255" s="2" t="s">
        <v>804</v>
      </c>
      <c r="F4255" s="2" t="s">
        <v>5667</v>
      </c>
      <c r="G4255" s="2" t="s">
        <v>5668</v>
      </c>
      <c r="H4255" s="2" t="s">
        <v>5669</v>
      </c>
      <c r="I4255" s="2" t="s">
        <v>12916</v>
      </c>
      <c r="J4255" s="2" t="s">
        <v>237</v>
      </c>
      <c r="K4255" s="2" t="s">
        <v>9267</v>
      </c>
      <c r="L4255" s="3">
        <v>35.19</v>
      </c>
      <c r="M4255" s="3">
        <v>36.95</v>
      </c>
      <c r="N4255" s="3">
        <v>69.99</v>
      </c>
      <c r="O4255" s="2" t="s">
        <v>97</v>
      </c>
      <c r="P4255" s="2" t="s">
        <v>119</v>
      </c>
      <c r="Q4255" s="2" t="s">
        <v>99</v>
      </c>
      <c r="R4255" s="2" t="s">
        <v>100</v>
      </c>
      <c r="S4255" s="2" t="s">
        <v>12639</v>
      </c>
      <c r="T4255" s="2" t="s">
        <v>218</v>
      </c>
      <c r="U4255" s="2" t="s">
        <v>402</v>
      </c>
      <c r="V4255" s="2" t="s">
        <v>403</v>
      </c>
      <c r="W4255" s="2" t="s">
        <v>561</v>
      </c>
      <c r="X4255" s="2" t="s">
        <v>673</v>
      </c>
      <c r="Y4255" s="2" t="s">
        <v>12917</v>
      </c>
      <c r="Z4255" s="4">
        <v>211</v>
      </c>
      <c r="AA4255" s="4">
        <f>=ROUNDDOWN(70.3333333333333,0)</f>
      </c>
      <c r="AB4255" s="5">
        <v>3</v>
      </c>
      <c r="AC4255" s="2" t="s">
        <v>184</v>
      </c>
      <c r="AD4255" s="4">
        <v>120</v>
      </c>
      <c r="AE4255" s="4">
        <v>120</v>
      </c>
      <c r="AF4255" s="6">
        <v>64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/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/>
      <c r="BJ4255" s="4">
        <v>86</v>
      </c>
      <c r="BK4255" s="8">
        <v>3285.92</v>
      </c>
      <c r="BL4255" s="2" t="s">
        <v>12918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207</v>
      </c>
      <c r="BV4255" s="2" t="s">
        <v>97</v>
      </c>
      <c r="BW4255" s="2" t="s">
        <v>100</v>
      </c>
      <c r="BX4255" s="2" t="s">
        <v>100</v>
      </c>
      <c r="BY4255" s="2" t="s">
        <v>113</v>
      </c>
      <c r="BZ4255" s="2" t="s">
        <v>100</v>
      </c>
    </row>
    <row r="4256">
      <c r="A4256" s="2" t="s">
        <v>12919</v>
      </c>
      <c r="B4256" s="2" t="s">
        <v>12738</v>
      </c>
      <c r="C4256" s="2" t="s">
        <v>3934</v>
      </c>
      <c r="D4256" s="2" t="s">
        <v>803</v>
      </c>
      <c r="E4256" s="2" t="s">
        <v>804</v>
      </c>
      <c r="F4256" s="2" t="s">
        <v>5667</v>
      </c>
      <c r="G4256" s="2" t="s">
        <v>5668</v>
      </c>
      <c r="H4256" s="2" t="s">
        <v>5669</v>
      </c>
      <c r="I4256" s="2" t="s">
        <v>12916</v>
      </c>
      <c r="J4256" s="2" t="s">
        <v>247</v>
      </c>
      <c r="K4256" s="2" t="s">
        <v>9267</v>
      </c>
      <c r="L4256" s="3">
        <v>40.18</v>
      </c>
      <c r="M4256" s="3">
        <v>42.19</v>
      </c>
      <c r="N4256" s="3">
        <v>79.99</v>
      </c>
      <c r="O4256" s="2" t="s">
        <v>97</v>
      </c>
      <c r="P4256" s="2" t="s">
        <v>119</v>
      </c>
      <c r="Q4256" s="2" t="s">
        <v>99</v>
      </c>
      <c r="R4256" s="2" t="s">
        <v>100</v>
      </c>
      <c r="S4256" s="2" t="s">
        <v>100</v>
      </c>
      <c r="T4256" s="2" t="s">
        <v>218</v>
      </c>
      <c r="U4256" s="2" t="s">
        <v>171</v>
      </c>
      <c r="V4256" s="2" t="s">
        <v>403</v>
      </c>
      <c r="W4256" s="2" t="s">
        <v>561</v>
      </c>
      <c r="X4256" s="2" t="s">
        <v>673</v>
      </c>
      <c r="Y4256" s="2" t="s">
        <v>12917</v>
      </c>
      <c r="Z4256" s="4">
        <v>632</v>
      </c>
      <c r="AA4256" s="4">
        <f>=ROUNDDOWN(52.6666666666667,0)</f>
      </c>
      <c r="AB4256" s="5">
        <v>12</v>
      </c>
      <c r="AC4256" s="2" t="s">
        <v>184</v>
      </c>
      <c r="AD4256" s="4">
        <v>100</v>
      </c>
      <c r="AE4256" s="4">
        <v>100</v>
      </c>
      <c r="AF4256" s="6">
        <v>64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/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/>
      <c r="BJ4256" s="4">
        <v>385</v>
      </c>
      <c r="BK4256" s="8">
        <v>16812.11</v>
      </c>
      <c r="BL4256" s="2" t="s">
        <v>12920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207</v>
      </c>
      <c r="BV4256" s="2" t="s">
        <v>97</v>
      </c>
      <c r="BW4256" s="2" t="s">
        <v>100</v>
      </c>
      <c r="BX4256" s="2" t="s">
        <v>100</v>
      </c>
      <c r="BY4256" s="2" t="s">
        <v>113</v>
      </c>
      <c r="BZ4256" s="2" t="s">
        <v>100</v>
      </c>
    </row>
    <row r="4257">
      <c r="A4257" s="2" t="s">
        <v>12921</v>
      </c>
      <c r="B4257" s="2" t="s">
        <v>12738</v>
      </c>
      <c r="C4257" s="2" t="s">
        <v>3934</v>
      </c>
      <c r="D4257" s="2" t="s">
        <v>803</v>
      </c>
      <c r="E4257" s="2" t="s">
        <v>804</v>
      </c>
      <c r="F4257" s="2" t="s">
        <v>5667</v>
      </c>
      <c r="G4257" s="2" t="s">
        <v>5668</v>
      </c>
      <c r="H4257" s="2" t="s">
        <v>5669</v>
      </c>
      <c r="I4257" s="2" t="s">
        <v>12916</v>
      </c>
      <c r="J4257" s="2" t="s">
        <v>270</v>
      </c>
      <c r="K4257" s="2" t="s">
        <v>9267</v>
      </c>
      <c r="L4257" s="3">
        <v>45.36</v>
      </c>
      <c r="M4257" s="3">
        <v>47.63</v>
      </c>
      <c r="N4257" s="3">
        <v>89.99</v>
      </c>
      <c r="O4257" s="2" t="s">
        <v>97</v>
      </c>
      <c r="P4257" s="2" t="s">
        <v>119</v>
      </c>
      <c r="Q4257" s="2" t="s">
        <v>99</v>
      </c>
      <c r="R4257" s="2" t="s">
        <v>100</v>
      </c>
      <c r="S4257" s="2" t="s">
        <v>12639</v>
      </c>
      <c r="T4257" s="2" t="s">
        <v>218</v>
      </c>
      <c r="U4257" s="2" t="s">
        <v>171</v>
      </c>
      <c r="V4257" s="2" t="s">
        <v>403</v>
      </c>
      <c r="W4257" s="2" t="s">
        <v>561</v>
      </c>
      <c r="X4257" s="2" t="s">
        <v>673</v>
      </c>
      <c r="Y4257" s="2" t="s">
        <v>12917</v>
      </c>
      <c r="Z4257" s="4">
        <v>340</v>
      </c>
      <c r="AA4257" s="4">
        <f>=ROUNDDOWN(34,0)</f>
      </c>
      <c r="AB4257" s="5">
        <v>10</v>
      </c>
      <c r="AC4257" s="2" t="s">
        <v>184</v>
      </c>
      <c r="AD4257" s="4">
        <v>180</v>
      </c>
      <c r="AE4257" s="4">
        <v>180</v>
      </c>
      <c r="AF4257" s="6">
        <v>64</v>
      </c>
      <c r="AG4257" s="6"/>
      <c r="AH4257" s="7">
        <v>0.9679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/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/>
      <c r="BJ4257" s="4">
        <v>330</v>
      </c>
      <c r="BK4257" s="8">
        <v>16611.63</v>
      </c>
      <c r="BL4257" s="2" t="s">
        <v>12920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207</v>
      </c>
      <c r="BV4257" s="2" t="s">
        <v>97</v>
      </c>
      <c r="BW4257" s="2" t="s">
        <v>100</v>
      </c>
      <c r="BX4257" s="2" t="s">
        <v>100</v>
      </c>
      <c r="BY4257" s="2" t="s">
        <v>113</v>
      </c>
      <c r="BZ4257" s="2" t="s">
        <v>100</v>
      </c>
    </row>
    <row r="4258">
      <c r="A4258" s="2" t="s">
        <v>12922</v>
      </c>
      <c r="B4258" s="2" t="s">
        <v>12738</v>
      </c>
      <c r="C4258" s="2" t="s">
        <v>3934</v>
      </c>
      <c r="D4258" s="2" t="s">
        <v>803</v>
      </c>
      <c r="E4258" s="2" t="s">
        <v>804</v>
      </c>
      <c r="F4258" s="2" t="s">
        <v>430</v>
      </c>
      <c r="G4258" s="2" t="s">
        <v>2154</v>
      </c>
      <c r="H4258" s="2" t="s">
        <v>6067</v>
      </c>
      <c r="I4258" s="2" t="s">
        <v>12923</v>
      </c>
      <c r="J4258" s="2" t="s">
        <v>237</v>
      </c>
      <c r="K4258" s="2" t="s">
        <v>360</v>
      </c>
      <c r="L4258" s="3">
        <v>28.57</v>
      </c>
      <c r="M4258" s="3">
        <v>30</v>
      </c>
      <c r="N4258" s="3">
        <v>59.99</v>
      </c>
      <c r="O4258" s="2" t="s">
        <v>97</v>
      </c>
      <c r="P4258" s="2" t="s">
        <v>119</v>
      </c>
      <c r="Q4258" s="2" t="s">
        <v>99</v>
      </c>
      <c r="R4258" s="2" t="s">
        <v>100</v>
      </c>
      <c r="S4258" s="2" t="s">
        <v>12924</v>
      </c>
      <c r="T4258" s="2" t="s">
        <v>218</v>
      </c>
      <c r="U4258" s="2" t="s">
        <v>480</v>
      </c>
      <c r="V4258" s="2" t="s">
        <v>2661</v>
      </c>
      <c r="W4258" s="2" t="s">
        <v>561</v>
      </c>
      <c r="X4258" s="2" t="s">
        <v>203</v>
      </c>
      <c r="Y4258" s="2" t="s">
        <v>12925</v>
      </c>
      <c r="Z4258" s="4">
        <v>265</v>
      </c>
      <c r="AA4258" s="4">
        <f>=ROUNDDOWN(85.4838709677419,0)</f>
      </c>
      <c r="AB4258" s="5">
        <v>3.1</v>
      </c>
      <c r="AC4258" s="2" t="s">
        <v>100</v>
      </c>
      <c r="AD4258" s="4"/>
      <c r="AE4258" s="4"/>
      <c r="AF4258" s="6">
        <v>64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/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/>
      <c r="BJ4258" s="4">
        <v>180</v>
      </c>
      <c r="BK4258" s="8">
        <v>5902.22</v>
      </c>
      <c r="BL4258" s="2" t="s">
        <v>776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207</v>
      </c>
      <c r="BV4258" s="2" t="s">
        <v>97</v>
      </c>
      <c r="BW4258" s="2" t="s">
        <v>100</v>
      </c>
      <c r="BX4258" s="2" t="s">
        <v>100</v>
      </c>
      <c r="BY4258" s="2" t="s">
        <v>113</v>
      </c>
      <c r="BZ4258" s="2" t="s">
        <v>245</v>
      </c>
    </row>
    <row r="4259">
      <c r="A4259" s="2" t="s">
        <v>12926</v>
      </c>
      <c r="B4259" s="2" t="s">
        <v>12738</v>
      </c>
      <c r="C4259" s="2" t="s">
        <v>3934</v>
      </c>
      <c r="D4259" s="2" t="s">
        <v>803</v>
      </c>
      <c r="E4259" s="2" t="s">
        <v>804</v>
      </c>
      <c r="F4259" s="2" t="s">
        <v>430</v>
      </c>
      <c r="G4259" s="2" t="s">
        <v>2154</v>
      </c>
      <c r="H4259" s="2" t="s">
        <v>6067</v>
      </c>
      <c r="I4259" s="2" t="s">
        <v>12923</v>
      </c>
      <c r="J4259" s="2" t="s">
        <v>247</v>
      </c>
      <c r="K4259" s="2" t="s">
        <v>360</v>
      </c>
      <c r="L4259" s="3">
        <v>33.33</v>
      </c>
      <c r="M4259" s="3">
        <v>35</v>
      </c>
      <c r="N4259" s="3">
        <v>69.99</v>
      </c>
      <c r="O4259" s="2" t="s">
        <v>97</v>
      </c>
      <c r="P4259" s="2" t="s">
        <v>119</v>
      </c>
      <c r="Q4259" s="2" t="s">
        <v>99</v>
      </c>
      <c r="R4259" s="2" t="s">
        <v>100</v>
      </c>
      <c r="S4259" s="2" t="s">
        <v>12924</v>
      </c>
      <c r="T4259" s="2" t="s">
        <v>218</v>
      </c>
      <c r="U4259" s="2" t="s">
        <v>402</v>
      </c>
      <c r="V4259" s="2" t="s">
        <v>2661</v>
      </c>
      <c r="W4259" s="2" t="s">
        <v>561</v>
      </c>
      <c r="X4259" s="2" t="s">
        <v>203</v>
      </c>
      <c r="Y4259" s="2" t="s">
        <v>12927</v>
      </c>
      <c r="Z4259" s="4">
        <v>601</v>
      </c>
      <c r="AA4259" s="4">
        <f>=ROUNDDOWN(73.2926829268293,0)</f>
      </c>
      <c r="AB4259" s="5">
        <v>8.2</v>
      </c>
      <c r="AC4259" s="2" t="s">
        <v>100</v>
      </c>
      <c r="AD4259" s="4"/>
      <c r="AE4259" s="4"/>
      <c r="AF4259" s="6">
        <v>64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>
        <v>385</v>
      </c>
      <c r="BK4259" s="8">
        <v>14720.05</v>
      </c>
      <c r="BL4259" s="2" t="s">
        <v>3444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207</v>
      </c>
      <c r="BV4259" s="2" t="s">
        <v>97</v>
      </c>
      <c r="BW4259" s="2" t="s">
        <v>100</v>
      </c>
      <c r="BX4259" s="2" t="s">
        <v>100</v>
      </c>
      <c r="BY4259" s="2" t="s">
        <v>113</v>
      </c>
      <c r="BZ4259" s="2" t="s">
        <v>245</v>
      </c>
    </row>
    <row r="4260">
      <c r="A4260" s="2" t="s">
        <v>12928</v>
      </c>
      <c r="B4260" s="2" t="s">
        <v>12738</v>
      </c>
      <c r="C4260" s="2" t="s">
        <v>3934</v>
      </c>
      <c r="D4260" s="2" t="s">
        <v>803</v>
      </c>
      <c r="E4260" s="2" t="s">
        <v>1532</v>
      </c>
      <c r="F4260" s="2" t="s">
        <v>8360</v>
      </c>
      <c r="G4260" s="2" t="s">
        <v>5305</v>
      </c>
      <c r="H4260" s="2" t="s">
        <v>12929</v>
      </c>
      <c r="I4260" s="2" t="s">
        <v>12930</v>
      </c>
      <c r="J4260" s="2" t="s">
        <v>237</v>
      </c>
      <c r="K4260" s="2" t="s">
        <v>12931</v>
      </c>
      <c r="L4260" s="3">
        <v>30.95</v>
      </c>
      <c r="M4260" s="3">
        <v>32.5</v>
      </c>
      <c r="N4260" s="3">
        <v>64.99</v>
      </c>
      <c r="O4260" s="2" t="s">
        <v>97</v>
      </c>
      <c r="P4260" s="2" t="s">
        <v>950</v>
      </c>
      <c r="Q4260" s="2" t="s">
        <v>99</v>
      </c>
      <c r="R4260" s="2" t="s">
        <v>100</v>
      </c>
      <c r="S4260" s="2" t="s">
        <v>12932</v>
      </c>
      <c r="T4260" s="2" t="s">
        <v>6072</v>
      </c>
      <c r="U4260" s="2" t="s">
        <v>514</v>
      </c>
      <c r="V4260" s="2" t="s">
        <v>1150</v>
      </c>
      <c r="W4260" s="2" t="s">
        <v>561</v>
      </c>
      <c r="X4260" s="2" t="s">
        <v>100</v>
      </c>
      <c r="Y4260" s="2" t="s">
        <v>12933</v>
      </c>
      <c r="Z4260" s="4">
        <v>1244</v>
      </c>
      <c r="AA4260" s="4">
        <f>=ROUNDDOWN(95.6923076923077,0)</f>
      </c>
      <c r="AB4260" s="5">
        <v>13</v>
      </c>
      <c r="AC4260" s="2" t="s">
        <v>100</v>
      </c>
      <c r="AD4260" s="4"/>
      <c r="AE4260" s="4"/>
      <c r="AF4260" s="6">
        <v>64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415</v>
      </c>
      <c r="BK4260" s="8">
        <v>14381.09</v>
      </c>
      <c r="BL4260" s="2" t="s">
        <v>12934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207</v>
      </c>
      <c r="BV4260" s="2" t="s">
        <v>97</v>
      </c>
      <c r="BW4260" s="2" t="s">
        <v>100</v>
      </c>
      <c r="BX4260" s="2" t="s">
        <v>100</v>
      </c>
      <c r="BY4260" s="2" t="s">
        <v>113</v>
      </c>
      <c r="BZ4260" s="2" t="s">
        <v>245</v>
      </c>
    </row>
    <row r="4261">
      <c r="A4261" s="2" t="s">
        <v>12935</v>
      </c>
      <c r="B4261" s="2" t="s">
        <v>12738</v>
      </c>
      <c r="C4261" s="2" t="s">
        <v>3934</v>
      </c>
      <c r="D4261" s="2" t="s">
        <v>803</v>
      </c>
      <c r="E4261" s="2" t="s">
        <v>1532</v>
      </c>
      <c r="F4261" s="2" t="s">
        <v>8360</v>
      </c>
      <c r="G4261" s="2" t="s">
        <v>5305</v>
      </c>
      <c r="H4261" s="2" t="s">
        <v>12929</v>
      </c>
      <c r="I4261" s="2" t="s">
        <v>12930</v>
      </c>
      <c r="J4261" s="2" t="s">
        <v>247</v>
      </c>
      <c r="K4261" s="2" t="s">
        <v>12931</v>
      </c>
      <c r="L4261" s="3">
        <v>40.47</v>
      </c>
      <c r="M4261" s="3">
        <v>42.49</v>
      </c>
      <c r="N4261" s="3">
        <v>84.99</v>
      </c>
      <c r="O4261" s="2" t="s">
        <v>97</v>
      </c>
      <c r="P4261" s="2" t="s">
        <v>950</v>
      </c>
      <c r="Q4261" s="2" t="s">
        <v>99</v>
      </c>
      <c r="R4261" s="2" t="s">
        <v>100</v>
      </c>
      <c r="S4261" s="2" t="s">
        <v>12932</v>
      </c>
      <c r="T4261" s="2" t="s">
        <v>6072</v>
      </c>
      <c r="U4261" s="2" t="s">
        <v>480</v>
      </c>
      <c r="V4261" s="2" t="s">
        <v>1150</v>
      </c>
      <c r="W4261" s="2" t="s">
        <v>561</v>
      </c>
      <c r="X4261" s="2" t="s">
        <v>100</v>
      </c>
      <c r="Y4261" s="2" t="s">
        <v>12933</v>
      </c>
      <c r="Z4261" s="4">
        <v>2697</v>
      </c>
      <c r="AA4261" s="4">
        <f>=ROUNDDOWN(81.7272727272727,0)</f>
      </c>
      <c r="AB4261" s="5">
        <v>33</v>
      </c>
      <c r="AC4261" s="2" t="s">
        <v>100</v>
      </c>
      <c r="AD4261" s="4"/>
      <c r="AE4261" s="4"/>
      <c r="AF4261" s="6">
        <v>64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902</v>
      </c>
      <c r="BK4261" s="8">
        <v>41057.26</v>
      </c>
      <c r="BL4261" s="2" t="s">
        <v>12936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207</v>
      </c>
      <c r="BV4261" s="2" t="s">
        <v>97</v>
      </c>
      <c r="BW4261" s="2" t="s">
        <v>100</v>
      </c>
      <c r="BX4261" s="2" t="s">
        <v>100</v>
      </c>
      <c r="BY4261" s="2" t="s">
        <v>113</v>
      </c>
      <c r="BZ4261" s="2" t="s">
        <v>245</v>
      </c>
    </row>
    <row r="4262">
      <c r="A4262" s="2" t="s">
        <v>12937</v>
      </c>
      <c r="B4262" s="2" t="s">
        <v>12738</v>
      </c>
      <c r="C4262" s="2" t="s">
        <v>3934</v>
      </c>
      <c r="D4262" s="2" t="s">
        <v>803</v>
      </c>
      <c r="E4262" s="2" t="s">
        <v>1532</v>
      </c>
      <c r="F4262" s="2" t="s">
        <v>8360</v>
      </c>
      <c r="G4262" s="2" t="s">
        <v>5305</v>
      </c>
      <c r="H4262" s="2" t="s">
        <v>12929</v>
      </c>
      <c r="I4262" s="2" t="s">
        <v>12930</v>
      </c>
      <c r="J4262" s="2" t="s">
        <v>270</v>
      </c>
      <c r="K4262" s="2" t="s">
        <v>12931</v>
      </c>
      <c r="L4262" s="3">
        <v>45.23</v>
      </c>
      <c r="M4262" s="3">
        <v>47.49</v>
      </c>
      <c r="N4262" s="3">
        <v>94.99</v>
      </c>
      <c r="O4262" s="2" t="s">
        <v>97</v>
      </c>
      <c r="P4262" s="2" t="s">
        <v>950</v>
      </c>
      <c r="Q4262" s="2" t="s">
        <v>99</v>
      </c>
      <c r="R4262" s="2" t="s">
        <v>100</v>
      </c>
      <c r="S4262" s="2" t="s">
        <v>12932</v>
      </c>
      <c r="T4262" s="2" t="s">
        <v>6072</v>
      </c>
      <c r="U4262" s="2" t="s">
        <v>480</v>
      </c>
      <c r="V4262" s="2" t="s">
        <v>1150</v>
      </c>
      <c r="W4262" s="2" t="s">
        <v>561</v>
      </c>
      <c r="X4262" s="2" t="s">
        <v>100</v>
      </c>
      <c r="Y4262" s="2" t="s">
        <v>12893</v>
      </c>
      <c r="Z4262" s="4">
        <v>1016</v>
      </c>
      <c r="AA4262" s="4">
        <f>=ROUNDDOWN(84.6666666666667,0)</f>
      </c>
      <c r="AB4262" s="5">
        <v>12</v>
      </c>
      <c r="AC4262" s="2" t="s">
        <v>100</v>
      </c>
      <c r="AD4262" s="4"/>
      <c r="AE4262" s="4"/>
      <c r="AF4262" s="6">
        <v>64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>
        <v>245</v>
      </c>
      <c r="BK4262" s="8">
        <v>12633.17</v>
      </c>
      <c r="BL4262" s="2" t="s">
        <v>12938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2480</v>
      </c>
      <c r="BV4262" s="2" t="s">
        <v>97</v>
      </c>
      <c r="BW4262" s="2" t="s">
        <v>100</v>
      </c>
      <c r="BX4262" s="2" t="s">
        <v>100</v>
      </c>
      <c r="BY4262" s="2" t="s">
        <v>113</v>
      </c>
      <c r="BZ4262" s="2" t="s">
        <v>100</v>
      </c>
    </row>
    <row r="4263">
      <c r="A4263" s="2" t="s">
        <v>12939</v>
      </c>
      <c r="B4263" s="2" t="s">
        <v>12738</v>
      </c>
      <c r="C4263" s="2" t="s">
        <v>3934</v>
      </c>
      <c r="D4263" s="2" t="s">
        <v>803</v>
      </c>
      <c r="E4263" s="2" t="s">
        <v>1532</v>
      </c>
      <c r="F4263" s="2" t="s">
        <v>8360</v>
      </c>
      <c r="G4263" s="2" t="s">
        <v>5305</v>
      </c>
      <c r="H4263" s="2" t="s">
        <v>12929</v>
      </c>
      <c r="I4263" s="2" t="s">
        <v>12930</v>
      </c>
      <c r="J4263" s="2" t="s">
        <v>237</v>
      </c>
      <c r="K4263" s="2" t="s">
        <v>198</v>
      </c>
      <c r="L4263" s="3">
        <v>30.95</v>
      </c>
      <c r="M4263" s="3">
        <v>32.5</v>
      </c>
      <c r="N4263" s="3">
        <v>64.99</v>
      </c>
      <c r="O4263" s="2" t="s">
        <v>97</v>
      </c>
      <c r="P4263" s="2" t="s">
        <v>119</v>
      </c>
      <c r="Q4263" s="2" t="s">
        <v>99</v>
      </c>
      <c r="R4263" s="2" t="s">
        <v>100</v>
      </c>
      <c r="S4263" s="2" t="s">
        <v>12940</v>
      </c>
      <c r="T4263" s="2" t="s">
        <v>6072</v>
      </c>
      <c r="U4263" s="2" t="s">
        <v>514</v>
      </c>
      <c r="V4263" s="2" t="s">
        <v>1150</v>
      </c>
      <c r="W4263" s="2" t="s">
        <v>561</v>
      </c>
      <c r="X4263" s="2" t="s">
        <v>100</v>
      </c>
      <c r="Y4263" s="2" t="s">
        <v>7740</v>
      </c>
      <c r="Z4263" s="4">
        <v>1000</v>
      </c>
      <c r="AA4263" s="4">
        <f>=ROUNDDOWN(125,0)</f>
      </c>
      <c r="AB4263" s="5">
        <v>8</v>
      </c>
      <c r="AC4263" s="2" t="s">
        <v>356</v>
      </c>
      <c r="AD4263" s="4">
        <v>272</v>
      </c>
      <c r="AE4263" s="4">
        <v>272</v>
      </c>
      <c r="AF4263" s="6">
        <v>64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/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/>
      <c r="BJ4263" s="4">
        <v>168</v>
      </c>
      <c r="BK4263" s="8">
        <v>5897.36</v>
      </c>
      <c r="BL4263" s="2" t="s">
        <v>12941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207</v>
      </c>
      <c r="BV4263" s="2" t="s">
        <v>97</v>
      </c>
      <c r="BW4263" s="2" t="s">
        <v>100</v>
      </c>
      <c r="BX4263" s="2" t="s">
        <v>100</v>
      </c>
      <c r="BY4263" s="2" t="s">
        <v>113</v>
      </c>
      <c r="BZ4263" s="2" t="s">
        <v>100</v>
      </c>
    </row>
    <row r="4264">
      <c r="A4264" s="2" t="s">
        <v>12942</v>
      </c>
      <c r="B4264" s="2" t="s">
        <v>12738</v>
      </c>
      <c r="C4264" s="2" t="s">
        <v>3934</v>
      </c>
      <c r="D4264" s="2" t="s">
        <v>803</v>
      </c>
      <c r="E4264" s="2" t="s">
        <v>1532</v>
      </c>
      <c r="F4264" s="2" t="s">
        <v>8360</v>
      </c>
      <c r="G4264" s="2" t="s">
        <v>5305</v>
      </c>
      <c r="H4264" s="2" t="s">
        <v>12929</v>
      </c>
      <c r="I4264" s="2" t="s">
        <v>12930</v>
      </c>
      <c r="J4264" s="2" t="s">
        <v>247</v>
      </c>
      <c r="K4264" s="2" t="s">
        <v>198</v>
      </c>
      <c r="L4264" s="3">
        <v>40.47</v>
      </c>
      <c r="M4264" s="3">
        <v>42.49</v>
      </c>
      <c r="N4264" s="3">
        <v>84.99</v>
      </c>
      <c r="O4264" s="2" t="s">
        <v>97</v>
      </c>
      <c r="P4264" s="2" t="s">
        <v>119</v>
      </c>
      <c r="Q4264" s="2" t="s">
        <v>99</v>
      </c>
      <c r="R4264" s="2" t="s">
        <v>100</v>
      </c>
      <c r="S4264" s="2" t="s">
        <v>12940</v>
      </c>
      <c r="T4264" s="2" t="s">
        <v>6072</v>
      </c>
      <c r="U4264" s="2" t="s">
        <v>480</v>
      </c>
      <c r="V4264" s="2" t="s">
        <v>1150</v>
      </c>
      <c r="W4264" s="2" t="s">
        <v>561</v>
      </c>
      <c r="X4264" s="2" t="s">
        <v>100</v>
      </c>
      <c r="Y4264" s="2" t="s">
        <v>7740</v>
      </c>
      <c r="Z4264" s="4">
        <v>1625</v>
      </c>
      <c r="AA4264" s="4">
        <f>=ROUNDDOWN(65,0)</f>
      </c>
      <c r="AB4264" s="5">
        <v>25</v>
      </c>
      <c r="AC4264" s="2" t="s">
        <v>356</v>
      </c>
      <c r="AD4264" s="4">
        <v>1344</v>
      </c>
      <c r="AE4264" s="4">
        <v>1344</v>
      </c>
      <c r="AF4264" s="6">
        <v>64</v>
      </c>
      <c r="AG4264" s="6"/>
      <c r="AH4264" s="7">
        <v>0.9519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/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/>
      <c r="BJ4264" s="4">
        <v>617</v>
      </c>
      <c r="BK4264" s="8">
        <v>28517.77</v>
      </c>
      <c r="BL4264" s="2" t="s">
        <v>12943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207</v>
      </c>
      <c r="BV4264" s="2" t="s">
        <v>97</v>
      </c>
      <c r="BW4264" s="2" t="s">
        <v>100</v>
      </c>
      <c r="BX4264" s="2" t="s">
        <v>100</v>
      </c>
      <c r="BY4264" s="2" t="s">
        <v>113</v>
      </c>
      <c r="BZ4264" s="2" t="s">
        <v>100</v>
      </c>
    </row>
    <row r="4265">
      <c r="A4265" s="2" t="s">
        <v>12944</v>
      </c>
      <c r="B4265" s="2" t="s">
        <v>12738</v>
      </c>
      <c r="C4265" s="2" t="s">
        <v>3934</v>
      </c>
      <c r="D4265" s="2" t="s">
        <v>803</v>
      </c>
      <c r="E4265" s="2" t="s">
        <v>1532</v>
      </c>
      <c r="F4265" s="2" t="s">
        <v>12945</v>
      </c>
      <c r="G4265" s="2" t="s">
        <v>5241</v>
      </c>
      <c r="H4265" s="2" t="s">
        <v>2023</v>
      </c>
      <c r="I4265" s="2" t="s">
        <v>12946</v>
      </c>
      <c r="J4265" s="2" t="s">
        <v>237</v>
      </c>
      <c r="K4265" s="2" t="s">
        <v>169</v>
      </c>
      <c r="L4265" s="3">
        <v>28.57</v>
      </c>
      <c r="M4265" s="3">
        <v>30</v>
      </c>
      <c r="N4265" s="3">
        <v>59.99</v>
      </c>
      <c r="O4265" s="2" t="s">
        <v>97</v>
      </c>
      <c r="P4265" s="2" t="s">
        <v>225</v>
      </c>
      <c r="Q4265" s="2" t="s">
        <v>99</v>
      </c>
      <c r="R4265" s="2" t="s">
        <v>100</v>
      </c>
      <c r="S4265" s="2" t="s">
        <v>12947</v>
      </c>
      <c r="T4265" s="2" t="s">
        <v>200</v>
      </c>
      <c r="U4265" s="2" t="s">
        <v>514</v>
      </c>
      <c r="V4265" s="2" t="s">
        <v>2508</v>
      </c>
      <c r="W4265" s="2" t="s">
        <v>561</v>
      </c>
      <c r="X4265" s="2" t="s">
        <v>183</v>
      </c>
      <c r="Y4265" s="2" t="s">
        <v>5000</v>
      </c>
      <c r="Z4265" s="4">
        <v>151</v>
      </c>
      <c r="AA4265" s="4">
        <f>=ROUNDDOWN(25.1666666666667,0)</f>
      </c>
      <c r="AB4265" s="5">
        <v>6</v>
      </c>
      <c r="AC4265" s="2" t="s">
        <v>1012</v>
      </c>
      <c r="AD4265" s="4">
        <v>30</v>
      </c>
      <c r="AE4265" s="4">
        <v>70</v>
      </c>
      <c r="AF4265" s="6">
        <v>66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>
        <v>58</v>
      </c>
      <c r="BK4265" s="8">
        <v>1876.8</v>
      </c>
      <c r="BL4265" s="2" t="s">
        <v>1310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207</v>
      </c>
      <c r="BV4265" s="2" t="s">
        <v>97</v>
      </c>
      <c r="BW4265" s="2" t="s">
        <v>100</v>
      </c>
      <c r="BX4265" s="2" t="s">
        <v>100</v>
      </c>
      <c r="BY4265" s="2" t="s">
        <v>113</v>
      </c>
      <c r="BZ4265" s="2" t="s">
        <v>100</v>
      </c>
    </row>
    <row r="4266">
      <c r="A4266" s="2" t="s">
        <v>12948</v>
      </c>
      <c r="B4266" s="2" t="s">
        <v>12738</v>
      </c>
      <c r="C4266" s="2" t="s">
        <v>3934</v>
      </c>
      <c r="D4266" s="2" t="s">
        <v>803</v>
      </c>
      <c r="E4266" s="2" t="s">
        <v>1532</v>
      </c>
      <c r="F4266" s="2" t="s">
        <v>12945</v>
      </c>
      <c r="G4266" s="2" t="s">
        <v>5241</v>
      </c>
      <c r="H4266" s="2" t="s">
        <v>2023</v>
      </c>
      <c r="I4266" s="2" t="s">
        <v>12946</v>
      </c>
      <c r="J4266" s="2" t="s">
        <v>247</v>
      </c>
      <c r="K4266" s="2" t="s">
        <v>169</v>
      </c>
      <c r="L4266" s="3">
        <v>33.33</v>
      </c>
      <c r="M4266" s="3">
        <v>35</v>
      </c>
      <c r="N4266" s="3">
        <v>69.99</v>
      </c>
      <c r="O4266" s="2" t="s">
        <v>97</v>
      </c>
      <c r="P4266" s="2" t="s">
        <v>225</v>
      </c>
      <c r="Q4266" s="2" t="s">
        <v>99</v>
      </c>
      <c r="R4266" s="2" t="s">
        <v>100</v>
      </c>
      <c r="S4266" s="2" t="s">
        <v>12947</v>
      </c>
      <c r="T4266" s="2" t="s">
        <v>200</v>
      </c>
      <c r="U4266" s="2" t="s">
        <v>480</v>
      </c>
      <c r="V4266" s="2" t="s">
        <v>2508</v>
      </c>
      <c r="W4266" s="2" t="s">
        <v>561</v>
      </c>
      <c r="X4266" s="2" t="s">
        <v>183</v>
      </c>
      <c r="Y4266" s="2" t="s">
        <v>481</v>
      </c>
      <c r="Z4266" s="4">
        <v>82</v>
      </c>
      <c r="AA4266" s="4">
        <f>=ROUNDDOWN(6.30769230769231,0)</f>
      </c>
      <c r="AB4266" s="5">
        <v>13</v>
      </c>
      <c r="AC4266" s="2" t="s">
        <v>1012</v>
      </c>
      <c r="AD4266" s="4">
        <v>120</v>
      </c>
      <c r="AE4266" s="4">
        <v>260</v>
      </c>
      <c r="AF4266" s="6">
        <v>66</v>
      </c>
      <c r="AG4266" s="6"/>
      <c r="AH4266" s="7">
        <v>0.7233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/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/>
      <c r="BJ4266" s="4">
        <v>132</v>
      </c>
      <c r="BK4266" s="8">
        <v>4984</v>
      </c>
      <c r="BL4266" s="2" t="s">
        <v>482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207</v>
      </c>
      <c r="BV4266" s="2" t="s">
        <v>97</v>
      </c>
      <c r="BW4266" s="2" t="s">
        <v>100</v>
      </c>
      <c r="BX4266" s="2" t="s">
        <v>100</v>
      </c>
      <c r="BY4266" s="2" t="s">
        <v>113</v>
      </c>
      <c r="BZ4266" s="2" t="s">
        <v>100</v>
      </c>
    </row>
    <row r="4267">
      <c r="A4267" s="2" t="s">
        <v>12949</v>
      </c>
      <c r="B4267" s="2" t="s">
        <v>12738</v>
      </c>
      <c r="C4267" s="2" t="s">
        <v>3934</v>
      </c>
      <c r="D4267" s="2" t="s">
        <v>803</v>
      </c>
      <c r="E4267" s="2" t="s">
        <v>1532</v>
      </c>
      <c r="F4267" s="2" t="s">
        <v>12945</v>
      </c>
      <c r="G4267" s="2" t="s">
        <v>5241</v>
      </c>
      <c r="H4267" s="2" t="s">
        <v>2023</v>
      </c>
      <c r="I4267" s="2" t="s">
        <v>12946</v>
      </c>
      <c r="J4267" s="2" t="s">
        <v>270</v>
      </c>
      <c r="K4267" s="2" t="s">
        <v>169</v>
      </c>
      <c r="L4267" s="3">
        <v>38.09</v>
      </c>
      <c r="M4267" s="3">
        <v>39.99</v>
      </c>
      <c r="N4267" s="3">
        <v>79.99</v>
      </c>
      <c r="O4267" s="2" t="s">
        <v>97</v>
      </c>
      <c r="P4267" s="2" t="s">
        <v>225</v>
      </c>
      <c r="Q4267" s="2" t="s">
        <v>99</v>
      </c>
      <c r="R4267" s="2" t="s">
        <v>100</v>
      </c>
      <c r="S4267" s="2" t="s">
        <v>12947</v>
      </c>
      <c r="T4267" s="2" t="s">
        <v>200</v>
      </c>
      <c r="U4267" s="2" t="s">
        <v>480</v>
      </c>
      <c r="V4267" s="2" t="s">
        <v>2508</v>
      </c>
      <c r="W4267" s="2" t="s">
        <v>561</v>
      </c>
      <c r="X4267" s="2" t="s">
        <v>183</v>
      </c>
      <c r="Y4267" s="2" t="s">
        <v>5000</v>
      </c>
      <c r="Z4267" s="4">
        <v>76</v>
      </c>
      <c r="AA4267" s="4">
        <f>=ROUNDDOWN(9.5,0)</f>
      </c>
      <c r="AB4267" s="5">
        <v>8</v>
      </c>
      <c r="AC4267" s="2" t="s">
        <v>1012</v>
      </c>
      <c r="AD4267" s="4">
        <v>80</v>
      </c>
      <c r="AE4267" s="4">
        <v>160</v>
      </c>
      <c r="AF4267" s="6">
        <v>66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/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/>
      <c r="BJ4267" s="4">
        <v>100</v>
      </c>
      <c r="BK4267" s="8">
        <v>4299</v>
      </c>
      <c r="BL4267" s="2" t="s">
        <v>1310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207</v>
      </c>
      <c r="BV4267" s="2" t="s">
        <v>97</v>
      </c>
      <c r="BW4267" s="2" t="s">
        <v>100</v>
      </c>
      <c r="BX4267" s="2" t="s">
        <v>100</v>
      </c>
      <c r="BY4267" s="2" t="s">
        <v>113</v>
      </c>
      <c r="BZ4267" s="2" t="s">
        <v>100</v>
      </c>
    </row>
    <row r="4268">
      <c r="A4268" s="2" t="s">
        <v>12950</v>
      </c>
      <c r="B4268" s="2" t="s">
        <v>12738</v>
      </c>
      <c r="C4268" s="2" t="s">
        <v>3934</v>
      </c>
      <c r="D4268" s="2" t="s">
        <v>803</v>
      </c>
      <c r="E4268" s="2" t="s">
        <v>1532</v>
      </c>
      <c r="F4268" s="2" t="s">
        <v>12951</v>
      </c>
      <c r="G4268" s="2" t="s">
        <v>5162</v>
      </c>
      <c r="H4268" s="2" t="s">
        <v>12952</v>
      </c>
      <c r="I4268" s="2" t="s">
        <v>12953</v>
      </c>
      <c r="J4268" s="2" t="s">
        <v>237</v>
      </c>
      <c r="K4268" s="2" t="s">
        <v>335</v>
      </c>
      <c r="L4268" s="3">
        <v>33.33</v>
      </c>
      <c r="M4268" s="3">
        <v>35</v>
      </c>
      <c r="N4268" s="3">
        <v>69.99</v>
      </c>
      <c r="O4268" s="2" t="s">
        <v>97</v>
      </c>
      <c r="P4268" s="2" t="s">
        <v>119</v>
      </c>
      <c r="Q4268" s="2" t="s">
        <v>99</v>
      </c>
      <c r="R4268" s="2" t="s">
        <v>100</v>
      </c>
      <c r="S4268" s="2" t="s">
        <v>12954</v>
      </c>
      <c r="T4268" s="2" t="s">
        <v>200</v>
      </c>
      <c r="U4268" s="2" t="s">
        <v>514</v>
      </c>
      <c r="V4268" s="2" t="s">
        <v>146</v>
      </c>
      <c r="W4268" s="2" t="s">
        <v>561</v>
      </c>
      <c r="X4268" s="2" t="s">
        <v>183</v>
      </c>
      <c r="Y4268" s="2" t="s">
        <v>1163</v>
      </c>
      <c r="Z4268" s="4">
        <v>360</v>
      </c>
      <c r="AA4268" s="4">
        <f>=ROUNDDOWN(180,0)</f>
      </c>
      <c r="AB4268" s="5">
        <v>2</v>
      </c>
      <c r="AC4268" s="2" t="s">
        <v>100</v>
      </c>
      <c r="AD4268" s="4"/>
      <c r="AE4268" s="4"/>
      <c r="AF4268" s="6">
        <v>66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38</v>
      </c>
      <c r="BK4268" s="8">
        <v>1432.93</v>
      </c>
      <c r="BL4268" s="2" t="s">
        <v>12955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207</v>
      </c>
      <c r="BV4268" s="2" t="s">
        <v>97</v>
      </c>
      <c r="BW4268" s="2" t="s">
        <v>100</v>
      </c>
      <c r="BX4268" s="2" t="s">
        <v>100</v>
      </c>
      <c r="BY4268" s="2" t="s">
        <v>113</v>
      </c>
      <c r="BZ4268" s="2" t="s">
        <v>100</v>
      </c>
    </row>
    <row r="4269">
      <c r="A4269" s="2" t="s">
        <v>12956</v>
      </c>
      <c r="B4269" s="2" t="s">
        <v>12738</v>
      </c>
      <c r="C4269" s="2" t="s">
        <v>3934</v>
      </c>
      <c r="D4269" s="2" t="s">
        <v>803</v>
      </c>
      <c r="E4269" s="2" t="s">
        <v>1532</v>
      </c>
      <c r="F4269" s="2" t="s">
        <v>12951</v>
      </c>
      <c r="G4269" s="2" t="s">
        <v>5162</v>
      </c>
      <c r="H4269" s="2" t="s">
        <v>12952</v>
      </c>
      <c r="I4269" s="2" t="s">
        <v>12953</v>
      </c>
      <c r="J4269" s="2" t="s">
        <v>247</v>
      </c>
      <c r="K4269" s="2" t="s">
        <v>335</v>
      </c>
      <c r="L4269" s="3">
        <v>38.09</v>
      </c>
      <c r="M4269" s="3">
        <v>40</v>
      </c>
      <c r="N4269" s="3">
        <v>79.99</v>
      </c>
      <c r="O4269" s="2" t="s">
        <v>97</v>
      </c>
      <c r="P4269" s="2" t="s">
        <v>119</v>
      </c>
      <c r="Q4269" s="2" t="s">
        <v>99</v>
      </c>
      <c r="R4269" s="2" t="s">
        <v>100</v>
      </c>
      <c r="S4269" s="2" t="s">
        <v>12954</v>
      </c>
      <c r="T4269" s="2" t="s">
        <v>200</v>
      </c>
      <c r="U4269" s="2" t="s">
        <v>480</v>
      </c>
      <c r="V4269" s="2" t="s">
        <v>146</v>
      </c>
      <c r="W4269" s="2" t="s">
        <v>561</v>
      </c>
      <c r="X4269" s="2" t="s">
        <v>183</v>
      </c>
      <c r="Y4269" s="2" t="s">
        <v>1163</v>
      </c>
      <c r="Z4269" s="4">
        <v>534</v>
      </c>
      <c r="AA4269" s="4">
        <f>=ROUNDDOWN(66.75,0)</f>
      </c>
      <c r="AB4269" s="5">
        <v>8</v>
      </c>
      <c r="AC4269" s="2" t="s">
        <v>100</v>
      </c>
      <c r="AD4269" s="4"/>
      <c r="AE4269" s="4"/>
      <c r="AF4269" s="6">
        <v>66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136</v>
      </c>
      <c r="BK4269" s="8">
        <v>5750.89</v>
      </c>
      <c r="BL4269" s="2" t="s">
        <v>2236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207</v>
      </c>
      <c r="BV4269" s="2" t="s">
        <v>97</v>
      </c>
      <c r="BW4269" s="2" t="s">
        <v>100</v>
      </c>
      <c r="BX4269" s="2" t="s">
        <v>100</v>
      </c>
      <c r="BY4269" s="2" t="s">
        <v>113</v>
      </c>
      <c r="BZ4269" s="2" t="s">
        <v>100</v>
      </c>
    </row>
    <row r="4270">
      <c r="A4270" s="2" t="s">
        <v>12957</v>
      </c>
      <c r="B4270" s="2" t="s">
        <v>12738</v>
      </c>
      <c r="C4270" s="2" t="s">
        <v>3934</v>
      </c>
      <c r="D4270" s="2" t="s">
        <v>803</v>
      </c>
      <c r="E4270" s="2" t="s">
        <v>1532</v>
      </c>
      <c r="F4270" s="2" t="s">
        <v>12951</v>
      </c>
      <c r="G4270" s="2" t="s">
        <v>5162</v>
      </c>
      <c r="H4270" s="2" t="s">
        <v>12952</v>
      </c>
      <c r="I4270" s="2" t="s">
        <v>12953</v>
      </c>
      <c r="J4270" s="2" t="s">
        <v>270</v>
      </c>
      <c r="K4270" s="2" t="s">
        <v>335</v>
      </c>
      <c r="L4270" s="3">
        <v>42.85</v>
      </c>
      <c r="M4270" s="3">
        <v>44.99</v>
      </c>
      <c r="N4270" s="3">
        <v>89.99</v>
      </c>
      <c r="O4270" s="2" t="s">
        <v>97</v>
      </c>
      <c r="P4270" s="2" t="s">
        <v>119</v>
      </c>
      <c r="Q4270" s="2" t="s">
        <v>99</v>
      </c>
      <c r="R4270" s="2" t="s">
        <v>100</v>
      </c>
      <c r="S4270" s="2" t="s">
        <v>12954</v>
      </c>
      <c r="T4270" s="2" t="s">
        <v>200</v>
      </c>
      <c r="U4270" s="2" t="s">
        <v>480</v>
      </c>
      <c r="V4270" s="2" t="s">
        <v>146</v>
      </c>
      <c r="W4270" s="2" t="s">
        <v>561</v>
      </c>
      <c r="X4270" s="2" t="s">
        <v>183</v>
      </c>
      <c r="Y4270" s="2" t="s">
        <v>1163</v>
      </c>
      <c r="Z4270" s="4">
        <v>311</v>
      </c>
      <c r="AA4270" s="4">
        <f>=ROUNDDOWN(62.2,0)</f>
      </c>
      <c r="AB4270" s="5">
        <v>5</v>
      </c>
      <c r="AC4270" s="2" t="s">
        <v>100</v>
      </c>
      <c r="AD4270" s="4"/>
      <c r="AE4270" s="4"/>
      <c r="AF4270" s="6">
        <v>66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>
        <v>91</v>
      </c>
      <c r="BK4270" s="8">
        <v>4368.65</v>
      </c>
      <c r="BL4270" s="2" t="s">
        <v>2348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207</v>
      </c>
      <c r="BV4270" s="2" t="s">
        <v>97</v>
      </c>
      <c r="BW4270" s="2" t="s">
        <v>100</v>
      </c>
      <c r="BX4270" s="2" t="s">
        <v>100</v>
      </c>
      <c r="BY4270" s="2" t="s">
        <v>113</v>
      </c>
      <c r="BZ4270" s="2" t="s">
        <v>100</v>
      </c>
    </row>
    <row r="4271">
      <c r="A4271" s="2" t="s">
        <v>12958</v>
      </c>
      <c r="B4271" s="2" t="s">
        <v>12738</v>
      </c>
      <c r="C4271" s="2" t="s">
        <v>3934</v>
      </c>
      <c r="D4271" s="2" t="s">
        <v>803</v>
      </c>
      <c r="E4271" s="2" t="s">
        <v>1532</v>
      </c>
      <c r="F4271" s="2" t="s">
        <v>12951</v>
      </c>
      <c r="G4271" s="2" t="s">
        <v>5162</v>
      </c>
      <c r="H4271" s="2" t="s">
        <v>12952</v>
      </c>
      <c r="I4271" s="2" t="s">
        <v>12953</v>
      </c>
      <c r="J4271" s="2" t="s">
        <v>237</v>
      </c>
      <c r="K4271" s="2" t="s">
        <v>118</v>
      </c>
      <c r="L4271" s="3">
        <v>33.33</v>
      </c>
      <c r="M4271" s="3">
        <v>35</v>
      </c>
      <c r="N4271" s="3">
        <v>69.99</v>
      </c>
      <c r="O4271" s="2" t="s">
        <v>97</v>
      </c>
      <c r="P4271" s="2" t="s">
        <v>119</v>
      </c>
      <c r="Q4271" s="2" t="s">
        <v>99</v>
      </c>
      <c r="R4271" s="2" t="s">
        <v>100</v>
      </c>
      <c r="S4271" s="2" t="s">
        <v>12959</v>
      </c>
      <c r="T4271" s="2" t="s">
        <v>200</v>
      </c>
      <c r="U4271" s="2" t="s">
        <v>514</v>
      </c>
      <c r="V4271" s="2" t="s">
        <v>146</v>
      </c>
      <c r="W4271" s="2" t="s">
        <v>561</v>
      </c>
      <c r="X4271" s="2" t="s">
        <v>183</v>
      </c>
      <c r="Y4271" s="2" t="s">
        <v>1163</v>
      </c>
      <c r="Z4271" s="4">
        <v>388</v>
      </c>
      <c r="AA4271" s="4">
        <f>=ROUNDDOWN(64.6666666666667,0)</f>
      </c>
      <c r="AB4271" s="5">
        <v>6</v>
      </c>
      <c r="AC4271" s="2" t="s">
        <v>100</v>
      </c>
      <c r="AD4271" s="4"/>
      <c r="AE4271" s="4"/>
      <c r="AF4271" s="6">
        <v>66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>
        <v>198</v>
      </c>
      <c r="BK4271" s="8">
        <v>7216.2</v>
      </c>
      <c r="BL4271" s="2" t="s">
        <v>548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207</v>
      </c>
      <c r="BV4271" s="2" t="s">
        <v>97</v>
      </c>
      <c r="BW4271" s="2" t="s">
        <v>100</v>
      </c>
      <c r="BX4271" s="2" t="s">
        <v>100</v>
      </c>
      <c r="BY4271" s="2" t="s">
        <v>113</v>
      </c>
      <c r="BZ4271" s="2" t="s">
        <v>100</v>
      </c>
    </row>
    <row r="4272">
      <c r="A4272" s="2" t="s">
        <v>12960</v>
      </c>
      <c r="B4272" s="2" t="s">
        <v>12738</v>
      </c>
      <c r="C4272" s="2" t="s">
        <v>3934</v>
      </c>
      <c r="D4272" s="2" t="s">
        <v>803</v>
      </c>
      <c r="E4272" s="2" t="s">
        <v>1532</v>
      </c>
      <c r="F4272" s="2" t="s">
        <v>12951</v>
      </c>
      <c r="G4272" s="2" t="s">
        <v>5162</v>
      </c>
      <c r="H4272" s="2" t="s">
        <v>12952</v>
      </c>
      <c r="I4272" s="2" t="s">
        <v>12953</v>
      </c>
      <c r="J4272" s="2" t="s">
        <v>247</v>
      </c>
      <c r="K4272" s="2" t="s">
        <v>118</v>
      </c>
      <c r="L4272" s="3">
        <v>38.09</v>
      </c>
      <c r="M4272" s="3">
        <v>40</v>
      </c>
      <c r="N4272" s="3">
        <v>79.99</v>
      </c>
      <c r="O4272" s="2" t="s">
        <v>97</v>
      </c>
      <c r="P4272" s="2" t="s">
        <v>119</v>
      </c>
      <c r="Q4272" s="2" t="s">
        <v>99</v>
      </c>
      <c r="R4272" s="2" t="s">
        <v>100</v>
      </c>
      <c r="S4272" s="2" t="s">
        <v>12959</v>
      </c>
      <c r="T4272" s="2" t="s">
        <v>200</v>
      </c>
      <c r="U4272" s="2" t="s">
        <v>480</v>
      </c>
      <c r="V4272" s="2" t="s">
        <v>146</v>
      </c>
      <c r="W4272" s="2" t="s">
        <v>561</v>
      </c>
      <c r="X4272" s="2" t="s">
        <v>183</v>
      </c>
      <c r="Y4272" s="2" t="s">
        <v>1163</v>
      </c>
      <c r="Z4272" s="4">
        <v>480</v>
      </c>
      <c r="AA4272" s="4">
        <f>=ROUNDDOWN(48,0)</f>
      </c>
      <c r="AB4272" s="5">
        <v>10</v>
      </c>
      <c r="AC4272" s="2" t="s">
        <v>100</v>
      </c>
      <c r="AD4272" s="4"/>
      <c r="AE4272" s="4"/>
      <c r="AF4272" s="6">
        <v>66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>
        <v>172</v>
      </c>
      <c r="BK4272" s="8">
        <v>7244.61</v>
      </c>
      <c r="BL4272" s="2" t="s">
        <v>548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207</v>
      </c>
      <c r="BV4272" s="2" t="s">
        <v>97</v>
      </c>
      <c r="BW4272" s="2" t="s">
        <v>100</v>
      </c>
      <c r="BX4272" s="2" t="s">
        <v>100</v>
      </c>
      <c r="BY4272" s="2" t="s">
        <v>113</v>
      </c>
      <c r="BZ4272" s="2" t="s">
        <v>100</v>
      </c>
    </row>
    <row r="4273">
      <c r="A4273" s="2" t="s">
        <v>12961</v>
      </c>
      <c r="B4273" s="2" t="s">
        <v>12738</v>
      </c>
      <c r="C4273" s="2" t="s">
        <v>3934</v>
      </c>
      <c r="D4273" s="2" t="s">
        <v>803</v>
      </c>
      <c r="E4273" s="2" t="s">
        <v>1532</v>
      </c>
      <c r="F4273" s="2" t="s">
        <v>12951</v>
      </c>
      <c r="G4273" s="2" t="s">
        <v>5162</v>
      </c>
      <c r="H4273" s="2" t="s">
        <v>12952</v>
      </c>
      <c r="I4273" s="2" t="s">
        <v>12953</v>
      </c>
      <c r="J4273" s="2" t="s">
        <v>270</v>
      </c>
      <c r="K4273" s="2" t="s">
        <v>118</v>
      </c>
      <c r="L4273" s="3">
        <v>42.85</v>
      </c>
      <c r="M4273" s="3">
        <v>44.99</v>
      </c>
      <c r="N4273" s="3">
        <v>89.99</v>
      </c>
      <c r="O4273" s="2" t="s">
        <v>97</v>
      </c>
      <c r="P4273" s="2" t="s">
        <v>119</v>
      </c>
      <c r="Q4273" s="2" t="s">
        <v>99</v>
      </c>
      <c r="R4273" s="2" t="s">
        <v>100</v>
      </c>
      <c r="S4273" s="2" t="s">
        <v>12959</v>
      </c>
      <c r="T4273" s="2" t="s">
        <v>200</v>
      </c>
      <c r="U4273" s="2" t="s">
        <v>480</v>
      </c>
      <c r="V4273" s="2" t="s">
        <v>146</v>
      </c>
      <c r="W4273" s="2" t="s">
        <v>561</v>
      </c>
      <c r="X4273" s="2" t="s">
        <v>183</v>
      </c>
      <c r="Y4273" s="2" t="s">
        <v>1163</v>
      </c>
      <c r="Z4273" s="4">
        <v>398</v>
      </c>
      <c r="AA4273" s="4">
        <f>=ROUNDDOWN(66.3333333333333,0)</f>
      </c>
      <c r="AB4273" s="5">
        <v>6</v>
      </c>
      <c r="AC4273" s="2" t="s">
        <v>100</v>
      </c>
      <c r="AD4273" s="4"/>
      <c r="AE4273" s="4"/>
      <c r="AF4273" s="6">
        <v>66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>
        <v>46</v>
      </c>
      <c r="BK4273" s="8">
        <v>2185.94</v>
      </c>
      <c r="BL4273" s="2" t="s">
        <v>548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207</v>
      </c>
      <c r="BV4273" s="2" t="s">
        <v>97</v>
      </c>
      <c r="BW4273" s="2" t="s">
        <v>100</v>
      </c>
      <c r="BX4273" s="2" t="s">
        <v>100</v>
      </c>
      <c r="BY4273" s="2" t="s">
        <v>113</v>
      </c>
      <c r="BZ4273" s="2" t="s">
        <v>100</v>
      </c>
    </row>
    <row r="4274">
      <c r="A4274" s="2" t="s">
        <v>12962</v>
      </c>
      <c r="B4274" s="2" t="s">
        <v>12738</v>
      </c>
      <c r="C4274" s="2" t="s">
        <v>3934</v>
      </c>
      <c r="D4274" s="2" t="s">
        <v>803</v>
      </c>
      <c r="E4274" s="2" t="s">
        <v>1532</v>
      </c>
      <c r="F4274" s="2" t="s">
        <v>12951</v>
      </c>
      <c r="G4274" s="2" t="s">
        <v>5162</v>
      </c>
      <c r="H4274" s="2" t="s">
        <v>12952</v>
      </c>
      <c r="I4274" s="2" t="s">
        <v>12953</v>
      </c>
      <c r="J4274" s="2" t="s">
        <v>237</v>
      </c>
      <c r="K4274" s="2" t="s">
        <v>198</v>
      </c>
      <c r="L4274" s="3">
        <v>33.33</v>
      </c>
      <c r="M4274" s="3">
        <v>35</v>
      </c>
      <c r="N4274" s="3">
        <v>69.99</v>
      </c>
      <c r="O4274" s="2" t="s">
        <v>97</v>
      </c>
      <c r="P4274" s="2" t="s">
        <v>119</v>
      </c>
      <c r="Q4274" s="2" t="s">
        <v>99</v>
      </c>
      <c r="R4274" s="2" t="s">
        <v>100</v>
      </c>
      <c r="S4274" s="2" t="s">
        <v>12963</v>
      </c>
      <c r="T4274" s="2" t="s">
        <v>200</v>
      </c>
      <c r="U4274" s="2" t="s">
        <v>514</v>
      </c>
      <c r="V4274" s="2" t="s">
        <v>146</v>
      </c>
      <c r="W4274" s="2" t="s">
        <v>561</v>
      </c>
      <c r="X4274" s="2" t="s">
        <v>183</v>
      </c>
      <c r="Y4274" s="2" t="s">
        <v>12964</v>
      </c>
      <c r="Z4274" s="4">
        <v>414</v>
      </c>
      <c r="AA4274" s="4">
        <f>=ROUNDDOWN(207,0)</f>
      </c>
      <c r="AB4274" s="5">
        <v>2</v>
      </c>
      <c r="AC4274" s="2" t="s">
        <v>100</v>
      </c>
      <c r="AD4274" s="4"/>
      <c r="AE4274" s="4"/>
      <c r="AF4274" s="6">
        <v>66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45</v>
      </c>
      <c r="BK4274" s="8">
        <v>1663.73</v>
      </c>
      <c r="BL4274" s="2" t="s">
        <v>3421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207</v>
      </c>
      <c r="BV4274" s="2" t="s">
        <v>97</v>
      </c>
      <c r="BW4274" s="2" t="s">
        <v>100</v>
      </c>
      <c r="BX4274" s="2" t="s">
        <v>100</v>
      </c>
      <c r="BY4274" s="2" t="s">
        <v>113</v>
      </c>
      <c r="BZ4274" s="2" t="s">
        <v>100</v>
      </c>
    </row>
    <row r="4275">
      <c r="A4275" s="2" t="s">
        <v>12965</v>
      </c>
      <c r="B4275" s="2" t="s">
        <v>12738</v>
      </c>
      <c r="C4275" s="2" t="s">
        <v>3934</v>
      </c>
      <c r="D4275" s="2" t="s">
        <v>803</v>
      </c>
      <c r="E4275" s="2" t="s">
        <v>1532</v>
      </c>
      <c r="F4275" s="2" t="s">
        <v>12951</v>
      </c>
      <c r="G4275" s="2" t="s">
        <v>5162</v>
      </c>
      <c r="H4275" s="2" t="s">
        <v>12952</v>
      </c>
      <c r="I4275" s="2" t="s">
        <v>12953</v>
      </c>
      <c r="J4275" s="2" t="s">
        <v>247</v>
      </c>
      <c r="K4275" s="2" t="s">
        <v>198</v>
      </c>
      <c r="L4275" s="3">
        <v>38.09</v>
      </c>
      <c r="M4275" s="3">
        <v>40</v>
      </c>
      <c r="N4275" s="3">
        <v>79.99</v>
      </c>
      <c r="O4275" s="2" t="s">
        <v>97</v>
      </c>
      <c r="P4275" s="2" t="s">
        <v>119</v>
      </c>
      <c r="Q4275" s="2" t="s">
        <v>99</v>
      </c>
      <c r="R4275" s="2" t="s">
        <v>100</v>
      </c>
      <c r="S4275" s="2" t="s">
        <v>12963</v>
      </c>
      <c r="T4275" s="2" t="s">
        <v>200</v>
      </c>
      <c r="U4275" s="2" t="s">
        <v>480</v>
      </c>
      <c r="V4275" s="2" t="s">
        <v>146</v>
      </c>
      <c r="W4275" s="2" t="s">
        <v>561</v>
      </c>
      <c r="X4275" s="2" t="s">
        <v>183</v>
      </c>
      <c r="Y4275" s="2" t="s">
        <v>12964</v>
      </c>
      <c r="Z4275" s="4">
        <v>796</v>
      </c>
      <c r="AA4275" s="4">
        <f>=ROUNDDOWN(159.2,0)</f>
      </c>
      <c r="AB4275" s="5">
        <v>5</v>
      </c>
      <c r="AC4275" s="2" t="s">
        <v>100</v>
      </c>
      <c r="AD4275" s="4"/>
      <c r="AE4275" s="4"/>
      <c r="AF4275" s="6">
        <v>66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>
        <v>110</v>
      </c>
      <c r="BK4275" s="8">
        <v>4445.06</v>
      </c>
      <c r="BL4275" s="2" t="s">
        <v>12966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207</v>
      </c>
      <c r="BV4275" s="2" t="s">
        <v>97</v>
      </c>
      <c r="BW4275" s="2" t="s">
        <v>100</v>
      </c>
      <c r="BX4275" s="2" t="s">
        <v>100</v>
      </c>
      <c r="BY4275" s="2" t="s">
        <v>113</v>
      </c>
      <c r="BZ4275" s="2" t="s">
        <v>100</v>
      </c>
    </row>
    <row r="4276">
      <c r="A4276" s="2" t="s">
        <v>12967</v>
      </c>
      <c r="B4276" s="2" t="s">
        <v>12738</v>
      </c>
      <c r="C4276" s="2" t="s">
        <v>3934</v>
      </c>
      <c r="D4276" s="2" t="s">
        <v>803</v>
      </c>
      <c r="E4276" s="2" t="s">
        <v>1532</v>
      </c>
      <c r="F4276" s="2" t="s">
        <v>12951</v>
      </c>
      <c r="G4276" s="2" t="s">
        <v>5162</v>
      </c>
      <c r="H4276" s="2" t="s">
        <v>12952</v>
      </c>
      <c r="I4276" s="2" t="s">
        <v>12953</v>
      </c>
      <c r="J4276" s="2" t="s">
        <v>270</v>
      </c>
      <c r="K4276" s="2" t="s">
        <v>198</v>
      </c>
      <c r="L4276" s="3">
        <v>42.85</v>
      </c>
      <c r="M4276" s="3">
        <v>44.99</v>
      </c>
      <c r="N4276" s="3">
        <v>89.99</v>
      </c>
      <c r="O4276" s="2" t="s">
        <v>97</v>
      </c>
      <c r="P4276" s="2" t="s">
        <v>119</v>
      </c>
      <c r="Q4276" s="2" t="s">
        <v>99</v>
      </c>
      <c r="R4276" s="2" t="s">
        <v>100</v>
      </c>
      <c r="S4276" s="2" t="s">
        <v>12963</v>
      </c>
      <c r="T4276" s="2" t="s">
        <v>200</v>
      </c>
      <c r="U4276" s="2" t="s">
        <v>480</v>
      </c>
      <c r="V4276" s="2" t="s">
        <v>146</v>
      </c>
      <c r="W4276" s="2" t="s">
        <v>561</v>
      </c>
      <c r="X4276" s="2" t="s">
        <v>183</v>
      </c>
      <c r="Y4276" s="2" t="s">
        <v>10133</v>
      </c>
      <c r="Z4276" s="4">
        <v>269</v>
      </c>
      <c r="AA4276" s="4">
        <f>=ROUNDDOWN(67.25,0)</f>
      </c>
      <c r="AB4276" s="5">
        <v>4</v>
      </c>
      <c r="AC4276" s="2" t="s">
        <v>100</v>
      </c>
      <c r="AD4276" s="4"/>
      <c r="AE4276" s="4"/>
      <c r="AF4276" s="6">
        <v>66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>
        <v>86</v>
      </c>
      <c r="BK4276" s="8">
        <v>3924.67</v>
      </c>
      <c r="BL4276" s="2" t="s">
        <v>1198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207</v>
      </c>
      <c r="BV4276" s="2" t="s">
        <v>97</v>
      </c>
      <c r="BW4276" s="2" t="s">
        <v>100</v>
      </c>
      <c r="BX4276" s="2" t="s">
        <v>100</v>
      </c>
      <c r="BY4276" s="2" t="s">
        <v>113</v>
      </c>
      <c r="BZ4276" s="2" t="s">
        <v>100</v>
      </c>
    </row>
    <row r="4277">
      <c r="A4277" s="2" t="s">
        <v>12968</v>
      </c>
      <c r="B4277" s="2" t="s">
        <v>12738</v>
      </c>
      <c r="C4277" s="2" t="s">
        <v>3934</v>
      </c>
      <c r="D4277" s="2" t="s">
        <v>803</v>
      </c>
      <c r="E4277" s="2" t="s">
        <v>1532</v>
      </c>
      <c r="F4277" s="2" t="s">
        <v>12951</v>
      </c>
      <c r="G4277" s="2" t="s">
        <v>5162</v>
      </c>
      <c r="H4277" s="2" t="s">
        <v>12952</v>
      </c>
      <c r="I4277" s="2" t="s">
        <v>12953</v>
      </c>
      <c r="J4277" s="2" t="s">
        <v>237</v>
      </c>
      <c r="K4277" s="2" t="s">
        <v>1614</v>
      </c>
      <c r="L4277" s="3">
        <v>33.33</v>
      </c>
      <c r="M4277" s="3">
        <v>35</v>
      </c>
      <c r="N4277" s="3">
        <v>69.99</v>
      </c>
      <c r="O4277" s="2" t="s">
        <v>97</v>
      </c>
      <c r="P4277" s="2" t="s">
        <v>119</v>
      </c>
      <c r="Q4277" s="2" t="s">
        <v>99</v>
      </c>
      <c r="R4277" s="2" t="s">
        <v>100</v>
      </c>
      <c r="S4277" s="2" t="s">
        <v>12969</v>
      </c>
      <c r="T4277" s="2" t="s">
        <v>200</v>
      </c>
      <c r="U4277" s="2" t="s">
        <v>514</v>
      </c>
      <c r="V4277" s="2" t="s">
        <v>146</v>
      </c>
      <c r="W4277" s="2" t="s">
        <v>561</v>
      </c>
      <c r="X4277" s="2" t="s">
        <v>183</v>
      </c>
      <c r="Y4277" s="2" t="s">
        <v>4515</v>
      </c>
      <c r="Z4277" s="4">
        <v>816</v>
      </c>
      <c r="AA4277" s="4">
        <f>=ROUNDDOWN(81.6,0)</f>
      </c>
      <c r="AB4277" s="5">
        <v>10</v>
      </c>
      <c r="AC4277" s="2" t="s">
        <v>100</v>
      </c>
      <c r="AD4277" s="4"/>
      <c r="AE4277" s="4"/>
      <c r="AF4277" s="6">
        <v>66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/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/>
      <c r="BJ4277" s="4">
        <v>526</v>
      </c>
      <c r="BK4277" s="8">
        <v>19211.54</v>
      </c>
      <c r="BL4277" s="2" t="s">
        <v>548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207</v>
      </c>
      <c r="BV4277" s="2" t="s">
        <v>97</v>
      </c>
      <c r="BW4277" s="2" t="s">
        <v>100</v>
      </c>
      <c r="BX4277" s="2" t="s">
        <v>100</v>
      </c>
      <c r="BY4277" s="2" t="s">
        <v>113</v>
      </c>
      <c r="BZ4277" s="2" t="s">
        <v>100</v>
      </c>
    </row>
    <row r="4278">
      <c r="A4278" s="2" t="s">
        <v>12970</v>
      </c>
      <c r="B4278" s="2" t="s">
        <v>12738</v>
      </c>
      <c r="C4278" s="2" t="s">
        <v>3934</v>
      </c>
      <c r="D4278" s="2" t="s">
        <v>803</v>
      </c>
      <c r="E4278" s="2" t="s">
        <v>1532</v>
      </c>
      <c r="F4278" s="2" t="s">
        <v>12951</v>
      </c>
      <c r="G4278" s="2" t="s">
        <v>5162</v>
      </c>
      <c r="H4278" s="2" t="s">
        <v>12952</v>
      </c>
      <c r="I4278" s="2" t="s">
        <v>12953</v>
      </c>
      <c r="J4278" s="2" t="s">
        <v>247</v>
      </c>
      <c r="K4278" s="2" t="s">
        <v>1614</v>
      </c>
      <c r="L4278" s="3">
        <v>38.09</v>
      </c>
      <c r="M4278" s="3">
        <v>40</v>
      </c>
      <c r="N4278" s="3">
        <v>79.99</v>
      </c>
      <c r="O4278" s="2" t="s">
        <v>97</v>
      </c>
      <c r="P4278" s="2" t="s">
        <v>119</v>
      </c>
      <c r="Q4278" s="2" t="s">
        <v>99</v>
      </c>
      <c r="R4278" s="2" t="s">
        <v>100</v>
      </c>
      <c r="S4278" s="2" t="s">
        <v>12969</v>
      </c>
      <c r="T4278" s="2" t="s">
        <v>200</v>
      </c>
      <c r="U4278" s="2" t="s">
        <v>480</v>
      </c>
      <c r="V4278" s="2" t="s">
        <v>146</v>
      </c>
      <c r="W4278" s="2" t="s">
        <v>561</v>
      </c>
      <c r="X4278" s="2" t="s">
        <v>183</v>
      </c>
      <c r="Y4278" s="2" t="s">
        <v>4515</v>
      </c>
      <c r="Z4278" s="4">
        <v>1049</v>
      </c>
      <c r="AA4278" s="4">
        <f>=ROUNDDOWN(61.7058823529412,0)</f>
      </c>
      <c r="AB4278" s="5">
        <v>17</v>
      </c>
      <c r="AC4278" s="2" t="s">
        <v>100</v>
      </c>
      <c r="AD4278" s="4"/>
      <c r="AE4278" s="4"/>
      <c r="AF4278" s="6">
        <v>66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>
        <v>677</v>
      </c>
      <c r="BK4278" s="8">
        <v>28216.94</v>
      </c>
      <c r="BL4278" s="2" t="s">
        <v>550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207</v>
      </c>
      <c r="BV4278" s="2" t="s">
        <v>97</v>
      </c>
      <c r="BW4278" s="2" t="s">
        <v>100</v>
      </c>
      <c r="BX4278" s="2" t="s">
        <v>100</v>
      </c>
      <c r="BY4278" s="2" t="s">
        <v>113</v>
      </c>
      <c r="BZ4278" s="2" t="s">
        <v>100</v>
      </c>
    </row>
    <row r="4279">
      <c r="A4279" s="2" t="s">
        <v>12971</v>
      </c>
      <c r="B4279" s="2" t="s">
        <v>12738</v>
      </c>
      <c r="C4279" s="2" t="s">
        <v>3934</v>
      </c>
      <c r="D4279" s="2" t="s">
        <v>803</v>
      </c>
      <c r="E4279" s="2" t="s">
        <v>1532</v>
      </c>
      <c r="F4279" s="2" t="s">
        <v>12951</v>
      </c>
      <c r="G4279" s="2" t="s">
        <v>5162</v>
      </c>
      <c r="H4279" s="2" t="s">
        <v>12952</v>
      </c>
      <c r="I4279" s="2" t="s">
        <v>12953</v>
      </c>
      <c r="J4279" s="2" t="s">
        <v>270</v>
      </c>
      <c r="K4279" s="2" t="s">
        <v>1614</v>
      </c>
      <c r="L4279" s="3">
        <v>42.85</v>
      </c>
      <c r="M4279" s="3">
        <v>44.99</v>
      </c>
      <c r="N4279" s="3">
        <v>89.99</v>
      </c>
      <c r="O4279" s="2" t="s">
        <v>97</v>
      </c>
      <c r="P4279" s="2" t="s">
        <v>119</v>
      </c>
      <c r="Q4279" s="2" t="s">
        <v>99</v>
      </c>
      <c r="R4279" s="2" t="s">
        <v>100</v>
      </c>
      <c r="S4279" s="2" t="s">
        <v>12969</v>
      </c>
      <c r="T4279" s="2" t="s">
        <v>200</v>
      </c>
      <c r="U4279" s="2" t="s">
        <v>480</v>
      </c>
      <c r="V4279" s="2" t="s">
        <v>146</v>
      </c>
      <c r="W4279" s="2" t="s">
        <v>561</v>
      </c>
      <c r="X4279" s="2" t="s">
        <v>183</v>
      </c>
      <c r="Y4279" s="2" t="s">
        <v>12972</v>
      </c>
      <c r="Z4279" s="4">
        <v>618</v>
      </c>
      <c r="AA4279" s="4">
        <f>=ROUNDDOWN(103,0)</f>
      </c>
      <c r="AB4279" s="5">
        <v>6</v>
      </c>
      <c r="AC4279" s="2" t="s">
        <v>100</v>
      </c>
      <c r="AD4279" s="4"/>
      <c r="AE4279" s="4"/>
      <c r="AF4279" s="6">
        <v>66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149</v>
      </c>
      <c r="BK4279" s="8">
        <v>6904.65</v>
      </c>
      <c r="BL4279" s="2" t="s">
        <v>2292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207</v>
      </c>
      <c r="BV4279" s="2" t="s">
        <v>97</v>
      </c>
      <c r="BW4279" s="2" t="s">
        <v>100</v>
      </c>
      <c r="BX4279" s="2" t="s">
        <v>100</v>
      </c>
      <c r="BY4279" s="2" t="s">
        <v>113</v>
      </c>
      <c r="BZ4279" s="2" t="s">
        <v>100</v>
      </c>
    </row>
    <row r="4280">
      <c r="A4280" s="2" t="s">
        <v>12973</v>
      </c>
      <c r="B4280" s="2" t="s">
        <v>12738</v>
      </c>
      <c r="C4280" s="2" t="s">
        <v>3934</v>
      </c>
      <c r="D4280" s="2" t="s">
        <v>803</v>
      </c>
      <c r="E4280" s="2" t="s">
        <v>1532</v>
      </c>
      <c r="F4280" s="2" t="s">
        <v>12951</v>
      </c>
      <c r="G4280" s="2" t="s">
        <v>5162</v>
      </c>
      <c r="H4280" s="2" t="s">
        <v>12952</v>
      </c>
      <c r="I4280" s="2" t="s">
        <v>12953</v>
      </c>
      <c r="J4280" s="2" t="s">
        <v>237</v>
      </c>
      <c r="K4280" s="2" t="s">
        <v>360</v>
      </c>
      <c r="L4280" s="3">
        <v>33.33</v>
      </c>
      <c r="M4280" s="3">
        <v>35</v>
      </c>
      <c r="N4280" s="3">
        <v>69.99</v>
      </c>
      <c r="O4280" s="2" t="s">
        <v>97</v>
      </c>
      <c r="P4280" s="2" t="s">
        <v>119</v>
      </c>
      <c r="Q4280" s="2" t="s">
        <v>99</v>
      </c>
      <c r="R4280" s="2" t="s">
        <v>100</v>
      </c>
      <c r="S4280" s="2" t="s">
        <v>12974</v>
      </c>
      <c r="T4280" s="2" t="s">
        <v>200</v>
      </c>
      <c r="U4280" s="2" t="s">
        <v>514</v>
      </c>
      <c r="V4280" s="2" t="s">
        <v>146</v>
      </c>
      <c r="W4280" s="2" t="s">
        <v>561</v>
      </c>
      <c r="X4280" s="2" t="s">
        <v>183</v>
      </c>
      <c r="Y4280" s="2" t="s">
        <v>12964</v>
      </c>
      <c r="Z4280" s="4">
        <v>480</v>
      </c>
      <c r="AA4280" s="4">
        <f>=ROUNDDOWN(120,0)</f>
      </c>
      <c r="AB4280" s="5">
        <v>4</v>
      </c>
      <c r="AC4280" s="2" t="s">
        <v>100</v>
      </c>
      <c r="AD4280" s="4"/>
      <c r="AE4280" s="4"/>
      <c r="AF4280" s="6">
        <v>66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>
        <v>125</v>
      </c>
      <c r="BK4280" s="8">
        <v>4437.04</v>
      </c>
      <c r="BL4280" s="2" t="s">
        <v>446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207</v>
      </c>
      <c r="BV4280" s="2" t="s">
        <v>97</v>
      </c>
      <c r="BW4280" s="2" t="s">
        <v>100</v>
      </c>
      <c r="BX4280" s="2" t="s">
        <v>100</v>
      </c>
      <c r="BY4280" s="2" t="s">
        <v>113</v>
      </c>
      <c r="BZ4280" s="2" t="s">
        <v>100</v>
      </c>
    </row>
    <row r="4281">
      <c r="A4281" s="2" t="s">
        <v>12975</v>
      </c>
      <c r="B4281" s="2" t="s">
        <v>12738</v>
      </c>
      <c r="C4281" s="2" t="s">
        <v>3934</v>
      </c>
      <c r="D4281" s="2" t="s">
        <v>803</v>
      </c>
      <c r="E4281" s="2" t="s">
        <v>1532</v>
      </c>
      <c r="F4281" s="2" t="s">
        <v>12951</v>
      </c>
      <c r="G4281" s="2" t="s">
        <v>5162</v>
      </c>
      <c r="H4281" s="2" t="s">
        <v>12952</v>
      </c>
      <c r="I4281" s="2" t="s">
        <v>12953</v>
      </c>
      <c r="J4281" s="2" t="s">
        <v>247</v>
      </c>
      <c r="K4281" s="2" t="s">
        <v>360</v>
      </c>
      <c r="L4281" s="3">
        <v>38.09</v>
      </c>
      <c r="M4281" s="3">
        <v>40</v>
      </c>
      <c r="N4281" s="3">
        <v>79.99</v>
      </c>
      <c r="O4281" s="2" t="s">
        <v>97</v>
      </c>
      <c r="P4281" s="2" t="s">
        <v>119</v>
      </c>
      <c r="Q4281" s="2" t="s">
        <v>99</v>
      </c>
      <c r="R4281" s="2" t="s">
        <v>100</v>
      </c>
      <c r="S4281" s="2" t="s">
        <v>12974</v>
      </c>
      <c r="T4281" s="2" t="s">
        <v>200</v>
      </c>
      <c r="U4281" s="2" t="s">
        <v>480</v>
      </c>
      <c r="V4281" s="2" t="s">
        <v>146</v>
      </c>
      <c r="W4281" s="2" t="s">
        <v>561</v>
      </c>
      <c r="X4281" s="2" t="s">
        <v>183</v>
      </c>
      <c r="Y4281" s="2" t="s">
        <v>10133</v>
      </c>
      <c r="Z4281" s="4">
        <v>840</v>
      </c>
      <c r="AA4281" s="4">
        <f>=ROUNDDOWN(93.3333333333333,0)</f>
      </c>
      <c r="AB4281" s="5">
        <v>9</v>
      </c>
      <c r="AC4281" s="2" t="s">
        <v>100</v>
      </c>
      <c r="AD4281" s="4"/>
      <c r="AE4281" s="4"/>
      <c r="AF4281" s="6">
        <v>66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>
        <v>241</v>
      </c>
      <c r="BK4281" s="8">
        <v>9899.22</v>
      </c>
      <c r="BL4281" s="2" t="s">
        <v>2292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207</v>
      </c>
      <c r="BV4281" s="2" t="s">
        <v>97</v>
      </c>
      <c r="BW4281" s="2" t="s">
        <v>100</v>
      </c>
      <c r="BX4281" s="2" t="s">
        <v>100</v>
      </c>
      <c r="BY4281" s="2" t="s">
        <v>113</v>
      </c>
      <c r="BZ4281" s="2" t="s">
        <v>100</v>
      </c>
    </row>
    <row r="4282">
      <c r="A4282" s="2" t="s">
        <v>12976</v>
      </c>
      <c r="B4282" s="2" t="s">
        <v>12738</v>
      </c>
      <c r="C4282" s="2" t="s">
        <v>3934</v>
      </c>
      <c r="D4282" s="2" t="s">
        <v>803</v>
      </c>
      <c r="E4282" s="2" t="s">
        <v>1532</v>
      </c>
      <c r="F4282" s="2" t="s">
        <v>12951</v>
      </c>
      <c r="G4282" s="2" t="s">
        <v>5162</v>
      </c>
      <c r="H4282" s="2" t="s">
        <v>12952</v>
      </c>
      <c r="I4282" s="2" t="s">
        <v>12953</v>
      </c>
      <c r="J4282" s="2" t="s">
        <v>270</v>
      </c>
      <c r="K4282" s="2" t="s">
        <v>360</v>
      </c>
      <c r="L4282" s="3">
        <v>42.85</v>
      </c>
      <c r="M4282" s="3">
        <v>44.99</v>
      </c>
      <c r="N4282" s="3">
        <v>89.99</v>
      </c>
      <c r="O4282" s="2" t="s">
        <v>97</v>
      </c>
      <c r="P4282" s="2" t="s">
        <v>119</v>
      </c>
      <c r="Q4282" s="2" t="s">
        <v>99</v>
      </c>
      <c r="R4282" s="2" t="s">
        <v>100</v>
      </c>
      <c r="S4282" s="2" t="s">
        <v>12974</v>
      </c>
      <c r="T4282" s="2" t="s">
        <v>200</v>
      </c>
      <c r="U4282" s="2" t="s">
        <v>480</v>
      </c>
      <c r="V4282" s="2" t="s">
        <v>146</v>
      </c>
      <c r="W4282" s="2" t="s">
        <v>561</v>
      </c>
      <c r="X4282" s="2" t="s">
        <v>183</v>
      </c>
      <c r="Y4282" s="2" t="s">
        <v>10133</v>
      </c>
      <c r="Z4282" s="4">
        <v>470</v>
      </c>
      <c r="AA4282" s="4">
        <f>=ROUNDDOWN(67.1428571428571,0)</f>
      </c>
      <c r="AB4282" s="5">
        <v>7</v>
      </c>
      <c r="AC4282" s="2" t="s">
        <v>100</v>
      </c>
      <c r="AD4282" s="4"/>
      <c r="AE4282" s="4"/>
      <c r="AF4282" s="6">
        <v>66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>
        <v>197</v>
      </c>
      <c r="BK4282" s="8">
        <v>9005.92</v>
      </c>
      <c r="BL4282" s="2" t="s">
        <v>2292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207</v>
      </c>
      <c r="BV4282" s="2" t="s">
        <v>97</v>
      </c>
      <c r="BW4282" s="2" t="s">
        <v>100</v>
      </c>
      <c r="BX4282" s="2" t="s">
        <v>100</v>
      </c>
      <c r="BY4282" s="2" t="s">
        <v>113</v>
      </c>
      <c r="BZ4282" s="2" t="s">
        <v>100</v>
      </c>
    </row>
    <row r="4283">
      <c r="A4283" s="2" t="s">
        <v>12977</v>
      </c>
      <c r="B4283" s="2" t="s">
        <v>12738</v>
      </c>
      <c r="C4283" s="2" t="s">
        <v>3934</v>
      </c>
      <c r="D4283" s="2" t="s">
        <v>803</v>
      </c>
      <c r="E4283" s="2" t="s">
        <v>1532</v>
      </c>
      <c r="F4283" s="2" t="s">
        <v>12951</v>
      </c>
      <c r="G4283" s="2" t="s">
        <v>5162</v>
      </c>
      <c r="H4283" s="2" t="s">
        <v>12952</v>
      </c>
      <c r="I4283" s="2" t="s">
        <v>12953</v>
      </c>
      <c r="J4283" s="2" t="s">
        <v>237</v>
      </c>
      <c r="K4283" s="2" t="s">
        <v>3560</v>
      </c>
      <c r="L4283" s="3">
        <v>33.33</v>
      </c>
      <c r="M4283" s="3">
        <v>35</v>
      </c>
      <c r="N4283" s="3">
        <v>69.99</v>
      </c>
      <c r="O4283" s="2" t="s">
        <v>97</v>
      </c>
      <c r="P4283" s="2" t="s">
        <v>98</v>
      </c>
      <c r="Q4283" s="2" t="s">
        <v>99</v>
      </c>
      <c r="R4283" s="2" t="s">
        <v>100</v>
      </c>
      <c r="S4283" s="2" t="s">
        <v>12978</v>
      </c>
      <c r="T4283" s="2" t="s">
        <v>200</v>
      </c>
      <c r="U4283" s="2" t="s">
        <v>514</v>
      </c>
      <c r="V4283" s="2" t="s">
        <v>146</v>
      </c>
      <c r="W4283" s="2" t="s">
        <v>561</v>
      </c>
      <c r="X4283" s="2" t="s">
        <v>183</v>
      </c>
      <c r="Y4283" s="2" t="s">
        <v>4515</v>
      </c>
      <c r="Z4283" s="4">
        <v>1537</v>
      </c>
      <c r="AA4283" s="4">
        <f>=ROUNDDOWN(85.3888888888889,0)</f>
      </c>
      <c r="AB4283" s="5">
        <v>18</v>
      </c>
      <c r="AC4283" s="2" t="s">
        <v>100</v>
      </c>
      <c r="AD4283" s="4"/>
      <c r="AE4283" s="4"/>
      <c r="AF4283" s="6">
        <v>66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>
        <v>760</v>
      </c>
      <c r="BK4283" s="8">
        <v>28123.16</v>
      </c>
      <c r="BL4283" s="2" t="s">
        <v>550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207</v>
      </c>
      <c r="BV4283" s="2" t="s">
        <v>97</v>
      </c>
      <c r="BW4283" s="2" t="s">
        <v>100</v>
      </c>
      <c r="BX4283" s="2" t="s">
        <v>100</v>
      </c>
      <c r="BY4283" s="2" t="s">
        <v>113</v>
      </c>
      <c r="BZ4283" s="2" t="s">
        <v>100</v>
      </c>
    </row>
    <row r="4284">
      <c r="A4284" s="2" t="s">
        <v>12979</v>
      </c>
      <c r="B4284" s="2" t="s">
        <v>12738</v>
      </c>
      <c r="C4284" s="2" t="s">
        <v>3934</v>
      </c>
      <c r="D4284" s="2" t="s">
        <v>803</v>
      </c>
      <c r="E4284" s="2" t="s">
        <v>1532</v>
      </c>
      <c r="F4284" s="2" t="s">
        <v>12951</v>
      </c>
      <c r="G4284" s="2" t="s">
        <v>5162</v>
      </c>
      <c r="H4284" s="2" t="s">
        <v>12952</v>
      </c>
      <c r="I4284" s="2" t="s">
        <v>12953</v>
      </c>
      <c r="J4284" s="2" t="s">
        <v>247</v>
      </c>
      <c r="K4284" s="2" t="s">
        <v>3560</v>
      </c>
      <c r="L4284" s="3">
        <v>38.09</v>
      </c>
      <c r="M4284" s="3">
        <v>40</v>
      </c>
      <c r="N4284" s="3">
        <v>79.99</v>
      </c>
      <c r="O4284" s="2" t="s">
        <v>97</v>
      </c>
      <c r="P4284" s="2" t="s">
        <v>98</v>
      </c>
      <c r="Q4284" s="2" t="s">
        <v>99</v>
      </c>
      <c r="R4284" s="2" t="s">
        <v>100</v>
      </c>
      <c r="S4284" s="2" t="s">
        <v>12978</v>
      </c>
      <c r="T4284" s="2" t="s">
        <v>200</v>
      </c>
      <c r="U4284" s="2" t="s">
        <v>480</v>
      </c>
      <c r="V4284" s="2" t="s">
        <v>146</v>
      </c>
      <c r="W4284" s="2" t="s">
        <v>561</v>
      </c>
      <c r="X4284" s="2" t="s">
        <v>183</v>
      </c>
      <c r="Y4284" s="2" t="s">
        <v>4515</v>
      </c>
      <c r="Z4284" s="4">
        <v>1494</v>
      </c>
      <c r="AA4284" s="4">
        <f>=ROUNDDOWN(45.2727272727273,0)</f>
      </c>
      <c r="AB4284" s="5">
        <v>33</v>
      </c>
      <c r="AC4284" s="2" t="s">
        <v>1069</v>
      </c>
      <c r="AD4284" s="4">
        <v>140</v>
      </c>
      <c r="AE4284" s="4">
        <v>140</v>
      </c>
      <c r="AF4284" s="6">
        <v>66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1118</v>
      </c>
      <c r="BK4284" s="8">
        <v>46400.11</v>
      </c>
      <c r="BL4284" s="2" t="s">
        <v>12980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207</v>
      </c>
      <c r="BV4284" s="2" t="s">
        <v>97</v>
      </c>
      <c r="BW4284" s="2" t="s">
        <v>100</v>
      </c>
      <c r="BX4284" s="2" t="s">
        <v>100</v>
      </c>
      <c r="BY4284" s="2" t="s">
        <v>113</v>
      </c>
      <c r="BZ4284" s="2" t="s">
        <v>100</v>
      </c>
    </row>
    <row r="4285">
      <c r="A4285" s="2" t="s">
        <v>12981</v>
      </c>
      <c r="B4285" s="2" t="s">
        <v>12738</v>
      </c>
      <c r="C4285" s="2" t="s">
        <v>3934</v>
      </c>
      <c r="D4285" s="2" t="s">
        <v>803</v>
      </c>
      <c r="E4285" s="2" t="s">
        <v>1532</v>
      </c>
      <c r="F4285" s="2" t="s">
        <v>12951</v>
      </c>
      <c r="G4285" s="2" t="s">
        <v>5162</v>
      </c>
      <c r="H4285" s="2" t="s">
        <v>12952</v>
      </c>
      <c r="I4285" s="2" t="s">
        <v>12953</v>
      </c>
      <c r="J4285" s="2" t="s">
        <v>270</v>
      </c>
      <c r="K4285" s="2" t="s">
        <v>3560</v>
      </c>
      <c r="L4285" s="3">
        <v>42.85</v>
      </c>
      <c r="M4285" s="3">
        <v>44.99</v>
      </c>
      <c r="N4285" s="3">
        <v>89.99</v>
      </c>
      <c r="O4285" s="2" t="s">
        <v>97</v>
      </c>
      <c r="P4285" s="2" t="s">
        <v>98</v>
      </c>
      <c r="Q4285" s="2" t="s">
        <v>99</v>
      </c>
      <c r="R4285" s="2" t="s">
        <v>100</v>
      </c>
      <c r="S4285" s="2" t="s">
        <v>12978</v>
      </c>
      <c r="T4285" s="2" t="s">
        <v>200</v>
      </c>
      <c r="U4285" s="2" t="s">
        <v>480</v>
      </c>
      <c r="V4285" s="2" t="s">
        <v>146</v>
      </c>
      <c r="W4285" s="2" t="s">
        <v>561</v>
      </c>
      <c r="X4285" s="2" t="s">
        <v>183</v>
      </c>
      <c r="Y4285" s="2" t="s">
        <v>12964</v>
      </c>
      <c r="Z4285" s="4">
        <v>423</v>
      </c>
      <c r="AA4285" s="4">
        <f>=ROUNDDOWN(70.5,0)</f>
      </c>
      <c r="AB4285" s="5">
        <v>6</v>
      </c>
      <c r="AC4285" s="2" t="s">
        <v>1069</v>
      </c>
      <c r="AD4285" s="4">
        <v>120</v>
      </c>
      <c r="AE4285" s="4">
        <v>120</v>
      </c>
      <c r="AF4285" s="6">
        <v>66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108</v>
      </c>
      <c r="BK4285" s="8">
        <v>4948.15</v>
      </c>
      <c r="BL4285" s="2" t="s">
        <v>3488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207</v>
      </c>
      <c r="BV4285" s="2" t="s">
        <v>97</v>
      </c>
      <c r="BW4285" s="2" t="s">
        <v>100</v>
      </c>
      <c r="BX4285" s="2" t="s">
        <v>100</v>
      </c>
      <c r="BY4285" s="2" t="s">
        <v>113</v>
      </c>
      <c r="BZ4285" s="2" t="s">
        <v>100</v>
      </c>
    </row>
    <row r="4286">
      <c r="A4286" s="2" t="s">
        <v>12982</v>
      </c>
      <c r="B4286" s="2" t="s">
        <v>12738</v>
      </c>
      <c r="C4286" s="2" t="s">
        <v>3934</v>
      </c>
      <c r="D4286" s="2" t="s">
        <v>803</v>
      </c>
      <c r="E4286" s="2" t="s">
        <v>1532</v>
      </c>
      <c r="F4286" s="2" t="s">
        <v>12951</v>
      </c>
      <c r="G4286" s="2" t="s">
        <v>5162</v>
      </c>
      <c r="H4286" s="2" t="s">
        <v>12952</v>
      </c>
      <c r="I4286" s="2" t="s">
        <v>12953</v>
      </c>
      <c r="J4286" s="2" t="s">
        <v>237</v>
      </c>
      <c r="K4286" s="2" t="s">
        <v>677</v>
      </c>
      <c r="L4286" s="3">
        <v>33.33</v>
      </c>
      <c r="M4286" s="3">
        <v>35</v>
      </c>
      <c r="N4286" s="3">
        <v>69.99</v>
      </c>
      <c r="O4286" s="2" t="s">
        <v>97</v>
      </c>
      <c r="P4286" s="2" t="s">
        <v>119</v>
      </c>
      <c r="Q4286" s="2" t="s">
        <v>99</v>
      </c>
      <c r="R4286" s="2" t="s">
        <v>100</v>
      </c>
      <c r="S4286" s="2" t="s">
        <v>12983</v>
      </c>
      <c r="T4286" s="2" t="s">
        <v>200</v>
      </c>
      <c r="U4286" s="2" t="s">
        <v>514</v>
      </c>
      <c r="V4286" s="2" t="s">
        <v>146</v>
      </c>
      <c r="W4286" s="2" t="s">
        <v>561</v>
      </c>
      <c r="X4286" s="2" t="s">
        <v>183</v>
      </c>
      <c r="Y4286" s="2" t="s">
        <v>12964</v>
      </c>
      <c r="Z4286" s="4">
        <v>594</v>
      </c>
      <c r="AA4286" s="4">
        <f>=ROUNDDOWN(148.5,0)</f>
      </c>
      <c r="AB4286" s="5">
        <v>4</v>
      </c>
      <c r="AC4286" s="2" t="s">
        <v>1069</v>
      </c>
      <c r="AD4286" s="4">
        <v>170</v>
      </c>
      <c r="AE4286" s="4">
        <v>170</v>
      </c>
      <c r="AF4286" s="6">
        <v>66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>
        <v>101</v>
      </c>
      <c r="BK4286" s="8">
        <v>3663.95</v>
      </c>
      <c r="BL4286" s="2" t="s">
        <v>12984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207</v>
      </c>
      <c r="BV4286" s="2" t="s">
        <v>97</v>
      </c>
      <c r="BW4286" s="2" t="s">
        <v>100</v>
      </c>
      <c r="BX4286" s="2" t="s">
        <v>100</v>
      </c>
      <c r="BY4286" s="2" t="s">
        <v>113</v>
      </c>
      <c r="BZ4286" s="2" t="s">
        <v>100</v>
      </c>
    </row>
    <row r="4287">
      <c r="A4287" s="2" t="s">
        <v>12985</v>
      </c>
      <c r="B4287" s="2" t="s">
        <v>12738</v>
      </c>
      <c r="C4287" s="2" t="s">
        <v>3934</v>
      </c>
      <c r="D4287" s="2" t="s">
        <v>803</v>
      </c>
      <c r="E4287" s="2" t="s">
        <v>1532</v>
      </c>
      <c r="F4287" s="2" t="s">
        <v>12951</v>
      </c>
      <c r="G4287" s="2" t="s">
        <v>5162</v>
      </c>
      <c r="H4287" s="2" t="s">
        <v>12952</v>
      </c>
      <c r="I4287" s="2" t="s">
        <v>12953</v>
      </c>
      <c r="J4287" s="2" t="s">
        <v>247</v>
      </c>
      <c r="K4287" s="2" t="s">
        <v>677</v>
      </c>
      <c r="L4287" s="3">
        <v>38.09</v>
      </c>
      <c r="M4287" s="3">
        <v>40</v>
      </c>
      <c r="N4287" s="3">
        <v>79.99</v>
      </c>
      <c r="O4287" s="2" t="s">
        <v>97</v>
      </c>
      <c r="P4287" s="2" t="s">
        <v>119</v>
      </c>
      <c r="Q4287" s="2" t="s">
        <v>99</v>
      </c>
      <c r="R4287" s="2" t="s">
        <v>100</v>
      </c>
      <c r="S4287" s="2" t="s">
        <v>12983</v>
      </c>
      <c r="T4287" s="2" t="s">
        <v>200</v>
      </c>
      <c r="U4287" s="2" t="s">
        <v>480</v>
      </c>
      <c r="V4287" s="2" t="s">
        <v>146</v>
      </c>
      <c r="W4287" s="2" t="s">
        <v>561</v>
      </c>
      <c r="X4287" s="2" t="s">
        <v>183</v>
      </c>
      <c r="Y4287" s="2" t="s">
        <v>12964</v>
      </c>
      <c r="Z4287" s="4">
        <v>838</v>
      </c>
      <c r="AA4287" s="4">
        <f>=ROUNDDOWN(64.4615384615385,0)</f>
      </c>
      <c r="AB4287" s="5">
        <v>13</v>
      </c>
      <c r="AC4287" s="2" t="s">
        <v>1069</v>
      </c>
      <c r="AD4287" s="4">
        <v>240</v>
      </c>
      <c r="AE4287" s="4">
        <v>240</v>
      </c>
      <c r="AF4287" s="6">
        <v>66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>
        <v>308</v>
      </c>
      <c r="BK4287" s="8">
        <v>12933.82</v>
      </c>
      <c r="BL4287" s="2" t="s">
        <v>2292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207</v>
      </c>
      <c r="BV4287" s="2" t="s">
        <v>97</v>
      </c>
      <c r="BW4287" s="2" t="s">
        <v>100</v>
      </c>
      <c r="BX4287" s="2" t="s">
        <v>100</v>
      </c>
      <c r="BY4287" s="2" t="s">
        <v>113</v>
      </c>
      <c r="BZ4287" s="2" t="s">
        <v>100</v>
      </c>
    </row>
    <row r="4288">
      <c r="A4288" s="2" t="s">
        <v>12986</v>
      </c>
      <c r="B4288" s="2" t="s">
        <v>12738</v>
      </c>
      <c r="C4288" s="2" t="s">
        <v>3934</v>
      </c>
      <c r="D4288" s="2" t="s">
        <v>803</v>
      </c>
      <c r="E4288" s="2" t="s">
        <v>1532</v>
      </c>
      <c r="F4288" s="2" t="s">
        <v>12951</v>
      </c>
      <c r="G4288" s="2" t="s">
        <v>5162</v>
      </c>
      <c r="H4288" s="2" t="s">
        <v>12952</v>
      </c>
      <c r="I4288" s="2" t="s">
        <v>12953</v>
      </c>
      <c r="J4288" s="2" t="s">
        <v>270</v>
      </c>
      <c r="K4288" s="2" t="s">
        <v>677</v>
      </c>
      <c r="L4288" s="3">
        <v>42.85</v>
      </c>
      <c r="M4288" s="3">
        <v>44.99</v>
      </c>
      <c r="N4288" s="3">
        <v>89.99</v>
      </c>
      <c r="O4288" s="2" t="s">
        <v>97</v>
      </c>
      <c r="P4288" s="2" t="s">
        <v>119</v>
      </c>
      <c r="Q4288" s="2" t="s">
        <v>99</v>
      </c>
      <c r="R4288" s="2" t="s">
        <v>100</v>
      </c>
      <c r="S4288" s="2" t="s">
        <v>12983</v>
      </c>
      <c r="T4288" s="2" t="s">
        <v>200</v>
      </c>
      <c r="U4288" s="2" t="s">
        <v>480</v>
      </c>
      <c r="V4288" s="2" t="s">
        <v>146</v>
      </c>
      <c r="W4288" s="2" t="s">
        <v>561</v>
      </c>
      <c r="X4288" s="2" t="s">
        <v>183</v>
      </c>
      <c r="Y4288" s="2" t="s">
        <v>12964</v>
      </c>
      <c r="Z4288" s="4">
        <v>232</v>
      </c>
      <c r="AA4288" s="4">
        <f>=ROUNDDOWN(23.2,0)</f>
      </c>
      <c r="AB4288" s="5">
        <v>10</v>
      </c>
      <c r="AC4288" s="2" t="s">
        <v>1069</v>
      </c>
      <c r="AD4288" s="4">
        <v>240</v>
      </c>
      <c r="AE4288" s="4">
        <v>240</v>
      </c>
      <c r="AF4288" s="6">
        <v>66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>
        <v>234</v>
      </c>
      <c r="BK4288" s="8">
        <v>11053.2</v>
      </c>
      <c r="BL4288" s="2" t="s">
        <v>2292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207</v>
      </c>
      <c r="BV4288" s="2" t="s">
        <v>97</v>
      </c>
      <c r="BW4288" s="2" t="s">
        <v>100</v>
      </c>
      <c r="BX4288" s="2" t="s">
        <v>100</v>
      </c>
      <c r="BY4288" s="2" t="s">
        <v>113</v>
      </c>
      <c r="BZ4288" s="2" t="s">
        <v>100</v>
      </c>
    </row>
    <row r="4289">
      <c r="A4289" s="2" t="s">
        <v>12987</v>
      </c>
      <c r="B4289" s="2" t="s">
        <v>12738</v>
      </c>
      <c r="C4289" s="2" t="s">
        <v>3934</v>
      </c>
      <c r="D4289" s="2" t="s">
        <v>803</v>
      </c>
      <c r="E4289" s="2" t="s">
        <v>1532</v>
      </c>
      <c r="F4289" s="2" t="s">
        <v>12988</v>
      </c>
      <c r="G4289" s="2" t="s">
        <v>12989</v>
      </c>
      <c r="H4289" s="2" t="s">
        <v>12990</v>
      </c>
      <c r="I4289" s="2" t="s">
        <v>12991</v>
      </c>
      <c r="J4289" s="2" t="s">
        <v>237</v>
      </c>
      <c r="K4289" s="2" t="s">
        <v>96</v>
      </c>
      <c r="L4289" s="3">
        <v>33.33</v>
      </c>
      <c r="M4289" s="3">
        <v>35</v>
      </c>
      <c r="N4289" s="3">
        <v>69.99</v>
      </c>
      <c r="O4289" s="2" t="s">
        <v>97</v>
      </c>
      <c r="P4289" s="2" t="s">
        <v>225</v>
      </c>
      <c r="Q4289" s="2" t="s">
        <v>99</v>
      </c>
      <c r="R4289" s="2" t="s">
        <v>100</v>
      </c>
      <c r="S4289" s="2" t="s">
        <v>12992</v>
      </c>
      <c r="T4289" s="2" t="s">
        <v>672</v>
      </c>
      <c r="U4289" s="2" t="s">
        <v>514</v>
      </c>
      <c r="V4289" s="2" t="s">
        <v>146</v>
      </c>
      <c r="W4289" s="2" t="s">
        <v>673</v>
      </c>
      <c r="X4289" s="2" t="s">
        <v>183</v>
      </c>
      <c r="Y4289" s="2" t="s">
        <v>3205</v>
      </c>
      <c r="Z4289" s="4">
        <v>99</v>
      </c>
      <c r="AA4289" s="4">
        <f>=ROUNDDOWN(29.1176470588235,0)</f>
      </c>
      <c r="AB4289" s="5">
        <v>3.4</v>
      </c>
      <c r="AC4289" s="2" t="s">
        <v>100</v>
      </c>
      <c r="AD4289" s="4"/>
      <c r="AE4289" s="4"/>
      <c r="AF4289" s="6">
        <v>66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/>
      <c r="BJ4289" s="4">
        <v>25</v>
      </c>
      <c r="BK4289" s="8">
        <v>945.01</v>
      </c>
      <c r="BL4289" s="2" t="s">
        <v>12993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207</v>
      </c>
      <c r="BV4289" s="2" t="s">
        <v>97</v>
      </c>
      <c r="BW4289" s="2" t="s">
        <v>100</v>
      </c>
      <c r="BX4289" s="2" t="s">
        <v>100</v>
      </c>
      <c r="BY4289" s="2" t="s">
        <v>113</v>
      </c>
      <c r="BZ4289" s="2" t="s">
        <v>100</v>
      </c>
    </row>
    <row r="4290">
      <c r="A4290" s="2" t="s">
        <v>12994</v>
      </c>
      <c r="B4290" s="2" t="s">
        <v>12738</v>
      </c>
      <c r="C4290" s="2" t="s">
        <v>3934</v>
      </c>
      <c r="D4290" s="2" t="s">
        <v>803</v>
      </c>
      <c r="E4290" s="2" t="s">
        <v>1532</v>
      </c>
      <c r="F4290" s="2" t="s">
        <v>12988</v>
      </c>
      <c r="G4290" s="2" t="s">
        <v>12989</v>
      </c>
      <c r="H4290" s="2" t="s">
        <v>12990</v>
      </c>
      <c r="I4290" s="2" t="s">
        <v>12991</v>
      </c>
      <c r="J4290" s="2" t="s">
        <v>247</v>
      </c>
      <c r="K4290" s="2" t="s">
        <v>96</v>
      </c>
      <c r="L4290" s="3">
        <v>42.85</v>
      </c>
      <c r="M4290" s="3">
        <v>44.99</v>
      </c>
      <c r="N4290" s="3">
        <v>89.99</v>
      </c>
      <c r="O4290" s="2" t="s">
        <v>97</v>
      </c>
      <c r="P4290" s="2" t="s">
        <v>225</v>
      </c>
      <c r="Q4290" s="2" t="s">
        <v>99</v>
      </c>
      <c r="R4290" s="2" t="s">
        <v>100</v>
      </c>
      <c r="S4290" s="2" t="s">
        <v>12992</v>
      </c>
      <c r="T4290" s="2" t="s">
        <v>672</v>
      </c>
      <c r="U4290" s="2" t="s">
        <v>480</v>
      </c>
      <c r="V4290" s="2" t="s">
        <v>146</v>
      </c>
      <c r="W4290" s="2" t="s">
        <v>673</v>
      </c>
      <c r="X4290" s="2" t="s">
        <v>183</v>
      </c>
      <c r="Y4290" s="2" t="s">
        <v>3205</v>
      </c>
      <c r="Z4290" s="4">
        <v>323</v>
      </c>
      <c r="AA4290" s="4">
        <f>=ROUNDDOWN(53.8333333333333,0)</f>
      </c>
      <c r="AB4290" s="5">
        <v>6</v>
      </c>
      <c r="AC4290" s="2" t="s">
        <v>100</v>
      </c>
      <c r="AD4290" s="4"/>
      <c r="AE4290" s="4"/>
      <c r="AF4290" s="6">
        <v>66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>
        <v>38</v>
      </c>
      <c r="BK4290" s="8">
        <v>1844.74</v>
      </c>
      <c r="BL4290" s="2" t="s">
        <v>4634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207</v>
      </c>
      <c r="BV4290" s="2" t="s">
        <v>97</v>
      </c>
      <c r="BW4290" s="2" t="s">
        <v>100</v>
      </c>
      <c r="BX4290" s="2" t="s">
        <v>100</v>
      </c>
      <c r="BY4290" s="2" t="s">
        <v>113</v>
      </c>
      <c r="BZ4290" s="2" t="s">
        <v>100</v>
      </c>
    </row>
    <row r="4291">
      <c r="A4291" s="2" t="s">
        <v>12995</v>
      </c>
      <c r="B4291" s="2" t="s">
        <v>12738</v>
      </c>
      <c r="C4291" s="2" t="s">
        <v>3934</v>
      </c>
      <c r="D4291" s="2" t="s">
        <v>803</v>
      </c>
      <c r="E4291" s="2" t="s">
        <v>1532</v>
      </c>
      <c r="F4291" s="2" t="s">
        <v>12988</v>
      </c>
      <c r="G4291" s="2" t="s">
        <v>12989</v>
      </c>
      <c r="H4291" s="2" t="s">
        <v>12990</v>
      </c>
      <c r="I4291" s="2" t="s">
        <v>12991</v>
      </c>
      <c r="J4291" s="2" t="s">
        <v>270</v>
      </c>
      <c r="K4291" s="2" t="s">
        <v>96</v>
      </c>
      <c r="L4291" s="3">
        <v>47.61</v>
      </c>
      <c r="M4291" s="3">
        <v>49.99</v>
      </c>
      <c r="N4291" s="3">
        <v>99.99</v>
      </c>
      <c r="O4291" s="2" t="s">
        <v>97</v>
      </c>
      <c r="P4291" s="2" t="s">
        <v>225</v>
      </c>
      <c r="Q4291" s="2" t="s">
        <v>99</v>
      </c>
      <c r="R4291" s="2" t="s">
        <v>100</v>
      </c>
      <c r="S4291" s="2" t="s">
        <v>12992</v>
      </c>
      <c r="T4291" s="2" t="s">
        <v>672</v>
      </c>
      <c r="U4291" s="2" t="s">
        <v>480</v>
      </c>
      <c r="V4291" s="2" t="s">
        <v>146</v>
      </c>
      <c r="W4291" s="2" t="s">
        <v>673</v>
      </c>
      <c r="X4291" s="2" t="s">
        <v>183</v>
      </c>
      <c r="Y4291" s="2" t="s">
        <v>3205</v>
      </c>
      <c r="Z4291" s="4">
        <v>247</v>
      </c>
      <c r="AA4291" s="4">
        <f>=ROUNDDOWN(49.4,0)</f>
      </c>
      <c r="AB4291" s="5">
        <v>5</v>
      </c>
      <c r="AC4291" s="2" t="s">
        <v>100</v>
      </c>
      <c r="AD4291" s="4"/>
      <c r="AE4291" s="4"/>
      <c r="AF4291" s="6">
        <v>66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>
        <v>30</v>
      </c>
      <c r="BK4291" s="8">
        <v>1621.02</v>
      </c>
      <c r="BL4291" s="2" t="s">
        <v>12996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207</v>
      </c>
      <c r="BV4291" s="2" t="s">
        <v>97</v>
      </c>
      <c r="BW4291" s="2" t="s">
        <v>100</v>
      </c>
      <c r="BX4291" s="2" t="s">
        <v>100</v>
      </c>
      <c r="BY4291" s="2" t="s">
        <v>113</v>
      </c>
      <c r="BZ4291" s="2" t="s">
        <v>100</v>
      </c>
    </row>
    <row r="4292">
      <c r="A4292" s="2" t="s">
        <v>12997</v>
      </c>
      <c r="B4292" s="2" t="s">
        <v>12738</v>
      </c>
      <c r="C4292" s="2" t="s">
        <v>3934</v>
      </c>
      <c r="D4292" s="2" t="s">
        <v>803</v>
      </c>
      <c r="E4292" s="2" t="s">
        <v>1532</v>
      </c>
      <c r="F4292" s="2" t="s">
        <v>12988</v>
      </c>
      <c r="G4292" s="2" t="s">
        <v>12989</v>
      </c>
      <c r="H4292" s="2" t="s">
        <v>12990</v>
      </c>
      <c r="I4292" s="2" t="s">
        <v>12991</v>
      </c>
      <c r="J4292" s="2" t="s">
        <v>237</v>
      </c>
      <c r="K4292" s="2" t="s">
        <v>432</v>
      </c>
      <c r="L4292" s="3">
        <v>33.33</v>
      </c>
      <c r="M4292" s="3">
        <v>35</v>
      </c>
      <c r="N4292" s="3">
        <v>69.99</v>
      </c>
      <c r="O4292" s="2" t="s">
        <v>97</v>
      </c>
      <c r="P4292" s="2" t="s">
        <v>119</v>
      </c>
      <c r="Q4292" s="2" t="s">
        <v>99</v>
      </c>
      <c r="R4292" s="2" t="s">
        <v>100</v>
      </c>
      <c r="S4292" s="2" t="s">
        <v>12998</v>
      </c>
      <c r="T4292" s="2" t="s">
        <v>672</v>
      </c>
      <c r="U4292" s="2" t="s">
        <v>514</v>
      </c>
      <c r="V4292" s="2" t="s">
        <v>146</v>
      </c>
      <c r="W4292" s="2" t="s">
        <v>673</v>
      </c>
      <c r="X4292" s="2" t="s">
        <v>183</v>
      </c>
      <c r="Y4292" s="2" t="s">
        <v>2670</v>
      </c>
      <c r="Z4292" s="4">
        <v>265</v>
      </c>
      <c r="AA4292" s="4">
        <f>=ROUNDDOWN(132.5,0)</f>
      </c>
      <c r="AB4292" s="5">
        <v>2</v>
      </c>
      <c r="AC4292" s="2" t="s">
        <v>100</v>
      </c>
      <c r="AD4292" s="4"/>
      <c r="AE4292" s="4"/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>
        <v>45</v>
      </c>
      <c r="BK4292" s="8">
        <v>1657.26</v>
      </c>
      <c r="BL4292" s="2" t="s">
        <v>736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207</v>
      </c>
      <c r="BV4292" s="2" t="s">
        <v>97</v>
      </c>
      <c r="BW4292" s="2" t="s">
        <v>100</v>
      </c>
      <c r="BX4292" s="2" t="s">
        <v>100</v>
      </c>
      <c r="BY4292" s="2" t="s">
        <v>113</v>
      </c>
      <c r="BZ4292" s="2" t="s">
        <v>100</v>
      </c>
    </row>
    <row r="4293">
      <c r="A4293" s="2" t="s">
        <v>12999</v>
      </c>
      <c r="B4293" s="2" t="s">
        <v>12738</v>
      </c>
      <c r="C4293" s="2" t="s">
        <v>3934</v>
      </c>
      <c r="D4293" s="2" t="s">
        <v>803</v>
      </c>
      <c r="E4293" s="2" t="s">
        <v>1532</v>
      </c>
      <c r="F4293" s="2" t="s">
        <v>12988</v>
      </c>
      <c r="G4293" s="2" t="s">
        <v>12989</v>
      </c>
      <c r="H4293" s="2" t="s">
        <v>12990</v>
      </c>
      <c r="I4293" s="2" t="s">
        <v>12991</v>
      </c>
      <c r="J4293" s="2" t="s">
        <v>247</v>
      </c>
      <c r="K4293" s="2" t="s">
        <v>432</v>
      </c>
      <c r="L4293" s="3">
        <v>42.85</v>
      </c>
      <c r="M4293" s="3">
        <v>44.99</v>
      </c>
      <c r="N4293" s="3">
        <v>89.99</v>
      </c>
      <c r="O4293" s="2" t="s">
        <v>97</v>
      </c>
      <c r="P4293" s="2" t="s">
        <v>119</v>
      </c>
      <c r="Q4293" s="2" t="s">
        <v>99</v>
      </c>
      <c r="R4293" s="2" t="s">
        <v>100</v>
      </c>
      <c r="S4293" s="2" t="s">
        <v>12998</v>
      </c>
      <c r="T4293" s="2" t="s">
        <v>672</v>
      </c>
      <c r="U4293" s="2" t="s">
        <v>480</v>
      </c>
      <c r="V4293" s="2" t="s">
        <v>146</v>
      </c>
      <c r="W4293" s="2" t="s">
        <v>673</v>
      </c>
      <c r="X4293" s="2" t="s">
        <v>183</v>
      </c>
      <c r="Y4293" s="2" t="s">
        <v>2668</v>
      </c>
      <c r="Z4293" s="4">
        <v>515</v>
      </c>
      <c r="AA4293" s="4">
        <f>=ROUNDDOWN(147.142857142857,0)</f>
      </c>
      <c r="AB4293" s="5">
        <v>3.5</v>
      </c>
      <c r="AC4293" s="2" t="s">
        <v>100</v>
      </c>
      <c r="AD4293" s="4"/>
      <c r="AE4293" s="4"/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>
        <v>94</v>
      </c>
      <c r="BK4293" s="8">
        <v>4449.07</v>
      </c>
      <c r="BL4293" s="2" t="s">
        <v>1336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207</v>
      </c>
      <c r="BV4293" s="2" t="s">
        <v>97</v>
      </c>
      <c r="BW4293" s="2" t="s">
        <v>100</v>
      </c>
      <c r="BX4293" s="2" t="s">
        <v>100</v>
      </c>
      <c r="BY4293" s="2" t="s">
        <v>113</v>
      </c>
      <c r="BZ4293" s="2" t="s">
        <v>100</v>
      </c>
    </row>
    <row r="4294">
      <c r="A4294" s="2" t="s">
        <v>13000</v>
      </c>
      <c r="B4294" s="2" t="s">
        <v>12738</v>
      </c>
      <c r="C4294" s="2" t="s">
        <v>3934</v>
      </c>
      <c r="D4294" s="2" t="s">
        <v>803</v>
      </c>
      <c r="E4294" s="2" t="s">
        <v>1532</v>
      </c>
      <c r="F4294" s="2" t="s">
        <v>12988</v>
      </c>
      <c r="G4294" s="2" t="s">
        <v>12989</v>
      </c>
      <c r="H4294" s="2" t="s">
        <v>12990</v>
      </c>
      <c r="I4294" s="2" t="s">
        <v>12991</v>
      </c>
      <c r="J4294" s="2" t="s">
        <v>270</v>
      </c>
      <c r="K4294" s="2" t="s">
        <v>432</v>
      </c>
      <c r="L4294" s="3">
        <v>47.61</v>
      </c>
      <c r="M4294" s="3">
        <v>49.99</v>
      </c>
      <c r="N4294" s="3">
        <v>99.99</v>
      </c>
      <c r="O4294" s="2" t="s">
        <v>97</v>
      </c>
      <c r="P4294" s="2" t="s">
        <v>119</v>
      </c>
      <c r="Q4294" s="2" t="s">
        <v>99</v>
      </c>
      <c r="R4294" s="2" t="s">
        <v>100</v>
      </c>
      <c r="S4294" s="2" t="s">
        <v>12998</v>
      </c>
      <c r="T4294" s="2" t="s">
        <v>672</v>
      </c>
      <c r="U4294" s="2" t="s">
        <v>480</v>
      </c>
      <c r="V4294" s="2" t="s">
        <v>146</v>
      </c>
      <c r="W4294" s="2" t="s">
        <v>673</v>
      </c>
      <c r="X4294" s="2" t="s">
        <v>183</v>
      </c>
      <c r="Y4294" s="2" t="s">
        <v>2668</v>
      </c>
      <c r="Z4294" s="4">
        <v>230</v>
      </c>
      <c r="AA4294" s="4">
        <f>=ROUNDDOWN(115,0)</f>
      </c>
      <c r="AB4294" s="5">
        <v>2</v>
      </c>
      <c r="AC4294" s="2" t="s">
        <v>100</v>
      </c>
      <c r="AD4294" s="4"/>
      <c r="AE4294" s="4"/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>
        <v>41</v>
      </c>
      <c r="BK4294" s="8">
        <v>2162.24</v>
      </c>
      <c r="BL4294" s="2" t="s">
        <v>1929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207</v>
      </c>
      <c r="BV4294" s="2" t="s">
        <v>97</v>
      </c>
      <c r="BW4294" s="2" t="s">
        <v>100</v>
      </c>
      <c r="BX4294" s="2" t="s">
        <v>100</v>
      </c>
      <c r="BY4294" s="2" t="s">
        <v>113</v>
      </c>
      <c r="BZ4294" s="2" t="s">
        <v>100</v>
      </c>
    </row>
    <row r="4295">
      <c r="A4295" s="2" t="s">
        <v>13001</v>
      </c>
      <c r="B4295" s="2" t="s">
        <v>12738</v>
      </c>
      <c r="C4295" s="2" t="s">
        <v>3934</v>
      </c>
      <c r="D4295" s="2" t="s">
        <v>803</v>
      </c>
      <c r="E4295" s="2" t="s">
        <v>1532</v>
      </c>
      <c r="F4295" s="2" t="s">
        <v>12988</v>
      </c>
      <c r="G4295" s="2" t="s">
        <v>12989</v>
      </c>
      <c r="H4295" s="2" t="s">
        <v>12990</v>
      </c>
      <c r="I4295" s="2" t="s">
        <v>12991</v>
      </c>
      <c r="J4295" s="2" t="s">
        <v>237</v>
      </c>
      <c r="K4295" s="2" t="s">
        <v>2477</v>
      </c>
      <c r="L4295" s="3">
        <v>33.33</v>
      </c>
      <c r="M4295" s="3">
        <v>35</v>
      </c>
      <c r="N4295" s="3">
        <v>69.99</v>
      </c>
      <c r="O4295" s="2" t="s">
        <v>97</v>
      </c>
      <c r="P4295" s="2" t="s">
        <v>225</v>
      </c>
      <c r="Q4295" s="2" t="s">
        <v>99</v>
      </c>
      <c r="R4295" s="2" t="s">
        <v>100</v>
      </c>
      <c r="S4295" s="2" t="s">
        <v>13002</v>
      </c>
      <c r="T4295" s="2" t="s">
        <v>672</v>
      </c>
      <c r="U4295" s="2" t="s">
        <v>514</v>
      </c>
      <c r="V4295" s="2" t="s">
        <v>146</v>
      </c>
      <c r="W4295" s="2" t="s">
        <v>673</v>
      </c>
      <c r="X4295" s="2" t="s">
        <v>183</v>
      </c>
      <c r="Y4295" s="2" t="s">
        <v>3205</v>
      </c>
      <c r="Z4295" s="4">
        <v>91</v>
      </c>
      <c r="AA4295" s="4">
        <f>=ROUNDDOWN(30.3333333333333,0)</f>
      </c>
      <c r="AB4295" s="5">
        <v>3</v>
      </c>
      <c r="AC4295" s="2" t="s">
        <v>100</v>
      </c>
      <c r="AD4295" s="4"/>
      <c r="AE4295" s="4"/>
      <c r="AF4295" s="6">
        <v>66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>
        <v>32</v>
      </c>
      <c r="BK4295" s="8">
        <v>1215.43</v>
      </c>
      <c r="BL4295" s="2" t="s">
        <v>7662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207</v>
      </c>
      <c r="BV4295" s="2" t="s">
        <v>97</v>
      </c>
      <c r="BW4295" s="2" t="s">
        <v>100</v>
      </c>
      <c r="BX4295" s="2" t="s">
        <v>100</v>
      </c>
      <c r="BY4295" s="2" t="s">
        <v>113</v>
      </c>
      <c r="BZ4295" s="2" t="s">
        <v>100</v>
      </c>
    </row>
    <row r="4296">
      <c r="A4296" s="2" t="s">
        <v>13003</v>
      </c>
      <c r="B4296" s="2" t="s">
        <v>12738</v>
      </c>
      <c r="C4296" s="2" t="s">
        <v>3934</v>
      </c>
      <c r="D4296" s="2" t="s">
        <v>803</v>
      </c>
      <c r="E4296" s="2" t="s">
        <v>1532</v>
      </c>
      <c r="F4296" s="2" t="s">
        <v>12988</v>
      </c>
      <c r="G4296" s="2" t="s">
        <v>12989</v>
      </c>
      <c r="H4296" s="2" t="s">
        <v>12990</v>
      </c>
      <c r="I4296" s="2" t="s">
        <v>12991</v>
      </c>
      <c r="J4296" s="2" t="s">
        <v>247</v>
      </c>
      <c r="K4296" s="2" t="s">
        <v>2477</v>
      </c>
      <c r="L4296" s="3">
        <v>42.85</v>
      </c>
      <c r="M4296" s="3">
        <v>44.99</v>
      </c>
      <c r="N4296" s="3">
        <v>89.99</v>
      </c>
      <c r="O4296" s="2" t="s">
        <v>97</v>
      </c>
      <c r="P4296" s="2" t="s">
        <v>225</v>
      </c>
      <c r="Q4296" s="2" t="s">
        <v>99</v>
      </c>
      <c r="R4296" s="2" t="s">
        <v>100</v>
      </c>
      <c r="S4296" s="2" t="s">
        <v>13002</v>
      </c>
      <c r="T4296" s="2" t="s">
        <v>672</v>
      </c>
      <c r="U4296" s="2" t="s">
        <v>480</v>
      </c>
      <c r="V4296" s="2" t="s">
        <v>146</v>
      </c>
      <c r="W4296" s="2" t="s">
        <v>673</v>
      </c>
      <c r="X4296" s="2" t="s">
        <v>183</v>
      </c>
      <c r="Y4296" s="2" t="s">
        <v>3205</v>
      </c>
      <c r="Z4296" s="4">
        <v>458</v>
      </c>
      <c r="AA4296" s="4">
        <f>=ROUNDDOWN(50.8888888888889,0)</f>
      </c>
      <c r="AB4296" s="5">
        <v>9</v>
      </c>
      <c r="AC4296" s="2" t="s">
        <v>100</v>
      </c>
      <c r="AD4296" s="4"/>
      <c r="AE4296" s="4"/>
      <c r="AF4296" s="6">
        <v>66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>
        <v>39</v>
      </c>
      <c r="BK4296" s="8">
        <v>1899.84</v>
      </c>
      <c r="BL4296" s="2" t="s">
        <v>13004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207</v>
      </c>
      <c r="BV4296" s="2" t="s">
        <v>97</v>
      </c>
      <c r="BW4296" s="2" t="s">
        <v>100</v>
      </c>
      <c r="BX4296" s="2" t="s">
        <v>100</v>
      </c>
      <c r="BY4296" s="2" t="s">
        <v>113</v>
      </c>
      <c r="BZ4296" s="2" t="s">
        <v>100</v>
      </c>
    </row>
    <row r="4297">
      <c r="A4297" s="2" t="s">
        <v>13005</v>
      </c>
      <c r="B4297" s="2" t="s">
        <v>12738</v>
      </c>
      <c r="C4297" s="2" t="s">
        <v>3934</v>
      </c>
      <c r="D4297" s="2" t="s">
        <v>803</v>
      </c>
      <c r="E4297" s="2" t="s">
        <v>1532</v>
      </c>
      <c r="F4297" s="2" t="s">
        <v>12988</v>
      </c>
      <c r="G4297" s="2" t="s">
        <v>12989</v>
      </c>
      <c r="H4297" s="2" t="s">
        <v>12990</v>
      </c>
      <c r="I4297" s="2" t="s">
        <v>12991</v>
      </c>
      <c r="J4297" s="2" t="s">
        <v>270</v>
      </c>
      <c r="K4297" s="2" t="s">
        <v>2477</v>
      </c>
      <c r="L4297" s="3">
        <v>47.61</v>
      </c>
      <c r="M4297" s="3">
        <v>49.99</v>
      </c>
      <c r="N4297" s="3">
        <v>99.99</v>
      </c>
      <c r="O4297" s="2" t="s">
        <v>97</v>
      </c>
      <c r="P4297" s="2" t="s">
        <v>225</v>
      </c>
      <c r="Q4297" s="2" t="s">
        <v>99</v>
      </c>
      <c r="R4297" s="2" t="s">
        <v>100</v>
      </c>
      <c r="S4297" s="2" t="s">
        <v>13002</v>
      </c>
      <c r="T4297" s="2" t="s">
        <v>672</v>
      </c>
      <c r="U4297" s="2" t="s">
        <v>480</v>
      </c>
      <c r="V4297" s="2" t="s">
        <v>146</v>
      </c>
      <c r="W4297" s="2" t="s">
        <v>673</v>
      </c>
      <c r="X4297" s="2" t="s">
        <v>183</v>
      </c>
      <c r="Y4297" s="2" t="s">
        <v>3205</v>
      </c>
      <c r="Z4297" s="4">
        <v>226</v>
      </c>
      <c r="AA4297" s="4">
        <f>=ROUNDDOWN(32.2857142857143,0)</f>
      </c>
      <c r="AB4297" s="5">
        <v>7</v>
      </c>
      <c r="AC4297" s="2" t="s">
        <v>100</v>
      </c>
      <c r="AD4297" s="4"/>
      <c r="AE4297" s="4"/>
      <c r="AF4297" s="6">
        <v>66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>
        <v>35</v>
      </c>
      <c r="BK4297" s="8">
        <v>1893.45</v>
      </c>
      <c r="BL4297" s="2" t="s">
        <v>2158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207</v>
      </c>
      <c r="BV4297" s="2" t="s">
        <v>97</v>
      </c>
      <c r="BW4297" s="2" t="s">
        <v>100</v>
      </c>
      <c r="BX4297" s="2" t="s">
        <v>100</v>
      </c>
      <c r="BY4297" s="2" t="s">
        <v>113</v>
      </c>
      <c r="BZ4297" s="2" t="s">
        <v>100</v>
      </c>
    </row>
    <row r="4298">
      <c r="A4298" s="2" t="s">
        <v>13006</v>
      </c>
      <c r="B4298" s="2" t="s">
        <v>12738</v>
      </c>
      <c r="C4298" s="2" t="s">
        <v>3934</v>
      </c>
      <c r="D4298" s="2" t="s">
        <v>803</v>
      </c>
      <c r="E4298" s="2" t="s">
        <v>1532</v>
      </c>
      <c r="F4298" s="2" t="s">
        <v>12988</v>
      </c>
      <c r="G4298" s="2" t="s">
        <v>12989</v>
      </c>
      <c r="H4298" s="2" t="s">
        <v>12990</v>
      </c>
      <c r="I4298" s="2" t="s">
        <v>12991</v>
      </c>
      <c r="J4298" s="2" t="s">
        <v>237</v>
      </c>
      <c r="K4298" s="2" t="s">
        <v>5794</v>
      </c>
      <c r="L4298" s="3">
        <v>33.33</v>
      </c>
      <c r="M4298" s="3">
        <v>35</v>
      </c>
      <c r="N4298" s="3">
        <v>69.99</v>
      </c>
      <c r="O4298" s="2" t="s">
        <v>97</v>
      </c>
      <c r="P4298" s="2" t="s">
        <v>119</v>
      </c>
      <c r="Q4298" s="2" t="s">
        <v>99</v>
      </c>
      <c r="R4298" s="2" t="s">
        <v>100</v>
      </c>
      <c r="S4298" s="2" t="s">
        <v>13007</v>
      </c>
      <c r="T4298" s="2" t="s">
        <v>672</v>
      </c>
      <c r="U4298" s="2" t="s">
        <v>514</v>
      </c>
      <c r="V4298" s="2" t="s">
        <v>146</v>
      </c>
      <c r="W4298" s="2" t="s">
        <v>673</v>
      </c>
      <c r="X4298" s="2" t="s">
        <v>183</v>
      </c>
      <c r="Y4298" s="2" t="s">
        <v>2668</v>
      </c>
      <c r="Z4298" s="4">
        <v>259</v>
      </c>
      <c r="AA4298" s="4">
        <f>=ROUNDDOWN(161.875,0)</f>
      </c>
      <c r="AB4298" s="5">
        <v>1.6</v>
      </c>
      <c r="AC4298" s="2" t="s">
        <v>100</v>
      </c>
      <c r="AD4298" s="4"/>
      <c r="AE4298" s="4"/>
      <c r="AF4298" s="6">
        <v>64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>
        <v>51</v>
      </c>
      <c r="BK4298" s="8">
        <v>1946.59</v>
      </c>
      <c r="BL4298" s="2" t="s">
        <v>1056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207</v>
      </c>
      <c r="BV4298" s="2" t="s">
        <v>97</v>
      </c>
      <c r="BW4298" s="2" t="s">
        <v>100</v>
      </c>
      <c r="BX4298" s="2" t="s">
        <v>100</v>
      </c>
      <c r="BY4298" s="2" t="s">
        <v>113</v>
      </c>
      <c r="BZ4298" s="2" t="s">
        <v>100</v>
      </c>
    </row>
    <row r="4299">
      <c r="A4299" s="2" t="s">
        <v>13008</v>
      </c>
      <c r="B4299" s="2" t="s">
        <v>12738</v>
      </c>
      <c r="C4299" s="2" t="s">
        <v>3934</v>
      </c>
      <c r="D4299" s="2" t="s">
        <v>803</v>
      </c>
      <c r="E4299" s="2" t="s">
        <v>1532</v>
      </c>
      <c r="F4299" s="2" t="s">
        <v>12988</v>
      </c>
      <c r="G4299" s="2" t="s">
        <v>12989</v>
      </c>
      <c r="H4299" s="2" t="s">
        <v>12990</v>
      </c>
      <c r="I4299" s="2" t="s">
        <v>12991</v>
      </c>
      <c r="J4299" s="2" t="s">
        <v>247</v>
      </c>
      <c r="K4299" s="2" t="s">
        <v>5794</v>
      </c>
      <c r="L4299" s="3">
        <v>42.85</v>
      </c>
      <c r="M4299" s="3">
        <v>44.99</v>
      </c>
      <c r="N4299" s="3">
        <v>89.99</v>
      </c>
      <c r="O4299" s="2" t="s">
        <v>97</v>
      </c>
      <c r="P4299" s="2" t="s">
        <v>119</v>
      </c>
      <c r="Q4299" s="2" t="s">
        <v>99</v>
      </c>
      <c r="R4299" s="2" t="s">
        <v>100</v>
      </c>
      <c r="S4299" s="2" t="s">
        <v>13007</v>
      </c>
      <c r="T4299" s="2" t="s">
        <v>672</v>
      </c>
      <c r="U4299" s="2" t="s">
        <v>480</v>
      </c>
      <c r="V4299" s="2" t="s">
        <v>146</v>
      </c>
      <c r="W4299" s="2" t="s">
        <v>673</v>
      </c>
      <c r="X4299" s="2" t="s">
        <v>183</v>
      </c>
      <c r="Y4299" s="2" t="s">
        <v>2668</v>
      </c>
      <c r="Z4299" s="4">
        <v>497</v>
      </c>
      <c r="AA4299" s="4">
        <f>=ROUNDDOWN(127.435897435897,0)</f>
      </c>
      <c r="AB4299" s="5">
        <v>3.9</v>
      </c>
      <c r="AC4299" s="2" t="s">
        <v>100</v>
      </c>
      <c r="AD4299" s="4"/>
      <c r="AE4299" s="4"/>
      <c r="AF4299" s="6">
        <v>64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>
        <v>99</v>
      </c>
      <c r="BK4299" s="8">
        <v>4756.69</v>
      </c>
      <c r="BL4299" s="2" t="s">
        <v>1336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207</v>
      </c>
      <c r="BV4299" s="2" t="s">
        <v>97</v>
      </c>
      <c r="BW4299" s="2" t="s">
        <v>100</v>
      </c>
      <c r="BX4299" s="2" t="s">
        <v>100</v>
      </c>
      <c r="BY4299" s="2" t="s">
        <v>113</v>
      </c>
      <c r="BZ4299" s="2" t="s">
        <v>100</v>
      </c>
    </row>
    <row r="4300">
      <c r="A4300" s="2" t="s">
        <v>13009</v>
      </c>
      <c r="B4300" s="2" t="s">
        <v>12738</v>
      </c>
      <c r="C4300" s="2" t="s">
        <v>3934</v>
      </c>
      <c r="D4300" s="2" t="s">
        <v>803</v>
      </c>
      <c r="E4300" s="2" t="s">
        <v>1532</v>
      </c>
      <c r="F4300" s="2" t="s">
        <v>12988</v>
      </c>
      <c r="G4300" s="2" t="s">
        <v>12989</v>
      </c>
      <c r="H4300" s="2" t="s">
        <v>12990</v>
      </c>
      <c r="I4300" s="2" t="s">
        <v>12991</v>
      </c>
      <c r="J4300" s="2" t="s">
        <v>270</v>
      </c>
      <c r="K4300" s="2" t="s">
        <v>5794</v>
      </c>
      <c r="L4300" s="3">
        <v>47.61</v>
      </c>
      <c r="M4300" s="3">
        <v>49.99</v>
      </c>
      <c r="N4300" s="3">
        <v>99.99</v>
      </c>
      <c r="O4300" s="2" t="s">
        <v>97</v>
      </c>
      <c r="P4300" s="2" t="s">
        <v>119</v>
      </c>
      <c r="Q4300" s="2" t="s">
        <v>99</v>
      </c>
      <c r="R4300" s="2" t="s">
        <v>100</v>
      </c>
      <c r="S4300" s="2" t="s">
        <v>13007</v>
      </c>
      <c r="T4300" s="2" t="s">
        <v>672</v>
      </c>
      <c r="U4300" s="2" t="s">
        <v>480</v>
      </c>
      <c r="V4300" s="2" t="s">
        <v>146</v>
      </c>
      <c r="W4300" s="2" t="s">
        <v>673</v>
      </c>
      <c r="X4300" s="2" t="s">
        <v>183</v>
      </c>
      <c r="Y4300" s="2" t="s">
        <v>2668</v>
      </c>
      <c r="Z4300" s="4">
        <v>283</v>
      </c>
      <c r="AA4300" s="4">
        <f>=ROUNDDOWN(176.875,0)</f>
      </c>
      <c r="AB4300" s="5">
        <v>1.6</v>
      </c>
      <c r="AC4300" s="2" t="s">
        <v>100</v>
      </c>
      <c r="AD4300" s="4"/>
      <c r="AE4300" s="4"/>
      <c r="AF4300" s="6">
        <v>64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/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/>
      <c r="BJ4300" s="4">
        <v>45</v>
      </c>
      <c r="BK4300" s="8">
        <v>2399.31</v>
      </c>
      <c r="BL4300" s="2" t="s">
        <v>12984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207</v>
      </c>
      <c r="BV4300" s="2" t="s">
        <v>97</v>
      </c>
      <c r="BW4300" s="2" t="s">
        <v>100</v>
      </c>
      <c r="BX4300" s="2" t="s">
        <v>100</v>
      </c>
      <c r="BY4300" s="2" t="s">
        <v>113</v>
      </c>
      <c r="BZ4300" s="2" t="s">
        <v>100</v>
      </c>
    </row>
    <row r="4301">
      <c r="A4301" s="2" t="s">
        <v>13010</v>
      </c>
      <c r="B4301" s="2" t="s">
        <v>12738</v>
      </c>
      <c r="C4301" s="2" t="s">
        <v>3934</v>
      </c>
      <c r="D4301" s="2" t="s">
        <v>803</v>
      </c>
      <c r="E4301" s="2" t="s">
        <v>1532</v>
      </c>
      <c r="F4301" s="2" t="s">
        <v>12988</v>
      </c>
      <c r="G4301" s="2" t="s">
        <v>12989</v>
      </c>
      <c r="H4301" s="2" t="s">
        <v>12990</v>
      </c>
      <c r="I4301" s="2" t="s">
        <v>12991</v>
      </c>
      <c r="J4301" s="2" t="s">
        <v>237</v>
      </c>
      <c r="K4301" s="2" t="s">
        <v>1340</v>
      </c>
      <c r="L4301" s="3">
        <v>33.33</v>
      </c>
      <c r="M4301" s="3">
        <v>35</v>
      </c>
      <c r="N4301" s="3">
        <v>69.99</v>
      </c>
      <c r="O4301" s="2" t="s">
        <v>97</v>
      </c>
      <c r="P4301" s="2" t="s">
        <v>119</v>
      </c>
      <c r="Q4301" s="2" t="s">
        <v>99</v>
      </c>
      <c r="R4301" s="2" t="s">
        <v>100</v>
      </c>
      <c r="S4301" s="2" t="s">
        <v>13011</v>
      </c>
      <c r="T4301" s="2" t="s">
        <v>672</v>
      </c>
      <c r="U4301" s="2" t="s">
        <v>514</v>
      </c>
      <c r="V4301" s="2" t="s">
        <v>146</v>
      </c>
      <c r="W4301" s="2" t="s">
        <v>673</v>
      </c>
      <c r="X4301" s="2" t="s">
        <v>183</v>
      </c>
      <c r="Y4301" s="2" t="s">
        <v>2668</v>
      </c>
      <c r="Z4301" s="4">
        <v>243</v>
      </c>
      <c r="AA4301" s="4">
        <f>=ROUNDDOWN(173.571428571429,0)</f>
      </c>
      <c r="AB4301" s="5">
        <v>1.4</v>
      </c>
      <c r="AC4301" s="2" t="s">
        <v>100</v>
      </c>
      <c r="AD4301" s="4"/>
      <c r="AE4301" s="4"/>
      <c r="AF4301" s="6">
        <v>64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/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/>
      <c r="BJ4301" s="4">
        <v>38</v>
      </c>
      <c r="BK4301" s="8">
        <v>1465.82</v>
      </c>
      <c r="BL4301" s="2" t="s">
        <v>13012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207</v>
      </c>
      <c r="BV4301" s="2" t="s">
        <v>97</v>
      </c>
      <c r="BW4301" s="2" t="s">
        <v>100</v>
      </c>
      <c r="BX4301" s="2" t="s">
        <v>100</v>
      </c>
      <c r="BY4301" s="2" t="s">
        <v>113</v>
      </c>
      <c r="BZ4301" s="2" t="s">
        <v>100</v>
      </c>
    </row>
    <row r="4302">
      <c r="A4302" s="2" t="s">
        <v>13013</v>
      </c>
      <c r="B4302" s="2" t="s">
        <v>12738</v>
      </c>
      <c r="C4302" s="2" t="s">
        <v>3934</v>
      </c>
      <c r="D4302" s="2" t="s">
        <v>803</v>
      </c>
      <c r="E4302" s="2" t="s">
        <v>1532</v>
      </c>
      <c r="F4302" s="2" t="s">
        <v>12988</v>
      </c>
      <c r="G4302" s="2" t="s">
        <v>12989</v>
      </c>
      <c r="H4302" s="2" t="s">
        <v>12990</v>
      </c>
      <c r="I4302" s="2" t="s">
        <v>12991</v>
      </c>
      <c r="J4302" s="2" t="s">
        <v>247</v>
      </c>
      <c r="K4302" s="2" t="s">
        <v>1340</v>
      </c>
      <c r="L4302" s="3">
        <v>42.85</v>
      </c>
      <c r="M4302" s="3">
        <v>44.99</v>
      </c>
      <c r="N4302" s="3">
        <v>89.99</v>
      </c>
      <c r="O4302" s="2" t="s">
        <v>97</v>
      </c>
      <c r="P4302" s="2" t="s">
        <v>119</v>
      </c>
      <c r="Q4302" s="2" t="s">
        <v>99</v>
      </c>
      <c r="R4302" s="2" t="s">
        <v>100</v>
      </c>
      <c r="S4302" s="2" t="s">
        <v>13011</v>
      </c>
      <c r="T4302" s="2" t="s">
        <v>672</v>
      </c>
      <c r="U4302" s="2" t="s">
        <v>480</v>
      </c>
      <c r="V4302" s="2" t="s">
        <v>146</v>
      </c>
      <c r="W4302" s="2" t="s">
        <v>673</v>
      </c>
      <c r="X4302" s="2" t="s">
        <v>183</v>
      </c>
      <c r="Y4302" s="2" t="s">
        <v>2668</v>
      </c>
      <c r="Z4302" s="4">
        <v>461</v>
      </c>
      <c r="AA4302" s="4">
        <f>=ROUNDDOWN(158.965517241379,0)</f>
      </c>
      <c r="AB4302" s="5">
        <v>2.9</v>
      </c>
      <c r="AC4302" s="2" t="s">
        <v>100</v>
      </c>
      <c r="AD4302" s="4"/>
      <c r="AE4302" s="4"/>
      <c r="AF4302" s="6">
        <v>64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/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/>
      <c r="BJ4302" s="4">
        <v>94</v>
      </c>
      <c r="BK4302" s="8">
        <v>4517.39</v>
      </c>
      <c r="BL4302" s="2" t="s">
        <v>446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207</v>
      </c>
      <c r="BV4302" s="2" t="s">
        <v>97</v>
      </c>
      <c r="BW4302" s="2" t="s">
        <v>100</v>
      </c>
      <c r="BX4302" s="2" t="s">
        <v>100</v>
      </c>
      <c r="BY4302" s="2" t="s">
        <v>113</v>
      </c>
      <c r="BZ4302" s="2" t="s">
        <v>100</v>
      </c>
    </row>
    <row r="4303">
      <c r="A4303" s="2" t="s">
        <v>13014</v>
      </c>
      <c r="B4303" s="2" t="s">
        <v>12738</v>
      </c>
      <c r="C4303" s="2" t="s">
        <v>3934</v>
      </c>
      <c r="D4303" s="2" t="s">
        <v>803</v>
      </c>
      <c r="E4303" s="2" t="s">
        <v>1532</v>
      </c>
      <c r="F4303" s="2" t="s">
        <v>12988</v>
      </c>
      <c r="G4303" s="2" t="s">
        <v>12989</v>
      </c>
      <c r="H4303" s="2" t="s">
        <v>12990</v>
      </c>
      <c r="I4303" s="2" t="s">
        <v>12991</v>
      </c>
      <c r="J4303" s="2" t="s">
        <v>270</v>
      </c>
      <c r="K4303" s="2" t="s">
        <v>1340</v>
      </c>
      <c r="L4303" s="3">
        <v>47.61</v>
      </c>
      <c r="M4303" s="3">
        <v>49.99</v>
      </c>
      <c r="N4303" s="3">
        <v>99.99</v>
      </c>
      <c r="O4303" s="2" t="s">
        <v>97</v>
      </c>
      <c r="P4303" s="2" t="s">
        <v>119</v>
      </c>
      <c r="Q4303" s="2" t="s">
        <v>99</v>
      </c>
      <c r="R4303" s="2" t="s">
        <v>100</v>
      </c>
      <c r="S4303" s="2" t="s">
        <v>13011</v>
      </c>
      <c r="T4303" s="2" t="s">
        <v>672</v>
      </c>
      <c r="U4303" s="2" t="s">
        <v>480</v>
      </c>
      <c r="V4303" s="2" t="s">
        <v>146</v>
      </c>
      <c r="W4303" s="2" t="s">
        <v>673</v>
      </c>
      <c r="X4303" s="2" t="s">
        <v>183</v>
      </c>
      <c r="Y4303" s="2" t="s">
        <v>2668</v>
      </c>
      <c r="Z4303" s="4">
        <v>239</v>
      </c>
      <c r="AA4303" s="4">
        <f>=ROUNDDOWN(66.3888888888889,0)</f>
      </c>
      <c r="AB4303" s="5">
        <v>3.6</v>
      </c>
      <c r="AC4303" s="2" t="s">
        <v>100</v>
      </c>
      <c r="AD4303" s="4"/>
      <c r="AE4303" s="4"/>
      <c r="AF4303" s="6">
        <v>64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>
        <v>78</v>
      </c>
      <c r="BK4303" s="8">
        <v>4211.9</v>
      </c>
      <c r="BL4303" s="2" t="s">
        <v>2292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207</v>
      </c>
      <c r="BV4303" s="2" t="s">
        <v>97</v>
      </c>
      <c r="BW4303" s="2" t="s">
        <v>100</v>
      </c>
      <c r="BX4303" s="2" t="s">
        <v>100</v>
      </c>
      <c r="BY4303" s="2" t="s">
        <v>113</v>
      </c>
      <c r="BZ4303" s="2" t="s">
        <v>100</v>
      </c>
    </row>
    <row r="4304">
      <c r="A4304" s="2" t="s">
        <v>13015</v>
      </c>
      <c r="B4304" s="2" t="s">
        <v>12738</v>
      </c>
      <c r="C4304" s="2" t="s">
        <v>3934</v>
      </c>
      <c r="D4304" s="2" t="s">
        <v>803</v>
      </c>
      <c r="E4304" s="2" t="s">
        <v>1532</v>
      </c>
      <c r="F4304" s="2" t="s">
        <v>8405</v>
      </c>
      <c r="G4304" s="2" t="s">
        <v>13016</v>
      </c>
      <c r="H4304" s="2" t="s">
        <v>13017</v>
      </c>
      <c r="I4304" s="2" t="s">
        <v>13018</v>
      </c>
      <c r="J4304" s="2" t="s">
        <v>237</v>
      </c>
      <c r="K4304" s="2" t="s">
        <v>335</v>
      </c>
      <c r="L4304" s="3">
        <v>23.8</v>
      </c>
      <c r="M4304" s="3">
        <v>24.99</v>
      </c>
      <c r="N4304" s="3">
        <v>49.99</v>
      </c>
      <c r="O4304" s="2" t="s">
        <v>97</v>
      </c>
      <c r="P4304" s="2" t="s">
        <v>225</v>
      </c>
      <c r="Q4304" s="2" t="s">
        <v>99</v>
      </c>
      <c r="R4304" s="2" t="s">
        <v>100</v>
      </c>
      <c r="S4304" s="2" t="s">
        <v>13019</v>
      </c>
      <c r="T4304" s="2" t="s">
        <v>218</v>
      </c>
      <c r="U4304" s="2" t="s">
        <v>514</v>
      </c>
      <c r="V4304" s="2" t="s">
        <v>146</v>
      </c>
      <c r="W4304" s="2" t="s">
        <v>561</v>
      </c>
      <c r="X4304" s="2" t="s">
        <v>183</v>
      </c>
      <c r="Y4304" s="2" t="s">
        <v>13020</v>
      </c>
      <c r="Z4304" s="4">
        <v>502</v>
      </c>
      <c r="AA4304" s="4">
        <f>=ROUNDDOWN(125.5,0)</f>
      </c>
      <c r="AB4304" s="5">
        <v>4</v>
      </c>
      <c r="AC4304" s="2" t="s">
        <v>100</v>
      </c>
      <c r="AD4304" s="4"/>
      <c r="AE4304" s="4"/>
      <c r="AF4304" s="6">
        <v>64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>
        <v>87</v>
      </c>
      <c r="BK4304" s="8">
        <v>2316.78</v>
      </c>
      <c r="BL4304" s="2" t="s">
        <v>2348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207</v>
      </c>
      <c r="BV4304" s="2" t="s">
        <v>97</v>
      </c>
      <c r="BW4304" s="2" t="s">
        <v>100</v>
      </c>
      <c r="BX4304" s="2" t="s">
        <v>100</v>
      </c>
      <c r="BY4304" s="2" t="s">
        <v>113</v>
      </c>
      <c r="BZ4304" s="2" t="s">
        <v>100</v>
      </c>
    </row>
    <row r="4305">
      <c r="A4305" s="2" t="s">
        <v>13021</v>
      </c>
      <c r="B4305" s="2" t="s">
        <v>12738</v>
      </c>
      <c r="C4305" s="2" t="s">
        <v>3934</v>
      </c>
      <c r="D4305" s="2" t="s">
        <v>803</v>
      </c>
      <c r="E4305" s="2" t="s">
        <v>1532</v>
      </c>
      <c r="F4305" s="2" t="s">
        <v>8405</v>
      </c>
      <c r="G4305" s="2" t="s">
        <v>13016</v>
      </c>
      <c r="H4305" s="2" t="s">
        <v>13017</v>
      </c>
      <c r="I4305" s="2" t="s">
        <v>13018</v>
      </c>
      <c r="J4305" s="2" t="s">
        <v>247</v>
      </c>
      <c r="K4305" s="2" t="s">
        <v>335</v>
      </c>
      <c r="L4305" s="3">
        <v>28.57</v>
      </c>
      <c r="M4305" s="3">
        <v>30</v>
      </c>
      <c r="N4305" s="3">
        <v>59.99</v>
      </c>
      <c r="O4305" s="2" t="s">
        <v>97</v>
      </c>
      <c r="P4305" s="2" t="s">
        <v>225</v>
      </c>
      <c r="Q4305" s="2" t="s">
        <v>99</v>
      </c>
      <c r="R4305" s="2" t="s">
        <v>100</v>
      </c>
      <c r="S4305" s="2" t="s">
        <v>13019</v>
      </c>
      <c r="T4305" s="2" t="s">
        <v>218</v>
      </c>
      <c r="U4305" s="2" t="s">
        <v>480</v>
      </c>
      <c r="V4305" s="2" t="s">
        <v>146</v>
      </c>
      <c r="W4305" s="2" t="s">
        <v>561</v>
      </c>
      <c r="X4305" s="2" t="s">
        <v>183</v>
      </c>
      <c r="Y4305" s="2" t="s">
        <v>13020</v>
      </c>
      <c r="Z4305" s="4">
        <v>845</v>
      </c>
      <c r="AA4305" s="4">
        <f>=ROUNDDOWN(140.833333333333,0)</f>
      </c>
      <c r="AB4305" s="5">
        <v>6</v>
      </c>
      <c r="AC4305" s="2" t="s">
        <v>100</v>
      </c>
      <c r="AD4305" s="4"/>
      <c r="AE4305" s="4"/>
      <c r="AF4305" s="6">
        <v>64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/>
      <c r="BJ4305" s="4">
        <v>171</v>
      </c>
      <c r="BK4305" s="8">
        <v>5408.72</v>
      </c>
      <c r="BL4305" s="2" t="s">
        <v>2348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207</v>
      </c>
      <c r="BV4305" s="2" t="s">
        <v>97</v>
      </c>
      <c r="BW4305" s="2" t="s">
        <v>100</v>
      </c>
      <c r="BX4305" s="2" t="s">
        <v>100</v>
      </c>
      <c r="BY4305" s="2" t="s">
        <v>113</v>
      </c>
      <c r="BZ4305" s="2" t="s">
        <v>100</v>
      </c>
    </row>
    <row r="4306">
      <c r="A4306" s="2" t="s">
        <v>13022</v>
      </c>
      <c r="B4306" s="2" t="s">
        <v>12738</v>
      </c>
      <c r="C4306" s="2" t="s">
        <v>3934</v>
      </c>
      <c r="D4306" s="2" t="s">
        <v>803</v>
      </c>
      <c r="E4306" s="2" t="s">
        <v>1532</v>
      </c>
      <c r="F4306" s="2" t="s">
        <v>8405</v>
      </c>
      <c r="G4306" s="2" t="s">
        <v>13016</v>
      </c>
      <c r="H4306" s="2" t="s">
        <v>13017</v>
      </c>
      <c r="I4306" s="2" t="s">
        <v>13018</v>
      </c>
      <c r="J4306" s="2" t="s">
        <v>237</v>
      </c>
      <c r="K4306" s="2" t="s">
        <v>1148</v>
      </c>
      <c r="L4306" s="3">
        <v>23.8</v>
      </c>
      <c r="M4306" s="3">
        <v>24.99</v>
      </c>
      <c r="N4306" s="3">
        <v>49.99</v>
      </c>
      <c r="O4306" s="2" t="s">
        <v>97</v>
      </c>
      <c r="P4306" s="2" t="s">
        <v>225</v>
      </c>
      <c r="Q4306" s="2" t="s">
        <v>99</v>
      </c>
      <c r="R4306" s="2" t="s">
        <v>100</v>
      </c>
      <c r="S4306" s="2" t="s">
        <v>13023</v>
      </c>
      <c r="T4306" s="2" t="s">
        <v>218</v>
      </c>
      <c r="U4306" s="2" t="s">
        <v>514</v>
      </c>
      <c r="V4306" s="2" t="s">
        <v>146</v>
      </c>
      <c r="W4306" s="2" t="s">
        <v>561</v>
      </c>
      <c r="X4306" s="2" t="s">
        <v>183</v>
      </c>
      <c r="Y4306" s="2" t="s">
        <v>13020</v>
      </c>
      <c r="Z4306" s="4">
        <v>530</v>
      </c>
      <c r="AA4306" s="4">
        <f>=ROUNDDOWN(265,0)</f>
      </c>
      <c r="AB4306" s="5">
        <v>2</v>
      </c>
      <c r="AC4306" s="2" t="s">
        <v>100</v>
      </c>
      <c r="AD4306" s="4"/>
      <c r="AE4306" s="4"/>
      <c r="AF4306" s="6">
        <v>64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/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/>
      <c r="BJ4306" s="4">
        <v>62</v>
      </c>
      <c r="BK4306" s="8">
        <v>1626.54</v>
      </c>
      <c r="BL4306" s="2" t="s">
        <v>3163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207</v>
      </c>
      <c r="BV4306" s="2" t="s">
        <v>97</v>
      </c>
      <c r="BW4306" s="2" t="s">
        <v>100</v>
      </c>
      <c r="BX4306" s="2" t="s">
        <v>100</v>
      </c>
      <c r="BY4306" s="2" t="s">
        <v>113</v>
      </c>
      <c r="BZ4306" s="2" t="s">
        <v>100</v>
      </c>
    </row>
    <row r="4307">
      <c r="A4307" s="2" t="s">
        <v>13024</v>
      </c>
      <c r="B4307" s="2" t="s">
        <v>12738</v>
      </c>
      <c r="C4307" s="2" t="s">
        <v>3934</v>
      </c>
      <c r="D4307" s="2" t="s">
        <v>803</v>
      </c>
      <c r="E4307" s="2" t="s">
        <v>1532</v>
      </c>
      <c r="F4307" s="2" t="s">
        <v>8405</v>
      </c>
      <c r="G4307" s="2" t="s">
        <v>13016</v>
      </c>
      <c r="H4307" s="2" t="s">
        <v>13017</v>
      </c>
      <c r="I4307" s="2" t="s">
        <v>13018</v>
      </c>
      <c r="J4307" s="2" t="s">
        <v>247</v>
      </c>
      <c r="K4307" s="2" t="s">
        <v>1148</v>
      </c>
      <c r="L4307" s="3">
        <v>28.57</v>
      </c>
      <c r="M4307" s="3">
        <v>30</v>
      </c>
      <c r="N4307" s="3">
        <v>59.99</v>
      </c>
      <c r="O4307" s="2" t="s">
        <v>97</v>
      </c>
      <c r="P4307" s="2" t="s">
        <v>225</v>
      </c>
      <c r="Q4307" s="2" t="s">
        <v>99</v>
      </c>
      <c r="R4307" s="2" t="s">
        <v>100</v>
      </c>
      <c r="S4307" s="2" t="s">
        <v>13023</v>
      </c>
      <c r="T4307" s="2" t="s">
        <v>218</v>
      </c>
      <c r="U4307" s="2" t="s">
        <v>480</v>
      </c>
      <c r="V4307" s="2" t="s">
        <v>146</v>
      </c>
      <c r="W4307" s="2" t="s">
        <v>561</v>
      </c>
      <c r="X4307" s="2" t="s">
        <v>183</v>
      </c>
      <c r="Y4307" s="2" t="s">
        <v>13025</v>
      </c>
      <c r="Z4307" s="4">
        <v>812</v>
      </c>
      <c r="AA4307" s="4">
        <f>=ROUNDDOWN(162.4,0)</f>
      </c>
      <c r="AB4307" s="5">
        <v>5</v>
      </c>
      <c r="AC4307" s="2" t="s">
        <v>100</v>
      </c>
      <c r="AD4307" s="4"/>
      <c r="AE4307" s="4"/>
      <c r="AF4307" s="6">
        <v>64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>
        <v>94</v>
      </c>
      <c r="BK4307" s="8">
        <v>3009.47</v>
      </c>
      <c r="BL4307" s="2" t="s">
        <v>11109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207</v>
      </c>
      <c r="BV4307" s="2" t="s">
        <v>97</v>
      </c>
      <c r="BW4307" s="2" t="s">
        <v>100</v>
      </c>
      <c r="BX4307" s="2" t="s">
        <v>100</v>
      </c>
      <c r="BY4307" s="2" t="s">
        <v>113</v>
      </c>
      <c r="BZ4307" s="2" t="s">
        <v>100</v>
      </c>
    </row>
    <row r="4308">
      <c r="A4308" s="2" t="s">
        <v>13026</v>
      </c>
      <c r="B4308" s="2" t="s">
        <v>12738</v>
      </c>
      <c r="C4308" s="2" t="s">
        <v>3934</v>
      </c>
      <c r="D4308" s="2" t="s">
        <v>803</v>
      </c>
      <c r="E4308" s="2" t="s">
        <v>1532</v>
      </c>
      <c r="F4308" s="2" t="s">
        <v>8405</v>
      </c>
      <c r="G4308" s="2" t="s">
        <v>13016</v>
      </c>
      <c r="H4308" s="2" t="s">
        <v>13017</v>
      </c>
      <c r="I4308" s="2" t="s">
        <v>13018</v>
      </c>
      <c r="J4308" s="2" t="s">
        <v>237</v>
      </c>
      <c r="K4308" s="2" t="s">
        <v>360</v>
      </c>
      <c r="L4308" s="3">
        <v>23.8</v>
      </c>
      <c r="M4308" s="3">
        <v>24.99</v>
      </c>
      <c r="N4308" s="3">
        <v>49.99</v>
      </c>
      <c r="O4308" s="2" t="s">
        <v>97</v>
      </c>
      <c r="P4308" s="2" t="s">
        <v>225</v>
      </c>
      <c r="Q4308" s="2" t="s">
        <v>99</v>
      </c>
      <c r="R4308" s="2" t="s">
        <v>100</v>
      </c>
      <c r="S4308" s="2" t="s">
        <v>13027</v>
      </c>
      <c r="T4308" s="2" t="s">
        <v>218</v>
      </c>
      <c r="U4308" s="2" t="s">
        <v>514</v>
      </c>
      <c r="V4308" s="2" t="s">
        <v>146</v>
      </c>
      <c r="W4308" s="2" t="s">
        <v>561</v>
      </c>
      <c r="X4308" s="2" t="s">
        <v>183</v>
      </c>
      <c r="Y4308" s="2" t="s">
        <v>13020</v>
      </c>
      <c r="Z4308" s="4">
        <v>209</v>
      </c>
      <c r="AA4308" s="4">
        <f>=ROUNDDOWN(69.6666666666667,0)</f>
      </c>
      <c r="AB4308" s="5">
        <v>3</v>
      </c>
      <c r="AC4308" s="2" t="s">
        <v>100</v>
      </c>
      <c r="AD4308" s="4"/>
      <c r="AE4308" s="4"/>
      <c r="AF4308" s="6">
        <v>64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>
        <v>111</v>
      </c>
      <c r="BK4308" s="8">
        <v>2979.78</v>
      </c>
      <c r="BL4308" s="2" t="s">
        <v>13028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207</v>
      </c>
      <c r="BV4308" s="2" t="s">
        <v>97</v>
      </c>
      <c r="BW4308" s="2" t="s">
        <v>100</v>
      </c>
      <c r="BX4308" s="2" t="s">
        <v>100</v>
      </c>
      <c r="BY4308" s="2" t="s">
        <v>113</v>
      </c>
      <c r="BZ4308" s="2" t="s">
        <v>100</v>
      </c>
    </row>
    <row r="4309">
      <c r="A4309" s="2" t="s">
        <v>13029</v>
      </c>
      <c r="B4309" s="2" t="s">
        <v>12738</v>
      </c>
      <c r="C4309" s="2" t="s">
        <v>3934</v>
      </c>
      <c r="D4309" s="2" t="s">
        <v>803</v>
      </c>
      <c r="E4309" s="2" t="s">
        <v>1532</v>
      </c>
      <c r="F4309" s="2" t="s">
        <v>8405</v>
      </c>
      <c r="G4309" s="2" t="s">
        <v>13016</v>
      </c>
      <c r="H4309" s="2" t="s">
        <v>13017</v>
      </c>
      <c r="I4309" s="2" t="s">
        <v>13018</v>
      </c>
      <c r="J4309" s="2" t="s">
        <v>247</v>
      </c>
      <c r="K4309" s="2" t="s">
        <v>360</v>
      </c>
      <c r="L4309" s="3">
        <v>28.57</v>
      </c>
      <c r="M4309" s="3">
        <v>30</v>
      </c>
      <c r="N4309" s="3">
        <v>59.99</v>
      </c>
      <c r="O4309" s="2" t="s">
        <v>97</v>
      </c>
      <c r="P4309" s="2" t="s">
        <v>225</v>
      </c>
      <c r="Q4309" s="2" t="s">
        <v>99</v>
      </c>
      <c r="R4309" s="2" t="s">
        <v>100</v>
      </c>
      <c r="S4309" s="2" t="s">
        <v>13027</v>
      </c>
      <c r="T4309" s="2" t="s">
        <v>218</v>
      </c>
      <c r="U4309" s="2" t="s">
        <v>480</v>
      </c>
      <c r="V4309" s="2" t="s">
        <v>146</v>
      </c>
      <c r="W4309" s="2" t="s">
        <v>561</v>
      </c>
      <c r="X4309" s="2" t="s">
        <v>183</v>
      </c>
      <c r="Y4309" s="2" t="s">
        <v>13025</v>
      </c>
      <c r="Z4309" s="4">
        <v>200</v>
      </c>
      <c r="AA4309" s="4">
        <f>=ROUNDDOWN(33.3333333333333,0)</f>
      </c>
      <c r="AB4309" s="5">
        <v>6</v>
      </c>
      <c r="AC4309" s="2" t="s">
        <v>100</v>
      </c>
      <c r="AD4309" s="4"/>
      <c r="AE4309" s="4"/>
      <c r="AF4309" s="6">
        <v>64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>
        <v>173</v>
      </c>
      <c r="BK4309" s="8">
        <v>5542.3</v>
      </c>
      <c r="BL4309" s="2" t="s">
        <v>6016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207</v>
      </c>
      <c r="BV4309" s="2" t="s">
        <v>97</v>
      </c>
      <c r="BW4309" s="2" t="s">
        <v>100</v>
      </c>
      <c r="BX4309" s="2" t="s">
        <v>100</v>
      </c>
      <c r="BY4309" s="2" t="s">
        <v>113</v>
      </c>
      <c r="BZ4309" s="2" t="s">
        <v>100</v>
      </c>
    </row>
    <row r="4310">
      <c r="A4310" s="2" t="s">
        <v>13030</v>
      </c>
      <c r="B4310" s="2" t="s">
        <v>12738</v>
      </c>
      <c r="C4310" s="2" t="s">
        <v>3934</v>
      </c>
      <c r="D4310" s="2" t="s">
        <v>803</v>
      </c>
      <c r="E4310" s="2" t="s">
        <v>1532</v>
      </c>
      <c r="F4310" s="2" t="s">
        <v>3036</v>
      </c>
      <c r="G4310" s="2" t="s">
        <v>13031</v>
      </c>
      <c r="H4310" s="2" t="s">
        <v>13032</v>
      </c>
      <c r="I4310" s="2" t="s">
        <v>13033</v>
      </c>
      <c r="J4310" s="2" t="s">
        <v>237</v>
      </c>
      <c r="K4310" s="2" t="s">
        <v>3560</v>
      </c>
      <c r="L4310" s="3">
        <v>23.8</v>
      </c>
      <c r="M4310" s="3">
        <v>24.99</v>
      </c>
      <c r="N4310" s="3">
        <v>49.99</v>
      </c>
      <c r="O4310" s="2" t="s">
        <v>97</v>
      </c>
      <c r="P4310" s="2" t="s">
        <v>225</v>
      </c>
      <c r="Q4310" s="2" t="s">
        <v>99</v>
      </c>
      <c r="R4310" s="2" t="s">
        <v>100</v>
      </c>
      <c r="S4310" s="2" t="s">
        <v>13034</v>
      </c>
      <c r="T4310" s="2" t="s">
        <v>200</v>
      </c>
      <c r="U4310" s="2" t="s">
        <v>514</v>
      </c>
      <c r="V4310" s="2" t="s">
        <v>3546</v>
      </c>
      <c r="W4310" s="2" t="s">
        <v>183</v>
      </c>
      <c r="X4310" s="2" t="s">
        <v>104</v>
      </c>
      <c r="Y4310" s="2" t="s">
        <v>2527</v>
      </c>
      <c r="Z4310" s="4">
        <v>117</v>
      </c>
      <c r="AA4310" s="4">
        <f>=ROUNDDOWN(19.5,0)</f>
      </c>
      <c r="AB4310" s="5">
        <v>6</v>
      </c>
      <c r="AC4310" s="2" t="s">
        <v>100</v>
      </c>
      <c r="AD4310" s="4"/>
      <c r="AE4310" s="4"/>
      <c r="AF4310" s="6">
        <v>64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>
        <v>31</v>
      </c>
      <c r="BK4310" s="8">
        <v>821.83</v>
      </c>
      <c r="BL4310" s="2" t="s">
        <v>12996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207</v>
      </c>
      <c r="BV4310" s="2" t="s">
        <v>97</v>
      </c>
      <c r="BW4310" s="2" t="s">
        <v>100</v>
      </c>
      <c r="BX4310" s="2" t="s">
        <v>100</v>
      </c>
      <c r="BY4310" s="2" t="s">
        <v>113</v>
      </c>
      <c r="BZ4310" s="2" t="s">
        <v>100</v>
      </c>
    </row>
    <row r="4311">
      <c r="A4311" s="2" t="s">
        <v>13035</v>
      </c>
      <c r="B4311" s="2" t="s">
        <v>12738</v>
      </c>
      <c r="C4311" s="2" t="s">
        <v>3934</v>
      </c>
      <c r="D4311" s="2" t="s">
        <v>803</v>
      </c>
      <c r="E4311" s="2" t="s">
        <v>1532</v>
      </c>
      <c r="F4311" s="2" t="s">
        <v>3036</v>
      </c>
      <c r="G4311" s="2" t="s">
        <v>13031</v>
      </c>
      <c r="H4311" s="2" t="s">
        <v>13032</v>
      </c>
      <c r="I4311" s="2" t="s">
        <v>13033</v>
      </c>
      <c r="J4311" s="2" t="s">
        <v>247</v>
      </c>
      <c r="K4311" s="2" t="s">
        <v>3560</v>
      </c>
      <c r="L4311" s="3">
        <v>28.57</v>
      </c>
      <c r="M4311" s="3">
        <v>30</v>
      </c>
      <c r="N4311" s="3">
        <v>59.99</v>
      </c>
      <c r="O4311" s="2" t="s">
        <v>97</v>
      </c>
      <c r="P4311" s="2" t="s">
        <v>225</v>
      </c>
      <c r="Q4311" s="2" t="s">
        <v>99</v>
      </c>
      <c r="R4311" s="2" t="s">
        <v>100</v>
      </c>
      <c r="S4311" s="2" t="s">
        <v>13034</v>
      </c>
      <c r="T4311" s="2" t="s">
        <v>200</v>
      </c>
      <c r="U4311" s="2" t="s">
        <v>480</v>
      </c>
      <c r="V4311" s="2" t="s">
        <v>3546</v>
      </c>
      <c r="W4311" s="2" t="s">
        <v>183</v>
      </c>
      <c r="X4311" s="2" t="s">
        <v>104</v>
      </c>
      <c r="Y4311" s="2" t="s">
        <v>1398</v>
      </c>
      <c r="Z4311" s="4">
        <v>227</v>
      </c>
      <c r="AA4311" s="4">
        <f>=ROUNDDOWN(22.7,0)</f>
      </c>
      <c r="AB4311" s="5">
        <v>10</v>
      </c>
      <c r="AC4311" s="2" t="s">
        <v>100</v>
      </c>
      <c r="AD4311" s="4"/>
      <c r="AE4311" s="4"/>
      <c r="AF4311" s="6">
        <v>64</v>
      </c>
      <c r="AG4311" s="6"/>
      <c r="AH4311" s="7">
        <v>0.6938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39</v>
      </c>
      <c r="BK4311" s="8">
        <v>1235.16</v>
      </c>
      <c r="BL4311" s="2" t="s">
        <v>4634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207</v>
      </c>
      <c r="BV4311" s="2" t="s">
        <v>97</v>
      </c>
      <c r="BW4311" s="2" t="s">
        <v>100</v>
      </c>
      <c r="BX4311" s="2" t="s">
        <v>100</v>
      </c>
      <c r="BY4311" s="2" t="s">
        <v>113</v>
      </c>
      <c r="BZ4311" s="2" t="s">
        <v>100</v>
      </c>
    </row>
    <row r="4312">
      <c r="A4312" s="2" t="s">
        <v>13036</v>
      </c>
      <c r="B4312" s="2" t="s">
        <v>12738</v>
      </c>
      <c r="C4312" s="2" t="s">
        <v>3934</v>
      </c>
      <c r="D4312" s="2" t="s">
        <v>803</v>
      </c>
      <c r="E4312" s="2" t="s">
        <v>1532</v>
      </c>
      <c r="F4312" s="2" t="s">
        <v>3036</v>
      </c>
      <c r="G4312" s="2" t="s">
        <v>13031</v>
      </c>
      <c r="H4312" s="2" t="s">
        <v>13032</v>
      </c>
      <c r="I4312" s="2" t="s">
        <v>13033</v>
      </c>
      <c r="J4312" s="2" t="s">
        <v>270</v>
      </c>
      <c r="K4312" s="2" t="s">
        <v>3560</v>
      </c>
      <c r="L4312" s="3">
        <v>30.95</v>
      </c>
      <c r="M4312" s="3">
        <v>32.5</v>
      </c>
      <c r="N4312" s="3">
        <v>64.99</v>
      </c>
      <c r="O4312" s="2" t="s">
        <v>97</v>
      </c>
      <c r="P4312" s="2" t="s">
        <v>225</v>
      </c>
      <c r="Q4312" s="2" t="s">
        <v>99</v>
      </c>
      <c r="R4312" s="2" t="s">
        <v>100</v>
      </c>
      <c r="S4312" s="2" t="s">
        <v>13034</v>
      </c>
      <c r="T4312" s="2" t="s">
        <v>200</v>
      </c>
      <c r="U4312" s="2" t="s">
        <v>480</v>
      </c>
      <c r="V4312" s="2" t="s">
        <v>3546</v>
      </c>
      <c r="W4312" s="2" t="s">
        <v>183</v>
      </c>
      <c r="X4312" s="2" t="s">
        <v>104</v>
      </c>
      <c r="Y4312" s="2" t="s">
        <v>2527</v>
      </c>
      <c r="Z4312" s="4">
        <v>84</v>
      </c>
      <c r="AA4312" s="4">
        <f>=ROUNDDOWN(16.8,0)</f>
      </c>
      <c r="AB4312" s="5">
        <v>5</v>
      </c>
      <c r="AC4312" s="2" t="s">
        <v>100</v>
      </c>
      <c r="AD4312" s="4"/>
      <c r="AE4312" s="4"/>
      <c r="AF4312" s="6">
        <v>64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>
        <v>14</v>
      </c>
      <c r="BK4312" s="8">
        <v>487.67</v>
      </c>
      <c r="BL4312" s="2" t="s">
        <v>2299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207</v>
      </c>
      <c r="BV4312" s="2" t="s">
        <v>97</v>
      </c>
      <c r="BW4312" s="2" t="s">
        <v>100</v>
      </c>
      <c r="BX4312" s="2" t="s">
        <v>100</v>
      </c>
      <c r="BY4312" s="2" t="s">
        <v>113</v>
      </c>
      <c r="BZ4312" s="2" t="s">
        <v>100</v>
      </c>
    </row>
    <row r="4313">
      <c r="A4313" s="2" t="s">
        <v>13037</v>
      </c>
      <c r="B4313" s="2" t="s">
        <v>12738</v>
      </c>
      <c r="C4313" s="2" t="s">
        <v>3934</v>
      </c>
      <c r="D4313" s="2" t="s">
        <v>1638</v>
      </c>
      <c r="E4313" s="2" t="s">
        <v>1759</v>
      </c>
      <c r="F4313" s="2" t="s">
        <v>12772</v>
      </c>
      <c r="G4313" s="2" t="s">
        <v>12773</v>
      </c>
      <c r="H4313" s="2" t="s">
        <v>12774</v>
      </c>
      <c r="I4313" s="2" t="s">
        <v>13038</v>
      </c>
      <c r="J4313" s="2" t="s">
        <v>237</v>
      </c>
      <c r="K4313" s="2" t="s">
        <v>578</v>
      </c>
      <c r="L4313" s="3">
        <v>27.6</v>
      </c>
      <c r="M4313" s="3">
        <v>28.98</v>
      </c>
      <c r="N4313" s="3">
        <v>59.99</v>
      </c>
      <c r="O4313" s="2" t="s">
        <v>97</v>
      </c>
      <c r="P4313" s="2" t="s">
        <v>119</v>
      </c>
      <c r="Q4313" s="2" t="s">
        <v>99</v>
      </c>
      <c r="R4313" s="2" t="s">
        <v>100</v>
      </c>
      <c r="S4313" s="2" t="s">
        <v>12791</v>
      </c>
      <c r="T4313" s="2" t="s">
        <v>672</v>
      </c>
      <c r="U4313" s="2" t="s">
        <v>480</v>
      </c>
      <c r="V4313" s="2" t="s">
        <v>146</v>
      </c>
      <c r="W4313" s="2" t="s">
        <v>673</v>
      </c>
      <c r="X4313" s="2" t="s">
        <v>6540</v>
      </c>
      <c r="Y4313" s="2" t="s">
        <v>1879</v>
      </c>
      <c r="Z4313" s="4">
        <v>239</v>
      </c>
      <c r="AA4313" s="4">
        <f>=ROUNDDOWN(79.6666666666667,0)</f>
      </c>
      <c r="AB4313" s="5">
        <v>3</v>
      </c>
      <c r="AC4313" s="2" t="s">
        <v>3031</v>
      </c>
      <c r="AD4313" s="4">
        <v>40</v>
      </c>
      <c r="AE4313" s="4">
        <v>40</v>
      </c>
      <c r="AF4313" s="6">
        <v>64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>
        <v>3</v>
      </c>
      <c r="AQ4313" s="8">
        <v>86.94</v>
      </c>
      <c r="AR4313" s="4"/>
      <c r="AS4313" s="8"/>
      <c r="AT4313" s="7"/>
      <c r="AU4313" s="7"/>
      <c r="AV4313" s="4">
        <v>5</v>
      </c>
      <c r="AW4313" s="8">
        <v>157.5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0.552</v>
      </c>
      <c r="BC4313" s="4">
        <v>10</v>
      </c>
      <c r="BD4313" s="8">
        <v>310.96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0.5065</v>
      </c>
      <c r="BJ4313" s="4">
        <v>41</v>
      </c>
      <c r="BK4313" s="8">
        <v>1212.71</v>
      </c>
      <c r="BL4313" s="2" t="s">
        <v>13039</v>
      </c>
      <c r="BM4313" s="7">
        <v>0.0732</v>
      </c>
      <c r="BN4313" s="7">
        <v>0.0717</v>
      </c>
      <c r="BO4313" s="4">
        <v>3</v>
      </c>
      <c r="BP4313" s="8">
        <v>86.94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1688</v>
      </c>
      <c r="BX4313" s="2" t="s">
        <v>11785</v>
      </c>
      <c r="BY4313" s="2" t="s">
        <v>113</v>
      </c>
      <c r="BZ4313" s="2" t="s">
        <v>100</v>
      </c>
    </row>
    <row r="4314">
      <c r="A4314" s="2" t="s">
        <v>13040</v>
      </c>
      <c r="B4314" s="2" t="s">
        <v>12738</v>
      </c>
      <c r="C4314" s="2" t="s">
        <v>3934</v>
      </c>
      <c r="D4314" s="2" t="s">
        <v>1638</v>
      </c>
      <c r="E4314" s="2" t="s">
        <v>1759</v>
      </c>
      <c r="F4314" s="2" t="s">
        <v>12772</v>
      </c>
      <c r="G4314" s="2" t="s">
        <v>12773</v>
      </c>
      <c r="H4314" s="2" t="s">
        <v>12774</v>
      </c>
      <c r="I4314" s="2" t="s">
        <v>13038</v>
      </c>
      <c r="J4314" s="2" t="s">
        <v>247</v>
      </c>
      <c r="K4314" s="2" t="s">
        <v>578</v>
      </c>
      <c r="L4314" s="3">
        <v>33.6</v>
      </c>
      <c r="M4314" s="3">
        <v>35.28</v>
      </c>
      <c r="N4314" s="3">
        <v>69.99</v>
      </c>
      <c r="O4314" s="2" t="s">
        <v>97</v>
      </c>
      <c r="P4314" s="2" t="s">
        <v>119</v>
      </c>
      <c r="Q4314" s="2" t="s">
        <v>99</v>
      </c>
      <c r="R4314" s="2" t="s">
        <v>100</v>
      </c>
      <c r="S4314" s="2" t="s">
        <v>12791</v>
      </c>
      <c r="T4314" s="2" t="s">
        <v>672</v>
      </c>
      <c r="U4314" s="2" t="s">
        <v>402</v>
      </c>
      <c r="V4314" s="2" t="s">
        <v>146</v>
      </c>
      <c r="W4314" s="2" t="s">
        <v>673</v>
      </c>
      <c r="X4314" s="2" t="s">
        <v>6540</v>
      </c>
      <c r="Y4314" s="2" t="s">
        <v>1879</v>
      </c>
      <c r="Z4314" s="4">
        <v>339</v>
      </c>
      <c r="AA4314" s="4">
        <f>=ROUNDDOWN(84.75,0)</f>
      </c>
      <c r="AB4314" s="5">
        <v>4</v>
      </c>
      <c r="AC4314" s="2" t="s">
        <v>3031</v>
      </c>
      <c r="AD4314" s="4">
        <v>60</v>
      </c>
      <c r="AE4314" s="4">
        <v>60</v>
      </c>
      <c r="AF4314" s="6">
        <v>64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>
        <v>2</v>
      </c>
      <c r="AQ4314" s="8">
        <v>70.56</v>
      </c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0.448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 t="s">
        <v>100</v>
      </c>
      <c r="BJ4314" s="4">
        <v>68</v>
      </c>
      <c r="BK4314" s="8">
        <v>2406.79</v>
      </c>
      <c r="BL4314" s="2" t="s">
        <v>13041</v>
      </c>
      <c r="BM4314" s="7">
        <v>0.0294</v>
      </c>
      <c r="BN4314" s="7">
        <v>0.0293</v>
      </c>
      <c r="BO4314" s="4">
        <v>2</v>
      </c>
      <c r="BP4314" s="8">
        <v>70.56</v>
      </c>
      <c r="BQ4314" s="4"/>
      <c r="BR4314" s="8"/>
      <c r="BS4314" s="7"/>
      <c r="BT4314" s="7"/>
      <c r="BU4314" s="2" t="s">
        <v>109</v>
      </c>
      <c r="BV4314" s="2" t="s">
        <v>110</v>
      </c>
      <c r="BW4314" s="2" t="s">
        <v>1688</v>
      </c>
      <c r="BX4314" s="2" t="s">
        <v>4847</v>
      </c>
      <c r="BY4314" s="2" t="s">
        <v>113</v>
      </c>
      <c r="BZ4314" s="2" t="s">
        <v>100</v>
      </c>
    </row>
    <row r="4315">
      <c r="A4315" s="2" t="s">
        <v>13042</v>
      </c>
      <c r="B4315" s="2" t="s">
        <v>12738</v>
      </c>
      <c r="C4315" s="2" t="s">
        <v>3934</v>
      </c>
      <c r="D4315" s="2" t="s">
        <v>1638</v>
      </c>
      <c r="E4315" s="2" t="s">
        <v>1759</v>
      </c>
      <c r="F4315" s="2" t="s">
        <v>12772</v>
      </c>
      <c r="G4315" s="2" t="s">
        <v>12773</v>
      </c>
      <c r="H4315" s="2" t="s">
        <v>12774</v>
      </c>
      <c r="I4315" s="2" t="s">
        <v>13038</v>
      </c>
      <c r="J4315" s="2" t="s">
        <v>270</v>
      </c>
      <c r="K4315" s="2" t="s">
        <v>578</v>
      </c>
      <c r="L4315" s="3">
        <v>36.75</v>
      </c>
      <c r="M4315" s="3">
        <v>38.59</v>
      </c>
      <c r="N4315" s="3">
        <v>74.99</v>
      </c>
      <c r="O4315" s="2" t="s">
        <v>97</v>
      </c>
      <c r="P4315" s="2" t="s">
        <v>119</v>
      </c>
      <c r="Q4315" s="2" t="s">
        <v>99</v>
      </c>
      <c r="R4315" s="2" t="s">
        <v>100</v>
      </c>
      <c r="S4315" s="2" t="s">
        <v>12791</v>
      </c>
      <c r="T4315" s="2" t="s">
        <v>672</v>
      </c>
      <c r="U4315" s="2" t="s">
        <v>402</v>
      </c>
      <c r="V4315" s="2" t="s">
        <v>146</v>
      </c>
      <c r="W4315" s="2" t="s">
        <v>673</v>
      </c>
      <c r="X4315" s="2" t="s">
        <v>6540</v>
      </c>
      <c r="Y4315" s="2" t="s">
        <v>12796</v>
      </c>
      <c r="Z4315" s="4">
        <v>171</v>
      </c>
      <c r="AA4315" s="4">
        <f>=ROUNDDOWN(57,0)</f>
      </c>
      <c r="AB4315" s="5">
        <v>3</v>
      </c>
      <c r="AC4315" s="2" t="s">
        <v>3031</v>
      </c>
      <c r="AD4315" s="4">
        <v>40</v>
      </c>
      <c r="AE4315" s="4">
        <v>40</v>
      </c>
      <c r="AF4315" s="6">
        <v>64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60</v>
      </c>
      <c r="BK4315" s="8">
        <v>2386.49</v>
      </c>
      <c r="BL4315" s="2" t="s">
        <v>13043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207</v>
      </c>
      <c r="BV4315" s="2" t="s">
        <v>97</v>
      </c>
      <c r="BW4315" s="2" t="s">
        <v>100</v>
      </c>
      <c r="BX4315" s="2" t="s">
        <v>100</v>
      </c>
      <c r="BY4315" s="2" t="s">
        <v>113</v>
      </c>
      <c r="BZ4315" s="2" t="s">
        <v>100</v>
      </c>
    </row>
    <row r="4316">
      <c r="A4316" s="2" t="s">
        <v>13044</v>
      </c>
      <c r="B4316" s="2" t="s">
        <v>12738</v>
      </c>
      <c r="C4316" s="2" t="s">
        <v>3934</v>
      </c>
      <c r="D4316" s="2" t="s">
        <v>1638</v>
      </c>
      <c r="E4316" s="2" t="s">
        <v>1759</v>
      </c>
      <c r="F4316" s="2" t="s">
        <v>12772</v>
      </c>
      <c r="G4316" s="2" t="s">
        <v>12773</v>
      </c>
      <c r="H4316" s="2" t="s">
        <v>12774</v>
      </c>
      <c r="I4316" s="2" t="s">
        <v>13038</v>
      </c>
      <c r="J4316" s="2" t="s">
        <v>237</v>
      </c>
      <c r="K4316" s="2" t="s">
        <v>198</v>
      </c>
      <c r="L4316" s="3">
        <v>27.6</v>
      </c>
      <c r="M4316" s="3">
        <v>28.98</v>
      </c>
      <c r="N4316" s="3">
        <v>59.99</v>
      </c>
      <c r="O4316" s="2" t="s">
        <v>97</v>
      </c>
      <c r="P4316" s="2" t="s">
        <v>119</v>
      </c>
      <c r="Q4316" s="2" t="s">
        <v>99</v>
      </c>
      <c r="R4316" s="2" t="s">
        <v>100</v>
      </c>
      <c r="S4316" s="2" t="s">
        <v>12820</v>
      </c>
      <c r="T4316" s="2" t="s">
        <v>672</v>
      </c>
      <c r="U4316" s="2" t="s">
        <v>480</v>
      </c>
      <c r="V4316" s="2" t="s">
        <v>146</v>
      </c>
      <c r="W4316" s="2" t="s">
        <v>673</v>
      </c>
      <c r="X4316" s="2" t="s">
        <v>6540</v>
      </c>
      <c r="Y4316" s="2" t="s">
        <v>13045</v>
      </c>
      <c r="Z4316" s="4">
        <v>149</v>
      </c>
      <c r="AA4316" s="4">
        <f>=ROUNDDOWN(49.6666666666667,0)</f>
      </c>
      <c r="AB4316" s="5">
        <v>3</v>
      </c>
      <c r="AC4316" s="2" t="s">
        <v>3031</v>
      </c>
      <c r="AD4316" s="4">
        <v>130</v>
      </c>
      <c r="AE4316" s="4">
        <v>130</v>
      </c>
      <c r="AF4316" s="6">
        <v>64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>
        <v>1</v>
      </c>
      <c r="AQ4316" s="8">
        <v>26.46</v>
      </c>
      <c r="AR4316" s="4"/>
      <c r="AS4316" s="8"/>
      <c r="AT4316" s="7"/>
      <c r="AU4316" s="7"/>
      <c r="AV4316" s="4">
        <v>5</v>
      </c>
      <c r="AW4316" s="8">
        <v>153.46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0.1724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0.4935</v>
      </c>
      <c r="BJ4316" s="4">
        <v>33</v>
      </c>
      <c r="BK4316" s="8">
        <v>969.82</v>
      </c>
      <c r="BL4316" s="2" t="s">
        <v>13046</v>
      </c>
      <c r="BM4316" s="7">
        <v>0.0303</v>
      </c>
      <c r="BN4316" s="7">
        <v>0.0273</v>
      </c>
      <c r="BO4316" s="4">
        <v>1</v>
      </c>
      <c r="BP4316" s="8">
        <v>26.46</v>
      </c>
      <c r="BQ4316" s="4"/>
      <c r="BR4316" s="8"/>
      <c r="BS4316" s="7"/>
      <c r="BT4316" s="7"/>
      <c r="BU4316" s="2" t="s">
        <v>109</v>
      </c>
      <c r="BV4316" s="2" t="s">
        <v>110</v>
      </c>
      <c r="BW4316" s="2" t="s">
        <v>1662</v>
      </c>
      <c r="BX4316" s="2" t="s">
        <v>9707</v>
      </c>
      <c r="BY4316" s="2" t="s">
        <v>113</v>
      </c>
      <c r="BZ4316" s="2" t="s">
        <v>100</v>
      </c>
    </row>
    <row r="4317">
      <c r="A4317" s="2" t="s">
        <v>13047</v>
      </c>
      <c r="B4317" s="2" t="s">
        <v>12738</v>
      </c>
      <c r="C4317" s="2" t="s">
        <v>3934</v>
      </c>
      <c r="D4317" s="2" t="s">
        <v>1638</v>
      </c>
      <c r="E4317" s="2" t="s">
        <v>1759</v>
      </c>
      <c r="F4317" s="2" t="s">
        <v>12772</v>
      </c>
      <c r="G4317" s="2" t="s">
        <v>12773</v>
      </c>
      <c r="H4317" s="2" t="s">
        <v>12774</v>
      </c>
      <c r="I4317" s="2" t="s">
        <v>13038</v>
      </c>
      <c r="J4317" s="2" t="s">
        <v>247</v>
      </c>
      <c r="K4317" s="2" t="s">
        <v>198</v>
      </c>
      <c r="L4317" s="3">
        <v>33.6</v>
      </c>
      <c r="M4317" s="3">
        <v>35.28</v>
      </c>
      <c r="N4317" s="3">
        <v>69.99</v>
      </c>
      <c r="O4317" s="2" t="s">
        <v>97</v>
      </c>
      <c r="P4317" s="2" t="s">
        <v>119</v>
      </c>
      <c r="Q4317" s="2" t="s">
        <v>99</v>
      </c>
      <c r="R4317" s="2" t="s">
        <v>100</v>
      </c>
      <c r="S4317" s="2" t="s">
        <v>12820</v>
      </c>
      <c r="T4317" s="2" t="s">
        <v>672</v>
      </c>
      <c r="U4317" s="2" t="s">
        <v>402</v>
      </c>
      <c r="V4317" s="2" t="s">
        <v>146</v>
      </c>
      <c r="W4317" s="2" t="s">
        <v>673</v>
      </c>
      <c r="X4317" s="2" t="s">
        <v>6540</v>
      </c>
      <c r="Y4317" s="2" t="s">
        <v>13045</v>
      </c>
      <c r="Z4317" s="4">
        <v>134</v>
      </c>
      <c r="AA4317" s="4">
        <f>=ROUNDDOWN(26.8,0)</f>
      </c>
      <c r="AB4317" s="5">
        <v>5</v>
      </c>
      <c r="AC4317" s="2" t="s">
        <v>184</v>
      </c>
      <c r="AD4317" s="4">
        <v>70</v>
      </c>
      <c r="AE4317" s="4">
        <v>210</v>
      </c>
      <c r="AF4317" s="6">
        <v>64</v>
      </c>
      <c r="AG4317" s="6"/>
      <c r="AH4317" s="7">
        <v>0.9733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>
        <v>4</v>
      </c>
      <c r="AQ4317" s="8">
        <v>127</v>
      </c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0.8276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 t="s">
        <v>100</v>
      </c>
      <c r="BJ4317" s="4">
        <v>84</v>
      </c>
      <c r="BK4317" s="8">
        <v>2967.52</v>
      </c>
      <c r="BL4317" s="2" t="s">
        <v>9880</v>
      </c>
      <c r="BM4317" s="7">
        <v>0.0476</v>
      </c>
      <c r="BN4317" s="7">
        <v>0.0428</v>
      </c>
      <c r="BO4317" s="4">
        <v>4</v>
      </c>
      <c r="BP4317" s="8">
        <v>127</v>
      </c>
      <c r="BQ4317" s="4"/>
      <c r="BR4317" s="8"/>
      <c r="BS4317" s="7"/>
      <c r="BT4317" s="7"/>
      <c r="BU4317" s="2" t="s">
        <v>109</v>
      </c>
      <c r="BV4317" s="2" t="s">
        <v>110</v>
      </c>
      <c r="BW4317" s="2" t="s">
        <v>1662</v>
      </c>
      <c r="BX4317" s="2" t="s">
        <v>7058</v>
      </c>
      <c r="BY4317" s="2" t="s">
        <v>113</v>
      </c>
      <c r="BZ4317" s="2" t="s">
        <v>100</v>
      </c>
    </row>
    <row r="4318">
      <c r="A4318" s="2" t="s">
        <v>13048</v>
      </c>
      <c r="B4318" s="2" t="s">
        <v>12738</v>
      </c>
      <c r="C4318" s="2" t="s">
        <v>3934</v>
      </c>
      <c r="D4318" s="2" t="s">
        <v>1638</v>
      </c>
      <c r="E4318" s="2" t="s">
        <v>1759</v>
      </c>
      <c r="F4318" s="2" t="s">
        <v>12772</v>
      </c>
      <c r="G4318" s="2" t="s">
        <v>12773</v>
      </c>
      <c r="H4318" s="2" t="s">
        <v>12774</v>
      </c>
      <c r="I4318" s="2" t="s">
        <v>13038</v>
      </c>
      <c r="J4318" s="2" t="s">
        <v>270</v>
      </c>
      <c r="K4318" s="2" t="s">
        <v>198</v>
      </c>
      <c r="L4318" s="3">
        <v>36.75</v>
      </c>
      <c r="M4318" s="3">
        <v>38.59</v>
      </c>
      <c r="N4318" s="3">
        <v>74.99</v>
      </c>
      <c r="O4318" s="2" t="s">
        <v>97</v>
      </c>
      <c r="P4318" s="2" t="s">
        <v>119</v>
      </c>
      <c r="Q4318" s="2" t="s">
        <v>99</v>
      </c>
      <c r="R4318" s="2" t="s">
        <v>100</v>
      </c>
      <c r="S4318" s="2" t="s">
        <v>12820</v>
      </c>
      <c r="T4318" s="2" t="s">
        <v>672</v>
      </c>
      <c r="U4318" s="2" t="s">
        <v>402</v>
      </c>
      <c r="V4318" s="2" t="s">
        <v>146</v>
      </c>
      <c r="W4318" s="2" t="s">
        <v>673</v>
      </c>
      <c r="X4318" s="2" t="s">
        <v>6540</v>
      </c>
      <c r="Y4318" s="2" t="s">
        <v>13049</v>
      </c>
      <c r="Z4318" s="4">
        <v>130</v>
      </c>
      <c r="AA4318" s="4">
        <f>=ROUNDDOWN(43.3333333333333,0)</f>
      </c>
      <c r="AB4318" s="5">
        <v>3</v>
      </c>
      <c r="AC4318" s="2" t="s">
        <v>3031</v>
      </c>
      <c r="AD4318" s="4">
        <v>40</v>
      </c>
      <c r="AE4318" s="4">
        <v>40</v>
      </c>
      <c r="AF4318" s="6">
        <v>64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41</v>
      </c>
      <c r="BK4318" s="8">
        <v>1593.71</v>
      </c>
      <c r="BL4318" s="2" t="s">
        <v>13050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207</v>
      </c>
      <c r="BV4318" s="2" t="s">
        <v>97</v>
      </c>
      <c r="BW4318" s="2" t="s">
        <v>100</v>
      </c>
      <c r="BX4318" s="2" t="s">
        <v>100</v>
      </c>
      <c r="BY4318" s="2" t="s">
        <v>113</v>
      </c>
      <c r="BZ4318" s="2" t="s">
        <v>100</v>
      </c>
    </row>
    <row r="4319">
      <c r="A4319" s="2" t="s">
        <v>13051</v>
      </c>
      <c r="B4319" s="2" t="s">
        <v>12738</v>
      </c>
      <c r="C4319" s="2" t="s">
        <v>3934</v>
      </c>
      <c r="D4319" s="2" t="s">
        <v>1638</v>
      </c>
      <c r="E4319" s="2" t="s">
        <v>1759</v>
      </c>
      <c r="F4319" s="2" t="s">
        <v>12772</v>
      </c>
      <c r="G4319" s="2" t="s">
        <v>12773</v>
      </c>
      <c r="H4319" s="2" t="s">
        <v>12774</v>
      </c>
      <c r="I4319" s="2" t="s">
        <v>13038</v>
      </c>
      <c r="J4319" s="2" t="s">
        <v>237</v>
      </c>
      <c r="K4319" s="2" t="s">
        <v>335</v>
      </c>
      <c r="L4319" s="3">
        <v>27.6</v>
      </c>
      <c r="M4319" s="3">
        <v>28.98</v>
      </c>
      <c r="N4319" s="3">
        <v>59.99</v>
      </c>
      <c r="O4319" s="2" t="s">
        <v>97</v>
      </c>
      <c r="P4319" s="2" t="s">
        <v>119</v>
      </c>
      <c r="Q4319" s="2" t="s">
        <v>99</v>
      </c>
      <c r="R4319" s="2" t="s">
        <v>100</v>
      </c>
      <c r="S4319" s="2" t="s">
        <v>12776</v>
      </c>
      <c r="T4319" s="2" t="s">
        <v>672</v>
      </c>
      <c r="U4319" s="2" t="s">
        <v>480</v>
      </c>
      <c r="V4319" s="2" t="s">
        <v>146</v>
      </c>
      <c r="W4319" s="2" t="s">
        <v>673</v>
      </c>
      <c r="X4319" s="2" t="s">
        <v>6540</v>
      </c>
      <c r="Y4319" s="2" t="s">
        <v>2013</v>
      </c>
      <c r="Z4319" s="4">
        <v>484</v>
      </c>
      <c r="AA4319" s="4">
        <f>=ROUNDDOWN(121,0)</f>
      </c>
      <c r="AB4319" s="5">
        <v>4</v>
      </c>
      <c r="AC4319" s="2" t="s">
        <v>100</v>
      </c>
      <c r="AD4319" s="4"/>
      <c r="AE4319" s="4"/>
      <c r="AF4319" s="6">
        <v>64</v>
      </c>
      <c r="AG4319" s="6"/>
      <c r="AH4319" s="7">
        <v>0.9465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19</v>
      </c>
      <c r="BK4319" s="8">
        <v>531.02</v>
      </c>
      <c r="BL4319" s="2" t="s">
        <v>13052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1688</v>
      </c>
      <c r="BX4319" s="2" t="s">
        <v>4140</v>
      </c>
      <c r="BY4319" s="2" t="s">
        <v>113</v>
      </c>
      <c r="BZ4319" s="2" t="s">
        <v>100</v>
      </c>
    </row>
    <row r="4320">
      <c r="A4320" s="2" t="s">
        <v>13053</v>
      </c>
      <c r="B4320" s="2" t="s">
        <v>12738</v>
      </c>
      <c r="C4320" s="2" t="s">
        <v>3934</v>
      </c>
      <c r="D4320" s="2" t="s">
        <v>1638</v>
      </c>
      <c r="E4320" s="2" t="s">
        <v>1759</v>
      </c>
      <c r="F4320" s="2" t="s">
        <v>12772</v>
      </c>
      <c r="G4320" s="2" t="s">
        <v>12773</v>
      </c>
      <c r="H4320" s="2" t="s">
        <v>12774</v>
      </c>
      <c r="I4320" s="2" t="s">
        <v>13038</v>
      </c>
      <c r="J4320" s="2" t="s">
        <v>270</v>
      </c>
      <c r="K4320" s="2" t="s">
        <v>335</v>
      </c>
      <c r="L4320" s="3">
        <v>36.75</v>
      </c>
      <c r="M4320" s="3">
        <v>38.59</v>
      </c>
      <c r="N4320" s="3">
        <v>74.99</v>
      </c>
      <c r="O4320" s="2" t="s">
        <v>97</v>
      </c>
      <c r="P4320" s="2" t="s">
        <v>119</v>
      </c>
      <c r="Q4320" s="2" t="s">
        <v>99</v>
      </c>
      <c r="R4320" s="2" t="s">
        <v>100</v>
      </c>
      <c r="S4320" s="2" t="s">
        <v>12776</v>
      </c>
      <c r="T4320" s="2" t="s">
        <v>672</v>
      </c>
      <c r="U4320" s="2" t="s">
        <v>402</v>
      </c>
      <c r="V4320" s="2" t="s">
        <v>146</v>
      </c>
      <c r="W4320" s="2" t="s">
        <v>673</v>
      </c>
      <c r="X4320" s="2" t="s">
        <v>6540</v>
      </c>
      <c r="Y4320" s="2" t="s">
        <v>13054</v>
      </c>
      <c r="Z4320" s="4">
        <v>240</v>
      </c>
      <c r="AA4320" s="4">
        <f>=ROUNDDOWN(48,0)</f>
      </c>
      <c r="AB4320" s="5">
        <v>5</v>
      </c>
      <c r="AC4320" s="2" t="s">
        <v>100</v>
      </c>
      <c r="AD4320" s="4"/>
      <c r="AE4320" s="4"/>
      <c r="AF4320" s="6">
        <v>64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 t="s">
        <v>100</v>
      </c>
      <c r="BJ4320" s="4">
        <v>71</v>
      </c>
      <c r="BK4320" s="8">
        <v>2749.17</v>
      </c>
      <c r="BL4320" s="2" t="s">
        <v>2348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207</v>
      </c>
      <c r="BV4320" s="2" t="s">
        <v>97</v>
      </c>
      <c r="BW4320" s="2" t="s">
        <v>100</v>
      </c>
      <c r="BX4320" s="2" t="s">
        <v>100</v>
      </c>
      <c r="BY4320" s="2" t="s">
        <v>113</v>
      </c>
      <c r="BZ4320" s="2" t="s">
        <v>100</v>
      </c>
    </row>
    <row r="4321">
      <c r="A4321" s="2" t="s">
        <v>13055</v>
      </c>
      <c r="B4321" s="2" t="s">
        <v>12738</v>
      </c>
      <c r="C4321" s="2" t="s">
        <v>3934</v>
      </c>
      <c r="D4321" s="2" t="s">
        <v>1638</v>
      </c>
      <c r="E4321" s="2" t="s">
        <v>1759</v>
      </c>
      <c r="F4321" s="2" t="s">
        <v>12772</v>
      </c>
      <c r="G4321" s="2" t="s">
        <v>12773</v>
      </c>
      <c r="H4321" s="2" t="s">
        <v>12774</v>
      </c>
      <c r="I4321" s="2" t="s">
        <v>13038</v>
      </c>
      <c r="J4321" s="2" t="s">
        <v>237</v>
      </c>
      <c r="K4321" s="2" t="s">
        <v>118</v>
      </c>
      <c r="L4321" s="3">
        <v>27.6</v>
      </c>
      <c r="M4321" s="3">
        <v>28.98</v>
      </c>
      <c r="N4321" s="3">
        <v>59.99</v>
      </c>
      <c r="O4321" s="2" t="s">
        <v>97</v>
      </c>
      <c r="P4321" s="2" t="s">
        <v>119</v>
      </c>
      <c r="Q4321" s="2" t="s">
        <v>99</v>
      </c>
      <c r="R4321" s="2" t="s">
        <v>100</v>
      </c>
      <c r="S4321" s="2" t="s">
        <v>12804</v>
      </c>
      <c r="T4321" s="2" t="s">
        <v>672</v>
      </c>
      <c r="U4321" s="2" t="s">
        <v>480</v>
      </c>
      <c r="V4321" s="2" t="s">
        <v>146</v>
      </c>
      <c r="W4321" s="2" t="s">
        <v>673</v>
      </c>
      <c r="X4321" s="2" t="s">
        <v>6540</v>
      </c>
      <c r="Y4321" s="2" t="s">
        <v>2953</v>
      </c>
      <c r="Z4321" s="4">
        <v>147</v>
      </c>
      <c r="AA4321" s="4">
        <f>=ROUNDDOWN(73.5,0)</f>
      </c>
      <c r="AB4321" s="5">
        <v>2</v>
      </c>
      <c r="AC4321" s="2" t="s">
        <v>148</v>
      </c>
      <c r="AD4321" s="4">
        <v>30</v>
      </c>
      <c r="AE4321" s="4">
        <v>30</v>
      </c>
      <c r="AF4321" s="6">
        <v>64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 t="s">
        <v>100</v>
      </c>
      <c r="BJ4321" s="4">
        <v>25</v>
      </c>
      <c r="BK4321" s="8">
        <v>762.02</v>
      </c>
      <c r="BL4321" s="2" t="s">
        <v>13056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207</v>
      </c>
      <c r="BV4321" s="2" t="s">
        <v>97</v>
      </c>
      <c r="BW4321" s="2" t="s">
        <v>100</v>
      </c>
      <c r="BX4321" s="2" t="s">
        <v>100</v>
      </c>
      <c r="BY4321" s="2" t="s">
        <v>113</v>
      </c>
      <c r="BZ4321" s="2" t="s">
        <v>100</v>
      </c>
    </row>
    <row r="4322">
      <c r="A4322" s="2" t="s">
        <v>13057</v>
      </c>
      <c r="B4322" s="2" t="s">
        <v>12738</v>
      </c>
      <c r="C4322" s="2" t="s">
        <v>3934</v>
      </c>
      <c r="D4322" s="2" t="s">
        <v>1638</v>
      </c>
      <c r="E4322" s="2" t="s">
        <v>1759</v>
      </c>
      <c r="F4322" s="2" t="s">
        <v>12772</v>
      </c>
      <c r="G4322" s="2" t="s">
        <v>12773</v>
      </c>
      <c r="H4322" s="2" t="s">
        <v>12774</v>
      </c>
      <c r="I4322" s="2" t="s">
        <v>13038</v>
      </c>
      <c r="J4322" s="2" t="s">
        <v>247</v>
      </c>
      <c r="K4322" s="2" t="s">
        <v>118</v>
      </c>
      <c r="L4322" s="3">
        <v>33.6</v>
      </c>
      <c r="M4322" s="3">
        <v>35.28</v>
      </c>
      <c r="N4322" s="3">
        <v>69.99</v>
      </c>
      <c r="O4322" s="2" t="s">
        <v>97</v>
      </c>
      <c r="P4322" s="2" t="s">
        <v>119</v>
      </c>
      <c r="Q4322" s="2" t="s">
        <v>99</v>
      </c>
      <c r="R4322" s="2" t="s">
        <v>100</v>
      </c>
      <c r="S4322" s="2" t="s">
        <v>12804</v>
      </c>
      <c r="T4322" s="2" t="s">
        <v>672</v>
      </c>
      <c r="U4322" s="2" t="s">
        <v>402</v>
      </c>
      <c r="V4322" s="2" t="s">
        <v>146</v>
      </c>
      <c r="W4322" s="2" t="s">
        <v>673</v>
      </c>
      <c r="X4322" s="2" t="s">
        <v>6540</v>
      </c>
      <c r="Y4322" s="2" t="s">
        <v>2953</v>
      </c>
      <c r="Z4322" s="4">
        <v>111</v>
      </c>
      <c r="AA4322" s="4">
        <f>=ROUNDDOWN(37,0)</f>
      </c>
      <c r="AB4322" s="5">
        <v>3</v>
      </c>
      <c r="AC4322" s="2" t="s">
        <v>148</v>
      </c>
      <c r="AD4322" s="4">
        <v>60</v>
      </c>
      <c r="AE4322" s="4">
        <v>60</v>
      </c>
      <c r="AF4322" s="6">
        <v>64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32</v>
      </c>
      <c r="BK4322" s="8">
        <v>1113.4</v>
      </c>
      <c r="BL4322" s="2" t="s">
        <v>755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207</v>
      </c>
      <c r="BV4322" s="2" t="s">
        <v>97</v>
      </c>
      <c r="BW4322" s="2" t="s">
        <v>100</v>
      </c>
      <c r="BX4322" s="2" t="s">
        <v>100</v>
      </c>
      <c r="BY4322" s="2" t="s">
        <v>113</v>
      </c>
      <c r="BZ4322" s="2" t="s">
        <v>100</v>
      </c>
    </row>
    <row r="4323">
      <c r="A4323" s="2" t="s">
        <v>13058</v>
      </c>
      <c r="B4323" s="2" t="s">
        <v>12738</v>
      </c>
      <c r="C4323" s="2" t="s">
        <v>3934</v>
      </c>
      <c r="D4323" s="2" t="s">
        <v>1638</v>
      </c>
      <c r="E4323" s="2" t="s">
        <v>1759</v>
      </c>
      <c r="F4323" s="2" t="s">
        <v>12772</v>
      </c>
      <c r="G4323" s="2" t="s">
        <v>12773</v>
      </c>
      <c r="H4323" s="2" t="s">
        <v>12774</v>
      </c>
      <c r="I4323" s="2" t="s">
        <v>13038</v>
      </c>
      <c r="J4323" s="2" t="s">
        <v>270</v>
      </c>
      <c r="K4323" s="2" t="s">
        <v>118</v>
      </c>
      <c r="L4323" s="3">
        <v>36.75</v>
      </c>
      <c r="M4323" s="3">
        <v>38.59</v>
      </c>
      <c r="N4323" s="3">
        <v>74.99</v>
      </c>
      <c r="O4323" s="2" t="s">
        <v>97</v>
      </c>
      <c r="P4323" s="2" t="s">
        <v>119</v>
      </c>
      <c r="Q4323" s="2" t="s">
        <v>99</v>
      </c>
      <c r="R4323" s="2" t="s">
        <v>100</v>
      </c>
      <c r="S4323" s="2" t="s">
        <v>12804</v>
      </c>
      <c r="T4323" s="2" t="s">
        <v>672</v>
      </c>
      <c r="U4323" s="2" t="s">
        <v>402</v>
      </c>
      <c r="V4323" s="2" t="s">
        <v>146</v>
      </c>
      <c r="W4323" s="2" t="s">
        <v>673</v>
      </c>
      <c r="X4323" s="2" t="s">
        <v>6540</v>
      </c>
      <c r="Y4323" s="2" t="s">
        <v>2953</v>
      </c>
      <c r="Z4323" s="4">
        <v>40</v>
      </c>
      <c r="AA4323" s="4">
        <f>=ROUNDDOWN(13.3333333333333,0)</f>
      </c>
      <c r="AB4323" s="5">
        <v>3</v>
      </c>
      <c r="AC4323" s="2" t="s">
        <v>148</v>
      </c>
      <c r="AD4323" s="4">
        <v>40</v>
      </c>
      <c r="AE4323" s="4">
        <v>40</v>
      </c>
      <c r="AF4323" s="6">
        <v>64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 t="s">
        <v>100</v>
      </c>
      <c r="BJ4323" s="4">
        <v>42</v>
      </c>
      <c r="BK4323" s="8">
        <v>1746.66</v>
      </c>
      <c r="BL4323" s="2" t="s">
        <v>13059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207</v>
      </c>
      <c r="BV4323" s="2" t="s">
        <v>97</v>
      </c>
      <c r="BW4323" s="2" t="s">
        <v>100</v>
      </c>
      <c r="BX4323" s="2" t="s">
        <v>100</v>
      </c>
      <c r="BY4323" s="2" t="s">
        <v>113</v>
      </c>
      <c r="BZ4323" s="2" t="s">
        <v>100</v>
      </c>
    </row>
    <row r="4324">
      <c r="A4324" s="2" t="s">
        <v>13060</v>
      </c>
      <c r="B4324" s="2" t="s">
        <v>12738</v>
      </c>
      <c r="C4324" s="2" t="s">
        <v>3934</v>
      </c>
      <c r="D4324" s="2" t="s">
        <v>1638</v>
      </c>
      <c r="E4324" s="2" t="s">
        <v>1759</v>
      </c>
      <c r="F4324" s="2" t="s">
        <v>12772</v>
      </c>
      <c r="G4324" s="2" t="s">
        <v>12773</v>
      </c>
      <c r="H4324" s="2" t="s">
        <v>12774</v>
      </c>
      <c r="I4324" s="2" t="s">
        <v>13038</v>
      </c>
      <c r="J4324" s="2" t="s">
        <v>237</v>
      </c>
      <c r="K4324" s="2" t="s">
        <v>6430</v>
      </c>
      <c r="L4324" s="3">
        <v>27.6</v>
      </c>
      <c r="M4324" s="3">
        <v>28.98</v>
      </c>
      <c r="N4324" s="3">
        <v>59.99</v>
      </c>
      <c r="O4324" s="2" t="s">
        <v>97</v>
      </c>
      <c r="P4324" s="2" t="s">
        <v>225</v>
      </c>
      <c r="Q4324" s="2" t="s">
        <v>99</v>
      </c>
      <c r="R4324" s="2" t="s">
        <v>100</v>
      </c>
      <c r="S4324" s="2" t="s">
        <v>12811</v>
      </c>
      <c r="T4324" s="2" t="s">
        <v>672</v>
      </c>
      <c r="U4324" s="2" t="s">
        <v>480</v>
      </c>
      <c r="V4324" s="2" t="s">
        <v>146</v>
      </c>
      <c r="W4324" s="2" t="s">
        <v>673</v>
      </c>
      <c r="X4324" s="2" t="s">
        <v>6540</v>
      </c>
      <c r="Y4324" s="2" t="s">
        <v>5379</v>
      </c>
      <c r="Z4324" s="4">
        <v>14</v>
      </c>
      <c r="AA4324" s="4">
        <f>=ROUNDDOWN(7,0)</f>
      </c>
      <c r="AB4324" s="5">
        <v>2</v>
      </c>
      <c r="AC4324" s="2" t="s">
        <v>1115</v>
      </c>
      <c r="AD4324" s="4">
        <v>40</v>
      </c>
      <c r="AE4324" s="4">
        <v>40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 t="s">
        <v>100</v>
      </c>
      <c r="BJ4324" s="4">
        <v>29</v>
      </c>
      <c r="BK4324" s="8">
        <v>909.78</v>
      </c>
      <c r="BL4324" s="2" t="s">
        <v>13061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207</v>
      </c>
      <c r="BV4324" s="2" t="s">
        <v>97</v>
      </c>
      <c r="BW4324" s="2" t="s">
        <v>100</v>
      </c>
      <c r="BX4324" s="2" t="s">
        <v>100</v>
      </c>
      <c r="BY4324" s="2" t="s">
        <v>113</v>
      </c>
      <c r="BZ4324" s="2" t="s">
        <v>100</v>
      </c>
    </row>
    <row r="4325">
      <c r="A4325" s="2" t="s">
        <v>13062</v>
      </c>
      <c r="B4325" s="2" t="s">
        <v>12738</v>
      </c>
      <c r="C4325" s="2" t="s">
        <v>3934</v>
      </c>
      <c r="D4325" s="2" t="s">
        <v>1638</v>
      </c>
      <c r="E4325" s="2" t="s">
        <v>1759</v>
      </c>
      <c r="F4325" s="2" t="s">
        <v>12772</v>
      </c>
      <c r="G4325" s="2" t="s">
        <v>12773</v>
      </c>
      <c r="H4325" s="2" t="s">
        <v>12774</v>
      </c>
      <c r="I4325" s="2" t="s">
        <v>13038</v>
      </c>
      <c r="J4325" s="2" t="s">
        <v>247</v>
      </c>
      <c r="K4325" s="2" t="s">
        <v>6430</v>
      </c>
      <c r="L4325" s="3">
        <v>33.6</v>
      </c>
      <c r="M4325" s="3">
        <v>35.28</v>
      </c>
      <c r="N4325" s="3">
        <v>69.99</v>
      </c>
      <c r="O4325" s="2" t="s">
        <v>97</v>
      </c>
      <c r="P4325" s="2" t="s">
        <v>225</v>
      </c>
      <c r="Q4325" s="2" t="s">
        <v>99</v>
      </c>
      <c r="R4325" s="2" t="s">
        <v>100</v>
      </c>
      <c r="S4325" s="2" t="s">
        <v>12811</v>
      </c>
      <c r="T4325" s="2" t="s">
        <v>672</v>
      </c>
      <c r="U4325" s="2" t="s">
        <v>402</v>
      </c>
      <c r="V4325" s="2" t="s">
        <v>146</v>
      </c>
      <c r="W4325" s="2" t="s">
        <v>673</v>
      </c>
      <c r="X4325" s="2" t="s">
        <v>6540</v>
      </c>
      <c r="Y4325" s="2" t="s">
        <v>5379</v>
      </c>
      <c r="Z4325" s="4">
        <v>25</v>
      </c>
      <c r="AA4325" s="4">
        <f>=ROUNDDOWN(8.33333333333333,0)</f>
      </c>
      <c r="AB4325" s="5">
        <v>3</v>
      </c>
      <c r="AC4325" s="2" t="s">
        <v>1115</v>
      </c>
      <c r="AD4325" s="4">
        <v>55</v>
      </c>
      <c r="AE4325" s="4">
        <v>55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 t="s">
        <v>100</v>
      </c>
      <c r="BJ4325" s="4">
        <v>53</v>
      </c>
      <c r="BK4325" s="8">
        <v>1996.81</v>
      </c>
      <c r="BL4325" s="2" t="s">
        <v>4908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207</v>
      </c>
      <c r="BV4325" s="2" t="s">
        <v>97</v>
      </c>
      <c r="BW4325" s="2" t="s">
        <v>100</v>
      </c>
      <c r="BX4325" s="2" t="s">
        <v>100</v>
      </c>
      <c r="BY4325" s="2" t="s">
        <v>113</v>
      </c>
      <c r="BZ4325" s="2" t="s">
        <v>100</v>
      </c>
    </row>
    <row r="4326">
      <c r="A4326" s="2" t="s">
        <v>13063</v>
      </c>
      <c r="B4326" s="2" t="s">
        <v>12738</v>
      </c>
      <c r="C4326" s="2" t="s">
        <v>3934</v>
      </c>
      <c r="D4326" s="2" t="s">
        <v>1638</v>
      </c>
      <c r="E4326" s="2" t="s">
        <v>1759</v>
      </c>
      <c r="F4326" s="2" t="s">
        <v>12772</v>
      </c>
      <c r="G4326" s="2" t="s">
        <v>12773</v>
      </c>
      <c r="H4326" s="2" t="s">
        <v>12774</v>
      </c>
      <c r="I4326" s="2" t="s">
        <v>13038</v>
      </c>
      <c r="J4326" s="2" t="s">
        <v>270</v>
      </c>
      <c r="K4326" s="2" t="s">
        <v>6430</v>
      </c>
      <c r="L4326" s="3">
        <v>36.75</v>
      </c>
      <c r="M4326" s="3">
        <v>38.59</v>
      </c>
      <c r="N4326" s="3">
        <v>74.99</v>
      </c>
      <c r="O4326" s="2" t="s">
        <v>97</v>
      </c>
      <c r="P4326" s="2" t="s">
        <v>225</v>
      </c>
      <c r="Q4326" s="2" t="s">
        <v>99</v>
      </c>
      <c r="R4326" s="2" t="s">
        <v>100</v>
      </c>
      <c r="S4326" s="2" t="s">
        <v>12811</v>
      </c>
      <c r="T4326" s="2" t="s">
        <v>672</v>
      </c>
      <c r="U4326" s="2" t="s">
        <v>402</v>
      </c>
      <c r="V4326" s="2" t="s">
        <v>146</v>
      </c>
      <c r="W4326" s="2" t="s">
        <v>673</v>
      </c>
      <c r="X4326" s="2" t="s">
        <v>6540</v>
      </c>
      <c r="Y4326" s="2" t="s">
        <v>5379</v>
      </c>
      <c r="Z4326" s="4"/>
      <c r="AA4326" s="4">
        <f>=ROUNDDOWN({0},0)</f>
      </c>
      <c r="AB4326" s="5">
        <v>4</v>
      </c>
      <c r="AC4326" s="2" t="s">
        <v>1115</v>
      </c>
      <c r="AD4326" s="4">
        <v>55</v>
      </c>
      <c r="AE4326" s="4">
        <v>55</v>
      </c>
      <c r="AF4326" s="6">
        <v>65</v>
      </c>
      <c r="AG4326" s="6"/>
      <c r="AH4326" s="7">
        <v>0.6715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40</v>
      </c>
      <c r="BK4326" s="8">
        <v>1667.02</v>
      </c>
      <c r="BL4326" s="2" t="s">
        <v>13064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207</v>
      </c>
      <c r="BV4326" s="2" t="s">
        <v>97</v>
      </c>
      <c r="BW4326" s="2" t="s">
        <v>100</v>
      </c>
      <c r="BX4326" s="2" t="s">
        <v>100</v>
      </c>
      <c r="BY4326" s="2" t="s">
        <v>113</v>
      </c>
      <c r="BZ4326" s="2" t="s">
        <v>100</v>
      </c>
    </row>
    <row r="4327">
      <c r="A4327" s="2" t="s">
        <v>13065</v>
      </c>
      <c r="B4327" s="2" t="s">
        <v>12738</v>
      </c>
      <c r="C4327" s="2" t="s">
        <v>3934</v>
      </c>
      <c r="D4327" s="2" t="s">
        <v>1638</v>
      </c>
      <c r="E4327" s="2" t="s">
        <v>1759</v>
      </c>
      <c r="F4327" s="2" t="s">
        <v>12772</v>
      </c>
      <c r="G4327" s="2" t="s">
        <v>12773</v>
      </c>
      <c r="H4327" s="2" t="s">
        <v>12774</v>
      </c>
      <c r="I4327" s="2" t="s">
        <v>13038</v>
      </c>
      <c r="J4327" s="2" t="s">
        <v>237</v>
      </c>
      <c r="K4327" s="2" t="s">
        <v>278</v>
      </c>
      <c r="L4327" s="3">
        <v>27.6</v>
      </c>
      <c r="M4327" s="3">
        <v>28.98</v>
      </c>
      <c r="N4327" s="3">
        <v>59.99</v>
      </c>
      <c r="O4327" s="2" t="s">
        <v>97</v>
      </c>
      <c r="P4327" s="2" t="s">
        <v>225</v>
      </c>
      <c r="Q4327" s="2" t="s">
        <v>99</v>
      </c>
      <c r="R4327" s="2" t="s">
        <v>100</v>
      </c>
      <c r="S4327" s="2" t="s">
        <v>12816</v>
      </c>
      <c r="T4327" s="2" t="s">
        <v>672</v>
      </c>
      <c r="U4327" s="2" t="s">
        <v>480</v>
      </c>
      <c r="V4327" s="2" t="s">
        <v>146</v>
      </c>
      <c r="W4327" s="2" t="s">
        <v>673</v>
      </c>
      <c r="X4327" s="2" t="s">
        <v>6540</v>
      </c>
      <c r="Y4327" s="2" t="s">
        <v>5379</v>
      </c>
      <c r="Z4327" s="4">
        <v>25</v>
      </c>
      <c r="AA4327" s="4">
        <f>=ROUNDDOWN(20.8333333333333,0)</f>
      </c>
      <c r="AB4327" s="5">
        <v>1.2</v>
      </c>
      <c r="AC4327" s="2" t="s">
        <v>100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11</v>
      </c>
      <c r="BK4327" s="8">
        <v>335.9</v>
      </c>
      <c r="BL4327" s="2" t="s">
        <v>2174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207</v>
      </c>
      <c r="BV4327" s="2" t="s">
        <v>97</v>
      </c>
      <c r="BW4327" s="2" t="s">
        <v>100</v>
      </c>
      <c r="BX4327" s="2" t="s">
        <v>100</v>
      </c>
      <c r="BY4327" s="2" t="s">
        <v>113</v>
      </c>
      <c r="BZ4327" s="2" t="s">
        <v>100</v>
      </c>
    </row>
    <row r="4328">
      <c r="A4328" s="2" t="s">
        <v>13066</v>
      </c>
      <c r="B4328" s="2" t="s">
        <v>12738</v>
      </c>
      <c r="C4328" s="2" t="s">
        <v>3934</v>
      </c>
      <c r="D4328" s="2" t="s">
        <v>1638</v>
      </c>
      <c r="E4328" s="2" t="s">
        <v>1759</v>
      </c>
      <c r="F4328" s="2" t="s">
        <v>12772</v>
      </c>
      <c r="G4328" s="2" t="s">
        <v>12773</v>
      </c>
      <c r="H4328" s="2" t="s">
        <v>12774</v>
      </c>
      <c r="I4328" s="2" t="s">
        <v>13038</v>
      </c>
      <c r="J4328" s="2" t="s">
        <v>247</v>
      </c>
      <c r="K4328" s="2" t="s">
        <v>278</v>
      </c>
      <c r="L4328" s="3">
        <v>33.6</v>
      </c>
      <c r="M4328" s="3">
        <v>35.28</v>
      </c>
      <c r="N4328" s="3">
        <v>69.99</v>
      </c>
      <c r="O4328" s="2" t="s">
        <v>97</v>
      </c>
      <c r="P4328" s="2" t="s">
        <v>225</v>
      </c>
      <c r="Q4328" s="2" t="s">
        <v>99</v>
      </c>
      <c r="R4328" s="2" t="s">
        <v>100</v>
      </c>
      <c r="S4328" s="2" t="s">
        <v>12816</v>
      </c>
      <c r="T4328" s="2" t="s">
        <v>672</v>
      </c>
      <c r="U4328" s="2" t="s">
        <v>402</v>
      </c>
      <c r="V4328" s="2" t="s">
        <v>146</v>
      </c>
      <c r="W4328" s="2" t="s">
        <v>673</v>
      </c>
      <c r="X4328" s="2" t="s">
        <v>6540</v>
      </c>
      <c r="Y4328" s="2" t="s">
        <v>5379</v>
      </c>
      <c r="Z4328" s="4">
        <v>16</v>
      </c>
      <c r="AA4328" s="4">
        <f>=ROUNDDOWN(5.33333333333333,0)</f>
      </c>
      <c r="AB4328" s="5">
        <v>3</v>
      </c>
      <c r="AC4328" s="2" t="s">
        <v>100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34</v>
      </c>
      <c r="BK4328" s="8">
        <v>1277.39</v>
      </c>
      <c r="BL4328" s="2" t="s">
        <v>13067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207</v>
      </c>
      <c r="BV4328" s="2" t="s">
        <v>97</v>
      </c>
      <c r="BW4328" s="2" t="s">
        <v>100</v>
      </c>
      <c r="BX4328" s="2" t="s">
        <v>100</v>
      </c>
      <c r="BY4328" s="2" t="s">
        <v>113</v>
      </c>
      <c r="BZ4328" s="2" t="s">
        <v>100</v>
      </c>
    </row>
    <row r="4329">
      <c r="A4329" s="2" t="s">
        <v>13068</v>
      </c>
      <c r="B4329" s="2" t="s">
        <v>12738</v>
      </c>
      <c r="C4329" s="2" t="s">
        <v>3934</v>
      </c>
      <c r="D4329" s="2" t="s">
        <v>1638</v>
      </c>
      <c r="E4329" s="2" t="s">
        <v>1759</v>
      </c>
      <c r="F4329" s="2" t="s">
        <v>12772</v>
      </c>
      <c r="G4329" s="2" t="s">
        <v>12773</v>
      </c>
      <c r="H4329" s="2" t="s">
        <v>12774</v>
      </c>
      <c r="I4329" s="2" t="s">
        <v>13038</v>
      </c>
      <c r="J4329" s="2" t="s">
        <v>270</v>
      </c>
      <c r="K4329" s="2" t="s">
        <v>278</v>
      </c>
      <c r="L4329" s="3">
        <v>36.75</v>
      </c>
      <c r="M4329" s="3">
        <v>38.59</v>
      </c>
      <c r="N4329" s="3">
        <v>74.99</v>
      </c>
      <c r="O4329" s="2" t="s">
        <v>97</v>
      </c>
      <c r="P4329" s="2" t="s">
        <v>225</v>
      </c>
      <c r="Q4329" s="2" t="s">
        <v>99</v>
      </c>
      <c r="R4329" s="2" t="s">
        <v>100</v>
      </c>
      <c r="S4329" s="2" t="s">
        <v>12816</v>
      </c>
      <c r="T4329" s="2" t="s">
        <v>672</v>
      </c>
      <c r="U4329" s="2" t="s">
        <v>402</v>
      </c>
      <c r="V4329" s="2" t="s">
        <v>146</v>
      </c>
      <c r="W4329" s="2" t="s">
        <v>673</v>
      </c>
      <c r="X4329" s="2" t="s">
        <v>6540</v>
      </c>
      <c r="Y4329" s="2" t="s">
        <v>5379</v>
      </c>
      <c r="Z4329" s="4">
        <v>2</v>
      </c>
      <c r="AA4329" s="4">
        <f>=ROUNDDOWN(0.666666666666667,0)</f>
      </c>
      <c r="AB4329" s="5">
        <v>3</v>
      </c>
      <c r="AC4329" s="2" t="s">
        <v>100</v>
      </c>
      <c r="AD4329" s="4"/>
      <c r="AE4329" s="4"/>
      <c r="AF4329" s="6">
        <v>65</v>
      </c>
      <c r="AG4329" s="6"/>
      <c r="AH4329" s="7">
        <v>0.9197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 t="s">
        <v>100</v>
      </c>
      <c r="BJ4329" s="4">
        <v>23</v>
      </c>
      <c r="BK4329" s="8">
        <v>958.83</v>
      </c>
      <c r="BL4329" s="2" t="s">
        <v>13069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207</v>
      </c>
      <c r="BV4329" s="2" t="s">
        <v>97</v>
      </c>
      <c r="BW4329" s="2" t="s">
        <v>100</v>
      </c>
      <c r="BX4329" s="2" t="s">
        <v>100</v>
      </c>
      <c r="BY4329" s="2" t="s">
        <v>113</v>
      </c>
      <c r="BZ4329" s="2" t="s">
        <v>100</v>
      </c>
    </row>
    <row r="4330">
      <c r="A4330" s="2" t="s">
        <v>13070</v>
      </c>
      <c r="B4330" s="2" t="s">
        <v>12738</v>
      </c>
      <c r="C4330" s="2" t="s">
        <v>3934</v>
      </c>
      <c r="D4330" s="2" t="s">
        <v>1638</v>
      </c>
      <c r="E4330" s="2" t="s">
        <v>1759</v>
      </c>
      <c r="F4330" s="2" t="s">
        <v>12772</v>
      </c>
      <c r="G4330" s="2" t="s">
        <v>12773</v>
      </c>
      <c r="H4330" s="2" t="s">
        <v>12774</v>
      </c>
      <c r="I4330" s="2" t="s">
        <v>13038</v>
      </c>
      <c r="J4330" s="2" t="s">
        <v>237</v>
      </c>
      <c r="K4330" s="2" t="s">
        <v>677</v>
      </c>
      <c r="L4330" s="3">
        <v>27.6</v>
      </c>
      <c r="M4330" s="3">
        <v>28.98</v>
      </c>
      <c r="N4330" s="3">
        <v>59.99</v>
      </c>
      <c r="O4330" s="2" t="s">
        <v>97</v>
      </c>
      <c r="P4330" s="2" t="s">
        <v>225</v>
      </c>
      <c r="Q4330" s="2" t="s">
        <v>99</v>
      </c>
      <c r="R4330" s="2" t="s">
        <v>100</v>
      </c>
      <c r="S4330" s="2" t="s">
        <v>12824</v>
      </c>
      <c r="T4330" s="2" t="s">
        <v>672</v>
      </c>
      <c r="U4330" s="2" t="s">
        <v>480</v>
      </c>
      <c r="V4330" s="2" t="s">
        <v>146</v>
      </c>
      <c r="W4330" s="2" t="s">
        <v>673</v>
      </c>
      <c r="X4330" s="2" t="s">
        <v>6540</v>
      </c>
      <c r="Y4330" s="2" t="s">
        <v>5379</v>
      </c>
      <c r="Z4330" s="4">
        <v>32</v>
      </c>
      <c r="AA4330" s="4">
        <f>=ROUNDDOWN(32,0)</f>
      </c>
      <c r="AB4330" s="5">
        <v>1</v>
      </c>
      <c r="AC4330" s="2" t="s">
        <v>100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6</v>
      </c>
      <c r="BK4330" s="8">
        <v>188.1</v>
      </c>
      <c r="BL4330" s="2" t="s">
        <v>13071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207</v>
      </c>
      <c r="BV4330" s="2" t="s">
        <v>97</v>
      </c>
      <c r="BW4330" s="2" t="s">
        <v>100</v>
      </c>
      <c r="BX4330" s="2" t="s">
        <v>100</v>
      </c>
      <c r="BY4330" s="2" t="s">
        <v>113</v>
      </c>
      <c r="BZ4330" s="2" t="s">
        <v>100</v>
      </c>
    </row>
    <row r="4331">
      <c r="A4331" s="2" t="s">
        <v>13072</v>
      </c>
      <c r="B4331" s="2" t="s">
        <v>12738</v>
      </c>
      <c r="C4331" s="2" t="s">
        <v>3934</v>
      </c>
      <c r="D4331" s="2" t="s">
        <v>1638</v>
      </c>
      <c r="E4331" s="2" t="s">
        <v>1759</v>
      </c>
      <c r="F4331" s="2" t="s">
        <v>12772</v>
      </c>
      <c r="G4331" s="2" t="s">
        <v>12773</v>
      </c>
      <c r="H4331" s="2" t="s">
        <v>12774</v>
      </c>
      <c r="I4331" s="2" t="s">
        <v>13038</v>
      </c>
      <c r="J4331" s="2" t="s">
        <v>247</v>
      </c>
      <c r="K4331" s="2" t="s">
        <v>677</v>
      </c>
      <c r="L4331" s="3">
        <v>33.6</v>
      </c>
      <c r="M4331" s="3">
        <v>35.28</v>
      </c>
      <c r="N4331" s="3">
        <v>69.99</v>
      </c>
      <c r="O4331" s="2" t="s">
        <v>97</v>
      </c>
      <c r="P4331" s="2" t="s">
        <v>225</v>
      </c>
      <c r="Q4331" s="2" t="s">
        <v>99</v>
      </c>
      <c r="R4331" s="2" t="s">
        <v>100</v>
      </c>
      <c r="S4331" s="2" t="s">
        <v>12824</v>
      </c>
      <c r="T4331" s="2" t="s">
        <v>672</v>
      </c>
      <c r="U4331" s="2" t="s">
        <v>402</v>
      </c>
      <c r="V4331" s="2" t="s">
        <v>146</v>
      </c>
      <c r="W4331" s="2" t="s">
        <v>673</v>
      </c>
      <c r="X4331" s="2" t="s">
        <v>6540</v>
      </c>
      <c r="Y4331" s="2" t="s">
        <v>5379</v>
      </c>
      <c r="Z4331" s="4">
        <v>80</v>
      </c>
      <c r="AA4331" s="4">
        <f>=ROUNDDOWN(40,0)</f>
      </c>
      <c r="AB4331" s="5">
        <v>2</v>
      </c>
      <c r="AC4331" s="2" t="s">
        <v>100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22</v>
      </c>
      <c r="BK4331" s="8">
        <v>809.34</v>
      </c>
      <c r="BL4331" s="2" t="s">
        <v>13073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207</v>
      </c>
      <c r="BV4331" s="2" t="s">
        <v>97</v>
      </c>
      <c r="BW4331" s="2" t="s">
        <v>100</v>
      </c>
      <c r="BX4331" s="2" t="s">
        <v>100</v>
      </c>
      <c r="BY4331" s="2" t="s">
        <v>113</v>
      </c>
      <c r="BZ4331" s="2" t="s">
        <v>100</v>
      </c>
    </row>
    <row r="4332">
      <c r="A4332" s="2" t="s">
        <v>13074</v>
      </c>
      <c r="B4332" s="2" t="s">
        <v>12738</v>
      </c>
      <c r="C4332" s="2" t="s">
        <v>3934</v>
      </c>
      <c r="D4332" s="2" t="s">
        <v>1638</v>
      </c>
      <c r="E4332" s="2" t="s">
        <v>1759</v>
      </c>
      <c r="F4332" s="2" t="s">
        <v>12772</v>
      </c>
      <c r="G4332" s="2" t="s">
        <v>12773</v>
      </c>
      <c r="H4332" s="2" t="s">
        <v>12774</v>
      </c>
      <c r="I4332" s="2" t="s">
        <v>13038</v>
      </c>
      <c r="J4332" s="2" t="s">
        <v>270</v>
      </c>
      <c r="K4332" s="2" t="s">
        <v>677</v>
      </c>
      <c r="L4332" s="3">
        <v>36.75</v>
      </c>
      <c r="M4332" s="3">
        <v>38.59</v>
      </c>
      <c r="N4332" s="3">
        <v>74.99</v>
      </c>
      <c r="O4332" s="2" t="s">
        <v>97</v>
      </c>
      <c r="P4332" s="2" t="s">
        <v>225</v>
      </c>
      <c r="Q4332" s="2" t="s">
        <v>99</v>
      </c>
      <c r="R4332" s="2" t="s">
        <v>100</v>
      </c>
      <c r="S4332" s="2" t="s">
        <v>12824</v>
      </c>
      <c r="T4332" s="2" t="s">
        <v>672</v>
      </c>
      <c r="U4332" s="2" t="s">
        <v>402</v>
      </c>
      <c r="V4332" s="2" t="s">
        <v>146</v>
      </c>
      <c r="W4332" s="2" t="s">
        <v>673</v>
      </c>
      <c r="X4332" s="2" t="s">
        <v>6540</v>
      </c>
      <c r="Y4332" s="2" t="s">
        <v>5379</v>
      </c>
      <c r="Z4332" s="4"/>
      <c r="AA4332" s="4">
        <f>=ROUNDDOWN({0},0)</f>
      </c>
      <c r="AB4332" s="5">
        <v>3</v>
      </c>
      <c r="AC4332" s="2" t="s">
        <v>100</v>
      </c>
      <c r="AD4332" s="4"/>
      <c r="AE4332" s="4"/>
      <c r="AF4332" s="6">
        <v>65</v>
      </c>
      <c r="AG4332" s="6"/>
      <c r="AH4332" s="7">
        <v>0.8613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 t="s">
        <v>100</v>
      </c>
      <c r="BJ4332" s="4">
        <v>47</v>
      </c>
      <c r="BK4332" s="8">
        <v>1946.73</v>
      </c>
      <c r="BL4332" s="2" t="s">
        <v>13075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207</v>
      </c>
      <c r="BV4332" s="2" t="s">
        <v>97</v>
      </c>
      <c r="BW4332" s="2" t="s">
        <v>100</v>
      </c>
      <c r="BX4332" s="2" t="s">
        <v>100</v>
      </c>
      <c r="BY4332" s="2" t="s">
        <v>113</v>
      </c>
      <c r="BZ4332" s="2" t="s">
        <v>100</v>
      </c>
    </row>
    <row r="4333">
      <c r="A4333" s="2" t="s">
        <v>13076</v>
      </c>
      <c r="B4333" s="2" t="s">
        <v>12738</v>
      </c>
      <c r="C4333" s="2" t="s">
        <v>3934</v>
      </c>
      <c r="D4333" s="2" t="s">
        <v>1638</v>
      </c>
      <c r="E4333" s="2" t="s">
        <v>1759</v>
      </c>
      <c r="F4333" s="2" t="s">
        <v>5237</v>
      </c>
      <c r="G4333" s="2" t="s">
        <v>12667</v>
      </c>
      <c r="H4333" s="2" t="s">
        <v>13077</v>
      </c>
      <c r="I4333" s="2" t="s">
        <v>13078</v>
      </c>
      <c r="J4333" s="2" t="s">
        <v>237</v>
      </c>
      <c r="K4333" s="2" t="s">
        <v>993</v>
      </c>
      <c r="L4333" s="3">
        <v>26.4</v>
      </c>
      <c r="M4333" s="3">
        <v>27.72</v>
      </c>
      <c r="N4333" s="3">
        <v>54.99</v>
      </c>
      <c r="O4333" s="2" t="s">
        <v>97</v>
      </c>
      <c r="P4333" s="2" t="s">
        <v>119</v>
      </c>
      <c r="Q4333" s="2" t="s">
        <v>99</v>
      </c>
      <c r="R4333" s="2" t="s">
        <v>100</v>
      </c>
      <c r="S4333" s="2" t="s">
        <v>13079</v>
      </c>
      <c r="T4333" s="2" t="s">
        <v>218</v>
      </c>
      <c r="U4333" s="2" t="s">
        <v>480</v>
      </c>
      <c r="V4333" s="2" t="s">
        <v>1150</v>
      </c>
      <c r="W4333" s="2" t="s">
        <v>561</v>
      </c>
      <c r="X4333" s="2" t="s">
        <v>183</v>
      </c>
      <c r="Y4333" s="2" t="s">
        <v>12343</v>
      </c>
      <c r="Z4333" s="4">
        <v>171</v>
      </c>
      <c r="AA4333" s="4">
        <f>=ROUNDDOWN(65.7692307692308,0)</f>
      </c>
      <c r="AB4333" s="5">
        <v>2.6</v>
      </c>
      <c r="AC4333" s="2" t="s">
        <v>100</v>
      </c>
      <c r="AD4333" s="4"/>
      <c r="AE4333" s="4"/>
      <c r="AF4333" s="6">
        <v>65</v>
      </c>
      <c r="AG4333" s="6">
        <v>48</v>
      </c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60</v>
      </c>
      <c r="BK4333" s="8">
        <v>1628.22</v>
      </c>
      <c r="BL4333" s="2" t="s">
        <v>13080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8454</v>
      </c>
      <c r="BX4333" s="2" t="s">
        <v>8334</v>
      </c>
      <c r="BY4333" s="2" t="s">
        <v>113</v>
      </c>
      <c r="BZ4333" s="2" t="s">
        <v>100</v>
      </c>
    </row>
    <row r="4334">
      <c r="A4334" s="2" t="s">
        <v>13081</v>
      </c>
      <c r="B4334" s="2" t="s">
        <v>12738</v>
      </c>
      <c r="C4334" s="2" t="s">
        <v>3934</v>
      </c>
      <c r="D4334" s="2" t="s">
        <v>1638</v>
      </c>
      <c r="E4334" s="2" t="s">
        <v>1759</v>
      </c>
      <c r="F4334" s="2" t="s">
        <v>5237</v>
      </c>
      <c r="G4334" s="2" t="s">
        <v>12667</v>
      </c>
      <c r="H4334" s="2" t="s">
        <v>13077</v>
      </c>
      <c r="I4334" s="2" t="s">
        <v>13078</v>
      </c>
      <c r="J4334" s="2" t="s">
        <v>247</v>
      </c>
      <c r="K4334" s="2" t="s">
        <v>993</v>
      </c>
      <c r="L4334" s="3">
        <v>31.85</v>
      </c>
      <c r="M4334" s="3">
        <v>33.44</v>
      </c>
      <c r="N4334" s="3">
        <v>64.99</v>
      </c>
      <c r="O4334" s="2" t="s">
        <v>97</v>
      </c>
      <c r="P4334" s="2" t="s">
        <v>119</v>
      </c>
      <c r="Q4334" s="2" t="s">
        <v>99</v>
      </c>
      <c r="R4334" s="2" t="s">
        <v>100</v>
      </c>
      <c r="S4334" s="2" t="s">
        <v>13079</v>
      </c>
      <c r="T4334" s="2" t="s">
        <v>218</v>
      </c>
      <c r="U4334" s="2" t="s">
        <v>402</v>
      </c>
      <c r="V4334" s="2" t="s">
        <v>1150</v>
      </c>
      <c r="W4334" s="2" t="s">
        <v>561</v>
      </c>
      <c r="X4334" s="2" t="s">
        <v>183</v>
      </c>
      <c r="Y4334" s="2" t="s">
        <v>12343</v>
      </c>
      <c r="Z4334" s="4">
        <v>289</v>
      </c>
      <c r="AA4334" s="4">
        <f>=ROUNDDOWN(46.6129032258064,0)</f>
      </c>
      <c r="AB4334" s="5">
        <v>6.2</v>
      </c>
      <c r="AC4334" s="2" t="s">
        <v>100</v>
      </c>
      <c r="AD4334" s="4"/>
      <c r="AE4334" s="4"/>
      <c r="AF4334" s="6">
        <v>65</v>
      </c>
      <c r="AG4334" s="6">
        <v>48</v>
      </c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>
        <v>145</v>
      </c>
      <c r="BK4334" s="8">
        <v>4917.03</v>
      </c>
      <c r="BL4334" s="2" t="s">
        <v>3774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8454</v>
      </c>
      <c r="BX4334" s="2" t="s">
        <v>6413</v>
      </c>
      <c r="BY4334" s="2" t="s">
        <v>113</v>
      </c>
      <c r="BZ4334" s="2" t="s">
        <v>100</v>
      </c>
    </row>
    <row r="4335">
      <c r="A4335" s="2" t="s">
        <v>13082</v>
      </c>
      <c r="B4335" s="2" t="s">
        <v>12738</v>
      </c>
      <c r="C4335" s="2" t="s">
        <v>3934</v>
      </c>
      <c r="D4335" s="2" t="s">
        <v>1638</v>
      </c>
      <c r="E4335" s="2" t="s">
        <v>1759</v>
      </c>
      <c r="F4335" s="2" t="s">
        <v>12849</v>
      </c>
      <c r="G4335" s="2" t="s">
        <v>2067</v>
      </c>
      <c r="H4335" s="2" t="s">
        <v>12850</v>
      </c>
      <c r="I4335" s="2" t="s">
        <v>13083</v>
      </c>
      <c r="J4335" s="2" t="s">
        <v>237</v>
      </c>
      <c r="K4335" s="2" t="s">
        <v>96</v>
      </c>
      <c r="L4335" s="3">
        <v>23.96</v>
      </c>
      <c r="M4335" s="3">
        <v>25.16</v>
      </c>
      <c r="N4335" s="3">
        <v>54.99</v>
      </c>
      <c r="O4335" s="2" t="s">
        <v>97</v>
      </c>
      <c r="P4335" s="2" t="s">
        <v>119</v>
      </c>
      <c r="Q4335" s="2" t="s">
        <v>99</v>
      </c>
      <c r="R4335" s="2" t="s">
        <v>100</v>
      </c>
      <c r="S4335" s="2" t="s">
        <v>12852</v>
      </c>
      <c r="T4335" s="2" t="s">
        <v>218</v>
      </c>
      <c r="U4335" s="2" t="s">
        <v>480</v>
      </c>
      <c r="V4335" s="2" t="s">
        <v>1150</v>
      </c>
      <c r="W4335" s="2" t="s">
        <v>561</v>
      </c>
      <c r="X4335" s="2" t="s">
        <v>183</v>
      </c>
      <c r="Y4335" s="2" t="s">
        <v>12853</v>
      </c>
      <c r="Z4335" s="4">
        <v>623</v>
      </c>
      <c r="AA4335" s="4">
        <f>=ROUNDDOWN(69.2222222222222,0)</f>
      </c>
      <c r="AB4335" s="5">
        <v>9</v>
      </c>
      <c r="AC4335" s="2" t="s">
        <v>100</v>
      </c>
      <c r="AD4335" s="4"/>
      <c r="AE4335" s="4"/>
      <c r="AF4335" s="6">
        <v>65</v>
      </c>
      <c r="AG4335" s="6">
        <v>48</v>
      </c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>
        <v>318</v>
      </c>
      <c r="BK4335" s="8">
        <v>8590.1</v>
      </c>
      <c r="BL4335" s="2" t="s">
        <v>13084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2528</v>
      </c>
      <c r="BV4335" s="2" t="s">
        <v>97</v>
      </c>
      <c r="BW4335" s="2" t="s">
        <v>100</v>
      </c>
      <c r="BX4335" s="2" t="s">
        <v>100</v>
      </c>
      <c r="BY4335" s="2" t="s">
        <v>113</v>
      </c>
      <c r="BZ4335" s="2" t="s">
        <v>100</v>
      </c>
    </row>
    <row r="4336">
      <c r="A4336" s="2" t="s">
        <v>13085</v>
      </c>
      <c r="B4336" s="2" t="s">
        <v>12738</v>
      </c>
      <c r="C4336" s="2" t="s">
        <v>3934</v>
      </c>
      <c r="D4336" s="2" t="s">
        <v>1638</v>
      </c>
      <c r="E4336" s="2" t="s">
        <v>1759</v>
      </c>
      <c r="F4336" s="2" t="s">
        <v>12849</v>
      </c>
      <c r="G4336" s="2" t="s">
        <v>2067</v>
      </c>
      <c r="H4336" s="2" t="s">
        <v>12850</v>
      </c>
      <c r="I4336" s="2" t="s">
        <v>13083</v>
      </c>
      <c r="J4336" s="2" t="s">
        <v>247</v>
      </c>
      <c r="K4336" s="2" t="s">
        <v>96</v>
      </c>
      <c r="L4336" s="3">
        <v>28.76</v>
      </c>
      <c r="M4336" s="3">
        <v>30.2</v>
      </c>
      <c r="N4336" s="3">
        <v>64.99</v>
      </c>
      <c r="O4336" s="2" t="s">
        <v>97</v>
      </c>
      <c r="P4336" s="2" t="s">
        <v>119</v>
      </c>
      <c r="Q4336" s="2" t="s">
        <v>99</v>
      </c>
      <c r="R4336" s="2" t="s">
        <v>100</v>
      </c>
      <c r="S4336" s="2" t="s">
        <v>12852</v>
      </c>
      <c r="T4336" s="2" t="s">
        <v>218</v>
      </c>
      <c r="U4336" s="2" t="s">
        <v>402</v>
      </c>
      <c r="V4336" s="2" t="s">
        <v>1150</v>
      </c>
      <c r="W4336" s="2" t="s">
        <v>561</v>
      </c>
      <c r="X4336" s="2" t="s">
        <v>183</v>
      </c>
      <c r="Y4336" s="2" t="s">
        <v>12853</v>
      </c>
      <c r="Z4336" s="4">
        <v>718</v>
      </c>
      <c r="AA4336" s="4">
        <f>=ROUNDDOWN(44.875,0)</f>
      </c>
      <c r="AB4336" s="5">
        <v>16</v>
      </c>
      <c r="AC4336" s="2" t="s">
        <v>100</v>
      </c>
      <c r="AD4336" s="4"/>
      <c r="AE4336" s="4"/>
      <c r="AF4336" s="6">
        <v>65</v>
      </c>
      <c r="AG4336" s="6">
        <v>48</v>
      </c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>
        <v>704</v>
      </c>
      <c r="BK4336" s="8">
        <v>22850.28</v>
      </c>
      <c r="BL4336" s="2" t="s">
        <v>13086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2528</v>
      </c>
      <c r="BV4336" s="2" t="s">
        <v>97</v>
      </c>
      <c r="BW4336" s="2" t="s">
        <v>100</v>
      </c>
      <c r="BX4336" s="2" t="s">
        <v>100</v>
      </c>
      <c r="BY4336" s="2" t="s">
        <v>113</v>
      </c>
      <c r="BZ4336" s="2" t="s">
        <v>100</v>
      </c>
    </row>
    <row r="4337">
      <c r="A4337" s="2" t="s">
        <v>13087</v>
      </c>
      <c r="B4337" s="2" t="s">
        <v>12738</v>
      </c>
      <c r="C4337" s="2" t="s">
        <v>3934</v>
      </c>
      <c r="D4337" s="2" t="s">
        <v>1638</v>
      </c>
      <c r="E4337" s="2" t="s">
        <v>1759</v>
      </c>
      <c r="F4337" s="2" t="s">
        <v>12849</v>
      </c>
      <c r="G4337" s="2" t="s">
        <v>2067</v>
      </c>
      <c r="H4337" s="2" t="s">
        <v>12850</v>
      </c>
      <c r="I4337" s="2" t="s">
        <v>13083</v>
      </c>
      <c r="J4337" s="2" t="s">
        <v>270</v>
      </c>
      <c r="K4337" s="2" t="s">
        <v>96</v>
      </c>
      <c r="L4337" s="3">
        <v>31.5</v>
      </c>
      <c r="M4337" s="3">
        <v>33.08</v>
      </c>
      <c r="N4337" s="3">
        <v>74.99</v>
      </c>
      <c r="O4337" s="2" t="s">
        <v>97</v>
      </c>
      <c r="P4337" s="2" t="s">
        <v>119</v>
      </c>
      <c r="Q4337" s="2" t="s">
        <v>99</v>
      </c>
      <c r="R4337" s="2" t="s">
        <v>100</v>
      </c>
      <c r="S4337" s="2" t="s">
        <v>12858</v>
      </c>
      <c r="T4337" s="2" t="s">
        <v>218</v>
      </c>
      <c r="U4337" s="2" t="s">
        <v>402</v>
      </c>
      <c r="V4337" s="2" t="s">
        <v>1150</v>
      </c>
      <c r="W4337" s="2" t="s">
        <v>561</v>
      </c>
      <c r="X4337" s="2" t="s">
        <v>183</v>
      </c>
      <c r="Y4337" s="2" t="s">
        <v>12859</v>
      </c>
      <c r="Z4337" s="4">
        <v>290</v>
      </c>
      <c r="AA4337" s="4">
        <f>=ROUNDDOWN(72.5,0)</f>
      </c>
      <c r="AB4337" s="5">
        <v>4</v>
      </c>
      <c r="AC4337" s="2" t="s">
        <v>100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>
        <v>44</v>
      </c>
      <c r="BK4337" s="8">
        <v>1506.48</v>
      </c>
      <c r="BL4337" s="2" t="s">
        <v>7218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207</v>
      </c>
      <c r="BV4337" s="2" t="s">
        <v>97</v>
      </c>
      <c r="BW4337" s="2" t="s">
        <v>100</v>
      </c>
      <c r="BX4337" s="2" t="s">
        <v>100</v>
      </c>
      <c r="BY4337" s="2" t="s">
        <v>113</v>
      </c>
      <c r="BZ4337" s="2" t="s">
        <v>100</v>
      </c>
    </row>
    <row r="4338">
      <c r="A4338" s="2" t="s">
        <v>13088</v>
      </c>
      <c r="B4338" s="2" t="s">
        <v>12738</v>
      </c>
      <c r="C4338" s="2" t="s">
        <v>3934</v>
      </c>
      <c r="D4338" s="2" t="s">
        <v>1638</v>
      </c>
      <c r="E4338" s="2" t="s">
        <v>1759</v>
      </c>
      <c r="F4338" s="2" t="s">
        <v>12849</v>
      </c>
      <c r="G4338" s="2" t="s">
        <v>2067</v>
      </c>
      <c r="H4338" s="2" t="s">
        <v>12850</v>
      </c>
      <c r="I4338" s="2" t="s">
        <v>13083</v>
      </c>
      <c r="J4338" s="2" t="s">
        <v>237</v>
      </c>
      <c r="K4338" s="2" t="s">
        <v>2477</v>
      </c>
      <c r="L4338" s="3">
        <v>23.96</v>
      </c>
      <c r="M4338" s="3">
        <v>25.16</v>
      </c>
      <c r="N4338" s="3">
        <v>54.99</v>
      </c>
      <c r="O4338" s="2" t="s">
        <v>97</v>
      </c>
      <c r="P4338" s="2" t="s">
        <v>225</v>
      </c>
      <c r="Q4338" s="2" t="s">
        <v>99</v>
      </c>
      <c r="R4338" s="2" t="s">
        <v>100</v>
      </c>
      <c r="S4338" s="2" t="s">
        <v>12861</v>
      </c>
      <c r="T4338" s="2" t="s">
        <v>218</v>
      </c>
      <c r="U4338" s="2" t="s">
        <v>480</v>
      </c>
      <c r="V4338" s="2" t="s">
        <v>1150</v>
      </c>
      <c r="W4338" s="2" t="s">
        <v>561</v>
      </c>
      <c r="X4338" s="2" t="s">
        <v>183</v>
      </c>
      <c r="Y4338" s="2" t="s">
        <v>12864</v>
      </c>
      <c r="Z4338" s="4">
        <v>25</v>
      </c>
      <c r="AA4338" s="4">
        <f>=ROUNDDOWN(25,0)</f>
      </c>
      <c r="AB4338" s="5">
        <v>1</v>
      </c>
      <c r="AC4338" s="2" t="s">
        <v>100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>
        <v>35</v>
      </c>
      <c r="BK4338" s="8">
        <v>955.28</v>
      </c>
      <c r="BL4338" s="2" t="s">
        <v>13089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207</v>
      </c>
      <c r="BV4338" s="2" t="s">
        <v>97</v>
      </c>
      <c r="BW4338" s="2" t="s">
        <v>100</v>
      </c>
      <c r="BX4338" s="2" t="s">
        <v>100</v>
      </c>
      <c r="BY4338" s="2" t="s">
        <v>113</v>
      </c>
      <c r="BZ4338" s="2" t="s">
        <v>100</v>
      </c>
    </row>
    <row r="4339">
      <c r="A4339" s="2" t="s">
        <v>13090</v>
      </c>
      <c r="B4339" s="2" t="s">
        <v>12738</v>
      </c>
      <c r="C4339" s="2" t="s">
        <v>3934</v>
      </c>
      <c r="D4339" s="2" t="s">
        <v>1638</v>
      </c>
      <c r="E4339" s="2" t="s">
        <v>1759</v>
      </c>
      <c r="F4339" s="2" t="s">
        <v>12849</v>
      </c>
      <c r="G4339" s="2" t="s">
        <v>2067</v>
      </c>
      <c r="H4339" s="2" t="s">
        <v>12850</v>
      </c>
      <c r="I4339" s="2" t="s">
        <v>13083</v>
      </c>
      <c r="J4339" s="2" t="s">
        <v>247</v>
      </c>
      <c r="K4339" s="2" t="s">
        <v>2477</v>
      </c>
      <c r="L4339" s="3">
        <v>28.76</v>
      </c>
      <c r="M4339" s="3">
        <v>30.2</v>
      </c>
      <c r="N4339" s="3">
        <v>64.99</v>
      </c>
      <c r="O4339" s="2" t="s">
        <v>97</v>
      </c>
      <c r="P4339" s="2" t="s">
        <v>225</v>
      </c>
      <c r="Q4339" s="2" t="s">
        <v>99</v>
      </c>
      <c r="R4339" s="2" t="s">
        <v>100</v>
      </c>
      <c r="S4339" s="2" t="s">
        <v>12861</v>
      </c>
      <c r="T4339" s="2" t="s">
        <v>218</v>
      </c>
      <c r="U4339" s="2" t="s">
        <v>402</v>
      </c>
      <c r="V4339" s="2" t="s">
        <v>1150</v>
      </c>
      <c r="W4339" s="2" t="s">
        <v>561</v>
      </c>
      <c r="X4339" s="2" t="s">
        <v>183</v>
      </c>
      <c r="Y4339" s="2" t="s">
        <v>12864</v>
      </c>
      <c r="Z4339" s="4">
        <v>43</v>
      </c>
      <c r="AA4339" s="4">
        <f>=ROUNDDOWN(14.3333333333333,0)</f>
      </c>
      <c r="AB4339" s="5">
        <v>3</v>
      </c>
      <c r="AC4339" s="2" t="s">
        <v>100</v>
      </c>
      <c r="AD4339" s="4"/>
      <c r="AE4339" s="4"/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>
        <v>47</v>
      </c>
      <c r="BK4339" s="8">
        <v>1535.52</v>
      </c>
      <c r="BL4339" s="2" t="s">
        <v>6376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207</v>
      </c>
      <c r="BV4339" s="2" t="s">
        <v>97</v>
      </c>
      <c r="BW4339" s="2" t="s">
        <v>100</v>
      </c>
      <c r="BX4339" s="2" t="s">
        <v>100</v>
      </c>
      <c r="BY4339" s="2" t="s">
        <v>113</v>
      </c>
      <c r="BZ4339" s="2" t="s">
        <v>100</v>
      </c>
    </row>
    <row r="4340">
      <c r="A4340" s="2" t="s">
        <v>13091</v>
      </c>
      <c r="B4340" s="2" t="s">
        <v>12738</v>
      </c>
      <c r="C4340" s="2" t="s">
        <v>3934</v>
      </c>
      <c r="D4340" s="2" t="s">
        <v>1638</v>
      </c>
      <c r="E4340" s="2" t="s">
        <v>1759</v>
      </c>
      <c r="F4340" s="2" t="s">
        <v>12849</v>
      </c>
      <c r="G4340" s="2" t="s">
        <v>2067</v>
      </c>
      <c r="H4340" s="2" t="s">
        <v>12850</v>
      </c>
      <c r="I4340" s="2" t="s">
        <v>13083</v>
      </c>
      <c r="J4340" s="2" t="s">
        <v>270</v>
      </c>
      <c r="K4340" s="2" t="s">
        <v>2477</v>
      </c>
      <c r="L4340" s="3">
        <v>31.5</v>
      </c>
      <c r="M4340" s="3">
        <v>33.08</v>
      </c>
      <c r="N4340" s="3">
        <v>74.99</v>
      </c>
      <c r="O4340" s="2" t="s">
        <v>97</v>
      </c>
      <c r="P4340" s="2" t="s">
        <v>225</v>
      </c>
      <c r="Q4340" s="2" t="s">
        <v>99</v>
      </c>
      <c r="R4340" s="2" t="s">
        <v>100</v>
      </c>
      <c r="S4340" s="2" t="s">
        <v>12861</v>
      </c>
      <c r="T4340" s="2" t="s">
        <v>218</v>
      </c>
      <c r="U4340" s="2" t="s">
        <v>402</v>
      </c>
      <c r="V4340" s="2" t="s">
        <v>1150</v>
      </c>
      <c r="W4340" s="2" t="s">
        <v>561</v>
      </c>
      <c r="X4340" s="2" t="s">
        <v>183</v>
      </c>
      <c r="Y4340" s="2" t="s">
        <v>12864</v>
      </c>
      <c r="Z4340" s="4">
        <v>34</v>
      </c>
      <c r="AA4340" s="4">
        <f>=ROUNDDOWN(11.3333333333333,0)</f>
      </c>
      <c r="AB4340" s="5">
        <v>3</v>
      </c>
      <c r="AC4340" s="2" t="s">
        <v>100</v>
      </c>
      <c r="AD4340" s="4"/>
      <c r="AE4340" s="4"/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>
        <v>16</v>
      </c>
      <c r="BK4340" s="8">
        <v>574.04</v>
      </c>
      <c r="BL4340" s="2" t="s">
        <v>7689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207</v>
      </c>
      <c r="BV4340" s="2" t="s">
        <v>97</v>
      </c>
      <c r="BW4340" s="2" t="s">
        <v>100</v>
      </c>
      <c r="BX4340" s="2" t="s">
        <v>100</v>
      </c>
      <c r="BY4340" s="2" t="s">
        <v>113</v>
      </c>
      <c r="BZ4340" s="2" t="s">
        <v>100</v>
      </c>
    </row>
    <row r="4341">
      <c r="A4341" s="2" t="s">
        <v>13092</v>
      </c>
      <c r="B4341" s="2" t="s">
        <v>12738</v>
      </c>
      <c r="C4341" s="2" t="s">
        <v>3934</v>
      </c>
      <c r="D4341" s="2" t="s">
        <v>1638</v>
      </c>
      <c r="E4341" s="2" t="s">
        <v>1759</v>
      </c>
      <c r="F4341" s="2" t="s">
        <v>12849</v>
      </c>
      <c r="G4341" s="2" t="s">
        <v>2067</v>
      </c>
      <c r="H4341" s="2" t="s">
        <v>12850</v>
      </c>
      <c r="I4341" s="2" t="s">
        <v>13083</v>
      </c>
      <c r="J4341" s="2" t="s">
        <v>237</v>
      </c>
      <c r="K4341" s="2" t="s">
        <v>5794</v>
      </c>
      <c r="L4341" s="3">
        <v>23.96</v>
      </c>
      <c r="M4341" s="3">
        <v>25.16</v>
      </c>
      <c r="N4341" s="3">
        <v>54.99</v>
      </c>
      <c r="O4341" s="2" t="s">
        <v>97</v>
      </c>
      <c r="P4341" s="2" t="s">
        <v>119</v>
      </c>
      <c r="Q4341" s="2" t="s">
        <v>99</v>
      </c>
      <c r="R4341" s="2" t="s">
        <v>100</v>
      </c>
      <c r="S4341" s="2" t="s">
        <v>12867</v>
      </c>
      <c r="T4341" s="2" t="s">
        <v>218</v>
      </c>
      <c r="U4341" s="2" t="s">
        <v>480</v>
      </c>
      <c r="V4341" s="2" t="s">
        <v>1150</v>
      </c>
      <c r="W4341" s="2" t="s">
        <v>561</v>
      </c>
      <c r="X4341" s="2" t="s">
        <v>183</v>
      </c>
      <c r="Y4341" s="2" t="s">
        <v>12868</v>
      </c>
      <c r="Z4341" s="4">
        <v>238</v>
      </c>
      <c r="AA4341" s="4">
        <f>=ROUNDDOWN(79.3333333333333,0)</f>
      </c>
      <c r="AB4341" s="5">
        <v>3</v>
      </c>
      <c r="AC4341" s="2" t="s">
        <v>100</v>
      </c>
      <c r="AD4341" s="4"/>
      <c r="AE4341" s="4"/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51</v>
      </c>
      <c r="BK4341" s="8">
        <v>1346.98</v>
      </c>
      <c r="BL4341" s="2" t="s">
        <v>7218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207</v>
      </c>
      <c r="BV4341" s="2" t="s">
        <v>97</v>
      </c>
      <c r="BW4341" s="2" t="s">
        <v>100</v>
      </c>
      <c r="BX4341" s="2" t="s">
        <v>100</v>
      </c>
      <c r="BY4341" s="2" t="s">
        <v>113</v>
      </c>
      <c r="BZ4341" s="2" t="s">
        <v>100</v>
      </c>
    </row>
    <row r="4342">
      <c r="A4342" s="2" t="s">
        <v>13093</v>
      </c>
      <c r="B4342" s="2" t="s">
        <v>12738</v>
      </c>
      <c r="C4342" s="2" t="s">
        <v>3934</v>
      </c>
      <c r="D4342" s="2" t="s">
        <v>1638</v>
      </c>
      <c r="E4342" s="2" t="s">
        <v>1759</v>
      </c>
      <c r="F4342" s="2" t="s">
        <v>12849</v>
      </c>
      <c r="G4342" s="2" t="s">
        <v>2067</v>
      </c>
      <c r="H4342" s="2" t="s">
        <v>12850</v>
      </c>
      <c r="I4342" s="2" t="s">
        <v>13083</v>
      </c>
      <c r="J4342" s="2" t="s">
        <v>247</v>
      </c>
      <c r="K4342" s="2" t="s">
        <v>5794</v>
      </c>
      <c r="L4342" s="3">
        <v>28.76</v>
      </c>
      <c r="M4342" s="3">
        <v>30.2</v>
      </c>
      <c r="N4342" s="3">
        <v>64.99</v>
      </c>
      <c r="O4342" s="2" t="s">
        <v>97</v>
      </c>
      <c r="P4342" s="2" t="s">
        <v>119</v>
      </c>
      <c r="Q4342" s="2" t="s">
        <v>99</v>
      </c>
      <c r="R4342" s="2" t="s">
        <v>100</v>
      </c>
      <c r="S4342" s="2" t="s">
        <v>12867</v>
      </c>
      <c r="T4342" s="2" t="s">
        <v>218</v>
      </c>
      <c r="U4342" s="2" t="s">
        <v>402</v>
      </c>
      <c r="V4342" s="2" t="s">
        <v>1150</v>
      </c>
      <c r="W4342" s="2" t="s">
        <v>561</v>
      </c>
      <c r="X4342" s="2" t="s">
        <v>183</v>
      </c>
      <c r="Y4342" s="2" t="s">
        <v>12868</v>
      </c>
      <c r="Z4342" s="4">
        <v>332</v>
      </c>
      <c r="AA4342" s="4">
        <f>=ROUNDDOWN(66.4,0)</f>
      </c>
      <c r="AB4342" s="5">
        <v>5</v>
      </c>
      <c r="AC4342" s="2" t="s">
        <v>100</v>
      </c>
      <c r="AD4342" s="4"/>
      <c r="AE4342" s="4"/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>
        <v>87</v>
      </c>
      <c r="BK4342" s="8">
        <v>2789.84</v>
      </c>
      <c r="BL4342" s="2" t="s">
        <v>13094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207</v>
      </c>
      <c r="BV4342" s="2" t="s">
        <v>97</v>
      </c>
      <c r="BW4342" s="2" t="s">
        <v>100</v>
      </c>
      <c r="BX4342" s="2" t="s">
        <v>100</v>
      </c>
      <c r="BY4342" s="2" t="s">
        <v>113</v>
      </c>
      <c r="BZ4342" s="2" t="s">
        <v>100</v>
      </c>
    </row>
    <row r="4343">
      <c r="A4343" s="2" t="s">
        <v>13095</v>
      </c>
      <c r="B4343" s="2" t="s">
        <v>12738</v>
      </c>
      <c r="C4343" s="2" t="s">
        <v>3934</v>
      </c>
      <c r="D4343" s="2" t="s">
        <v>1638</v>
      </c>
      <c r="E4343" s="2" t="s">
        <v>1759</v>
      </c>
      <c r="F4343" s="2" t="s">
        <v>12849</v>
      </c>
      <c r="G4343" s="2" t="s">
        <v>2067</v>
      </c>
      <c r="H4343" s="2" t="s">
        <v>12850</v>
      </c>
      <c r="I4343" s="2" t="s">
        <v>13083</v>
      </c>
      <c r="J4343" s="2" t="s">
        <v>270</v>
      </c>
      <c r="K4343" s="2" t="s">
        <v>5794</v>
      </c>
      <c r="L4343" s="3">
        <v>31.5</v>
      </c>
      <c r="M4343" s="3">
        <v>33.08</v>
      </c>
      <c r="N4343" s="3">
        <v>74.99</v>
      </c>
      <c r="O4343" s="2" t="s">
        <v>97</v>
      </c>
      <c r="P4343" s="2" t="s">
        <v>119</v>
      </c>
      <c r="Q4343" s="2" t="s">
        <v>99</v>
      </c>
      <c r="R4343" s="2" t="s">
        <v>100</v>
      </c>
      <c r="S4343" s="2" t="s">
        <v>12867</v>
      </c>
      <c r="T4343" s="2" t="s">
        <v>218</v>
      </c>
      <c r="U4343" s="2" t="s">
        <v>402</v>
      </c>
      <c r="V4343" s="2" t="s">
        <v>1150</v>
      </c>
      <c r="W4343" s="2" t="s">
        <v>561</v>
      </c>
      <c r="X4343" s="2" t="s">
        <v>183</v>
      </c>
      <c r="Y4343" s="2" t="s">
        <v>12868</v>
      </c>
      <c r="Z4343" s="4">
        <v>218</v>
      </c>
      <c r="AA4343" s="4">
        <f>=ROUNDDOWN(72.6666666666667,0)</f>
      </c>
      <c r="AB4343" s="5">
        <v>3</v>
      </c>
      <c r="AC4343" s="2" t="s">
        <v>100</v>
      </c>
      <c r="AD4343" s="4"/>
      <c r="AE4343" s="4"/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>
        <v>25</v>
      </c>
      <c r="BK4343" s="8">
        <v>872.54</v>
      </c>
      <c r="BL4343" s="2" t="s">
        <v>13096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207</v>
      </c>
      <c r="BV4343" s="2" t="s">
        <v>97</v>
      </c>
      <c r="BW4343" s="2" t="s">
        <v>100</v>
      </c>
      <c r="BX4343" s="2" t="s">
        <v>100</v>
      </c>
      <c r="BY4343" s="2" t="s">
        <v>113</v>
      </c>
      <c r="BZ4343" s="2" t="s">
        <v>100</v>
      </c>
    </row>
    <row r="4344">
      <c r="A4344" s="2" t="s">
        <v>13097</v>
      </c>
      <c r="B4344" s="2" t="s">
        <v>12738</v>
      </c>
      <c r="C4344" s="2" t="s">
        <v>3934</v>
      </c>
      <c r="D4344" s="2" t="s">
        <v>1638</v>
      </c>
      <c r="E4344" s="2" t="s">
        <v>1759</v>
      </c>
      <c r="F4344" s="2" t="s">
        <v>8014</v>
      </c>
      <c r="G4344" s="2" t="s">
        <v>12908</v>
      </c>
      <c r="H4344" s="2" t="s">
        <v>12909</v>
      </c>
      <c r="I4344" s="2" t="s">
        <v>13098</v>
      </c>
      <c r="J4344" s="2" t="s">
        <v>237</v>
      </c>
      <c r="K4344" s="2" t="s">
        <v>1148</v>
      </c>
      <c r="L4344" s="3">
        <v>19.04</v>
      </c>
      <c r="M4344" s="3">
        <v>19.99</v>
      </c>
      <c r="N4344" s="3">
        <v>39.99</v>
      </c>
      <c r="O4344" s="2" t="s">
        <v>97</v>
      </c>
      <c r="P4344" s="2" t="s">
        <v>225</v>
      </c>
      <c r="Q4344" s="2" t="s">
        <v>99</v>
      </c>
      <c r="R4344" s="2" t="s">
        <v>100</v>
      </c>
      <c r="S4344" s="2" t="s">
        <v>12911</v>
      </c>
      <c r="T4344" s="2" t="s">
        <v>200</v>
      </c>
      <c r="U4344" s="2" t="s">
        <v>480</v>
      </c>
      <c r="V4344" s="2" t="s">
        <v>146</v>
      </c>
      <c r="W4344" s="2" t="s">
        <v>561</v>
      </c>
      <c r="X4344" s="2" t="s">
        <v>183</v>
      </c>
      <c r="Y4344" s="2" t="s">
        <v>12912</v>
      </c>
      <c r="Z4344" s="4">
        <v>55</v>
      </c>
      <c r="AA4344" s="4">
        <f>=ROUNDDOWN(45.8333333333333,0)</f>
      </c>
      <c r="AB4344" s="5">
        <v>1.2</v>
      </c>
      <c r="AC4344" s="2" t="s">
        <v>100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>
        <v>31</v>
      </c>
      <c r="BK4344" s="8">
        <v>664.09</v>
      </c>
      <c r="BL4344" s="2" t="s">
        <v>13099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207</v>
      </c>
      <c r="BV4344" s="2" t="s">
        <v>97</v>
      </c>
      <c r="BW4344" s="2" t="s">
        <v>100</v>
      </c>
      <c r="BX4344" s="2" t="s">
        <v>100</v>
      </c>
      <c r="BY4344" s="2" t="s">
        <v>113</v>
      </c>
      <c r="BZ4344" s="2" t="s">
        <v>100</v>
      </c>
    </row>
    <row r="4345">
      <c r="A4345" s="2" t="s">
        <v>13100</v>
      </c>
      <c r="B4345" s="2" t="s">
        <v>12738</v>
      </c>
      <c r="C4345" s="2" t="s">
        <v>3934</v>
      </c>
      <c r="D4345" s="2" t="s">
        <v>1638</v>
      </c>
      <c r="E4345" s="2" t="s">
        <v>1759</v>
      </c>
      <c r="F4345" s="2" t="s">
        <v>8014</v>
      </c>
      <c r="G4345" s="2" t="s">
        <v>12908</v>
      </c>
      <c r="H4345" s="2" t="s">
        <v>12909</v>
      </c>
      <c r="I4345" s="2" t="s">
        <v>13098</v>
      </c>
      <c r="J4345" s="2" t="s">
        <v>247</v>
      </c>
      <c r="K4345" s="2" t="s">
        <v>1148</v>
      </c>
      <c r="L4345" s="3">
        <v>23.8</v>
      </c>
      <c r="M4345" s="3">
        <v>24.99</v>
      </c>
      <c r="N4345" s="3">
        <v>49.99</v>
      </c>
      <c r="O4345" s="2" t="s">
        <v>97</v>
      </c>
      <c r="P4345" s="2" t="s">
        <v>225</v>
      </c>
      <c r="Q4345" s="2" t="s">
        <v>99</v>
      </c>
      <c r="R4345" s="2" t="s">
        <v>100</v>
      </c>
      <c r="S4345" s="2" t="s">
        <v>12911</v>
      </c>
      <c r="T4345" s="2" t="s">
        <v>200</v>
      </c>
      <c r="U4345" s="2" t="s">
        <v>402</v>
      </c>
      <c r="V4345" s="2" t="s">
        <v>146</v>
      </c>
      <c r="W4345" s="2" t="s">
        <v>561</v>
      </c>
      <c r="X4345" s="2" t="s">
        <v>183</v>
      </c>
      <c r="Y4345" s="2" t="s">
        <v>12912</v>
      </c>
      <c r="Z4345" s="4">
        <v>102</v>
      </c>
      <c r="AA4345" s="4">
        <f>=ROUNDDOWN(102,0)</f>
      </c>
      <c r="AB4345" s="5">
        <v>1</v>
      </c>
      <c r="AC4345" s="2" t="s">
        <v>100</v>
      </c>
      <c r="AD4345" s="4"/>
      <c r="AE4345" s="4"/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34</v>
      </c>
      <c r="BK4345" s="8">
        <v>897.41</v>
      </c>
      <c r="BL4345" s="2" t="s">
        <v>494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207</v>
      </c>
      <c r="BV4345" s="2" t="s">
        <v>97</v>
      </c>
      <c r="BW4345" s="2" t="s">
        <v>100</v>
      </c>
      <c r="BX4345" s="2" t="s">
        <v>100</v>
      </c>
      <c r="BY4345" s="2" t="s">
        <v>113</v>
      </c>
      <c r="BZ4345" s="2" t="s">
        <v>100</v>
      </c>
    </row>
    <row r="4346">
      <c r="A4346" s="2" t="s">
        <v>13101</v>
      </c>
      <c r="B4346" s="2" t="s">
        <v>12738</v>
      </c>
      <c r="C4346" s="2" t="s">
        <v>3934</v>
      </c>
      <c r="D4346" s="2" t="s">
        <v>1638</v>
      </c>
      <c r="E4346" s="2" t="s">
        <v>1759</v>
      </c>
      <c r="F4346" s="2" t="s">
        <v>430</v>
      </c>
      <c r="G4346" s="2" t="s">
        <v>2154</v>
      </c>
      <c r="H4346" s="2" t="s">
        <v>6067</v>
      </c>
      <c r="I4346" s="2" t="s">
        <v>13102</v>
      </c>
      <c r="J4346" s="2" t="s">
        <v>237</v>
      </c>
      <c r="K4346" s="2" t="s">
        <v>360</v>
      </c>
      <c r="L4346" s="3">
        <v>23.8</v>
      </c>
      <c r="M4346" s="3">
        <v>24.99</v>
      </c>
      <c r="N4346" s="3">
        <v>49.99</v>
      </c>
      <c r="O4346" s="2" t="s">
        <v>2587</v>
      </c>
      <c r="P4346" s="2" t="s">
        <v>119</v>
      </c>
      <c r="Q4346" s="2" t="s">
        <v>99</v>
      </c>
      <c r="R4346" s="2" t="s">
        <v>100</v>
      </c>
      <c r="S4346" s="2" t="s">
        <v>12924</v>
      </c>
      <c r="T4346" s="2" t="s">
        <v>218</v>
      </c>
      <c r="U4346" s="2" t="s">
        <v>480</v>
      </c>
      <c r="V4346" s="2" t="s">
        <v>2661</v>
      </c>
      <c r="W4346" s="2" t="s">
        <v>561</v>
      </c>
      <c r="X4346" s="2" t="s">
        <v>203</v>
      </c>
      <c r="Y4346" s="2" t="s">
        <v>12927</v>
      </c>
      <c r="Z4346" s="4">
        <v>117</v>
      </c>
      <c r="AA4346" s="4">
        <f>=ROUNDDOWN(167.142857142857,0)</f>
      </c>
      <c r="AB4346" s="5">
        <v>0.7</v>
      </c>
      <c r="AC4346" s="2" t="s">
        <v>100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37</v>
      </c>
      <c r="BK4346" s="8">
        <v>993.05</v>
      </c>
      <c r="BL4346" s="2" t="s">
        <v>1596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207</v>
      </c>
      <c r="BV4346" s="2" t="s">
        <v>97</v>
      </c>
      <c r="BW4346" s="2" t="s">
        <v>100</v>
      </c>
      <c r="BX4346" s="2" t="s">
        <v>100</v>
      </c>
      <c r="BY4346" s="2" t="s">
        <v>113</v>
      </c>
      <c r="BZ4346" s="2" t="s">
        <v>100</v>
      </c>
    </row>
    <row r="4347">
      <c r="A4347" s="2" t="s">
        <v>13103</v>
      </c>
      <c r="B4347" s="2" t="s">
        <v>12738</v>
      </c>
      <c r="C4347" s="2" t="s">
        <v>3934</v>
      </c>
      <c r="D4347" s="2" t="s">
        <v>1638</v>
      </c>
      <c r="E4347" s="2" t="s">
        <v>1759</v>
      </c>
      <c r="F4347" s="2" t="s">
        <v>430</v>
      </c>
      <c r="G4347" s="2" t="s">
        <v>2154</v>
      </c>
      <c r="H4347" s="2" t="s">
        <v>6067</v>
      </c>
      <c r="I4347" s="2" t="s">
        <v>13102</v>
      </c>
      <c r="J4347" s="2" t="s">
        <v>247</v>
      </c>
      <c r="K4347" s="2" t="s">
        <v>360</v>
      </c>
      <c r="L4347" s="3">
        <v>28.57</v>
      </c>
      <c r="M4347" s="3">
        <v>30</v>
      </c>
      <c r="N4347" s="3">
        <v>59.99</v>
      </c>
      <c r="O4347" s="2" t="s">
        <v>2587</v>
      </c>
      <c r="P4347" s="2" t="s">
        <v>119</v>
      </c>
      <c r="Q4347" s="2" t="s">
        <v>99</v>
      </c>
      <c r="R4347" s="2" t="s">
        <v>100</v>
      </c>
      <c r="S4347" s="2" t="s">
        <v>12924</v>
      </c>
      <c r="T4347" s="2" t="s">
        <v>218</v>
      </c>
      <c r="U4347" s="2" t="s">
        <v>402</v>
      </c>
      <c r="V4347" s="2" t="s">
        <v>2661</v>
      </c>
      <c r="W4347" s="2" t="s">
        <v>561</v>
      </c>
      <c r="X4347" s="2" t="s">
        <v>203</v>
      </c>
      <c r="Y4347" s="2" t="s">
        <v>12927</v>
      </c>
      <c r="Z4347" s="4">
        <v>100</v>
      </c>
      <c r="AA4347" s="4">
        <f>=ROUNDDOWN(31.25,0)</f>
      </c>
      <c r="AB4347" s="5">
        <v>3.2</v>
      </c>
      <c r="AC4347" s="2" t="s">
        <v>100</v>
      </c>
      <c r="AD4347" s="4"/>
      <c r="AE4347" s="4"/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>
        <v>88</v>
      </c>
      <c r="BK4347" s="8">
        <v>2839.25</v>
      </c>
      <c r="BL4347" s="2" t="s">
        <v>1056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207</v>
      </c>
      <c r="BV4347" s="2" t="s">
        <v>97</v>
      </c>
      <c r="BW4347" s="2" t="s">
        <v>100</v>
      </c>
      <c r="BX4347" s="2" t="s">
        <v>100</v>
      </c>
      <c r="BY4347" s="2" t="s">
        <v>113</v>
      </c>
      <c r="BZ4347" s="2" t="s">
        <v>100</v>
      </c>
    </row>
    <row r="4348">
      <c r="A4348" s="2" t="s">
        <v>13104</v>
      </c>
      <c r="B4348" s="2" t="s">
        <v>12738</v>
      </c>
      <c r="C4348" s="2" t="s">
        <v>3934</v>
      </c>
      <c r="D4348" s="2" t="s">
        <v>1638</v>
      </c>
      <c r="E4348" s="2" t="s">
        <v>1639</v>
      </c>
      <c r="F4348" s="2" t="s">
        <v>3414</v>
      </c>
      <c r="G4348" s="2" t="s">
        <v>8343</v>
      </c>
      <c r="H4348" s="2" t="s">
        <v>12844</v>
      </c>
      <c r="I4348" s="2" t="s">
        <v>13105</v>
      </c>
      <c r="J4348" s="2" t="s">
        <v>237</v>
      </c>
      <c r="K4348" s="2" t="s">
        <v>12845</v>
      </c>
      <c r="L4348" s="3">
        <v>14.28</v>
      </c>
      <c r="M4348" s="3">
        <v>14.99</v>
      </c>
      <c r="N4348" s="3">
        <v>29.99</v>
      </c>
      <c r="O4348" s="2" t="s">
        <v>97</v>
      </c>
      <c r="P4348" s="2" t="s">
        <v>119</v>
      </c>
      <c r="Q4348" s="2" t="s">
        <v>99</v>
      </c>
      <c r="R4348" s="2" t="s">
        <v>100</v>
      </c>
      <c r="S4348" s="2" t="s">
        <v>12846</v>
      </c>
      <c r="T4348" s="2" t="s">
        <v>218</v>
      </c>
      <c r="U4348" s="2" t="s">
        <v>514</v>
      </c>
      <c r="V4348" s="2" t="s">
        <v>201</v>
      </c>
      <c r="W4348" s="2" t="s">
        <v>183</v>
      </c>
      <c r="X4348" s="2" t="s">
        <v>202</v>
      </c>
      <c r="Y4348" s="2" t="s">
        <v>1471</v>
      </c>
      <c r="Z4348" s="4">
        <v>6</v>
      </c>
      <c r="AA4348" s="4">
        <f>=ROUNDDOWN(1.5,0)</f>
      </c>
      <c r="AB4348" s="5">
        <v>4</v>
      </c>
      <c r="AC4348" s="2" t="s">
        <v>282</v>
      </c>
      <c r="AD4348" s="4">
        <v>80</v>
      </c>
      <c r="AE4348" s="4">
        <v>140</v>
      </c>
      <c r="AF4348" s="6">
        <v>64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>
        <v>94</v>
      </c>
      <c r="BK4348" s="8">
        <v>1519.09</v>
      </c>
      <c r="BL4348" s="2" t="s">
        <v>13106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207</v>
      </c>
      <c r="BV4348" s="2" t="s">
        <v>97</v>
      </c>
      <c r="BW4348" s="2" t="s">
        <v>100</v>
      </c>
      <c r="BX4348" s="2" t="s">
        <v>100</v>
      </c>
      <c r="BY4348" s="2" t="s">
        <v>113</v>
      </c>
      <c r="BZ4348" s="2" t="s">
        <v>100</v>
      </c>
    </row>
    <row r="4349">
      <c r="A4349" s="2" t="s">
        <v>13107</v>
      </c>
      <c r="B4349" s="2" t="s">
        <v>12738</v>
      </c>
      <c r="C4349" s="2" t="s">
        <v>3934</v>
      </c>
      <c r="D4349" s="2" t="s">
        <v>1638</v>
      </c>
      <c r="E4349" s="2" t="s">
        <v>1639</v>
      </c>
      <c r="F4349" s="2" t="s">
        <v>3414</v>
      </c>
      <c r="G4349" s="2" t="s">
        <v>8343</v>
      </c>
      <c r="H4349" s="2" t="s">
        <v>12844</v>
      </c>
      <c r="I4349" s="2" t="s">
        <v>13105</v>
      </c>
      <c r="J4349" s="2" t="s">
        <v>247</v>
      </c>
      <c r="K4349" s="2" t="s">
        <v>12845</v>
      </c>
      <c r="L4349" s="3">
        <v>19.04</v>
      </c>
      <c r="M4349" s="3">
        <v>19.99</v>
      </c>
      <c r="N4349" s="3">
        <v>39.99</v>
      </c>
      <c r="O4349" s="2" t="s">
        <v>97</v>
      </c>
      <c r="P4349" s="2" t="s">
        <v>119</v>
      </c>
      <c r="Q4349" s="2" t="s">
        <v>99</v>
      </c>
      <c r="R4349" s="2" t="s">
        <v>100</v>
      </c>
      <c r="S4349" s="2" t="s">
        <v>12846</v>
      </c>
      <c r="T4349" s="2" t="s">
        <v>218</v>
      </c>
      <c r="U4349" s="2" t="s">
        <v>480</v>
      </c>
      <c r="V4349" s="2" t="s">
        <v>201</v>
      </c>
      <c r="W4349" s="2" t="s">
        <v>183</v>
      </c>
      <c r="X4349" s="2" t="s">
        <v>202</v>
      </c>
      <c r="Y4349" s="2" t="s">
        <v>1471</v>
      </c>
      <c r="Z4349" s="4">
        <v>13</v>
      </c>
      <c r="AA4349" s="4">
        <f>=ROUNDDOWN(2.6,0)</f>
      </c>
      <c r="AB4349" s="5">
        <v>5</v>
      </c>
      <c r="AC4349" s="2" t="s">
        <v>282</v>
      </c>
      <c r="AD4349" s="4">
        <v>100</v>
      </c>
      <c r="AE4349" s="4">
        <v>160</v>
      </c>
      <c r="AF4349" s="6">
        <v>64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>
        <v>101</v>
      </c>
      <c r="BK4349" s="8">
        <v>2162.54</v>
      </c>
      <c r="BL4349" s="2" t="s">
        <v>1738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207</v>
      </c>
      <c r="BV4349" s="2" t="s">
        <v>97</v>
      </c>
      <c r="BW4349" s="2" t="s">
        <v>100</v>
      </c>
      <c r="BX4349" s="2" t="s">
        <v>100</v>
      </c>
      <c r="BY4349" s="2" t="s">
        <v>113</v>
      </c>
      <c r="BZ4349" s="2" t="s">
        <v>100</v>
      </c>
    </row>
    <row r="4350">
      <c r="A4350" s="2" t="s">
        <v>13108</v>
      </c>
      <c r="B4350" s="2" t="s">
        <v>12738</v>
      </c>
      <c r="C4350" s="2" t="s">
        <v>3934</v>
      </c>
      <c r="D4350" s="2" t="s">
        <v>1638</v>
      </c>
      <c r="E4350" s="2" t="s">
        <v>1639</v>
      </c>
      <c r="F4350" s="2" t="s">
        <v>8360</v>
      </c>
      <c r="G4350" s="2" t="s">
        <v>5305</v>
      </c>
      <c r="H4350" s="2" t="s">
        <v>12929</v>
      </c>
      <c r="I4350" s="2" t="s">
        <v>13109</v>
      </c>
      <c r="J4350" s="2" t="s">
        <v>237</v>
      </c>
      <c r="K4350" s="2" t="s">
        <v>12931</v>
      </c>
      <c r="L4350" s="3">
        <v>23.8</v>
      </c>
      <c r="M4350" s="3">
        <v>24.99</v>
      </c>
      <c r="N4350" s="3">
        <v>49.99</v>
      </c>
      <c r="O4350" s="2" t="s">
        <v>97</v>
      </c>
      <c r="P4350" s="2" t="s">
        <v>225</v>
      </c>
      <c r="Q4350" s="2" t="s">
        <v>99</v>
      </c>
      <c r="R4350" s="2" t="s">
        <v>100</v>
      </c>
      <c r="S4350" s="2" t="s">
        <v>12932</v>
      </c>
      <c r="T4350" s="2" t="s">
        <v>6072</v>
      </c>
      <c r="U4350" s="2" t="s">
        <v>514</v>
      </c>
      <c r="V4350" s="2" t="s">
        <v>1150</v>
      </c>
      <c r="W4350" s="2" t="s">
        <v>561</v>
      </c>
      <c r="X4350" s="2" t="s">
        <v>100</v>
      </c>
      <c r="Y4350" s="2" t="s">
        <v>12893</v>
      </c>
      <c r="Z4350" s="4">
        <v>240</v>
      </c>
      <c r="AA4350" s="4">
        <f>=ROUNDDOWN(60,0)</f>
      </c>
      <c r="AB4350" s="5">
        <v>4</v>
      </c>
      <c r="AC4350" s="2" t="s">
        <v>100</v>
      </c>
      <c r="AD4350" s="4"/>
      <c r="AE4350" s="4"/>
      <c r="AF4350" s="6">
        <v>64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72</v>
      </c>
      <c r="BK4350" s="8">
        <v>1939.62</v>
      </c>
      <c r="BL4350" s="2" t="s">
        <v>5003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207</v>
      </c>
      <c r="BV4350" s="2" t="s">
        <v>97</v>
      </c>
      <c r="BW4350" s="2" t="s">
        <v>100</v>
      </c>
      <c r="BX4350" s="2" t="s">
        <v>100</v>
      </c>
      <c r="BY4350" s="2" t="s">
        <v>113</v>
      </c>
      <c r="BZ4350" s="2" t="s">
        <v>100</v>
      </c>
    </row>
    <row r="4351">
      <c r="A4351" s="2" t="s">
        <v>13110</v>
      </c>
      <c r="B4351" s="2" t="s">
        <v>12738</v>
      </c>
      <c r="C4351" s="2" t="s">
        <v>3934</v>
      </c>
      <c r="D4351" s="2" t="s">
        <v>1638</v>
      </c>
      <c r="E4351" s="2" t="s">
        <v>1639</v>
      </c>
      <c r="F4351" s="2" t="s">
        <v>8360</v>
      </c>
      <c r="G4351" s="2" t="s">
        <v>5305</v>
      </c>
      <c r="H4351" s="2" t="s">
        <v>12929</v>
      </c>
      <c r="I4351" s="2" t="s">
        <v>13109</v>
      </c>
      <c r="J4351" s="2" t="s">
        <v>247</v>
      </c>
      <c r="K4351" s="2" t="s">
        <v>12931</v>
      </c>
      <c r="L4351" s="3">
        <v>33.33</v>
      </c>
      <c r="M4351" s="3">
        <v>35</v>
      </c>
      <c r="N4351" s="3">
        <v>69.99</v>
      </c>
      <c r="O4351" s="2" t="s">
        <v>97</v>
      </c>
      <c r="P4351" s="2" t="s">
        <v>225</v>
      </c>
      <c r="Q4351" s="2" t="s">
        <v>99</v>
      </c>
      <c r="R4351" s="2" t="s">
        <v>100</v>
      </c>
      <c r="S4351" s="2" t="s">
        <v>12932</v>
      </c>
      <c r="T4351" s="2" t="s">
        <v>6072</v>
      </c>
      <c r="U4351" s="2" t="s">
        <v>480</v>
      </c>
      <c r="V4351" s="2" t="s">
        <v>1150</v>
      </c>
      <c r="W4351" s="2" t="s">
        <v>561</v>
      </c>
      <c r="X4351" s="2" t="s">
        <v>100</v>
      </c>
      <c r="Y4351" s="2" t="s">
        <v>12893</v>
      </c>
      <c r="Z4351" s="4">
        <v>364</v>
      </c>
      <c r="AA4351" s="4">
        <f>=ROUNDDOWN(60.6666666666667,0)</f>
      </c>
      <c r="AB4351" s="5">
        <v>6</v>
      </c>
      <c r="AC4351" s="2" t="s">
        <v>100</v>
      </c>
      <c r="AD4351" s="4"/>
      <c r="AE4351" s="4"/>
      <c r="AF4351" s="6">
        <v>64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>
        <v>97</v>
      </c>
      <c r="BK4351" s="8">
        <v>3680.32</v>
      </c>
      <c r="BL4351" s="2" t="s">
        <v>446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207</v>
      </c>
      <c r="BV4351" s="2" t="s">
        <v>97</v>
      </c>
      <c r="BW4351" s="2" t="s">
        <v>100</v>
      </c>
      <c r="BX4351" s="2" t="s">
        <v>100</v>
      </c>
      <c r="BY4351" s="2" t="s">
        <v>113</v>
      </c>
      <c r="BZ4351" s="2" t="s">
        <v>100</v>
      </c>
    </row>
    <row r="4352">
      <c r="A4352" s="2" t="s">
        <v>13111</v>
      </c>
      <c r="B4352" s="2" t="s">
        <v>12738</v>
      </c>
      <c r="C4352" s="2" t="s">
        <v>3934</v>
      </c>
      <c r="D4352" s="2" t="s">
        <v>1638</v>
      </c>
      <c r="E4352" s="2" t="s">
        <v>1639</v>
      </c>
      <c r="F4352" s="2" t="s">
        <v>8360</v>
      </c>
      <c r="G4352" s="2" t="s">
        <v>5305</v>
      </c>
      <c r="H4352" s="2" t="s">
        <v>12929</v>
      </c>
      <c r="I4352" s="2" t="s">
        <v>13109</v>
      </c>
      <c r="J4352" s="2" t="s">
        <v>270</v>
      </c>
      <c r="K4352" s="2" t="s">
        <v>12931</v>
      </c>
      <c r="L4352" s="3">
        <v>38.09</v>
      </c>
      <c r="M4352" s="3">
        <v>39.99</v>
      </c>
      <c r="N4352" s="3">
        <v>79.99</v>
      </c>
      <c r="O4352" s="2" t="s">
        <v>97</v>
      </c>
      <c r="P4352" s="2" t="s">
        <v>225</v>
      </c>
      <c r="Q4352" s="2" t="s">
        <v>99</v>
      </c>
      <c r="R4352" s="2" t="s">
        <v>100</v>
      </c>
      <c r="S4352" s="2" t="s">
        <v>12932</v>
      </c>
      <c r="T4352" s="2" t="s">
        <v>6072</v>
      </c>
      <c r="U4352" s="2" t="s">
        <v>480</v>
      </c>
      <c r="V4352" s="2" t="s">
        <v>1150</v>
      </c>
      <c r="W4352" s="2" t="s">
        <v>561</v>
      </c>
      <c r="X4352" s="2" t="s">
        <v>100</v>
      </c>
      <c r="Y4352" s="2" t="s">
        <v>12893</v>
      </c>
      <c r="Z4352" s="4">
        <v>254</v>
      </c>
      <c r="AA4352" s="4">
        <f>=ROUNDDOWN(50.8,0)</f>
      </c>
      <c r="AB4352" s="5">
        <v>5</v>
      </c>
      <c r="AC4352" s="2" t="s">
        <v>100</v>
      </c>
      <c r="AD4352" s="4"/>
      <c r="AE4352" s="4"/>
      <c r="AF4352" s="6">
        <v>64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>
        <v>64</v>
      </c>
      <c r="BK4352" s="8">
        <v>2747.01</v>
      </c>
      <c r="BL4352" s="2" t="s">
        <v>1929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207</v>
      </c>
      <c r="BV4352" s="2" t="s">
        <v>97</v>
      </c>
      <c r="BW4352" s="2" t="s">
        <v>100</v>
      </c>
      <c r="BX4352" s="2" t="s">
        <v>100</v>
      </c>
      <c r="BY4352" s="2" t="s">
        <v>113</v>
      </c>
      <c r="BZ4352" s="2" t="s">
        <v>100</v>
      </c>
    </row>
    <row r="4353">
      <c r="A4353" s="2" t="s">
        <v>13112</v>
      </c>
      <c r="B4353" s="2" t="s">
        <v>12738</v>
      </c>
      <c r="C4353" s="2" t="s">
        <v>3934</v>
      </c>
      <c r="D4353" s="2" t="s">
        <v>1638</v>
      </c>
      <c r="E4353" s="2" t="s">
        <v>1639</v>
      </c>
      <c r="F4353" s="2" t="s">
        <v>12874</v>
      </c>
      <c r="G4353" s="2" t="s">
        <v>12572</v>
      </c>
      <c r="H4353" s="2" t="s">
        <v>12875</v>
      </c>
      <c r="I4353" s="2" t="s">
        <v>13113</v>
      </c>
      <c r="J4353" s="2" t="s">
        <v>237</v>
      </c>
      <c r="K4353" s="2" t="s">
        <v>118</v>
      </c>
      <c r="L4353" s="3">
        <v>14.28</v>
      </c>
      <c r="M4353" s="3">
        <v>14.99</v>
      </c>
      <c r="N4353" s="3">
        <v>29.99</v>
      </c>
      <c r="O4353" s="2" t="s">
        <v>97</v>
      </c>
      <c r="P4353" s="2" t="s">
        <v>119</v>
      </c>
      <c r="Q4353" s="2" t="s">
        <v>99</v>
      </c>
      <c r="R4353" s="2" t="s">
        <v>100</v>
      </c>
      <c r="S4353" s="2" t="s">
        <v>12877</v>
      </c>
      <c r="T4353" s="2" t="s">
        <v>218</v>
      </c>
      <c r="U4353" s="2" t="s">
        <v>514</v>
      </c>
      <c r="V4353" s="2" t="s">
        <v>12878</v>
      </c>
      <c r="W4353" s="2" t="s">
        <v>219</v>
      </c>
      <c r="X4353" s="2" t="s">
        <v>100</v>
      </c>
      <c r="Y4353" s="2" t="s">
        <v>4929</v>
      </c>
      <c r="Z4353" s="4"/>
      <c r="AA4353" s="4">
        <f>=ROUNDDOWN({0},0)</f>
      </c>
      <c r="AB4353" s="5">
        <v>4</v>
      </c>
      <c r="AC4353" s="2" t="s">
        <v>768</v>
      </c>
      <c r="AD4353" s="4">
        <v>130</v>
      </c>
      <c r="AE4353" s="4">
        <v>130</v>
      </c>
      <c r="AF4353" s="6">
        <v>64</v>
      </c>
      <c r="AG4353" s="6"/>
      <c r="AH4353" s="7">
        <v>0.5882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/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/>
      <c r="BJ4353" s="4">
        <v>96</v>
      </c>
      <c r="BK4353" s="8">
        <v>1598.69</v>
      </c>
      <c r="BL4353" s="2" t="s">
        <v>3629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207</v>
      </c>
      <c r="BV4353" s="2" t="s">
        <v>97</v>
      </c>
      <c r="BW4353" s="2" t="s">
        <v>100</v>
      </c>
      <c r="BX4353" s="2" t="s">
        <v>100</v>
      </c>
      <c r="BY4353" s="2" t="s">
        <v>113</v>
      </c>
      <c r="BZ4353" s="2" t="s">
        <v>100</v>
      </c>
    </row>
    <row r="4354">
      <c r="A4354" s="2" t="s">
        <v>13114</v>
      </c>
      <c r="B4354" s="2" t="s">
        <v>12738</v>
      </c>
      <c r="C4354" s="2" t="s">
        <v>3934</v>
      </c>
      <c r="D4354" s="2" t="s">
        <v>1638</v>
      </c>
      <c r="E4354" s="2" t="s">
        <v>1639</v>
      </c>
      <c r="F4354" s="2" t="s">
        <v>12874</v>
      </c>
      <c r="G4354" s="2" t="s">
        <v>12572</v>
      </c>
      <c r="H4354" s="2" t="s">
        <v>12875</v>
      </c>
      <c r="I4354" s="2" t="s">
        <v>13113</v>
      </c>
      <c r="J4354" s="2" t="s">
        <v>247</v>
      </c>
      <c r="K4354" s="2" t="s">
        <v>118</v>
      </c>
      <c r="L4354" s="3">
        <v>19.04</v>
      </c>
      <c r="M4354" s="3">
        <v>19.99</v>
      </c>
      <c r="N4354" s="3">
        <v>39.99</v>
      </c>
      <c r="O4354" s="2" t="s">
        <v>97</v>
      </c>
      <c r="P4354" s="2" t="s">
        <v>119</v>
      </c>
      <c r="Q4354" s="2" t="s">
        <v>99</v>
      </c>
      <c r="R4354" s="2" t="s">
        <v>100</v>
      </c>
      <c r="S4354" s="2" t="s">
        <v>12877</v>
      </c>
      <c r="T4354" s="2" t="s">
        <v>218</v>
      </c>
      <c r="U4354" s="2" t="s">
        <v>480</v>
      </c>
      <c r="V4354" s="2" t="s">
        <v>12878</v>
      </c>
      <c r="W4354" s="2" t="s">
        <v>219</v>
      </c>
      <c r="X4354" s="2" t="s">
        <v>100</v>
      </c>
      <c r="Y4354" s="2" t="s">
        <v>12893</v>
      </c>
      <c r="Z4354" s="4">
        <v>34</v>
      </c>
      <c r="AA4354" s="4">
        <f>=ROUNDDOWN(6.8,0)</f>
      </c>
      <c r="AB4354" s="5">
        <v>5</v>
      </c>
      <c r="AC4354" s="2" t="s">
        <v>768</v>
      </c>
      <c r="AD4354" s="4">
        <v>160</v>
      </c>
      <c r="AE4354" s="4">
        <v>160</v>
      </c>
      <c r="AF4354" s="6">
        <v>64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>
        <v>79</v>
      </c>
      <c r="BK4354" s="8">
        <v>1753.25</v>
      </c>
      <c r="BL4354" s="2" t="s">
        <v>13115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207</v>
      </c>
      <c r="BV4354" s="2" t="s">
        <v>97</v>
      </c>
      <c r="BW4354" s="2" t="s">
        <v>100</v>
      </c>
      <c r="BX4354" s="2" t="s">
        <v>100</v>
      </c>
      <c r="BY4354" s="2" t="s">
        <v>113</v>
      </c>
      <c r="BZ4354" s="2" t="s">
        <v>100</v>
      </c>
    </row>
    <row r="4355">
      <c r="A4355" s="2" t="s">
        <v>13116</v>
      </c>
      <c r="B4355" s="2" t="s">
        <v>12738</v>
      </c>
      <c r="C4355" s="2" t="s">
        <v>3934</v>
      </c>
      <c r="D4355" s="2" t="s">
        <v>1638</v>
      </c>
      <c r="E4355" s="2" t="s">
        <v>1639</v>
      </c>
      <c r="F4355" s="2" t="s">
        <v>12945</v>
      </c>
      <c r="G4355" s="2" t="s">
        <v>5241</v>
      </c>
      <c r="H4355" s="2" t="s">
        <v>2023</v>
      </c>
      <c r="I4355" s="2" t="s">
        <v>13117</v>
      </c>
      <c r="J4355" s="2" t="s">
        <v>237</v>
      </c>
      <c r="K4355" s="2" t="s">
        <v>169</v>
      </c>
      <c r="L4355" s="3">
        <v>23.8</v>
      </c>
      <c r="M4355" s="3">
        <v>24.99</v>
      </c>
      <c r="N4355" s="3">
        <v>49.99</v>
      </c>
      <c r="O4355" s="2" t="s">
        <v>97</v>
      </c>
      <c r="P4355" s="2" t="s">
        <v>225</v>
      </c>
      <c r="Q4355" s="2" t="s">
        <v>99</v>
      </c>
      <c r="R4355" s="2" t="s">
        <v>100</v>
      </c>
      <c r="S4355" s="2" t="s">
        <v>12947</v>
      </c>
      <c r="T4355" s="2" t="s">
        <v>200</v>
      </c>
      <c r="U4355" s="2" t="s">
        <v>514</v>
      </c>
      <c r="V4355" s="2" t="s">
        <v>2508</v>
      </c>
      <c r="W4355" s="2" t="s">
        <v>561</v>
      </c>
      <c r="X4355" s="2" t="s">
        <v>183</v>
      </c>
      <c r="Y4355" s="2" t="s">
        <v>5000</v>
      </c>
      <c r="Z4355" s="4">
        <v>60</v>
      </c>
      <c r="AA4355" s="4">
        <f>=ROUNDDOWN(20,0)</f>
      </c>
      <c r="AB4355" s="5">
        <v>3</v>
      </c>
      <c r="AC4355" s="2" t="s">
        <v>1012</v>
      </c>
      <c r="AD4355" s="4">
        <v>20</v>
      </c>
      <c r="AE4355" s="4">
        <v>50</v>
      </c>
      <c r="AF4355" s="6">
        <v>66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>
        <v>29</v>
      </c>
      <c r="BK4355" s="8">
        <v>782.71</v>
      </c>
      <c r="BL4355" s="2" t="s">
        <v>1210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207</v>
      </c>
      <c r="BV4355" s="2" t="s">
        <v>97</v>
      </c>
      <c r="BW4355" s="2" t="s">
        <v>100</v>
      </c>
      <c r="BX4355" s="2" t="s">
        <v>100</v>
      </c>
      <c r="BY4355" s="2" t="s">
        <v>113</v>
      </c>
      <c r="BZ4355" s="2" t="s">
        <v>100</v>
      </c>
    </row>
    <row r="4356">
      <c r="A4356" s="2" t="s">
        <v>13118</v>
      </c>
      <c r="B4356" s="2" t="s">
        <v>12738</v>
      </c>
      <c r="C4356" s="2" t="s">
        <v>3934</v>
      </c>
      <c r="D4356" s="2" t="s">
        <v>1638</v>
      </c>
      <c r="E4356" s="2" t="s">
        <v>1639</v>
      </c>
      <c r="F4356" s="2" t="s">
        <v>12945</v>
      </c>
      <c r="G4356" s="2" t="s">
        <v>5241</v>
      </c>
      <c r="H4356" s="2" t="s">
        <v>2023</v>
      </c>
      <c r="I4356" s="2" t="s">
        <v>13117</v>
      </c>
      <c r="J4356" s="2" t="s">
        <v>247</v>
      </c>
      <c r="K4356" s="2" t="s">
        <v>169</v>
      </c>
      <c r="L4356" s="3">
        <v>28.57</v>
      </c>
      <c r="M4356" s="3">
        <v>30</v>
      </c>
      <c r="N4356" s="3">
        <v>59.99</v>
      </c>
      <c r="O4356" s="2" t="s">
        <v>97</v>
      </c>
      <c r="P4356" s="2" t="s">
        <v>225</v>
      </c>
      <c r="Q4356" s="2" t="s">
        <v>99</v>
      </c>
      <c r="R4356" s="2" t="s">
        <v>100</v>
      </c>
      <c r="S4356" s="2" t="s">
        <v>12947</v>
      </c>
      <c r="T4356" s="2" t="s">
        <v>200</v>
      </c>
      <c r="U4356" s="2" t="s">
        <v>480</v>
      </c>
      <c r="V4356" s="2" t="s">
        <v>2508</v>
      </c>
      <c r="W4356" s="2" t="s">
        <v>561</v>
      </c>
      <c r="X4356" s="2" t="s">
        <v>183</v>
      </c>
      <c r="Y4356" s="2" t="s">
        <v>481</v>
      </c>
      <c r="Z4356" s="4">
        <v>4</v>
      </c>
      <c r="AA4356" s="4">
        <f>=ROUNDDOWN(0.5,0)</f>
      </c>
      <c r="AB4356" s="5">
        <v>8</v>
      </c>
      <c r="AC4356" s="2" t="s">
        <v>1012</v>
      </c>
      <c r="AD4356" s="4">
        <v>60</v>
      </c>
      <c r="AE4356" s="4">
        <v>160</v>
      </c>
      <c r="AF4356" s="6">
        <v>66</v>
      </c>
      <c r="AG4356" s="6"/>
      <c r="AH4356" s="7">
        <v>0.7233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>
        <v>104</v>
      </c>
      <c r="BK4356" s="8">
        <v>3362.4</v>
      </c>
      <c r="BL4356" s="2" t="s">
        <v>1310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207</v>
      </c>
      <c r="BV4356" s="2" t="s">
        <v>97</v>
      </c>
      <c r="BW4356" s="2" t="s">
        <v>100</v>
      </c>
      <c r="BX4356" s="2" t="s">
        <v>100</v>
      </c>
      <c r="BY4356" s="2" t="s">
        <v>113</v>
      </c>
      <c r="BZ4356" s="2" t="s">
        <v>100</v>
      </c>
    </row>
    <row r="4357">
      <c r="A4357" s="2" t="s">
        <v>13119</v>
      </c>
      <c r="B4357" s="2" t="s">
        <v>12738</v>
      </c>
      <c r="C4357" s="2" t="s">
        <v>3934</v>
      </c>
      <c r="D4357" s="2" t="s">
        <v>1638</v>
      </c>
      <c r="E4357" s="2" t="s">
        <v>1639</v>
      </c>
      <c r="F4357" s="2" t="s">
        <v>12945</v>
      </c>
      <c r="G4357" s="2" t="s">
        <v>5241</v>
      </c>
      <c r="H4357" s="2" t="s">
        <v>2023</v>
      </c>
      <c r="I4357" s="2" t="s">
        <v>13117</v>
      </c>
      <c r="J4357" s="2" t="s">
        <v>270</v>
      </c>
      <c r="K4357" s="2" t="s">
        <v>169</v>
      </c>
      <c r="L4357" s="3">
        <v>33.33</v>
      </c>
      <c r="M4357" s="3">
        <v>35</v>
      </c>
      <c r="N4357" s="3">
        <v>69.99</v>
      </c>
      <c r="O4357" s="2" t="s">
        <v>97</v>
      </c>
      <c r="P4357" s="2" t="s">
        <v>225</v>
      </c>
      <c r="Q4357" s="2" t="s">
        <v>99</v>
      </c>
      <c r="R4357" s="2" t="s">
        <v>100</v>
      </c>
      <c r="S4357" s="2" t="s">
        <v>12947</v>
      </c>
      <c r="T4357" s="2" t="s">
        <v>200</v>
      </c>
      <c r="U4357" s="2" t="s">
        <v>480</v>
      </c>
      <c r="V4357" s="2" t="s">
        <v>2508</v>
      </c>
      <c r="W4357" s="2" t="s">
        <v>561</v>
      </c>
      <c r="X4357" s="2" t="s">
        <v>183</v>
      </c>
      <c r="Y4357" s="2" t="s">
        <v>5000</v>
      </c>
      <c r="Z4357" s="4">
        <v>38</v>
      </c>
      <c r="AA4357" s="4">
        <f>=ROUNDDOWN(7.6,0)</f>
      </c>
      <c r="AB4357" s="5">
        <v>5</v>
      </c>
      <c r="AC4357" s="2" t="s">
        <v>1012</v>
      </c>
      <c r="AD4357" s="4">
        <v>50</v>
      </c>
      <c r="AE4357" s="4">
        <v>100</v>
      </c>
      <c r="AF4357" s="6">
        <v>66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38</v>
      </c>
      <c r="BK4357" s="8">
        <v>1436.4</v>
      </c>
      <c r="BL4357" s="2" t="s">
        <v>1210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207</v>
      </c>
      <c r="BV4357" s="2" t="s">
        <v>97</v>
      </c>
      <c r="BW4357" s="2" t="s">
        <v>100</v>
      </c>
      <c r="BX4357" s="2" t="s">
        <v>100</v>
      </c>
      <c r="BY4357" s="2" t="s">
        <v>113</v>
      </c>
      <c r="BZ4357" s="2" t="s">
        <v>100</v>
      </c>
    </row>
    <row r="4358">
      <c r="A4358" s="2" t="s">
        <v>13120</v>
      </c>
      <c r="B4358" s="2" t="s">
        <v>12738</v>
      </c>
      <c r="C4358" s="2" t="s">
        <v>3934</v>
      </c>
      <c r="D4358" s="2" t="s">
        <v>1638</v>
      </c>
      <c r="E4358" s="2" t="s">
        <v>1639</v>
      </c>
      <c r="F4358" s="2" t="s">
        <v>12951</v>
      </c>
      <c r="G4358" s="2" t="s">
        <v>5162</v>
      </c>
      <c r="H4358" s="2" t="s">
        <v>12952</v>
      </c>
      <c r="I4358" s="2" t="s">
        <v>13121</v>
      </c>
      <c r="J4358" s="2" t="s">
        <v>237</v>
      </c>
      <c r="K4358" s="2" t="s">
        <v>335</v>
      </c>
      <c r="L4358" s="3">
        <v>26.19</v>
      </c>
      <c r="M4358" s="3">
        <v>27.5</v>
      </c>
      <c r="N4358" s="3">
        <v>54.99</v>
      </c>
      <c r="O4358" s="2" t="s">
        <v>97</v>
      </c>
      <c r="P4358" s="2" t="s">
        <v>225</v>
      </c>
      <c r="Q4358" s="2" t="s">
        <v>99</v>
      </c>
      <c r="R4358" s="2" t="s">
        <v>100</v>
      </c>
      <c r="S4358" s="2" t="s">
        <v>12954</v>
      </c>
      <c r="T4358" s="2" t="s">
        <v>200</v>
      </c>
      <c r="U4358" s="2" t="s">
        <v>514</v>
      </c>
      <c r="V4358" s="2" t="s">
        <v>146</v>
      </c>
      <c r="W4358" s="2" t="s">
        <v>561</v>
      </c>
      <c r="X4358" s="2" t="s">
        <v>183</v>
      </c>
      <c r="Y4358" s="2" t="s">
        <v>1163</v>
      </c>
      <c r="Z4358" s="4">
        <v>108</v>
      </c>
      <c r="AA4358" s="4">
        <f>=ROUNDDOWN(108,0)</f>
      </c>
      <c r="AB4358" s="5">
        <v>1</v>
      </c>
      <c r="AC4358" s="2" t="s">
        <v>100</v>
      </c>
      <c r="AD4358" s="4"/>
      <c r="AE4358" s="4"/>
      <c r="AF4358" s="6">
        <v>66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/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/>
      <c r="BJ4358" s="4">
        <v>20</v>
      </c>
      <c r="BK4358" s="8">
        <v>591.54</v>
      </c>
      <c r="BL4358" s="2" t="s">
        <v>13122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207</v>
      </c>
      <c r="BV4358" s="2" t="s">
        <v>97</v>
      </c>
      <c r="BW4358" s="2" t="s">
        <v>100</v>
      </c>
      <c r="BX4358" s="2" t="s">
        <v>100</v>
      </c>
      <c r="BY4358" s="2" t="s">
        <v>113</v>
      </c>
      <c r="BZ4358" s="2" t="s">
        <v>100</v>
      </c>
    </row>
    <row r="4359">
      <c r="A4359" s="2" t="s">
        <v>13123</v>
      </c>
      <c r="B4359" s="2" t="s">
        <v>12738</v>
      </c>
      <c r="C4359" s="2" t="s">
        <v>3934</v>
      </c>
      <c r="D4359" s="2" t="s">
        <v>1638</v>
      </c>
      <c r="E4359" s="2" t="s">
        <v>1639</v>
      </c>
      <c r="F4359" s="2" t="s">
        <v>12951</v>
      </c>
      <c r="G4359" s="2" t="s">
        <v>5162</v>
      </c>
      <c r="H4359" s="2" t="s">
        <v>12952</v>
      </c>
      <c r="I4359" s="2" t="s">
        <v>13121</v>
      </c>
      <c r="J4359" s="2" t="s">
        <v>247</v>
      </c>
      <c r="K4359" s="2" t="s">
        <v>335</v>
      </c>
      <c r="L4359" s="3">
        <v>30.95</v>
      </c>
      <c r="M4359" s="3">
        <v>32.5</v>
      </c>
      <c r="N4359" s="3">
        <v>64.99</v>
      </c>
      <c r="O4359" s="2" t="s">
        <v>97</v>
      </c>
      <c r="P4359" s="2" t="s">
        <v>225</v>
      </c>
      <c r="Q4359" s="2" t="s">
        <v>99</v>
      </c>
      <c r="R4359" s="2" t="s">
        <v>100</v>
      </c>
      <c r="S4359" s="2" t="s">
        <v>12954</v>
      </c>
      <c r="T4359" s="2" t="s">
        <v>200</v>
      </c>
      <c r="U4359" s="2" t="s">
        <v>480</v>
      </c>
      <c r="V4359" s="2" t="s">
        <v>146</v>
      </c>
      <c r="W4359" s="2" t="s">
        <v>561</v>
      </c>
      <c r="X4359" s="2" t="s">
        <v>183</v>
      </c>
      <c r="Y4359" s="2" t="s">
        <v>1163</v>
      </c>
      <c r="Z4359" s="4">
        <v>180</v>
      </c>
      <c r="AA4359" s="4">
        <f>=ROUNDDOWN(90,0)</f>
      </c>
      <c r="AB4359" s="5">
        <v>2</v>
      </c>
      <c r="AC4359" s="2" t="s">
        <v>100</v>
      </c>
      <c r="AD4359" s="4"/>
      <c r="AE4359" s="4"/>
      <c r="AF4359" s="6">
        <v>66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>
        <v>28</v>
      </c>
      <c r="BK4359" s="8">
        <v>975.64</v>
      </c>
      <c r="BL4359" s="2" t="s">
        <v>1619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207</v>
      </c>
      <c r="BV4359" s="2" t="s">
        <v>97</v>
      </c>
      <c r="BW4359" s="2" t="s">
        <v>100</v>
      </c>
      <c r="BX4359" s="2" t="s">
        <v>100</v>
      </c>
      <c r="BY4359" s="2" t="s">
        <v>113</v>
      </c>
      <c r="BZ4359" s="2" t="s">
        <v>100</v>
      </c>
    </row>
    <row r="4360">
      <c r="A4360" s="2" t="s">
        <v>13124</v>
      </c>
      <c r="B4360" s="2" t="s">
        <v>12738</v>
      </c>
      <c r="C4360" s="2" t="s">
        <v>3934</v>
      </c>
      <c r="D4360" s="2" t="s">
        <v>1638</v>
      </c>
      <c r="E4360" s="2" t="s">
        <v>1639</v>
      </c>
      <c r="F4360" s="2" t="s">
        <v>12951</v>
      </c>
      <c r="G4360" s="2" t="s">
        <v>5162</v>
      </c>
      <c r="H4360" s="2" t="s">
        <v>12952</v>
      </c>
      <c r="I4360" s="2" t="s">
        <v>13121</v>
      </c>
      <c r="J4360" s="2" t="s">
        <v>237</v>
      </c>
      <c r="K4360" s="2" t="s">
        <v>118</v>
      </c>
      <c r="L4360" s="3">
        <v>26.19</v>
      </c>
      <c r="M4360" s="3">
        <v>27.5</v>
      </c>
      <c r="N4360" s="3">
        <v>54.99</v>
      </c>
      <c r="O4360" s="2" t="s">
        <v>97</v>
      </c>
      <c r="P4360" s="2" t="s">
        <v>225</v>
      </c>
      <c r="Q4360" s="2" t="s">
        <v>99</v>
      </c>
      <c r="R4360" s="2" t="s">
        <v>100</v>
      </c>
      <c r="S4360" s="2" t="s">
        <v>12959</v>
      </c>
      <c r="T4360" s="2" t="s">
        <v>200</v>
      </c>
      <c r="U4360" s="2" t="s">
        <v>514</v>
      </c>
      <c r="V4360" s="2" t="s">
        <v>146</v>
      </c>
      <c r="W4360" s="2" t="s">
        <v>561</v>
      </c>
      <c r="X4360" s="2" t="s">
        <v>183</v>
      </c>
      <c r="Y4360" s="2" t="s">
        <v>1163</v>
      </c>
      <c r="Z4360" s="4">
        <v>47</v>
      </c>
      <c r="AA4360" s="4">
        <f>=ROUNDDOWN(47,0)</f>
      </c>
      <c r="AB4360" s="5">
        <v>1</v>
      </c>
      <c r="AC4360" s="2" t="s">
        <v>100</v>
      </c>
      <c r="AD4360" s="4"/>
      <c r="AE4360" s="4"/>
      <c r="AF4360" s="6">
        <v>66</v>
      </c>
      <c r="AG4360" s="6"/>
      <c r="AH4360" s="7">
        <v>0.6667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>
        <v>90</v>
      </c>
      <c r="BK4360" s="8">
        <v>2698.9</v>
      </c>
      <c r="BL4360" s="2" t="s">
        <v>13125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207</v>
      </c>
      <c r="BV4360" s="2" t="s">
        <v>97</v>
      </c>
      <c r="BW4360" s="2" t="s">
        <v>100</v>
      </c>
      <c r="BX4360" s="2" t="s">
        <v>100</v>
      </c>
      <c r="BY4360" s="2" t="s">
        <v>113</v>
      </c>
      <c r="BZ4360" s="2" t="s">
        <v>100</v>
      </c>
    </row>
    <row r="4361">
      <c r="A4361" s="2" t="s">
        <v>13126</v>
      </c>
      <c r="B4361" s="2" t="s">
        <v>12738</v>
      </c>
      <c r="C4361" s="2" t="s">
        <v>3934</v>
      </c>
      <c r="D4361" s="2" t="s">
        <v>1638</v>
      </c>
      <c r="E4361" s="2" t="s">
        <v>1639</v>
      </c>
      <c r="F4361" s="2" t="s">
        <v>12951</v>
      </c>
      <c r="G4361" s="2" t="s">
        <v>5162</v>
      </c>
      <c r="H4361" s="2" t="s">
        <v>12952</v>
      </c>
      <c r="I4361" s="2" t="s">
        <v>13121</v>
      </c>
      <c r="J4361" s="2" t="s">
        <v>247</v>
      </c>
      <c r="K4361" s="2" t="s">
        <v>118</v>
      </c>
      <c r="L4361" s="3">
        <v>30.95</v>
      </c>
      <c r="M4361" s="3">
        <v>32.5</v>
      </c>
      <c r="N4361" s="3">
        <v>64.99</v>
      </c>
      <c r="O4361" s="2" t="s">
        <v>97</v>
      </c>
      <c r="P4361" s="2" t="s">
        <v>225</v>
      </c>
      <c r="Q4361" s="2" t="s">
        <v>99</v>
      </c>
      <c r="R4361" s="2" t="s">
        <v>100</v>
      </c>
      <c r="S4361" s="2" t="s">
        <v>12959</v>
      </c>
      <c r="T4361" s="2" t="s">
        <v>200</v>
      </c>
      <c r="U4361" s="2" t="s">
        <v>480</v>
      </c>
      <c r="V4361" s="2" t="s">
        <v>146</v>
      </c>
      <c r="W4361" s="2" t="s">
        <v>561</v>
      </c>
      <c r="X4361" s="2" t="s">
        <v>183</v>
      </c>
      <c r="Y4361" s="2" t="s">
        <v>1163</v>
      </c>
      <c r="Z4361" s="4">
        <v>227</v>
      </c>
      <c r="AA4361" s="4">
        <f>=ROUNDDOWN(75.6666666666667,0)</f>
      </c>
      <c r="AB4361" s="5">
        <v>3</v>
      </c>
      <c r="AC4361" s="2" t="s">
        <v>100</v>
      </c>
      <c r="AD4361" s="4"/>
      <c r="AE4361" s="4"/>
      <c r="AF4361" s="6">
        <v>66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>
        <v>52</v>
      </c>
      <c r="BK4361" s="8">
        <v>1832.89</v>
      </c>
      <c r="BL4361" s="2" t="s">
        <v>4908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207</v>
      </c>
      <c r="BV4361" s="2" t="s">
        <v>97</v>
      </c>
      <c r="BW4361" s="2" t="s">
        <v>100</v>
      </c>
      <c r="BX4361" s="2" t="s">
        <v>100</v>
      </c>
      <c r="BY4361" s="2" t="s">
        <v>113</v>
      </c>
      <c r="BZ4361" s="2" t="s">
        <v>100</v>
      </c>
    </row>
    <row r="4362">
      <c r="A4362" s="2" t="s">
        <v>13127</v>
      </c>
      <c r="B4362" s="2" t="s">
        <v>12738</v>
      </c>
      <c r="C4362" s="2" t="s">
        <v>3934</v>
      </c>
      <c r="D4362" s="2" t="s">
        <v>1638</v>
      </c>
      <c r="E4362" s="2" t="s">
        <v>1639</v>
      </c>
      <c r="F4362" s="2" t="s">
        <v>12951</v>
      </c>
      <c r="G4362" s="2" t="s">
        <v>5162</v>
      </c>
      <c r="H4362" s="2" t="s">
        <v>12952</v>
      </c>
      <c r="I4362" s="2" t="s">
        <v>13121</v>
      </c>
      <c r="J4362" s="2" t="s">
        <v>237</v>
      </c>
      <c r="K4362" s="2" t="s">
        <v>198</v>
      </c>
      <c r="L4362" s="3">
        <v>26.19</v>
      </c>
      <c r="M4362" s="3">
        <v>27.5</v>
      </c>
      <c r="N4362" s="3">
        <v>54.99</v>
      </c>
      <c r="O4362" s="2" t="s">
        <v>97</v>
      </c>
      <c r="P4362" s="2" t="s">
        <v>119</v>
      </c>
      <c r="Q4362" s="2" t="s">
        <v>99</v>
      </c>
      <c r="R4362" s="2" t="s">
        <v>100</v>
      </c>
      <c r="S4362" s="2" t="s">
        <v>12963</v>
      </c>
      <c r="T4362" s="2" t="s">
        <v>200</v>
      </c>
      <c r="U4362" s="2" t="s">
        <v>514</v>
      </c>
      <c r="V4362" s="2" t="s">
        <v>146</v>
      </c>
      <c r="W4362" s="2" t="s">
        <v>561</v>
      </c>
      <c r="X4362" s="2" t="s">
        <v>183</v>
      </c>
      <c r="Y4362" s="2" t="s">
        <v>12964</v>
      </c>
      <c r="Z4362" s="4">
        <v>183</v>
      </c>
      <c r="AA4362" s="4">
        <f>=ROUNDDOWN(183,0)</f>
      </c>
      <c r="AB4362" s="5">
        <v>1</v>
      </c>
      <c r="AC4362" s="2" t="s">
        <v>100</v>
      </c>
      <c r="AD4362" s="4"/>
      <c r="AE4362" s="4"/>
      <c r="AF4362" s="6">
        <v>66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>
        <v>17</v>
      </c>
      <c r="BK4362" s="8">
        <v>480.6</v>
      </c>
      <c r="BL4362" s="2" t="s">
        <v>656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207</v>
      </c>
      <c r="BV4362" s="2" t="s">
        <v>97</v>
      </c>
      <c r="BW4362" s="2" t="s">
        <v>100</v>
      </c>
      <c r="BX4362" s="2" t="s">
        <v>100</v>
      </c>
      <c r="BY4362" s="2" t="s">
        <v>113</v>
      </c>
      <c r="BZ4362" s="2" t="s">
        <v>100</v>
      </c>
    </row>
    <row r="4363">
      <c r="A4363" s="2" t="s">
        <v>13128</v>
      </c>
      <c r="B4363" s="2" t="s">
        <v>12738</v>
      </c>
      <c r="C4363" s="2" t="s">
        <v>3934</v>
      </c>
      <c r="D4363" s="2" t="s">
        <v>1638</v>
      </c>
      <c r="E4363" s="2" t="s">
        <v>1639</v>
      </c>
      <c r="F4363" s="2" t="s">
        <v>12951</v>
      </c>
      <c r="G4363" s="2" t="s">
        <v>5162</v>
      </c>
      <c r="H4363" s="2" t="s">
        <v>12952</v>
      </c>
      <c r="I4363" s="2" t="s">
        <v>13121</v>
      </c>
      <c r="J4363" s="2" t="s">
        <v>247</v>
      </c>
      <c r="K4363" s="2" t="s">
        <v>198</v>
      </c>
      <c r="L4363" s="3">
        <v>30.95</v>
      </c>
      <c r="M4363" s="3">
        <v>32.5</v>
      </c>
      <c r="N4363" s="3">
        <v>64.99</v>
      </c>
      <c r="O4363" s="2" t="s">
        <v>97</v>
      </c>
      <c r="P4363" s="2" t="s">
        <v>119</v>
      </c>
      <c r="Q4363" s="2" t="s">
        <v>99</v>
      </c>
      <c r="R4363" s="2" t="s">
        <v>100</v>
      </c>
      <c r="S4363" s="2" t="s">
        <v>12963</v>
      </c>
      <c r="T4363" s="2" t="s">
        <v>200</v>
      </c>
      <c r="U4363" s="2" t="s">
        <v>480</v>
      </c>
      <c r="V4363" s="2" t="s">
        <v>146</v>
      </c>
      <c r="W4363" s="2" t="s">
        <v>561</v>
      </c>
      <c r="X4363" s="2" t="s">
        <v>183</v>
      </c>
      <c r="Y4363" s="2" t="s">
        <v>8599</v>
      </c>
      <c r="Z4363" s="4">
        <v>192</v>
      </c>
      <c r="AA4363" s="4">
        <f>=ROUNDDOWN(96,0)</f>
      </c>
      <c r="AB4363" s="5">
        <v>2</v>
      </c>
      <c r="AC4363" s="2" t="s">
        <v>100</v>
      </c>
      <c r="AD4363" s="4"/>
      <c r="AE4363" s="4"/>
      <c r="AF4363" s="6">
        <v>66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>
        <v>25</v>
      </c>
      <c r="BK4363" s="8">
        <v>856.38</v>
      </c>
      <c r="BL4363" s="2" t="s">
        <v>736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207</v>
      </c>
      <c r="BV4363" s="2" t="s">
        <v>97</v>
      </c>
      <c r="BW4363" s="2" t="s">
        <v>100</v>
      </c>
      <c r="BX4363" s="2" t="s">
        <v>100</v>
      </c>
      <c r="BY4363" s="2" t="s">
        <v>113</v>
      </c>
      <c r="BZ4363" s="2" t="s">
        <v>100</v>
      </c>
    </row>
    <row r="4364">
      <c r="A4364" s="2" t="s">
        <v>13129</v>
      </c>
      <c r="B4364" s="2" t="s">
        <v>12738</v>
      </c>
      <c r="C4364" s="2" t="s">
        <v>3934</v>
      </c>
      <c r="D4364" s="2" t="s">
        <v>1638</v>
      </c>
      <c r="E4364" s="2" t="s">
        <v>1639</v>
      </c>
      <c r="F4364" s="2" t="s">
        <v>12951</v>
      </c>
      <c r="G4364" s="2" t="s">
        <v>5162</v>
      </c>
      <c r="H4364" s="2" t="s">
        <v>12952</v>
      </c>
      <c r="I4364" s="2" t="s">
        <v>13121</v>
      </c>
      <c r="J4364" s="2" t="s">
        <v>237</v>
      </c>
      <c r="K4364" s="2" t="s">
        <v>1614</v>
      </c>
      <c r="L4364" s="3">
        <v>26.19</v>
      </c>
      <c r="M4364" s="3">
        <v>27.5</v>
      </c>
      <c r="N4364" s="3">
        <v>54.99</v>
      </c>
      <c r="O4364" s="2" t="s">
        <v>97</v>
      </c>
      <c r="P4364" s="2" t="s">
        <v>119</v>
      </c>
      <c r="Q4364" s="2" t="s">
        <v>99</v>
      </c>
      <c r="R4364" s="2" t="s">
        <v>100</v>
      </c>
      <c r="S4364" s="2" t="s">
        <v>12969</v>
      </c>
      <c r="T4364" s="2" t="s">
        <v>200</v>
      </c>
      <c r="U4364" s="2" t="s">
        <v>514</v>
      </c>
      <c r="V4364" s="2" t="s">
        <v>146</v>
      </c>
      <c r="W4364" s="2" t="s">
        <v>561</v>
      </c>
      <c r="X4364" s="2" t="s">
        <v>183</v>
      </c>
      <c r="Y4364" s="2" t="s">
        <v>4515</v>
      </c>
      <c r="Z4364" s="4">
        <v>182</v>
      </c>
      <c r="AA4364" s="4">
        <f>=ROUNDDOWN(60.6666666666667,0)</f>
      </c>
      <c r="AB4364" s="5">
        <v>3</v>
      </c>
      <c r="AC4364" s="2" t="s">
        <v>100</v>
      </c>
      <c r="AD4364" s="4"/>
      <c r="AE4364" s="4"/>
      <c r="AF4364" s="6">
        <v>66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106</v>
      </c>
      <c r="BK4364" s="8">
        <v>3069.41</v>
      </c>
      <c r="BL4364" s="2" t="s">
        <v>1738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207</v>
      </c>
      <c r="BV4364" s="2" t="s">
        <v>97</v>
      </c>
      <c r="BW4364" s="2" t="s">
        <v>100</v>
      </c>
      <c r="BX4364" s="2" t="s">
        <v>100</v>
      </c>
      <c r="BY4364" s="2" t="s">
        <v>113</v>
      </c>
      <c r="BZ4364" s="2" t="s">
        <v>100</v>
      </c>
    </row>
    <row r="4365">
      <c r="A4365" s="2" t="s">
        <v>13130</v>
      </c>
      <c r="B4365" s="2" t="s">
        <v>12738</v>
      </c>
      <c r="C4365" s="2" t="s">
        <v>3934</v>
      </c>
      <c r="D4365" s="2" t="s">
        <v>1638</v>
      </c>
      <c r="E4365" s="2" t="s">
        <v>1639</v>
      </c>
      <c r="F4365" s="2" t="s">
        <v>12951</v>
      </c>
      <c r="G4365" s="2" t="s">
        <v>5162</v>
      </c>
      <c r="H4365" s="2" t="s">
        <v>12952</v>
      </c>
      <c r="I4365" s="2" t="s">
        <v>13121</v>
      </c>
      <c r="J4365" s="2" t="s">
        <v>247</v>
      </c>
      <c r="K4365" s="2" t="s">
        <v>1614</v>
      </c>
      <c r="L4365" s="3">
        <v>30.95</v>
      </c>
      <c r="M4365" s="3">
        <v>32.5</v>
      </c>
      <c r="N4365" s="3">
        <v>64.99</v>
      </c>
      <c r="O4365" s="2" t="s">
        <v>97</v>
      </c>
      <c r="P4365" s="2" t="s">
        <v>119</v>
      </c>
      <c r="Q4365" s="2" t="s">
        <v>99</v>
      </c>
      <c r="R4365" s="2" t="s">
        <v>100</v>
      </c>
      <c r="S4365" s="2" t="s">
        <v>12969</v>
      </c>
      <c r="T4365" s="2" t="s">
        <v>200</v>
      </c>
      <c r="U4365" s="2" t="s">
        <v>480</v>
      </c>
      <c r="V4365" s="2" t="s">
        <v>146</v>
      </c>
      <c r="W4365" s="2" t="s">
        <v>561</v>
      </c>
      <c r="X4365" s="2" t="s">
        <v>183</v>
      </c>
      <c r="Y4365" s="2" t="s">
        <v>4515</v>
      </c>
      <c r="Z4365" s="4">
        <v>152</v>
      </c>
      <c r="AA4365" s="4">
        <f>=ROUNDDOWN(38,0)</f>
      </c>
      <c r="AB4365" s="5">
        <v>4</v>
      </c>
      <c r="AC4365" s="2" t="s">
        <v>100</v>
      </c>
      <c r="AD4365" s="4"/>
      <c r="AE4365" s="4"/>
      <c r="AF4365" s="6">
        <v>66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>
        <v>118</v>
      </c>
      <c r="BK4365" s="8">
        <v>4008.25</v>
      </c>
      <c r="BL4365" s="2" t="s">
        <v>1619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207</v>
      </c>
      <c r="BV4365" s="2" t="s">
        <v>97</v>
      </c>
      <c r="BW4365" s="2" t="s">
        <v>100</v>
      </c>
      <c r="BX4365" s="2" t="s">
        <v>100</v>
      </c>
      <c r="BY4365" s="2" t="s">
        <v>113</v>
      </c>
      <c r="BZ4365" s="2" t="s">
        <v>100</v>
      </c>
    </row>
    <row r="4366">
      <c r="A4366" s="2" t="s">
        <v>13131</v>
      </c>
      <c r="B4366" s="2" t="s">
        <v>12738</v>
      </c>
      <c r="C4366" s="2" t="s">
        <v>3934</v>
      </c>
      <c r="D4366" s="2" t="s">
        <v>1638</v>
      </c>
      <c r="E4366" s="2" t="s">
        <v>1639</v>
      </c>
      <c r="F4366" s="2" t="s">
        <v>12951</v>
      </c>
      <c r="G4366" s="2" t="s">
        <v>5162</v>
      </c>
      <c r="H4366" s="2" t="s">
        <v>12952</v>
      </c>
      <c r="I4366" s="2" t="s">
        <v>13121</v>
      </c>
      <c r="J4366" s="2" t="s">
        <v>237</v>
      </c>
      <c r="K4366" s="2" t="s">
        <v>360</v>
      </c>
      <c r="L4366" s="3">
        <v>26.19</v>
      </c>
      <c r="M4366" s="3">
        <v>27.5</v>
      </c>
      <c r="N4366" s="3">
        <v>54.99</v>
      </c>
      <c r="O4366" s="2" t="s">
        <v>97</v>
      </c>
      <c r="P4366" s="2" t="s">
        <v>119</v>
      </c>
      <c r="Q4366" s="2" t="s">
        <v>99</v>
      </c>
      <c r="R4366" s="2" t="s">
        <v>100</v>
      </c>
      <c r="S4366" s="2" t="s">
        <v>12974</v>
      </c>
      <c r="T4366" s="2" t="s">
        <v>200</v>
      </c>
      <c r="U4366" s="2" t="s">
        <v>514</v>
      </c>
      <c r="V4366" s="2" t="s">
        <v>146</v>
      </c>
      <c r="W4366" s="2" t="s">
        <v>561</v>
      </c>
      <c r="X4366" s="2" t="s">
        <v>183</v>
      </c>
      <c r="Y4366" s="2" t="s">
        <v>8599</v>
      </c>
      <c r="Z4366" s="4">
        <v>265</v>
      </c>
      <c r="AA4366" s="4">
        <f>=ROUNDDOWN(265,0)</f>
      </c>
      <c r="AB4366" s="5">
        <v>1</v>
      </c>
      <c r="AC4366" s="2" t="s">
        <v>100</v>
      </c>
      <c r="AD4366" s="4"/>
      <c r="AE4366" s="4"/>
      <c r="AF4366" s="6">
        <v>66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>
        <v>28</v>
      </c>
      <c r="BK4366" s="8">
        <v>820.03</v>
      </c>
      <c r="BL4366" s="2" t="s">
        <v>13132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207</v>
      </c>
      <c r="BV4366" s="2" t="s">
        <v>97</v>
      </c>
      <c r="BW4366" s="2" t="s">
        <v>100</v>
      </c>
      <c r="BX4366" s="2" t="s">
        <v>100</v>
      </c>
      <c r="BY4366" s="2" t="s">
        <v>113</v>
      </c>
      <c r="BZ4366" s="2" t="s">
        <v>100</v>
      </c>
    </row>
    <row r="4367">
      <c r="A4367" s="2" t="s">
        <v>13133</v>
      </c>
      <c r="B4367" s="2" t="s">
        <v>12738</v>
      </c>
      <c r="C4367" s="2" t="s">
        <v>3934</v>
      </c>
      <c r="D4367" s="2" t="s">
        <v>1638</v>
      </c>
      <c r="E4367" s="2" t="s">
        <v>1639</v>
      </c>
      <c r="F4367" s="2" t="s">
        <v>12951</v>
      </c>
      <c r="G4367" s="2" t="s">
        <v>5162</v>
      </c>
      <c r="H4367" s="2" t="s">
        <v>12952</v>
      </c>
      <c r="I4367" s="2" t="s">
        <v>13121</v>
      </c>
      <c r="J4367" s="2" t="s">
        <v>247</v>
      </c>
      <c r="K4367" s="2" t="s">
        <v>360</v>
      </c>
      <c r="L4367" s="3">
        <v>30.95</v>
      </c>
      <c r="M4367" s="3">
        <v>32.5</v>
      </c>
      <c r="N4367" s="3">
        <v>64.99</v>
      </c>
      <c r="O4367" s="2" t="s">
        <v>97</v>
      </c>
      <c r="P4367" s="2" t="s">
        <v>119</v>
      </c>
      <c r="Q4367" s="2" t="s">
        <v>99</v>
      </c>
      <c r="R4367" s="2" t="s">
        <v>100</v>
      </c>
      <c r="S4367" s="2" t="s">
        <v>12974</v>
      </c>
      <c r="T4367" s="2" t="s">
        <v>200</v>
      </c>
      <c r="U4367" s="2" t="s">
        <v>480</v>
      </c>
      <c r="V4367" s="2" t="s">
        <v>146</v>
      </c>
      <c r="W4367" s="2" t="s">
        <v>561</v>
      </c>
      <c r="X4367" s="2" t="s">
        <v>183</v>
      </c>
      <c r="Y4367" s="2" t="s">
        <v>8599</v>
      </c>
      <c r="Z4367" s="4">
        <v>277</v>
      </c>
      <c r="AA4367" s="4">
        <f>=ROUNDDOWN(92.3333333333333,0)</f>
      </c>
      <c r="AB4367" s="5">
        <v>3</v>
      </c>
      <c r="AC4367" s="2" t="s">
        <v>100</v>
      </c>
      <c r="AD4367" s="4"/>
      <c r="AE4367" s="4"/>
      <c r="AF4367" s="6">
        <v>66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41</v>
      </c>
      <c r="BK4367" s="8">
        <v>1422.84</v>
      </c>
      <c r="BL4367" s="2" t="s">
        <v>6514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207</v>
      </c>
      <c r="BV4367" s="2" t="s">
        <v>97</v>
      </c>
      <c r="BW4367" s="2" t="s">
        <v>100</v>
      </c>
      <c r="BX4367" s="2" t="s">
        <v>100</v>
      </c>
      <c r="BY4367" s="2" t="s">
        <v>113</v>
      </c>
      <c r="BZ4367" s="2" t="s">
        <v>100</v>
      </c>
    </row>
    <row r="4368">
      <c r="A4368" s="2" t="s">
        <v>13134</v>
      </c>
      <c r="B4368" s="2" t="s">
        <v>12738</v>
      </c>
      <c r="C4368" s="2" t="s">
        <v>3934</v>
      </c>
      <c r="D4368" s="2" t="s">
        <v>1638</v>
      </c>
      <c r="E4368" s="2" t="s">
        <v>1639</v>
      </c>
      <c r="F4368" s="2" t="s">
        <v>12951</v>
      </c>
      <c r="G4368" s="2" t="s">
        <v>5162</v>
      </c>
      <c r="H4368" s="2" t="s">
        <v>12952</v>
      </c>
      <c r="I4368" s="2" t="s">
        <v>13121</v>
      </c>
      <c r="J4368" s="2" t="s">
        <v>237</v>
      </c>
      <c r="K4368" s="2" t="s">
        <v>3560</v>
      </c>
      <c r="L4368" s="3">
        <v>26.19</v>
      </c>
      <c r="M4368" s="3">
        <v>27.5</v>
      </c>
      <c r="N4368" s="3">
        <v>54.99</v>
      </c>
      <c r="O4368" s="2" t="s">
        <v>97</v>
      </c>
      <c r="P4368" s="2" t="s">
        <v>119</v>
      </c>
      <c r="Q4368" s="2" t="s">
        <v>99</v>
      </c>
      <c r="R4368" s="2" t="s">
        <v>100</v>
      </c>
      <c r="S4368" s="2" t="s">
        <v>12978</v>
      </c>
      <c r="T4368" s="2" t="s">
        <v>200</v>
      </c>
      <c r="U4368" s="2" t="s">
        <v>514</v>
      </c>
      <c r="V4368" s="2" t="s">
        <v>146</v>
      </c>
      <c r="W4368" s="2" t="s">
        <v>561</v>
      </c>
      <c r="X4368" s="2" t="s">
        <v>183</v>
      </c>
      <c r="Y4368" s="2" t="s">
        <v>4515</v>
      </c>
      <c r="Z4368" s="4">
        <v>295</v>
      </c>
      <c r="AA4368" s="4">
        <f>=ROUNDDOWN(73.75,0)</f>
      </c>
      <c r="AB4368" s="5">
        <v>4</v>
      </c>
      <c r="AC4368" s="2" t="s">
        <v>1069</v>
      </c>
      <c r="AD4368" s="4">
        <v>70</v>
      </c>
      <c r="AE4368" s="4">
        <v>70</v>
      </c>
      <c r="AF4368" s="6">
        <v>66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>
        <v>161</v>
      </c>
      <c r="BK4368" s="8">
        <v>4666.5</v>
      </c>
      <c r="BL4368" s="2" t="s">
        <v>656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207</v>
      </c>
      <c r="BV4368" s="2" t="s">
        <v>97</v>
      </c>
      <c r="BW4368" s="2" t="s">
        <v>100</v>
      </c>
      <c r="BX4368" s="2" t="s">
        <v>100</v>
      </c>
      <c r="BY4368" s="2" t="s">
        <v>113</v>
      </c>
      <c r="BZ4368" s="2" t="s">
        <v>100</v>
      </c>
    </row>
    <row r="4369">
      <c r="A4369" s="2" t="s">
        <v>13135</v>
      </c>
      <c r="B4369" s="2" t="s">
        <v>12738</v>
      </c>
      <c r="C4369" s="2" t="s">
        <v>3934</v>
      </c>
      <c r="D4369" s="2" t="s">
        <v>1638</v>
      </c>
      <c r="E4369" s="2" t="s">
        <v>1639</v>
      </c>
      <c r="F4369" s="2" t="s">
        <v>12951</v>
      </c>
      <c r="G4369" s="2" t="s">
        <v>5162</v>
      </c>
      <c r="H4369" s="2" t="s">
        <v>12952</v>
      </c>
      <c r="I4369" s="2" t="s">
        <v>13121</v>
      </c>
      <c r="J4369" s="2" t="s">
        <v>247</v>
      </c>
      <c r="K4369" s="2" t="s">
        <v>3560</v>
      </c>
      <c r="L4369" s="3">
        <v>30.95</v>
      </c>
      <c r="M4369" s="3">
        <v>32.5</v>
      </c>
      <c r="N4369" s="3">
        <v>64.99</v>
      </c>
      <c r="O4369" s="2" t="s">
        <v>97</v>
      </c>
      <c r="P4369" s="2" t="s">
        <v>119</v>
      </c>
      <c r="Q4369" s="2" t="s">
        <v>99</v>
      </c>
      <c r="R4369" s="2" t="s">
        <v>100</v>
      </c>
      <c r="S4369" s="2" t="s">
        <v>12978</v>
      </c>
      <c r="T4369" s="2" t="s">
        <v>200</v>
      </c>
      <c r="U4369" s="2" t="s">
        <v>480</v>
      </c>
      <c r="V4369" s="2" t="s">
        <v>146</v>
      </c>
      <c r="W4369" s="2" t="s">
        <v>561</v>
      </c>
      <c r="X4369" s="2" t="s">
        <v>183</v>
      </c>
      <c r="Y4369" s="2" t="s">
        <v>4515</v>
      </c>
      <c r="Z4369" s="4">
        <v>166</v>
      </c>
      <c r="AA4369" s="4">
        <f>=ROUNDDOWN(20.75,0)</f>
      </c>
      <c r="AB4369" s="5">
        <v>8</v>
      </c>
      <c r="AC4369" s="2" t="s">
        <v>1069</v>
      </c>
      <c r="AD4369" s="4">
        <v>320</v>
      </c>
      <c r="AE4369" s="4">
        <v>320</v>
      </c>
      <c r="AF4369" s="6">
        <v>66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>
        <v>237</v>
      </c>
      <c r="BK4369" s="8">
        <v>7886.72</v>
      </c>
      <c r="BL4369" s="2" t="s">
        <v>553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207</v>
      </c>
      <c r="BV4369" s="2" t="s">
        <v>97</v>
      </c>
      <c r="BW4369" s="2" t="s">
        <v>100</v>
      </c>
      <c r="BX4369" s="2" t="s">
        <v>100</v>
      </c>
      <c r="BY4369" s="2" t="s">
        <v>113</v>
      </c>
      <c r="BZ4369" s="2" t="s">
        <v>100</v>
      </c>
    </row>
    <row r="4370">
      <c r="A4370" s="2" t="s">
        <v>13136</v>
      </c>
      <c r="B4370" s="2" t="s">
        <v>12738</v>
      </c>
      <c r="C4370" s="2" t="s">
        <v>3934</v>
      </c>
      <c r="D4370" s="2" t="s">
        <v>1638</v>
      </c>
      <c r="E4370" s="2" t="s">
        <v>1639</v>
      </c>
      <c r="F4370" s="2" t="s">
        <v>12951</v>
      </c>
      <c r="G4370" s="2" t="s">
        <v>5162</v>
      </c>
      <c r="H4370" s="2" t="s">
        <v>12952</v>
      </c>
      <c r="I4370" s="2" t="s">
        <v>13121</v>
      </c>
      <c r="J4370" s="2" t="s">
        <v>237</v>
      </c>
      <c r="K4370" s="2" t="s">
        <v>677</v>
      </c>
      <c r="L4370" s="3">
        <v>26.19</v>
      </c>
      <c r="M4370" s="3">
        <v>27.5</v>
      </c>
      <c r="N4370" s="3">
        <v>54.99</v>
      </c>
      <c r="O4370" s="2" t="s">
        <v>97</v>
      </c>
      <c r="P4370" s="2" t="s">
        <v>119</v>
      </c>
      <c r="Q4370" s="2" t="s">
        <v>99</v>
      </c>
      <c r="R4370" s="2" t="s">
        <v>100</v>
      </c>
      <c r="S4370" s="2" t="s">
        <v>12983</v>
      </c>
      <c r="T4370" s="2" t="s">
        <v>200</v>
      </c>
      <c r="U4370" s="2" t="s">
        <v>514</v>
      </c>
      <c r="V4370" s="2" t="s">
        <v>146</v>
      </c>
      <c r="W4370" s="2" t="s">
        <v>561</v>
      </c>
      <c r="X4370" s="2" t="s">
        <v>183</v>
      </c>
      <c r="Y4370" s="2" t="s">
        <v>8599</v>
      </c>
      <c r="Z4370" s="4">
        <v>244</v>
      </c>
      <c r="AA4370" s="4">
        <f>=ROUNDDOWN(122,0)</f>
      </c>
      <c r="AB4370" s="5">
        <v>2</v>
      </c>
      <c r="AC4370" s="2" t="s">
        <v>100</v>
      </c>
      <c r="AD4370" s="4"/>
      <c r="AE4370" s="4"/>
      <c r="AF4370" s="6">
        <v>66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18</v>
      </c>
      <c r="BK4370" s="8">
        <v>531.02</v>
      </c>
      <c r="BL4370" s="2" t="s">
        <v>656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207</v>
      </c>
      <c r="BV4370" s="2" t="s">
        <v>97</v>
      </c>
      <c r="BW4370" s="2" t="s">
        <v>100</v>
      </c>
      <c r="BX4370" s="2" t="s">
        <v>100</v>
      </c>
      <c r="BY4370" s="2" t="s">
        <v>113</v>
      </c>
      <c r="BZ4370" s="2" t="s">
        <v>100</v>
      </c>
    </row>
    <row r="4371">
      <c r="A4371" s="2" t="s">
        <v>13137</v>
      </c>
      <c r="B4371" s="2" t="s">
        <v>12738</v>
      </c>
      <c r="C4371" s="2" t="s">
        <v>3934</v>
      </c>
      <c r="D4371" s="2" t="s">
        <v>1638</v>
      </c>
      <c r="E4371" s="2" t="s">
        <v>1639</v>
      </c>
      <c r="F4371" s="2" t="s">
        <v>12951</v>
      </c>
      <c r="G4371" s="2" t="s">
        <v>5162</v>
      </c>
      <c r="H4371" s="2" t="s">
        <v>12952</v>
      </c>
      <c r="I4371" s="2" t="s">
        <v>13121</v>
      </c>
      <c r="J4371" s="2" t="s">
        <v>247</v>
      </c>
      <c r="K4371" s="2" t="s">
        <v>677</v>
      </c>
      <c r="L4371" s="3">
        <v>30.95</v>
      </c>
      <c r="M4371" s="3">
        <v>32.5</v>
      </c>
      <c r="N4371" s="3">
        <v>64.99</v>
      </c>
      <c r="O4371" s="2" t="s">
        <v>97</v>
      </c>
      <c r="P4371" s="2" t="s">
        <v>119</v>
      </c>
      <c r="Q4371" s="2" t="s">
        <v>99</v>
      </c>
      <c r="R4371" s="2" t="s">
        <v>100</v>
      </c>
      <c r="S4371" s="2" t="s">
        <v>12983</v>
      </c>
      <c r="T4371" s="2" t="s">
        <v>200</v>
      </c>
      <c r="U4371" s="2" t="s">
        <v>480</v>
      </c>
      <c r="V4371" s="2" t="s">
        <v>146</v>
      </c>
      <c r="W4371" s="2" t="s">
        <v>561</v>
      </c>
      <c r="X4371" s="2" t="s">
        <v>183</v>
      </c>
      <c r="Y4371" s="2" t="s">
        <v>8599</v>
      </c>
      <c r="Z4371" s="4">
        <v>235</v>
      </c>
      <c r="AA4371" s="4">
        <f>=ROUNDDOWN(78.3333333333333,0)</f>
      </c>
      <c r="AB4371" s="5">
        <v>3</v>
      </c>
      <c r="AC4371" s="2" t="s">
        <v>100</v>
      </c>
      <c r="AD4371" s="4"/>
      <c r="AE4371" s="4"/>
      <c r="AF4371" s="6">
        <v>66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>
        <v>59</v>
      </c>
      <c r="BK4371" s="8">
        <v>2019.75</v>
      </c>
      <c r="BL4371" s="2" t="s">
        <v>13138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207</v>
      </c>
      <c r="BV4371" s="2" t="s">
        <v>97</v>
      </c>
      <c r="BW4371" s="2" t="s">
        <v>100</v>
      </c>
      <c r="BX4371" s="2" t="s">
        <v>100</v>
      </c>
      <c r="BY4371" s="2" t="s">
        <v>113</v>
      </c>
      <c r="BZ4371" s="2" t="s">
        <v>100</v>
      </c>
    </row>
    <row r="4372">
      <c r="A4372" s="2" t="s">
        <v>13139</v>
      </c>
      <c r="B4372" s="2" t="s">
        <v>12738</v>
      </c>
      <c r="C4372" s="2" t="s">
        <v>3934</v>
      </c>
      <c r="D4372" s="2" t="s">
        <v>1638</v>
      </c>
      <c r="E4372" s="2" t="s">
        <v>1639</v>
      </c>
      <c r="F4372" s="2" t="s">
        <v>12902</v>
      </c>
      <c r="G4372" s="2" t="s">
        <v>12903</v>
      </c>
      <c r="H4372" s="2" t="s">
        <v>8240</v>
      </c>
      <c r="I4372" s="2" t="s">
        <v>13140</v>
      </c>
      <c r="J4372" s="2" t="s">
        <v>237</v>
      </c>
      <c r="K4372" s="2" t="s">
        <v>3560</v>
      </c>
      <c r="L4372" s="3">
        <v>14.28</v>
      </c>
      <c r="M4372" s="3">
        <v>14.99</v>
      </c>
      <c r="N4372" s="3">
        <v>29.99</v>
      </c>
      <c r="O4372" s="2" t="s">
        <v>97</v>
      </c>
      <c r="P4372" s="2" t="s">
        <v>119</v>
      </c>
      <c r="Q4372" s="2" t="s">
        <v>99</v>
      </c>
      <c r="R4372" s="2" t="s">
        <v>100</v>
      </c>
      <c r="S4372" s="2" t="s">
        <v>12905</v>
      </c>
      <c r="T4372" s="2" t="s">
        <v>218</v>
      </c>
      <c r="U4372" s="2" t="s">
        <v>514</v>
      </c>
      <c r="V4372" s="2" t="s">
        <v>12878</v>
      </c>
      <c r="W4372" s="2" t="s">
        <v>219</v>
      </c>
      <c r="X4372" s="2" t="s">
        <v>100</v>
      </c>
      <c r="Y4372" s="2" t="s">
        <v>12893</v>
      </c>
      <c r="Z4372" s="4"/>
      <c r="AA4372" s="4">
        <f>=ROUNDDOWN({0},0)</f>
      </c>
      <c r="AB4372" s="5">
        <v>3</v>
      </c>
      <c r="AC4372" s="2" t="s">
        <v>205</v>
      </c>
      <c r="AD4372" s="4">
        <v>70</v>
      </c>
      <c r="AE4372" s="4">
        <v>70</v>
      </c>
      <c r="AF4372" s="6">
        <v>64</v>
      </c>
      <c r="AG4372" s="6"/>
      <c r="AH4372" s="7">
        <v>0.9198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94</v>
      </c>
      <c r="BK4372" s="8">
        <v>1531.1</v>
      </c>
      <c r="BL4372" s="2" t="s">
        <v>1803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207</v>
      </c>
      <c r="BV4372" s="2" t="s">
        <v>97</v>
      </c>
      <c r="BW4372" s="2" t="s">
        <v>100</v>
      </c>
      <c r="BX4372" s="2" t="s">
        <v>100</v>
      </c>
      <c r="BY4372" s="2" t="s">
        <v>113</v>
      </c>
      <c r="BZ4372" s="2" t="s">
        <v>100</v>
      </c>
    </row>
    <row r="4373">
      <c r="A4373" s="2" t="s">
        <v>13141</v>
      </c>
      <c r="B4373" s="2" t="s">
        <v>12738</v>
      </c>
      <c r="C4373" s="2" t="s">
        <v>3934</v>
      </c>
      <c r="D4373" s="2" t="s">
        <v>1638</v>
      </c>
      <c r="E4373" s="2" t="s">
        <v>1639</v>
      </c>
      <c r="F4373" s="2" t="s">
        <v>12902</v>
      </c>
      <c r="G4373" s="2" t="s">
        <v>12903</v>
      </c>
      <c r="H4373" s="2" t="s">
        <v>8240</v>
      </c>
      <c r="I4373" s="2" t="s">
        <v>13140</v>
      </c>
      <c r="J4373" s="2" t="s">
        <v>247</v>
      </c>
      <c r="K4373" s="2" t="s">
        <v>3560</v>
      </c>
      <c r="L4373" s="3">
        <v>19.04</v>
      </c>
      <c r="M4373" s="3">
        <v>19.99</v>
      </c>
      <c r="N4373" s="3">
        <v>39.99</v>
      </c>
      <c r="O4373" s="2" t="s">
        <v>97</v>
      </c>
      <c r="P4373" s="2" t="s">
        <v>119</v>
      </c>
      <c r="Q4373" s="2" t="s">
        <v>99</v>
      </c>
      <c r="R4373" s="2" t="s">
        <v>100</v>
      </c>
      <c r="S4373" s="2" t="s">
        <v>12905</v>
      </c>
      <c r="T4373" s="2" t="s">
        <v>218</v>
      </c>
      <c r="U4373" s="2" t="s">
        <v>480</v>
      </c>
      <c r="V4373" s="2" t="s">
        <v>12878</v>
      </c>
      <c r="W4373" s="2" t="s">
        <v>219</v>
      </c>
      <c r="X4373" s="2" t="s">
        <v>100</v>
      </c>
      <c r="Y4373" s="2" t="s">
        <v>12893</v>
      </c>
      <c r="Z4373" s="4">
        <v>26</v>
      </c>
      <c r="AA4373" s="4">
        <f>=ROUNDDOWN(6.5,0)</f>
      </c>
      <c r="AB4373" s="5">
        <v>4</v>
      </c>
      <c r="AC4373" s="2" t="s">
        <v>205</v>
      </c>
      <c r="AD4373" s="4">
        <v>120</v>
      </c>
      <c r="AE4373" s="4">
        <v>120</v>
      </c>
      <c r="AF4373" s="6">
        <v>64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>
        <v>85</v>
      </c>
      <c r="BK4373" s="8">
        <v>1827.41</v>
      </c>
      <c r="BL4373" s="2" t="s">
        <v>6006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207</v>
      </c>
      <c r="BV4373" s="2" t="s">
        <v>97</v>
      </c>
      <c r="BW4373" s="2" t="s">
        <v>100</v>
      </c>
      <c r="BX4373" s="2" t="s">
        <v>100</v>
      </c>
      <c r="BY4373" s="2" t="s">
        <v>113</v>
      </c>
      <c r="BZ4373" s="2" t="s">
        <v>100</v>
      </c>
    </row>
    <row r="4374">
      <c r="A4374" s="2" t="s">
        <v>13142</v>
      </c>
      <c r="B4374" s="2" t="s">
        <v>12738</v>
      </c>
      <c r="C4374" s="2" t="s">
        <v>3934</v>
      </c>
      <c r="D4374" s="2" t="s">
        <v>1638</v>
      </c>
      <c r="E4374" s="2" t="s">
        <v>1639</v>
      </c>
      <c r="F4374" s="2" t="s">
        <v>3036</v>
      </c>
      <c r="G4374" s="2" t="s">
        <v>13031</v>
      </c>
      <c r="H4374" s="2" t="s">
        <v>13032</v>
      </c>
      <c r="I4374" s="2" t="s">
        <v>13143</v>
      </c>
      <c r="J4374" s="2" t="s">
        <v>237</v>
      </c>
      <c r="K4374" s="2" t="s">
        <v>3560</v>
      </c>
      <c r="L4374" s="3">
        <v>19.04</v>
      </c>
      <c r="M4374" s="3">
        <v>19.99</v>
      </c>
      <c r="N4374" s="3">
        <v>39.99</v>
      </c>
      <c r="O4374" s="2" t="s">
        <v>97</v>
      </c>
      <c r="P4374" s="2" t="s">
        <v>225</v>
      </c>
      <c r="Q4374" s="2" t="s">
        <v>99</v>
      </c>
      <c r="R4374" s="2" t="s">
        <v>100</v>
      </c>
      <c r="S4374" s="2" t="s">
        <v>13034</v>
      </c>
      <c r="T4374" s="2" t="s">
        <v>200</v>
      </c>
      <c r="U4374" s="2" t="s">
        <v>514</v>
      </c>
      <c r="V4374" s="2" t="s">
        <v>3546</v>
      </c>
      <c r="W4374" s="2" t="s">
        <v>183</v>
      </c>
      <c r="X4374" s="2" t="s">
        <v>104</v>
      </c>
      <c r="Y4374" s="2" t="s">
        <v>2527</v>
      </c>
      <c r="Z4374" s="4">
        <v>60</v>
      </c>
      <c r="AA4374" s="4">
        <f>=ROUNDDOWN(30,0)</f>
      </c>
      <c r="AB4374" s="5">
        <v>2</v>
      </c>
      <c r="AC4374" s="2" t="s">
        <v>100</v>
      </c>
      <c r="AD4374" s="4"/>
      <c r="AE4374" s="4"/>
      <c r="AF4374" s="6">
        <v>64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>
        <v>9</v>
      </c>
      <c r="BK4374" s="8">
        <v>195.55</v>
      </c>
      <c r="BL4374" s="2" t="s">
        <v>13144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207</v>
      </c>
      <c r="BV4374" s="2" t="s">
        <v>97</v>
      </c>
      <c r="BW4374" s="2" t="s">
        <v>100</v>
      </c>
      <c r="BX4374" s="2" t="s">
        <v>100</v>
      </c>
      <c r="BY4374" s="2" t="s">
        <v>113</v>
      </c>
      <c r="BZ4374" s="2" t="s">
        <v>100</v>
      </c>
    </row>
    <row r="4375">
      <c r="A4375" s="2" t="s">
        <v>13145</v>
      </c>
      <c r="B4375" s="2" t="s">
        <v>12738</v>
      </c>
      <c r="C4375" s="2" t="s">
        <v>3934</v>
      </c>
      <c r="D4375" s="2" t="s">
        <v>1638</v>
      </c>
      <c r="E4375" s="2" t="s">
        <v>1639</v>
      </c>
      <c r="F4375" s="2" t="s">
        <v>3036</v>
      </c>
      <c r="G4375" s="2" t="s">
        <v>13031</v>
      </c>
      <c r="H4375" s="2" t="s">
        <v>13032</v>
      </c>
      <c r="I4375" s="2" t="s">
        <v>13143</v>
      </c>
      <c r="J4375" s="2" t="s">
        <v>247</v>
      </c>
      <c r="K4375" s="2" t="s">
        <v>3560</v>
      </c>
      <c r="L4375" s="3">
        <v>23.8</v>
      </c>
      <c r="M4375" s="3">
        <v>24.99</v>
      </c>
      <c r="N4375" s="3">
        <v>49.99</v>
      </c>
      <c r="O4375" s="2" t="s">
        <v>97</v>
      </c>
      <c r="P4375" s="2" t="s">
        <v>225</v>
      </c>
      <c r="Q4375" s="2" t="s">
        <v>99</v>
      </c>
      <c r="R4375" s="2" t="s">
        <v>100</v>
      </c>
      <c r="S4375" s="2" t="s">
        <v>13034</v>
      </c>
      <c r="T4375" s="2" t="s">
        <v>200</v>
      </c>
      <c r="U4375" s="2" t="s">
        <v>480</v>
      </c>
      <c r="V4375" s="2" t="s">
        <v>3546</v>
      </c>
      <c r="W4375" s="2" t="s">
        <v>183</v>
      </c>
      <c r="X4375" s="2" t="s">
        <v>104</v>
      </c>
      <c r="Y4375" s="2" t="s">
        <v>1398</v>
      </c>
      <c r="Z4375" s="4">
        <v>195</v>
      </c>
      <c r="AA4375" s="4">
        <f>=ROUNDDOWN(48.75,0)</f>
      </c>
      <c r="AB4375" s="5">
        <v>4</v>
      </c>
      <c r="AC4375" s="2" t="s">
        <v>100</v>
      </c>
      <c r="AD4375" s="4"/>
      <c r="AE4375" s="4"/>
      <c r="AF4375" s="6">
        <v>64</v>
      </c>
      <c r="AG4375" s="6"/>
      <c r="AH4375" s="7">
        <v>0.6938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>
        <v>35</v>
      </c>
      <c r="BK4375" s="8">
        <v>952.91</v>
      </c>
      <c r="BL4375" s="2" t="s">
        <v>12996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207</v>
      </c>
      <c r="BV4375" s="2" t="s">
        <v>97</v>
      </c>
      <c r="BW4375" s="2" t="s">
        <v>100</v>
      </c>
      <c r="BX4375" s="2" t="s">
        <v>100</v>
      </c>
      <c r="BY4375" s="2" t="s">
        <v>113</v>
      </c>
      <c r="BZ4375" s="2" t="s">
        <v>100</v>
      </c>
    </row>
    <row r="4376">
      <c r="A4376" s="2" t="s">
        <v>13146</v>
      </c>
      <c r="B4376" s="2" t="s">
        <v>12738</v>
      </c>
      <c r="C4376" s="2" t="s">
        <v>3934</v>
      </c>
      <c r="D4376" s="2" t="s">
        <v>1638</v>
      </c>
      <c r="E4376" s="2" t="s">
        <v>1639</v>
      </c>
      <c r="F4376" s="2" t="s">
        <v>3036</v>
      </c>
      <c r="G4376" s="2" t="s">
        <v>13031</v>
      </c>
      <c r="H4376" s="2" t="s">
        <v>13032</v>
      </c>
      <c r="I4376" s="2" t="s">
        <v>13143</v>
      </c>
      <c r="J4376" s="2" t="s">
        <v>270</v>
      </c>
      <c r="K4376" s="2" t="s">
        <v>3560</v>
      </c>
      <c r="L4376" s="3">
        <v>26.19</v>
      </c>
      <c r="M4376" s="3">
        <v>27.5</v>
      </c>
      <c r="N4376" s="3">
        <v>54.99</v>
      </c>
      <c r="O4376" s="2" t="s">
        <v>97</v>
      </c>
      <c r="P4376" s="2" t="s">
        <v>225</v>
      </c>
      <c r="Q4376" s="2" t="s">
        <v>99</v>
      </c>
      <c r="R4376" s="2" t="s">
        <v>100</v>
      </c>
      <c r="S4376" s="2" t="s">
        <v>13034</v>
      </c>
      <c r="T4376" s="2" t="s">
        <v>200</v>
      </c>
      <c r="U4376" s="2" t="s">
        <v>480</v>
      </c>
      <c r="V4376" s="2" t="s">
        <v>3546</v>
      </c>
      <c r="W4376" s="2" t="s">
        <v>183</v>
      </c>
      <c r="X4376" s="2" t="s">
        <v>104</v>
      </c>
      <c r="Y4376" s="2" t="s">
        <v>2527</v>
      </c>
      <c r="Z4376" s="4">
        <v>68</v>
      </c>
      <c r="AA4376" s="4">
        <f>=ROUNDDOWN(34,0)</f>
      </c>
      <c r="AB4376" s="5">
        <v>2</v>
      </c>
      <c r="AC4376" s="2" t="s">
        <v>100</v>
      </c>
      <c r="AD4376" s="4"/>
      <c r="AE4376" s="4"/>
      <c r="AF4376" s="6">
        <v>64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12</v>
      </c>
      <c r="BK4376" s="8">
        <v>358.82</v>
      </c>
      <c r="BL4376" s="2" t="s">
        <v>13147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207</v>
      </c>
      <c r="BV4376" s="2" t="s">
        <v>97</v>
      </c>
      <c r="BW4376" s="2" t="s">
        <v>100</v>
      </c>
      <c r="BX4376" s="2" t="s">
        <v>100</v>
      </c>
      <c r="BY4376" s="2" t="s">
        <v>113</v>
      </c>
      <c r="BZ4376" s="2" t="s">
        <v>100</v>
      </c>
    </row>
    <row r="4377">
      <c r="A4377" s="2" t="s">
        <v>13148</v>
      </c>
      <c r="B4377" s="2" t="s">
        <v>12738</v>
      </c>
      <c r="C4377" s="2" t="s">
        <v>3934</v>
      </c>
      <c r="D4377" s="2" t="s">
        <v>89</v>
      </c>
      <c r="E4377" s="2" t="s">
        <v>2577</v>
      </c>
      <c r="F4377" s="2" t="s">
        <v>8231</v>
      </c>
      <c r="G4377" s="2" t="s">
        <v>12828</v>
      </c>
      <c r="H4377" s="2" t="s">
        <v>12604</v>
      </c>
      <c r="I4377" s="2" t="s">
        <v>13149</v>
      </c>
      <c r="J4377" s="2" t="s">
        <v>237</v>
      </c>
      <c r="K4377" s="2" t="s">
        <v>878</v>
      </c>
      <c r="L4377" s="3">
        <v>35.2</v>
      </c>
      <c r="M4377" s="3">
        <v>36.96</v>
      </c>
      <c r="N4377" s="3">
        <v>79.99</v>
      </c>
      <c r="O4377" s="2" t="s">
        <v>97</v>
      </c>
      <c r="P4377" s="2" t="s">
        <v>119</v>
      </c>
      <c r="Q4377" s="2" t="s">
        <v>99</v>
      </c>
      <c r="R4377" s="2" t="s">
        <v>100</v>
      </c>
      <c r="S4377" s="2" t="s">
        <v>12829</v>
      </c>
      <c r="T4377" s="2" t="s">
        <v>218</v>
      </c>
      <c r="U4377" s="2" t="s">
        <v>402</v>
      </c>
      <c r="V4377" s="2" t="s">
        <v>319</v>
      </c>
      <c r="W4377" s="2" t="s">
        <v>183</v>
      </c>
      <c r="X4377" s="2" t="s">
        <v>3241</v>
      </c>
      <c r="Y4377" s="2" t="s">
        <v>240</v>
      </c>
      <c r="Z4377" s="4">
        <v>355</v>
      </c>
      <c r="AA4377" s="4">
        <f>=ROUNDDOWN(107.575757575758,0)</f>
      </c>
      <c r="AB4377" s="5">
        <v>3.3</v>
      </c>
      <c r="AC4377" s="2" t="s">
        <v>100</v>
      </c>
      <c r="AD4377" s="4"/>
      <c r="AE4377" s="4"/>
      <c r="AF4377" s="6">
        <v>65</v>
      </c>
      <c r="AG4377" s="6">
        <v>73</v>
      </c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>
        <v>1</v>
      </c>
      <c r="AQ4377" s="8">
        <v>35.73</v>
      </c>
      <c r="AR4377" s="4"/>
      <c r="AS4377" s="8"/>
      <c r="AT4377" s="7"/>
      <c r="AU4377" s="7"/>
      <c r="AV4377" s="4">
        <v>1</v>
      </c>
      <c r="AW4377" s="8">
        <v>35.73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1</v>
      </c>
      <c r="BC4377" s="4">
        <v>1</v>
      </c>
      <c r="BD4377" s="8">
        <v>35.73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1</v>
      </c>
      <c r="BJ4377" s="4">
        <v>168</v>
      </c>
      <c r="BK4377" s="8">
        <v>6242.56</v>
      </c>
      <c r="BL4377" s="2" t="s">
        <v>13150</v>
      </c>
      <c r="BM4377" s="7">
        <v>0.006</v>
      </c>
      <c r="BN4377" s="7">
        <v>0.0057</v>
      </c>
      <c r="BO4377" s="4">
        <v>1</v>
      </c>
      <c r="BP4377" s="8">
        <v>35.73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284</v>
      </c>
      <c r="BX4377" s="2" t="s">
        <v>4659</v>
      </c>
      <c r="BY4377" s="2" t="s">
        <v>113</v>
      </c>
      <c r="BZ4377" s="2" t="s">
        <v>100</v>
      </c>
    </row>
    <row r="4378">
      <c r="A4378" s="2" t="s">
        <v>13151</v>
      </c>
      <c r="B4378" s="2" t="s">
        <v>12738</v>
      </c>
      <c r="C4378" s="2" t="s">
        <v>3934</v>
      </c>
      <c r="D4378" s="2" t="s">
        <v>89</v>
      </c>
      <c r="E4378" s="2" t="s">
        <v>2577</v>
      </c>
      <c r="F4378" s="2" t="s">
        <v>8231</v>
      </c>
      <c r="G4378" s="2" t="s">
        <v>12828</v>
      </c>
      <c r="H4378" s="2" t="s">
        <v>12604</v>
      </c>
      <c r="I4378" s="2" t="s">
        <v>13149</v>
      </c>
      <c r="J4378" s="2" t="s">
        <v>247</v>
      </c>
      <c r="K4378" s="2" t="s">
        <v>878</v>
      </c>
      <c r="L4378" s="3">
        <v>39.6</v>
      </c>
      <c r="M4378" s="3">
        <v>41.58</v>
      </c>
      <c r="N4378" s="3">
        <v>89.99</v>
      </c>
      <c r="O4378" s="2" t="s">
        <v>97</v>
      </c>
      <c r="P4378" s="2" t="s">
        <v>119</v>
      </c>
      <c r="Q4378" s="2" t="s">
        <v>99</v>
      </c>
      <c r="R4378" s="2" t="s">
        <v>100</v>
      </c>
      <c r="S4378" s="2" t="s">
        <v>12829</v>
      </c>
      <c r="T4378" s="2" t="s">
        <v>218</v>
      </c>
      <c r="U4378" s="2" t="s">
        <v>171</v>
      </c>
      <c r="V4378" s="2" t="s">
        <v>319</v>
      </c>
      <c r="W4378" s="2" t="s">
        <v>183</v>
      </c>
      <c r="X4378" s="2" t="s">
        <v>3241</v>
      </c>
      <c r="Y4378" s="2" t="s">
        <v>240</v>
      </c>
      <c r="Z4378" s="4">
        <v>240</v>
      </c>
      <c r="AA4378" s="4">
        <f>=ROUNDDOWN(24.7422680412371,0)</f>
      </c>
      <c r="AB4378" s="5">
        <v>9.7</v>
      </c>
      <c r="AC4378" s="2" t="s">
        <v>100</v>
      </c>
      <c r="AD4378" s="4"/>
      <c r="AE4378" s="4"/>
      <c r="AF4378" s="6">
        <v>65</v>
      </c>
      <c r="AG4378" s="6">
        <v>73</v>
      </c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347</v>
      </c>
      <c r="BK4378" s="8">
        <v>14441.18</v>
      </c>
      <c r="BL4378" s="2" t="s">
        <v>13152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284</v>
      </c>
      <c r="BX4378" s="2" t="s">
        <v>1041</v>
      </c>
      <c r="BY4378" s="2" t="s">
        <v>113</v>
      </c>
      <c r="BZ4378" s="2" t="s">
        <v>100</v>
      </c>
    </row>
    <row r="4379">
      <c r="A4379" s="2" t="s">
        <v>13153</v>
      </c>
      <c r="B4379" s="2" t="s">
        <v>12738</v>
      </c>
      <c r="C4379" s="2" t="s">
        <v>3934</v>
      </c>
      <c r="D4379" s="2" t="s">
        <v>89</v>
      </c>
      <c r="E4379" s="2" t="s">
        <v>2577</v>
      </c>
      <c r="F4379" s="2" t="s">
        <v>12849</v>
      </c>
      <c r="G4379" s="2" t="s">
        <v>2067</v>
      </c>
      <c r="H4379" s="2" t="s">
        <v>12850</v>
      </c>
      <c r="I4379" s="2" t="s">
        <v>13154</v>
      </c>
      <c r="J4379" s="2" t="s">
        <v>237</v>
      </c>
      <c r="K4379" s="2" t="s">
        <v>96</v>
      </c>
      <c r="L4379" s="3">
        <v>23.8</v>
      </c>
      <c r="M4379" s="3">
        <v>24.99</v>
      </c>
      <c r="N4379" s="3">
        <v>49.99</v>
      </c>
      <c r="O4379" s="2" t="s">
        <v>97</v>
      </c>
      <c r="P4379" s="2" t="s">
        <v>119</v>
      </c>
      <c r="Q4379" s="2" t="s">
        <v>99</v>
      </c>
      <c r="R4379" s="2" t="s">
        <v>100</v>
      </c>
      <c r="S4379" s="2" t="s">
        <v>12858</v>
      </c>
      <c r="T4379" s="2" t="s">
        <v>218</v>
      </c>
      <c r="U4379" s="2" t="s">
        <v>480</v>
      </c>
      <c r="V4379" s="2" t="s">
        <v>1150</v>
      </c>
      <c r="W4379" s="2" t="s">
        <v>561</v>
      </c>
      <c r="X4379" s="2" t="s">
        <v>183</v>
      </c>
      <c r="Y4379" s="2" t="s">
        <v>13155</v>
      </c>
      <c r="Z4379" s="4">
        <v>1049</v>
      </c>
      <c r="AA4379" s="4">
        <f>=ROUNDDOWN(58.2777777777778,0)</f>
      </c>
      <c r="AB4379" s="5">
        <v>18</v>
      </c>
      <c r="AC4379" s="2" t="s">
        <v>100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>
        <v>594</v>
      </c>
      <c r="BK4379" s="8">
        <v>15945.32</v>
      </c>
      <c r="BL4379" s="2" t="s">
        <v>1326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207</v>
      </c>
      <c r="BV4379" s="2" t="s">
        <v>97</v>
      </c>
      <c r="BW4379" s="2" t="s">
        <v>100</v>
      </c>
      <c r="BX4379" s="2" t="s">
        <v>100</v>
      </c>
      <c r="BY4379" s="2" t="s">
        <v>113</v>
      </c>
      <c r="BZ4379" s="2" t="s">
        <v>100</v>
      </c>
    </row>
    <row r="4380">
      <c r="A4380" s="2" t="s">
        <v>13156</v>
      </c>
      <c r="B4380" s="2" t="s">
        <v>12738</v>
      </c>
      <c r="C4380" s="2" t="s">
        <v>3934</v>
      </c>
      <c r="D4380" s="2" t="s">
        <v>89</v>
      </c>
      <c r="E4380" s="2" t="s">
        <v>2577</v>
      </c>
      <c r="F4380" s="2" t="s">
        <v>12849</v>
      </c>
      <c r="G4380" s="2" t="s">
        <v>2067</v>
      </c>
      <c r="H4380" s="2" t="s">
        <v>12850</v>
      </c>
      <c r="I4380" s="2" t="s">
        <v>13154</v>
      </c>
      <c r="J4380" s="2" t="s">
        <v>247</v>
      </c>
      <c r="K4380" s="2" t="s">
        <v>96</v>
      </c>
      <c r="L4380" s="3">
        <v>28.57</v>
      </c>
      <c r="M4380" s="3">
        <v>30</v>
      </c>
      <c r="N4380" s="3">
        <v>59.99</v>
      </c>
      <c r="O4380" s="2" t="s">
        <v>97</v>
      </c>
      <c r="P4380" s="2" t="s">
        <v>119</v>
      </c>
      <c r="Q4380" s="2" t="s">
        <v>99</v>
      </c>
      <c r="R4380" s="2" t="s">
        <v>100</v>
      </c>
      <c r="S4380" s="2" t="s">
        <v>12858</v>
      </c>
      <c r="T4380" s="2" t="s">
        <v>218</v>
      </c>
      <c r="U4380" s="2" t="s">
        <v>402</v>
      </c>
      <c r="V4380" s="2" t="s">
        <v>1150</v>
      </c>
      <c r="W4380" s="2" t="s">
        <v>561</v>
      </c>
      <c r="X4380" s="2" t="s">
        <v>183</v>
      </c>
      <c r="Y4380" s="2" t="s">
        <v>13155</v>
      </c>
      <c r="Z4380" s="4">
        <v>1109</v>
      </c>
      <c r="AA4380" s="4">
        <f>=ROUNDDOWN(36.9666666666667,0)</f>
      </c>
      <c r="AB4380" s="5">
        <v>30</v>
      </c>
      <c r="AC4380" s="2" t="s">
        <v>100</v>
      </c>
      <c r="AD4380" s="4"/>
      <c r="AE4380" s="4"/>
      <c r="AF4380" s="6">
        <v>65</v>
      </c>
      <c r="AG4380" s="6"/>
      <c r="AH4380" s="7">
        <v>0.9893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>
        <v>946</v>
      </c>
      <c r="BK4380" s="8">
        <v>30375.2</v>
      </c>
      <c r="BL4380" s="2" t="s">
        <v>13157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207</v>
      </c>
      <c r="BV4380" s="2" t="s">
        <v>97</v>
      </c>
      <c r="BW4380" s="2" t="s">
        <v>100</v>
      </c>
      <c r="BX4380" s="2" t="s">
        <v>100</v>
      </c>
      <c r="BY4380" s="2" t="s">
        <v>113</v>
      </c>
      <c r="BZ4380" s="2" t="s">
        <v>100</v>
      </c>
    </row>
    <row r="4381">
      <c r="A4381" s="2" t="s">
        <v>13158</v>
      </c>
      <c r="B4381" s="2" t="s">
        <v>12738</v>
      </c>
      <c r="C4381" s="2" t="s">
        <v>13159</v>
      </c>
      <c r="D4381" s="2" t="s">
        <v>89</v>
      </c>
      <c r="E4381" s="2" t="s">
        <v>90</v>
      </c>
      <c r="F4381" s="2" t="s">
        <v>13160</v>
      </c>
      <c r="G4381" s="2" t="s">
        <v>13161</v>
      </c>
      <c r="H4381" s="2" t="s">
        <v>13162</v>
      </c>
      <c r="I4381" s="2" t="s">
        <v>13163</v>
      </c>
      <c r="J4381" s="2" t="s">
        <v>95</v>
      </c>
      <c r="K4381" s="2" t="s">
        <v>118</v>
      </c>
      <c r="L4381" s="3">
        <v>50</v>
      </c>
      <c r="M4381" s="3">
        <v>52.5</v>
      </c>
      <c r="N4381" s="3">
        <v>99.99</v>
      </c>
      <c r="O4381" s="2" t="s">
        <v>97</v>
      </c>
      <c r="P4381" s="2" t="s">
        <v>119</v>
      </c>
      <c r="Q4381" s="2" t="s">
        <v>99</v>
      </c>
      <c r="R4381" s="2" t="s">
        <v>100</v>
      </c>
      <c r="S4381" s="2" t="s">
        <v>13164</v>
      </c>
      <c r="T4381" s="2" t="s">
        <v>280</v>
      </c>
      <c r="U4381" s="2" t="s">
        <v>102</v>
      </c>
      <c r="V4381" s="2" t="s">
        <v>2661</v>
      </c>
      <c r="W4381" s="2" t="s">
        <v>183</v>
      </c>
      <c r="X4381" s="2" t="s">
        <v>100</v>
      </c>
      <c r="Y4381" s="2" t="s">
        <v>1483</v>
      </c>
      <c r="Z4381" s="4">
        <v>221</v>
      </c>
      <c r="AA4381" s="4">
        <f>=ROUNDDOWN(31.5714285714286,0)</f>
      </c>
      <c r="AB4381" s="5">
        <v>7</v>
      </c>
      <c r="AC4381" s="2" t="s">
        <v>148</v>
      </c>
      <c r="AD4381" s="4">
        <v>280</v>
      </c>
      <c r="AE4381" s="4">
        <v>280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>
        <v>7</v>
      </c>
      <c r="AQ4381" s="8">
        <v>357.21</v>
      </c>
      <c r="AR4381" s="4"/>
      <c r="AS4381" s="8"/>
      <c r="AT4381" s="7"/>
      <c r="AU4381" s="7"/>
      <c r="AV4381" s="4">
        <v>7</v>
      </c>
      <c r="AW4381" s="8">
        <v>357.21</v>
      </c>
      <c r="AX4381" s="4"/>
      <c r="AY4381" s="8"/>
      <c r="AZ4381" s="7"/>
      <c r="BA4381" s="7"/>
      <c r="BB4381" s="7">
        <v>1</v>
      </c>
      <c r="BC4381" s="4">
        <v>7</v>
      </c>
      <c r="BD4381" s="8">
        <v>357.21</v>
      </c>
      <c r="BE4381" s="4"/>
      <c r="BF4381" s="8"/>
      <c r="BG4381" s="7"/>
      <c r="BH4381" s="7"/>
      <c r="BI4381" s="7">
        <v>1</v>
      </c>
      <c r="BJ4381" s="4">
        <v>174</v>
      </c>
      <c r="BK4381" s="8">
        <v>9455.26</v>
      </c>
      <c r="BL4381" s="2" t="s">
        <v>13165</v>
      </c>
      <c r="BM4381" s="7">
        <v>0.0402</v>
      </c>
      <c r="BN4381" s="7">
        <v>0.0378</v>
      </c>
      <c r="BO4381" s="4">
        <v>7</v>
      </c>
      <c r="BP4381" s="8">
        <v>357.21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1815</v>
      </c>
      <c r="BX4381" s="2" t="s">
        <v>13166</v>
      </c>
      <c r="BY4381" s="2" t="s">
        <v>113</v>
      </c>
      <c r="BZ4381" s="2" t="s">
        <v>100</v>
      </c>
    </row>
    <row r="4382">
      <c r="A4382" s="2" t="s">
        <v>13167</v>
      </c>
      <c r="B4382" s="2" t="s">
        <v>12738</v>
      </c>
      <c r="C4382" s="2" t="s">
        <v>13159</v>
      </c>
      <c r="D4382" s="2" t="s">
        <v>89</v>
      </c>
      <c r="E4382" s="2" t="s">
        <v>2577</v>
      </c>
      <c r="F4382" s="2" t="s">
        <v>250</v>
      </c>
      <c r="G4382" s="2" t="s">
        <v>4021</v>
      </c>
      <c r="H4382" s="2" t="s">
        <v>5682</v>
      </c>
      <c r="I4382" s="2" t="s">
        <v>13168</v>
      </c>
      <c r="J4382" s="2" t="s">
        <v>1936</v>
      </c>
      <c r="K4382" s="2" t="s">
        <v>3560</v>
      </c>
      <c r="L4382" s="3">
        <v>36.8</v>
      </c>
      <c r="M4382" s="3">
        <v>38.64</v>
      </c>
      <c r="N4382" s="3">
        <v>89.99</v>
      </c>
      <c r="O4382" s="2" t="s">
        <v>97</v>
      </c>
      <c r="P4382" s="2" t="s">
        <v>119</v>
      </c>
      <c r="Q4382" s="2" t="s">
        <v>99</v>
      </c>
      <c r="R4382" s="2" t="s">
        <v>100</v>
      </c>
      <c r="S4382" s="2" t="s">
        <v>13169</v>
      </c>
      <c r="T4382" s="2" t="s">
        <v>280</v>
      </c>
      <c r="U4382" s="2" t="s">
        <v>402</v>
      </c>
      <c r="V4382" s="2" t="s">
        <v>2661</v>
      </c>
      <c r="W4382" s="2" t="s">
        <v>183</v>
      </c>
      <c r="X4382" s="2" t="s">
        <v>100</v>
      </c>
      <c r="Y4382" s="2" t="s">
        <v>11068</v>
      </c>
      <c r="Z4382" s="4">
        <v>302</v>
      </c>
      <c r="AA4382" s="4">
        <f>=ROUNDDOWN(18.875,0)</f>
      </c>
      <c r="AB4382" s="5">
        <v>16</v>
      </c>
      <c r="AC4382" s="2" t="s">
        <v>271</v>
      </c>
      <c r="AD4382" s="4">
        <v>350</v>
      </c>
      <c r="AE4382" s="4">
        <v>350</v>
      </c>
      <c r="AF4382" s="6">
        <v>65</v>
      </c>
      <c r="AG4382" s="6">
        <v>73</v>
      </c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>
        <v>3</v>
      </c>
      <c r="AQ4382" s="8">
        <v>105.84</v>
      </c>
      <c r="AR4382" s="4"/>
      <c r="AS4382" s="8"/>
      <c r="AT4382" s="7"/>
      <c r="AU4382" s="7"/>
      <c r="AV4382" s="4">
        <v>7</v>
      </c>
      <c r="AW4382" s="8">
        <v>287.28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0.3684</v>
      </c>
      <c r="BC4382" s="4">
        <v>7</v>
      </c>
      <c r="BD4382" s="8">
        <v>287.28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1</v>
      </c>
      <c r="BJ4382" s="4">
        <v>445</v>
      </c>
      <c r="BK4382" s="8">
        <v>18962.07</v>
      </c>
      <c r="BL4382" s="2" t="s">
        <v>11168</v>
      </c>
      <c r="BM4382" s="7">
        <v>0.0067</v>
      </c>
      <c r="BN4382" s="7">
        <v>0.0056</v>
      </c>
      <c r="BO4382" s="4">
        <v>3</v>
      </c>
      <c r="BP4382" s="8">
        <v>105.84</v>
      </c>
      <c r="BQ4382" s="4"/>
      <c r="BR4382" s="8"/>
      <c r="BS4382" s="7"/>
      <c r="BT4382" s="7"/>
      <c r="BU4382" s="2" t="s">
        <v>109</v>
      </c>
      <c r="BV4382" s="2" t="s">
        <v>110</v>
      </c>
      <c r="BW4382" s="2" t="s">
        <v>1815</v>
      </c>
      <c r="BX4382" s="2" t="s">
        <v>5450</v>
      </c>
      <c r="BY4382" s="2" t="s">
        <v>113</v>
      </c>
      <c r="BZ4382" s="2" t="s">
        <v>100</v>
      </c>
    </row>
    <row r="4383">
      <c r="A4383" s="2" t="s">
        <v>13170</v>
      </c>
      <c r="B4383" s="2" t="s">
        <v>12738</v>
      </c>
      <c r="C4383" s="2" t="s">
        <v>13159</v>
      </c>
      <c r="D4383" s="2" t="s">
        <v>89</v>
      </c>
      <c r="E4383" s="2" t="s">
        <v>2577</v>
      </c>
      <c r="F4383" s="2" t="s">
        <v>250</v>
      </c>
      <c r="G4383" s="2" t="s">
        <v>4021</v>
      </c>
      <c r="H4383" s="2" t="s">
        <v>5682</v>
      </c>
      <c r="I4383" s="2" t="s">
        <v>13168</v>
      </c>
      <c r="J4383" s="2" t="s">
        <v>247</v>
      </c>
      <c r="K4383" s="2" t="s">
        <v>3560</v>
      </c>
      <c r="L4383" s="3">
        <v>48</v>
      </c>
      <c r="M4383" s="3">
        <v>50.4</v>
      </c>
      <c r="N4383" s="3">
        <v>109.99</v>
      </c>
      <c r="O4383" s="2" t="s">
        <v>97</v>
      </c>
      <c r="P4383" s="2" t="s">
        <v>119</v>
      </c>
      <c r="Q4383" s="2" t="s">
        <v>99</v>
      </c>
      <c r="R4383" s="2" t="s">
        <v>100</v>
      </c>
      <c r="S4383" s="2" t="s">
        <v>13169</v>
      </c>
      <c r="T4383" s="2" t="s">
        <v>280</v>
      </c>
      <c r="U4383" s="2" t="s">
        <v>171</v>
      </c>
      <c r="V4383" s="2" t="s">
        <v>2661</v>
      </c>
      <c r="W4383" s="2" t="s">
        <v>183</v>
      </c>
      <c r="X4383" s="2" t="s">
        <v>100</v>
      </c>
      <c r="Y4383" s="2" t="s">
        <v>13171</v>
      </c>
      <c r="Z4383" s="4">
        <v>473</v>
      </c>
      <c r="AA4383" s="4">
        <f>=ROUNDDOWN(31.5333333333333,0)</f>
      </c>
      <c r="AB4383" s="5">
        <v>15</v>
      </c>
      <c r="AC4383" s="2" t="s">
        <v>271</v>
      </c>
      <c r="AD4383" s="4">
        <v>240</v>
      </c>
      <c r="AE4383" s="4">
        <v>240</v>
      </c>
      <c r="AF4383" s="6">
        <v>65</v>
      </c>
      <c r="AG4383" s="6">
        <v>73</v>
      </c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>
        <v>4</v>
      </c>
      <c r="AQ4383" s="8">
        <v>181.44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0.6316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407</v>
      </c>
      <c r="BK4383" s="8">
        <v>22911.87</v>
      </c>
      <c r="BL4383" s="2" t="s">
        <v>5149</v>
      </c>
      <c r="BM4383" s="7">
        <v>0.0098</v>
      </c>
      <c r="BN4383" s="7">
        <v>0.0079</v>
      </c>
      <c r="BO4383" s="4">
        <v>4</v>
      </c>
      <c r="BP4383" s="8">
        <v>181.44</v>
      </c>
      <c r="BQ4383" s="4"/>
      <c r="BR4383" s="8"/>
      <c r="BS4383" s="7"/>
      <c r="BT4383" s="7"/>
      <c r="BU4383" s="2" t="s">
        <v>109</v>
      </c>
      <c r="BV4383" s="2" t="s">
        <v>110</v>
      </c>
      <c r="BW4383" s="2" t="s">
        <v>1815</v>
      </c>
      <c r="BX4383" s="2" t="s">
        <v>8334</v>
      </c>
      <c r="BY4383" s="2" t="s">
        <v>113</v>
      </c>
      <c r="BZ4383" s="2" t="s">
        <v>100</v>
      </c>
    </row>
    <row r="4384">
      <c r="A4384" s="2" t="s">
        <v>13172</v>
      </c>
      <c r="B4384" s="2" t="s">
        <v>12738</v>
      </c>
      <c r="C4384" s="2" t="s">
        <v>13159</v>
      </c>
      <c r="D4384" s="2" t="s">
        <v>89</v>
      </c>
      <c r="E4384" s="2" t="s">
        <v>2577</v>
      </c>
      <c r="F4384" s="2" t="s">
        <v>428</v>
      </c>
      <c r="G4384" s="2" t="s">
        <v>13173</v>
      </c>
      <c r="H4384" s="2" t="s">
        <v>13174</v>
      </c>
      <c r="I4384" s="2" t="s">
        <v>13175</v>
      </c>
      <c r="J4384" s="2" t="s">
        <v>1936</v>
      </c>
      <c r="K4384" s="2" t="s">
        <v>13176</v>
      </c>
      <c r="L4384" s="3">
        <v>41</v>
      </c>
      <c r="M4384" s="3">
        <v>43.05</v>
      </c>
      <c r="N4384" s="3">
        <v>79.99</v>
      </c>
      <c r="O4384" s="2" t="s">
        <v>97</v>
      </c>
      <c r="P4384" s="2" t="s">
        <v>372</v>
      </c>
      <c r="Q4384" s="2" t="s">
        <v>99</v>
      </c>
      <c r="R4384" s="2" t="s">
        <v>100</v>
      </c>
      <c r="S4384" s="2" t="s">
        <v>13177</v>
      </c>
      <c r="T4384" s="2" t="s">
        <v>280</v>
      </c>
      <c r="U4384" s="2" t="s">
        <v>480</v>
      </c>
      <c r="V4384" s="2" t="s">
        <v>2661</v>
      </c>
      <c r="W4384" s="2" t="s">
        <v>183</v>
      </c>
      <c r="X4384" s="2" t="s">
        <v>100</v>
      </c>
      <c r="Y4384" s="2" t="s">
        <v>13178</v>
      </c>
      <c r="Z4384" s="4">
        <v>836</v>
      </c>
      <c r="AA4384" s="4">
        <f>=ROUNDDOWN(30.962962962963,0)</f>
      </c>
      <c r="AB4384" s="5">
        <v>27</v>
      </c>
      <c r="AC4384" s="2" t="s">
        <v>997</v>
      </c>
      <c r="AD4384" s="4">
        <v>200</v>
      </c>
      <c r="AE4384" s="4">
        <v>200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968</v>
      </c>
      <c r="BK4384" s="8">
        <v>44750.93</v>
      </c>
      <c r="BL4384" s="2" t="s">
        <v>548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207</v>
      </c>
      <c r="BV4384" s="2" t="s">
        <v>97</v>
      </c>
      <c r="BW4384" s="2" t="s">
        <v>100</v>
      </c>
      <c r="BX4384" s="2" t="s">
        <v>100</v>
      </c>
      <c r="BY4384" s="2" t="s">
        <v>113</v>
      </c>
      <c r="BZ4384" s="2" t="s">
        <v>100</v>
      </c>
    </row>
    <row r="4385">
      <c r="A4385" s="2" t="s">
        <v>13179</v>
      </c>
      <c r="B4385" s="2" t="s">
        <v>12738</v>
      </c>
      <c r="C4385" s="2" t="s">
        <v>13159</v>
      </c>
      <c r="D4385" s="2" t="s">
        <v>89</v>
      </c>
      <c r="E4385" s="2" t="s">
        <v>2577</v>
      </c>
      <c r="F4385" s="2" t="s">
        <v>428</v>
      </c>
      <c r="G4385" s="2" t="s">
        <v>13173</v>
      </c>
      <c r="H4385" s="2" t="s">
        <v>13174</v>
      </c>
      <c r="I4385" s="2" t="s">
        <v>13175</v>
      </c>
      <c r="J4385" s="2" t="s">
        <v>247</v>
      </c>
      <c r="K4385" s="2" t="s">
        <v>13176</v>
      </c>
      <c r="L4385" s="3">
        <v>52.2</v>
      </c>
      <c r="M4385" s="3">
        <v>54.81</v>
      </c>
      <c r="N4385" s="3">
        <v>99.99</v>
      </c>
      <c r="O4385" s="2" t="s">
        <v>97</v>
      </c>
      <c r="P4385" s="2" t="s">
        <v>372</v>
      </c>
      <c r="Q4385" s="2" t="s">
        <v>99</v>
      </c>
      <c r="R4385" s="2" t="s">
        <v>100</v>
      </c>
      <c r="S4385" s="2" t="s">
        <v>13177</v>
      </c>
      <c r="T4385" s="2" t="s">
        <v>280</v>
      </c>
      <c r="U4385" s="2" t="s">
        <v>402</v>
      </c>
      <c r="V4385" s="2" t="s">
        <v>2661</v>
      </c>
      <c r="W4385" s="2" t="s">
        <v>183</v>
      </c>
      <c r="X4385" s="2" t="s">
        <v>100</v>
      </c>
      <c r="Y4385" s="2" t="s">
        <v>13178</v>
      </c>
      <c r="Z4385" s="4">
        <v>1088</v>
      </c>
      <c r="AA4385" s="4">
        <f>=ROUNDDOWN(64,0)</f>
      </c>
      <c r="AB4385" s="5">
        <v>17</v>
      </c>
      <c r="AC4385" s="2" t="s">
        <v>997</v>
      </c>
      <c r="AD4385" s="4">
        <v>200</v>
      </c>
      <c r="AE4385" s="4">
        <v>200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>
        <v>624</v>
      </c>
      <c r="BK4385" s="8">
        <v>36576.72</v>
      </c>
      <c r="BL4385" s="2" t="s">
        <v>548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207</v>
      </c>
      <c r="BV4385" s="2" t="s">
        <v>97</v>
      </c>
      <c r="BW4385" s="2" t="s">
        <v>100</v>
      </c>
      <c r="BX4385" s="2" t="s">
        <v>100</v>
      </c>
      <c r="BY4385" s="2" t="s">
        <v>113</v>
      </c>
      <c r="BZ4385" s="2" t="s">
        <v>100</v>
      </c>
    </row>
    <row r="4386">
      <c r="A4386" s="2" t="s">
        <v>13180</v>
      </c>
      <c r="B4386" s="2" t="s">
        <v>12738</v>
      </c>
      <c r="C4386" s="2" t="s">
        <v>13159</v>
      </c>
      <c r="D4386" s="2" t="s">
        <v>803</v>
      </c>
      <c r="E4386" s="2" t="s">
        <v>804</v>
      </c>
      <c r="F4386" s="2" t="s">
        <v>12182</v>
      </c>
      <c r="G4386" s="2" t="s">
        <v>13181</v>
      </c>
      <c r="H4386" s="2" t="s">
        <v>667</v>
      </c>
      <c r="I4386" s="2" t="s">
        <v>13182</v>
      </c>
      <c r="J4386" s="2" t="s">
        <v>1936</v>
      </c>
      <c r="K4386" s="2" t="s">
        <v>432</v>
      </c>
      <c r="L4386" s="3">
        <v>38.4</v>
      </c>
      <c r="M4386" s="3">
        <v>40.32</v>
      </c>
      <c r="N4386" s="3">
        <v>79.99</v>
      </c>
      <c r="O4386" s="2" t="s">
        <v>97</v>
      </c>
      <c r="P4386" s="2" t="s">
        <v>950</v>
      </c>
      <c r="Q4386" s="2" t="s">
        <v>99</v>
      </c>
      <c r="R4386" s="2" t="s">
        <v>100</v>
      </c>
      <c r="S4386" s="2" t="s">
        <v>13183</v>
      </c>
      <c r="T4386" s="2" t="s">
        <v>280</v>
      </c>
      <c r="U4386" s="2" t="s">
        <v>402</v>
      </c>
      <c r="V4386" s="2" t="s">
        <v>2661</v>
      </c>
      <c r="W4386" s="2" t="s">
        <v>183</v>
      </c>
      <c r="X4386" s="2" t="s">
        <v>104</v>
      </c>
      <c r="Y4386" s="2" t="s">
        <v>13184</v>
      </c>
      <c r="Z4386" s="4">
        <v>314</v>
      </c>
      <c r="AA4386" s="4">
        <f>=ROUNDDOWN(22.4285714285714,0)</f>
      </c>
      <c r="AB4386" s="5">
        <v>14</v>
      </c>
      <c r="AC4386" s="2" t="s">
        <v>271</v>
      </c>
      <c r="AD4386" s="4">
        <v>210</v>
      </c>
      <c r="AE4386" s="4">
        <v>210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>
        <v>7</v>
      </c>
      <c r="AQ4386" s="8">
        <v>282.24</v>
      </c>
      <c r="AR4386" s="4"/>
      <c r="AS4386" s="8"/>
      <c r="AT4386" s="7"/>
      <c r="AU4386" s="7"/>
      <c r="AV4386" s="4">
        <v>7</v>
      </c>
      <c r="AW4386" s="8">
        <v>282.24</v>
      </c>
      <c r="AX4386" s="4"/>
      <c r="AY4386" s="8"/>
      <c r="AZ4386" s="7"/>
      <c r="BA4386" s="7"/>
      <c r="BB4386" s="7">
        <v>1</v>
      </c>
      <c r="BC4386" s="4">
        <v>7</v>
      </c>
      <c r="BD4386" s="8">
        <v>282.24</v>
      </c>
      <c r="BE4386" s="4"/>
      <c r="BF4386" s="8"/>
      <c r="BG4386" s="7"/>
      <c r="BH4386" s="7"/>
      <c r="BI4386" s="7">
        <v>1</v>
      </c>
      <c r="BJ4386" s="4">
        <v>326</v>
      </c>
      <c r="BK4386" s="8">
        <v>13329.11</v>
      </c>
      <c r="BL4386" s="2" t="s">
        <v>6284</v>
      </c>
      <c r="BM4386" s="7">
        <v>0.0215</v>
      </c>
      <c r="BN4386" s="7">
        <v>0.0212</v>
      </c>
      <c r="BO4386" s="4">
        <v>7</v>
      </c>
      <c r="BP4386" s="8">
        <v>282.24</v>
      </c>
      <c r="BQ4386" s="4"/>
      <c r="BR4386" s="8"/>
      <c r="BS4386" s="7"/>
      <c r="BT4386" s="7"/>
      <c r="BU4386" s="2" t="s">
        <v>109</v>
      </c>
      <c r="BV4386" s="2" t="s">
        <v>110</v>
      </c>
      <c r="BW4386" s="2" t="s">
        <v>1688</v>
      </c>
      <c r="BX4386" s="2" t="s">
        <v>4486</v>
      </c>
      <c r="BY4386" s="2" t="s">
        <v>113</v>
      </c>
      <c r="BZ4386" s="2" t="s">
        <v>100</v>
      </c>
    </row>
    <row r="4387">
      <c r="A4387" s="2" t="s">
        <v>13185</v>
      </c>
      <c r="B4387" s="2" t="s">
        <v>12738</v>
      </c>
      <c r="C4387" s="2" t="s">
        <v>13159</v>
      </c>
      <c r="D4387" s="2" t="s">
        <v>803</v>
      </c>
      <c r="E4387" s="2" t="s">
        <v>804</v>
      </c>
      <c r="F4387" s="2" t="s">
        <v>428</v>
      </c>
      <c r="G4387" s="2" t="s">
        <v>13173</v>
      </c>
      <c r="H4387" s="2" t="s">
        <v>13174</v>
      </c>
      <c r="I4387" s="2" t="s">
        <v>13186</v>
      </c>
      <c r="J4387" s="2" t="s">
        <v>1936</v>
      </c>
      <c r="K4387" s="2" t="s">
        <v>13176</v>
      </c>
      <c r="L4387" s="3">
        <v>40</v>
      </c>
      <c r="M4387" s="3">
        <v>42</v>
      </c>
      <c r="N4387" s="3">
        <v>79.99</v>
      </c>
      <c r="O4387" s="2" t="s">
        <v>97</v>
      </c>
      <c r="P4387" s="2" t="s">
        <v>119</v>
      </c>
      <c r="Q4387" s="2" t="s">
        <v>99</v>
      </c>
      <c r="R4387" s="2" t="s">
        <v>100</v>
      </c>
      <c r="S4387" s="2" t="s">
        <v>13177</v>
      </c>
      <c r="T4387" s="2" t="s">
        <v>280</v>
      </c>
      <c r="U4387" s="2" t="s">
        <v>480</v>
      </c>
      <c r="V4387" s="2" t="s">
        <v>2661</v>
      </c>
      <c r="W4387" s="2" t="s">
        <v>183</v>
      </c>
      <c r="X4387" s="2" t="s">
        <v>100</v>
      </c>
      <c r="Y4387" s="2" t="s">
        <v>13178</v>
      </c>
      <c r="Z4387" s="4">
        <v>384</v>
      </c>
      <c r="AA4387" s="4">
        <f>=ROUNDDOWN(27.4285714285714,0)</f>
      </c>
      <c r="AB4387" s="5">
        <v>14</v>
      </c>
      <c r="AC4387" s="2" t="s">
        <v>997</v>
      </c>
      <c r="AD4387" s="4">
        <v>150</v>
      </c>
      <c r="AE4387" s="4">
        <v>150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456</v>
      </c>
      <c r="BK4387" s="8">
        <v>20724.51</v>
      </c>
      <c r="BL4387" s="2" t="s">
        <v>5277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207</v>
      </c>
      <c r="BV4387" s="2" t="s">
        <v>97</v>
      </c>
      <c r="BW4387" s="2" t="s">
        <v>100</v>
      </c>
      <c r="BX4387" s="2" t="s">
        <v>100</v>
      </c>
      <c r="BY4387" s="2" t="s">
        <v>113</v>
      </c>
      <c r="BZ4387" s="2" t="s">
        <v>245</v>
      </c>
    </row>
    <row r="4388">
      <c r="A4388" s="2" t="s">
        <v>13187</v>
      </c>
      <c r="B4388" s="2" t="s">
        <v>12738</v>
      </c>
      <c r="C4388" s="2" t="s">
        <v>13159</v>
      </c>
      <c r="D4388" s="2" t="s">
        <v>803</v>
      </c>
      <c r="E4388" s="2" t="s">
        <v>804</v>
      </c>
      <c r="F4388" s="2" t="s">
        <v>428</v>
      </c>
      <c r="G4388" s="2" t="s">
        <v>13173</v>
      </c>
      <c r="H4388" s="2" t="s">
        <v>13174</v>
      </c>
      <c r="I4388" s="2" t="s">
        <v>13186</v>
      </c>
      <c r="J4388" s="2" t="s">
        <v>247</v>
      </c>
      <c r="K4388" s="2" t="s">
        <v>13176</v>
      </c>
      <c r="L4388" s="3">
        <v>50</v>
      </c>
      <c r="M4388" s="3">
        <v>52.5</v>
      </c>
      <c r="N4388" s="3">
        <v>99.99</v>
      </c>
      <c r="O4388" s="2" t="s">
        <v>97</v>
      </c>
      <c r="P4388" s="2" t="s">
        <v>119</v>
      </c>
      <c r="Q4388" s="2" t="s">
        <v>99</v>
      </c>
      <c r="R4388" s="2" t="s">
        <v>100</v>
      </c>
      <c r="S4388" s="2" t="s">
        <v>13177</v>
      </c>
      <c r="T4388" s="2" t="s">
        <v>280</v>
      </c>
      <c r="U4388" s="2" t="s">
        <v>402</v>
      </c>
      <c r="V4388" s="2" t="s">
        <v>2661</v>
      </c>
      <c r="W4388" s="2" t="s">
        <v>183</v>
      </c>
      <c r="X4388" s="2" t="s">
        <v>100</v>
      </c>
      <c r="Y4388" s="2" t="s">
        <v>13178</v>
      </c>
      <c r="Z4388" s="4">
        <v>373</v>
      </c>
      <c r="AA4388" s="4">
        <f>=ROUNDDOWN(24.8666666666667,0)</f>
      </c>
      <c r="AB4388" s="5">
        <v>15</v>
      </c>
      <c r="AC4388" s="2" t="s">
        <v>997</v>
      </c>
      <c r="AD4388" s="4">
        <v>250</v>
      </c>
      <c r="AE4388" s="4">
        <v>250</v>
      </c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464</v>
      </c>
      <c r="BK4388" s="8">
        <v>26373.77</v>
      </c>
      <c r="BL4388" s="2" t="s">
        <v>5211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207</v>
      </c>
      <c r="BV4388" s="2" t="s">
        <v>97</v>
      </c>
      <c r="BW4388" s="2" t="s">
        <v>100</v>
      </c>
      <c r="BX4388" s="2" t="s">
        <v>100</v>
      </c>
      <c r="BY4388" s="2" t="s">
        <v>113</v>
      </c>
      <c r="BZ4388" s="2" t="s">
        <v>245</v>
      </c>
    </row>
    <row r="4389">
      <c r="A4389" s="2" t="s">
        <v>13188</v>
      </c>
      <c r="B4389" s="2" t="s">
        <v>12738</v>
      </c>
      <c r="C4389" s="2" t="s">
        <v>13159</v>
      </c>
      <c r="D4389" s="2" t="s">
        <v>803</v>
      </c>
      <c r="E4389" s="2" t="s">
        <v>804</v>
      </c>
      <c r="F4389" s="2" t="s">
        <v>13189</v>
      </c>
      <c r="G4389" s="2" t="s">
        <v>13190</v>
      </c>
      <c r="H4389" s="2" t="s">
        <v>8359</v>
      </c>
      <c r="I4389" s="2" t="s">
        <v>13191</v>
      </c>
      <c r="J4389" s="2" t="s">
        <v>1936</v>
      </c>
      <c r="K4389" s="2" t="s">
        <v>13192</v>
      </c>
      <c r="L4389" s="3">
        <v>42.85</v>
      </c>
      <c r="M4389" s="3">
        <v>44.99</v>
      </c>
      <c r="N4389" s="3">
        <v>89.99</v>
      </c>
      <c r="O4389" s="2" t="s">
        <v>97</v>
      </c>
      <c r="P4389" s="2" t="s">
        <v>119</v>
      </c>
      <c r="Q4389" s="2" t="s">
        <v>99</v>
      </c>
      <c r="R4389" s="2" t="s">
        <v>100</v>
      </c>
      <c r="S4389" s="2" t="s">
        <v>13193</v>
      </c>
      <c r="T4389" s="2" t="s">
        <v>200</v>
      </c>
      <c r="U4389" s="2" t="s">
        <v>480</v>
      </c>
      <c r="V4389" s="2" t="s">
        <v>256</v>
      </c>
      <c r="W4389" s="2" t="s">
        <v>183</v>
      </c>
      <c r="X4389" s="2" t="s">
        <v>100</v>
      </c>
      <c r="Y4389" s="2" t="s">
        <v>13194</v>
      </c>
      <c r="Z4389" s="4">
        <v>60</v>
      </c>
      <c r="AA4389" s="4">
        <f>=ROUNDDOWN(0.882352941176471,0)</f>
      </c>
      <c r="AB4389" s="5">
        <v>68</v>
      </c>
      <c r="AC4389" s="2" t="s">
        <v>931</v>
      </c>
      <c r="AD4389" s="4">
        <v>380</v>
      </c>
      <c r="AE4389" s="4">
        <v>1730</v>
      </c>
      <c r="AF4389" s="6">
        <v>67</v>
      </c>
      <c r="AG4389" s="6"/>
      <c r="AH4389" s="7">
        <v>0.8503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>
        <v>1512</v>
      </c>
      <c r="BK4389" s="8">
        <v>73311.34</v>
      </c>
      <c r="BL4389" s="2" t="s">
        <v>550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207</v>
      </c>
      <c r="BV4389" s="2" t="s">
        <v>97</v>
      </c>
      <c r="BW4389" s="2" t="s">
        <v>100</v>
      </c>
      <c r="BX4389" s="2" t="s">
        <v>100</v>
      </c>
      <c r="BY4389" s="2" t="s">
        <v>113</v>
      </c>
      <c r="BZ4389" s="2" t="s">
        <v>100</v>
      </c>
    </row>
    <row r="4390">
      <c r="A4390" s="2" t="s">
        <v>13195</v>
      </c>
      <c r="B4390" s="2" t="s">
        <v>12738</v>
      </c>
      <c r="C4390" s="2" t="s">
        <v>13159</v>
      </c>
      <c r="D4390" s="2" t="s">
        <v>803</v>
      </c>
      <c r="E4390" s="2" t="s">
        <v>804</v>
      </c>
      <c r="F4390" s="2" t="s">
        <v>13189</v>
      </c>
      <c r="G4390" s="2" t="s">
        <v>13190</v>
      </c>
      <c r="H4390" s="2" t="s">
        <v>8359</v>
      </c>
      <c r="I4390" s="2" t="s">
        <v>13191</v>
      </c>
      <c r="J4390" s="2" t="s">
        <v>247</v>
      </c>
      <c r="K4390" s="2" t="s">
        <v>13192</v>
      </c>
      <c r="L4390" s="3">
        <v>47.61</v>
      </c>
      <c r="M4390" s="3">
        <v>49.99</v>
      </c>
      <c r="N4390" s="3">
        <v>99.99</v>
      </c>
      <c r="O4390" s="2" t="s">
        <v>97</v>
      </c>
      <c r="P4390" s="2" t="s">
        <v>119</v>
      </c>
      <c r="Q4390" s="2" t="s">
        <v>99</v>
      </c>
      <c r="R4390" s="2" t="s">
        <v>100</v>
      </c>
      <c r="S4390" s="2" t="s">
        <v>13193</v>
      </c>
      <c r="T4390" s="2" t="s">
        <v>200</v>
      </c>
      <c r="U4390" s="2" t="s">
        <v>402</v>
      </c>
      <c r="V4390" s="2" t="s">
        <v>256</v>
      </c>
      <c r="W4390" s="2" t="s">
        <v>183</v>
      </c>
      <c r="X4390" s="2" t="s">
        <v>100</v>
      </c>
      <c r="Y4390" s="2" t="s">
        <v>5138</v>
      </c>
      <c r="Z4390" s="4">
        <v>814</v>
      </c>
      <c r="AA4390" s="4">
        <f>=ROUNDDOWN(9.57647058823529,0)</f>
      </c>
      <c r="AB4390" s="5">
        <v>85</v>
      </c>
      <c r="AC4390" s="2" t="s">
        <v>931</v>
      </c>
      <c r="AD4390" s="4">
        <v>150</v>
      </c>
      <c r="AE4390" s="4">
        <v>1890</v>
      </c>
      <c r="AF4390" s="6">
        <v>67</v>
      </c>
      <c r="AG4390" s="6"/>
      <c r="AH4390" s="7">
        <v>0.8449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>
        <v>1804</v>
      </c>
      <c r="BK4390" s="8">
        <v>96394.63</v>
      </c>
      <c r="BL4390" s="2" t="s">
        <v>550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207</v>
      </c>
      <c r="BV4390" s="2" t="s">
        <v>97</v>
      </c>
      <c r="BW4390" s="2" t="s">
        <v>100</v>
      </c>
      <c r="BX4390" s="2" t="s">
        <v>100</v>
      </c>
      <c r="BY4390" s="2" t="s">
        <v>113</v>
      </c>
      <c r="BZ4390" s="2" t="s">
        <v>100</v>
      </c>
    </row>
    <row r="4391">
      <c r="A4391" s="2" t="s">
        <v>13196</v>
      </c>
      <c r="B4391" s="2" t="s">
        <v>12738</v>
      </c>
      <c r="C4391" s="2" t="s">
        <v>13159</v>
      </c>
      <c r="D4391" s="2" t="s">
        <v>803</v>
      </c>
      <c r="E4391" s="2" t="s">
        <v>804</v>
      </c>
      <c r="F4391" s="2" t="s">
        <v>13197</v>
      </c>
      <c r="G4391" s="2" t="s">
        <v>13198</v>
      </c>
      <c r="H4391" s="2" t="s">
        <v>2155</v>
      </c>
      <c r="I4391" s="2" t="s">
        <v>13199</v>
      </c>
      <c r="J4391" s="2" t="s">
        <v>1936</v>
      </c>
      <c r="K4391" s="2" t="s">
        <v>3560</v>
      </c>
      <c r="L4391" s="3">
        <v>54.25</v>
      </c>
      <c r="M4391" s="3">
        <v>56.96</v>
      </c>
      <c r="N4391" s="3">
        <v>114.99</v>
      </c>
      <c r="O4391" s="2" t="s">
        <v>97</v>
      </c>
      <c r="P4391" s="2" t="s">
        <v>950</v>
      </c>
      <c r="Q4391" s="2" t="s">
        <v>99</v>
      </c>
      <c r="R4391" s="2" t="s">
        <v>100</v>
      </c>
      <c r="S4391" s="2" t="s">
        <v>13200</v>
      </c>
      <c r="T4391" s="2" t="s">
        <v>280</v>
      </c>
      <c r="U4391" s="2" t="s">
        <v>402</v>
      </c>
      <c r="V4391" s="2" t="s">
        <v>350</v>
      </c>
      <c r="W4391" s="2" t="s">
        <v>561</v>
      </c>
      <c r="X4391" s="2" t="s">
        <v>490</v>
      </c>
      <c r="Y4391" s="2" t="s">
        <v>10273</v>
      </c>
      <c r="Z4391" s="4">
        <v>149</v>
      </c>
      <c r="AA4391" s="4">
        <f>=ROUNDDOWN(16.5555555555556,0)</f>
      </c>
      <c r="AB4391" s="5">
        <v>9</v>
      </c>
      <c r="AC4391" s="2" t="s">
        <v>768</v>
      </c>
      <c r="AD4391" s="4">
        <v>160</v>
      </c>
      <c r="AE4391" s="4">
        <v>160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225</v>
      </c>
      <c r="BK4391" s="8">
        <v>13320.52</v>
      </c>
      <c r="BL4391" s="2" t="s">
        <v>3000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2528</v>
      </c>
      <c r="BV4391" s="2" t="s">
        <v>97</v>
      </c>
      <c r="BW4391" s="2" t="s">
        <v>100</v>
      </c>
      <c r="BX4391" s="2" t="s">
        <v>100</v>
      </c>
      <c r="BY4391" s="2" t="s">
        <v>113</v>
      </c>
      <c r="BZ4391" s="2" t="s">
        <v>245</v>
      </c>
    </row>
    <row r="4392">
      <c r="A4392" s="2" t="s">
        <v>13201</v>
      </c>
      <c r="B4392" s="2" t="s">
        <v>12738</v>
      </c>
      <c r="C4392" s="2" t="s">
        <v>13159</v>
      </c>
      <c r="D4392" s="2" t="s">
        <v>803</v>
      </c>
      <c r="E4392" s="2" t="s">
        <v>804</v>
      </c>
      <c r="F4392" s="2" t="s">
        <v>13197</v>
      </c>
      <c r="G4392" s="2" t="s">
        <v>13198</v>
      </c>
      <c r="H4392" s="2" t="s">
        <v>2155</v>
      </c>
      <c r="I4392" s="2" t="s">
        <v>13199</v>
      </c>
      <c r="J4392" s="2" t="s">
        <v>247</v>
      </c>
      <c r="K4392" s="2" t="s">
        <v>3560</v>
      </c>
      <c r="L4392" s="3">
        <v>65.1</v>
      </c>
      <c r="M4392" s="3">
        <v>68.36</v>
      </c>
      <c r="N4392" s="3">
        <v>134.99</v>
      </c>
      <c r="O4392" s="2" t="s">
        <v>97</v>
      </c>
      <c r="P4392" s="2" t="s">
        <v>950</v>
      </c>
      <c r="Q4392" s="2" t="s">
        <v>99</v>
      </c>
      <c r="R4392" s="2" t="s">
        <v>100</v>
      </c>
      <c r="S4392" s="2" t="s">
        <v>13200</v>
      </c>
      <c r="T4392" s="2" t="s">
        <v>280</v>
      </c>
      <c r="U4392" s="2" t="s">
        <v>171</v>
      </c>
      <c r="V4392" s="2" t="s">
        <v>350</v>
      </c>
      <c r="W4392" s="2" t="s">
        <v>561</v>
      </c>
      <c r="X4392" s="2" t="s">
        <v>490</v>
      </c>
      <c r="Y4392" s="2" t="s">
        <v>10273</v>
      </c>
      <c r="Z4392" s="4">
        <v>196</v>
      </c>
      <c r="AA4392" s="4">
        <f>=ROUNDDOWN(13.0666666666667,0)</f>
      </c>
      <c r="AB4392" s="5">
        <v>15</v>
      </c>
      <c r="AC4392" s="2" t="s">
        <v>768</v>
      </c>
      <c r="AD4392" s="4">
        <v>230</v>
      </c>
      <c r="AE4392" s="4">
        <v>530</v>
      </c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>
        <v>303</v>
      </c>
      <c r="BK4392" s="8">
        <v>21622.2</v>
      </c>
      <c r="BL4392" s="2" t="s">
        <v>633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2528</v>
      </c>
      <c r="BV4392" s="2" t="s">
        <v>97</v>
      </c>
      <c r="BW4392" s="2" t="s">
        <v>100</v>
      </c>
      <c r="BX4392" s="2" t="s">
        <v>100</v>
      </c>
      <c r="BY4392" s="2" t="s">
        <v>113</v>
      </c>
      <c r="BZ4392" s="2" t="s">
        <v>245</v>
      </c>
    </row>
    <row r="4393">
      <c r="A4393" s="2" t="s">
        <v>13202</v>
      </c>
      <c r="B4393" s="2" t="s">
        <v>12738</v>
      </c>
      <c r="C4393" s="2" t="s">
        <v>13159</v>
      </c>
      <c r="D4393" s="2" t="s">
        <v>803</v>
      </c>
      <c r="E4393" s="2" t="s">
        <v>804</v>
      </c>
      <c r="F4393" s="2" t="s">
        <v>13203</v>
      </c>
      <c r="G4393" s="2" t="s">
        <v>13204</v>
      </c>
      <c r="H4393" s="2" t="s">
        <v>1504</v>
      </c>
      <c r="I4393" s="2" t="s">
        <v>13205</v>
      </c>
      <c r="J4393" s="2" t="s">
        <v>1936</v>
      </c>
      <c r="K4393" s="2" t="s">
        <v>878</v>
      </c>
      <c r="L4393" s="3">
        <v>35.71</v>
      </c>
      <c r="M4393" s="3">
        <v>37.5</v>
      </c>
      <c r="N4393" s="3">
        <v>74.99</v>
      </c>
      <c r="O4393" s="2" t="s">
        <v>97</v>
      </c>
      <c r="P4393" s="2" t="s">
        <v>119</v>
      </c>
      <c r="Q4393" s="2" t="s">
        <v>99</v>
      </c>
      <c r="R4393" s="2" t="s">
        <v>100</v>
      </c>
      <c r="S4393" s="2" t="s">
        <v>13206</v>
      </c>
      <c r="T4393" s="2" t="s">
        <v>280</v>
      </c>
      <c r="U4393" s="2" t="s">
        <v>480</v>
      </c>
      <c r="V4393" s="2" t="s">
        <v>256</v>
      </c>
      <c r="W4393" s="2" t="s">
        <v>183</v>
      </c>
      <c r="X4393" s="2" t="s">
        <v>100</v>
      </c>
      <c r="Y4393" s="2" t="s">
        <v>204</v>
      </c>
      <c r="Z4393" s="4">
        <v>313</v>
      </c>
      <c r="AA4393" s="4">
        <f>=ROUNDDOWN(39.125,0)</f>
      </c>
      <c r="AB4393" s="5">
        <v>8</v>
      </c>
      <c r="AC4393" s="2" t="s">
        <v>562</v>
      </c>
      <c r="AD4393" s="4">
        <v>250</v>
      </c>
      <c r="AE4393" s="4">
        <v>250</v>
      </c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>
        <v>188</v>
      </c>
      <c r="BK4393" s="8">
        <v>7600.95</v>
      </c>
      <c r="BL4393" s="2" t="s">
        <v>553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207</v>
      </c>
      <c r="BV4393" s="2" t="s">
        <v>97</v>
      </c>
      <c r="BW4393" s="2" t="s">
        <v>100</v>
      </c>
      <c r="BX4393" s="2" t="s">
        <v>100</v>
      </c>
      <c r="BY4393" s="2" t="s">
        <v>113</v>
      </c>
      <c r="BZ4393" s="2" t="s">
        <v>100</v>
      </c>
    </row>
    <row r="4394">
      <c r="A4394" s="2" t="s">
        <v>13207</v>
      </c>
      <c r="B4394" s="2" t="s">
        <v>12738</v>
      </c>
      <c r="C4394" s="2" t="s">
        <v>13159</v>
      </c>
      <c r="D4394" s="2" t="s">
        <v>803</v>
      </c>
      <c r="E4394" s="2" t="s">
        <v>804</v>
      </c>
      <c r="F4394" s="2" t="s">
        <v>13203</v>
      </c>
      <c r="G4394" s="2" t="s">
        <v>13204</v>
      </c>
      <c r="H4394" s="2" t="s">
        <v>1504</v>
      </c>
      <c r="I4394" s="2" t="s">
        <v>13205</v>
      </c>
      <c r="J4394" s="2" t="s">
        <v>247</v>
      </c>
      <c r="K4394" s="2" t="s">
        <v>878</v>
      </c>
      <c r="L4394" s="3">
        <v>40.47</v>
      </c>
      <c r="M4394" s="3">
        <v>42.49</v>
      </c>
      <c r="N4394" s="3">
        <v>84.99</v>
      </c>
      <c r="O4394" s="2" t="s">
        <v>97</v>
      </c>
      <c r="P4394" s="2" t="s">
        <v>119</v>
      </c>
      <c r="Q4394" s="2" t="s">
        <v>99</v>
      </c>
      <c r="R4394" s="2" t="s">
        <v>100</v>
      </c>
      <c r="S4394" s="2" t="s">
        <v>13206</v>
      </c>
      <c r="T4394" s="2" t="s">
        <v>280</v>
      </c>
      <c r="U4394" s="2" t="s">
        <v>402</v>
      </c>
      <c r="V4394" s="2" t="s">
        <v>256</v>
      </c>
      <c r="W4394" s="2" t="s">
        <v>183</v>
      </c>
      <c r="X4394" s="2" t="s">
        <v>100</v>
      </c>
      <c r="Y4394" s="2" t="s">
        <v>11406</v>
      </c>
      <c r="Z4394" s="4">
        <v>180</v>
      </c>
      <c r="AA4394" s="4">
        <f>=ROUNDDOWN(15,0)</f>
      </c>
      <c r="AB4394" s="5">
        <v>12</v>
      </c>
      <c r="AC4394" s="2" t="s">
        <v>107</v>
      </c>
      <c r="AD4394" s="4">
        <v>420</v>
      </c>
      <c r="AE4394" s="4">
        <v>420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>
        <v>215</v>
      </c>
      <c r="BK4394" s="8">
        <v>9773.48</v>
      </c>
      <c r="BL4394" s="2" t="s">
        <v>553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207</v>
      </c>
      <c r="BV4394" s="2" t="s">
        <v>97</v>
      </c>
      <c r="BW4394" s="2" t="s">
        <v>100</v>
      </c>
      <c r="BX4394" s="2" t="s">
        <v>100</v>
      </c>
      <c r="BY4394" s="2" t="s">
        <v>113</v>
      </c>
      <c r="BZ4394" s="2" t="s">
        <v>100</v>
      </c>
    </row>
    <row r="4395">
      <c r="A4395" s="2" t="s">
        <v>13208</v>
      </c>
      <c r="B4395" s="2" t="s">
        <v>12738</v>
      </c>
      <c r="C4395" s="2" t="s">
        <v>13159</v>
      </c>
      <c r="D4395" s="2" t="s">
        <v>1638</v>
      </c>
      <c r="E4395" s="2" t="s">
        <v>1639</v>
      </c>
      <c r="F4395" s="2" t="s">
        <v>13189</v>
      </c>
      <c r="G4395" s="2" t="s">
        <v>13190</v>
      </c>
      <c r="H4395" s="2" t="s">
        <v>8359</v>
      </c>
      <c r="I4395" s="2" t="s">
        <v>13209</v>
      </c>
      <c r="J4395" s="2" t="s">
        <v>1936</v>
      </c>
      <c r="K4395" s="2" t="s">
        <v>13192</v>
      </c>
      <c r="L4395" s="3">
        <v>30.95</v>
      </c>
      <c r="M4395" s="3">
        <v>32.5</v>
      </c>
      <c r="N4395" s="3">
        <v>64.99</v>
      </c>
      <c r="O4395" s="2" t="s">
        <v>97</v>
      </c>
      <c r="P4395" s="2" t="s">
        <v>119</v>
      </c>
      <c r="Q4395" s="2" t="s">
        <v>99</v>
      </c>
      <c r="R4395" s="2" t="s">
        <v>100</v>
      </c>
      <c r="S4395" s="2" t="s">
        <v>13193</v>
      </c>
      <c r="T4395" s="2" t="s">
        <v>200</v>
      </c>
      <c r="U4395" s="2" t="s">
        <v>514</v>
      </c>
      <c r="V4395" s="2" t="s">
        <v>256</v>
      </c>
      <c r="W4395" s="2" t="s">
        <v>183</v>
      </c>
      <c r="X4395" s="2" t="s">
        <v>100</v>
      </c>
      <c r="Y4395" s="2" t="s">
        <v>5138</v>
      </c>
      <c r="Z4395" s="4">
        <v>627</v>
      </c>
      <c r="AA4395" s="4">
        <f>=ROUNDDOWN(34.8333333333333,0)</f>
      </c>
      <c r="AB4395" s="5">
        <v>18</v>
      </c>
      <c r="AC4395" s="2" t="s">
        <v>100</v>
      </c>
      <c r="AD4395" s="4"/>
      <c r="AE4395" s="4"/>
      <c r="AF4395" s="6">
        <v>67</v>
      </c>
      <c r="AG4395" s="6"/>
      <c r="AH4395" s="7">
        <v>0.8396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393</v>
      </c>
      <c r="BK4395" s="8">
        <v>13820.89</v>
      </c>
      <c r="BL4395" s="2" t="s">
        <v>548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207</v>
      </c>
      <c r="BV4395" s="2" t="s">
        <v>97</v>
      </c>
      <c r="BW4395" s="2" t="s">
        <v>100</v>
      </c>
      <c r="BX4395" s="2" t="s">
        <v>100</v>
      </c>
      <c r="BY4395" s="2" t="s">
        <v>113</v>
      </c>
      <c r="BZ4395" s="2" t="s">
        <v>100</v>
      </c>
    </row>
    <row r="4396">
      <c r="A4396" s="2" t="s">
        <v>13210</v>
      </c>
      <c r="B4396" s="2" t="s">
        <v>12738</v>
      </c>
      <c r="C4396" s="2" t="s">
        <v>13159</v>
      </c>
      <c r="D4396" s="2" t="s">
        <v>1638</v>
      </c>
      <c r="E4396" s="2" t="s">
        <v>1639</v>
      </c>
      <c r="F4396" s="2" t="s">
        <v>13189</v>
      </c>
      <c r="G4396" s="2" t="s">
        <v>13190</v>
      </c>
      <c r="H4396" s="2" t="s">
        <v>8359</v>
      </c>
      <c r="I4396" s="2" t="s">
        <v>13209</v>
      </c>
      <c r="J4396" s="2" t="s">
        <v>247</v>
      </c>
      <c r="K4396" s="2" t="s">
        <v>13192</v>
      </c>
      <c r="L4396" s="3">
        <v>35.71</v>
      </c>
      <c r="M4396" s="3">
        <v>37.5</v>
      </c>
      <c r="N4396" s="3">
        <v>74.99</v>
      </c>
      <c r="O4396" s="2" t="s">
        <v>97</v>
      </c>
      <c r="P4396" s="2" t="s">
        <v>119</v>
      </c>
      <c r="Q4396" s="2" t="s">
        <v>99</v>
      </c>
      <c r="R4396" s="2" t="s">
        <v>100</v>
      </c>
      <c r="S4396" s="2" t="s">
        <v>13193</v>
      </c>
      <c r="T4396" s="2" t="s">
        <v>200</v>
      </c>
      <c r="U4396" s="2" t="s">
        <v>480</v>
      </c>
      <c r="V4396" s="2" t="s">
        <v>256</v>
      </c>
      <c r="W4396" s="2" t="s">
        <v>183</v>
      </c>
      <c r="X4396" s="2" t="s">
        <v>100</v>
      </c>
      <c r="Y4396" s="2" t="s">
        <v>5138</v>
      </c>
      <c r="Z4396" s="4">
        <v>655</v>
      </c>
      <c r="AA4396" s="4">
        <f>=ROUNDDOWN(26.2,0)</f>
      </c>
      <c r="AB4396" s="5">
        <v>25</v>
      </c>
      <c r="AC4396" s="2" t="s">
        <v>1457</v>
      </c>
      <c r="AD4396" s="4">
        <v>300</v>
      </c>
      <c r="AE4396" s="4">
        <v>480</v>
      </c>
      <c r="AF4396" s="6">
        <v>67</v>
      </c>
      <c r="AG4396" s="6"/>
      <c r="AH4396" s="7">
        <v>0.8503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660</v>
      </c>
      <c r="BK4396" s="8">
        <v>26841.12</v>
      </c>
      <c r="BL4396" s="2" t="s">
        <v>446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207</v>
      </c>
      <c r="BV4396" s="2" t="s">
        <v>97</v>
      </c>
      <c r="BW4396" s="2" t="s">
        <v>100</v>
      </c>
      <c r="BX4396" s="2" t="s">
        <v>100</v>
      </c>
      <c r="BY4396" s="2" t="s">
        <v>113</v>
      </c>
      <c r="BZ4396" s="2" t="s">
        <v>100</v>
      </c>
    </row>
    <row r="4397">
      <c r="A4397" s="2" t="s">
        <v>13211</v>
      </c>
      <c r="B4397" s="2" t="s">
        <v>12738</v>
      </c>
      <c r="C4397" s="2" t="s">
        <v>13159</v>
      </c>
      <c r="D4397" s="2" t="s">
        <v>1638</v>
      </c>
      <c r="E4397" s="2" t="s">
        <v>1759</v>
      </c>
      <c r="F4397" s="2" t="s">
        <v>12604</v>
      </c>
      <c r="G4397" s="2" t="s">
        <v>8653</v>
      </c>
      <c r="H4397" s="2" t="s">
        <v>12605</v>
      </c>
      <c r="I4397" s="2" t="s">
        <v>13212</v>
      </c>
      <c r="J4397" s="2" t="s">
        <v>237</v>
      </c>
      <c r="K4397" s="2" t="s">
        <v>130</v>
      </c>
      <c r="L4397" s="3">
        <v>43.34</v>
      </c>
      <c r="M4397" s="3">
        <v>45.51</v>
      </c>
      <c r="N4397" s="3">
        <v>84.99</v>
      </c>
      <c r="O4397" s="2" t="s">
        <v>97</v>
      </c>
      <c r="P4397" s="2" t="s">
        <v>98</v>
      </c>
      <c r="Q4397" s="2" t="s">
        <v>99</v>
      </c>
      <c r="R4397" s="2" t="s">
        <v>100</v>
      </c>
      <c r="S4397" s="2" t="s">
        <v>13213</v>
      </c>
      <c r="T4397" s="2" t="s">
        <v>280</v>
      </c>
      <c r="U4397" s="2" t="s">
        <v>402</v>
      </c>
      <c r="V4397" s="2" t="s">
        <v>5245</v>
      </c>
      <c r="W4397" s="2" t="s">
        <v>158</v>
      </c>
      <c r="X4397" s="2" t="s">
        <v>293</v>
      </c>
      <c r="Y4397" s="2" t="s">
        <v>623</v>
      </c>
      <c r="Z4397" s="4">
        <v>209</v>
      </c>
      <c r="AA4397" s="4">
        <f>=ROUNDDOWN(20.9,0)</f>
      </c>
      <c r="AB4397" s="5">
        <v>10</v>
      </c>
      <c r="AC4397" s="2" t="s">
        <v>2739</v>
      </c>
      <c r="AD4397" s="4">
        <v>490</v>
      </c>
      <c r="AE4397" s="4">
        <v>490</v>
      </c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250</v>
      </c>
      <c r="BK4397" s="8">
        <v>11946.11</v>
      </c>
      <c r="BL4397" s="2" t="s">
        <v>548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2528</v>
      </c>
      <c r="BV4397" s="2" t="s">
        <v>97</v>
      </c>
      <c r="BW4397" s="2" t="s">
        <v>100</v>
      </c>
      <c r="BX4397" s="2" t="s">
        <v>100</v>
      </c>
      <c r="BY4397" s="2" t="s">
        <v>113</v>
      </c>
      <c r="BZ4397" s="2" t="s">
        <v>100</v>
      </c>
    </row>
    <row r="4398">
      <c r="A4398" s="2" t="s">
        <v>13214</v>
      </c>
      <c r="B4398" s="2" t="s">
        <v>12738</v>
      </c>
      <c r="C4398" s="2" t="s">
        <v>13159</v>
      </c>
      <c r="D4398" s="2" t="s">
        <v>1638</v>
      </c>
      <c r="E4398" s="2" t="s">
        <v>1759</v>
      </c>
      <c r="F4398" s="2" t="s">
        <v>12604</v>
      </c>
      <c r="G4398" s="2" t="s">
        <v>8653</v>
      </c>
      <c r="H4398" s="2" t="s">
        <v>12605</v>
      </c>
      <c r="I4398" s="2" t="s">
        <v>13212</v>
      </c>
      <c r="J4398" s="2" t="s">
        <v>247</v>
      </c>
      <c r="K4398" s="2" t="s">
        <v>130</v>
      </c>
      <c r="L4398" s="3">
        <v>53.54</v>
      </c>
      <c r="M4398" s="3">
        <v>56.22</v>
      </c>
      <c r="N4398" s="3">
        <v>104.99</v>
      </c>
      <c r="O4398" s="2" t="s">
        <v>97</v>
      </c>
      <c r="P4398" s="2" t="s">
        <v>98</v>
      </c>
      <c r="Q4398" s="2" t="s">
        <v>99</v>
      </c>
      <c r="R4398" s="2" t="s">
        <v>100</v>
      </c>
      <c r="S4398" s="2" t="s">
        <v>13213</v>
      </c>
      <c r="T4398" s="2" t="s">
        <v>280</v>
      </c>
      <c r="U4398" s="2" t="s">
        <v>171</v>
      </c>
      <c r="V4398" s="2" t="s">
        <v>5245</v>
      </c>
      <c r="W4398" s="2" t="s">
        <v>158</v>
      </c>
      <c r="X4398" s="2" t="s">
        <v>293</v>
      </c>
      <c r="Y4398" s="2" t="s">
        <v>623</v>
      </c>
      <c r="Z4398" s="4">
        <v>214</v>
      </c>
      <c r="AA4398" s="4">
        <f>=ROUNDDOWN(17.8333333333333,0)</f>
      </c>
      <c r="AB4398" s="5">
        <v>12</v>
      </c>
      <c r="AC4398" s="2" t="s">
        <v>320</v>
      </c>
      <c r="AD4398" s="4">
        <v>469</v>
      </c>
      <c r="AE4398" s="4">
        <v>639</v>
      </c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313</v>
      </c>
      <c r="BK4398" s="8">
        <v>18713.15</v>
      </c>
      <c r="BL4398" s="2" t="s">
        <v>12966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2528</v>
      </c>
      <c r="BV4398" s="2" t="s">
        <v>97</v>
      </c>
      <c r="BW4398" s="2" t="s">
        <v>100</v>
      </c>
      <c r="BX4398" s="2" t="s">
        <v>100</v>
      </c>
      <c r="BY4398" s="2" t="s">
        <v>113</v>
      </c>
      <c r="BZ4398" s="2" t="s">
        <v>100</v>
      </c>
    </row>
    <row r="4399">
      <c r="A4399" s="2" t="s">
        <v>13215</v>
      </c>
      <c r="B4399" s="2" t="s">
        <v>12738</v>
      </c>
      <c r="C4399" s="2" t="s">
        <v>13159</v>
      </c>
      <c r="D4399" s="2" t="s">
        <v>1638</v>
      </c>
      <c r="E4399" s="2" t="s">
        <v>1759</v>
      </c>
      <c r="F4399" s="2" t="s">
        <v>13197</v>
      </c>
      <c r="G4399" s="2" t="s">
        <v>13198</v>
      </c>
      <c r="H4399" s="2" t="s">
        <v>2155</v>
      </c>
      <c r="I4399" s="2" t="s">
        <v>13216</v>
      </c>
      <c r="J4399" s="2" t="s">
        <v>1936</v>
      </c>
      <c r="K4399" s="2" t="s">
        <v>3560</v>
      </c>
      <c r="L4399" s="3">
        <v>43.13</v>
      </c>
      <c r="M4399" s="3">
        <v>45.29</v>
      </c>
      <c r="N4399" s="3">
        <v>84.99</v>
      </c>
      <c r="O4399" s="2" t="s">
        <v>97</v>
      </c>
      <c r="P4399" s="2" t="s">
        <v>119</v>
      </c>
      <c r="Q4399" s="2" t="s">
        <v>99</v>
      </c>
      <c r="R4399" s="2" t="s">
        <v>100</v>
      </c>
      <c r="S4399" s="2" t="s">
        <v>13200</v>
      </c>
      <c r="T4399" s="2" t="s">
        <v>280</v>
      </c>
      <c r="U4399" s="2" t="s">
        <v>402</v>
      </c>
      <c r="V4399" s="2" t="s">
        <v>350</v>
      </c>
      <c r="W4399" s="2" t="s">
        <v>561</v>
      </c>
      <c r="X4399" s="2" t="s">
        <v>490</v>
      </c>
      <c r="Y4399" s="2" t="s">
        <v>6773</v>
      </c>
      <c r="Z4399" s="4">
        <v>156</v>
      </c>
      <c r="AA4399" s="4">
        <f>=ROUNDDOWN(39,0)</f>
      </c>
      <c r="AB4399" s="5">
        <v>4</v>
      </c>
      <c r="AC4399" s="2" t="s">
        <v>768</v>
      </c>
      <c r="AD4399" s="4">
        <v>160</v>
      </c>
      <c r="AE4399" s="4">
        <v>160</v>
      </c>
      <c r="AF4399" s="6">
        <v>65</v>
      </c>
      <c r="AG4399" s="6"/>
      <c r="AH4399" s="7">
        <v>0.8717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74</v>
      </c>
      <c r="BK4399" s="8">
        <v>3611.46</v>
      </c>
      <c r="BL4399" s="2" t="s">
        <v>494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2528</v>
      </c>
      <c r="BV4399" s="2" t="s">
        <v>97</v>
      </c>
      <c r="BW4399" s="2" t="s">
        <v>100</v>
      </c>
      <c r="BX4399" s="2" t="s">
        <v>100</v>
      </c>
      <c r="BY4399" s="2" t="s">
        <v>113</v>
      </c>
      <c r="BZ4399" s="2" t="s">
        <v>100</v>
      </c>
    </row>
    <row r="4400">
      <c r="A4400" s="2" t="s">
        <v>13217</v>
      </c>
      <c r="B4400" s="2" t="s">
        <v>12738</v>
      </c>
      <c r="C4400" s="2" t="s">
        <v>13159</v>
      </c>
      <c r="D4400" s="2" t="s">
        <v>1638</v>
      </c>
      <c r="E4400" s="2" t="s">
        <v>1759</v>
      </c>
      <c r="F4400" s="2" t="s">
        <v>13197</v>
      </c>
      <c r="G4400" s="2" t="s">
        <v>13198</v>
      </c>
      <c r="H4400" s="2" t="s">
        <v>2155</v>
      </c>
      <c r="I4400" s="2" t="s">
        <v>13216</v>
      </c>
      <c r="J4400" s="2" t="s">
        <v>247</v>
      </c>
      <c r="K4400" s="2" t="s">
        <v>3560</v>
      </c>
      <c r="L4400" s="3">
        <v>53.78</v>
      </c>
      <c r="M4400" s="3">
        <v>56.47</v>
      </c>
      <c r="N4400" s="3">
        <v>104.99</v>
      </c>
      <c r="O4400" s="2" t="s">
        <v>97</v>
      </c>
      <c r="P4400" s="2" t="s">
        <v>119</v>
      </c>
      <c r="Q4400" s="2" t="s">
        <v>99</v>
      </c>
      <c r="R4400" s="2" t="s">
        <v>100</v>
      </c>
      <c r="S4400" s="2" t="s">
        <v>13200</v>
      </c>
      <c r="T4400" s="2" t="s">
        <v>280</v>
      </c>
      <c r="U4400" s="2" t="s">
        <v>171</v>
      </c>
      <c r="V4400" s="2" t="s">
        <v>350</v>
      </c>
      <c r="W4400" s="2" t="s">
        <v>561</v>
      </c>
      <c r="X4400" s="2" t="s">
        <v>490</v>
      </c>
      <c r="Y4400" s="2" t="s">
        <v>6773</v>
      </c>
      <c r="Z4400" s="4">
        <v>137</v>
      </c>
      <c r="AA4400" s="4">
        <f>=ROUNDDOWN(27.4,0)</f>
      </c>
      <c r="AB4400" s="5">
        <v>5</v>
      </c>
      <c r="AC4400" s="2" t="s">
        <v>768</v>
      </c>
      <c r="AD4400" s="4">
        <v>150</v>
      </c>
      <c r="AE4400" s="4">
        <v>150</v>
      </c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124</v>
      </c>
      <c r="BK4400" s="8">
        <v>7382.68</v>
      </c>
      <c r="BL4400" s="2" t="s">
        <v>7104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2528</v>
      </c>
      <c r="BV4400" s="2" t="s">
        <v>97</v>
      </c>
      <c r="BW4400" s="2" t="s">
        <v>100</v>
      </c>
      <c r="BX4400" s="2" t="s">
        <v>100</v>
      </c>
      <c r="BY4400" s="2" t="s">
        <v>113</v>
      </c>
      <c r="BZ4400" s="2" t="s">
        <v>100</v>
      </c>
    </row>
    <row r="4401">
      <c r="A4401" s="2" t="s">
        <v>13218</v>
      </c>
      <c r="B4401" s="2" t="s">
        <v>12738</v>
      </c>
      <c r="C4401" s="2" t="s">
        <v>13159</v>
      </c>
      <c r="D4401" s="2" t="s">
        <v>1638</v>
      </c>
      <c r="E4401" s="2" t="s">
        <v>1759</v>
      </c>
      <c r="F4401" s="2" t="s">
        <v>13203</v>
      </c>
      <c r="G4401" s="2" t="s">
        <v>13204</v>
      </c>
      <c r="H4401" s="2" t="s">
        <v>1504</v>
      </c>
      <c r="I4401" s="2" t="s">
        <v>13219</v>
      </c>
      <c r="J4401" s="2" t="s">
        <v>1936</v>
      </c>
      <c r="K4401" s="2" t="s">
        <v>878</v>
      </c>
      <c r="L4401" s="3">
        <v>28.57</v>
      </c>
      <c r="M4401" s="3">
        <v>30</v>
      </c>
      <c r="N4401" s="3">
        <v>59.99</v>
      </c>
      <c r="O4401" s="2" t="s">
        <v>97</v>
      </c>
      <c r="P4401" s="2" t="s">
        <v>119</v>
      </c>
      <c r="Q4401" s="2" t="s">
        <v>99</v>
      </c>
      <c r="R4401" s="2" t="s">
        <v>100</v>
      </c>
      <c r="S4401" s="2" t="s">
        <v>13206</v>
      </c>
      <c r="T4401" s="2" t="s">
        <v>280</v>
      </c>
      <c r="U4401" s="2" t="s">
        <v>480</v>
      </c>
      <c r="V4401" s="2" t="s">
        <v>256</v>
      </c>
      <c r="W4401" s="2" t="s">
        <v>183</v>
      </c>
      <c r="X4401" s="2" t="s">
        <v>100</v>
      </c>
      <c r="Y4401" s="2" t="s">
        <v>11406</v>
      </c>
      <c r="Z4401" s="4">
        <v>174</v>
      </c>
      <c r="AA4401" s="4">
        <f>=ROUNDDOWN(43.5,0)</f>
      </c>
      <c r="AB4401" s="5">
        <v>4</v>
      </c>
      <c r="AC4401" s="2" t="s">
        <v>107</v>
      </c>
      <c r="AD4401" s="4">
        <v>30</v>
      </c>
      <c r="AE4401" s="4">
        <v>30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91</v>
      </c>
      <c r="BK4401" s="8">
        <v>2910.7</v>
      </c>
      <c r="BL4401" s="2" t="s">
        <v>229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207</v>
      </c>
      <c r="BV4401" s="2" t="s">
        <v>97</v>
      </c>
      <c r="BW4401" s="2" t="s">
        <v>100</v>
      </c>
      <c r="BX4401" s="2" t="s">
        <v>100</v>
      </c>
      <c r="BY4401" s="2" t="s">
        <v>113</v>
      </c>
      <c r="BZ4401" s="2" t="s">
        <v>100</v>
      </c>
    </row>
    <row r="4402">
      <c r="A4402" s="2" t="s">
        <v>13220</v>
      </c>
      <c r="B4402" s="2" t="s">
        <v>12738</v>
      </c>
      <c r="C4402" s="2" t="s">
        <v>13159</v>
      </c>
      <c r="D4402" s="2" t="s">
        <v>1638</v>
      </c>
      <c r="E4402" s="2" t="s">
        <v>1759</v>
      </c>
      <c r="F4402" s="2" t="s">
        <v>13203</v>
      </c>
      <c r="G4402" s="2" t="s">
        <v>13204</v>
      </c>
      <c r="H4402" s="2" t="s">
        <v>1504</v>
      </c>
      <c r="I4402" s="2" t="s">
        <v>13219</v>
      </c>
      <c r="J4402" s="2" t="s">
        <v>247</v>
      </c>
      <c r="K4402" s="2" t="s">
        <v>878</v>
      </c>
      <c r="L4402" s="3">
        <v>33.33</v>
      </c>
      <c r="M4402" s="3">
        <v>35</v>
      </c>
      <c r="N4402" s="3">
        <v>69.99</v>
      </c>
      <c r="O4402" s="2" t="s">
        <v>97</v>
      </c>
      <c r="P4402" s="2" t="s">
        <v>119</v>
      </c>
      <c r="Q4402" s="2" t="s">
        <v>99</v>
      </c>
      <c r="R4402" s="2" t="s">
        <v>100</v>
      </c>
      <c r="S4402" s="2" t="s">
        <v>13206</v>
      </c>
      <c r="T4402" s="2" t="s">
        <v>280</v>
      </c>
      <c r="U4402" s="2" t="s">
        <v>402</v>
      </c>
      <c r="V4402" s="2" t="s">
        <v>256</v>
      </c>
      <c r="W4402" s="2" t="s">
        <v>183</v>
      </c>
      <c r="X4402" s="2" t="s">
        <v>100</v>
      </c>
      <c r="Y4402" s="2" t="s">
        <v>204</v>
      </c>
      <c r="Z4402" s="4">
        <v>181</v>
      </c>
      <c r="AA4402" s="4">
        <f>=ROUNDDOWN(45.25,0)</f>
      </c>
      <c r="AB4402" s="5">
        <v>4</v>
      </c>
      <c r="AC4402" s="2" t="s">
        <v>107</v>
      </c>
      <c r="AD4402" s="4">
        <v>100</v>
      </c>
      <c r="AE4402" s="4">
        <v>100</v>
      </c>
      <c r="AF4402" s="6">
        <v>65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>
        <v>74</v>
      </c>
      <c r="BK4402" s="8">
        <v>2770.94</v>
      </c>
      <c r="BL4402" s="2" t="s">
        <v>229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207</v>
      </c>
      <c r="BV4402" s="2" t="s">
        <v>97</v>
      </c>
      <c r="BW4402" s="2" t="s">
        <v>100</v>
      </c>
      <c r="BX4402" s="2" t="s">
        <v>100</v>
      </c>
      <c r="BY4402" s="2" t="s">
        <v>113</v>
      </c>
      <c r="BZ4402" s="2" t="s">
        <v>100</v>
      </c>
    </row>
    <row r="4403">
      <c r="A4403" s="2" t="s">
        <v>13221</v>
      </c>
      <c r="B4403" s="2" t="s">
        <v>12738</v>
      </c>
      <c r="C4403" s="2" t="s">
        <v>11541</v>
      </c>
      <c r="D4403" s="2" t="s">
        <v>803</v>
      </c>
      <c r="E4403" s="2" t="s">
        <v>804</v>
      </c>
      <c r="F4403" s="2" t="s">
        <v>13222</v>
      </c>
      <c r="G4403" s="2" t="s">
        <v>9139</v>
      </c>
      <c r="H4403" s="2" t="s">
        <v>13223</v>
      </c>
      <c r="I4403" s="2" t="s">
        <v>2559</v>
      </c>
      <c r="J4403" s="2" t="s">
        <v>247</v>
      </c>
      <c r="K4403" s="2" t="s">
        <v>878</v>
      </c>
      <c r="L4403" s="3">
        <v>32.9</v>
      </c>
      <c r="M4403" s="3">
        <v>34.54</v>
      </c>
      <c r="N4403" s="3">
        <v>69.99</v>
      </c>
      <c r="O4403" s="2" t="s">
        <v>97</v>
      </c>
      <c r="P4403" s="2" t="s">
        <v>119</v>
      </c>
      <c r="Q4403" s="2" t="s">
        <v>99</v>
      </c>
      <c r="R4403" s="2" t="s">
        <v>100</v>
      </c>
      <c r="S4403" s="2" t="s">
        <v>13224</v>
      </c>
      <c r="T4403" s="2" t="s">
        <v>218</v>
      </c>
      <c r="U4403" s="2" t="s">
        <v>402</v>
      </c>
      <c r="V4403" s="2" t="s">
        <v>256</v>
      </c>
      <c r="W4403" s="2" t="s">
        <v>183</v>
      </c>
      <c r="X4403" s="2" t="s">
        <v>104</v>
      </c>
      <c r="Y4403" s="2" t="s">
        <v>240</v>
      </c>
      <c r="Z4403" s="4">
        <v>190</v>
      </c>
      <c r="AA4403" s="4">
        <f>=ROUNDDOWN(15.8333333333333,0)</f>
      </c>
      <c r="AB4403" s="5">
        <v>12</v>
      </c>
      <c r="AC4403" s="2" t="s">
        <v>100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>
        <v>26</v>
      </c>
      <c r="AQ4403" s="8">
        <v>818.74</v>
      </c>
      <c r="AR4403" s="4"/>
      <c r="AS4403" s="8"/>
      <c r="AT4403" s="7"/>
      <c r="AU4403" s="7"/>
      <c r="AV4403" s="4">
        <v>26</v>
      </c>
      <c r="AW4403" s="8">
        <v>818.74</v>
      </c>
      <c r="AX4403" s="4"/>
      <c r="AY4403" s="8"/>
      <c r="AZ4403" s="7"/>
      <c r="BA4403" s="7"/>
      <c r="BB4403" s="7">
        <v>1</v>
      </c>
      <c r="BC4403" s="4">
        <v>26</v>
      </c>
      <c r="BD4403" s="8">
        <v>818.74</v>
      </c>
      <c r="BE4403" s="4"/>
      <c r="BF4403" s="8"/>
      <c r="BG4403" s="7"/>
      <c r="BH4403" s="7"/>
      <c r="BI4403" s="7">
        <v>1</v>
      </c>
      <c r="BJ4403" s="4">
        <v>284</v>
      </c>
      <c r="BK4403" s="8">
        <v>9664.33</v>
      </c>
      <c r="BL4403" s="2" t="s">
        <v>13225</v>
      </c>
      <c r="BM4403" s="7">
        <v>0.0915</v>
      </c>
      <c r="BN4403" s="7">
        <v>0.0847</v>
      </c>
      <c r="BO4403" s="4">
        <v>26</v>
      </c>
      <c r="BP4403" s="8">
        <v>818.74</v>
      </c>
      <c r="BQ4403" s="4"/>
      <c r="BR4403" s="8"/>
      <c r="BS4403" s="7"/>
      <c r="BT4403" s="7"/>
      <c r="BU4403" s="2" t="s">
        <v>109</v>
      </c>
      <c r="BV4403" s="2" t="s">
        <v>110</v>
      </c>
      <c r="BW4403" s="2" t="s">
        <v>243</v>
      </c>
      <c r="BX4403" s="2" t="s">
        <v>13226</v>
      </c>
      <c r="BY4403" s="2" t="s">
        <v>113</v>
      </c>
      <c r="BZ4403" s="2" t="s">
        <v>100</v>
      </c>
    </row>
    <row r="4404">
      <c r="A4404" s="2" t="s">
        <v>13227</v>
      </c>
      <c r="B4404" s="2" t="s">
        <v>12738</v>
      </c>
      <c r="C4404" s="2" t="s">
        <v>11541</v>
      </c>
      <c r="D4404" s="2" t="s">
        <v>803</v>
      </c>
      <c r="E4404" s="2" t="s">
        <v>804</v>
      </c>
      <c r="F4404" s="2" t="s">
        <v>13228</v>
      </c>
      <c r="G4404" s="2" t="s">
        <v>13198</v>
      </c>
      <c r="H4404" s="2" t="s">
        <v>7834</v>
      </c>
      <c r="I4404" s="2" t="s">
        <v>12832</v>
      </c>
      <c r="J4404" s="2" t="s">
        <v>270</v>
      </c>
      <c r="K4404" s="2" t="s">
        <v>297</v>
      </c>
      <c r="L4404" s="3">
        <v>39</v>
      </c>
      <c r="M4404" s="3">
        <v>40.95</v>
      </c>
      <c r="N4404" s="3">
        <v>89.99</v>
      </c>
      <c r="O4404" s="2" t="s">
        <v>97</v>
      </c>
      <c r="P4404" s="2" t="s">
        <v>119</v>
      </c>
      <c r="Q4404" s="2" t="s">
        <v>99</v>
      </c>
      <c r="R4404" s="2" t="s">
        <v>100</v>
      </c>
      <c r="S4404" s="2" t="s">
        <v>13229</v>
      </c>
      <c r="T4404" s="2" t="s">
        <v>218</v>
      </c>
      <c r="U4404" s="2" t="s">
        <v>402</v>
      </c>
      <c r="V4404" s="2" t="s">
        <v>256</v>
      </c>
      <c r="W4404" s="2" t="s">
        <v>183</v>
      </c>
      <c r="X4404" s="2" t="s">
        <v>104</v>
      </c>
      <c r="Y4404" s="2" t="s">
        <v>7133</v>
      </c>
      <c r="Z4404" s="4">
        <v>549</v>
      </c>
      <c r="AA4404" s="4">
        <f>=ROUNDDOWN(45.75,0)</f>
      </c>
      <c r="AB4404" s="5">
        <v>12</v>
      </c>
      <c r="AC4404" s="2" t="s">
        <v>100</v>
      </c>
      <c r="AD4404" s="4"/>
      <c r="AE4404" s="4"/>
      <c r="AF4404" s="6">
        <v>65</v>
      </c>
      <c r="AG4404" s="6"/>
      <c r="AH4404" s="7">
        <v>0.6417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>
        <v>227</v>
      </c>
      <c r="BK4404" s="8">
        <v>10309.52</v>
      </c>
      <c r="BL4404" s="2" t="s">
        <v>13230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207</v>
      </c>
      <c r="BV4404" s="2" t="s">
        <v>97</v>
      </c>
      <c r="BW4404" s="2" t="s">
        <v>100</v>
      </c>
      <c r="BX4404" s="2" t="s">
        <v>100</v>
      </c>
      <c r="BY4404" s="2" t="s">
        <v>113</v>
      </c>
      <c r="BZ4404" s="2" t="s">
        <v>245</v>
      </c>
    </row>
    <row r="4405">
      <c r="A4405" s="2" t="s">
        <v>13231</v>
      </c>
      <c r="B4405" s="2" t="s">
        <v>12738</v>
      </c>
      <c r="C4405" s="2" t="s">
        <v>11541</v>
      </c>
      <c r="D4405" s="2" t="s">
        <v>803</v>
      </c>
      <c r="E4405" s="2" t="s">
        <v>804</v>
      </c>
      <c r="F4405" s="2" t="s">
        <v>4076</v>
      </c>
      <c r="G4405" s="2" t="s">
        <v>13232</v>
      </c>
      <c r="H4405" s="2" t="s">
        <v>13233</v>
      </c>
      <c r="I4405" s="2" t="s">
        <v>13234</v>
      </c>
      <c r="J4405" s="2" t="s">
        <v>237</v>
      </c>
      <c r="K4405" s="2" t="s">
        <v>4035</v>
      </c>
      <c r="L4405" s="3">
        <v>33.33</v>
      </c>
      <c r="M4405" s="3">
        <v>35</v>
      </c>
      <c r="N4405" s="3">
        <v>69.99</v>
      </c>
      <c r="O4405" s="2" t="s">
        <v>97</v>
      </c>
      <c r="P4405" s="2" t="s">
        <v>119</v>
      </c>
      <c r="Q4405" s="2" t="s">
        <v>99</v>
      </c>
      <c r="R4405" s="2" t="s">
        <v>100</v>
      </c>
      <c r="S4405" s="2" t="s">
        <v>13235</v>
      </c>
      <c r="T4405" s="2" t="s">
        <v>4441</v>
      </c>
      <c r="U4405" s="2" t="s">
        <v>480</v>
      </c>
      <c r="V4405" s="2" t="s">
        <v>146</v>
      </c>
      <c r="W4405" s="2" t="s">
        <v>183</v>
      </c>
      <c r="X4405" s="2" t="s">
        <v>104</v>
      </c>
      <c r="Y4405" s="2" t="s">
        <v>3205</v>
      </c>
      <c r="Z4405" s="4">
        <v>386</v>
      </c>
      <c r="AA4405" s="4">
        <f>=ROUNDDOWN(27.5714285714286,0)</f>
      </c>
      <c r="AB4405" s="5">
        <v>14</v>
      </c>
      <c r="AC4405" s="2" t="s">
        <v>931</v>
      </c>
      <c r="AD4405" s="4">
        <v>400</v>
      </c>
      <c r="AE4405" s="4">
        <v>400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>
        <v>33</v>
      </c>
      <c r="BK4405" s="8">
        <v>1258.07</v>
      </c>
      <c r="BL4405" s="2" t="s">
        <v>6376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207</v>
      </c>
      <c r="BV4405" s="2" t="s">
        <v>97</v>
      </c>
      <c r="BW4405" s="2" t="s">
        <v>100</v>
      </c>
      <c r="BX4405" s="2" t="s">
        <v>100</v>
      </c>
      <c r="BY4405" s="2" t="s">
        <v>113</v>
      </c>
      <c r="BZ4405" s="2" t="s">
        <v>100</v>
      </c>
    </row>
    <row r="4406">
      <c r="A4406" s="2" t="s">
        <v>13236</v>
      </c>
      <c r="B4406" s="2" t="s">
        <v>12738</v>
      </c>
      <c r="C4406" s="2" t="s">
        <v>11541</v>
      </c>
      <c r="D4406" s="2" t="s">
        <v>803</v>
      </c>
      <c r="E4406" s="2" t="s">
        <v>804</v>
      </c>
      <c r="F4406" s="2" t="s">
        <v>4076</v>
      </c>
      <c r="G4406" s="2" t="s">
        <v>13232</v>
      </c>
      <c r="H4406" s="2" t="s">
        <v>13233</v>
      </c>
      <c r="I4406" s="2" t="s">
        <v>13234</v>
      </c>
      <c r="J4406" s="2" t="s">
        <v>247</v>
      </c>
      <c r="K4406" s="2" t="s">
        <v>4035</v>
      </c>
      <c r="L4406" s="3">
        <v>38.09</v>
      </c>
      <c r="M4406" s="3">
        <v>39.99</v>
      </c>
      <c r="N4406" s="3">
        <v>79.99</v>
      </c>
      <c r="O4406" s="2" t="s">
        <v>97</v>
      </c>
      <c r="P4406" s="2" t="s">
        <v>119</v>
      </c>
      <c r="Q4406" s="2" t="s">
        <v>99</v>
      </c>
      <c r="R4406" s="2" t="s">
        <v>100</v>
      </c>
      <c r="S4406" s="2" t="s">
        <v>13235</v>
      </c>
      <c r="T4406" s="2" t="s">
        <v>4441</v>
      </c>
      <c r="U4406" s="2" t="s">
        <v>402</v>
      </c>
      <c r="V4406" s="2" t="s">
        <v>146</v>
      </c>
      <c r="W4406" s="2" t="s">
        <v>183</v>
      </c>
      <c r="X4406" s="2" t="s">
        <v>104</v>
      </c>
      <c r="Y4406" s="2" t="s">
        <v>3205</v>
      </c>
      <c r="Z4406" s="4">
        <v>494</v>
      </c>
      <c r="AA4406" s="4">
        <f>=ROUNDDOWN(22.4545454545455,0)</f>
      </c>
      <c r="AB4406" s="5">
        <v>22</v>
      </c>
      <c r="AC4406" s="2" t="s">
        <v>931</v>
      </c>
      <c r="AD4406" s="4">
        <v>600</v>
      </c>
      <c r="AE4406" s="4">
        <v>600</v>
      </c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>
        <v>82</v>
      </c>
      <c r="BK4406" s="8">
        <v>3578.11</v>
      </c>
      <c r="BL4406" s="2" t="s">
        <v>13237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207</v>
      </c>
      <c r="BV4406" s="2" t="s">
        <v>97</v>
      </c>
      <c r="BW4406" s="2" t="s">
        <v>100</v>
      </c>
      <c r="BX4406" s="2" t="s">
        <v>100</v>
      </c>
      <c r="BY4406" s="2" t="s">
        <v>113</v>
      </c>
      <c r="BZ4406" s="2" t="s">
        <v>100</v>
      </c>
    </row>
    <row r="4407">
      <c r="A4407" s="2" t="s">
        <v>13238</v>
      </c>
      <c r="B4407" s="2" t="s">
        <v>12738</v>
      </c>
      <c r="C4407" s="2" t="s">
        <v>11541</v>
      </c>
      <c r="D4407" s="2" t="s">
        <v>803</v>
      </c>
      <c r="E4407" s="2" t="s">
        <v>804</v>
      </c>
      <c r="F4407" s="2" t="s">
        <v>4076</v>
      </c>
      <c r="G4407" s="2" t="s">
        <v>13232</v>
      </c>
      <c r="H4407" s="2" t="s">
        <v>13233</v>
      </c>
      <c r="I4407" s="2" t="s">
        <v>13234</v>
      </c>
      <c r="J4407" s="2" t="s">
        <v>237</v>
      </c>
      <c r="K4407" s="2" t="s">
        <v>13239</v>
      </c>
      <c r="L4407" s="3">
        <v>33.33</v>
      </c>
      <c r="M4407" s="3">
        <v>35</v>
      </c>
      <c r="N4407" s="3">
        <v>69.99</v>
      </c>
      <c r="O4407" s="2" t="s">
        <v>97</v>
      </c>
      <c r="P4407" s="2" t="s">
        <v>119</v>
      </c>
      <c r="Q4407" s="2" t="s">
        <v>99</v>
      </c>
      <c r="R4407" s="2" t="s">
        <v>100</v>
      </c>
      <c r="S4407" s="2" t="s">
        <v>13240</v>
      </c>
      <c r="T4407" s="2" t="s">
        <v>4441</v>
      </c>
      <c r="U4407" s="2" t="s">
        <v>480</v>
      </c>
      <c r="V4407" s="2" t="s">
        <v>1150</v>
      </c>
      <c r="W4407" s="2" t="s">
        <v>183</v>
      </c>
      <c r="X4407" s="2" t="s">
        <v>104</v>
      </c>
      <c r="Y4407" s="2" t="s">
        <v>5015</v>
      </c>
      <c r="Z4407" s="4">
        <v>160</v>
      </c>
      <c r="AA4407" s="4">
        <f>=ROUNDDOWN(4.84848484848485,0)</f>
      </c>
      <c r="AB4407" s="5">
        <v>33</v>
      </c>
      <c r="AC4407" s="2" t="s">
        <v>931</v>
      </c>
      <c r="AD4407" s="4">
        <v>450</v>
      </c>
      <c r="AE4407" s="4">
        <v>450</v>
      </c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221</v>
      </c>
      <c r="BK4407" s="8">
        <v>8389.56</v>
      </c>
      <c r="BL4407" s="2" t="s">
        <v>3774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207</v>
      </c>
      <c r="BV4407" s="2" t="s">
        <v>97</v>
      </c>
      <c r="BW4407" s="2" t="s">
        <v>100</v>
      </c>
      <c r="BX4407" s="2" t="s">
        <v>100</v>
      </c>
      <c r="BY4407" s="2" t="s">
        <v>113</v>
      </c>
      <c r="BZ4407" s="2" t="s">
        <v>100</v>
      </c>
    </row>
    <row r="4408">
      <c r="A4408" s="2" t="s">
        <v>13241</v>
      </c>
      <c r="B4408" s="2" t="s">
        <v>12738</v>
      </c>
      <c r="C4408" s="2" t="s">
        <v>11541</v>
      </c>
      <c r="D4408" s="2" t="s">
        <v>803</v>
      </c>
      <c r="E4408" s="2" t="s">
        <v>804</v>
      </c>
      <c r="F4408" s="2" t="s">
        <v>4076</v>
      </c>
      <c r="G4408" s="2" t="s">
        <v>13232</v>
      </c>
      <c r="H4408" s="2" t="s">
        <v>13233</v>
      </c>
      <c r="I4408" s="2" t="s">
        <v>13234</v>
      </c>
      <c r="J4408" s="2" t="s">
        <v>247</v>
      </c>
      <c r="K4408" s="2" t="s">
        <v>13239</v>
      </c>
      <c r="L4408" s="3">
        <v>38.09</v>
      </c>
      <c r="M4408" s="3">
        <v>39.99</v>
      </c>
      <c r="N4408" s="3">
        <v>79.99</v>
      </c>
      <c r="O4408" s="2" t="s">
        <v>97</v>
      </c>
      <c r="P4408" s="2" t="s">
        <v>119</v>
      </c>
      <c r="Q4408" s="2" t="s">
        <v>99</v>
      </c>
      <c r="R4408" s="2" t="s">
        <v>100</v>
      </c>
      <c r="S4408" s="2" t="s">
        <v>13240</v>
      </c>
      <c r="T4408" s="2" t="s">
        <v>4441</v>
      </c>
      <c r="U4408" s="2" t="s">
        <v>402</v>
      </c>
      <c r="V4408" s="2" t="s">
        <v>1150</v>
      </c>
      <c r="W4408" s="2" t="s">
        <v>183</v>
      </c>
      <c r="X4408" s="2" t="s">
        <v>104</v>
      </c>
      <c r="Y4408" s="2" t="s">
        <v>5015</v>
      </c>
      <c r="Z4408" s="4">
        <v>230</v>
      </c>
      <c r="AA4408" s="4">
        <f>=ROUNDDOWN(5.60975609756098,0)</f>
      </c>
      <c r="AB4408" s="5">
        <v>41</v>
      </c>
      <c r="AC4408" s="2" t="s">
        <v>931</v>
      </c>
      <c r="AD4408" s="4">
        <v>550</v>
      </c>
      <c r="AE4408" s="4">
        <v>550</v>
      </c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252</v>
      </c>
      <c r="BK4408" s="8">
        <v>10937.24</v>
      </c>
      <c r="BL4408" s="2" t="s">
        <v>3774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207</v>
      </c>
      <c r="BV4408" s="2" t="s">
        <v>97</v>
      </c>
      <c r="BW4408" s="2" t="s">
        <v>100</v>
      </c>
      <c r="BX4408" s="2" t="s">
        <v>100</v>
      </c>
      <c r="BY4408" s="2" t="s">
        <v>113</v>
      </c>
      <c r="BZ4408" s="2" t="s">
        <v>100</v>
      </c>
    </row>
    <row r="4409">
      <c r="A4409" s="2" t="s">
        <v>13242</v>
      </c>
      <c r="B4409" s="2" t="s">
        <v>12738</v>
      </c>
      <c r="C4409" s="2" t="s">
        <v>11541</v>
      </c>
      <c r="D4409" s="2" t="s">
        <v>803</v>
      </c>
      <c r="E4409" s="2" t="s">
        <v>804</v>
      </c>
      <c r="F4409" s="2" t="s">
        <v>4076</v>
      </c>
      <c r="G4409" s="2" t="s">
        <v>13232</v>
      </c>
      <c r="H4409" s="2" t="s">
        <v>13233</v>
      </c>
      <c r="I4409" s="2" t="s">
        <v>13234</v>
      </c>
      <c r="J4409" s="2" t="s">
        <v>237</v>
      </c>
      <c r="K4409" s="2" t="s">
        <v>8996</v>
      </c>
      <c r="L4409" s="3">
        <v>33.33</v>
      </c>
      <c r="M4409" s="3">
        <v>35</v>
      </c>
      <c r="N4409" s="3">
        <v>69.99</v>
      </c>
      <c r="O4409" s="2" t="s">
        <v>97</v>
      </c>
      <c r="P4409" s="2" t="s">
        <v>119</v>
      </c>
      <c r="Q4409" s="2" t="s">
        <v>99</v>
      </c>
      <c r="R4409" s="2" t="s">
        <v>100</v>
      </c>
      <c r="S4409" s="2" t="s">
        <v>13243</v>
      </c>
      <c r="T4409" s="2" t="s">
        <v>4441</v>
      </c>
      <c r="U4409" s="2" t="s">
        <v>480</v>
      </c>
      <c r="V4409" s="2" t="s">
        <v>146</v>
      </c>
      <c r="W4409" s="2" t="s">
        <v>183</v>
      </c>
      <c r="X4409" s="2" t="s">
        <v>104</v>
      </c>
      <c r="Y4409" s="2" t="s">
        <v>5015</v>
      </c>
      <c r="Z4409" s="4">
        <v>403</v>
      </c>
      <c r="AA4409" s="4">
        <f>=ROUNDDOWN(26.8666666666667,0)</f>
      </c>
      <c r="AB4409" s="5">
        <v>15</v>
      </c>
      <c r="AC4409" s="2" t="s">
        <v>931</v>
      </c>
      <c r="AD4409" s="4">
        <v>400</v>
      </c>
      <c r="AE4409" s="4">
        <v>400</v>
      </c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57</v>
      </c>
      <c r="BK4409" s="8">
        <v>2177.43</v>
      </c>
      <c r="BL4409" s="2" t="s">
        <v>11275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207</v>
      </c>
      <c r="BV4409" s="2" t="s">
        <v>97</v>
      </c>
      <c r="BW4409" s="2" t="s">
        <v>100</v>
      </c>
      <c r="BX4409" s="2" t="s">
        <v>100</v>
      </c>
      <c r="BY4409" s="2" t="s">
        <v>113</v>
      </c>
      <c r="BZ4409" s="2" t="s">
        <v>100</v>
      </c>
    </row>
    <row r="4410">
      <c r="A4410" s="2" t="s">
        <v>13244</v>
      </c>
      <c r="B4410" s="2" t="s">
        <v>12738</v>
      </c>
      <c r="C4410" s="2" t="s">
        <v>11541</v>
      </c>
      <c r="D4410" s="2" t="s">
        <v>803</v>
      </c>
      <c r="E4410" s="2" t="s">
        <v>804</v>
      </c>
      <c r="F4410" s="2" t="s">
        <v>4076</v>
      </c>
      <c r="G4410" s="2" t="s">
        <v>13232</v>
      </c>
      <c r="H4410" s="2" t="s">
        <v>13233</v>
      </c>
      <c r="I4410" s="2" t="s">
        <v>13234</v>
      </c>
      <c r="J4410" s="2" t="s">
        <v>247</v>
      </c>
      <c r="K4410" s="2" t="s">
        <v>8996</v>
      </c>
      <c r="L4410" s="3">
        <v>38.09</v>
      </c>
      <c r="M4410" s="3">
        <v>39.99</v>
      </c>
      <c r="N4410" s="3">
        <v>79.99</v>
      </c>
      <c r="O4410" s="2" t="s">
        <v>97</v>
      </c>
      <c r="P4410" s="2" t="s">
        <v>119</v>
      </c>
      <c r="Q4410" s="2" t="s">
        <v>99</v>
      </c>
      <c r="R4410" s="2" t="s">
        <v>100</v>
      </c>
      <c r="S4410" s="2" t="s">
        <v>13243</v>
      </c>
      <c r="T4410" s="2" t="s">
        <v>4441</v>
      </c>
      <c r="U4410" s="2" t="s">
        <v>402</v>
      </c>
      <c r="V4410" s="2" t="s">
        <v>146</v>
      </c>
      <c r="W4410" s="2" t="s">
        <v>183</v>
      </c>
      <c r="X4410" s="2" t="s">
        <v>104</v>
      </c>
      <c r="Y4410" s="2" t="s">
        <v>5015</v>
      </c>
      <c r="Z4410" s="4">
        <v>487</v>
      </c>
      <c r="AA4410" s="4">
        <f>=ROUNDDOWN(18.7307692307692,0)</f>
      </c>
      <c r="AB4410" s="5">
        <v>26</v>
      </c>
      <c r="AC4410" s="2" t="s">
        <v>931</v>
      </c>
      <c r="AD4410" s="4">
        <v>600</v>
      </c>
      <c r="AE4410" s="4">
        <v>600</v>
      </c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130</v>
      </c>
      <c r="BK4410" s="8">
        <v>5656.3</v>
      </c>
      <c r="BL4410" s="2" t="s">
        <v>553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207</v>
      </c>
      <c r="BV4410" s="2" t="s">
        <v>97</v>
      </c>
      <c r="BW4410" s="2" t="s">
        <v>100</v>
      </c>
      <c r="BX4410" s="2" t="s">
        <v>100</v>
      </c>
      <c r="BY4410" s="2" t="s">
        <v>113</v>
      </c>
      <c r="BZ4410" s="2" t="s">
        <v>100</v>
      </c>
    </row>
    <row r="4411">
      <c r="A4411" s="2" t="s">
        <v>13245</v>
      </c>
      <c r="B4411" s="2" t="s">
        <v>12738</v>
      </c>
      <c r="C4411" s="2" t="s">
        <v>11541</v>
      </c>
      <c r="D4411" s="2" t="s">
        <v>803</v>
      </c>
      <c r="E4411" s="2" t="s">
        <v>1532</v>
      </c>
      <c r="F4411" s="2" t="s">
        <v>13246</v>
      </c>
      <c r="G4411" s="2" t="s">
        <v>13247</v>
      </c>
      <c r="H4411" s="2" t="s">
        <v>13248</v>
      </c>
      <c r="I4411" s="2" t="s">
        <v>12930</v>
      </c>
      <c r="J4411" s="2" t="s">
        <v>237</v>
      </c>
      <c r="K4411" s="2" t="s">
        <v>13249</v>
      </c>
      <c r="L4411" s="3">
        <v>30.95</v>
      </c>
      <c r="M4411" s="3">
        <v>32.5</v>
      </c>
      <c r="N4411" s="3">
        <v>64.99</v>
      </c>
      <c r="O4411" s="2" t="s">
        <v>97</v>
      </c>
      <c r="P4411" s="2" t="s">
        <v>225</v>
      </c>
      <c r="Q4411" s="2" t="s">
        <v>99</v>
      </c>
      <c r="R4411" s="2" t="s">
        <v>100</v>
      </c>
      <c r="S4411" s="2" t="s">
        <v>13250</v>
      </c>
      <c r="T4411" s="2" t="s">
        <v>6072</v>
      </c>
      <c r="U4411" s="2" t="s">
        <v>514</v>
      </c>
      <c r="V4411" s="2" t="s">
        <v>5223</v>
      </c>
      <c r="W4411" s="2" t="s">
        <v>561</v>
      </c>
      <c r="X4411" s="2" t="s">
        <v>183</v>
      </c>
      <c r="Y4411" s="2" t="s">
        <v>13020</v>
      </c>
      <c r="Z4411" s="4">
        <v>277</v>
      </c>
      <c r="AA4411" s="4">
        <f>=ROUNDDOWN(39.5714285714286,0)</f>
      </c>
      <c r="AB4411" s="5">
        <v>7</v>
      </c>
      <c r="AC4411" s="2" t="s">
        <v>100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142</v>
      </c>
      <c r="BK4411" s="8">
        <v>5126.71</v>
      </c>
      <c r="BL4411" s="2" t="s">
        <v>780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207</v>
      </c>
      <c r="BV4411" s="2" t="s">
        <v>97</v>
      </c>
      <c r="BW4411" s="2" t="s">
        <v>100</v>
      </c>
      <c r="BX4411" s="2" t="s">
        <v>100</v>
      </c>
      <c r="BY4411" s="2" t="s">
        <v>113</v>
      </c>
      <c r="BZ4411" s="2" t="s">
        <v>100</v>
      </c>
    </row>
    <row r="4412">
      <c r="A4412" s="2" t="s">
        <v>13251</v>
      </c>
      <c r="B4412" s="2" t="s">
        <v>12738</v>
      </c>
      <c r="C4412" s="2" t="s">
        <v>11541</v>
      </c>
      <c r="D4412" s="2" t="s">
        <v>803</v>
      </c>
      <c r="E4412" s="2" t="s">
        <v>1532</v>
      </c>
      <c r="F4412" s="2" t="s">
        <v>13246</v>
      </c>
      <c r="G4412" s="2" t="s">
        <v>13247</v>
      </c>
      <c r="H4412" s="2" t="s">
        <v>13248</v>
      </c>
      <c r="I4412" s="2" t="s">
        <v>12930</v>
      </c>
      <c r="J4412" s="2" t="s">
        <v>247</v>
      </c>
      <c r="K4412" s="2" t="s">
        <v>13249</v>
      </c>
      <c r="L4412" s="3">
        <v>40.47</v>
      </c>
      <c r="M4412" s="3">
        <v>42.49</v>
      </c>
      <c r="N4412" s="3">
        <v>84.99</v>
      </c>
      <c r="O4412" s="2" t="s">
        <v>97</v>
      </c>
      <c r="P4412" s="2" t="s">
        <v>225</v>
      </c>
      <c r="Q4412" s="2" t="s">
        <v>99</v>
      </c>
      <c r="R4412" s="2" t="s">
        <v>100</v>
      </c>
      <c r="S4412" s="2" t="s">
        <v>13250</v>
      </c>
      <c r="T4412" s="2" t="s">
        <v>6072</v>
      </c>
      <c r="U4412" s="2" t="s">
        <v>480</v>
      </c>
      <c r="V4412" s="2" t="s">
        <v>5223</v>
      </c>
      <c r="W4412" s="2" t="s">
        <v>561</v>
      </c>
      <c r="X4412" s="2" t="s">
        <v>183</v>
      </c>
      <c r="Y4412" s="2" t="s">
        <v>13020</v>
      </c>
      <c r="Z4412" s="4">
        <v>473</v>
      </c>
      <c r="AA4412" s="4">
        <f>=ROUNDDOWN(39.4166666666667,0)</f>
      </c>
      <c r="AB4412" s="5">
        <v>12</v>
      </c>
      <c r="AC4412" s="2" t="s">
        <v>100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192</v>
      </c>
      <c r="BK4412" s="8">
        <v>8921.6</v>
      </c>
      <c r="BL4412" s="2" t="s">
        <v>1738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207</v>
      </c>
      <c r="BV4412" s="2" t="s">
        <v>97</v>
      </c>
      <c r="BW4412" s="2" t="s">
        <v>100</v>
      </c>
      <c r="BX4412" s="2" t="s">
        <v>100</v>
      </c>
      <c r="BY4412" s="2" t="s">
        <v>113</v>
      </c>
      <c r="BZ4412" s="2" t="s">
        <v>100</v>
      </c>
    </row>
    <row r="4413">
      <c r="A4413" s="2" t="s">
        <v>13252</v>
      </c>
      <c r="B4413" s="2" t="s">
        <v>12738</v>
      </c>
      <c r="C4413" s="2" t="s">
        <v>11541</v>
      </c>
      <c r="D4413" s="2" t="s">
        <v>803</v>
      </c>
      <c r="E4413" s="2" t="s">
        <v>1532</v>
      </c>
      <c r="F4413" s="2" t="s">
        <v>13246</v>
      </c>
      <c r="G4413" s="2" t="s">
        <v>13247</v>
      </c>
      <c r="H4413" s="2" t="s">
        <v>13248</v>
      </c>
      <c r="I4413" s="2" t="s">
        <v>12930</v>
      </c>
      <c r="J4413" s="2" t="s">
        <v>237</v>
      </c>
      <c r="K4413" s="2" t="s">
        <v>13253</v>
      </c>
      <c r="L4413" s="3">
        <v>30.95</v>
      </c>
      <c r="M4413" s="3">
        <v>32.5</v>
      </c>
      <c r="N4413" s="3">
        <v>64.99</v>
      </c>
      <c r="O4413" s="2" t="s">
        <v>97</v>
      </c>
      <c r="P4413" s="2" t="s">
        <v>372</v>
      </c>
      <c r="Q4413" s="2" t="s">
        <v>99</v>
      </c>
      <c r="R4413" s="2" t="s">
        <v>100</v>
      </c>
      <c r="S4413" s="2" t="s">
        <v>13254</v>
      </c>
      <c r="T4413" s="2" t="s">
        <v>6072</v>
      </c>
      <c r="U4413" s="2" t="s">
        <v>514</v>
      </c>
      <c r="V4413" s="2" t="s">
        <v>5223</v>
      </c>
      <c r="W4413" s="2" t="s">
        <v>561</v>
      </c>
      <c r="X4413" s="2" t="s">
        <v>183</v>
      </c>
      <c r="Y4413" s="2" t="s">
        <v>8028</v>
      </c>
      <c r="Z4413" s="4">
        <v>401</v>
      </c>
      <c r="AA4413" s="4">
        <f>=ROUNDDOWN(17.4347826086957,0)</f>
      </c>
      <c r="AB4413" s="5">
        <v>23</v>
      </c>
      <c r="AC4413" s="2" t="s">
        <v>768</v>
      </c>
      <c r="AD4413" s="4">
        <v>150</v>
      </c>
      <c r="AE4413" s="4">
        <v>430</v>
      </c>
      <c r="AF4413" s="6">
        <v>65</v>
      </c>
      <c r="AG4413" s="6"/>
      <c r="AH4413" s="7">
        <v>0.9572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659</v>
      </c>
      <c r="BK4413" s="8">
        <v>23714.82</v>
      </c>
      <c r="BL4413" s="2" t="s">
        <v>13255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207</v>
      </c>
      <c r="BV4413" s="2" t="s">
        <v>97</v>
      </c>
      <c r="BW4413" s="2" t="s">
        <v>100</v>
      </c>
      <c r="BX4413" s="2" t="s">
        <v>100</v>
      </c>
      <c r="BY4413" s="2" t="s">
        <v>113</v>
      </c>
      <c r="BZ4413" s="2" t="s">
        <v>245</v>
      </c>
    </row>
    <row r="4414">
      <c r="A4414" s="2" t="s">
        <v>13256</v>
      </c>
      <c r="B4414" s="2" t="s">
        <v>12738</v>
      </c>
      <c r="C4414" s="2" t="s">
        <v>11541</v>
      </c>
      <c r="D4414" s="2" t="s">
        <v>803</v>
      </c>
      <c r="E4414" s="2" t="s">
        <v>1532</v>
      </c>
      <c r="F4414" s="2" t="s">
        <v>13246</v>
      </c>
      <c r="G4414" s="2" t="s">
        <v>13247</v>
      </c>
      <c r="H4414" s="2" t="s">
        <v>13248</v>
      </c>
      <c r="I4414" s="2" t="s">
        <v>12930</v>
      </c>
      <c r="J4414" s="2" t="s">
        <v>247</v>
      </c>
      <c r="K4414" s="2" t="s">
        <v>13253</v>
      </c>
      <c r="L4414" s="3">
        <v>40.47</v>
      </c>
      <c r="M4414" s="3">
        <v>42.49</v>
      </c>
      <c r="N4414" s="3">
        <v>84.99</v>
      </c>
      <c r="O4414" s="2" t="s">
        <v>97</v>
      </c>
      <c r="P4414" s="2" t="s">
        <v>372</v>
      </c>
      <c r="Q4414" s="2" t="s">
        <v>99</v>
      </c>
      <c r="R4414" s="2" t="s">
        <v>100</v>
      </c>
      <c r="S4414" s="2" t="s">
        <v>13254</v>
      </c>
      <c r="T4414" s="2" t="s">
        <v>6072</v>
      </c>
      <c r="U4414" s="2" t="s">
        <v>480</v>
      </c>
      <c r="V4414" s="2" t="s">
        <v>5223</v>
      </c>
      <c r="W4414" s="2" t="s">
        <v>561</v>
      </c>
      <c r="X4414" s="2" t="s">
        <v>183</v>
      </c>
      <c r="Y4414" s="2" t="s">
        <v>8028</v>
      </c>
      <c r="Z4414" s="4">
        <v>460</v>
      </c>
      <c r="AA4414" s="4">
        <f>=ROUNDDOWN(13.9393939393939,0)</f>
      </c>
      <c r="AB4414" s="5">
        <v>33</v>
      </c>
      <c r="AC4414" s="2" t="s">
        <v>768</v>
      </c>
      <c r="AD4414" s="4">
        <v>650</v>
      </c>
      <c r="AE4414" s="4">
        <v>750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886</v>
      </c>
      <c r="BK4414" s="8">
        <v>40775.21</v>
      </c>
      <c r="BL4414" s="2" t="s">
        <v>13257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207</v>
      </c>
      <c r="BV4414" s="2" t="s">
        <v>97</v>
      </c>
      <c r="BW4414" s="2" t="s">
        <v>100</v>
      </c>
      <c r="BX4414" s="2" t="s">
        <v>100</v>
      </c>
      <c r="BY4414" s="2" t="s">
        <v>113</v>
      </c>
      <c r="BZ4414" s="2" t="s">
        <v>245</v>
      </c>
    </row>
    <row r="4415">
      <c r="A4415" s="2" t="s">
        <v>13258</v>
      </c>
      <c r="B4415" s="2" t="s">
        <v>12738</v>
      </c>
      <c r="C4415" s="2" t="s">
        <v>11541</v>
      </c>
      <c r="D4415" s="2" t="s">
        <v>1638</v>
      </c>
      <c r="E4415" s="2" t="s">
        <v>1639</v>
      </c>
      <c r="F4415" s="2" t="s">
        <v>13246</v>
      </c>
      <c r="G4415" s="2" t="s">
        <v>13247</v>
      </c>
      <c r="H4415" s="2" t="s">
        <v>13248</v>
      </c>
      <c r="I4415" s="2" t="s">
        <v>13109</v>
      </c>
      <c r="J4415" s="2" t="s">
        <v>237</v>
      </c>
      <c r="K4415" s="2" t="s">
        <v>13253</v>
      </c>
      <c r="L4415" s="3">
        <v>23.8</v>
      </c>
      <c r="M4415" s="3">
        <v>24.99</v>
      </c>
      <c r="N4415" s="3">
        <v>49.99</v>
      </c>
      <c r="O4415" s="2" t="s">
        <v>97</v>
      </c>
      <c r="P4415" s="2" t="s">
        <v>119</v>
      </c>
      <c r="Q4415" s="2" t="s">
        <v>99</v>
      </c>
      <c r="R4415" s="2" t="s">
        <v>100</v>
      </c>
      <c r="S4415" s="2" t="s">
        <v>13254</v>
      </c>
      <c r="T4415" s="2" t="s">
        <v>6072</v>
      </c>
      <c r="U4415" s="2" t="s">
        <v>514</v>
      </c>
      <c r="V4415" s="2" t="s">
        <v>5223</v>
      </c>
      <c r="W4415" s="2" t="s">
        <v>561</v>
      </c>
      <c r="X4415" s="2" t="s">
        <v>183</v>
      </c>
      <c r="Y4415" s="2" t="s">
        <v>1317</v>
      </c>
      <c r="Z4415" s="4">
        <v>129</v>
      </c>
      <c r="AA4415" s="4">
        <f>=ROUNDDOWN(25.8,0)</f>
      </c>
      <c r="AB4415" s="5">
        <v>5</v>
      </c>
      <c r="AC4415" s="2" t="s">
        <v>1342</v>
      </c>
      <c r="AD4415" s="4">
        <v>70</v>
      </c>
      <c r="AE4415" s="4">
        <v>70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>
        <v>93</v>
      </c>
      <c r="BK4415" s="8">
        <v>2461.55</v>
      </c>
      <c r="BL4415" s="2" t="s">
        <v>229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207</v>
      </c>
      <c r="BV4415" s="2" t="s">
        <v>97</v>
      </c>
      <c r="BW4415" s="2" t="s">
        <v>100</v>
      </c>
      <c r="BX4415" s="2" t="s">
        <v>100</v>
      </c>
      <c r="BY4415" s="2" t="s">
        <v>113</v>
      </c>
      <c r="BZ4415" s="2" t="s">
        <v>100</v>
      </c>
    </row>
    <row r="4416">
      <c r="A4416" s="2" t="s">
        <v>13259</v>
      </c>
      <c r="B4416" s="2" t="s">
        <v>12738</v>
      </c>
      <c r="C4416" s="2" t="s">
        <v>11541</v>
      </c>
      <c r="D4416" s="2" t="s">
        <v>1638</v>
      </c>
      <c r="E4416" s="2" t="s">
        <v>1639</v>
      </c>
      <c r="F4416" s="2" t="s">
        <v>13246</v>
      </c>
      <c r="G4416" s="2" t="s">
        <v>13247</v>
      </c>
      <c r="H4416" s="2" t="s">
        <v>13248</v>
      </c>
      <c r="I4416" s="2" t="s">
        <v>13109</v>
      </c>
      <c r="J4416" s="2" t="s">
        <v>247</v>
      </c>
      <c r="K4416" s="2" t="s">
        <v>13253</v>
      </c>
      <c r="L4416" s="3">
        <v>28.57</v>
      </c>
      <c r="M4416" s="3">
        <v>30</v>
      </c>
      <c r="N4416" s="3">
        <v>59.99</v>
      </c>
      <c r="O4416" s="2" t="s">
        <v>97</v>
      </c>
      <c r="P4416" s="2" t="s">
        <v>119</v>
      </c>
      <c r="Q4416" s="2" t="s">
        <v>99</v>
      </c>
      <c r="R4416" s="2" t="s">
        <v>100</v>
      </c>
      <c r="S4416" s="2" t="s">
        <v>13254</v>
      </c>
      <c r="T4416" s="2" t="s">
        <v>6072</v>
      </c>
      <c r="U4416" s="2" t="s">
        <v>480</v>
      </c>
      <c r="V4416" s="2" t="s">
        <v>5223</v>
      </c>
      <c r="W4416" s="2" t="s">
        <v>561</v>
      </c>
      <c r="X4416" s="2" t="s">
        <v>183</v>
      </c>
      <c r="Y4416" s="2" t="s">
        <v>1317</v>
      </c>
      <c r="Z4416" s="4">
        <v>118</v>
      </c>
      <c r="AA4416" s="4">
        <f>=ROUNDDOWN(16.8571428571429,0)</f>
      </c>
      <c r="AB4416" s="5">
        <v>7</v>
      </c>
      <c r="AC4416" s="2" t="s">
        <v>1342</v>
      </c>
      <c r="AD4416" s="4">
        <v>130</v>
      </c>
      <c r="AE4416" s="4">
        <v>130</v>
      </c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>
        <v>150</v>
      </c>
      <c r="BK4416" s="8">
        <v>4719.4</v>
      </c>
      <c r="BL4416" s="2" t="s">
        <v>736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207</v>
      </c>
      <c r="BV4416" s="2" t="s">
        <v>97</v>
      </c>
      <c r="BW4416" s="2" t="s">
        <v>100</v>
      </c>
      <c r="BX4416" s="2" t="s">
        <v>100</v>
      </c>
      <c r="BY4416" s="2" t="s">
        <v>113</v>
      </c>
      <c r="BZ4416" s="2" t="s">
        <v>100</v>
      </c>
    </row>
    <row r="4417">
      <c r="A4417" s="2" t="s">
        <v>13260</v>
      </c>
      <c r="B4417" s="2" t="s">
        <v>12738</v>
      </c>
      <c r="C4417" s="2" t="s">
        <v>5036</v>
      </c>
      <c r="D4417" s="2" t="s">
        <v>89</v>
      </c>
      <c r="E4417" s="2" t="s">
        <v>90</v>
      </c>
      <c r="F4417" s="2" t="s">
        <v>5642</v>
      </c>
      <c r="G4417" s="2" t="s">
        <v>5643</v>
      </c>
      <c r="H4417" s="2" t="s">
        <v>5644</v>
      </c>
      <c r="I4417" s="2" t="s">
        <v>13261</v>
      </c>
      <c r="J4417" s="2" t="s">
        <v>95</v>
      </c>
      <c r="K4417" s="2" t="s">
        <v>3560</v>
      </c>
      <c r="L4417" s="3">
        <v>54.99</v>
      </c>
      <c r="M4417" s="3">
        <v>57.74</v>
      </c>
      <c r="N4417" s="3">
        <v>109.99</v>
      </c>
      <c r="O4417" s="2" t="s">
        <v>97</v>
      </c>
      <c r="P4417" s="2" t="s">
        <v>119</v>
      </c>
      <c r="Q4417" s="2" t="s">
        <v>99</v>
      </c>
      <c r="R4417" s="2" t="s">
        <v>100</v>
      </c>
      <c r="S4417" s="2" t="s">
        <v>5647</v>
      </c>
      <c r="T4417" s="2" t="s">
        <v>280</v>
      </c>
      <c r="U4417" s="2" t="s">
        <v>171</v>
      </c>
      <c r="V4417" s="2" t="s">
        <v>146</v>
      </c>
      <c r="W4417" s="2" t="s">
        <v>158</v>
      </c>
      <c r="X4417" s="2" t="s">
        <v>13262</v>
      </c>
      <c r="Y4417" s="2" t="s">
        <v>12428</v>
      </c>
      <c r="Z4417" s="4">
        <v>195</v>
      </c>
      <c r="AA4417" s="4">
        <f>=ROUNDDOWN(24.375,0)</f>
      </c>
      <c r="AB4417" s="5">
        <v>8</v>
      </c>
      <c r="AC4417" s="2" t="s">
        <v>282</v>
      </c>
      <c r="AD4417" s="4">
        <v>250</v>
      </c>
      <c r="AE4417" s="4">
        <v>250</v>
      </c>
      <c r="AF4417" s="6">
        <v>66</v>
      </c>
      <c r="AG4417" s="6">
        <v>49</v>
      </c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>
        <v>5</v>
      </c>
      <c r="AQ4417" s="8">
        <v>283.5</v>
      </c>
      <c r="AR4417" s="4"/>
      <c r="AS4417" s="8"/>
      <c r="AT4417" s="7"/>
      <c r="AU4417" s="7"/>
      <c r="AV4417" s="4">
        <v>5</v>
      </c>
      <c r="AW4417" s="8">
        <v>283.5</v>
      </c>
      <c r="AX4417" s="4"/>
      <c r="AY4417" s="8"/>
      <c r="AZ4417" s="7"/>
      <c r="BA4417" s="7"/>
      <c r="BB4417" s="7">
        <v>1</v>
      </c>
      <c r="BC4417" s="4">
        <v>5</v>
      </c>
      <c r="BD4417" s="8">
        <v>283.5</v>
      </c>
      <c r="BE4417" s="4"/>
      <c r="BF4417" s="8"/>
      <c r="BG4417" s="7"/>
      <c r="BH4417" s="7"/>
      <c r="BI4417" s="7">
        <v>1</v>
      </c>
      <c r="BJ4417" s="4">
        <v>179</v>
      </c>
      <c r="BK4417" s="8">
        <v>10772.63</v>
      </c>
      <c r="BL4417" s="2" t="s">
        <v>12373</v>
      </c>
      <c r="BM4417" s="7">
        <v>0.0279</v>
      </c>
      <c r="BN4417" s="7">
        <v>0.0263</v>
      </c>
      <c r="BO4417" s="4">
        <v>5</v>
      </c>
      <c r="BP4417" s="8">
        <v>283.5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1539</v>
      </c>
      <c r="BX4417" s="2" t="s">
        <v>11621</v>
      </c>
      <c r="BY4417" s="2" t="s">
        <v>113</v>
      </c>
      <c r="BZ4417" s="2" t="s">
        <v>100</v>
      </c>
    </row>
    <row r="4418">
      <c r="A4418" s="2" t="s">
        <v>13263</v>
      </c>
      <c r="B4418" s="2" t="s">
        <v>12738</v>
      </c>
      <c r="C4418" s="2" t="s">
        <v>5036</v>
      </c>
      <c r="D4418" s="2" t="s">
        <v>89</v>
      </c>
      <c r="E4418" s="2" t="s">
        <v>506</v>
      </c>
      <c r="F4418" s="2" t="s">
        <v>13264</v>
      </c>
      <c r="G4418" s="2" t="s">
        <v>13265</v>
      </c>
      <c r="H4418" s="2" t="s">
        <v>13266</v>
      </c>
      <c r="I4418" s="2" t="s">
        <v>13267</v>
      </c>
      <c r="J4418" s="2" t="s">
        <v>247</v>
      </c>
      <c r="K4418" s="2" t="s">
        <v>1148</v>
      </c>
      <c r="L4418" s="3">
        <v>33.33</v>
      </c>
      <c r="M4418" s="3">
        <v>35</v>
      </c>
      <c r="N4418" s="3">
        <v>69.99</v>
      </c>
      <c r="O4418" s="2" t="s">
        <v>97</v>
      </c>
      <c r="P4418" s="2" t="s">
        <v>225</v>
      </c>
      <c r="Q4418" s="2" t="s">
        <v>99</v>
      </c>
      <c r="R4418" s="2" t="s">
        <v>100</v>
      </c>
      <c r="S4418" s="2" t="s">
        <v>13268</v>
      </c>
      <c r="T4418" s="2" t="s">
        <v>200</v>
      </c>
      <c r="U4418" s="2" t="s">
        <v>480</v>
      </c>
      <c r="V4418" s="2" t="s">
        <v>146</v>
      </c>
      <c r="W4418" s="2" t="s">
        <v>183</v>
      </c>
      <c r="X4418" s="2" t="s">
        <v>104</v>
      </c>
      <c r="Y4418" s="2" t="s">
        <v>4929</v>
      </c>
      <c r="Z4418" s="4">
        <v>285</v>
      </c>
      <c r="AA4418" s="4">
        <f>=ROUNDDOWN(71.25,0)</f>
      </c>
      <c r="AB4418" s="5">
        <v>4</v>
      </c>
      <c r="AC4418" s="2" t="s">
        <v>100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69</v>
      </c>
      <c r="BK4418" s="8">
        <v>2598.68</v>
      </c>
      <c r="BL4418" s="2" t="s">
        <v>780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207</v>
      </c>
      <c r="BV4418" s="2" t="s">
        <v>97</v>
      </c>
      <c r="BW4418" s="2" t="s">
        <v>100</v>
      </c>
      <c r="BX4418" s="2" t="s">
        <v>100</v>
      </c>
      <c r="BY4418" s="2" t="s">
        <v>113</v>
      </c>
      <c r="BZ4418" s="2" t="s">
        <v>100</v>
      </c>
    </row>
    <row r="4419">
      <c r="A4419" s="2" t="s">
        <v>13269</v>
      </c>
      <c r="B4419" s="2" t="s">
        <v>12738</v>
      </c>
      <c r="C4419" s="2" t="s">
        <v>5036</v>
      </c>
      <c r="D4419" s="2" t="s">
        <v>89</v>
      </c>
      <c r="E4419" s="2" t="s">
        <v>506</v>
      </c>
      <c r="F4419" s="2" t="s">
        <v>13264</v>
      </c>
      <c r="G4419" s="2" t="s">
        <v>13265</v>
      </c>
      <c r="H4419" s="2" t="s">
        <v>13266</v>
      </c>
      <c r="I4419" s="2" t="s">
        <v>13267</v>
      </c>
      <c r="J4419" s="2" t="s">
        <v>270</v>
      </c>
      <c r="K4419" s="2" t="s">
        <v>1148</v>
      </c>
      <c r="L4419" s="3">
        <v>38.09</v>
      </c>
      <c r="M4419" s="3">
        <v>39.99</v>
      </c>
      <c r="N4419" s="3">
        <v>79.99</v>
      </c>
      <c r="O4419" s="2" t="s">
        <v>97</v>
      </c>
      <c r="P4419" s="2" t="s">
        <v>225</v>
      </c>
      <c r="Q4419" s="2" t="s">
        <v>99</v>
      </c>
      <c r="R4419" s="2" t="s">
        <v>100</v>
      </c>
      <c r="S4419" s="2" t="s">
        <v>13268</v>
      </c>
      <c r="T4419" s="2" t="s">
        <v>200</v>
      </c>
      <c r="U4419" s="2" t="s">
        <v>480</v>
      </c>
      <c r="V4419" s="2" t="s">
        <v>146</v>
      </c>
      <c r="W4419" s="2" t="s">
        <v>183</v>
      </c>
      <c r="X4419" s="2" t="s">
        <v>104</v>
      </c>
      <c r="Y4419" s="2" t="s">
        <v>4929</v>
      </c>
      <c r="Z4419" s="4">
        <v>329</v>
      </c>
      <c r="AA4419" s="4">
        <f>=ROUNDDOWN(54.8333333333333,0)</f>
      </c>
      <c r="AB4419" s="5">
        <v>6</v>
      </c>
      <c r="AC4419" s="2" t="s">
        <v>100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>
        <v>90</v>
      </c>
      <c r="BK4419" s="8">
        <v>3855.11</v>
      </c>
      <c r="BL4419" s="2" t="s">
        <v>3168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207</v>
      </c>
      <c r="BV4419" s="2" t="s">
        <v>97</v>
      </c>
      <c r="BW4419" s="2" t="s">
        <v>100</v>
      </c>
      <c r="BX4419" s="2" t="s">
        <v>100</v>
      </c>
      <c r="BY4419" s="2" t="s">
        <v>113</v>
      </c>
      <c r="BZ4419" s="2" t="s">
        <v>100</v>
      </c>
    </row>
    <row r="4420">
      <c r="A4420" s="2" t="s">
        <v>13270</v>
      </c>
      <c r="B4420" s="2" t="s">
        <v>12738</v>
      </c>
      <c r="C4420" s="2" t="s">
        <v>5036</v>
      </c>
      <c r="D4420" s="2" t="s">
        <v>89</v>
      </c>
      <c r="E4420" s="2" t="s">
        <v>506</v>
      </c>
      <c r="F4420" s="2" t="s">
        <v>13264</v>
      </c>
      <c r="G4420" s="2" t="s">
        <v>13265</v>
      </c>
      <c r="H4420" s="2" t="s">
        <v>13266</v>
      </c>
      <c r="I4420" s="2" t="s">
        <v>13267</v>
      </c>
      <c r="J4420" s="2" t="s">
        <v>247</v>
      </c>
      <c r="K4420" s="2" t="s">
        <v>858</v>
      </c>
      <c r="L4420" s="3">
        <v>33.33</v>
      </c>
      <c r="M4420" s="3">
        <v>35</v>
      </c>
      <c r="N4420" s="3">
        <v>69.99</v>
      </c>
      <c r="O4420" s="2" t="s">
        <v>97</v>
      </c>
      <c r="P4420" s="2" t="s">
        <v>225</v>
      </c>
      <c r="Q4420" s="2" t="s">
        <v>99</v>
      </c>
      <c r="R4420" s="2" t="s">
        <v>100</v>
      </c>
      <c r="S4420" s="2" t="s">
        <v>13271</v>
      </c>
      <c r="T4420" s="2" t="s">
        <v>200</v>
      </c>
      <c r="U4420" s="2" t="s">
        <v>480</v>
      </c>
      <c r="V4420" s="2" t="s">
        <v>146</v>
      </c>
      <c r="W4420" s="2" t="s">
        <v>183</v>
      </c>
      <c r="X4420" s="2" t="s">
        <v>104</v>
      </c>
      <c r="Y4420" s="2" t="s">
        <v>4929</v>
      </c>
      <c r="Z4420" s="4">
        <v>256</v>
      </c>
      <c r="AA4420" s="4">
        <f>=ROUNDDOWN(64,0)</f>
      </c>
      <c r="AB4420" s="5">
        <v>4</v>
      </c>
      <c r="AC4420" s="2" t="s">
        <v>100</v>
      </c>
      <c r="AD4420" s="4"/>
      <c r="AE4420" s="4"/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74</v>
      </c>
      <c r="BK4420" s="8">
        <v>2773.86</v>
      </c>
      <c r="BL4420" s="2" t="s">
        <v>13272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207</v>
      </c>
      <c r="BV4420" s="2" t="s">
        <v>97</v>
      </c>
      <c r="BW4420" s="2" t="s">
        <v>100</v>
      </c>
      <c r="BX4420" s="2" t="s">
        <v>100</v>
      </c>
      <c r="BY4420" s="2" t="s">
        <v>113</v>
      </c>
      <c r="BZ4420" s="2" t="s">
        <v>100</v>
      </c>
    </row>
    <row r="4421">
      <c r="A4421" s="2" t="s">
        <v>13273</v>
      </c>
      <c r="B4421" s="2" t="s">
        <v>12738</v>
      </c>
      <c r="C4421" s="2" t="s">
        <v>5036</v>
      </c>
      <c r="D4421" s="2" t="s">
        <v>89</v>
      </c>
      <c r="E4421" s="2" t="s">
        <v>506</v>
      </c>
      <c r="F4421" s="2" t="s">
        <v>13264</v>
      </c>
      <c r="G4421" s="2" t="s">
        <v>13265</v>
      </c>
      <c r="H4421" s="2" t="s">
        <v>13266</v>
      </c>
      <c r="I4421" s="2" t="s">
        <v>13267</v>
      </c>
      <c r="J4421" s="2" t="s">
        <v>270</v>
      </c>
      <c r="K4421" s="2" t="s">
        <v>858</v>
      </c>
      <c r="L4421" s="3">
        <v>38.09</v>
      </c>
      <c r="M4421" s="3">
        <v>39.99</v>
      </c>
      <c r="N4421" s="3">
        <v>79.99</v>
      </c>
      <c r="O4421" s="2" t="s">
        <v>97</v>
      </c>
      <c r="P4421" s="2" t="s">
        <v>225</v>
      </c>
      <c r="Q4421" s="2" t="s">
        <v>99</v>
      </c>
      <c r="R4421" s="2" t="s">
        <v>100</v>
      </c>
      <c r="S4421" s="2" t="s">
        <v>13271</v>
      </c>
      <c r="T4421" s="2" t="s">
        <v>200</v>
      </c>
      <c r="U4421" s="2" t="s">
        <v>480</v>
      </c>
      <c r="V4421" s="2" t="s">
        <v>146</v>
      </c>
      <c r="W4421" s="2" t="s">
        <v>183</v>
      </c>
      <c r="X4421" s="2" t="s">
        <v>104</v>
      </c>
      <c r="Y4421" s="2" t="s">
        <v>4929</v>
      </c>
      <c r="Z4421" s="4">
        <v>304</v>
      </c>
      <c r="AA4421" s="4">
        <f>=ROUNDDOWN(50.6666666666667,0)</f>
      </c>
      <c r="AB4421" s="5">
        <v>6</v>
      </c>
      <c r="AC4421" s="2" t="s">
        <v>100</v>
      </c>
      <c r="AD4421" s="4"/>
      <c r="AE4421" s="4"/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122</v>
      </c>
      <c r="BK4421" s="8">
        <v>5281.49</v>
      </c>
      <c r="BL4421" s="2" t="s">
        <v>13274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207</v>
      </c>
      <c r="BV4421" s="2" t="s">
        <v>97</v>
      </c>
      <c r="BW4421" s="2" t="s">
        <v>100</v>
      </c>
      <c r="BX4421" s="2" t="s">
        <v>100</v>
      </c>
      <c r="BY4421" s="2" t="s">
        <v>113</v>
      </c>
      <c r="BZ4421" s="2" t="s">
        <v>100</v>
      </c>
    </row>
    <row r="4422">
      <c r="A4422" s="2" t="s">
        <v>13275</v>
      </c>
      <c r="B4422" s="2" t="s">
        <v>12738</v>
      </c>
      <c r="C4422" s="2" t="s">
        <v>5036</v>
      </c>
      <c r="D4422" s="2" t="s">
        <v>89</v>
      </c>
      <c r="E4422" s="2" t="s">
        <v>506</v>
      </c>
      <c r="F4422" s="2" t="s">
        <v>669</v>
      </c>
      <c r="G4422" s="2" t="s">
        <v>3473</v>
      </c>
      <c r="H4422" s="2" t="s">
        <v>2513</v>
      </c>
      <c r="I4422" s="2" t="s">
        <v>13276</v>
      </c>
      <c r="J4422" s="2" t="s">
        <v>247</v>
      </c>
      <c r="K4422" s="2" t="s">
        <v>1614</v>
      </c>
      <c r="L4422" s="3">
        <v>71.39</v>
      </c>
      <c r="M4422" s="3">
        <v>74.96</v>
      </c>
      <c r="N4422" s="3">
        <v>139.99</v>
      </c>
      <c r="O4422" s="2" t="s">
        <v>97</v>
      </c>
      <c r="P4422" s="2" t="s">
        <v>119</v>
      </c>
      <c r="Q4422" s="2" t="s">
        <v>99</v>
      </c>
      <c r="R4422" s="2" t="s">
        <v>100</v>
      </c>
      <c r="S4422" s="2" t="s">
        <v>13277</v>
      </c>
      <c r="T4422" s="2" t="s">
        <v>280</v>
      </c>
      <c r="U4422" s="2" t="s">
        <v>480</v>
      </c>
      <c r="V4422" s="2" t="s">
        <v>146</v>
      </c>
      <c r="W4422" s="2" t="s">
        <v>561</v>
      </c>
      <c r="X4422" s="2" t="s">
        <v>203</v>
      </c>
      <c r="Y4422" s="2" t="s">
        <v>9749</v>
      </c>
      <c r="Z4422" s="4">
        <v>102</v>
      </c>
      <c r="AA4422" s="4">
        <f>=ROUNDDOWN(102,0)</f>
      </c>
      <c r="AB4422" s="5">
        <v>1</v>
      </c>
      <c r="AC4422" s="2" t="s">
        <v>100</v>
      </c>
      <c r="AD4422" s="4"/>
      <c r="AE4422" s="4"/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28</v>
      </c>
      <c r="BK4422" s="8">
        <v>2070.98</v>
      </c>
      <c r="BL4422" s="2" t="s">
        <v>13278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643</v>
      </c>
      <c r="BX4422" s="2" t="s">
        <v>13279</v>
      </c>
      <c r="BY4422" s="2" t="s">
        <v>113</v>
      </c>
      <c r="BZ4422" s="2" t="s">
        <v>100</v>
      </c>
    </row>
    <row r="4423">
      <c r="A4423" s="2" t="s">
        <v>13280</v>
      </c>
      <c r="B4423" s="2" t="s">
        <v>12738</v>
      </c>
      <c r="C4423" s="2" t="s">
        <v>5036</v>
      </c>
      <c r="D4423" s="2" t="s">
        <v>89</v>
      </c>
      <c r="E4423" s="2" t="s">
        <v>506</v>
      </c>
      <c r="F4423" s="2" t="s">
        <v>669</v>
      </c>
      <c r="G4423" s="2" t="s">
        <v>3473</v>
      </c>
      <c r="H4423" s="2" t="s">
        <v>2513</v>
      </c>
      <c r="I4423" s="2" t="s">
        <v>13276</v>
      </c>
      <c r="J4423" s="2" t="s">
        <v>270</v>
      </c>
      <c r="K4423" s="2" t="s">
        <v>1614</v>
      </c>
      <c r="L4423" s="3">
        <v>81.59</v>
      </c>
      <c r="M4423" s="3">
        <v>85.67</v>
      </c>
      <c r="N4423" s="3">
        <v>159.99</v>
      </c>
      <c r="O4423" s="2" t="s">
        <v>97</v>
      </c>
      <c r="P4423" s="2" t="s">
        <v>119</v>
      </c>
      <c r="Q4423" s="2" t="s">
        <v>99</v>
      </c>
      <c r="R4423" s="2" t="s">
        <v>100</v>
      </c>
      <c r="S4423" s="2" t="s">
        <v>13277</v>
      </c>
      <c r="T4423" s="2" t="s">
        <v>280</v>
      </c>
      <c r="U4423" s="2" t="s">
        <v>480</v>
      </c>
      <c r="V4423" s="2" t="s">
        <v>146</v>
      </c>
      <c r="W4423" s="2" t="s">
        <v>561</v>
      </c>
      <c r="X4423" s="2" t="s">
        <v>203</v>
      </c>
      <c r="Y4423" s="2" t="s">
        <v>9749</v>
      </c>
      <c r="Z4423" s="4">
        <v>61</v>
      </c>
      <c r="AA4423" s="4">
        <f>=ROUNDDOWN(30.5,0)</f>
      </c>
      <c r="AB4423" s="5">
        <v>2</v>
      </c>
      <c r="AC4423" s="2" t="s">
        <v>13281</v>
      </c>
      <c r="AD4423" s="4">
        <v>60</v>
      </c>
      <c r="AE4423" s="4">
        <v>60</v>
      </c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>
        <v>61</v>
      </c>
      <c r="BK4423" s="8">
        <v>5159.64</v>
      </c>
      <c r="BL4423" s="2" t="s">
        <v>13282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643</v>
      </c>
      <c r="BX4423" s="2" t="s">
        <v>100</v>
      </c>
      <c r="BY4423" s="2" t="s">
        <v>113</v>
      </c>
      <c r="BZ4423" s="2" t="s">
        <v>100</v>
      </c>
    </row>
    <row r="4424">
      <c r="A4424" s="2" t="s">
        <v>13283</v>
      </c>
      <c r="B4424" s="2" t="s">
        <v>12738</v>
      </c>
      <c r="C4424" s="2" t="s">
        <v>5036</v>
      </c>
      <c r="D4424" s="2" t="s">
        <v>803</v>
      </c>
      <c r="E4424" s="2" t="s">
        <v>804</v>
      </c>
      <c r="F4424" s="2" t="s">
        <v>5642</v>
      </c>
      <c r="G4424" s="2" t="s">
        <v>5643</v>
      </c>
      <c r="H4424" s="2" t="s">
        <v>5644</v>
      </c>
      <c r="I4424" s="2" t="s">
        <v>13284</v>
      </c>
      <c r="J4424" s="2" t="s">
        <v>237</v>
      </c>
      <c r="K4424" s="2" t="s">
        <v>677</v>
      </c>
      <c r="L4424" s="3">
        <v>52.88</v>
      </c>
      <c r="M4424" s="3">
        <v>55.52</v>
      </c>
      <c r="N4424" s="3">
        <v>109.99</v>
      </c>
      <c r="O4424" s="2" t="s">
        <v>97</v>
      </c>
      <c r="P4424" s="2" t="s">
        <v>119</v>
      </c>
      <c r="Q4424" s="2" t="s">
        <v>99</v>
      </c>
      <c r="R4424" s="2" t="s">
        <v>100</v>
      </c>
      <c r="S4424" s="2" t="s">
        <v>13285</v>
      </c>
      <c r="T4424" s="2" t="s">
        <v>280</v>
      </c>
      <c r="U4424" s="2" t="s">
        <v>171</v>
      </c>
      <c r="V4424" s="2" t="s">
        <v>146</v>
      </c>
      <c r="W4424" s="2" t="s">
        <v>158</v>
      </c>
      <c r="X4424" s="2" t="s">
        <v>219</v>
      </c>
      <c r="Y4424" s="2" t="s">
        <v>1581</v>
      </c>
      <c r="Z4424" s="4">
        <v>179</v>
      </c>
      <c r="AA4424" s="4">
        <f>=ROUNDDOWN(59.6666666666667,0)</f>
      </c>
      <c r="AB4424" s="5">
        <v>3</v>
      </c>
      <c r="AC4424" s="2" t="s">
        <v>241</v>
      </c>
      <c r="AD4424" s="4">
        <v>40</v>
      </c>
      <c r="AE4424" s="4">
        <v>40</v>
      </c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54</v>
      </c>
      <c r="BK4424" s="8">
        <v>3069.23</v>
      </c>
      <c r="BL4424" s="2" t="s">
        <v>13286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207</v>
      </c>
      <c r="BV4424" s="2" t="s">
        <v>97</v>
      </c>
      <c r="BW4424" s="2" t="s">
        <v>100</v>
      </c>
      <c r="BX4424" s="2" t="s">
        <v>100</v>
      </c>
      <c r="BY4424" s="2" t="s">
        <v>113</v>
      </c>
      <c r="BZ4424" s="2" t="s">
        <v>100</v>
      </c>
    </row>
    <row r="4425">
      <c r="A4425" s="2" t="s">
        <v>13287</v>
      </c>
      <c r="B4425" s="2" t="s">
        <v>12738</v>
      </c>
      <c r="C4425" s="2" t="s">
        <v>5036</v>
      </c>
      <c r="D4425" s="2" t="s">
        <v>803</v>
      </c>
      <c r="E4425" s="2" t="s">
        <v>804</v>
      </c>
      <c r="F4425" s="2" t="s">
        <v>5642</v>
      </c>
      <c r="G4425" s="2" t="s">
        <v>5643</v>
      </c>
      <c r="H4425" s="2" t="s">
        <v>5644</v>
      </c>
      <c r="I4425" s="2" t="s">
        <v>13284</v>
      </c>
      <c r="J4425" s="2" t="s">
        <v>247</v>
      </c>
      <c r="K4425" s="2" t="s">
        <v>677</v>
      </c>
      <c r="L4425" s="3">
        <v>66.96</v>
      </c>
      <c r="M4425" s="3">
        <v>70.31</v>
      </c>
      <c r="N4425" s="3">
        <v>139.99</v>
      </c>
      <c r="O4425" s="2" t="s">
        <v>97</v>
      </c>
      <c r="P4425" s="2" t="s">
        <v>119</v>
      </c>
      <c r="Q4425" s="2" t="s">
        <v>99</v>
      </c>
      <c r="R4425" s="2" t="s">
        <v>100</v>
      </c>
      <c r="S4425" s="2" t="s">
        <v>13285</v>
      </c>
      <c r="T4425" s="2" t="s">
        <v>280</v>
      </c>
      <c r="U4425" s="2" t="s">
        <v>337</v>
      </c>
      <c r="V4425" s="2" t="s">
        <v>146</v>
      </c>
      <c r="W4425" s="2" t="s">
        <v>158</v>
      </c>
      <c r="X4425" s="2" t="s">
        <v>219</v>
      </c>
      <c r="Y4425" s="2" t="s">
        <v>1581</v>
      </c>
      <c r="Z4425" s="4">
        <v>314</v>
      </c>
      <c r="AA4425" s="4">
        <f>=ROUNDDOWN(52.3333333333333,0)</f>
      </c>
      <c r="AB4425" s="5">
        <v>6</v>
      </c>
      <c r="AC4425" s="2" t="s">
        <v>241</v>
      </c>
      <c r="AD4425" s="4">
        <v>100</v>
      </c>
      <c r="AE4425" s="4">
        <v>100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73</v>
      </c>
      <c r="BK4425" s="8">
        <v>5427.25</v>
      </c>
      <c r="BL4425" s="2" t="s">
        <v>2348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207</v>
      </c>
      <c r="BV4425" s="2" t="s">
        <v>97</v>
      </c>
      <c r="BW4425" s="2" t="s">
        <v>100</v>
      </c>
      <c r="BX4425" s="2" t="s">
        <v>100</v>
      </c>
      <c r="BY4425" s="2" t="s">
        <v>113</v>
      </c>
      <c r="BZ4425" s="2" t="s">
        <v>100</v>
      </c>
    </row>
    <row r="4426">
      <c r="A4426" s="2" t="s">
        <v>13288</v>
      </c>
      <c r="B4426" s="2" t="s">
        <v>12738</v>
      </c>
      <c r="C4426" s="2" t="s">
        <v>5036</v>
      </c>
      <c r="D4426" s="2" t="s">
        <v>803</v>
      </c>
      <c r="E4426" s="2" t="s">
        <v>804</v>
      </c>
      <c r="F4426" s="2" t="s">
        <v>5642</v>
      </c>
      <c r="G4426" s="2" t="s">
        <v>5643</v>
      </c>
      <c r="H4426" s="2" t="s">
        <v>5644</v>
      </c>
      <c r="I4426" s="2" t="s">
        <v>13284</v>
      </c>
      <c r="J4426" s="2" t="s">
        <v>270</v>
      </c>
      <c r="K4426" s="2" t="s">
        <v>677</v>
      </c>
      <c r="L4426" s="3">
        <v>75.6</v>
      </c>
      <c r="M4426" s="3">
        <v>79.38</v>
      </c>
      <c r="N4426" s="3">
        <v>159.99</v>
      </c>
      <c r="O4426" s="2" t="s">
        <v>97</v>
      </c>
      <c r="P4426" s="2" t="s">
        <v>119</v>
      </c>
      <c r="Q4426" s="2" t="s">
        <v>99</v>
      </c>
      <c r="R4426" s="2" t="s">
        <v>100</v>
      </c>
      <c r="S4426" s="2" t="s">
        <v>13285</v>
      </c>
      <c r="T4426" s="2" t="s">
        <v>280</v>
      </c>
      <c r="U4426" s="2" t="s">
        <v>337</v>
      </c>
      <c r="V4426" s="2" t="s">
        <v>146</v>
      </c>
      <c r="W4426" s="2" t="s">
        <v>158</v>
      </c>
      <c r="X4426" s="2" t="s">
        <v>219</v>
      </c>
      <c r="Y4426" s="2" t="s">
        <v>1581</v>
      </c>
      <c r="Z4426" s="4">
        <v>143</v>
      </c>
      <c r="AA4426" s="4">
        <f>=ROUNDDOWN(47.6666666666667,0)</f>
      </c>
      <c r="AB4426" s="5">
        <v>3</v>
      </c>
      <c r="AC4426" s="2" t="s">
        <v>241</v>
      </c>
      <c r="AD4426" s="4">
        <v>40</v>
      </c>
      <c r="AE4426" s="4">
        <v>40</v>
      </c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38</v>
      </c>
      <c r="BK4426" s="8">
        <v>3246.81</v>
      </c>
      <c r="BL4426" s="2" t="s">
        <v>2260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207</v>
      </c>
      <c r="BV4426" s="2" t="s">
        <v>97</v>
      </c>
      <c r="BW4426" s="2" t="s">
        <v>100</v>
      </c>
      <c r="BX4426" s="2" t="s">
        <v>100</v>
      </c>
      <c r="BY4426" s="2" t="s">
        <v>113</v>
      </c>
      <c r="BZ4426" s="2" t="s">
        <v>100</v>
      </c>
    </row>
    <row r="4427">
      <c r="A4427" s="2" t="s">
        <v>13289</v>
      </c>
      <c r="B4427" s="2" t="s">
        <v>12738</v>
      </c>
      <c r="C4427" s="2" t="s">
        <v>5036</v>
      </c>
      <c r="D4427" s="2" t="s">
        <v>803</v>
      </c>
      <c r="E4427" s="2" t="s">
        <v>1532</v>
      </c>
      <c r="F4427" s="2" t="s">
        <v>13290</v>
      </c>
      <c r="G4427" s="2" t="s">
        <v>1074</v>
      </c>
      <c r="H4427" s="2" t="s">
        <v>13291</v>
      </c>
      <c r="I4427" s="2" t="s">
        <v>13292</v>
      </c>
      <c r="J4427" s="2" t="s">
        <v>247</v>
      </c>
      <c r="K4427" s="2" t="s">
        <v>1148</v>
      </c>
      <c r="L4427" s="3">
        <v>40.47</v>
      </c>
      <c r="M4427" s="3">
        <v>42.49</v>
      </c>
      <c r="N4427" s="3">
        <v>84.99</v>
      </c>
      <c r="O4427" s="2" t="s">
        <v>97</v>
      </c>
      <c r="P4427" s="2" t="s">
        <v>225</v>
      </c>
      <c r="Q4427" s="2" t="s">
        <v>99</v>
      </c>
      <c r="R4427" s="2" t="s">
        <v>100</v>
      </c>
      <c r="S4427" s="2" t="s">
        <v>13293</v>
      </c>
      <c r="T4427" s="2" t="s">
        <v>280</v>
      </c>
      <c r="U4427" s="2" t="s">
        <v>480</v>
      </c>
      <c r="V4427" s="2" t="s">
        <v>292</v>
      </c>
      <c r="W4427" s="2" t="s">
        <v>561</v>
      </c>
      <c r="X4427" s="2" t="s">
        <v>100</v>
      </c>
      <c r="Y4427" s="2" t="s">
        <v>204</v>
      </c>
      <c r="Z4427" s="4">
        <v>233</v>
      </c>
      <c r="AA4427" s="4">
        <f>=ROUNDDOWN(58.25,0)</f>
      </c>
      <c r="AB4427" s="5">
        <v>4</v>
      </c>
      <c r="AC4427" s="2" t="s">
        <v>100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56</v>
      </c>
      <c r="BK4427" s="8">
        <v>2558.96</v>
      </c>
      <c r="BL4427" s="2" t="s">
        <v>494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207</v>
      </c>
      <c r="BV4427" s="2" t="s">
        <v>97</v>
      </c>
      <c r="BW4427" s="2" t="s">
        <v>100</v>
      </c>
      <c r="BX4427" s="2" t="s">
        <v>100</v>
      </c>
      <c r="BY4427" s="2" t="s">
        <v>113</v>
      </c>
      <c r="BZ4427" s="2" t="s">
        <v>100</v>
      </c>
    </row>
    <row r="4428">
      <c r="A4428" s="2" t="s">
        <v>13294</v>
      </c>
      <c r="B4428" s="2" t="s">
        <v>12738</v>
      </c>
      <c r="C4428" s="2" t="s">
        <v>5036</v>
      </c>
      <c r="D4428" s="2" t="s">
        <v>803</v>
      </c>
      <c r="E4428" s="2" t="s">
        <v>1532</v>
      </c>
      <c r="F4428" s="2" t="s">
        <v>13290</v>
      </c>
      <c r="G4428" s="2" t="s">
        <v>1074</v>
      </c>
      <c r="H4428" s="2" t="s">
        <v>13291</v>
      </c>
      <c r="I4428" s="2" t="s">
        <v>13292</v>
      </c>
      <c r="J4428" s="2" t="s">
        <v>270</v>
      </c>
      <c r="K4428" s="2" t="s">
        <v>1148</v>
      </c>
      <c r="L4428" s="3">
        <v>45.23</v>
      </c>
      <c r="M4428" s="3">
        <v>47.49</v>
      </c>
      <c r="N4428" s="3">
        <v>94.99</v>
      </c>
      <c r="O4428" s="2" t="s">
        <v>97</v>
      </c>
      <c r="P4428" s="2" t="s">
        <v>225</v>
      </c>
      <c r="Q4428" s="2" t="s">
        <v>99</v>
      </c>
      <c r="R4428" s="2" t="s">
        <v>100</v>
      </c>
      <c r="S4428" s="2" t="s">
        <v>13293</v>
      </c>
      <c r="T4428" s="2" t="s">
        <v>280</v>
      </c>
      <c r="U4428" s="2" t="s">
        <v>480</v>
      </c>
      <c r="V4428" s="2" t="s">
        <v>292</v>
      </c>
      <c r="W4428" s="2" t="s">
        <v>561</v>
      </c>
      <c r="X4428" s="2" t="s">
        <v>100</v>
      </c>
      <c r="Y4428" s="2" t="s">
        <v>204</v>
      </c>
      <c r="Z4428" s="4">
        <v>150</v>
      </c>
      <c r="AA4428" s="4">
        <f>=ROUNDDOWN(25,0)</f>
      </c>
      <c r="AB4428" s="5">
        <v>6</v>
      </c>
      <c r="AC4428" s="2" t="s">
        <v>100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84</v>
      </c>
      <c r="BK4428" s="8">
        <v>4284.22</v>
      </c>
      <c r="BL4428" s="2" t="s">
        <v>7709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207</v>
      </c>
      <c r="BV4428" s="2" t="s">
        <v>97</v>
      </c>
      <c r="BW4428" s="2" t="s">
        <v>100</v>
      </c>
      <c r="BX4428" s="2" t="s">
        <v>100</v>
      </c>
      <c r="BY4428" s="2" t="s">
        <v>113</v>
      </c>
      <c r="BZ4428" s="2" t="s">
        <v>100</v>
      </c>
    </row>
    <row r="4429">
      <c r="A4429" s="2" t="s">
        <v>13295</v>
      </c>
      <c r="B4429" s="2" t="s">
        <v>12738</v>
      </c>
      <c r="C4429" s="2" t="s">
        <v>5036</v>
      </c>
      <c r="D4429" s="2" t="s">
        <v>803</v>
      </c>
      <c r="E4429" s="2" t="s">
        <v>1532</v>
      </c>
      <c r="F4429" s="2" t="s">
        <v>13296</v>
      </c>
      <c r="G4429" s="2" t="s">
        <v>13296</v>
      </c>
      <c r="H4429" s="2" t="s">
        <v>1791</v>
      </c>
      <c r="I4429" s="2" t="s">
        <v>13297</v>
      </c>
      <c r="J4429" s="2" t="s">
        <v>237</v>
      </c>
      <c r="K4429" s="2" t="s">
        <v>1148</v>
      </c>
      <c r="L4429" s="3">
        <v>33.33</v>
      </c>
      <c r="M4429" s="3">
        <v>35</v>
      </c>
      <c r="N4429" s="3">
        <v>69.99</v>
      </c>
      <c r="O4429" s="2" t="s">
        <v>97</v>
      </c>
      <c r="P4429" s="2" t="s">
        <v>225</v>
      </c>
      <c r="Q4429" s="2" t="s">
        <v>99</v>
      </c>
      <c r="R4429" s="2" t="s">
        <v>100</v>
      </c>
      <c r="S4429" s="2" t="s">
        <v>13298</v>
      </c>
      <c r="T4429" s="2" t="s">
        <v>5039</v>
      </c>
      <c r="U4429" s="2" t="s">
        <v>514</v>
      </c>
      <c r="V4429" s="2" t="s">
        <v>146</v>
      </c>
      <c r="W4429" s="2" t="s">
        <v>561</v>
      </c>
      <c r="X4429" s="2" t="s">
        <v>183</v>
      </c>
      <c r="Y4429" s="2" t="s">
        <v>1589</v>
      </c>
      <c r="Z4429" s="4">
        <v>65</v>
      </c>
      <c r="AA4429" s="4">
        <f>=ROUNDDOWN(32.5,0)</f>
      </c>
      <c r="AB4429" s="5">
        <v>2</v>
      </c>
      <c r="AC4429" s="2" t="s">
        <v>100</v>
      </c>
      <c r="AD4429" s="4"/>
      <c r="AE4429" s="4"/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40</v>
      </c>
      <c r="BK4429" s="8">
        <v>1512.91</v>
      </c>
      <c r="BL4429" s="2" t="s">
        <v>2073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207</v>
      </c>
      <c r="BV4429" s="2" t="s">
        <v>97</v>
      </c>
      <c r="BW4429" s="2" t="s">
        <v>100</v>
      </c>
      <c r="BX4429" s="2" t="s">
        <v>100</v>
      </c>
      <c r="BY4429" s="2" t="s">
        <v>113</v>
      </c>
      <c r="BZ4429" s="2" t="s">
        <v>100</v>
      </c>
    </row>
    <row r="4430">
      <c r="A4430" s="2" t="s">
        <v>13299</v>
      </c>
      <c r="B4430" s="2" t="s">
        <v>12738</v>
      </c>
      <c r="C4430" s="2" t="s">
        <v>5036</v>
      </c>
      <c r="D4430" s="2" t="s">
        <v>803</v>
      </c>
      <c r="E4430" s="2" t="s">
        <v>1532</v>
      </c>
      <c r="F4430" s="2" t="s">
        <v>13296</v>
      </c>
      <c r="G4430" s="2" t="s">
        <v>13296</v>
      </c>
      <c r="H4430" s="2" t="s">
        <v>1791</v>
      </c>
      <c r="I4430" s="2" t="s">
        <v>13297</v>
      </c>
      <c r="J4430" s="2" t="s">
        <v>247</v>
      </c>
      <c r="K4430" s="2" t="s">
        <v>1148</v>
      </c>
      <c r="L4430" s="3">
        <v>38.09</v>
      </c>
      <c r="M4430" s="3">
        <v>39.99</v>
      </c>
      <c r="N4430" s="3">
        <v>79.99</v>
      </c>
      <c r="O4430" s="2" t="s">
        <v>97</v>
      </c>
      <c r="P4430" s="2" t="s">
        <v>225</v>
      </c>
      <c r="Q4430" s="2" t="s">
        <v>99</v>
      </c>
      <c r="R4430" s="2" t="s">
        <v>100</v>
      </c>
      <c r="S4430" s="2" t="s">
        <v>13298</v>
      </c>
      <c r="T4430" s="2" t="s">
        <v>5039</v>
      </c>
      <c r="U4430" s="2" t="s">
        <v>480</v>
      </c>
      <c r="V4430" s="2" t="s">
        <v>146</v>
      </c>
      <c r="W4430" s="2" t="s">
        <v>561</v>
      </c>
      <c r="X4430" s="2" t="s">
        <v>183</v>
      </c>
      <c r="Y4430" s="2" t="s">
        <v>1589</v>
      </c>
      <c r="Z4430" s="4">
        <v>281</v>
      </c>
      <c r="AA4430" s="4">
        <f>=ROUNDDOWN(56.2,0)</f>
      </c>
      <c r="AB4430" s="5">
        <v>5</v>
      </c>
      <c r="AC4430" s="2" t="s">
        <v>100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53</v>
      </c>
      <c r="BK4430" s="8">
        <v>2278.16</v>
      </c>
      <c r="BL4430" s="2" t="s">
        <v>1738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207</v>
      </c>
      <c r="BV4430" s="2" t="s">
        <v>97</v>
      </c>
      <c r="BW4430" s="2" t="s">
        <v>100</v>
      </c>
      <c r="BX4430" s="2" t="s">
        <v>100</v>
      </c>
      <c r="BY4430" s="2" t="s">
        <v>113</v>
      </c>
      <c r="BZ4430" s="2" t="s">
        <v>100</v>
      </c>
    </row>
    <row r="4431">
      <c r="A4431" s="2" t="s">
        <v>13300</v>
      </c>
      <c r="B4431" s="2" t="s">
        <v>12738</v>
      </c>
      <c r="C4431" s="2" t="s">
        <v>5036</v>
      </c>
      <c r="D4431" s="2" t="s">
        <v>803</v>
      </c>
      <c r="E4431" s="2" t="s">
        <v>1532</v>
      </c>
      <c r="F4431" s="2" t="s">
        <v>13296</v>
      </c>
      <c r="G4431" s="2" t="s">
        <v>13296</v>
      </c>
      <c r="H4431" s="2" t="s">
        <v>1791</v>
      </c>
      <c r="I4431" s="2" t="s">
        <v>13297</v>
      </c>
      <c r="J4431" s="2" t="s">
        <v>270</v>
      </c>
      <c r="K4431" s="2" t="s">
        <v>1148</v>
      </c>
      <c r="L4431" s="3">
        <v>42.85</v>
      </c>
      <c r="M4431" s="3">
        <v>44.99</v>
      </c>
      <c r="N4431" s="3">
        <v>89.99</v>
      </c>
      <c r="O4431" s="2" t="s">
        <v>97</v>
      </c>
      <c r="P4431" s="2" t="s">
        <v>225</v>
      </c>
      <c r="Q4431" s="2" t="s">
        <v>99</v>
      </c>
      <c r="R4431" s="2" t="s">
        <v>100</v>
      </c>
      <c r="S4431" s="2" t="s">
        <v>13298</v>
      </c>
      <c r="T4431" s="2" t="s">
        <v>5039</v>
      </c>
      <c r="U4431" s="2" t="s">
        <v>480</v>
      </c>
      <c r="V4431" s="2" t="s">
        <v>146</v>
      </c>
      <c r="W4431" s="2" t="s">
        <v>561</v>
      </c>
      <c r="X4431" s="2" t="s">
        <v>183</v>
      </c>
      <c r="Y4431" s="2" t="s">
        <v>1589</v>
      </c>
      <c r="Z4431" s="4">
        <v>254</v>
      </c>
      <c r="AA4431" s="4">
        <f>=ROUNDDOWN(84.6666666666667,0)</f>
      </c>
      <c r="AB4431" s="5">
        <v>3</v>
      </c>
      <c r="AC4431" s="2" t="s">
        <v>100</v>
      </c>
      <c r="AD4431" s="4"/>
      <c r="AE4431" s="4"/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61</v>
      </c>
      <c r="BK4431" s="8">
        <v>2946.98</v>
      </c>
      <c r="BL4431" s="2" t="s">
        <v>553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207</v>
      </c>
      <c r="BV4431" s="2" t="s">
        <v>97</v>
      </c>
      <c r="BW4431" s="2" t="s">
        <v>100</v>
      </c>
      <c r="BX4431" s="2" t="s">
        <v>100</v>
      </c>
      <c r="BY4431" s="2" t="s">
        <v>113</v>
      </c>
      <c r="BZ4431" s="2" t="s">
        <v>100</v>
      </c>
    </row>
    <row r="4432">
      <c r="A4432" s="2" t="s">
        <v>13301</v>
      </c>
      <c r="B4432" s="2" t="s">
        <v>12738</v>
      </c>
      <c r="C4432" s="2" t="s">
        <v>5036</v>
      </c>
      <c r="D4432" s="2" t="s">
        <v>803</v>
      </c>
      <c r="E4432" s="2" t="s">
        <v>1532</v>
      </c>
      <c r="F4432" s="2" t="s">
        <v>13296</v>
      </c>
      <c r="G4432" s="2" t="s">
        <v>13296</v>
      </c>
      <c r="H4432" s="2" t="s">
        <v>1791</v>
      </c>
      <c r="I4432" s="2" t="s">
        <v>13297</v>
      </c>
      <c r="J4432" s="2" t="s">
        <v>237</v>
      </c>
      <c r="K4432" s="2" t="s">
        <v>189</v>
      </c>
      <c r="L4432" s="3">
        <v>33.33</v>
      </c>
      <c r="M4432" s="3">
        <v>35</v>
      </c>
      <c r="N4432" s="3">
        <v>69.99</v>
      </c>
      <c r="O4432" s="2" t="s">
        <v>97</v>
      </c>
      <c r="P4432" s="2" t="s">
        <v>225</v>
      </c>
      <c r="Q4432" s="2" t="s">
        <v>99</v>
      </c>
      <c r="R4432" s="2" t="s">
        <v>100</v>
      </c>
      <c r="S4432" s="2" t="s">
        <v>13302</v>
      </c>
      <c r="T4432" s="2" t="s">
        <v>5039</v>
      </c>
      <c r="U4432" s="2" t="s">
        <v>514</v>
      </c>
      <c r="V4432" s="2" t="s">
        <v>146</v>
      </c>
      <c r="W4432" s="2" t="s">
        <v>561</v>
      </c>
      <c r="X4432" s="2" t="s">
        <v>183</v>
      </c>
      <c r="Y4432" s="2" t="s">
        <v>1589</v>
      </c>
      <c r="Z4432" s="4">
        <v>88</v>
      </c>
      <c r="AA4432" s="4">
        <f>=ROUNDDOWN(110,0)</f>
      </c>
      <c r="AB4432" s="5">
        <v>0.8</v>
      </c>
      <c r="AC4432" s="2" t="s">
        <v>100</v>
      </c>
      <c r="AD4432" s="4"/>
      <c r="AE4432" s="4"/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30</v>
      </c>
      <c r="BK4432" s="8">
        <v>1146.72</v>
      </c>
      <c r="BL4432" s="2" t="s">
        <v>13303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207</v>
      </c>
      <c r="BV4432" s="2" t="s">
        <v>97</v>
      </c>
      <c r="BW4432" s="2" t="s">
        <v>100</v>
      </c>
      <c r="BX4432" s="2" t="s">
        <v>100</v>
      </c>
      <c r="BY4432" s="2" t="s">
        <v>113</v>
      </c>
      <c r="BZ4432" s="2" t="s">
        <v>100</v>
      </c>
    </row>
    <row r="4433">
      <c r="A4433" s="2" t="s">
        <v>13304</v>
      </c>
      <c r="B4433" s="2" t="s">
        <v>12738</v>
      </c>
      <c r="C4433" s="2" t="s">
        <v>5036</v>
      </c>
      <c r="D4433" s="2" t="s">
        <v>803</v>
      </c>
      <c r="E4433" s="2" t="s">
        <v>1532</v>
      </c>
      <c r="F4433" s="2" t="s">
        <v>13296</v>
      </c>
      <c r="G4433" s="2" t="s">
        <v>13296</v>
      </c>
      <c r="H4433" s="2" t="s">
        <v>1791</v>
      </c>
      <c r="I4433" s="2" t="s">
        <v>13297</v>
      </c>
      <c r="J4433" s="2" t="s">
        <v>247</v>
      </c>
      <c r="K4433" s="2" t="s">
        <v>189</v>
      </c>
      <c r="L4433" s="3">
        <v>38.09</v>
      </c>
      <c r="M4433" s="3">
        <v>39.99</v>
      </c>
      <c r="N4433" s="3">
        <v>79.99</v>
      </c>
      <c r="O4433" s="2" t="s">
        <v>97</v>
      </c>
      <c r="P4433" s="2" t="s">
        <v>225</v>
      </c>
      <c r="Q4433" s="2" t="s">
        <v>99</v>
      </c>
      <c r="R4433" s="2" t="s">
        <v>100</v>
      </c>
      <c r="S4433" s="2" t="s">
        <v>13302</v>
      </c>
      <c r="T4433" s="2" t="s">
        <v>5039</v>
      </c>
      <c r="U4433" s="2" t="s">
        <v>480</v>
      </c>
      <c r="V4433" s="2" t="s">
        <v>146</v>
      </c>
      <c r="W4433" s="2" t="s">
        <v>561</v>
      </c>
      <c r="X4433" s="2" t="s">
        <v>183</v>
      </c>
      <c r="Y4433" s="2" t="s">
        <v>1589</v>
      </c>
      <c r="Z4433" s="4">
        <v>295</v>
      </c>
      <c r="AA4433" s="4">
        <f>=ROUNDDOWN(147.5,0)</f>
      </c>
      <c r="AB4433" s="5">
        <v>2</v>
      </c>
      <c r="AC4433" s="2" t="s">
        <v>100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57</v>
      </c>
      <c r="BK4433" s="8">
        <v>2501.54</v>
      </c>
      <c r="BL4433" s="2" t="s">
        <v>13028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207</v>
      </c>
      <c r="BV4433" s="2" t="s">
        <v>97</v>
      </c>
      <c r="BW4433" s="2" t="s">
        <v>100</v>
      </c>
      <c r="BX4433" s="2" t="s">
        <v>100</v>
      </c>
      <c r="BY4433" s="2" t="s">
        <v>113</v>
      </c>
      <c r="BZ4433" s="2" t="s">
        <v>100</v>
      </c>
    </row>
    <row r="4434">
      <c r="A4434" s="2" t="s">
        <v>13305</v>
      </c>
      <c r="B4434" s="2" t="s">
        <v>12738</v>
      </c>
      <c r="C4434" s="2" t="s">
        <v>5036</v>
      </c>
      <c r="D4434" s="2" t="s">
        <v>803</v>
      </c>
      <c r="E4434" s="2" t="s">
        <v>1532</v>
      </c>
      <c r="F4434" s="2" t="s">
        <v>13296</v>
      </c>
      <c r="G4434" s="2" t="s">
        <v>13296</v>
      </c>
      <c r="H4434" s="2" t="s">
        <v>1791</v>
      </c>
      <c r="I4434" s="2" t="s">
        <v>13297</v>
      </c>
      <c r="J4434" s="2" t="s">
        <v>270</v>
      </c>
      <c r="K4434" s="2" t="s">
        <v>189</v>
      </c>
      <c r="L4434" s="3">
        <v>42.85</v>
      </c>
      <c r="M4434" s="3">
        <v>44.99</v>
      </c>
      <c r="N4434" s="3">
        <v>89.99</v>
      </c>
      <c r="O4434" s="2" t="s">
        <v>97</v>
      </c>
      <c r="P4434" s="2" t="s">
        <v>225</v>
      </c>
      <c r="Q4434" s="2" t="s">
        <v>99</v>
      </c>
      <c r="R4434" s="2" t="s">
        <v>100</v>
      </c>
      <c r="S4434" s="2" t="s">
        <v>13302</v>
      </c>
      <c r="T4434" s="2" t="s">
        <v>5039</v>
      </c>
      <c r="U4434" s="2" t="s">
        <v>480</v>
      </c>
      <c r="V4434" s="2" t="s">
        <v>146</v>
      </c>
      <c r="W4434" s="2" t="s">
        <v>561</v>
      </c>
      <c r="X4434" s="2" t="s">
        <v>183</v>
      </c>
      <c r="Y4434" s="2" t="s">
        <v>1589</v>
      </c>
      <c r="Z4434" s="4">
        <v>260</v>
      </c>
      <c r="AA4434" s="4">
        <f>=ROUNDDOWN(173.333333333333,0)</f>
      </c>
      <c r="AB4434" s="5">
        <v>1.5</v>
      </c>
      <c r="AC4434" s="2" t="s">
        <v>100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>
        <v>56</v>
      </c>
      <c r="BK4434" s="8">
        <v>2719.34</v>
      </c>
      <c r="BL4434" s="2" t="s">
        <v>13306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207</v>
      </c>
      <c r="BV4434" s="2" t="s">
        <v>97</v>
      </c>
      <c r="BW4434" s="2" t="s">
        <v>100</v>
      </c>
      <c r="BX4434" s="2" t="s">
        <v>100</v>
      </c>
      <c r="BY4434" s="2" t="s">
        <v>113</v>
      </c>
      <c r="BZ4434" s="2" t="s">
        <v>100</v>
      </c>
    </row>
    <row r="4435">
      <c r="A4435" s="2" t="s">
        <v>13307</v>
      </c>
      <c r="B4435" s="2" t="s">
        <v>12738</v>
      </c>
      <c r="C4435" s="2" t="s">
        <v>5036</v>
      </c>
      <c r="D4435" s="2" t="s">
        <v>1638</v>
      </c>
      <c r="E4435" s="2" t="s">
        <v>1639</v>
      </c>
      <c r="F4435" s="2" t="s">
        <v>13290</v>
      </c>
      <c r="G4435" s="2" t="s">
        <v>1074</v>
      </c>
      <c r="H4435" s="2" t="s">
        <v>13291</v>
      </c>
      <c r="I4435" s="2" t="s">
        <v>13308</v>
      </c>
      <c r="J4435" s="2" t="s">
        <v>247</v>
      </c>
      <c r="K4435" s="2" t="s">
        <v>1148</v>
      </c>
      <c r="L4435" s="3">
        <v>30.95</v>
      </c>
      <c r="M4435" s="3">
        <v>32.5</v>
      </c>
      <c r="N4435" s="3">
        <v>64.99</v>
      </c>
      <c r="O4435" s="2" t="s">
        <v>97</v>
      </c>
      <c r="P4435" s="2" t="s">
        <v>225</v>
      </c>
      <c r="Q4435" s="2" t="s">
        <v>99</v>
      </c>
      <c r="R4435" s="2" t="s">
        <v>100</v>
      </c>
      <c r="S4435" s="2" t="s">
        <v>13293</v>
      </c>
      <c r="T4435" s="2" t="s">
        <v>280</v>
      </c>
      <c r="U4435" s="2" t="s">
        <v>480</v>
      </c>
      <c r="V4435" s="2" t="s">
        <v>292</v>
      </c>
      <c r="W4435" s="2" t="s">
        <v>561</v>
      </c>
      <c r="X4435" s="2" t="s">
        <v>100</v>
      </c>
      <c r="Y4435" s="2" t="s">
        <v>11406</v>
      </c>
      <c r="Z4435" s="4">
        <v>118</v>
      </c>
      <c r="AA4435" s="4">
        <f>=ROUNDDOWN(69.4117647058823,0)</f>
      </c>
      <c r="AB4435" s="5">
        <v>1.7</v>
      </c>
      <c r="AC4435" s="2" t="s">
        <v>100</v>
      </c>
      <c r="AD4435" s="4"/>
      <c r="AE4435" s="4"/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30</v>
      </c>
      <c r="BK4435" s="8">
        <v>1030.22</v>
      </c>
      <c r="BL4435" s="2" t="s">
        <v>1379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207</v>
      </c>
      <c r="BV4435" s="2" t="s">
        <v>97</v>
      </c>
      <c r="BW4435" s="2" t="s">
        <v>100</v>
      </c>
      <c r="BX4435" s="2" t="s">
        <v>100</v>
      </c>
      <c r="BY4435" s="2" t="s">
        <v>113</v>
      </c>
      <c r="BZ4435" s="2" t="s">
        <v>100</v>
      </c>
    </row>
    <row r="4436">
      <c r="A4436" s="2" t="s">
        <v>13309</v>
      </c>
      <c r="B4436" s="2" t="s">
        <v>12738</v>
      </c>
      <c r="C4436" s="2" t="s">
        <v>5036</v>
      </c>
      <c r="D4436" s="2" t="s">
        <v>1638</v>
      </c>
      <c r="E4436" s="2" t="s">
        <v>1639</v>
      </c>
      <c r="F4436" s="2" t="s">
        <v>13290</v>
      </c>
      <c r="G4436" s="2" t="s">
        <v>1074</v>
      </c>
      <c r="H4436" s="2" t="s">
        <v>13291</v>
      </c>
      <c r="I4436" s="2" t="s">
        <v>13308</v>
      </c>
      <c r="J4436" s="2" t="s">
        <v>270</v>
      </c>
      <c r="K4436" s="2" t="s">
        <v>1148</v>
      </c>
      <c r="L4436" s="3">
        <v>35.71</v>
      </c>
      <c r="M4436" s="3">
        <v>37.5</v>
      </c>
      <c r="N4436" s="3">
        <v>74.99</v>
      </c>
      <c r="O4436" s="2" t="s">
        <v>97</v>
      </c>
      <c r="P4436" s="2" t="s">
        <v>225</v>
      </c>
      <c r="Q4436" s="2" t="s">
        <v>99</v>
      </c>
      <c r="R4436" s="2" t="s">
        <v>100</v>
      </c>
      <c r="S4436" s="2" t="s">
        <v>13293</v>
      </c>
      <c r="T4436" s="2" t="s">
        <v>280</v>
      </c>
      <c r="U4436" s="2" t="s">
        <v>480</v>
      </c>
      <c r="V4436" s="2" t="s">
        <v>292</v>
      </c>
      <c r="W4436" s="2" t="s">
        <v>561</v>
      </c>
      <c r="X4436" s="2" t="s">
        <v>100</v>
      </c>
      <c r="Y4436" s="2" t="s">
        <v>11406</v>
      </c>
      <c r="Z4436" s="4">
        <v>80</v>
      </c>
      <c r="AA4436" s="4">
        <f>=ROUNDDOWN(42.1052631578947,0)</f>
      </c>
      <c r="AB4436" s="5">
        <v>1.9</v>
      </c>
      <c r="AC4436" s="2" t="s">
        <v>100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>
        <v>37</v>
      </c>
      <c r="BK4436" s="8">
        <v>1471.08</v>
      </c>
      <c r="BL4436" s="2" t="s">
        <v>1379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207</v>
      </c>
      <c r="BV4436" s="2" t="s">
        <v>97</v>
      </c>
      <c r="BW4436" s="2" t="s">
        <v>100</v>
      </c>
      <c r="BX4436" s="2" t="s">
        <v>100</v>
      </c>
      <c r="BY4436" s="2" t="s">
        <v>113</v>
      </c>
      <c r="BZ4436" s="2" t="s">
        <v>100</v>
      </c>
    </row>
    <row r="4437">
      <c r="A4437" s="2" t="s">
        <v>13310</v>
      </c>
      <c r="B4437" s="2" t="s">
        <v>12738</v>
      </c>
      <c r="C4437" s="2" t="s">
        <v>5036</v>
      </c>
      <c r="D4437" s="2" t="s">
        <v>1638</v>
      </c>
      <c r="E4437" s="2" t="s">
        <v>1639</v>
      </c>
      <c r="F4437" s="2" t="s">
        <v>669</v>
      </c>
      <c r="G4437" s="2" t="s">
        <v>3473</v>
      </c>
      <c r="H4437" s="2" t="s">
        <v>2513</v>
      </c>
      <c r="I4437" s="2" t="s">
        <v>13311</v>
      </c>
      <c r="J4437" s="2" t="s">
        <v>247</v>
      </c>
      <c r="K4437" s="2" t="s">
        <v>1614</v>
      </c>
      <c r="L4437" s="3">
        <v>54.99</v>
      </c>
      <c r="M4437" s="3">
        <v>57.74</v>
      </c>
      <c r="N4437" s="3">
        <v>109.99</v>
      </c>
      <c r="O4437" s="2" t="s">
        <v>97</v>
      </c>
      <c r="P4437" s="2" t="s">
        <v>119</v>
      </c>
      <c r="Q4437" s="2" t="s">
        <v>99</v>
      </c>
      <c r="R4437" s="2" t="s">
        <v>100</v>
      </c>
      <c r="S4437" s="2" t="s">
        <v>13277</v>
      </c>
      <c r="T4437" s="2" t="s">
        <v>280</v>
      </c>
      <c r="U4437" s="2" t="s">
        <v>480</v>
      </c>
      <c r="V4437" s="2" t="s">
        <v>146</v>
      </c>
      <c r="W4437" s="2" t="s">
        <v>561</v>
      </c>
      <c r="X4437" s="2" t="s">
        <v>203</v>
      </c>
      <c r="Y4437" s="2" t="s">
        <v>2938</v>
      </c>
      <c r="Z4437" s="4">
        <v>201</v>
      </c>
      <c r="AA4437" s="4">
        <f>=ROUNDDOWN(50.25,0)</f>
      </c>
      <c r="AB4437" s="5">
        <v>4</v>
      </c>
      <c r="AC4437" s="2" t="s">
        <v>13281</v>
      </c>
      <c r="AD4437" s="4">
        <v>60</v>
      </c>
      <c r="AE4437" s="4">
        <v>60</v>
      </c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124</v>
      </c>
      <c r="BK4437" s="8">
        <v>7377.51</v>
      </c>
      <c r="BL4437" s="2" t="s">
        <v>13312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643</v>
      </c>
      <c r="BX4437" s="2" t="s">
        <v>13313</v>
      </c>
      <c r="BY4437" s="2" t="s">
        <v>113</v>
      </c>
      <c r="BZ4437" s="2" t="s">
        <v>100</v>
      </c>
    </row>
    <row r="4438">
      <c r="A4438" s="2" t="s">
        <v>13314</v>
      </c>
      <c r="B4438" s="2" t="s">
        <v>12738</v>
      </c>
      <c r="C4438" s="2" t="s">
        <v>5036</v>
      </c>
      <c r="D4438" s="2" t="s">
        <v>1638</v>
      </c>
      <c r="E4438" s="2" t="s">
        <v>1639</v>
      </c>
      <c r="F4438" s="2" t="s">
        <v>669</v>
      </c>
      <c r="G4438" s="2" t="s">
        <v>3473</v>
      </c>
      <c r="H4438" s="2" t="s">
        <v>2513</v>
      </c>
      <c r="I4438" s="2" t="s">
        <v>13311</v>
      </c>
      <c r="J4438" s="2" t="s">
        <v>270</v>
      </c>
      <c r="K4438" s="2" t="s">
        <v>1614</v>
      </c>
      <c r="L4438" s="3">
        <v>65</v>
      </c>
      <c r="M4438" s="3">
        <v>68.25</v>
      </c>
      <c r="N4438" s="3">
        <v>129.99</v>
      </c>
      <c r="O4438" s="2" t="s">
        <v>97</v>
      </c>
      <c r="P4438" s="2" t="s">
        <v>119</v>
      </c>
      <c r="Q4438" s="2" t="s">
        <v>99</v>
      </c>
      <c r="R4438" s="2" t="s">
        <v>100</v>
      </c>
      <c r="S4438" s="2" t="s">
        <v>13277</v>
      </c>
      <c r="T4438" s="2" t="s">
        <v>280</v>
      </c>
      <c r="U4438" s="2" t="s">
        <v>480</v>
      </c>
      <c r="V4438" s="2" t="s">
        <v>146</v>
      </c>
      <c r="W4438" s="2" t="s">
        <v>561</v>
      </c>
      <c r="X4438" s="2" t="s">
        <v>203</v>
      </c>
      <c r="Y4438" s="2" t="s">
        <v>2938</v>
      </c>
      <c r="Z4438" s="4">
        <v>246</v>
      </c>
      <c r="AA4438" s="4">
        <f>=ROUNDDOWN(82,0)</f>
      </c>
      <c r="AB4438" s="5">
        <v>3</v>
      </c>
      <c r="AC4438" s="2" t="s">
        <v>100</v>
      </c>
      <c r="AD4438" s="4"/>
      <c r="AE4438" s="4"/>
      <c r="AF4438" s="6">
        <v>69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68</v>
      </c>
      <c r="BK4438" s="8">
        <v>4729.57</v>
      </c>
      <c r="BL4438" s="2" t="s">
        <v>13315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643</v>
      </c>
      <c r="BX4438" s="2" t="s">
        <v>13316</v>
      </c>
      <c r="BY4438" s="2" t="s">
        <v>113</v>
      </c>
      <c r="BZ4438" s="2" t="s">
        <v>100</v>
      </c>
    </row>
    <row r="4439">
      <c r="A4439" s="2" t="s">
        <v>13317</v>
      </c>
      <c r="B4439" s="2" t="s">
        <v>12738</v>
      </c>
      <c r="C4439" s="2" t="s">
        <v>5036</v>
      </c>
      <c r="D4439" s="2" t="s">
        <v>1638</v>
      </c>
      <c r="E4439" s="2" t="s">
        <v>1759</v>
      </c>
      <c r="F4439" s="2" t="s">
        <v>5642</v>
      </c>
      <c r="G4439" s="2" t="s">
        <v>5643</v>
      </c>
      <c r="H4439" s="2" t="s">
        <v>5644</v>
      </c>
      <c r="I4439" s="2" t="s">
        <v>13318</v>
      </c>
      <c r="J4439" s="2" t="s">
        <v>237</v>
      </c>
      <c r="K4439" s="2" t="s">
        <v>677</v>
      </c>
      <c r="L4439" s="3">
        <v>46.53</v>
      </c>
      <c r="M4439" s="3">
        <v>48.86</v>
      </c>
      <c r="N4439" s="3">
        <v>89.99</v>
      </c>
      <c r="O4439" s="2" t="s">
        <v>97</v>
      </c>
      <c r="P4439" s="2" t="s">
        <v>119</v>
      </c>
      <c r="Q4439" s="2" t="s">
        <v>99</v>
      </c>
      <c r="R4439" s="2" t="s">
        <v>100</v>
      </c>
      <c r="S4439" s="2" t="s">
        <v>13285</v>
      </c>
      <c r="T4439" s="2" t="s">
        <v>280</v>
      </c>
      <c r="U4439" s="2" t="s">
        <v>171</v>
      </c>
      <c r="V4439" s="2" t="s">
        <v>146</v>
      </c>
      <c r="W4439" s="2" t="s">
        <v>158</v>
      </c>
      <c r="X4439" s="2" t="s">
        <v>219</v>
      </c>
      <c r="Y4439" s="2" t="s">
        <v>1581</v>
      </c>
      <c r="Z4439" s="4">
        <v>76</v>
      </c>
      <c r="AA4439" s="4">
        <f>=ROUNDDOWN(38,0)</f>
      </c>
      <c r="AB4439" s="5">
        <v>2</v>
      </c>
      <c r="AC4439" s="2" t="s">
        <v>241</v>
      </c>
      <c r="AD4439" s="4">
        <v>40</v>
      </c>
      <c r="AE4439" s="4">
        <v>40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14</v>
      </c>
      <c r="BK4439" s="8">
        <v>643.08</v>
      </c>
      <c r="BL4439" s="2" t="s">
        <v>13319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207</v>
      </c>
      <c r="BV4439" s="2" t="s">
        <v>97</v>
      </c>
      <c r="BW4439" s="2" t="s">
        <v>100</v>
      </c>
      <c r="BX4439" s="2" t="s">
        <v>100</v>
      </c>
      <c r="BY4439" s="2" t="s">
        <v>113</v>
      </c>
      <c r="BZ4439" s="2" t="s">
        <v>100</v>
      </c>
    </row>
    <row r="4440">
      <c r="A4440" s="2" t="s">
        <v>13320</v>
      </c>
      <c r="B4440" s="2" t="s">
        <v>12738</v>
      </c>
      <c r="C4440" s="2" t="s">
        <v>5036</v>
      </c>
      <c r="D4440" s="2" t="s">
        <v>1638</v>
      </c>
      <c r="E4440" s="2" t="s">
        <v>1759</v>
      </c>
      <c r="F4440" s="2" t="s">
        <v>5642</v>
      </c>
      <c r="G4440" s="2" t="s">
        <v>5643</v>
      </c>
      <c r="H4440" s="2" t="s">
        <v>5644</v>
      </c>
      <c r="I4440" s="2" t="s">
        <v>13318</v>
      </c>
      <c r="J4440" s="2" t="s">
        <v>247</v>
      </c>
      <c r="K4440" s="2" t="s">
        <v>677</v>
      </c>
      <c r="L4440" s="3">
        <v>63</v>
      </c>
      <c r="M4440" s="3">
        <v>66.15</v>
      </c>
      <c r="N4440" s="3">
        <v>119.99</v>
      </c>
      <c r="O4440" s="2" t="s">
        <v>97</v>
      </c>
      <c r="P4440" s="2" t="s">
        <v>119</v>
      </c>
      <c r="Q4440" s="2" t="s">
        <v>99</v>
      </c>
      <c r="R4440" s="2" t="s">
        <v>100</v>
      </c>
      <c r="S4440" s="2" t="s">
        <v>13285</v>
      </c>
      <c r="T4440" s="2" t="s">
        <v>280</v>
      </c>
      <c r="U4440" s="2" t="s">
        <v>337</v>
      </c>
      <c r="V4440" s="2" t="s">
        <v>146</v>
      </c>
      <c r="W4440" s="2" t="s">
        <v>158</v>
      </c>
      <c r="X4440" s="2" t="s">
        <v>219</v>
      </c>
      <c r="Y4440" s="2" t="s">
        <v>1581</v>
      </c>
      <c r="Z4440" s="4">
        <v>146</v>
      </c>
      <c r="AA4440" s="4">
        <f>=ROUNDDOWN(36.5,0)</f>
      </c>
      <c r="AB4440" s="5">
        <v>4</v>
      </c>
      <c r="AC4440" s="2" t="s">
        <v>241</v>
      </c>
      <c r="AD4440" s="4">
        <v>60</v>
      </c>
      <c r="AE4440" s="4">
        <v>60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26</v>
      </c>
      <c r="BK4440" s="8">
        <v>1688.63</v>
      </c>
      <c r="BL4440" s="2" t="s">
        <v>7497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207</v>
      </c>
      <c r="BV4440" s="2" t="s">
        <v>97</v>
      </c>
      <c r="BW4440" s="2" t="s">
        <v>100</v>
      </c>
      <c r="BX4440" s="2" t="s">
        <v>100</v>
      </c>
      <c r="BY4440" s="2" t="s">
        <v>113</v>
      </c>
      <c r="BZ4440" s="2" t="s">
        <v>100</v>
      </c>
    </row>
    <row r="4441">
      <c r="A4441" s="2" t="s">
        <v>13321</v>
      </c>
      <c r="B4441" s="2" t="s">
        <v>12738</v>
      </c>
      <c r="C4441" s="2" t="s">
        <v>5036</v>
      </c>
      <c r="D4441" s="2" t="s">
        <v>1638</v>
      </c>
      <c r="E4441" s="2" t="s">
        <v>1759</v>
      </c>
      <c r="F4441" s="2" t="s">
        <v>5642</v>
      </c>
      <c r="G4441" s="2" t="s">
        <v>5643</v>
      </c>
      <c r="H4441" s="2" t="s">
        <v>5644</v>
      </c>
      <c r="I4441" s="2" t="s">
        <v>13318</v>
      </c>
      <c r="J4441" s="2" t="s">
        <v>270</v>
      </c>
      <c r="K4441" s="2" t="s">
        <v>677</v>
      </c>
      <c r="L4441" s="3">
        <v>72</v>
      </c>
      <c r="M4441" s="3">
        <v>75.6</v>
      </c>
      <c r="N4441" s="3">
        <v>139.99</v>
      </c>
      <c r="O4441" s="2" t="s">
        <v>97</v>
      </c>
      <c r="P4441" s="2" t="s">
        <v>119</v>
      </c>
      <c r="Q4441" s="2" t="s">
        <v>99</v>
      </c>
      <c r="R4441" s="2" t="s">
        <v>100</v>
      </c>
      <c r="S4441" s="2" t="s">
        <v>13285</v>
      </c>
      <c r="T4441" s="2" t="s">
        <v>280</v>
      </c>
      <c r="U4441" s="2" t="s">
        <v>337</v>
      </c>
      <c r="V4441" s="2" t="s">
        <v>146</v>
      </c>
      <c r="W4441" s="2" t="s">
        <v>158</v>
      </c>
      <c r="X4441" s="2" t="s">
        <v>219</v>
      </c>
      <c r="Y4441" s="2" t="s">
        <v>1581</v>
      </c>
      <c r="Z4441" s="4">
        <v>51</v>
      </c>
      <c r="AA4441" s="4">
        <f>=ROUNDDOWN(31.875,0)</f>
      </c>
      <c r="AB4441" s="5">
        <v>1.6</v>
      </c>
      <c r="AC4441" s="2" t="s">
        <v>241</v>
      </c>
      <c r="AD4441" s="4">
        <v>20</v>
      </c>
      <c r="AE4441" s="4">
        <v>20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31</v>
      </c>
      <c r="BK4441" s="8">
        <v>2301.22</v>
      </c>
      <c r="BL4441" s="2" t="s">
        <v>736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207</v>
      </c>
      <c r="BV4441" s="2" t="s">
        <v>97</v>
      </c>
      <c r="BW4441" s="2" t="s">
        <v>100</v>
      </c>
      <c r="BX4441" s="2" t="s">
        <v>100</v>
      </c>
      <c r="BY4441" s="2" t="s">
        <v>113</v>
      </c>
      <c r="BZ4441" s="2" t="s">
        <v>100</v>
      </c>
    </row>
    <row r="4442">
      <c r="A4442" s="2" t="s">
        <v>13322</v>
      </c>
      <c r="B4442" s="2" t="s">
        <v>12738</v>
      </c>
      <c r="C4442" s="2" t="s">
        <v>12594</v>
      </c>
      <c r="D4442" s="2" t="s">
        <v>803</v>
      </c>
      <c r="E4442" s="2" t="s">
        <v>804</v>
      </c>
      <c r="F4442" s="2" t="s">
        <v>13323</v>
      </c>
      <c r="G4442" s="2" t="s">
        <v>12052</v>
      </c>
      <c r="H4442" s="2" t="s">
        <v>13198</v>
      </c>
      <c r="I4442" s="2" t="s">
        <v>13324</v>
      </c>
      <c r="J4442" s="2" t="s">
        <v>1936</v>
      </c>
      <c r="K4442" s="2" t="s">
        <v>96</v>
      </c>
      <c r="L4442" s="3">
        <v>30.95</v>
      </c>
      <c r="M4442" s="3">
        <v>32.5</v>
      </c>
      <c r="N4442" s="3">
        <v>64.99</v>
      </c>
      <c r="O4442" s="2" t="s">
        <v>97</v>
      </c>
      <c r="P4442" s="2" t="s">
        <v>119</v>
      </c>
      <c r="Q4442" s="2" t="s">
        <v>99</v>
      </c>
      <c r="R4442" s="2" t="s">
        <v>100</v>
      </c>
      <c r="S4442" s="2" t="s">
        <v>13325</v>
      </c>
      <c r="T4442" s="2" t="s">
        <v>4441</v>
      </c>
      <c r="U4442" s="2" t="s">
        <v>480</v>
      </c>
      <c r="V4442" s="2" t="s">
        <v>3937</v>
      </c>
      <c r="W4442" s="2" t="s">
        <v>183</v>
      </c>
      <c r="X4442" s="2" t="s">
        <v>561</v>
      </c>
      <c r="Y4442" s="2" t="s">
        <v>1928</v>
      </c>
      <c r="Z4442" s="4">
        <v>158</v>
      </c>
      <c r="AA4442" s="4">
        <f>=ROUNDDOWN(19.75,0)</f>
      </c>
      <c r="AB4442" s="5">
        <v>8</v>
      </c>
      <c r="AC4442" s="2" t="s">
        <v>1509</v>
      </c>
      <c r="AD4442" s="4">
        <v>280</v>
      </c>
      <c r="AE4442" s="4">
        <v>280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>
        <v>4</v>
      </c>
      <c r="AQ4442" s="8">
        <v>147</v>
      </c>
      <c r="AR4442" s="4"/>
      <c r="AS4442" s="8"/>
      <c r="AT4442" s="7"/>
      <c r="AU4442" s="7"/>
      <c r="AV4442" s="4">
        <v>4</v>
      </c>
      <c r="AW4442" s="8">
        <v>147</v>
      </c>
      <c r="AX4442" s="4"/>
      <c r="AY4442" s="8"/>
      <c r="AZ4442" s="7"/>
      <c r="BA4442" s="7"/>
      <c r="BB4442" s="7">
        <v>1</v>
      </c>
      <c r="BC4442" s="4">
        <v>4</v>
      </c>
      <c r="BD4442" s="8">
        <v>147</v>
      </c>
      <c r="BE4442" s="4"/>
      <c r="BF4442" s="8"/>
      <c r="BG4442" s="7"/>
      <c r="BH4442" s="7"/>
      <c r="BI4442" s="7">
        <v>1</v>
      </c>
      <c r="BJ4442" s="4">
        <v>159</v>
      </c>
      <c r="BK4442" s="8">
        <v>6236.87</v>
      </c>
      <c r="BL4442" s="2" t="s">
        <v>944</v>
      </c>
      <c r="BM4442" s="7">
        <v>0.0252</v>
      </c>
      <c r="BN4442" s="7">
        <v>0.0236</v>
      </c>
      <c r="BO4442" s="4">
        <v>4</v>
      </c>
      <c r="BP4442" s="8">
        <v>147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793</v>
      </c>
      <c r="BX4442" s="2" t="s">
        <v>13326</v>
      </c>
      <c r="BY4442" s="2" t="s">
        <v>113</v>
      </c>
      <c r="BZ4442" s="2" t="s">
        <v>100</v>
      </c>
    </row>
    <row r="4443">
      <c r="A4443" s="2" t="s">
        <v>13327</v>
      </c>
      <c r="B4443" s="2" t="s">
        <v>12738</v>
      </c>
      <c r="C4443" s="2" t="s">
        <v>12594</v>
      </c>
      <c r="D4443" s="2" t="s">
        <v>803</v>
      </c>
      <c r="E4443" s="2" t="s">
        <v>804</v>
      </c>
      <c r="F4443" s="2" t="s">
        <v>13328</v>
      </c>
      <c r="G4443" s="2" t="s">
        <v>13329</v>
      </c>
      <c r="H4443" s="2" t="s">
        <v>12773</v>
      </c>
      <c r="I4443" s="2" t="s">
        <v>13330</v>
      </c>
      <c r="J4443" s="2" t="s">
        <v>1936</v>
      </c>
      <c r="K4443" s="2" t="s">
        <v>11059</v>
      </c>
      <c r="L4443" s="3">
        <v>34.18</v>
      </c>
      <c r="M4443" s="3">
        <v>35.89</v>
      </c>
      <c r="N4443" s="3">
        <v>59.99</v>
      </c>
      <c r="O4443" s="2" t="s">
        <v>97</v>
      </c>
      <c r="P4443" s="2" t="s">
        <v>119</v>
      </c>
      <c r="Q4443" s="2" t="s">
        <v>99</v>
      </c>
      <c r="R4443" s="2" t="s">
        <v>100</v>
      </c>
      <c r="S4443" s="2" t="s">
        <v>13331</v>
      </c>
      <c r="T4443" s="2" t="s">
        <v>218</v>
      </c>
      <c r="U4443" s="2" t="s">
        <v>480</v>
      </c>
      <c r="V4443" s="2" t="s">
        <v>2661</v>
      </c>
      <c r="W4443" s="2" t="s">
        <v>561</v>
      </c>
      <c r="X4443" s="2" t="s">
        <v>183</v>
      </c>
      <c r="Y4443" s="2" t="s">
        <v>13332</v>
      </c>
      <c r="Z4443" s="4">
        <v>255</v>
      </c>
      <c r="AA4443" s="4">
        <f>=ROUNDDOWN(12.75,0)</f>
      </c>
      <c r="AB4443" s="5">
        <v>20</v>
      </c>
      <c r="AC4443" s="2" t="s">
        <v>205</v>
      </c>
      <c r="AD4443" s="4">
        <v>270</v>
      </c>
      <c r="AE4443" s="4">
        <v>470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507</v>
      </c>
      <c r="BK4443" s="8">
        <v>18999.25</v>
      </c>
      <c r="BL4443" s="2" t="s">
        <v>13333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207</v>
      </c>
      <c r="BV4443" s="2" t="s">
        <v>97</v>
      </c>
      <c r="BW4443" s="2" t="s">
        <v>100</v>
      </c>
      <c r="BX4443" s="2" t="s">
        <v>100</v>
      </c>
      <c r="BY4443" s="2" t="s">
        <v>113</v>
      </c>
      <c r="BZ4443" s="2" t="s">
        <v>245</v>
      </c>
    </row>
    <row r="4444">
      <c r="A4444" s="2" t="s">
        <v>13334</v>
      </c>
      <c r="B4444" s="2" t="s">
        <v>12738</v>
      </c>
      <c r="C4444" s="2" t="s">
        <v>12594</v>
      </c>
      <c r="D4444" s="2" t="s">
        <v>803</v>
      </c>
      <c r="E4444" s="2" t="s">
        <v>804</v>
      </c>
      <c r="F4444" s="2" t="s">
        <v>13328</v>
      </c>
      <c r="G4444" s="2" t="s">
        <v>13329</v>
      </c>
      <c r="H4444" s="2" t="s">
        <v>12773</v>
      </c>
      <c r="I4444" s="2" t="s">
        <v>13330</v>
      </c>
      <c r="J4444" s="2" t="s">
        <v>247</v>
      </c>
      <c r="K4444" s="2" t="s">
        <v>11059</v>
      </c>
      <c r="L4444" s="3">
        <v>39.06</v>
      </c>
      <c r="M4444" s="3">
        <v>41.01</v>
      </c>
      <c r="N4444" s="3">
        <v>69.99</v>
      </c>
      <c r="O4444" s="2" t="s">
        <v>97</v>
      </c>
      <c r="P4444" s="2" t="s">
        <v>119</v>
      </c>
      <c r="Q4444" s="2" t="s">
        <v>99</v>
      </c>
      <c r="R4444" s="2" t="s">
        <v>100</v>
      </c>
      <c r="S4444" s="2" t="s">
        <v>13331</v>
      </c>
      <c r="T4444" s="2" t="s">
        <v>218</v>
      </c>
      <c r="U4444" s="2" t="s">
        <v>402</v>
      </c>
      <c r="V4444" s="2" t="s">
        <v>2661</v>
      </c>
      <c r="W4444" s="2" t="s">
        <v>561</v>
      </c>
      <c r="X4444" s="2" t="s">
        <v>183</v>
      </c>
      <c r="Y4444" s="2" t="s">
        <v>13332</v>
      </c>
      <c r="Z4444" s="4">
        <v>265</v>
      </c>
      <c r="AA4444" s="4">
        <f>=ROUNDDOWN(20.3846153846154,0)</f>
      </c>
      <c r="AB4444" s="5">
        <v>13</v>
      </c>
      <c r="AC4444" s="2" t="s">
        <v>205</v>
      </c>
      <c r="AD4444" s="4">
        <v>130</v>
      </c>
      <c r="AE4444" s="4">
        <v>230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>
        <v>366</v>
      </c>
      <c r="BK4444" s="8">
        <v>16172.07</v>
      </c>
      <c r="BL4444" s="2" t="s">
        <v>13255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207</v>
      </c>
      <c r="BV4444" s="2" t="s">
        <v>97</v>
      </c>
      <c r="BW4444" s="2" t="s">
        <v>100</v>
      </c>
      <c r="BX4444" s="2" t="s">
        <v>100</v>
      </c>
      <c r="BY4444" s="2" t="s">
        <v>113</v>
      </c>
      <c r="BZ4444" s="2" t="s">
        <v>245</v>
      </c>
    </row>
    <row r="4445">
      <c r="A4445" s="2" t="s">
        <v>13335</v>
      </c>
      <c r="B4445" s="2" t="s">
        <v>12738</v>
      </c>
      <c r="C4445" s="2" t="s">
        <v>12594</v>
      </c>
      <c r="D4445" s="2" t="s">
        <v>803</v>
      </c>
      <c r="E4445" s="2" t="s">
        <v>804</v>
      </c>
      <c r="F4445" s="2" t="s">
        <v>13328</v>
      </c>
      <c r="G4445" s="2" t="s">
        <v>13329</v>
      </c>
      <c r="H4445" s="2" t="s">
        <v>12773</v>
      </c>
      <c r="I4445" s="2" t="s">
        <v>13330</v>
      </c>
      <c r="J4445" s="2" t="s">
        <v>1936</v>
      </c>
      <c r="K4445" s="2" t="s">
        <v>13336</v>
      </c>
      <c r="L4445" s="3">
        <v>34.18</v>
      </c>
      <c r="M4445" s="3">
        <v>35.89</v>
      </c>
      <c r="N4445" s="3">
        <v>59.99</v>
      </c>
      <c r="O4445" s="2" t="s">
        <v>97</v>
      </c>
      <c r="P4445" s="2" t="s">
        <v>225</v>
      </c>
      <c r="Q4445" s="2" t="s">
        <v>99</v>
      </c>
      <c r="R4445" s="2" t="s">
        <v>100</v>
      </c>
      <c r="S4445" s="2" t="s">
        <v>13337</v>
      </c>
      <c r="T4445" s="2" t="s">
        <v>218</v>
      </c>
      <c r="U4445" s="2" t="s">
        <v>480</v>
      </c>
      <c r="V4445" s="2" t="s">
        <v>2661</v>
      </c>
      <c r="W4445" s="2" t="s">
        <v>561</v>
      </c>
      <c r="X4445" s="2" t="s">
        <v>183</v>
      </c>
      <c r="Y4445" s="2" t="s">
        <v>9158</v>
      </c>
      <c r="Z4445" s="4">
        <v>361</v>
      </c>
      <c r="AA4445" s="4">
        <f>=ROUNDDOWN(72.2,0)</f>
      </c>
      <c r="AB4445" s="5">
        <v>5</v>
      </c>
      <c r="AC4445" s="2" t="s">
        <v>100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30</v>
      </c>
      <c r="BK4445" s="8">
        <v>1121.02</v>
      </c>
      <c r="BL4445" s="2" t="s">
        <v>1738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207</v>
      </c>
      <c r="BV4445" s="2" t="s">
        <v>97</v>
      </c>
      <c r="BW4445" s="2" t="s">
        <v>100</v>
      </c>
      <c r="BX4445" s="2" t="s">
        <v>100</v>
      </c>
      <c r="BY4445" s="2" t="s">
        <v>113</v>
      </c>
      <c r="BZ4445" s="2" t="s">
        <v>100</v>
      </c>
    </row>
    <row r="4446">
      <c r="A4446" s="2" t="s">
        <v>13338</v>
      </c>
      <c r="B4446" s="2" t="s">
        <v>12738</v>
      </c>
      <c r="C4446" s="2" t="s">
        <v>12594</v>
      </c>
      <c r="D4446" s="2" t="s">
        <v>803</v>
      </c>
      <c r="E4446" s="2" t="s">
        <v>804</v>
      </c>
      <c r="F4446" s="2" t="s">
        <v>13328</v>
      </c>
      <c r="G4446" s="2" t="s">
        <v>13329</v>
      </c>
      <c r="H4446" s="2" t="s">
        <v>12773</v>
      </c>
      <c r="I4446" s="2" t="s">
        <v>13330</v>
      </c>
      <c r="J4446" s="2" t="s">
        <v>247</v>
      </c>
      <c r="K4446" s="2" t="s">
        <v>13336</v>
      </c>
      <c r="L4446" s="3">
        <v>39.06</v>
      </c>
      <c r="M4446" s="3">
        <v>41.01</v>
      </c>
      <c r="N4446" s="3">
        <v>69.99</v>
      </c>
      <c r="O4446" s="2" t="s">
        <v>97</v>
      </c>
      <c r="P4446" s="2" t="s">
        <v>225</v>
      </c>
      <c r="Q4446" s="2" t="s">
        <v>99</v>
      </c>
      <c r="R4446" s="2" t="s">
        <v>100</v>
      </c>
      <c r="S4446" s="2" t="s">
        <v>13337</v>
      </c>
      <c r="T4446" s="2" t="s">
        <v>218</v>
      </c>
      <c r="U4446" s="2" t="s">
        <v>402</v>
      </c>
      <c r="V4446" s="2" t="s">
        <v>2661</v>
      </c>
      <c r="W4446" s="2" t="s">
        <v>561</v>
      </c>
      <c r="X4446" s="2" t="s">
        <v>183</v>
      </c>
      <c r="Y4446" s="2" t="s">
        <v>9158</v>
      </c>
      <c r="Z4446" s="4">
        <v>247</v>
      </c>
      <c r="AA4446" s="4">
        <f>=ROUNDDOWN(82.3333333333333,0)</f>
      </c>
      <c r="AB4446" s="5">
        <v>3</v>
      </c>
      <c r="AC4446" s="2" t="s">
        <v>100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44</v>
      </c>
      <c r="BK4446" s="8">
        <v>1831.55</v>
      </c>
      <c r="BL4446" s="2" t="s">
        <v>1619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207</v>
      </c>
      <c r="BV4446" s="2" t="s">
        <v>97</v>
      </c>
      <c r="BW4446" s="2" t="s">
        <v>100</v>
      </c>
      <c r="BX4446" s="2" t="s">
        <v>100</v>
      </c>
      <c r="BY4446" s="2" t="s">
        <v>113</v>
      </c>
      <c r="BZ4446" s="2" t="s">
        <v>100</v>
      </c>
    </row>
    <row r="4447">
      <c r="A4447" s="2" t="s">
        <v>13339</v>
      </c>
      <c r="B4447" s="2" t="s">
        <v>12738</v>
      </c>
      <c r="C4447" s="2" t="s">
        <v>12594</v>
      </c>
      <c r="D4447" s="2" t="s">
        <v>803</v>
      </c>
      <c r="E4447" s="2" t="s">
        <v>804</v>
      </c>
      <c r="F4447" s="2" t="s">
        <v>1361</v>
      </c>
      <c r="G4447" s="2" t="s">
        <v>13340</v>
      </c>
      <c r="H4447" s="2" t="s">
        <v>13341</v>
      </c>
      <c r="I4447" s="2" t="s">
        <v>13342</v>
      </c>
      <c r="J4447" s="2" t="s">
        <v>1936</v>
      </c>
      <c r="K4447" s="2" t="s">
        <v>432</v>
      </c>
      <c r="L4447" s="3">
        <v>30.95</v>
      </c>
      <c r="M4447" s="3">
        <v>32.5</v>
      </c>
      <c r="N4447" s="3">
        <v>64.99</v>
      </c>
      <c r="O4447" s="2" t="s">
        <v>97</v>
      </c>
      <c r="P4447" s="2" t="s">
        <v>119</v>
      </c>
      <c r="Q4447" s="2" t="s">
        <v>99</v>
      </c>
      <c r="R4447" s="2" t="s">
        <v>100</v>
      </c>
      <c r="S4447" s="2" t="s">
        <v>13343</v>
      </c>
      <c r="T4447" s="2" t="s">
        <v>218</v>
      </c>
      <c r="U4447" s="2" t="s">
        <v>480</v>
      </c>
      <c r="V4447" s="2" t="s">
        <v>146</v>
      </c>
      <c r="W4447" s="2" t="s">
        <v>183</v>
      </c>
      <c r="X4447" s="2" t="s">
        <v>100</v>
      </c>
      <c r="Y4447" s="2" t="s">
        <v>6158</v>
      </c>
      <c r="Z4447" s="4">
        <v>599</v>
      </c>
      <c r="AA4447" s="4">
        <f>=ROUNDDOWN(27.2272727272727,0)</f>
      </c>
      <c r="AB4447" s="5">
        <v>22</v>
      </c>
      <c r="AC4447" s="2" t="s">
        <v>100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>
        <v>792</v>
      </c>
      <c r="BK4447" s="8">
        <v>28142.37</v>
      </c>
      <c r="BL4447" s="2" t="s">
        <v>446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207</v>
      </c>
      <c r="BV4447" s="2" t="s">
        <v>97</v>
      </c>
      <c r="BW4447" s="2" t="s">
        <v>100</v>
      </c>
      <c r="BX4447" s="2" t="s">
        <v>100</v>
      </c>
      <c r="BY4447" s="2" t="s">
        <v>113</v>
      </c>
      <c r="BZ4447" s="2" t="s">
        <v>100</v>
      </c>
    </row>
    <row r="4448">
      <c r="A4448" s="2" t="s">
        <v>13344</v>
      </c>
      <c r="B4448" s="2" t="s">
        <v>12738</v>
      </c>
      <c r="C4448" s="2" t="s">
        <v>12594</v>
      </c>
      <c r="D4448" s="2" t="s">
        <v>803</v>
      </c>
      <c r="E4448" s="2" t="s">
        <v>804</v>
      </c>
      <c r="F4448" s="2" t="s">
        <v>1361</v>
      </c>
      <c r="G4448" s="2" t="s">
        <v>13340</v>
      </c>
      <c r="H4448" s="2" t="s">
        <v>13341</v>
      </c>
      <c r="I4448" s="2" t="s">
        <v>13342</v>
      </c>
      <c r="J4448" s="2" t="s">
        <v>247</v>
      </c>
      <c r="K4448" s="2" t="s">
        <v>432</v>
      </c>
      <c r="L4448" s="3">
        <v>38.09</v>
      </c>
      <c r="M4448" s="3">
        <v>39.99</v>
      </c>
      <c r="N4448" s="3">
        <v>79.99</v>
      </c>
      <c r="O4448" s="2" t="s">
        <v>97</v>
      </c>
      <c r="P4448" s="2" t="s">
        <v>119</v>
      </c>
      <c r="Q4448" s="2" t="s">
        <v>99</v>
      </c>
      <c r="R4448" s="2" t="s">
        <v>100</v>
      </c>
      <c r="S4448" s="2" t="s">
        <v>13343</v>
      </c>
      <c r="T4448" s="2" t="s">
        <v>218</v>
      </c>
      <c r="U4448" s="2" t="s">
        <v>402</v>
      </c>
      <c r="V4448" s="2" t="s">
        <v>146</v>
      </c>
      <c r="W4448" s="2" t="s">
        <v>183</v>
      </c>
      <c r="X4448" s="2" t="s">
        <v>100</v>
      </c>
      <c r="Y4448" s="2" t="s">
        <v>6158</v>
      </c>
      <c r="Z4448" s="4">
        <v>678</v>
      </c>
      <c r="AA4448" s="4">
        <f>=ROUNDDOWN(45.2,0)</f>
      </c>
      <c r="AB4448" s="5">
        <v>15</v>
      </c>
      <c r="AC4448" s="2" t="s">
        <v>100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473</v>
      </c>
      <c r="BK4448" s="8">
        <v>21422.41</v>
      </c>
      <c r="BL4448" s="2" t="s">
        <v>550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207</v>
      </c>
      <c r="BV4448" s="2" t="s">
        <v>97</v>
      </c>
      <c r="BW4448" s="2" t="s">
        <v>100</v>
      </c>
      <c r="BX4448" s="2" t="s">
        <v>100</v>
      </c>
      <c r="BY4448" s="2" t="s">
        <v>113</v>
      </c>
      <c r="BZ4448" s="2" t="s">
        <v>100</v>
      </c>
    </row>
    <row r="4449">
      <c r="A4449" s="2" t="s">
        <v>13345</v>
      </c>
      <c r="B4449" s="2" t="s">
        <v>12738</v>
      </c>
      <c r="C4449" s="2" t="s">
        <v>12594</v>
      </c>
      <c r="D4449" s="2" t="s">
        <v>803</v>
      </c>
      <c r="E4449" s="2" t="s">
        <v>804</v>
      </c>
      <c r="F4449" s="2" t="s">
        <v>1361</v>
      </c>
      <c r="G4449" s="2" t="s">
        <v>13340</v>
      </c>
      <c r="H4449" s="2" t="s">
        <v>13341</v>
      </c>
      <c r="I4449" s="2" t="s">
        <v>13342</v>
      </c>
      <c r="J4449" s="2" t="s">
        <v>1936</v>
      </c>
      <c r="K4449" s="2" t="s">
        <v>5794</v>
      </c>
      <c r="L4449" s="3">
        <v>30.95</v>
      </c>
      <c r="M4449" s="3">
        <v>32.5</v>
      </c>
      <c r="N4449" s="3">
        <v>64.99</v>
      </c>
      <c r="O4449" s="2" t="s">
        <v>97</v>
      </c>
      <c r="P4449" s="2" t="s">
        <v>119</v>
      </c>
      <c r="Q4449" s="2" t="s">
        <v>99</v>
      </c>
      <c r="R4449" s="2" t="s">
        <v>100</v>
      </c>
      <c r="S4449" s="2" t="s">
        <v>13346</v>
      </c>
      <c r="T4449" s="2" t="s">
        <v>218</v>
      </c>
      <c r="U4449" s="2" t="s">
        <v>480</v>
      </c>
      <c r="V4449" s="2" t="s">
        <v>146</v>
      </c>
      <c r="W4449" s="2" t="s">
        <v>183</v>
      </c>
      <c r="X4449" s="2" t="s">
        <v>100</v>
      </c>
      <c r="Y4449" s="2" t="s">
        <v>5000</v>
      </c>
      <c r="Z4449" s="4">
        <v>183</v>
      </c>
      <c r="AA4449" s="4">
        <f>=ROUNDDOWN(10.7647058823529,0)</f>
      </c>
      <c r="AB4449" s="5">
        <v>17</v>
      </c>
      <c r="AC4449" s="2" t="s">
        <v>1292</v>
      </c>
      <c r="AD4449" s="4">
        <v>170</v>
      </c>
      <c r="AE4449" s="4">
        <v>300</v>
      </c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>
        <v>237</v>
      </c>
      <c r="BK4449" s="8">
        <v>8299.19</v>
      </c>
      <c r="BL4449" s="2" t="s">
        <v>4619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207</v>
      </c>
      <c r="BV4449" s="2" t="s">
        <v>97</v>
      </c>
      <c r="BW4449" s="2" t="s">
        <v>100</v>
      </c>
      <c r="BX4449" s="2" t="s">
        <v>100</v>
      </c>
      <c r="BY4449" s="2" t="s">
        <v>113</v>
      </c>
      <c r="BZ4449" s="2" t="s">
        <v>100</v>
      </c>
    </row>
    <row r="4450">
      <c r="A4450" s="2" t="s">
        <v>13347</v>
      </c>
      <c r="B4450" s="2" t="s">
        <v>12738</v>
      </c>
      <c r="C4450" s="2" t="s">
        <v>12594</v>
      </c>
      <c r="D4450" s="2" t="s">
        <v>803</v>
      </c>
      <c r="E4450" s="2" t="s">
        <v>804</v>
      </c>
      <c r="F4450" s="2" t="s">
        <v>1361</v>
      </c>
      <c r="G4450" s="2" t="s">
        <v>13340</v>
      </c>
      <c r="H4450" s="2" t="s">
        <v>13341</v>
      </c>
      <c r="I4450" s="2" t="s">
        <v>13342</v>
      </c>
      <c r="J4450" s="2" t="s">
        <v>247</v>
      </c>
      <c r="K4450" s="2" t="s">
        <v>5794</v>
      </c>
      <c r="L4450" s="3">
        <v>38.09</v>
      </c>
      <c r="M4450" s="3">
        <v>39.99</v>
      </c>
      <c r="N4450" s="3">
        <v>79.99</v>
      </c>
      <c r="O4450" s="2" t="s">
        <v>97</v>
      </c>
      <c r="P4450" s="2" t="s">
        <v>119</v>
      </c>
      <c r="Q4450" s="2" t="s">
        <v>99</v>
      </c>
      <c r="R4450" s="2" t="s">
        <v>100</v>
      </c>
      <c r="S4450" s="2" t="s">
        <v>13346</v>
      </c>
      <c r="T4450" s="2" t="s">
        <v>218</v>
      </c>
      <c r="U4450" s="2" t="s">
        <v>402</v>
      </c>
      <c r="V4450" s="2" t="s">
        <v>146</v>
      </c>
      <c r="W4450" s="2" t="s">
        <v>183</v>
      </c>
      <c r="X4450" s="2" t="s">
        <v>100</v>
      </c>
      <c r="Y4450" s="2" t="s">
        <v>5000</v>
      </c>
      <c r="Z4450" s="4">
        <v>109</v>
      </c>
      <c r="AA4450" s="4">
        <f>=ROUNDDOWN(7.78571428571429,0)</f>
      </c>
      <c r="AB4450" s="5">
        <v>14</v>
      </c>
      <c r="AC4450" s="2" t="s">
        <v>1292</v>
      </c>
      <c r="AD4450" s="4">
        <v>200</v>
      </c>
      <c r="AE4450" s="4">
        <v>300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213</v>
      </c>
      <c r="BK4450" s="8">
        <v>9217.16</v>
      </c>
      <c r="BL4450" s="2" t="s">
        <v>2073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207</v>
      </c>
      <c r="BV4450" s="2" t="s">
        <v>97</v>
      </c>
      <c r="BW4450" s="2" t="s">
        <v>100</v>
      </c>
      <c r="BX4450" s="2" t="s">
        <v>100</v>
      </c>
      <c r="BY4450" s="2" t="s">
        <v>113</v>
      </c>
      <c r="BZ4450" s="2" t="s">
        <v>100</v>
      </c>
    </row>
    <row r="4451">
      <c r="A4451" s="2" t="s">
        <v>13348</v>
      </c>
      <c r="B4451" s="2" t="s">
        <v>12738</v>
      </c>
      <c r="C4451" s="2" t="s">
        <v>12594</v>
      </c>
      <c r="D4451" s="2" t="s">
        <v>803</v>
      </c>
      <c r="E4451" s="2" t="s">
        <v>1532</v>
      </c>
      <c r="F4451" s="2" t="s">
        <v>12697</v>
      </c>
      <c r="G4451" s="2" t="s">
        <v>1566</v>
      </c>
      <c r="H4451" s="2" t="s">
        <v>5241</v>
      </c>
      <c r="I4451" s="2" t="s">
        <v>13349</v>
      </c>
      <c r="J4451" s="2" t="s">
        <v>1936</v>
      </c>
      <c r="K4451" s="2" t="s">
        <v>13350</v>
      </c>
      <c r="L4451" s="3">
        <v>26.19</v>
      </c>
      <c r="M4451" s="3">
        <v>27.5</v>
      </c>
      <c r="N4451" s="3">
        <v>54.99</v>
      </c>
      <c r="O4451" s="2" t="s">
        <v>97</v>
      </c>
      <c r="P4451" s="2" t="s">
        <v>225</v>
      </c>
      <c r="Q4451" s="2" t="s">
        <v>99</v>
      </c>
      <c r="R4451" s="2" t="s">
        <v>100</v>
      </c>
      <c r="S4451" s="2" t="s">
        <v>13351</v>
      </c>
      <c r="T4451" s="2" t="s">
        <v>200</v>
      </c>
      <c r="U4451" s="2" t="s">
        <v>514</v>
      </c>
      <c r="V4451" s="2" t="s">
        <v>5245</v>
      </c>
      <c r="W4451" s="2" t="s">
        <v>183</v>
      </c>
      <c r="X4451" s="2" t="s">
        <v>100</v>
      </c>
      <c r="Y4451" s="2" t="s">
        <v>6179</v>
      </c>
      <c r="Z4451" s="4">
        <v>171</v>
      </c>
      <c r="AA4451" s="4">
        <f>=ROUNDDOWN(34.2,0)</f>
      </c>
      <c r="AB4451" s="5">
        <v>5</v>
      </c>
      <c r="AC4451" s="2" t="s">
        <v>100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82</v>
      </c>
      <c r="BK4451" s="8">
        <v>2396.33</v>
      </c>
      <c r="BL4451" s="2" t="s">
        <v>2393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207</v>
      </c>
      <c r="BV4451" s="2" t="s">
        <v>97</v>
      </c>
      <c r="BW4451" s="2" t="s">
        <v>100</v>
      </c>
      <c r="BX4451" s="2" t="s">
        <v>100</v>
      </c>
      <c r="BY4451" s="2" t="s">
        <v>113</v>
      </c>
      <c r="BZ4451" s="2" t="s">
        <v>100</v>
      </c>
    </row>
    <row r="4452">
      <c r="A4452" s="2" t="s">
        <v>13352</v>
      </c>
      <c r="B4452" s="2" t="s">
        <v>12738</v>
      </c>
      <c r="C4452" s="2" t="s">
        <v>12594</v>
      </c>
      <c r="D4452" s="2" t="s">
        <v>803</v>
      </c>
      <c r="E4452" s="2" t="s">
        <v>1532</v>
      </c>
      <c r="F4452" s="2" t="s">
        <v>12697</v>
      </c>
      <c r="G4452" s="2" t="s">
        <v>1566</v>
      </c>
      <c r="H4452" s="2" t="s">
        <v>5241</v>
      </c>
      <c r="I4452" s="2" t="s">
        <v>13349</v>
      </c>
      <c r="J4452" s="2" t="s">
        <v>247</v>
      </c>
      <c r="K4452" s="2" t="s">
        <v>13350</v>
      </c>
      <c r="L4452" s="3">
        <v>30.95</v>
      </c>
      <c r="M4452" s="3">
        <v>32.5</v>
      </c>
      <c r="N4452" s="3">
        <v>64.99</v>
      </c>
      <c r="O4452" s="2" t="s">
        <v>97</v>
      </c>
      <c r="P4452" s="2" t="s">
        <v>225</v>
      </c>
      <c r="Q4452" s="2" t="s">
        <v>99</v>
      </c>
      <c r="R4452" s="2" t="s">
        <v>100</v>
      </c>
      <c r="S4452" s="2" t="s">
        <v>13351</v>
      </c>
      <c r="T4452" s="2" t="s">
        <v>200</v>
      </c>
      <c r="U4452" s="2" t="s">
        <v>480</v>
      </c>
      <c r="V4452" s="2" t="s">
        <v>5245</v>
      </c>
      <c r="W4452" s="2" t="s">
        <v>183</v>
      </c>
      <c r="X4452" s="2" t="s">
        <v>100</v>
      </c>
      <c r="Y4452" s="2" t="s">
        <v>6179</v>
      </c>
      <c r="Z4452" s="4">
        <v>192</v>
      </c>
      <c r="AA4452" s="4">
        <f>=ROUNDDOWN(48,0)</f>
      </c>
      <c r="AB4452" s="5">
        <v>4</v>
      </c>
      <c r="AC4452" s="2" t="s">
        <v>100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49</v>
      </c>
      <c r="BK4452" s="8">
        <v>1710.01</v>
      </c>
      <c r="BL4452" s="2" t="s">
        <v>13353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207</v>
      </c>
      <c r="BV4452" s="2" t="s">
        <v>97</v>
      </c>
      <c r="BW4452" s="2" t="s">
        <v>100</v>
      </c>
      <c r="BX4452" s="2" t="s">
        <v>100</v>
      </c>
      <c r="BY4452" s="2" t="s">
        <v>113</v>
      </c>
      <c r="BZ4452" s="2" t="s">
        <v>100</v>
      </c>
    </row>
    <row r="4453">
      <c r="A4453" s="2" t="s">
        <v>13354</v>
      </c>
      <c r="B4453" s="2" t="s">
        <v>12738</v>
      </c>
      <c r="C4453" s="2" t="s">
        <v>12594</v>
      </c>
      <c r="D4453" s="2" t="s">
        <v>803</v>
      </c>
      <c r="E4453" s="2" t="s">
        <v>1532</v>
      </c>
      <c r="F4453" s="2" t="s">
        <v>13355</v>
      </c>
      <c r="G4453" s="2" t="s">
        <v>13356</v>
      </c>
      <c r="H4453" s="2" t="s">
        <v>12472</v>
      </c>
      <c r="I4453" s="2" t="s">
        <v>13357</v>
      </c>
      <c r="J4453" s="2" t="s">
        <v>1936</v>
      </c>
      <c r="K4453" s="2" t="s">
        <v>278</v>
      </c>
      <c r="L4453" s="3">
        <v>28.57</v>
      </c>
      <c r="M4453" s="3">
        <v>30</v>
      </c>
      <c r="N4453" s="3">
        <v>59.99</v>
      </c>
      <c r="O4453" s="2" t="s">
        <v>97</v>
      </c>
      <c r="P4453" s="2" t="s">
        <v>119</v>
      </c>
      <c r="Q4453" s="2" t="s">
        <v>99</v>
      </c>
      <c r="R4453" s="2" t="s">
        <v>100</v>
      </c>
      <c r="S4453" s="2" t="s">
        <v>13358</v>
      </c>
      <c r="T4453" s="2" t="s">
        <v>4441</v>
      </c>
      <c r="U4453" s="2" t="s">
        <v>514</v>
      </c>
      <c r="V4453" s="2" t="s">
        <v>2508</v>
      </c>
      <c r="W4453" s="2" t="s">
        <v>183</v>
      </c>
      <c r="X4453" s="2" t="s">
        <v>100</v>
      </c>
      <c r="Y4453" s="2" t="s">
        <v>2670</v>
      </c>
      <c r="Z4453" s="4">
        <v>563</v>
      </c>
      <c r="AA4453" s="4">
        <f>=ROUNDDOWN(22.52,0)</f>
      </c>
      <c r="AB4453" s="5">
        <v>25</v>
      </c>
      <c r="AC4453" s="2" t="s">
        <v>356</v>
      </c>
      <c r="AD4453" s="4">
        <v>1140</v>
      </c>
      <c r="AE4453" s="4">
        <v>1490</v>
      </c>
      <c r="AF4453" s="6">
        <v>65</v>
      </c>
      <c r="AG4453" s="6"/>
      <c r="AH4453" s="7">
        <v>0.8503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>
        <v>633</v>
      </c>
      <c r="BK4453" s="8">
        <v>20232.4</v>
      </c>
      <c r="BL4453" s="2" t="s">
        <v>2355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207</v>
      </c>
      <c r="BV4453" s="2" t="s">
        <v>97</v>
      </c>
      <c r="BW4453" s="2" t="s">
        <v>100</v>
      </c>
      <c r="BX4453" s="2" t="s">
        <v>100</v>
      </c>
      <c r="BY4453" s="2" t="s">
        <v>113</v>
      </c>
      <c r="BZ4453" s="2" t="s">
        <v>100</v>
      </c>
    </row>
    <row r="4454">
      <c r="A4454" s="2" t="s">
        <v>13359</v>
      </c>
      <c r="B4454" s="2" t="s">
        <v>12738</v>
      </c>
      <c r="C4454" s="2" t="s">
        <v>12594</v>
      </c>
      <c r="D4454" s="2" t="s">
        <v>803</v>
      </c>
      <c r="E4454" s="2" t="s">
        <v>1532</v>
      </c>
      <c r="F4454" s="2" t="s">
        <v>13355</v>
      </c>
      <c r="G4454" s="2" t="s">
        <v>13356</v>
      </c>
      <c r="H4454" s="2" t="s">
        <v>12472</v>
      </c>
      <c r="I4454" s="2" t="s">
        <v>13357</v>
      </c>
      <c r="J4454" s="2" t="s">
        <v>247</v>
      </c>
      <c r="K4454" s="2" t="s">
        <v>278</v>
      </c>
      <c r="L4454" s="3">
        <v>33.33</v>
      </c>
      <c r="M4454" s="3">
        <v>35</v>
      </c>
      <c r="N4454" s="3">
        <v>69.99</v>
      </c>
      <c r="O4454" s="2" t="s">
        <v>97</v>
      </c>
      <c r="P4454" s="2" t="s">
        <v>119</v>
      </c>
      <c r="Q4454" s="2" t="s">
        <v>99</v>
      </c>
      <c r="R4454" s="2" t="s">
        <v>100</v>
      </c>
      <c r="S4454" s="2" t="s">
        <v>13358</v>
      </c>
      <c r="T4454" s="2" t="s">
        <v>4441</v>
      </c>
      <c r="U4454" s="2" t="s">
        <v>480</v>
      </c>
      <c r="V4454" s="2" t="s">
        <v>2508</v>
      </c>
      <c r="W4454" s="2" t="s">
        <v>183</v>
      </c>
      <c r="X4454" s="2" t="s">
        <v>100</v>
      </c>
      <c r="Y4454" s="2" t="s">
        <v>13360</v>
      </c>
      <c r="Z4454" s="4">
        <v>314</v>
      </c>
      <c r="AA4454" s="4">
        <f>=ROUNDDOWN(19.625,0)</f>
      </c>
      <c r="AB4454" s="5">
        <v>16</v>
      </c>
      <c r="AC4454" s="2" t="s">
        <v>356</v>
      </c>
      <c r="AD4454" s="4">
        <v>60</v>
      </c>
      <c r="AE4454" s="4">
        <v>310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>
        <v>474</v>
      </c>
      <c r="BK4454" s="8">
        <v>17607.38</v>
      </c>
      <c r="BL4454" s="2" t="s">
        <v>550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207</v>
      </c>
      <c r="BV4454" s="2" t="s">
        <v>97</v>
      </c>
      <c r="BW4454" s="2" t="s">
        <v>100</v>
      </c>
      <c r="BX4454" s="2" t="s">
        <v>100</v>
      </c>
      <c r="BY4454" s="2" t="s">
        <v>113</v>
      </c>
      <c r="BZ4454" s="2" t="s">
        <v>100</v>
      </c>
    </row>
    <row r="4455">
      <c r="A4455" s="2" t="s">
        <v>13361</v>
      </c>
      <c r="B4455" s="2" t="s">
        <v>12738</v>
      </c>
      <c r="C4455" s="2" t="s">
        <v>12594</v>
      </c>
      <c r="D4455" s="2" t="s">
        <v>1638</v>
      </c>
      <c r="E4455" s="2" t="s">
        <v>1639</v>
      </c>
      <c r="F4455" s="2" t="s">
        <v>12697</v>
      </c>
      <c r="G4455" s="2" t="s">
        <v>1566</v>
      </c>
      <c r="H4455" s="2" t="s">
        <v>5241</v>
      </c>
      <c r="I4455" s="2" t="s">
        <v>13362</v>
      </c>
      <c r="J4455" s="2" t="s">
        <v>1936</v>
      </c>
      <c r="K4455" s="2" t="s">
        <v>13350</v>
      </c>
      <c r="L4455" s="3">
        <v>19.04</v>
      </c>
      <c r="M4455" s="3">
        <v>19.99</v>
      </c>
      <c r="N4455" s="3">
        <v>39.99</v>
      </c>
      <c r="O4455" s="2" t="s">
        <v>97</v>
      </c>
      <c r="P4455" s="2" t="s">
        <v>225</v>
      </c>
      <c r="Q4455" s="2" t="s">
        <v>99</v>
      </c>
      <c r="R4455" s="2" t="s">
        <v>100</v>
      </c>
      <c r="S4455" s="2" t="s">
        <v>13351</v>
      </c>
      <c r="T4455" s="2" t="s">
        <v>200</v>
      </c>
      <c r="U4455" s="2" t="s">
        <v>514</v>
      </c>
      <c r="V4455" s="2" t="s">
        <v>5245</v>
      </c>
      <c r="W4455" s="2" t="s">
        <v>183</v>
      </c>
      <c r="X4455" s="2" t="s">
        <v>100</v>
      </c>
      <c r="Y4455" s="2" t="s">
        <v>6179</v>
      </c>
      <c r="Z4455" s="4">
        <v>72</v>
      </c>
      <c r="AA4455" s="4">
        <f>=ROUNDDOWN(24,0)</f>
      </c>
      <c r="AB4455" s="5">
        <v>3</v>
      </c>
      <c r="AC4455" s="2" t="s">
        <v>100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>
        <v>57</v>
      </c>
      <c r="BK4455" s="8">
        <v>1228.3</v>
      </c>
      <c r="BL4455" s="2" t="s">
        <v>13363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207</v>
      </c>
      <c r="BV4455" s="2" t="s">
        <v>97</v>
      </c>
      <c r="BW4455" s="2" t="s">
        <v>100</v>
      </c>
      <c r="BX4455" s="2" t="s">
        <v>100</v>
      </c>
      <c r="BY4455" s="2" t="s">
        <v>113</v>
      </c>
      <c r="BZ4455" s="2" t="s">
        <v>100</v>
      </c>
    </row>
    <row r="4456">
      <c r="A4456" s="2" t="s">
        <v>13364</v>
      </c>
      <c r="B4456" s="2" t="s">
        <v>12738</v>
      </c>
      <c r="C4456" s="2" t="s">
        <v>12594</v>
      </c>
      <c r="D4456" s="2" t="s">
        <v>1638</v>
      </c>
      <c r="E4456" s="2" t="s">
        <v>1639</v>
      </c>
      <c r="F4456" s="2" t="s">
        <v>12697</v>
      </c>
      <c r="G4456" s="2" t="s">
        <v>1566</v>
      </c>
      <c r="H4456" s="2" t="s">
        <v>5241</v>
      </c>
      <c r="I4456" s="2" t="s">
        <v>13362</v>
      </c>
      <c r="J4456" s="2" t="s">
        <v>247</v>
      </c>
      <c r="K4456" s="2" t="s">
        <v>13350</v>
      </c>
      <c r="L4456" s="3">
        <v>23.8</v>
      </c>
      <c r="M4456" s="3">
        <v>24.99</v>
      </c>
      <c r="N4456" s="3">
        <v>49.99</v>
      </c>
      <c r="O4456" s="2" t="s">
        <v>97</v>
      </c>
      <c r="P4456" s="2" t="s">
        <v>225</v>
      </c>
      <c r="Q4456" s="2" t="s">
        <v>99</v>
      </c>
      <c r="R4456" s="2" t="s">
        <v>100</v>
      </c>
      <c r="S4456" s="2" t="s">
        <v>13351</v>
      </c>
      <c r="T4456" s="2" t="s">
        <v>200</v>
      </c>
      <c r="U4456" s="2" t="s">
        <v>480</v>
      </c>
      <c r="V4456" s="2" t="s">
        <v>5245</v>
      </c>
      <c r="W4456" s="2" t="s">
        <v>183</v>
      </c>
      <c r="X4456" s="2" t="s">
        <v>100</v>
      </c>
      <c r="Y4456" s="2" t="s">
        <v>6179</v>
      </c>
      <c r="Z4456" s="4">
        <v>83</v>
      </c>
      <c r="AA4456" s="4">
        <f>=ROUNDDOWN(41.5,0)</f>
      </c>
      <c r="AB4456" s="5">
        <v>2</v>
      </c>
      <c r="AC4456" s="2" t="s">
        <v>100</v>
      </c>
      <c r="AD4456" s="4"/>
      <c r="AE4456" s="4"/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>
        <v>44</v>
      </c>
      <c r="BK4456" s="8">
        <v>1156.74</v>
      </c>
      <c r="BL4456" s="2" t="s">
        <v>6006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207</v>
      </c>
      <c r="BV4456" s="2" t="s">
        <v>97</v>
      </c>
      <c r="BW4456" s="2" t="s">
        <v>100</v>
      </c>
      <c r="BX4456" s="2" t="s">
        <v>100</v>
      </c>
      <c r="BY4456" s="2" t="s">
        <v>113</v>
      </c>
      <c r="BZ4456" s="2" t="s">
        <v>100</v>
      </c>
    </row>
    <row r="4457">
      <c r="A4457" s="16" t="s">
        <v>13365</v>
      </c>
      <c r="B4457" s="9" t="s">
        <v>100</v>
      </c>
      <c r="C4457" s="9" t="s">
        <v>100</v>
      </c>
      <c r="D4457" s="9" t="s">
        <v>100</v>
      </c>
      <c r="E4457" s="9" t="s">
        <v>100</v>
      </c>
      <c r="F4457" s="9" t="s">
        <v>100</v>
      </c>
      <c r="G4457" s="9" t="s">
        <v>100</v>
      </c>
      <c r="H4457" s="9" t="s">
        <v>100</v>
      </c>
      <c r="I4457" s="9" t="s">
        <v>100</v>
      </c>
      <c r="J4457" s="9" t="s">
        <v>100</v>
      </c>
      <c r="K4457" s="9" t="s">
        <v>100</v>
      </c>
      <c r="L4457" s="10"/>
      <c r="M4457" s="10"/>
      <c r="N4457" s="10"/>
      <c r="O4457" s="9" t="s">
        <v>100</v>
      </c>
      <c r="P4457" s="9" t="s">
        <v>100</v>
      </c>
      <c r="Q4457" s="9" t="s">
        <v>100</v>
      </c>
      <c r="R4457" s="9" t="s">
        <v>100</v>
      </c>
      <c r="S4457" s="9" t="s">
        <v>100</v>
      </c>
      <c r="T4457" s="9" t="s">
        <v>100</v>
      </c>
      <c r="U4457" s="9" t="s">
        <v>100</v>
      </c>
      <c r="V4457" s="9" t="s">
        <v>100</v>
      </c>
      <c r="W4457" s="9" t="s">
        <v>100</v>
      </c>
      <c r="X4457" s="9" t="s">
        <v>100</v>
      </c>
      <c r="Y4457" s="9" t="s">
        <v>100</v>
      </c>
      <c r="Z4457" s="11">
        <v>2074071</v>
      </c>
      <c r="AA4457" s="11">
        <f>=ROUNDDOWN({0},0)</f>
      </c>
      <c r="AB4457" s="12">
        <v>77996</v>
      </c>
      <c r="AC4457" s="9" t="s">
        <v>100</v>
      </c>
      <c r="AD4457" s="11"/>
      <c r="AE4457" s="11">
        <v>2389977</v>
      </c>
      <c r="AF4457" s="13"/>
      <c r="AG4457" s="13"/>
      <c r="AH4457" s="14"/>
      <c r="AI4457" s="11"/>
      <c r="AJ4457" s="11">
        <f>=ROUNDDOWN({0},0)</f>
      </c>
      <c r="AK4457" s="12">
        <v>1404.5</v>
      </c>
      <c r="AL4457" s="9" t="s">
        <v>100</v>
      </c>
      <c r="AM4457" s="11"/>
      <c r="AN4457" s="11">
        <v>11525</v>
      </c>
      <c r="AO4457" s="14"/>
      <c r="AP4457" s="11">
        <v>9189</v>
      </c>
      <c r="AQ4457" s="15">
        <v>285566.69</v>
      </c>
      <c r="AR4457" s="11"/>
      <c r="AS4457" s="15"/>
      <c r="AT4457" s="14"/>
      <c r="AU4457" s="14"/>
      <c r="AV4457" s="11">
        <v>9189</v>
      </c>
      <c r="AW4457" s="15">
        <v>285566.69</v>
      </c>
      <c r="AX4457" s="11"/>
      <c r="AY4457" s="15"/>
      <c r="AZ4457" s="14"/>
      <c r="BA4457" s="14"/>
      <c r="BB4457" s="14"/>
      <c r="BC4457" s="11">
        <v>9189</v>
      </c>
      <c r="BD4457" s="15">
        <v>285566.69</v>
      </c>
      <c r="BE4457" s="11"/>
      <c r="BF4457" s="15"/>
      <c r="BG4457" s="14"/>
      <c r="BH4457" s="14"/>
      <c r="BI4457" s="14"/>
      <c r="BJ4457" s="11"/>
      <c r="BK4457" s="15"/>
      <c r="BL4457" s="9" t="s">
        <v>100</v>
      </c>
      <c r="BM4457" s="14"/>
      <c r="BN4457" s="14"/>
      <c r="BO4457" s="11">
        <v>9189</v>
      </c>
      <c r="BP4457" s="15">
        <v>285566.69</v>
      </c>
      <c r="BQ4457" s="11"/>
      <c r="BR4457" s="15"/>
      <c r="BS4457" s="14"/>
      <c r="BT4457" s="14"/>
      <c r="BU4457" s="9" t="s">
        <v>100</v>
      </c>
      <c r="BV4457" s="9" t="s">
        <v>100</v>
      </c>
      <c r="BW4457" s="9" t="s">
        <v>100</v>
      </c>
      <c r="BX4457" s="9" t="s">
        <v>100</v>
      </c>
      <c r="BY4457" s="9" t="s">
        <v>100</v>
      </c>
      <c r="BZ4457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12:BC13"/>
    <mergeCell ref="BD12:BD13"/>
    <mergeCell ref="BE12:BE13"/>
    <mergeCell ref="BF12:BF13"/>
    <mergeCell ref="BG12:BG13"/>
    <mergeCell ref="BH12:BH13"/>
    <mergeCell ref="BC14:BC15"/>
    <mergeCell ref="BD14:BD15"/>
    <mergeCell ref="BE14:BE15"/>
    <mergeCell ref="BF14:BF15"/>
    <mergeCell ref="BG14:BG15"/>
    <mergeCell ref="BH14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2"/>
    <mergeCell ref="BD20:BD22"/>
    <mergeCell ref="BE20:BE22"/>
    <mergeCell ref="BF20:BF22"/>
    <mergeCell ref="BG20:BG22"/>
    <mergeCell ref="BH20:BH22"/>
    <mergeCell ref="BC24:BC25"/>
    <mergeCell ref="BD24:BD25"/>
    <mergeCell ref="BE24:BE25"/>
    <mergeCell ref="BF24:BF25"/>
    <mergeCell ref="BG24:BG25"/>
    <mergeCell ref="BH24:BH25"/>
    <mergeCell ref="BC27:BC28"/>
    <mergeCell ref="BD27:BD28"/>
    <mergeCell ref="BE27:BE28"/>
    <mergeCell ref="BF27:BF28"/>
    <mergeCell ref="BG27:BG28"/>
    <mergeCell ref="BH27:BH28"/>
    <mergeCell ref="BC30:BC33"/>
    <mergeCell ref="BD30:BD33"/>
    <mergeCell ref="BE30:BE33"/>
    <mergeCell ref="BF30:BF33"/>
    <mergeCell ref="BG30:BG33"/>
    <mergeCell ref="BH30:BH33"/>
    <mergeCell ref="BC34:BC38"/>
    <mergeCell ref="BD34:BD38"/>
    <mergeCell ref="BE34:BE38"/>
    <mergeCell ref="BF34:BF38"/>
    <mergeCell ref="BG34:BG38"/>
    <mergeCell ref="BH34:BH38"/>
    <mergeCell ref="BC40:BC41"/>
    <mergeCell ref="BD40:BD41"/>
    <mergeCell ref="BE40:BE41"/>
    <mergeCell ref="BF40:BF41"/>
    <mergeCell ref="BG40:BG41"/>
    <mergeCell ref="BH40:BH41"/>
    <mergeCell ref="BC42:BC45"/>
    <mergeCell ref="BD42:BD45"/>
    <mergeCell ref="BE42:BE45"/>
    <mergeCell ref="BF42:BF45"/>
    <mergeCell ref="BG42:BG45"/>
    <mergeCell ref="BH42:BH45"/>
    <mergeCell ref="BC46:BC51"/>
    <mergeCell ref="BD46:BD51"/>
    <mergeCell ref="BE46:BE51"/>
    <mergeCell ref="BF46:BF51"/>
    <mergeCell ref="BG46:BG51"/>
    <mergeCell ref="BH46:BH51"/>
    <mergeCell ref="BC52:BC53"/>
    <mergeCell ref="BD52:BD53"/>
    <mergeCell ref="BE52:BE53"/>
    <mergeCell ref="BF52:BF53"/>
    <mergeCell ref="BG52:BG53"/>
    <mergeCell ref="BH52:BH53"/>
    <mergeCell ref="BC54:BC56"/>
    <mergeCell ref="BD54:BD56"/>
    <mergeCell ref="BE54:BE56"/>
    <mergeCell ref="BF54:BF56"/>
    <mergeCell ref="BG54:BG56"/>
    <mergeCell ref="BH54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70"/>
    <mergeCell ref="BD63:BD70"/>
    <mergeCell ref="BE63:BE70"/>
    <mergeCell ref="BF63:BF70"/>
    <mergeCell ref="BG63:BG70"/>
    <mergeCell ref="BH63:BH70"/>
    <mergeCell ref="BC71:BC75"/>
    <mergeCell ref="BD71:BD75"/>
    <mergeCell ref="BE71:BE75"/>
    <mergeCell ref="BF71:BF75"/>
    <mergeCell ref="BG71:BG75"/>
    <mergeCell ref="BH71:BH75"/>
    <mergeCell ref="BC76:BC90"/>
    <mergeCell ref="BD76:BD90"/>
    <mergeCell ref="BE76:BE90"/>
    <mergeCell ref="BF76:BF90"/>
    <mergeCell ref="BG76:BG90"/>
    <mergeCell ref="BH76:BH90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97:BC100"/>
    <mergeCell ref="BD97:BD100"/>
    <mergeCell ref="BE97:BE100"/>
    <mergeCell ref="BF97:BF100"/>
    <mergeCell ref="BG97:BG100"/>
    <mergeCell ref="BH97:BH100"/>
    <mergeCell ref="BC101:BC103"/>
    <mergeCell ref="BD101:BD103"/>
    <mergeCell ref="BE101:BE103"/>
    <mergeCell ref="BF101:BF103"/>
    <mergeCell ref="BG101:BG103"/>
    <mergeCell ref="BH101:BH103"/>
    <mergeCell ref="BC104:BC105"/>
    <mergeCell ref="BD104:BD105"/>
    <mergeCell ref="BE104:BE105"/>
    <mergeCell ref="BF104:BF105"/>
    <mergeCell ref="BG104:BG105"/>
    <mergeCell ref="BH104:BH105"/>
    <mergeCell ref="BC106:BC108"/>
    <mergeCell ref="BD106:BD108"/>
    <mergeCell ref="BE106:BE108"/>
    <mergeCell ref="BF106:BF108"/>
    <mergeCell ref="BG106:BG108"/>
    <mergeCell ref="BH106:BH108"/>
    <mergeCell ref="BC109:BC118"/>
    <mergeCell ref="BD109:BD118"/>
    <mergeCell ref="BE109:BE118"/>
    <mergeCell ref="BF109:BF118"/>
    <mergeCell ref="BG109:BG118"/>
    <mergeCell ref="BH109:BH118"/>
    <mergeCell ref="BC119:BC121"/>
    <mergeCell ref="BD119:BD121"/>
    <mergeCell ref="BE119:BE121"/>
    <mergeCell ref="BF119:BF121"/>
    <mergeCell ref="BG119:BG121"/>
    <mergeCell ref="BH119:BH121"/>
    <mergeCell ref="BC122:BC129"/>
    <mergeCell ref="BD122:BD129"/>
    <mergeCell ref="BE122:BE129"/>
    <mergeCell ref="BF122:BF129"/>
    <mergeCell ref="BG122:BG129"/>
    <mergeCell ref="BH122:BH129"/>
    <mergeCell ref="BC130:BC133"/>
    <mergeCell ref="BD130:BD133"/>
    <mergeCell ref="BE130:BE133"/>
    <mergeCell ref="BF130:BF133"/>
    <mergeCell ref="BG130:BG133"/>
    <mergeCell ref="BH130:BH133"/>
    <mergeCell ref="BC135:BC139"/>
    <mergeCell ref="BD135:BD139"/>
    <mergeCell ref="BE135:BE139"/>
    <mergeCell ref="BF135:BF139"/>
    <mergeCell ref="BG135:BG139"/>
    <mergeCell ref="BH135:BH139"/>
    <mergeCell ref="BC140:BC145"/>
    <mergeCell ref="BD140:BD145"/>
    <mergeCell ref="BE140:BE145"/>
    <mergeCell ref="BF140:BF145"/>
    <mergeCell ref="BG140:BG145"/>
    <mergeCell ref="BH140:BH145"/>
    <mergeCell ref="BC146:BC156"/>
    <mergeCell ref="BD146:BD156"/>
    <mergeCell ref="BE146:BE156"/>
    <mergeCell ref="BF146:BF156"/>
    <mergeCell ref="BG146:BG156"/>
    <mergeCell ref="BH146:BH156"/>
    <mergeCell ref="BC157:BC158"/>
    <mergeCell ref="BD157:BD158"/>
    <mergeCell ref="BE157:BE158"/>
    <mergeCell ref="BF157:BF158"/>
    <mergeCell ref="BG157:BG158"/>
    <mergeCell ref="BH157:BH158"/>
    <mergeCell ref="BC159:BC165"/>
    <mergeCell ref="BD159:BD165"/>
    <mergeCell ref="BE159:BE165"/>
    <mergeCell ref="BF159:BF165"/>
    <mergeCell ref="BG159:BG165"/>
    <mergeCell ref="BH159:BH165"/>
    <mergeCell ref="BC166:BC172"/>
    <mergeCell ref="BD166:BD172"/>
    <mergeCell ref="BE166:BE172"/>
    <mergeCell ref="BF166:BF172"/>
    <mergeCell ref="BG166:BG172"/>
    <mergeCell ref="BH166:BH172"/>
    <mergeCell ref="BC173:BC177"/>
    <mergeCell ref="BD173:BD177"/>
    <mergeCell ref="BE173:BE177"/>
    <mergeCell ref="BF173:BF177"/>
    <mergeCell ref="BG173:BG177"/>
    <mergeCell ref="BH173:BH177"/>
    <mergeCell ref="BC178:BC182"/>
    <mergeCell ref="BD178:BD182"/>
    <mergeCell ref="BE178:BE182"/>
    <mergeCell ref="BF178:BF182"/>
    <mergeCell ref="BG178:BG182"/>
    <mergeCell ref="BH178:BH182"/>
    <mergeCell ref="BC183:BC189"/>
    <mergeCell ref="BD183:BD189"/>
    <mergeCell ref="BE183:BE189"/>
    <mergeCell ref="BF183:BF189"/>
    <mergeCell ref="BG183:BG189"/>
    <mergeCell ref="BH183:BH189"/>
    <mergeCell ref="BC190:BC197"/>
    <mergeCell ref="BD190:BD197"/>
    <mergeCell ref="BE190:BE197"/>
    <mergeCell ref="BF190:BF197"/>
    <mergeCell ref="BG190:BG197"/>
    <mergeCell ref="BH190:BH197"/>
    <mergeCell ref="BC198:BC201"/>
    <mergeCell ref="BD198:BD201"/>
    <mergeCell ref="BE198:BE201"/>
    <mergeCell ref="BF198:BF201"/>
    <mergeCell ref="BG198:BG201"/>
    <mergeCell ref="BH198:BH201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12:BC213"/>
    <mergeCell ref="BD212:BD213"/>
    <mergeCell ref="BE212:BE213"/>
    <mergeCell ref="BF212:BF213"/>
    <mergeCell ref="BG212:BG213"/>
    <mergeCell ref="BH212:BH213"/>
    <mergeCell ref="BC214:BC216"/>
    <mergeCell ref="BD214:BD216"/>
    <mergeCell ref="BE214:BE216"/>
    <mergeCell ref="BF214:BF216"/>
    <mergeCell ref="BG214:BG216"/>
    <mergeCell ref="BH214:BH216"/>
    <mergeCell ref="BC217:BC218"/>
    <mergeCell ref="BD217:BD218"/>
    <mergeCell ref="BE217:BE218"/>
    <mergeCell ref="BF217:BF218"/>
    <mergeCell ref="BG217:BG218"/>
    <mergeCell ref="BH217:BH218"/>
    <mergeCell ref="BC219:BC221"/>
    <mergeCell ref="BD219:BD221"/>
    <mergeCell ref="BE219:BE221"/>
    <mergeCell ref="BF219:BF221"/>
    <mergeCell ref="BG219:BG221"/>
    <mergeCell ref="BH219:BH221"/>
    <mergeCell ref="BC222:BC224"/>
    <mergeCell ref="BD222:BD224"/>
    <mergeCell ref="BE222:BE224"/>
    <mergeCell ref="BF222:BF224"/>
    <mergeCell ref="BG222:BG224"/>
    <mergeCell ref="BH222:BH224"/>
    <mergeCell ref="BC225:BC228"/>
    <mergeCell ref="BD225:BD228"/>
    <mergeCell ref="BE225:BE228"/>
    <mergeCell ref="BF225:BF228"/>
    <mergeCell ref="BG225:BG228"/>
    <mergeCell ref="BH225:BH228"/>
    <mergeCell ref="BC229:BC232"/>
    <mergeCell ref="BD229:BD232"/>
    <mergeCell ref="BE229:BE232"/>
    <mergeCell ref="BF229:BF232"/>
    <mergeCell ref="BG229:BG232"/>
    <mergeCell ref="BH229:BH232"/>
    <mergeCell ref="BC233:BC238"/>
    <mergeCell ref="BD233:BD238"/>
    <mergeCell ref="BE233:BE238"/>
    <mergeCell ref="BF233:BF238"/>
    <mergeCell ref="BG233:BG238"/>
    <mergeCell ref="BH233:BH238"/>
    <mergeCell ref="BC239:BC247"/>
    <mergeCell ref="BD239:BD247"/>
    <mergeCell ref="BE239:BE247"/>
    <mergeCell ref="BF239:BF247"/>
    <mergeCell ref="BG239:BG247"/>
    <mergeCell ref="BH239:BH247"/>
    <mergeCell ref="BC248:BC251"/>
    <mergeCell ref="BD248:BD251"/>
    <mergeCell ref="BE248:BE251"/>
    <mergeCell ref="BF248:BF251"/>
    <mergeCell ref="BG248:BG251"/>
    <mergeCell ref="BH248:BH251"/>
    <mergeCell ref="BC252:BC254"/>
    <mergeCell ref="BD252:BD254"/>
    <mergeCell ref="BE252:BE254"/>
    <mergeCell ref="BF252:BF254"/>
    <mergeCell ref="BG252:BG254"/>
    <mergeCell ref="BH252:BH254"/>
    <mergeCell ref="BC255:BC256"/>
    <mergeCell ref="BD255:BD256"/>
    <mergeCell ref="BE255:BE256"/>
    <mergeCell ref="BF255:BF256"/>
    <mergeCell ref="BG255:BG256"/>
    <mergeCell ref="BH255:BH256"/>
    <mergeCell ref="BC257:BC262"/>
    <mergeCell ref="BD257:BD262"/>
    <mergeCell ref="BE257:BE262"/>
    <mergeCell ref="BF257:BF262"/>
    <mergeCell ref="BG257:BG262"/>
    <mergeCell ref="BH257:BH262"/>
    <mergeCell ref="BC263:BC264"/>
    <mergeCell ref="BD263:BD264"/>
    <mergeCell ref="BE263:BE264"/>
    <mergeCell ref="BF263:BF264"/>
    <mergeCell ref="BG263:BG264"/>
    <mergeCell ref="BH263:BH264"/>
    <mergeCell ref="BC265:BC270"/>
    <mergeCell ref="BD265:BD270"/>
    <mergeCell ref="BE265:BE270"/>
    <mergeCell ref="BF265:BF270"/>
    <mergeCell ref="BG265:BG270"/>
    <mergeCell ref="BH265:BH270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4"/>
    <mergeCell ref="BD281:BD284"/>
    <mergeCell ref="BE281:BE284"/>
    <mergeCell ref="BF281:BF284"/>
    <mergeCell ref="BG281:BG284"/>
    <mergeCell ref="BH281:BH284"/>
    <mergeCell ref="BC285:BC286"/>
    <mergeCell ref="BD285:BD286"/>
    <mergeCell ref="BE285:BE286"/>
    <mergeCell ref="BF285:BF286"/>
    <mergeCell ref="BG285:BG286"/>
    <mergeCell ref="BH285:BH286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4"/>
    <mergeCell ref="BD302:BD304"/>
    <mergeCell ref="BE302:BE304"/>
    <mergeCell ref="BF302:BF304"/>
    <mergeCell ref="BG302:BG304"/>
    <mergeCell ref="BH302:BH304"/>
    <mergeCell ref="BC305:BC310"/>
    <mergeCell ref="BD305:BD310"/>
    <mergeCell ref="BE305:BE310"/>
    <mergeCell ref="BF305:BF310"/>
    <mergeCell ref="BG305:BG310"/>
    <mergeCell ref="BH305:BH310"/>
    <mergeCell ref="BC311:BC312"/>
    <mergeCell ref="BD311:BD312"/>
    <mergeCell ref="BE311:BE312"/>
    <mergeCell ref="BF311:BF312"/>
    <mergeCell ref="BG311:BG312"/>
    <mergeCell ref="BH311:BH312"/>
    <mergeCell ref="BC313:BC322"/>
    <mergeCell ref="BD313:BD322"/>
    <mergeCell ref="BE313:BE322"/>
    <mergeCell ref="BF313:BF322"/>
    <mergeCell ref="BG313:BG322"/>
    <mergeCell ref="BH313:BH322"/>
    <mergeCell ref="BC323:BC327"/>
    <mergeCell ref="BD323:BD327"/>
    <mergeCell ref="BE323:BE327"/>
    <mergeCell ref="BF323:BF327"/>
    <mergeCell ref="BG323:BG327"/>
    <mergeCell ref="BH323:BH327"/>
    <mergeCell ref="BC328:BC330"/>
    <mergeCell ref="BD328:BD330"/>
    <mergeCell ref="BE328:BE330"/>
    <mergeCell ref="BF328:BF330"/>
    <mergeCell ref="BG328:BG330"/>
    <mergeCell ref="BH328:BH330"/>
    <mergeCell ref="BC331:BC334"/>
    <mergeCell ref="BD331:BD334"/>
    <mergeCell ref="BE331:BE334"/>
    <mergeCell ref="BF331:BF334"/>
    <mergeCell ref="BG331:BG334"/>
    <mergeCell ref="BH331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4"/>
    <mergeCell ref="BD341:BD344"/>
    <mergeCell ref="BE341:BE344"/>
    <mergeCell ref="BF341:BF344"/>
    <mergeCell ref="BG341:BG344"/>
    <mergeCell ref="BH341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9"/>
    <mergeCell ref="BD353:BD359"/>
    <mergeCell ref="BE353:BE359"/>
    <mergeCell ref="BF353:BF359"/>
    <mergeCell ref="BG353:BG359"/>
    <mergeCell ref="BH353:BH359"/>
    <mergeCell ref="BC360:BC363"/>
    <mergeCell ref="BD360:BD363"/>
    <mergeCell ref="BE360:BE363"/>
    <mergeCell ref="BF360:BF363"/>
    <mergeCell ref="BG360:BG363"/>
    <mergeCell ref="BH360:BH363"/>
    <mergeCell ref="BC364:BC365"/>
    <mergeCell ref="BD364:BD365"/>
    <mergeCell ref="BE364:BE365"/>
    <mergeCell ref="BF364:BF365"/>
    <mergeCell ref="BG364:BG365"/>
    <mergeCell ref="BH364:BH365"/>
    <mergeCell ref="BC367:BC369"/>
    <mergeCell ref="BD367:BD369"/>
    <mergeCell ref="BE367:BE369"/>
    <mergeCell ref="BF367:BF369"/>
    <mergeCell ref="BG367:BG369"/>
    <mergeCell ref="BH367:BH369"/>
    <mergeCell ref="BC370:BC373"/>
    <mergeCell ref="BD370:BD373"/>
    <mergeCell ref="BE370:BE373"/>
    <mergeCell ref="BF370:BF373"/>
    <mergeCell ref="BG370:BG373"/>
    <mergeCell ref="BH370:BH373"/>
    <mergeCell ref="BC374:BC375"/>
    <mergeCell ref="BD374:BD375"/>
    <mergeCell ref="BE374:BE375"/>
    <mergeCell ref="BF374:BF375"/>
    <mergeCell ref="BG374:BG375"/>
    <mergeCell ref="BH374:BH375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4"/>
    <mergeCell ref="BD389:BD394"/>
    <mergeCell ref="BE389:BE394"/>
    <mergeCell ref="BF389:BF394"/>
    <mergeCell ref="BG389:BG394"/>
    <mergeCell ref="BH389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9:BC422"/>
    <mergeCell ref="BD419:BD422"/>
    <mergeCell ref="BE419:BE422"/>
    <mergeCell ref="BF419:BF422"/>
    <mergeCell ref="BG419:BG422"/>
    <mergeCell ref="BH419:BH422"/>
    <mergeCell ref="BC423:BC433"/>
    <mergeCell ref="BD423:BD433"/>
    <mergeCell ref="BE423:BE433"/>
    <mergeCell ref="BF423:BF433"/>
    <mergeCell ref="BG423:BG433"/>
    <mergeCell ref="BH423:BH433"/>
    <mergeCell ref="BC434:BC445"/>
    <mergeCell ref="BD434:BD445"/>
    <mergeCell ref="BE434:BE445"/>
    <mergeCell ref="BF434:BF445"/>
    <mergeCell ref="BG434:BG445"/>
    <mergeCell ref="BH434:BH445"/>
    <mergeCell ref="BC446:BC455"/>
    <mergeCell ref="BD446:BD455"/>
    <mergeCell ref="BE446:BE455"/>
    <mergeCell ref="BF446:BF455"/>
    <mergeCell ref="BG446:BG455"/>
    <mergeCell ref="BH446:BH455"/>
    <mergeCell ref="BC456:BC458"/>
    <mergeCell ref="BD456:BD458"/>
    <mergeCell ref="BE456:BE458"/>
    <mergeCell ref="BF456:BF458"/>
    <mergeCell ref="BG456:BG458"/>
    <mergeCell ref="BH456:BH458"/>
    <mergeCell ref="BC459:BC461"/>
    <mergeCell ref="BD459:BD461"/>
    <mergeCell ref="BE459:BE461"/>
    <mergeCell ref="BF459:BF461"/>
    <mergeCell ref="BG459:BG461"/>
    <mergeCell ref="BH459:BH461"/>
    <mergeCell ref="BC462:BC464"/>
    <mergeCell ref="BD462:BD464"/>
    <mergeCell ref="BE462:BE464"/>
    <mergeCell ref="BF462:BF464"/>
    <mergeCell ref="BG462:BG464"/>
    <mergeCell ref="BH462:BH464"/>
    <mergeCell ref="BC465:BC468"/>
    <mergeCell ref="BD465:BD468"/>
    <mergeCell ref="BE465:BE468"/>
    <mergeCell ref="BF465:BF468"/>
    <mergeCell ref="BG465:BG468"/>
    <mergeCell ref="BH465:BH468"/>
    <mergeCell ref="BC469:BC478"/>
    <mergeCell ref="BD469:BD478"/>
    <mergeCell ref="BE469:BE478"/>
    <mergeCell ref="BF469:BF478"/>
    <mergeCell ref="BG469:BG478"/>
    <mergeCell ref="BH469:BH478"/>
    <mergeCell ref="BC479:BC483"/>
    <mergeCell ref="BD479:BD483"/>
    <mergeCell ref="BE479:BE483"/>
    <mergeCell ref="BF479:BF483"/>
    <mergeCell ref="BG479:BG483"/>
    <mergeCell ref="BH479:BH483"/>
    <mergeCell ref="BC484:BC508"/>
    <mergeCell ref="BD484:BD508"/>
    <mergeCell ref="BE484:BE508"/>
    <mergeCell ref="BF484:BF508"/>
    <mergeCell ref="BG484:BG508"/>
    <mergeCell ref="BH484:BH508"/>
    <mergeCell ref="BC509:BC518"/>
    <mergeCell ref="BD509:BD518"/>
    <mergeCell ref="BE509:BE518"/>
    <mergeCell ref="BF509:BF518"/>
    <mergeCell ref="BG509:BG518"/>
    <mergeCell ref="BH509:BH518"/>
    <mergeCell ref="BC519:BC526"/>
    <mergeCell ref="BD519:BD526"/>
    <mergeCell ref="BE519:BE526"/>
    <mergeCell ref="BF519:BF526"/>
    <mergeCell ref="BG519:BG526"/>
    <mergeCell ref="BH519:BH526"/>
    <mergeCell ref="BC527:BC530"/>
    <mergeCell ref="BD527:BD530"/>
    <mergeCell ref="BE527:BE530"/>
    <mergeCell ref="BF527:BF530"/>
    <mergeCell ref="BG527:BG530"/>
    <mergeCell ref="BH527:BH530"/>
    <mergeCell ref="BC531:BC538"/>
    <mergeCell ref="BD531:BD538"/>
    <mergeCell ref="BE531:BE538"/>
    <mergeCell ref="BF531:BF538"/>
    <mergeCell ref="BG531:BG538"/>
    <mergeCell ref="BH531:BH538"/>
    <mergeCell ref="BC539:BC543"/>
    <mergeCell ref="BD539:BD543"/>
    <mergeCell ref="BE539:BE543"/>
    <mergeCell ref="BF539:BF543"/>
    <mergeCell ref="BG539:BG543"/>
    <mergeCell ref="BH539:BH543"/>
    <mergeCell ref="BC544:BC551"/>
    <mergeCell ref="BD544:BD551"/>
    <mergeCell ref="BE544:BE551"/>
    <mergeCell ref="BF544:BF551"/>
    <mergeCell ref="BG544:BG551"/>
    <mergeCell ref="BH544:BH551"/>
    <mergeCell ref="BC552:BC560"/>
    <mergeCell ref="BD552:BD560"/>
    <mergeCell ref="BE552:BE560"/>
    <mergeCell ref="BF552:BF560"/>
    <mergeCell ref="BG552:BG560"/>
    <mergeCell ref="BH552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0"/>
    <mergeCell ref="BD568:BD570"/>
    <mergeCell ref="BE568:BE570"/>
    <mergeCell ref="BF568:BF570"/>
    <mergeCell ref="BG568:BG570"/>
    <mergeCell ref="BH568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7"/>
    <mergeCell ref="BD585:BD587"/>
    <mergeCell ref="BE585:BE587"/>
    <mergeCell ref="BF585:BF587"/>
    <mergeCell ref="BG585:BG587"/>
    <mergeCell ref="BH585:BH587"/>
    <mergeCell ref="BC588:BC589"/>
    <mergeCell ref="BD588:BD589"/>
    <mergeCell ref="BE588:BE589"/>
    <mergeCell ref="BF588:BF589"/>
    <mergeCell ref="BG588:BG589"/>
    <mergeCell ref="BH588:BH589"/>
    <mergeCell ref="BC596:BC599"/>
    <mergeCell ref="BD596:BD599"/>
    <mergeCell ref="BE596:BE599"/>
    <mergeCell ref="BF596:BF599"/>
    <mergeCell ref="BG596:BG599"/>
    <mergeCell ref="BH596:BH599"/>
    <mergeCell ref="BC600:BC602"/>
    <mergeCell ref="BD600:BD602"/>
    <mergeCell ref="BE600:BE602"/>
    <mergeCell ref="BF600:BF602"/>
    <mergeCell ref="BG600:BG602"/>
    <mergeCell ref="BH600:BH602"/>
    <mergeCell ref="BC603:BC606"/>
    <mergeCell ref="BD603:BD606"/>
    <mergeCell ref="BE603:BE606"/>
    <mergeCell ref="BF603:BF606"/>
    <mergeCell ref="BG603:BG606"/>
    <mergeCell ref="BH603:BH606"/>
    <mergeCell ref="BC607:BC609"/>
    <mergeCell ref="BD607:BD609"/>
    <mergeCell ref="BE607:BE609"/>
    <mergeCell ref="BF607:BF609"/>
    <mergeCell ref="BG607:BG609"/>
    <mergeCell ref="BH607:BH609"/>
    <mergeCell ref="BC610:BC613"/>
    <mergeCell ref="BD610:BD613"/>
    <mergeCell ref="BE610:BE613"/>
    <mergeCell ref="BF610:BF613"/>
    <mergeCell ref="BG610:BG613"/>
    <mergeCell ref="BH610:BH613"/>
    <mergeCell ref="BC614:BC619"/>
    <mergeCell ref="BD614:BD619"/>
    <mergeCell ref="BE614:BE619"/>
    <mergeCell ref="BF614:BF619"/>
    <mergeCell ref="BG614:BG619"/>
    <mergeCell ref="BH614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9:BC630"/>
    <mergeCell ref="BD629:BD630"/>
    <mergeCell ref="BE629:BE630"/>
    <mergeCell ref="BF629:BF630"/>
    <mergeCell ref="BG629:BG630"/>
    <mergeCell ref="BH629:BH630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3"/>
    <mergeCell ref="BD641:BD643"/>
    <mergeCell ref="BE641:BE643"/>
    <mergeCell ref="BF641:BF643"/>
    <mergeCell ref="BG641:BG643"/>
    <mergeCell ref="BH641:BH643"/>
    <mergeCell ref="BC644:BC646"/>
    <mergeCell ref="BD644:BD646"/>
    <mergeCell ref="BE644:BE646"/>
    <mergeCell ref="BF644:BF646"/>
    <mergeCell ref="BG644:BG646"/>
    <mergeCell ref="BH644:BH646"/>
    <mergeCell ref="BC647:BC648"/>
    <mergeCell ref="BD647:BD648"/>
    <mergeCell ref="BE647:BE648"/>
    <mergeCell ref="BF647:BF648"/>
    <mergeCell ref="BG647:BG648"/>
    <mergeCell ref="BH647:BH648"/>
    <mergeCell ref="BC649:BC654"/>
    <mergeCell ref="BD649:BD654"/>
    <mergeCell ref="BE649:BE654"/>
    <mergeCell ref="BF649:BF654"/>
    <mergeCell ref="BG649:BG654"/>
    <mergeCell ref="BH649:BH654"/>
    <mergeCell ref="BC661:BC665"/>
    <mergeCell ref="BD661:BD665"/>
    <mergeCell ref="BE661:BE665"/>
    <mergeCell ref="BF661:BF665"/>
    <mergeCell ref="BG661:BG665"/>
    <mergeCell ref="BH661:BH665"/>
    <mergeCell ref="BC666:BC668"/>
    <mergeCell ref="BD666:BD668"/>
    <mergeCell ref="BE666:BE668"/>
    <mergeCell ref="BF666:BF668"/>
    <mergeCell ref="BG666:BG668"/>
    <mergeCell ref="BH666:BH668"/>
    <mergeCell ref="BC669:BC672"/>
    <mergeCell ref="BD669:BD672"/>
    <mergeCell ref="BE669:BE672"/>
    <mergeCell ref="BF669:BF672"/>
    <mergeCell ref="BG669:BG672"/>
    <mergeCell ref="BH669:BH672"/>
    <mergeCell ref="BC673:BC675"/>
    <mergeCell ref="BD673:BD675"/>
    <mergeCell ref="BE673:BE675"/>
    <mergeCell ref="BF673:BF675"/>
    <mergeCell ref="BG673:BG675"/>
    <mergeCell ref="BH673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9"/>
    <mergeCell ref="BD692:BD699"/>
    <mergeCell ref="BE692:BE699"/>
    <mergeCell ref="BF692:BF699"/>
    <mergeCell ref="BG692:BG699"/>
    <mergeCell ref="BH692:BH699"/>
    <mergeCell ref="BC700:BC702"/>
    <mergeCell ref="BD700:BD702"/>
    <mergeCell ref="BE700:BE702"/>
    <mergeCell ref="BF700:BF702"/>
    <mergeCell ref="BG700:BG702"/>
    <mergeCell ref="BH700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3"/>
    <mergeCell ref="BD741:BD743"/>
    <mergeCell ref="BE741:BE743"/>
    <mergeCell ref="BF741:BF743"/>
    <mergeCell ref="BG741:BG743"/>
    <mergeCell ref="BH741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52"/>
    <mergeCell ref="BD748:BD752"/>
    <mergeCell ref="BE748:BE752"/>
    <mergeCell ref="BF748:BF752"/>
    <mergeCell ref="BG748:BG752"/>
    <mergeCell ref="BH748:BH752"/>
    <mergeCell ref="BC754:BC759"/>
    <mergeCell ref="BD754:BD759"/>
    <mergeCell ref="BE754:BE759"/>
    <mergeCell ref="BF754:BF759"/>
    <mergeCell ref="BG754:BG759"/>
    <mergeCell ref="BH754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9"/>
    <mergeCell ref="BD766:BD769"/>
    <mergeCell ref="BE766:BE769"/>
    <mergeCell ref="BF766:BF769"/>
    <mergeCell ref="BG766:BG769"/>
    <mergeCell ref="BH766:BH769"/>
    <mergeCell ref="BC770:BC777"/>
    <mergeCell ref="BD770:BD777"/>
    <mergeCell ref="BE770:BE777"/>
    <mergeCell ref="BF770:BF777"/>
    <mergeCell ref="BG770:BG777"/>
    <mergeCell ref="BH770:BH777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91"/>
    <mergeCell ref="BD786:BD791"/>
    <mergeCell ref="BE786:BE791"/>
    <mergeCell ref="BF786:BF791"/>
    <mergeCell ref="BG786:BG791"/>
    <mergeCell ref="BH786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2:BC817"/>
    <mergeCell ref="BD812:BD817"/>
    <mergeCell ref="BE812:BE817"/>
    <mergeCell ref="BF812:BF817"/>
    <mergeCell ref="BG812:BG817"/>
    <mergeCell ref="BH812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7"/>
    <mergeCell ref="BD824:BD827"/>
    <mergeCell ref="BE824:BE827"/>
    <mergeCell ref="BF824:BF827"/>
    <mergeCell ref="BG824:BG827"/>
    <mergeCell ref="BH824:BH827"/>
    <mergeCell ref="BC828:BC835"/>
    <mergeCell ref="BD828:BD835"/>
    <mergeCell ref="BE828:BE835"/>
    <mergeCell ref="BF828:BF835"/>
    <mergeCell ref="BG828:BG835"/>
    <mergeCell ref="BH828:BH835"/>
    <mergeCell ref="BC836:BC839"/>
    <mergeCell ref="BD836:BD839"/>
    <mergeCell ref="BE836:BE839"/>
    <mergeCell ref="BF836:BF839"/>
    <mergeCell ref="BG836:BG839"/>
    <mergeCell ref="BH836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9"/>
    <mergeCell ref="BD844:BD849"/>
    <mergeCell ref="BE844:BE849"/>
    <mergeCell ref="BF844:BF849"/>
    <mergeCell ref="BG844:BG849"/>
    <mergeCell ref="BH844:BH849"/>
    <mergeCell ref="BC850:BC853"/>
    <mergeCell ref="BD850:BD853"/>
    <mergeCell ref="BE850:BE853"/>
    <mergeCell ref="BF850:BF853"/>
    <mergeCell ref="BG850:BG853"/>
    <mergeCell ref="BH850:BH853"/>
    <mergeCell ref="BC854:BC857"/>
    <mergeCell ref="BD854:BD857"/>
    <mergeCell ref="BE854:BE857"/>
    <mergeCell ref="BF854:BF857"/>
    <mergeCell ref="BG854:BG857"/>
    <mergeCell ref="BH854:BH857"/>
    <mergeCell ref="BC858:BC861"/>
    <mergeCell ref="BD858:BD861"/>
    <mergeCell ref="BE858:BE861"/>
    <mergeCell ref="BF858:BF861"/>
    <mergeCell ref="BG858:BG861"/>
    <mergeCell ref="BH858:BH861"/>
    <mergeCell ref="BC862:BC863"/>
    <mergeCell ref="BD862:BD863"/>
    <mergeCell ref="BE862:BE863"/>
    <mergeCell ref="BF862:BF863"/>
    <mergeCell ref="BG862:BG863"/>
    <mergeCell ref="BH862:BH863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3:BC880"/>
    <mergeCell ref="BD873:BD880"/>
    <mergeCell ref="BE873:BE880"/>
    <mergeCell ref="BF873:BF880"/>
    <mergeCell ref="BG873:BG880"/>
    <mergeCell ref="BH873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2"/>
    <mergeCell ref="BD901:BD902"/>
    <mergeCell ref="BE901:BE902"/>
    <mergeCell ref="BF901:BF902"/>
    <mergeCell ref="BG901:BG902"/>
    <mergeCell ref="BH901:BH902"/>
    <mergeCell ref="BC903:BC906"/>
    <mergeCell ref="BD903:BD906"/>
    <mergeCell ref="BE903:BE906"/>
    <mergeCell ref="BF903:BF906"/>
    <mergeCell ref="BG903:BG906"/>
    <mergeCell ref="BH903:BH906"/>
    <mergeCell ref="BC907:BC908"/>
    <mergeCell ref="BD907:BD908"/>
    <mergeCell ref="BE907:BE908"/>
    <mergeCell ref="BF907:BF908"/>
    <mergeCell ref="BG907:BG908"/>
    <mergeCell ref="BH907:BH908"/>
    <mergeCell ref="BC909:BC914"/>
    <mergeCell ref="BD909:BD914"/>
    <mergeCell ref="BE909:BE914"/>
    <mergeCell ref="BF909:BF914"/>
    <mergeCell ref="BG909:BG914"/>
    <mergeCell ref="BH909:BH914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6"/>
    <mergeCell ref="BD923:BD926"/>
    <mergeCell ref="BE923:BE926"/>
    <mergeCell ref="BF923:BF926"/>
    <mergeCell ref="BG923:BG926"/>
    <mergeCell ref="BH923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40"/>
    <mergeCell ref="BD937:BD940"/>
    <mergeCell ref="BE937:BE940"/>
    <mergeCell ref="BF937:BF940"/>
    <mergeCell ref="BG937:BG940"/>
    <mergeCell ref="BH937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6:BC951"/>
    <mergeCell ref="BD946:BD951"/>
    <mergeCell ref="BE946:BE951"/>
    <mergeCell ref="BF946:BF951"/>
    <mergeCell ref="BG946:BG951"/>
    <mergeCell ref="BH946:BH951"/>
    <mergeCell ref="BC952:BC969"/>
    <mergeCell ref="BD952:BD969"/>
    <mergeCell ref="BE952:BE969"/>
    <mergeCell ref="BF952:BF969"/>
    <mergeCell ref="BG952:BG969"/>
    <mergeCell ref="BH952:BH969"/>
    <mergeCell ref="BC970:BC981"/>
    <mergeCell ref="BD970:BD981"/>
    <mergeCell ref="BE970:BE981"/>
    <mergeCell ref="BF970:BF981"/>
    <mergeCell ref="BG970:BG981"/>
    <mergeCell ref="BH970:BH981"/>
    <mergeCell ref="BC982:BC987"/>
    <mergeCell ref="BD982:BD987"/>
    <mergeCell ref="BE982:BE987"/>
    <mergeCell ref="BF982:BF987"/>
    <mergeCell ref="BG982:BG987"/>
    <mergeCell ref="BH982:BH987"/>
    <mergeCell ref="BC988:BC999"/>
    <mergeCell ref="BD988:BD999"/>
    <mergeCell ref="BE988:BE999"/>
    <mergeCell ref="BF988:BF999"/>
    <mergeCell ref="BG988:BG999"/>
    <mergeCell ref="BH988:BH999"/>
    <mergeCell ref="BC1000:BC1008"/>
    <mergeCell ref="BD1000:BD1008"/>
    <mergeCell ref="BE1000:BE1008"/>
    <mergeCell ref="BF1000:BF1008"/>
    <mergeCell ref="BG1000:BG1008"/>
    <mergeCell ref="BH1000:BH1008"/>
    <mergeCell ref="BC1009:BC1023"/>
    <mergeCell ref="BD1009:BD1023"/>
    <mergeCell ref="BE1009:BE1023"/>
    <mergeCell ref="BF1009:BF1023"/>
    <mergeCell ref="BG1009:BG1023"/>
    <mergeCell ref="BH1009:BH1023"/>
    <mergeCell ref="BC1024:BC1088"/>
    <mergeCell ref="BD1024:BD1088"/>
    <mergeCell ref="BE1024:BE1088"/>
    <mergeCell ref="BF1024:BF1088"/>
    <mergeCell ref="BG1024:BG1088"/>
    <mergeCell ref="BH1024:BH1088"/>
    <mergeCell ref="BC1089:BC1100"/>
    <mergeCell ref="BD1089:BD1100"/>
    <mergeCell ref="BE1089:BE1100"/>
    <mergeCell ref="BF1089:BF1100"/>
    <mergeCell ref="BG1089:BG1100"/>
    <mergeCell ref="BH1089:BH1100"/>
    <mergeCell ref="BC1101:BC1165"/>
    <mergeCell ref="BD1101:BD1165"/>
    <mergeCell ref="BE1101:BE1165"/>
    <mergeCell ref="BF1101:BF1165"/>
    <mergeCell ref="BG1101:BG1165"/>
    <mergeCell ref="BH1101:BH1165"/>
    <mergeCell ref="BC1166:BC1177"/>
    <mergeCell ref="BD1166:BD1177"/>
    <mergeCell ref="BE1166:BE1177"/>
    <mergeCell ref="BF1166:BF1177"/>
    <mergeCell ref="BG1166:BG1177"/>
    <mergeCell ref="BH1166:BH1177"/>
    <mergeCell ref="BC1199:BC1201"/>
    <mergeCell ref="BD1199:BD1201"/>
    <mergeCell ref="BE1199:BE1201"/>
    <mergeCell ref="BF1199:BF1201"/>
    <mergeCell ref="BG1199:BG1201"/>
    <mergeCell ref="BH1199:BH1201"/>
    <mergeCell ref="BC1206:BC1207"/>
    <mergeCell ref="BD1206:BD1207"/>
    <mergeCell ref="BE1206:BE1207"/>
    <mergeCell ref="BF1206:BF1207"/>
    <mergeCell ref="BG1206:BG1207"/>
    <mergeCell ref="BH1206:BH1207"/>
    <mergeCell ref="BC1213:BC1215"/>
    <mergeCell ref="BD1213:BD1215"/>
    <mergeCell ref="BE1213:BE1215"/>
    <mergeCell ref="BF1213:BF1215"/>
    <mergeCell ref="BG1213:BG1215"/>
    <mergeCell ref="BH1213:BH1215"/>
    <mergeCell ref="BC1218:BC1219"/>
    <mergeCell ref="BD1218:BD1219"/>
    <mergeCell ref="BE1218:BE1219"/>
    <mergeCell ref="BF1218:BF1219"/>
    <mergeCell ref="BG1218:BG1219"/>
    <mergeCell ref="BH1218:BH1219"/>
    <mergeCell ref="BC1221:BC1222"/>
    <mergeCell ref="BD1221:BD1222"/>
    <mergeCell ref="BE1221:BE1222"/>
    <mergeCell ref="BF1221:BF1222"/>
    <mergeCell ref="BG1221:BG1222"/>
    <mergeCell ref="BH1221:BH1222"/>
    <mergeCell ref="BC1223:BC1225"/>
    <mergeCell ref="BD1223:BD1225"/>
    <mergeCell ref="BE1223:BE1225"/>
    <mergeCell ref="BF1223:BF1225"/>
    <mergeCell ref="BG1223:BG1225"/>
    <mergeCell ref="BH1223:BH1225"/>
    <mergeCell ref="BC1235:BC1236"/>
    <mergeCell ref="BD1235:BD1236"/>
    <mergeCell ref="BE1235:BE1236"/>
    <mergeCell ref="BF1235:BF1236"/>
    <mergeCell ref="BG1235:BG1236"/>
    <mergeCell ref="BH1235:BH1236"/>
    <mergeCell ref="BC1237:BC1238"/>
    <mergeCell ref="BD1237:BD1238"/>
    <mergeCell ref="BE1237:BE1238"/>
    <mergeCell ref="BF1237:BF1238"/>
    <mergeCell ref="BG1237:BG1238"/>
    <mergeCell ref="BH1237:BH1238"/>
    <mergeCell ref="BC1244:BC1245"/>
    <mergeCell ref="BD1244:BD1245"/>
    <mergeCell ref="BE1244:BE1245"/>
    <mergeCell ref="BF1244:BF1245"/>
    <mergeCell ref="BG1244:BG1245"/>
    <mergeCell ref="BH1244:BH1245"/>
    <mergeCell ref="BC1252:BC1253"/>
    <mergeCell ref="BD1252:BD1253"/>
    <mergeCell ref="BE1252:BE1253"/>
    <mergeCell ref="BF1252:BF1253"/>
    <mergeCell ref="BG1252:BG1253"/>
    <mergeCell ref="BH1252:BH1253"/>
    <mergeCell ref="BC1256:BC1263"/>
    <mergeCell ref="BD1256:BD1263"/>
    <mergeCell ref="BE1256:BE1263"/>
    <mergeCell ref="BF1256:BF1263"/>
    <mergeCell ref="BG1256:BG1263"/>
    <mergeCell ref="BH1256:BH1263"/>
    <mergeCell ref="BC1264:BC1265"/>
    <mergeCell ref="BD1264:BD1265"/>
    <mergeCell ref="BE1264:BE1265"/>
    <mergeCell ref="BF1264:BF1265"/>
    <mergeCell ref="BG1264:BG1265"/>
    <mergeCell ref="BH1264:BH1265"/>
    <mergeCell ref="BC1270:BC1271"/>
    <mergeCell ref="BD1270:BD1271"/>
    <mergeCell ref="BE1270:BE1271"/>
    <mergeCell ref="BF1270:BF1271"/>
    <mergeCell ref="BG1270:BG1271"/>
    <mergeCell ref="BH1270:BH1271"/>
    <mergeCell ref="BC1280:BC1281"/>
    <mergeCell ref="BD1280:BD1281"/>
    <mergeCell ref="BE1280:BE1281"/>
    <mergeCell ref="BF1280:BF1281"/>
    <mergeCell ref="BG1280:BG1281"/>
    <mergeCell ref="BH1280:BH1281"/>
    <mergeCell ref="BC1286:BC1291"/>
    <mergeCell ref="BD1286:BD1291"/>
    <mergeCell ref="BE1286:BE1291"/>
    <mergeCell ref="BF1286:BF1291"/>
    <mergeCell ref="BG1286:BG1291"/>
    <mergeCell ref="BH1286:BH1291"/>
    <mergeCell ref="BC1292:BC1295"/>
    <mergeCell ref="BD1292:BD1295"/>
    <mergeCell ref="BE1292:BE1295"/>
    <mergeCell ref="BF1292:BF1295"/>
    <mergeCell ref="BG1292:BG1295"/>
    <mergeCell ref="BH1292:BH1295"/>
    <mergeCell ref="BC1296:BC1320"/>
    <mergeCell ref="BD1296:BD1320"/>
    <mergeCell ref="BE1296:BE1320"/>
    <mergeCell ref="BF1296:BF1320"/>
    <mergeCell ref="BG1296:BG1320"/>
    <mergeCell ref="BH1296:BH1320"/>
    <mergeCell ref="BC1321:BC1334"/>
    <mergeCell ref="BD1321:BD1334"/>
    <mergeCell ref="BE1321:BE1334"/>
    <mergeCell ref="BF1321:BF1334"/>
    <mergeCell ref="BG1321:BG1334"/>
    <mergeCell ref="BH1321:BH1334"/>
    <mergeCell ref="BC1335:BC1340"/>
    <mergeCell ref="BD1335:BD1340"/>
    <mergeCell ref="BE1335:BE1340"/>
    <mergeCell ref="BF1335:BF1340"/>
    <mergeCell ref="BG1335:BG1340"/>
    <mergeCell ref="BH1335:BH1340"/>
    <mergeCell ref="BC1341:BC1348"/>
    <mergeCell ref="BD1341:BD1348"/>
    <mergeCell ref="BE1341:BE1348"/>
    <mergeCell ref="BF1341:BF1348"/>
    <mergeCell ref="BG1341:BG1348"/>
    <mergeCell ref="BH1341:BH1348"/>
    <mergeCell ref="BC1349:BC1351"/>
    <mergeCell ref="BD1349:BD1351"/>
    <mergeCell ref="BE1349:BE1351"/>
    <mergeCell ref="BF1349:BF1351"/>
    <mergeCell ref="BG1349:BG1351"/>
    <mergeCell ref="BH1349:BH1351"/>
    <mergeCell ref="BC1352:BC1355"/>
    <mergeCell ref="BD1352:BD1355"/>
    <mergeCell ref="BE1352:BE1355"/>
    <mergeCell ref="BF1352:BF1355"/>
    <mergeCell ref="BG1352:BG1355"/>
    <mergeCell ref="BH1352:BH1355"/>
    <mergeCell ref="BC1356:BC1359"/>
    <mergeCell ref="BD1356:BD1359"/>
    <mergeCell ref="BE1356:BE1359"/>
    <mergeCell ref="BF1356:BF1359"/>
    <mergeCell ref="BG1356:BG1359"/>
    <mergeCell ref="BH1356:BH1359"/>
    <mergeCell ref="BC1360:BC1364"/>
    <mergeCell ref="BD1360:BD1364"/>
    <mergeCell ref="BE1360:BE1364"/>
    <mergeCell ref="BF1360:BF1364"/>
    <mergeCell ref="BG1360:BG1364"/>
    <mergeCell ref="BH1360:BH1364"/>
    <mergeCell ref="BC1365:BC1369"/>
    <mergeCell ref="BD1365:BD1369"/>
    <mergeCell ref="BE1365:BE1369"/>
    <mergeCell ref="BF1365:BF1369"/>
    <mergeCell ref="BG1365:BG1369"/>
    <mergeCell ref="BH1365:BH1369"/>
    <mergeCell ref="BC1370:BC1373"/>
    <mergeCell ref="BD1370:BD1373"/>
    <mergeCell ref="BE1370:BE1373"/>
    <mergeCell ref="BF1370:BF1373"/>
    <mergeCell ref="BG1370:BG1373"/>
    <mergeCell ref="BH1370:BH1373"/>
    <mergeCell ref="BC1374:BC1378"/>
    <mergeCell ref="BD1374:BD1378"/>
    <mergeCell ref="BE1374:BE1378"/>
    <mergeCell ref="BF1374:BF1378"/>
    <mergeCell ref="BG1374:BG1378"/>
    <mergeCell ref="BH1374:BH1378"/>
    <mergeCell ref="BC1379:BC1383"/>
    <mergeCell ref="BD1379:BD1383"/>
    <mergeCell ref="BE1379:BE1383"/>
    <mergeCell ref="BF1379:BF1383"/>
    <mergeCell ref="BG1379:BG1383"/>
    <mergeCell ref="BH1379:BH1383"/>
    <mergeCell ref="BC1384:BC1388"/>
    <mergeCell ref="BD1384:BD1388"/>
    <mergeCell ref="BE1384:BE1388"/>
    <mergeCell ref="BF1384:BF1388"/>
    <mergeCell ref="BG1384:BG1388"/>
    <mergeCell ref="BH1384:BH1388"/>
    <mergeCell ref="BC1389:BC1394"/>
    <mergeCell ref="BD1389:BD1394"/>
    <mergeCell ref="BE1389:BE1394"/>
    <mergeCell ref="BF1389:BF1394"/>
    <mergeCell ref="BG1389:BG1394"/>
    <mergeCell ref="BH1389:BH1394"/>
    <mergeCell ref="BC1396:BC1397"/>
    <mergeCell ref="BD1396:BD1397"/>
    <mergeCell ref="BE1396:BE1397"/>
    <mergeCell ref="BF1396:BF1397"/>
    <mergeCell ref="BG1396:BG1397"/>
    <mergeCell ref="BH1396:BH1397"/>
    <mergeCell ref="BC1398:BC1401"/>
    <mergeCell ref="BD1398:BD1401"/>
    <mergeCell ref="BE1398:BE1401"/>
    <mergeCell ref="BF1398:BF1401"/>
    <mergeCell ref="BG1398:BG1401"/>
    <mergeCell ref="BH1398:BH1401"/>
    <mergeCell ref="BC1402:BC1404"/>
    <mergeCell ref="BD1402:BD1404"/>
    <mergeCell ref="BE1402:BE1404"/>
    <mergeCell ref="BF1402:BF1404"/>
    <mergeCell ref="BG1402:BG1404"/>
    <mergeCell ref="BH1402:BH1404"/>
    <mergeCell ref="BC1405:BC1407"/>
    <mergeCell ref="BD1405:BD1407"/>
    <mergeCell ref="BE1405:BE1407"/>
    <mergeCell ref="BF1405:BF1407"/>
    <mergeCell ref="BG1405:BG1407"/>
    <mergeCell ref="BH1405:BH1407"/>
    <mergeCell ref="BC1408:BC1410"/>
    <mergeCell ref="BD1408:BD1410"/>
    <mergeCell ref="BE1408:BE1410"/>
    <mergeCell ref="BF1408:BF1410"/>
    <mergeCell ref="BG1408:BG1410"/>
    <mergeCell ref="BH1408:BH1410"/>
    <mergeCell ref="BC1411:BC1412"/>
    <mergeCell ref="BD1411:BD1412"/>
    <mergeCell ref="BE1411:BE1412"/>
    <mergeCell ref="BF1411:BF1412"/>
    <mergeCell ref="BG1411:BG1412"/>
    <mergeCell ref="BH1411:BH1412"/>
    <mergeCell ref="BC1413:BC1415"/>
    <mergeCell ref="BD1413:BD1415"/>
    <mergeCell ref="BE1413:BE1415"/>
    <mergeCell ref="BF1413:BF1415"/>
    <mergeCell ref="BG1413:BG1415"/>
    <mergeCell ref="BH1413:BH1415"/>
    <mergeCell ref="BC1417:BC1418"/>
    <mergeCell ref="BD1417:BD1418"/>
    <mergeCell ref="BE1417:BE1418"/>
    <mergeCell ref="BF1417:BF1418"/>
    <mergeCell ref="BG1417:BG1418"/>
    <mergeCell ref="BH1417:BH1418"/>
    <mergeCell ref="BC1420:BC1422"/>
    <mergeCell ref="BD1420:BD1422"/>
    <mergeCell ref="BE1420:BE1422"/>
    <mergeCell ref="BF1420:BF1422"/>
    <mergeCell ref="BG1420:BG1422"/>
    <mergeCell ref="BH1420:BH1422"/>
    <mergeCell ref="BC1424:BC1432"/>
    <mergeCell ref="BD1424:BD1432"/>
    <mergeCell ref="BE1424:BE1432"/>
    <mergeCell ref="BF1424:BF1432"/>
    <mergeCell ref="BG1424:BG1432"/>
    <mergeCell ref="BH1424:BH1432"/>
    <mergeCell ref="BC1433:BC1435"/>
    <mergeCell ref="BD1433:BD1435"/>
    <mergeCell ref="BE1433:BE1435"/>
    <mergeCell ref="BF1433:BF1435"/>
    <mergeCell ref="BG1433:BG1435"/>
    <mergeCell ref="BH1433:BH1435"/>
    <mergeCell ref="BC1436:BC1447"/>
    <mergeCell ref="BD1436:BD1447"/>
    <mergeCell ref="BE1436:BE1447"/>
    <mergeCell ref="BF1436:BF1447"/>
    <mergeCell ref="BG1436:BG1447"/>
    <mergeCell ref="BH1436:BH1447"/>
    <mergeCell ref="BC1448:BC1451"/>
    <mergeCell ref="BD1448:BD1451"/>
    <mergeCell ref="BE1448:BE1451"/>
    <mergeCell ref="BF1448:BF1451"/>
    <mergeCell ref="BG1448:BG1451"/>
    <mergeCell ref="BH1448:BH1451"/>
    <mergeCell ref="BC1452:BC1457"/>
    <mergeCell ref="BD1452:BD1457"/>
    <mergeCell ref="BE1452:BE1457"/>
    <mergeCell ref="BF1452:BF1457"/>
    <mergeCell ref="BG1452:BG1457"/>
    <mergeCell ref="BH1452:BH1457"/>
    <mergeCell ref="BC1458:BC1463"/>
    <mergeCell ref="BD1458:BD1463"/>
    <mergeCell ref="BE1458:BE1463"/>
    <mergeCell ref="BF1458:BF1463"/>
    <mergeCell ref="BG1458:BG1463"/>
    <mergeCell ref="BH1458:BH1463"/>
    <mergeCell ref="BC1464:BC1465"/>
    <mergeCell ref="BD1464:BD1465"/>
    <mergeCell ref="BE1464:BE1465"/>
    <mergeCell ref="BF1464:BF1465"/>
    <mergeCell ref="BG1464:BG1465"/>
    <mergeCell ref="BH1464:BH1465"/>
    <mergeCell ref="BC1466:BC1471"/>
    <mergeCell ref="BD1466:BD1471"/>
    <mergeCell ref="BE1466:BE1471"/>
    <mergeCell ref="BF1466:BF1471"/>
    <mergeCell ref="BG1466:BG1471"/>
    <mergeCell ref="BH1466:BH1471"/>
    <mergeCell ref="BC1473:BC1475"/>
    <mergeCell ref="BD1473:BD1475"/>
    <mergeCell ref="BE1473:BE1475"/>
    <mergeCell ref="BF1473:BF1475"/>
    <mergeCell ref="BG1473:BG1475"/>
    <mergeCell ref="BH1473:BH1475"/>
    <mergeCell ref="BC1476:BC1478"/>
    <mergeCell ref="BD1476:BD1478"/>
    <mergeCell ref="BE1476:BE1478"/>
    <mergeCell ref="BF1476:BF1478"/>
    <mergeCell ref="BG1476:BG1478"/>
    <mergeCell ref="BH1476:BH1478"/>
    <mergeCell ref="BC1479:BC1482"/>
    <mergeCell ref="BD1479:BD1482"/>
    <mergeCell ref="BE1479:BE1482"/>
    <mergeCell ref="BF1479:BF1482"/>
    <mergeCell ref="BG1479:BG1482"/>
    <mergeCell ref="BH1479:BH1482"/>
    <mergeCell ref="BC1483:BC1486"/>
    <mergeCell ref="BD1483:BD1486"/>
    <mergeCell ref="BE1483:BE1486"/>
    <mergeCell ref="BF1483:BF1486"/>
    <mergeCell ref="BG1483:BG1486"/>
    <mergeCell ref="BH1483:BH1486"/>
    <mergeCell ref="BC1487:BC1495"/>
    <mergeCell ref="BD1487:BD1495"/>
    <mergeCell ref="BE1487:BE1495"/>
    <mergeCell ref="BF1487:BF1495"/>
    <mergeCell ref="BG1487:BG1495"/>
    <mergeCell ref="BH1487:BH1495"/>
    <mergeCell ref="BC1496:BC1497"/>
    <mergeCell ref="BD1496:BD1497"/>
    <mergeCell ref="BE1496:BE1497"/>
    <mergeCell ref="BF1496:BF1497"/>
    <mergeCell ref="BG1496:BG1497"/>
    <mergeCell ref="BH1496:BH1497"/>
    <mergeCell ref="BC1499:BC1527"/>
    <mergeCell ref="BD1499:BD1527"/>
    <mergeCell ref="BE1499:BE1527"/>
    <mergeCell ref="BF1499:BF1527"/>
    <mergeCell ref="BG1499:BG1527"/>
    <mergeCell ref="BH1499:BH1527"/>
    <mergeCell ref="BC1528:BC1531"/>
    <mergeCell ref="BD1528:BD1531"/>
    <mergeCell ref="BE1528:BE1531"/>
    <mergeCell ref="BF1528:BF1531"/>
    <mergeCell ref="BG1528:BG1531"/>
    <mergeCell ref="BH1528:BH1531"/>
    <mergeCell ref="BC1532:BC1536"/>
    <mergeCell ref="BD1532:BD1536"/>
    <mergeCell ref="BE1532:BE1536"/>
    <mergeCell ref="BF1532:BF1536"/>
    <mergeCell ref="BG1532:BG1536"/>
    <mergeCell ref="BH1532:BH1536"/>
    <mergeCell ref="BC1537:BC1538"/>
    <mergeCell ref="BD1537:BD1538"/>
    <mergeCell ref="BE1537:BE1538"/>
    <mergeCell ref="BF1537:BF1538"/>
    <mergeCell ref="BG1537:BG1538"/>
    <mergeCell ref="BH1537:BH1538"/>
    <mergeCell ref="BC1539:BC1540"/>
    <mergeCell ref="BD1539:BD1540"/>
    <mergeCell ref="BE1539:BE1540"/>
    <mergeCell ref="BF1539:BF1540"/>
    <mergeCell ref="BG1539:BG1540"/>
    <mergeCell ref="BH1539:BH1540"/>
    <mergeCell ref="BC1544:BC1546"/>
    <mergeCell ref="BD1544:BD1546"/>
    <mergeCell ref="BE1544:BE1546"/>
    <mergeCell ref="BF1544:BF1546"/>
    <mergeCell ref="BG1544:BG1546"/>
    <mergeCell ref="BH1544:BH1546"/>
    <mergeCell ref="BC1547:BC1549"/>
    <mergeCell ref="BD1547:BD1549"/>
    <mergeCell ref="BE1547:BE1549"/>
    <mergeCell ref="BF1547:BF1549"/>
    <mergeCell ref="BG1547:BG1549"/>
    <mergeCell ref="BH1547:BH1549"/>
    <mergeCell ref="BC1550:BC1551"/>
    <mergeCell ref="BD1550:BD1551"/>
    <mergeCell ref="BE1550:BE1551"/>
    <mergeCell ref="BF1550:BF1551"/>
    <mergeCell ref="BG1550:BG1551"/>
    <mergeCell ref="BH1550:BH1551"/>
    <mergeCell ref="BC1552:BC1554"/>
    <mergeCell ref="BD1552:BD1554"/>
    <mergeCell ref="BE1552:BE1554"/>
    <mergeCell ref="BF1552:BF1554"/>
    <mergeCell ref="BG1552:BG1554"/>
    <mergeCell ref="BH1552:BH1554"/>
    <mergeCell ref="BC1556:BC1557"/>
    <mergeCell ref="BD1556:BD1557"/>
    <mergeCell ref="BE1556:BE1557"/>
    <mergeCell ref="BF1556:BF1557"/>
    <mergeCell ref="BG1556:BG1557"/>
    <mergeCell ref="BH1556:BH1557"/>
    <mergeCell ref="BC1562:BC1563"/>
    <mergeCell ref="BD1562:BD1563"/>
    <mergeCell ref="BE1562:BE1563"/>
    <mergeCell ref="BF1562:BF1563"/>
    <mergeCell ref="BG1562:BG1563"/>
    <mergeCell ref="BH1562:BH1563"/>
    <mergeCell ref="BC1566:BC1567"/>
    <mergeCell ref="BD1566:BD1567"/>
    <mergeCell ref="BE1566:BE1567"/>
    <mergeCell ref="BF1566:BF1567"/>
    <mergeCell ref="BG1566:BG1567"/>
    <mergeCell ref="BH1566:BH1567"/>
    <mergeCell ref="BC1571:BC1579"/>
    <mergeCell ref="BD1571:BD1579"/>
    <mergeCell ref="BE1571:BE1579"/>
    <mergeCell ref="BF1571:BF1579"/>
    <mergeCell ref="BG1571:BG1579"/>
    <mergeCell ref="BH1571:BH1579"/>
    <mergeCell ref="BC1580:BC1593"/>
    <mergeCell ref="BD1580:BD1593"/>
    <mergeCell ref="BE1580:BE1593"/>
    <mergeCell ref="BF1580:BF1593"/>
    <mergeCell ref="BG1580:BG1593"/>
    <mergeCell ref="BH1580:BH1593"/>
    <mergeCell ref="BC1594:BC1600"/>
    <mergeCell ref="BD1594:BD1600"/>
    <mergeCell ref="BE1594:BE1600"/>
    <mergeCell ref="BF1594:BF1600"/>
    <mergeCell ref="BG1594:BG1600"/>
    <mergeCell ref="BH1594:BH1600"/>
    <mergeCell ref="BC1601:BC1606"/>
    <mergeCell ref="BD1601:BD1606"/>
    <mergeCell ref="BE1601:BE1606"/>
    <mergeCell ref="BF1601:BF1606"/>
    <mergeCell ref="BG1601:BG1606"/>
    <mergeCell ref="BH1601:BH1606"/>
    <mergeCell ref="BC1607:BC1609"/>
    <mergeCell ref="BD1607:BD1609"/>
    <mergeCell ref="BE1607:BE1609"/>
    <mergeCell ref="BF1607:BF1609"/>
    <mergeCell ref="BG1607:BG1609"/>
    <mergeCell ref="BH1607:BH1609"/>
    <mergeCell ref="BC1610:BC1613"/>
    <mergeCell ref="BD1610:BD1613"/>
    <mergeCell ref="BE1610:BE1613"/>
    <mergeCell ref="BF1610:BF1613"/>
    <mergeCell ref="BG1610:BG1613"/>
    <mergeCell ref="BH1610:BH1613"/>
    <mergeCell ref="BC1614:BC1616"/>
    <mergeCell ref="BD1614:BD1616"/>
    <mergeCell ref="BE1614:BE1616"/>
    <mergeCell ref="BF1614:BF1616"/>
    <mergeCell ref="BG1614:BG1616"/>
    <mergeCell ref="BH1614:BH1616"/>
    <mergeCell ref="BC1618:BC1619"/>
    <mergeCell ref="BD1618:BD1619"/>
    <mergeCell ref="BE1618:BE1619"/>
    <mergeCell ref="BF1618:BF1619"/>
    <mergeCell ref="BG1618:BG1619"/>
    <mergeCell ref="BH1618:BH1619"/>
    <mergeCell ref="BC1621:BC1622"/>
    <mergeCell ref="BD1621:BD1622"/>
    <mergeCell ref="BE1621:BE1622"/>
    <mergeCell ref="BF1621:BF1622"/>
    <mergeCell ref="BG1621:BG1622"/>
    <mergeCell ref="BH1621:BH1622"/>
    <mergeCell ref="BC1623:BC1625"/>
    <mergeCell ref="BD1623:BD1625"/>
    <mergeCell ref="BE1623:BE1625"/>
    <mergeCell ref="BF1623:BF1625"/>
    <mergeCell ref="BG1623:BG1625"/>
    <mergeCell ref="BH1623:BH1625"/>
    <mergeCell ref="BC1628:BC1629"/>
    <mergeCell ref="BD1628:BD1629"/>
    <mergeCell ref="BE1628:BE1629"/>
    <mergeCell ref="BF1628:BF1629"/>
    <mergeCell ref="BG1628:BG1629"/>
    <mergeCell ref="BH1628:BH1629"/>
    <mergeCell ref="BC1630:BC1642"/>
    <mergeCell ref="BD1630:BD1642"/>
    <mergeCell ref="BE1630:BE1642"/>
    <mergeCell ref="BF1630:BF1642"/>
    <mergeCell ref="BG1630:BG1642"/>
    <mergeCell ref="BH1630:BH1642"/>
    <mergeCell ref="BC1643:BC1690"/>
    <mergeCell ref="BD1643:BD1690"/>
    <mergeCell ref="BE1643:BE1690"/>
    <mergeCell ref="BF1643:BF1690"/>
    <mergeCell ref="BG1643:BG1690"/>
    <mergeCell ref="BH1643:BH1690"/>
    <mergeCell ref="BC1691:BC1692"/>
    <mergeCell ref="BD1691:BD1692"/>
    <mergeCell ref="BE1691:BE1692"/>
    <mergeCell ref="BF1691:BF1692"/>
    <mergeCell ref="BG1691:BG1692"/>
    <mergeCell ref="BH1691:BH1692"/>
    <mergeCell ref="BC1695:BC1696"/>
    <mergeCell ref="BD1695:BD1696"/>
    <mergeCell ref="BE1695:BE1696"/>
    <mergeCell ref="BF1695:BF1696"/>
    <mergeCell ref="BG1695:BG1696"/>
    <mergeCell ref="BH1695:BH1696"/>
    <mergeCell ref="BC1699:BC1700"/>
    <mergeCell ref="BD1699:BD1700"/>
    <mergeCell ref="BE1699:BE1700"/>
    <mergeCell ref="BF1699:BF1700"/>
    <mergeCell ref="BG1699:BG1700"/>
    <mergeCell ref="BH1699:BH1700"/>
    <mergeCell ref="BC1701:BC1709"/>
    <mergeCell ref="BD1701:BD1709"/>
    <mergeCell ref="BE1701:BE1709"/>
    <mergeCell ref="BF1701:BF1709"/>
    <mergeCell ref="BG1701:BG1709"/>
    <mergeCell ref="BH1701:BH1709"/>
    <mergeCell ref="BC1710:BC1715"/>
    <mergeCell ref="BD1710:BD1715"/>
    <mergeCell ref="BE1710:BE1715"/>
    <mergeCell ref="BF1710:BF1715"/>
    <mergeCell ref="BG1710:BG1715"/>
    <mergeCell ref="BH1710:BH1715"/>
    <mergeCell ref="BC1716:BC1717"/>
    <mergeCell ref="BD1716:BD1717"/>
    <mergeCell ref="BE1716:BE1717"/>
    <mergeCell ref="BF1716:BF1717"/>
    <mergeCell ref="BG1716:BG1717"/>
    <mergeCell ref="BH1716:BH1717"/>
    <mergeCell ref="BC1719:BC1721"/>
    <mergeCell ref="BD1719:BD1721"/>
    <mergeCell ref="BE1719:BE1721"/>
    <mergeCell ref="BF1719:BF1721"/>
    <mergeCell ref="BG1719:BG1721"/>
    <mergeCell ref="BH1719:BH1721"/>
    <mergeCell ref="BC1723:BC1759"/>
    <mergeCell ref="BD1723:BD1759"/>
    <mergeCell ref="BE1723:BE1759"/>
    <mergeCell ref="BF1723:BF1759"/>
    <mergeCell ref="BG1723:BG1759"/>
    <mergeCell ref="BH1723:BH1759"/>
    <mergeCell ref="BC1760:BC1784"/>
    <mergeCell ref="BD1760:BD1784"/>
    <mergeCell ref="BE1760:BE1784"/>
    <mergeCell ref="BF1760:BF1784"/>
    <mergeCell ref="BG1760:BG1784"/>
    <mergeCell ref="BH1760:BH1784"/>
    <mergeCell ref="BC1785:BC1804"/>
    <mergeCell ref="BD1785:BD1804"/>
    <mergeCell ref="BE1785:BE1804"/>
    <mergeCell ref="BF1785:BF1804"/>
    <mergeCell ref="BG1785:BG1804"/>
    <mergeCell ref="BH1785:BH1804"/>
    <mergeCell ref="BC1805:BC1810"/>
    <mergeCell ref="BD1805:BD1810"/>
    <mergeCell ref="BE1805:BE1810"/>
    <mergeCell ref="BF1805:BF1810"/>
    <mergeCell ref="BG1805:BG1810"/>
    <mergeCell ref="BH1805:BH1810"/>
    <mergeCell ref="BC1811:BC1813"/>
    <mergeCell ref="BD1811:BD1813"/>
    <mergeCell ref="BE1811:BE1813"/>
    <mergeCell ref="BF1811:BF1813"/>
    <mergeCell ref="BG1811:BG1813"/>
    <mergeCell ref="BH1811:BH1813"/>
    <mergeCell ref="BC1814:BC1820"/>
    <mergeCell ref="BD1814:BD1820"/>
    <mergeCell ref="BE1814:BE1820"/>
    <mergeCell ref="BF1814:BF1820"/>
    <mergeCell ref="BG1814:BG1820"/>
    <mergeCell ref="BH1814:BH1820"/>
    <mergeCell ref="BC1821:BC1827"/>
    <mergeCell ref="BD1821:BD1827"/>
    <mergeCell ref="BE1821:BE1827"/>
    <mergeCell ref="BF1821:BF1827"/>
    <mergeCell ref="BG1821:BG1827"/>
    <mergeCell ref="BH1821:BH1827"/>
    <mergeCell ref="BC1828:BC1838"/>
    <mergeCell ref="BD1828:BD1838"/>
    <mergeCell ref="BE1828:BE1838"/>
    <mergeCell ref="BF1828:BF1838"/>
    <mergeCell ref="BG1828:BG1838"/>
    <mergeCell ref="BH1828:BH1838"/>
    <mergeCell ref="BC1839:BC1844"/>
    <mergeCell ref="BD1839:BD1844"/>
    <mergeCell ref="BE1839:BE1844"/>
    <mergeCell ref="BF1839:BF1844"/>
    <mergeCell ref="BG1839:BG1844"/>
    <mergeCell ref="BH1839:BH1844"/>
    <mergeCell ref="BC1845:BC1848"/>
    <mergeCell ref="BD1845:BD1848"/>
    <mergeCell ref="BE1845:BE1848"/>
    <mergeCell ref="BF1845:BF1848"/>
    <mergeCell ref="BG1845:BG1848"/>
    <mergeCell ref="BH1845:BH1848"/>
    <mergeCell ref="BC1849:BC1852"/>
    <mergeCell ref="BD1849:BD1852"/>
    <mergeCell ref="BE1849:BE1852"/>
    <mergeCell ref="BF1849:BF1852"/>
    <mergeCell ref="BG1849:BG1852"/>
    <mergeCell ref="BH1849:BH1852"/>
    <mergeCell ref="BC1853:BC1858"/>
    <mergeCell ref="BD1853:BD1858"/>
    <mergeCell ref="BE1853:BE1858"/>
    <mergeCell ref="BF1853:BF1858"/>
    <mergeCell ref="BG1853:BG1858"/>
    <mergeCell ref="BH1853:BH1858"/>
    <mergeCell ref="BC1859:BC1870"/>
    <mergeCell ref="BD1859:BD1870"/>
    <mergeCell ref="BE1859:BE1870"/>
    <mergeCell ref="BF1859:BF1870"/>
    <mergeCell ref="BG1859:BG1870"/>
    <mergeCell ref="BH1859:BH1870"/>
    <mergeCell ref="BC1871:BC1888"/>
    <mergeCell ref="BD1871:BD1888"/>
    <mergeCell ref="BE1871:BE1888"/>
    <mergeCell ref="BF1871:BF1888"/>
    <mergeCell ref="BG1871:BG1888"/>
    <mergeCell ref="BH1871:BH1888"/>
    <mergeCell ref="BC1889:BC1907"/>
    <mergeCell ref="BD1889:BD1907"/>
    <mergeCell ref="BE1889:BE1907"/>
    <mergeCell ref="BF1889:BF1907"/>
    <mergeCell ref="BG1889:BG1907"/>
    <mergeCell ref="BH1889:BH1907"/>
    <mergeCell ref="BC1908:BC1930"/>
    <mergeCell ref="BD1908:BD1930"/>
    <mergeCell ref="BE1908:BE1930"/>
    <mergeCell ref="BF1908:BF1930"/>
    <mergeCell ref="BG1908:BG1930"/>
    <mergeCell ref="BH1908:BH1930"/>
    <mergeCell ref="BC1931:BC1940"/>
    <mergeCell ref="BD1931:BD1940"/>
    <mergeCell ref="BE1931:BE1940"/>
    <mergeCell ref="BF1931:BF1940"/>
    <mergeCell ref="BG1931:BG1940"/>
    <mergeCell ref="BH1931:BH1940"/>
    <mergeCell ref="BC1941:BC1955"/>
    <mergeCell ref="BD1941:BD1955"/>
    <mergeCell ref="BE1941:BE1955"/>
    <mergeCell ref="BF1941:BF1955"/>
    <mergeCell ref="BG1941:BG1955"/>
    <mergeCell ref="BH1941:BH1955"/>
    <mergeCell ref="BC1956:BC1965"/>
    <mergeCell ref="BD1956:BD1965"/>
    <mergeCell ref="BE1956:BE1965"/>
    <mergeCell ref="BF1956:BF1965"/>
    <mergeCell ref="BG1956:BG1965"/>
    <mergeCell ref="BH1956:BH1965"/>
    <mergeCell ref="BC1966:BC1971"/>
    <mergeCell ref="BD1966:BD1971"/>
    <mergeCell ref="BE1966:BE1971"/>
    <mergeCell ref="BF1966:BF1971"/>
    <mergeCell ref="BG1966:BG1971"/>
    <mergeCell ref="BH1966:BH1971"/>
    <mergeCell ref="BC1972:BC1977"/>
    <mergeCell ref="BD1972:BD1977"/>
    <mergeCell ref="BE1972:BE1977"/>
    <mergeCell ref="BF1972:BF1977"/>
    <mergeCell ref="BG1972:BG1977"/>
    <mergeCell ref="BH1972:BH1977"/>
    <mergeCell ref="BC1978:BC1988"/>
    <mergeCell ref="BD1978:BD1988"/>
    <mergeCell ref="BE1978:BE1988"/>
    <mergeCell ref="BF1978:BF1988"/>
    <mergeCell ref="BG1978:BG1988"/>
    <mergeCell ref="BH1978:BH1988"/>
    <mergeCell ref="BC1989:BC1991"/>
    <mergeCell ref="BD1989:BD1991"/>
    <mergeCell ref="BE1989:BE1991"/>
    <mergeCell ref="BF1989:BF1991"/>
    <mergeCell ref="BG1989:BG1991"/>
    <mergeCell ref="BH1989:BH1991"/>
    <mergeCell ref="BC1992:BC1995"/>
    <mergeCell ref="BD1992:BD1995"/>
    <mergeCell ref="BE1992:BE1995"/>
    <mergeCell ref="BF1992:BF1995"/>
    <mergeCell ref="BG1992:BG1995"/>
    <mergeCell ref="BH1992:BH1995"/>
    <mergeCell ref="BC1996:BC2001"/>
    <mergeCell ref="BD1996:BD2001"/>
    <mergeCell ref="BE1996:BE2001"/>
    <mergeCell ref="BF1996:BF2001"/>
    <mergeCell ref="BG1996:BG2001"/>
    <mergeCell ref="BH1996:BH2001"/>
    <mergeCell ref="BC2002:BC2004"/>
    <mergeCell ref="BD2002:BD2004"/>
    <mergeCell ref="BE2002:BE2004"/>
    <mergeCell ref="BF2002:BF2004"/>
    <mergeCell ref="BG2002:BG2004"/>
    <mergeCell ref="BH2002:BH2004"/>
    <mergeCell ref="BC2005:BC2007"/>
    <mergeCell ref="BD2005:BD2007"/>
    <mergeCell ref="BE2005:BE2007"/>
    <mergeCell ref="BF2005:BF2007"/>
    <mergeCell ref="BG2005:BG2007"/>
    <mergeCell ref="BH2005:BH2007"/>
    <mergeCell ref="BC2008:BC2016"/>
    <mergeCell ref="BD2008:BD2016"/>
    <mergeCell ref="BE2008:BE2016"/>
    <mergeCell ref="BF2008:BF2016"/>
    <mergeCell ref="BG2008:BG2016"/>
    <mergeCell ref="BH2008:BH2016"/>
    <mergeCell ref="BC2017:BC2018"/>
    <mergeCell ref="BD2017:BD2018"/>
    <mergeCell ref="BE2017:BE2018"/>
    <mergeCell ref="BF2017:BF2018"/>
    <mergeCell ref="BG2017:BG2018"/>
    <mergeCell ref="BH2017:BH2018"/>
    <mergeCell ref="BC2019:BC2025"/>
    <mergeCell ref="BD2019:BD2025"/>
    <mergeCell ref="BE2019:BE2025"/>
    <mergeCell ref="BF2019:BF2025"/>
    <mergeCell ref="BG2019:BG2025"/>
    <mergeCell ref="BH2019:BH2025"/>
    <mergeCell ref="BC2026:BC2032"/>
    <mergeCell ref="BD2026:BD2032"/>
    <mergeCell ref="BE2026:BE2032"/>
    <mergeCell ref="BF2026:BF2032"/>
    <mergeCell ref="BG2026:BG2032"/>
    <mergeCell ref="BH2026:BH2032"/>
    <mergeCell ref="BC2033:BC2034"/>
    <mergeCell ref="BD2033:BD2034"/>
    <mergeCell ref="BE2033:BE2034"/>
    <mergeCell ref="BF2033:BF2034"/>
    <mergeCell ref="BG2033:BG2034"/>
    <mergeCell ref="BH2033:BH2034"/>
    <mergeCell ref="BC2035:BC2038"/>
    <mergeCell ref="BD2035:BD2038"/>
    <mergeCell ref="BE2035:BE2038"/>
    <mergeCell ref="BF2035:BF2038"/>
    <mergeCell ref="BG2035:BG2038"/>
    <mergeCell ref="BH2035:BH2038"/>
    <mergeCell ref="BC2039:BC2047"/>
    <mergeCell ref="BD2039:BD2047"/>
    <mergeCell ref="BE2039:BE2047"/>
    <mergeCell ref="BF2039:BF2047"/>
    <mergeCell ref="BG2039:BG2047"/>
    <mergeCell ref="BH2039:BH2047"/>
    <mergeCell ref="BC2048:BC2050"/>
    <mergeCell ref="BD2048:BD2050"/>
    <mergeCell ref="BE2048:BE2050"/>
    <mergeCell ref="BF2048:BF2050"/>
    <mergeCell ref="BG2048:BG2050"/>
    <mergeCell ref="BH2048:BH2050"/>
    <mergeCell ref="BC2051:BC2052"/>
    <mergeCell ref="BD2051:BD2052"/>
    <mergeCell ref="BE2051:BE2052"/>
    <mergeCell ref="BF2051:BF2052"/>
    <mergeCell ref="BG2051:BG2052"/>
    <mergeCell ref="BH2051:BH2052"/>
    <mergeCell ref="BC2053:BC2056"/>
    <mergeCell ref="BD2053:BD2056"/>
    <mergeCell ref="BE2053:BE2056"/>
    <mergeCell ref="BF2053:BF2056"/>
    <mergeCell ref="BG2053:BG2056"/>
    <mergeCell ref="BH2053:BH2056"/>
    <mergeCell ref="BC2057:BC2059"/>
    <mergeCell ref="BD2057:BD2059"/>
    <mergeCell ref="BE2057:BE2059"/>
    <mergeCell ref="BF2057:BF2059"/>
    <mergeCell ref="BG2057:BG2059"/>
    <mergeCell ref="BH2057:BH2059"/>
    <mergeCell ref="BC2060:BC2063"/>
    <mergeCell ref="BD2060:BD2063"/>
    <mergeCell ref="BE2060:BE2063"/>
    <mergeCell ref="BF2060:BF2063"/>
    <mergeCell ref="BG2060:BG2063"/>
    <mergeCell ref="BH2060:BH2063"/>
    <mergeCell ref="BC2064:BC2067"/>
    <mergeCell ref="BD2064:BD2067"/>
    <mergeCell ref="BE2064:BE2067"/>
    <mergeCell ref="BF2064:BF2067"/>
    <mergeCell ref="BG2064:BG2067"/>
    <mergeCell ref="BH2064:BH2067"/>
    <mergeCell ref="BC2068:BC2069"/>
    <mergeCell ref="BD2068:BD2069"/>
    <mergeCell ref="BE2068:BE2069"/>
    <mergeCell ref="BF2068:BF2069"/>
    <mergeCell ref="BG2068:BG2069"/>
    <mergeCell ref="BH2068:BH2069"/>
    <mergeCell ref="BC2070:BC2071"/>
    <mergeCell ref="BD2070:BD2071"/>
    <mergeCell ref="BE2070:BE2071"/>
    <mergeCell ref="BF2070:BF2071"/>
    <mergeCell ref="BG2070:BG2071"/>
    <mergeCell ref="BH2070:BH2071"/>
    <mergeCell ref="BC2072:BC2077"/>
    <mergeCell ref="BD2072:BD2077"/>
    <mergeCell ref="BE2072:BE2077"/>
    <mergeCell ref="BF2072:BF2077"/>
    <mergeCell ref="BG2072:BG2077"/>
    <mergeCell ref="BH2072:BH2077"/>
    <mergeCell ref="BC2078:BC2082"/>
    <mergeCell ref="BD2078:BD2082"/>
    <mergeCell ref="BE2078:BE2082"/>
    <mergeCell ref="BF2078:BF2082"/>
    <mergeCell ref="BG2078:BG2082"/>
    <mergeCell ref="BH2078:BH2082"/>
    <mergeCell ref="BC2083:BC2088"/>
    <mergeCell ref="BD2083:BD2088"/>
    <mergeCell ref="BE2083:BE2088"/>
    <mergeCell ref="BF2083:BF2088"/>
    <mergeCell ref="BG2083:BG2088"/>
    <mergeCell ref="BH2083:BH2088"/>
    <mergeCell ref="BC2089:BC2106"/>
    <mergeCell ref="BD2089:BD2106"/>
    <mergeCell ref="BE2089:BE2106"/>
    <mergeCell ref="BF2089:BF2106"/>
    <mergeCell ref="BG2089:BG2106"/>
    <mergeCell ref="BH2089:BH2106"/>
    <mergeCell ref="BC2107:BC2133"/>
    <mergeCell ref="BD2107:BD2133"/>
    <mergeCell ref="BE2107:BE2133"/>
    <mergeCell ref="BF2107:BF2133"/>
    <mergeCell ref="BG2107:BG2133"/>
    <mergeCell ref="BH2107:BH2133"/>
    <mergeCell ref="BC2134:BC2149"/>
    <mergeCell ref="BD2134:BD2149"/>
    <mergeCell ref="BE2134:BE2149"/>
    <mergeCell ref="BF2134:BF2149"/>
    <mergeCell ref="BG2134:BG2149"/>
    <mergeCell ref="BH2134:BH2149"/>
    <mergeCell ref="BC2150:BC2169"/>
    <mergeCell ref="BD2150:BD2169"/>
    <mergeCell ref="BE2150:BE2169"/>
    <mergeCell ref="BF2150:BF2169"/>
    <mergeCell ref="BG2150:BG2169"/>
    <mergeCell ref="BH2150:BH2169"/>
    <mergeCell ref="BC2170:BC2173"/>
    <mergeCell ref="BD2170:BD2173"/>
    <mergeCell ref="BE2170:BE2173"/>
    <mergeCell ref="BF2170:BF2173"/>
    <mergeCell ref="BG2170:BG2173"/>
    <mergeCell ref="BH2170:BH2173"/>
    <mergeCell ref="BC2174:BC2176"/>
    <mergeCell ref="BD2174:BD2176"/>
    <mergeCell ref="BE2174:BE2176"/>
    <mergeCell ref="BF2174:BF2176"/>
    <mergeCell ref="BG2174:BG2176"/>
    <mergeCell ref="BH2174:BH2176"/>
    <mergeCell ref="BC2177:BC2181"/>
    <mergeCell ref="BD2177:BD2181"/>
    <mergeCell ref="BE2177:BE2181"/>
    <mergeCell ref="BF2177:BF2181"/>
    <mergeCell ref="BG2177:BG2181"/>
    <mergeCell ref="BH2177:BH2181"/>
    <mergeCell ref="BC2182:BC2192"/>
    <mergeCell ref="BD2182:BD2192"/>
    <mergeCell ref="BE2182:BE2192"/>
    <mergeCell ref="BF2182:BF2192"/>
    <mergeCell ref="BG2182:BG2192"/>
    <mergeCell ref="BH2182:BH2192"/>
    <mergeCell ref="BC2193:BC2204"/>
    <mergeCell ref="BD2193:BD2204"/>
    <mergeCell ref="BE2193:BE2204"/>
    <mergeCell ref="BF2193:BF2204"/>
    <mergeCell ref="BG2193:BG2204"/>
    <mergeCell ref="BH2193:BH2204"/>
    <mergeCell ref="BC2205:BC2221"/>
    <mergeCell ref="BD2205:BD2221"/>
    <mergeCell ref="BE2205:BE2221"/>
    <mergeCell ref="BF2205:BF2221"/>
    <mergeCell ref="BG2205:BG2221"/>
    <mergeCell ref="BH2205:BH2221"/>
    <mergeCell ref="BC2222:BC2230"/>
    <mergeCell ref="BD2222:BD2230"/>
    <mergeCell ref="BE2222:BE2230"/>
    <mergeCell ref="BF2222:BF2230"/>
    <mergeCell ref="BG2222:BG2230"/>
    <mergeCell ref="BH2222:BH2230"/>
    <mergeCell ref="BC2231:BC2242"/>
    <mergeCell ref="BD2231:BD2242"/>
    <mergeCell ref="BE2231:BE2242"/>
    <mergeCell ref="BF2231:BF2242"/>
    <mergeCell ref="BG2231:BG2242"/>
    <mergeCell ref="BH2231:BH2242"/>
    <mergeCell ref="BC2243:BC2265"/>
    <mergeCell ref="BD2243:BD2265"/>
    <mergeCell ref="BE2243:BE2265"/>
    <mergeCell ref="BF2243:BF2265"/>
    <mergeCell ref="BG2243:BG2265"/>
    <mergeCell ref="BH2243:BH2265"/>
    <mergeCell ref="BC2267:BC2268"/>
    <mergeCell ref="BD2267:BD2268"/>
    <mergeCell ref="BE2267:BE2268"/>
    <mergeCell ref="BF2267:BF2268"/>
    <mergeCell ref="BG2267:BG2268"/>
    <mergeCell ref="BH2267:BH2268"/>
    <mergeCell ref="BC2269:BC2270"/>
    <mergeCell ref="BD2269:BD2270"/>
    <mergeCell ref="BE2269:BE2270"/>
    <mergeCell ref="BF2269:BF2270"/>
    <mergeCell ref="BG2269:BG2270"/>
    <mergeCell ref="BH2269:BH2270"/>
    <mergeCell ref="BC2271:BC2273"/>
    <mergeCell ref="BD2271:BD2273"/>
    <mergeCell ref="BE2271:BE2273"/>
    <mergeCell ref="BF2271:BF2273"/>
    <mergeCell ref="BG2271:BG2273"/>
    <mergeCell ref="BH2271:BH2273"/>
    <mergeCell ref="BC2274:BC2275"/>
    <mergeCell ref="BD2274:BD2275"/>
    <mergeCell ref="BE2274:BE2275"/>
    <mergeCell ref="BF2274:BF2275"/>
    <mergeCell ref="BG2274:BG2275"/>
    <mergeCell ref="BH2274:BH2275"/>
    <mergeCell ref="BC2276:BC2295"/>
    <mergeCell ref="BD2276:BD2295"/>
    <mergeCell ref="BE2276:BE2295"/>
    <mergeCell ref="BF2276:BF2295"/>
    <mergeCell ref="BG2276:BG2295"/>
    <mergeCell ref="BH2276:BH2295"/>
    <mergeCell ref="BC2296:BC2298"/>
    <mergeCell ref="BD2296:BD2298"/>
    <mergeCell ref="BE2296:BE2298"/>
    <mergeCell ref="BF2296:BF2298"/>
    <mergeCell ref="BG2296:BG2298"/>
    <mergeCell ref="BH2296:BH2298"/>
    <mergeCell ref="BC2299:BC2301"/>
    <mergeCell ref="BD2299:BD2301"/>
    <mergeCell ref="BE2299:BE2301"/>
    <mergeCell ref="BF2299:BF2301"/>
    <mergeCell ref="BG2299:BG2301"/>
    <mergeCell ref="BH2299:BH2301"/>
    <mergeCell ref="BC2302:BC2304"/>
    <mergeCell ref="BD2302:BD2304"/>
    <mergeCell ref="BE2302:BE2304"/>
    <mergeCell ref="BF2302:BF2304"/>
    <mergeCell ref="BG2302:BG2304"/>
    <mergeCell ref="BH2302:BH2304"/>
    <mergeCell ref="BC2305:BC2307"/>
    <mergeCell ref="BD2305:BD2307"/>
    <mergeCell ref="BE2305:BE2307"/>
    <mergeCell ref="BF2305:BF2307"/>
    <mergeCell ref="BG2305:BG2307"/>
    <mergeCell ref="BH2305:BH2307"/>
    <mergeCell ref="BC2308:BC2309"/>
    <mergeCell ref="BD2308:BD2309"/>
    <mergeCell ref="BE2308:BE2309"/>
    <mergeCell ref="BF2308:BF2309"/>
    <mergeCell ref="BG2308:BG2309"/>
    <mergeCell ref="BH2308:BH2309"/>
    <mergeCell ref="BC2310:BC2331"/>
    <mergeCell ref="BD2310:BD2331"/>
    <mergeCell ref="BE2310:BE2331"/>
    <mergeCell ref="BF2310:BF2331"/>
    <mergeCell ref="BG2310:BG2331"/>
    <mergeCell ref="BH2310:BH2331"/>
    <mergeCell ref="BC2332:BC2333"/>
    <mergeCell ref="BD2332:BD2333"/>
    <mergeCell ref="BE2332:BE2333"/>
    <mergeCell ref="BF2332:BF2333"/>
    <mergeCell ref="BG2332:BG2333"/>
    <mergeCell ref="BH2332:BH2333"/>
    <mergeCell ref="BC2334:BC2335"/>
    <mergeCell ref="BD2334:BD2335"/>
    <mergeCell ref="BE2334:BE2335"/>
    <mergeCell ref="BF2334:BF2335"/>
    <mergeCell ref="BG2334:BG2335"/>
    <mergeCell ref="BH2334:BH2335"/>
    <mergeCell ref="BC2336:BC2342"/>
    <mergeCell ref="BD2336:BD2342"/>
    <mergeCell ref="BE2336:BE2342"/>
    <mergeCell ref="BF2336:BF2342"/>
    <mergeCell ref="BG2336:BG2342"/>
    <mergeCell ref="BH2336:BH2342"/>
    <mergeCell ref="BC2343:BC2351"/>
    <mergeCell ref="BD2343:BD2351"/>
    <mergeCell ref="BE2343:BE2351"/>
    <mergeCell ref="BF2343:BF2351"/>
    <mergeCell ref="BG2343:BG2351"/>
    <mergeCell ref="BH2343:BH2351"/>
    <mergeCell ref="BC2352:BC2359"/>
    <mergeCell ref="BD2352:BD2359"/>
    <mergeCell ref="BE2352:BE2359"/>
    <mergeCell ref="BF2352:BF2359"/>
    <mergeCell ref="BG2352:BG2359"/>
    <mergeCell ref="BH2352:BH2359"/>
    <mergeCell ref="BC2360:BC2371"/>
    <mergeCell ref="BD2360:BD2371"/>
    <mergeCell ref="BE2360:BE2371"/>
    <mergeCell ref="BF2360:BF2371"/>
    <mergeCell ref="BG2360:BG2371"/>
    <mergeCell ref="BH2360:BH2371"/>
    <mergeCell ref="BC2372:BC2380"/>
    <mergeCell ref="BD2372:BD2380"/>
    <mergeCell ref="BE2372:BE2380"/>
    <mergeCell ref="BF2372:BF2380"/>
    <mergeCell ref="BG2372:BG2380"/>
    <mergeCell ref="BH2372:BH2380"/>
    <mergeCell ref="BC2381:BC2386"/>
    <mergeCell ref="BD2381:BD2386"/>
    <mergeCell ref="BE2381:BE2386"/>
    <mergeCell ref="BF2381:BF2386"/>
    <mergeCell ref="BG2381:BG2386"/>
    <mergeCell ref="BH2381:BH2386"/>
    <mergeCell ref="BC2387:BC2390"/>
    <mergeCell ref="BD2387:BD2390"/>
    <mergeCell ref="BE2387:BE2390"/>
    <mergeCell ref="BF2387:BF2390"/>
    <mergeCell ref="BG2387:BG2390"/>
    <mergeCell ref="BH2387:BH2390"/>
    <mergeCell ref="BC2391:BC2396"/>
    <mergeCell ref="BD2391:BD2396"/>
    <mergeCell ref="BE2391:BE2396"/>
    <mergeCell ref="BF2391:BF2396"/>
    <mergeCell ref="BG2391:BG2396"/>
    <mergeCell ref="BH2391:BH2396"/>
    <mergeCell ref="BC2397:BC2403"/>
    <mergeCell ref="BD2397:BD2403"/>
    <mergeCell ref="BE2397:BE2403"/>
    <mergeCell ref="BF2397:BF2403"/>
    <mergeCell ref="BG2397:BG2403"/>
    <mergeCell ref="BH2397:BH2403"/>
    <mergeCell ref="BC2404:BC2424"/>
    <mergeCell ref="BD2404:BD2424"/>
    <mergeCell ref="BE2404:BE2424"/>
    <mergeCell ref="BF2404:BF2424"/>
    <mergeCell ref="BG2404:BG2424"/>
    <mergeCell ref="BH2404:BH2424"/>
    <mergeCell ref="BC2425:BC2448"/>
    <mergeCell ref="BD2425:BD2448"/>
    <mergeCell ref="BE2425:BE2448"/>
    <mergeCell ref="BF2425:BF2448"/>
    <mergeCell ref="BG2425:BG2448"/>
    <mergeCell ref="BH2425:BH2448"/>
    <mergeCell ref="BC2449:BC2460"/>
    <mergeCell ref="BD2449:BD2460"/>
    <mergeCell ref="BE2449:BE2460"/>
    <mergeCell ref="BF2449:BF2460"/>
    <mergeCell ref="BG2449:BG2460"/>
    <mergeCell ref="BH2449:BH2460"/>
    <mergeCell ref="BC2461:BC2472"/>
    <mergeCell ref="BD2461:BD2472"/>
    <mergeCell ref="BE2461:BE2472"/>
    <mergeCell ref="BF2461:BF2472"/>
    <mergeCell ref="BG2461:BG2472"/>
    <mergeCell ref="BH2461:BH2472"/>
    <mergeCell ref="BC2473:BC2488"/>
    <mergeCell ref="BD2473:BD2488"/>
    <mergeCell ref="BE2473:BE2488"/>
    <mergeCell ref="BF2473:BF2488"/>
    <mergeCell ref="BG2473:BG2488"/>
    <mergeCell ref="BH2473:BH2488"/>
    <mergeCell ref="BC2489:BC2491"/>
    <mergeCell ref="BD2489:BD2491"/>
    <mergeCell ref="BE2489:BE2491"/>
    <mergeCell ref="BF2489:BF2491"/>
    <mergeCell ref="BG2489:BG2491"/>
    <mergeCell ref="BH2489:BH2491"/>
    <mergeCell ref="BC2492:BC2494"/>
    <mergeCell ref="BD2492:BD2494"/>
    <mergeCell ref="BE2492:BE2494"/>
    <mergeCell ref="BF2492:BF2494"/>
    <mergeCell ref="BG2492:BG2494"/>
    <mergeCell ref="BH2492:BH2494"/>
    <mergeCell ref="BC2495:BC2497"/>
    <mergeCell ref="BD2495:BD2497"/>
    <mergeCell ref="BE2495:BE2497"/>
    <mergeCell ref="BF2495:BF2497"/>
    <mergeCell ref="BG2495:BG2497"/>
    <mergeCell ref="BH2495:BH2497"/>
    <mergeCell ref="BC2498:BC2500"/>
    <mergeCell ref="BD2498:BD2500"/>
    <mergeCell ref="BE2498:BE2500"/>
    <mergeCell ref="BF2498:BF2500"/>
    <mergeCell ref="BG2498:BG2500"/>
    <mergeCell ref="BH2498:BH2500"/>
    <mergeCell ref="BC2501:BC2502"/>
    <mergeCell ref="BD2501:BD2502"/>
    <mergeCell ref="BE2501:BE2502"/>
    <mergeCell ref="BF2501:BF2502"/>
    <mergeCell ref="BG2501:BG2502"/>
    <mergeCell ref="BH2501:BH2502"/>
    <mergeCell ref="BC2503:BC2505"/>
    <mergeCell ref="BD2503:BD2505"/>
    <mergeCell ref="BE2503:BE2505"/>
    <mergeCell ref="BF2503:BF2505"/>
    <mergeCell ref="BG2503:BG2505"/>
    <mergeCell ref="BH2503:BH2505"/>
    <mergeCell ref="BC2506:BC2508"/>
    <mergeCell ref="BD2506:BD2508"/>
    <mergeCell ref="BE2506:BE2508"/>
    <mergeCell ref="BF2506:BF2508"/>
    <mergeCell ref="BG2506:BG2508"/>
    <mergeCell ref="BH2506:BH2508"/>
    <mergeCell ref="BC2509:BC2511"/>
    <mergeCell ref="BD2509:BD2511"/>
    <mergeCell ref="BE2509:BE2511"/>
    <mergeCell ref="BF2509:BF2511"/>
    <mergeCell ref="BG2509:BG2511"/>
    <mergeCell ref="BH2509:BH2511"/>
    <mergeCell ref="BC2512:BC2513"/>
    <mergeCell ref="BD2512:BD2513"/>
    <mergeCell ref="BE2512:BE2513"/>
    <mergeCell ref="BF2512:BF2513"/>
    <mergeCell ref="BG2512:BG2513"/>
    <mergeCell ref="BH2512:BH2513"/>
    <mergeCell ref="BC2516:BC2521"/>
    <mergeCell ref="BD2516:BD2521"/>
    <mergeCell ref="BE2516:BE2521"/>
    <mergeCell ref="BF2516:BF2521"/>
    <mergeCell ref="BG2516:BG2521"/>
    <mergeCell ref="BH2516:BH2521"/>
    <mergeCell ref="BC2523:BC2526"/>
    <mergeCell ref="BD2523:BD2526"/>
    <mergeCell ref="BE2523:BE2526"/>
    <mergeCell ref="BF2523:BF2526"/>
    <mergeCell ref="BG2523:BG2526"/>
    <mergeCell ref="BH2523:BH2526"/>
    <mergeCell ref="BC2527:BC2528"/>
    <mergeCell ref="BD2527:BD2528"/>
    <mergeCell ref="BE2527:BE2528"/>
    <mergeCell ref="BF2527:BF2528"/>
    <mergeCell ref="BG2527:BG2528"/>
    <mergeCell ref="BH2527:BH2528"/>
    <mergeCell ref="BC2531:BC2537"/>
    <mergeCell ref="BD2531:BD2537"/>
    <mergeCell ref="BE2531:BE2537"/>
    <mergeCell ref="BF2531:BF2537"/>
    <mergeCell ref="BG2531:BG2537"/>
    <mergeCell ref="BH2531:BH2537"/>
    <mergeCell ref="BC2538:BC2542"/>
    <mergeCell ref="BD2538:BD2542"/>
    <mergeCell ref="BE2538:BE2542"/>
    <mergeCell ref="BF2538:BF2542"/>
    <mergeCell ref="BG2538:BG2542"/>
    <mergeCell ref="BH2538:BH2542"/>
    <mergeCell ref="BC2543:BC2546"/>
    <mergeCell ref="BD2543:BD2546"/>
    <mergeCell ref="BE2543:BE2546"/>
    <mergeCell ref="BF2543:BF2546"/>
    <mergeCell ref="BG2543:BG2546"/>
    <mergeCell ref="BH2543:BH2546"/>
    <mergeCell ref="BC2552:BC2553"/>
    <mergeCell ref="BD2552:BD2553"/>
    <mergeCell ref="BE2552:BE2553"/>
    <mergeCell ref="BF2552:BF2553"/>
    <mergeCell ref="BG2552:BG2553"/>
    <mergeCell ref="BH2552:BH2553"/>
    <mergeCell ref="BC2562:BC2563"/>
    <mergeCell ref="BD2562:BD2563"/>
    <mergeCell ref="BE2562:BE2563"/>
    <mergeCell ref="BF2562:BF2563"/>
    <mergeCell ref="BG2562:BG2563"/>
    <mergeCell ref="BH2562:BH2563"/>
    <mergeCell ref="BC2565:BC2566"/>
    <mergeCell ref="BD2565:BD2566"/>
    <mergeCell ref="BE2565:BE2566"/>
    <mergeCell ref="BF2565:BF2566"/>
    <mergeCell ref="BG2565:BG2566"/>
    <mergeCell ref="BH2565:BH2566"/>
    <mergeCell ref="BC2569:BC2570"/>
    <mergeCell ref="BD2569:BD2570"/>
    <mergeCell ref="BE2569:BE2570"/>
    <mergeCell ref="BF2569:BF2570"/>
    <mergeCell ref="BG2569:BG2570"/>
    <mergeCell ref="BH2569:BH2570"/>
    <mergeCell ref="BC2572:BC2574"/>
    <mergeCell ref="BD2572:BD2574"/>
    <mergeCell ref="BE2572:BE2574"/>
    <mergeCell ref="BF2572:BF2574"/>
    <mergeCell ref="BG2572:BG2574"/>
    <mergeCell ref="BH2572:BH2574"/>
    <mergeCell ref="BC2576:BC2577"/>
    <mergeCell ref="BD2576:BD2577"/>
    <mergeCell ref="BE2576:BE2577"/>
    <mergeCell ref="BF2576:BF2577"/>
    <mergeCell ref="BG2576:BG2577"/>
    <mergeCell ref="BH2576:BH2577"/>
    <mergeCell ref="BC2583:BC2585"/>
    <mergeCell ref="BD2583:BD2585"/>
    <mergeCell ref="BE2583:BE2585"/>
    <mergeCell ref="BF2583:BF2585"/>
    <mergeCell ref="BG2583:BG2585"/>
    <mergeCell ref="BH2583:BH2585"/>
    <mergeCell ref="BC2586:BC2587"/>
    <mergeCell ref="BD2586:BD2587"/>
    <mergeCell ref="BE2586:BE2587"/>
    <mergeCell ref="BF2586:BF2587"/>
    <mergeCell ref="BG2586:BG2587"/>
    <mergeCell ref="BH2586:BH2587"/>
    <mergeCell ref="BC2589:BC2590"/>
    <mergeCell ref="BD2589:BD2590"/>
    <mergeCell ref="BE2589:BE2590"/>
    <mergeCell ref="BF2589:BF2590"/>
    <mergeCell ref="BG2589:BG2590"/>
    <mergeCell ref="BH2589:BH2590"/>
    <mergeCell ref="BC2598:BC2601"/>
    <mergeCell ref="BD2598:BD2601"/>
    <mergeCell ref="BE2598:BE2601"/>
    <mergeCell ref="BF2598:BF2601"/>
    <mergeCell ref="BG2598:BG2601"/>
    <mergeCell ref="BH2598:BH2601"/>
    <mergeCell ref="BC2602:BC2603"/>
    <mergeCell ref="BD2602:BD2603"/>
    <mergeCell ref="BE2602:BE2603"/>
    <mergeCell ref="BF2602:BF2603"/>
    <mergeCell ref="BG2602:BG2603"/>
    <mergeCell ref="BH2602:BH2603"/>
    <mergeCell ref="BC2606:BC2611"/>
    <mergeCell ref="BD2606:BD2611"/>
    <mergeCell ref="BE2606:BE2611"/>
    <mergeCell ref="BF2606:BF2611"/>
    <mergeCell ref="BG2606:BG2611"/>
    <mergeCell ref="BH2606:BH2611"/>
    <mergeCell ref="BC2612:BC2613"/>
    <mergeCell ref="BD2612:BD2613"/>
    <mergeCell ref="BE2612:BE2613"/>
    <mergeCell ref="BF2612:BF2613"/>
    <mergeCell ref="BG2612:BG2613"/>
    <mergeCell ref="BH2612:BH2613"/>
    <mergeCell ref="BC2616:BC2621"/>
    <mergeCell ref="BD2616:BD2621"/>
    <mergeCell ref="BE2616:BE2621"/>
    <mergeCell ref="BF2616:BF2621"/>
    <mergeCell ref="BG2616:BG2621"/>
    <mergeCell ref="BH2616:BH2621"/>
    <mergeCell ref="BC2623:BC2626"/>
    <mergeCell ref="BD2623:BD2626"/>
    <mergeCell ref="BE2623:BE2626"/>
    <mergeCell ref="BF2623:BF2626"/>
    <mergeCell ref="BG2623:BG2626"/>
    <mergeCell ref="BH2623:BH2626"/>
    <mergeCell ref="BC2628:BC2629"/>
    <mergeCell ref="BD2628:BD2629"/>
    <mergeCell ref="BE2628:BE2629"/>
    <mergeCell ref="BF2628:BF2629"/>
    <mergeCell ref="BG2628:BG2629"/>
    <mergeCell ref="BH2628:BH2629"/>
    <mergeCell ref="BC2631:BC2632"/>
    <mergeCell ref="BD2631:BD2632"/>
    <mergeCell ref="BE2631:BE2632"/>
    <mergeCell ref="BF2631:BF2632"/>
    <mergeCell ref="BG2631:BG2632"/>
    <mergeCell ref="BH2631:BH2632"/>
    <mergeCell ref="BC2635:BC2636"/>
    <mergeCell ref="BD2635:BD2636"/>
    <mergeCell ref="BE2635:BE2636"/>
    <mergeCell ref="BF2635:BF2636"/>
    <mergeCell ref="BG2635:BG2636"/>
    <mergeCell ref="BH2635:BH2636"/>
    <mergeCell ref="BC2637:BC2638"/>
    <mergeCell ref="BD2637:BD2638"/>
    <mergeCell ref="BE2637:BE2638"/>
    <mergeCell ref="BF2637:BF2638"/>
    <mergeCell ref="BG2637:BG2638"/>
    <mergeCell ref="BH2637:BH2638"/>
    <mergeCell ref="BC2639:BC2641"/>
    <mergeCell ref="BD2639:BD2641"/>
    <mergeCell ref="BE2639:BE2641"/>
    <mergeCell ref="BF2639:BF2641"/>
    <mergeCell ref="BG2639:BG2641"/>
    <mergeCell ref="BH2639:BH2641"/>
    <mergeCell ref="BC2643:BC2644"/>
    <mergeCell ref="BD2643:BD2644"/>
    <mergeCell ref="BE2643:BE2644"/>
    <mergeCell ref="BF2643:BF2644"/>
    <mergeCell ref="BG2643:BG2644"/>
    <mergeCell ref="BH2643:BH2644"/>
    <mergeCell ref="BC2646:BC2647"/>
    <mergeCell ref="BD2646:BD2647"/>
    <mergeCell ref="BE2646:BE2647"/>
    <mergeCell ref="BF2646:BF2647"/>
    <mergeCell ref="BG2646:BG2647"/>
    <mergeCell ref="BH2646:BH2647"/>
    <mergeCell ref="BC2649:BC2650"/>
    <mergeCell ref="BD2649:BD2650"/>
    <mergeCell ref="BE2649:BE2650"/>
    <mergeCell ref="BF2649:BF2650"/>
    <mergeCell ref="BG2649:BG2650"/>
    <mergeCell ref="BH2649:BH2650"/>
    <mergeCell ref="BC2652:BC2656"/>
    <mergeCell ref="BD2652:BD2656"/>
    <mergeCell ref="BE2652:BE2656"/>
    <mergeCell ref="BF2652:BF2656"/>
    <mergeCell ref="BG2652:BG2656"/>
    <mergeCell ref="BH2652:BH2656"/>
    <mergeCell ref="BC2659:BC2661"/>
    <mergeCell ref="BD2659:BD2661"/>
    <mergeCell ref="BE2659:BE2661"/>
    <mergeCell ref="BF2659:BF2661"/>
    <mergeCell ref="BG2659:BG2661"/>
    <mergeCell ref="BH2659:BH2661"/>
    <mergeCell ref="BC2667:BC2668"/>
    <mergeCell ref="BD2667:BD2668"/>
    <mergeCell ref="BE2667:BE2668"/>
    <mergeCell ref="BF2667:BF2668"/>
    <mergeCell ref="BG2667:BG2668"/>
    <mergeCell ref="BH2667:BH2668"/>
    <mergeCell ref="BC2674:BC2676"/>
    <mergeCell ref="BD2674:BD2676"/>
    <mergeCell ref="BE2674:BE2676"/>
    <mergeCell ref="BF2674:BF2676"/>
    <mergeCell ref="BG2674:BG2676"/>
    <mergeCell ref="BH2674:BH2676"/>
    <mergeCell ref="BC2685:BC2687"/>
    <mergeCell ref="BD2685:BD2687"/>
    <mergeCell ref="BE2685:BE2687"/>
    <mergeCell ref="BF2685:BF2687"/>
    <mergeCell ref="BG2685:BG2687"/>
    <mergeCell ref="BH2685:BH2687"/>
    <mergeCell ref="BC2688:BC2690"/>
    <mergeCell ref="BD2688:BD2690"/>
    <mergeCell ref="BE2688:BE2690"/>
    <mergeCell ref="BF2688:BF2690"/>
    <mergeCell ref="BG2688:BG2690"/>
    <mergeCell ref="BH2688:BH2690"/>
    <mergeCell ref="BC2694:BC2696"/>
    <mergeCell ref="BD2694:BD2696"/>
    <mergeCell ref="BE2694:BE2696"/>
    <mergeCell ref="BF2694:BF2696"/>
    <mergeCell ref="BG2694:BG2696"/>
    <mergeCell ref="BH2694:BH2696"/>
    <mergeCell ref="BC2698:BC2699"/>
    <mergeCell ref="BD2698:BD2699"/>
    <mergeCell ref="BE2698:BE2699"/>
    <mergeCell ref="BF2698:BF2699"/>
    <mergeCell ref="BG2698:BG2699"/>
    <mergeCell ref="BH2698:BH2699"/>
    <mergeCell ref="BC2705:BC2706"/>
    <mergeCell ref="BD2705:BD2706"/>
    <mergeCell ref="BE2705:BE2706"/>
    <mergeCell ref="BF2705:BF2706"/>
    <mergeCell ref="BG2705:BG2706"/>
    <mergeCell ref="BH2705:BH2706"/>
    <mergeCell ref="BC2710:BC2712"/>
    <mergeCell ref="BD2710:BD2712"/>
    <mergeCell ref="BE2710:BE2712"/>
    <mergeCell ref="BF2710:BF2712"/>
    <mergeCell ref="BG2710:BG2712"/>
    <mergeCell ref="BH2710:BH2712"/>
    <mergeCell ref="BC2715:BC2717"/>
    <mergeCell ref="BD2715:BD2717"/>
    <mergeCell ref="BE2715:BE2717"/>
    <mergeCell ref="BF2715:BF2717"/>
    <mergeCell ref="BG2715:BG2717"/>
    <mergeCell ref="BH2715:BH2717"/>
    <mergeCell ref="BC2719:BC2720"/>
    <mergeCell ref="BD2719:BD2720"/>
    <mergeCell ref="BE2719:BE2720"/>
    <mergeCell ref="BF2719:BF2720"/>
    <mergeCell ref="BG2719:BG2720"/>
    <mergeCell ref="BH2719:BH2720"/>
    <mergeCell ref="BC2721:BC2723"/>
    <mergeCell ref="BD2721:BD2723"/>
    <mergeCell ref="BE2721:BE2723"/>
    <mergeCell ref="BF2721:BF2723"/>
    <mergeCell ref="BG2721:BG2723"/>
    <mergeCell ref="BH2721:BH2723"/>
    <mergeCell ref="BC2724:BC2725"/>
    <mergeCell ref="BD2724:BD2725"/>
    <mergeCell ref="BE2724:BE2725"/>
    <mergeCell ref="BF2724:BF2725"/>
    <mergeCell ref="BG2724:BG2725"/>
    <mergeCell ref="BH2724:BH2725"/>
    <mergeCell ref="BC2727:BC2728"/>
    <mergeCell ref="BD2727:BD2728"/>
    <mergeCell ref="BE2727:BE2728"/>
    <mergeCell ref="BF2727:BF2728"/>
    <mergeCell ref="BG2727:BG2728"/>
    <mergeCell ref="BH2727:BH2728"/>
    <mergeCell ref="BC2729:BC2730"/>
    <mergeCell ref="BD2729:BD2730"/>
    <mergeCell ref="BE2729:BE2730"/>
    <mergeCell ref="BF2729:BF2730"/>
    <mergeCell ref="BG2729:BG2730"/>
    <mergeCell ref="BH2729:BH2730"/>
    <mergeCell ref="BC2731:BC2732"/>
    <mergeCell ref="BD2731:BD2732"/>
    <mergeCell ref="BE2731:BE2732"/>
    <mergeCell ref="BF2731:BF2732"/>
    <mergeCell ref="BG2731:BG2732"/>
    <mergeCell ref="BH2731:BH2732"/>
    <mergeCell ref="BC2733:BC2735"/>
    <mergeCell ref="BD2733:BD2735"/>
    <mergeCell ref="BE2733:BE2735"/>
    <mergeCell ref="BF2733:BF2735"/>
    <mergeCell ref="BG2733:BG2735"/>
    <mergeCell ref="BH2733:BH2735"/>
    <mergeCell ref="BC2737:BC2739"/>
    <mergeCell ref="BD2737:BD2739"/>
    <mergeCell ref="BE2737:BE2739"/>
    <mergeCell ref="BF2737:BF2739"/>
    <mergeCell ref="BG2737:BG2739"/>
    <mergeCell ref="BH2737:BH2739"/>
    <mergeCell ref="BC2741:BC2743"/>
    <mergeCell ref="BD2741:BD2743"/>
    <mergeCell ref="BE2741:BE2743"/>
    <mergeCell ref="BF2741:BF2743"/>
    <mergeCell ref="BG2741:BG2743"/>
    <mergeCell ref="BH2741:BH2743"/>
    <mergeCell ref="BC2744:BC2748"/>
    <mergeCell ref="BD2744:BD2748"/>
    <mergeCell ref="BE2744:BE2748"/>
    <mergeCell ref="BF2744:BF2748"/>
    <mergeCell ref="BG2744:BG2748"/>
    <mergeCell ref="BH2744:BH2748"/>
    <mergeCell ref="BC2753:BC2755"/>
    <mergeCell ref="BD2753:BD2755"/>
    <mergeCell ref="BE2753:BE2755"/>
    <mergeCell ref="BF2753:BF2755"/>
    <mergeCell ref="BG2753:BG2755"/>
    <mergeCell ref="BH2753:BH2755"/>
    <mergeCell ref="BC2756:BC2757"/>
    <mergeCell ref="BD2756:BD2757"/>
    <mergeCell ref="BE2756:BE2757"/>
    <mergeCell ref="BF2756:BF2757"/>
    <mergeCell ref="BG2756:BG2757"/>
    <mergeCell ref="BH2756:BH2757"/>
    <mergeCell ref="BC2759:BC2760"/>
    <mergeCell ref="BD2759:BD2760"/>
    <mergeCell ref="BE2759:BE2760"/>
    <mergeCell ref="BF2759:BF2760"/>
    <mergeCell ref="BG2759:BG2760"/>
    <mergeCell ref="BH2759:BH2760"/>
    <mergeCell ref="BC2763:BC2764"/>
    <mergeCell ref="BD2763:BD2764"/>
    <mergeCell ref="BE2763:BE2764"/>
    <mergeCell ref="BF2763:BF2764"/>
    <mergeCell ref="BG2763:BG2764"/>
    <mergeCell ref="BH2763:BH2764"/>
    <mergeCell ref="BC2765:BC2766"/>
    <mergeCell ref="BD2765:BD2766"/>
    <mergeCell ref="BE2765:BE2766"/>
    <mergeCell ref="BF2765:BF2766"/>
    <mergeCell ref="BG2765:BG2766"/>
    <mergeCell ref="BH2765:BH2766"/>
    <mergeCell ref="BC2769:BC2771"/>
    <mergeCell ref="BD2769:BD2771"/>
    <mergeCell ref="BE2769:BE2771"/>
    <mergeCell ref="BF2769:BF2771"/>
    <mergeCell ref="BG2769:BG2771"/>
    <mergeCell ref="BH2769:BH2771"/>
    <mergeCell ref="BC2773:BC2776"/>
    <mergeCell ref="BD2773:BD2776"/>
    <mergeCell ref="BE2773:BE2776"/>
    <mergeCell ref="BF2773:BF2776"/>
    <mergeCell ref="BG2773:BG2776"/>
    <mergeCell ref="BH2773:BH2776"/>
    <mergeCell ref="BC2779:BC2782"/>
    <mergeCell ref="BD2779:BD2782"/>
    <mergeCell ref="BE2779:BE2782"/>
    <mergeCell ref="BF2779:BF2782"/>
    <mergeCell ref="BG2779:BG2782"/>
    <mergeCell ref="BH2779:BH2782"/>
    <mergeCell ref="BC2783:BC2784"/>
    <mergeCell ref="BD2783:BD2784"/>
    <mergeCell ref="BE2783:BE2784"/>
    <mergeCell ref="BF2783:BF2784"/>
    <mergeCell ref="BG2783:BG2784"/>
    <mergeCell ref="BH2783:BH2784"/>
    <mergeCell ref="BC2786:BC2788"/>
    <mergeCell ref="BD2786:BD2788"/>
    <mergeCell ref="BE2786:BE2788"/>
    <mergeCell ref="BF2786:BF2788"/>
    <mergeCell ref="BG2786:BG2788"/>
    <mergeCell ref="BH2786:BH2788"/>
    <mergeCell ref="BC2789:BC2790"/>
    <mergeCell ref="BD2789:BD2790"/>
    <mergeCell ref="BE2789:BE2790"/>
    <mergeCell ref="BF2789:BF2790"/>
    <mergeCell ref="BG2789:BG2790"/>
    <mergeCell ref="BH2789:BH2790"/>
    <mergeCell ref="BC2797:BC2798"/>
    <mergeCell ref="BD2797:BD2798"/>
    <mergeCell ref="BE2797:BE2798"/>
    <mergeCell ref="BF2797:BF2798"/>
    <mergeCell ref="BG2797:BG2798"/>
    <mergeCell ref="BH2797:BH2798"/>
    <mergeCell ref="BC2799:BC2800"/>
    <mergeCell ref="BD2799:BD2800"/>
    <mergeCell ref="BE2799:BE2800"/>
    <mergeCell ref="BF2799:BF2800"/>
    <mergeCell ref="BG2799:BG2800"/>
    <mergeCell ref="BH2799:BH2800"/>
    <mergeCell ref="BC2802:BC2803"/>
    <mergeCell ref="BD2802:BD2803"/>
    <mergeCell ref="BE2802:BE2803"/>
    <mergeCell ref="BF2802:BF2803"/>
    <mergeCell ref="BG2802:BG2803"/>
    <mergeCell ref="BH2802:BH2803"/>
    <mergeCell ref="BC2811:BC2812"/>
    <mergeCell ref="BD2811:BD2812"/>
    <mergeCell ref="BE2811:BE2812"/>
    <mergeCell ref="BF2811:BF2812"/>
    <mergeCell ref="BG2811:BG2812"/>
    <mergeCell ref="BH2811:BH2812"/>
    <mergeCell ref="BC2815:BC2817"/>
    <mergeCell ref="BD2815:BD2817"/>
    <mergeCell ref="BE2815:BE2817"/>
    <mergeCell ref="BF2815:BF2817"/>
    <mergeCell ref="BG2815:BG2817"/>
    <mergeCell ref="BH2815:BH2817"/>
    <mergeCell ref="BC2819:BC2820"/>
    <mergeCell ref="BD2819:BD2820"/>
    <mergeCell ref="BE2819:BE2820"/>
    <mergeCell ref="BF2819:BF2820"/>
    <mergeCell ref="BG2819:BG2820"/>
    <mergeCell ref="BH2819:BH2820"/>
    <mergeCell ref="BC2825:BC2828"/>
    <mergeCell ref="BD2825:BD2828"/>
    <mergeCell ref="BE2825:BE2828"/>
    <mergeCell ref="BF2825:BF2828"/>
    <mergeCell ref="BG2825:BG2828"/>
    <mergeCell ref="BH2825:BH2828"/>
    <mergeCell ref="BC2834:BC2835"/>
    <mergeCell ref="BD2834:BD2835"/>
    <mergeCell ref="BE2834:BE2835"/>
    <mergeCell ref="BF2834:BF2835"/>
    <mergeCell ref="BG2834:BG2835"/>
    <mergeCell ref="BH2834:BH2835"/>
    <mergeCell ref="BC2843:BC2844"/>
    <mergeCell ref="BD2843:BD2844"/>
    <mergeCell ref="BE2843:BE2844"/>
    <mergeCell ref="BF2843:BF2844"/>
    <mergeCell ref="BG2843:BG2844"/>
    <mergeCell ref="BH2843:BH2844"/>
    <mergeCell ref="BC2848:BC2849"/>
    <mergeCell ref="BD2848:BD2849"/>
    <mergeCell ref="BE2848:BE2849"/>
    <mergeCell ref="BF2848:BF2849"/>
    <mergeCell ref="BG2848:BG2849"/>
    <mergeCell ref="BH2848:BH2849"/>
    <mergeCell ref="BC2852:BC2853"/>
    <mergeCell ref="BD2852:BD2853"/>
    <mergeCell ref="BE2852:BE2853"/>
    <mergeCell ref="BF2852:BF2853"/>
    <mergeCell ref="BG2852:BG2853"/>
    <mergeCell ref="BH2852:BH2853"/>
    <mergeCell ref="BC2857:BC2860"/>
    <mergeCell ref="BD2857:BD2860"/>
    <mergeCell ref="BE2857:BE2860"/>
    <mergeCell ref="BF2857:BF2860"/>
    <mergeCell ref="BG2857:BG2860"/>
    <mergeCell ref="BH2857:BH2860"/>
    <mergeCell ref="BC2863:BC2864"/>
    <mergeCell ref="BD2863:BD2864"/>
    <mergeCell ref="BE2863:BE2864"/>
    <mergeCell ref="BF2863:BF2864"/>
    <mergeCell ref="BG2863:BG2864"/>
    <mergeCell ref="BH2863:BH2864"/>
    <mergeCell ref="BC2868:BC2869"/>
    <mergeCell ref="BD2868:BD2869"/>
    <mergeCell ref="BE2868:BE2869"/>
    <mergeCell ref="BF2868:BF2869"/>
    <mergeCell ref="BG2868:BG2869"/>
    <mergeCell ref="BH2868:BH2869"/>
    <mergeCell ref="BC2872:BC2874"/>
    <mergeCell ref="BD2872:BD2874"/>
    <mergeCell ref="BE2872:BE2874"/>
    <mergeCell ref="BF2872:BF2874"/>
    <mergeCell ref="BG2872:BG2874"/>
    <mergeCell ref="BH2872:BH2874"/>
    <mergeCell ref="BC2875:BC2877"/>
    <mergeCell ref="BD2875:BD2877"/>
    <mergeCell ref="BE2875:BE2877"/>
    <mergeCell ref="BF2875:BF2877"/>
    <mergeCell ref="BG2875:BG2877"/>
    <mergeCell ref="BH2875:BH2877"/>
    <mergeCell ref="BC2879:BC2880"/>
    <mergeCell ref="BD2879:BD2880"/>
    <mergeCell ref="BE2879:BE2880"/>
    <mergeCell ref="BF2879:BF2880"/>
    <mergeCell ref="BG2879:BG2880"/>
    <mergeCell ref="BH2879:BH2880"/>
    <mergeCell ref="BC2882:BC2884"/>
    <mergeCell ref="BD2882:BD2884"/>
    <mergeCell ref="BE2882:BE2884"/>
    <mergeCell ref="BF2882:BF2884"/>
    <mergeCell ref="BG2882:BG2884"/>
    <mergeCell ref="BH2882:BH2884"/>
    <mergeCell ref="BC2897:BC2902"/>
    <mergeCell ref="BD2897:BD2902"/>
    <mergeCell ref="BE2897:BE2902"/>
    <mergeCell ref="BF2897:BF2902"/>
    <mergeCell ref="BG2897:BG2902"/>
    <mergeCell ref="BH2897:BH2902"/>
    <mergeCell ref="BC2938:BC2945"/>
    <mergeCell ref="BD2938:BD2945"/>
    <mergeCell ref="BE2938:BE2945"/>
    <mergeCell ref="BF2938:BF2945"/>
    <mergeCell ref="BG2938:BG2945"/>
    <mergeCell ref="BH2938:BH2945"/>
    <mergeCell ref="BC2947:BC2955"/>
    <mergeCell ref="BD2947:BD2955"/>
    <mergeCell ref="BE2947:BE2955"/>
    <mergeCell ref="BF2947:BF2955"/>
    <mergeCell ref="BG2947:BG2955"/>
    <mergeCell ref="BH2947:BH2955"/>
    <mergeCell ref="BC2958:BC2960"/>
    <mergeCell ref="BD2958:BD2960"/>
    <mergeCell ref="BE2958:BE2960"/>
    <mergeCell ref="BF2958:BF2960"/>
    <mergeCell ref="BG2958:BG2960"/>
    <mergeCell ref="BH2958:BH2960"/>
    <mergeCell ref="BC2961:BC2962"/>
    <mergeCell ref="BD2961:BD2962"/>
    <mergeCell ref="BE2961:BE2962"/>
    <mergeCell ref="BF2961:BF2962"/>
    <mergeCell ref="BG2961:BG2962"/>
    <mergeCell ref="BH2961:BH2962"/>
    <mergeCell ref="BC2963:BC2964"/>
    <mergeCell ref="BD2963:BD2964"/>
    <mergeCell ref="BE2963:BE2964"/>
    <mergeCell ref="BF2963:BF2964"/>
    <mergeCell ref="BG2963:BG2964"/>
    <mergeCell ref="BH2963:BH2964"/>
    <mergeCell ref="BC2965:BC2972"/>
    <mergeCell ref="BD2965:BD2972"/>
    <mergeCell ref="BE2965:BE2972"/>
    <mergeCell ref="BF2965:BF2972"/>
    <mergeCell ref="BG2965:BG2972"/>
    <mergeCell ref="BH2965:BH2972"/>
    <mergeCell ref="BC2973:BC2976"/>
    <mergeCell ref="BD2973:BD2976"/>
    <mergeCell ref="BE2973:BE2976"/>
    <mergeCell ref="BF2973:BF2976"/>
    <mergeCell ref="BG2973:BG2976"/>
    <mergeCell ref="BH2973:BH2976"/>
    <mergeCell ref="BC2977:BC3114"/>
    <mergeCell ref="BD2977:BD3114"/>
    <mergeCell ref="BE2977:BE3114"/>
    <mergeCell ref="BF2977:BF3114"/>
    <mergeCell ref="BG2977:BG3114"/>
    <mergeCell ref="BH2977:BH3114"/>
    <mergeCell ref="BC3115:BC3191"/>
    <mergeCell ref="BD3115:BD3191"/>
    <mergeCell ref="BE3115:BE3191"/>
    <mergeCell ref="BF3115:BF3191"/>
    <mergeCell ref="BG3115:BG3191"/>
    <mergeCell ref="BH3115:BH3191"/>
    <mergeCell ref="BC3192:BC3220"/>
    <mergeCell ref="BD3192:BD3220"/>
    <mergeCell ref="BE3192:BE3220"/>
    <mergeCell ref="BF3192:BF3220"/>
    <mergeCell ref="BG3192:BG3220"/>
    <mergeCell ref="BH3192:BH3220"/>
    <mergeCell ref="BC3221:BC3259"/>
    <mergeCell ref="BD3221:BD3259"/>
    <mergeCell ref="BE3221:BE3259"/>
    <mergeCell ref="BF3221:BF3259"/>
    <mergeCell ref="BG3221:BG3259"/>
    <mergeCell ref="BH3221:BH3259"/>
    <mergeCell ref="BC3260:BC3282"/>
    <mergeCell ref="BD3260:BD3282"/>
    <mergeCell ref="BE3260:BE3282"/>
    <mergeCell ref="BF3260:BF3282"/>
    <mergeCell ref="BG3260:BG3282"/>
    <mergeCell ref="BH3260:BH3282"/>
    <mergeCell ref="BC3283:BC3317"/>
    <mergeCell ref="BD3283:BD3317"/>
    <mergeCell ref="BE3283:BE3317"/>
    <mergeCell ref="BF3283:BF3317"/>
    <mergeCell ref="BG3283:BG3317"/>
    <mergeCell ref="BH3283:BH3317"/>
    <mergeCell ref="BC3318:BC3342"/>
    <mergeCell ref="BD3318:BD3342"/>
    <mergeCell ref="BE3318:BE3342"/>
    <mergeCell ref="BF3318:BF3342"/>
    <mergeCell ref="BG3318:BG3342"/>
    <mergeCell ref="BH3318:BH3342"/>
    <mergeCell ref="BC3343:BC3378"/>
    <mergeCell ref="BD3343:BD3378"/>
    <mergeCell ref="BE3343:BE3378"/>
    <mergeCell ref="BF3343:BF3378"/>
    <mergeCell ref="BG3343:BG3378"/>
    <mergeCell ref="BH3343:BH3378"/>
    <mergeCell ref="BC3379:BC3406"/>
    <mergeCell ref="BD3379:BD3406"/>
    <mergeCell ref="BE3379:BE3406"/>
    <mergeCell ref="BF3379:BF3406"/>
    <mergeCell ref="BG3379:BG3406"/>
    <mergeCell ref="BH3379:BH3406"/>
    <mergeCell ref="BC3407:BC3421"/>
    <mergeCell ref="BD3407:BD3421"/>
    <mergeCell ref="BE3407:BE3421"/>
    <mergeCell ref="BF3407:BF3421"/>
    <mergeCell ref="BG3407:BG3421"/>
    <mergeCell ref="BH3407:BH3421"/>
    <mergeCell ref="BC3422:BC3429"/>
    <mergeCell ref="BD3422:BD3429"/>
    <mergeCell ref="BE3422:BE3429"/>
    <mergeCell ref="BF3422:BF3429"/>
    <mergeCell ref="BG3422:BG3429"/>
    <mergeCell ref="BH3422:BH3429"/>
    <mergeCell ref="BC3430:BC3437"/>
    <mergeCell ref="BD3430:BD3437"/>
    <mergeCell ref="BE3430:BE3437"/>
    <mergeCell ref="BF3430:BF3437"/>
    <mergeCell ref="BG3430:BG3437"/>
    <mergeCell ref="BH3430:BH3437"/>
    <mergeCell ref="BC3438:BC3448"/>
    <mergeCell ref="BD3438:BD3448"/>
    <mergeCell ref="BE3438:BE3448"/>
    <mergeCell ref="BF3438:BF3448"/>
    <mergeCell ref="BG3438:BG3448"/>
    <mergeCell ref="BH3438:BH3448"/>
    <mergeCell ref="BC3449:BC3463"/>
    <mergeCell ref="BD3449:BD3463"/>
    <mergeCell ref="BE3449:BE3463"/>
    <mergeCell ref="BF3449:BF3463"/>
    <mergeCell ref="BG3449:BG3463"/>
    <mergeCell ref="BH3449:BH3463"/>
    <mergeCell ref="BC3464:BC3503"/>
    <mergeCell ref="BD3464:BD3503"/>
    <mergeCell ref="BE3464:BE3503"/>
    <mergeCell ref="BF3464:BF3503"/>
    <mergeCell ref="BG3464:BG3503"/>
    <mergeCell ref="BH3464:BH3503"/>
    <mergeCell ref="BC3504:BC3555"/>
    <mergeCell ref="BD3504:BD3555"/>
    <mergeCell ref="BE3504:BE3555"/>
    <mergeCell ref="BF3504:BF3555"/>
    <mergeCell ref="BG3504:BG3555"/>
    <mergeCell ref="BH3504:BH3555"/>
    <mergeCell ref="BC3556:BC3583"/>
    <mergeCell ref="BD3556:BD3583"/>
    <mergeCell ref="BE3556:BE3583"/>
    <mergeCell ref="BF3556:BF3583"/>
    <mergeCell ref="BG3556:BG3583"/>
    <mergeCell ref="BH3556:BH3583"/>
    <mergeCell ref="BC3584:BC3586"/>
    <mergeCell ref="BD3584:BD3586"/>
    <mergeCell ref="BE3584:BE3586"/>
    <mergeCell ref="BF3584:BF3586"/>
    <mergeCell ref="BG3584:BG3586"/>
    <mergeCell ref="BH3584:BH3586"/>
    <mergeCell ref="BC3587:BC3593"/>
    <mergeCell ref="BD3587:BD3593"/>
    <mergeCell ref="BE3587:BE3593"/>
    <mergeCell ref="BF3587:BF3593"/>
    <mergeCell ref="BG3587:BG3593"/>
    <mergeCell ref="BH3587:BH3593"/>
    <mergeCell ref="BC3594:BC3609"/>
    <mergeCell ref="BD3594:BD3609"/>
    <mergeCell ref="BE3594:BE3609"/>
    <mergeCell ref="BF3594:BF3609"/>
    <mergeCell ref="BG3594:BG3609"/>
    <mergeCell ref="BH3594:BH3609"/>
    <mergeCell ref="BC3610:BC3683"/>
    <mergeCell ref="BD3610:BD3683"/>
    <mergeCell ref="BE3610:BE3683"/>
    <mergeCell ref="BF3610:BF3683"/>
    <mergeCell ref="BG3610:BG3683"/>
    <mergeCell ref="BH3610:BH3683"/>
    <mergeCell ref="BC3684:BC3735"/>
    <mergeCell ref="BD3684:BD3735"/>
    <mergeCell ref="BE3684:BE3735"/>
    <mergeCell ref="BF3684:BF3735"/>
    <mergeCell ref="BG3684:BG3735"/>
    <mergeCell ref="BH3684:BH3735"/>
    <mergeCell ref="BC3736:BC3750"/>
    <mergeCell ref="BD3736:BD3750"/>
    <mergeCell ref="BE3736:BE3750"/>
    <mergeCell ref="BF3736:BF3750"/>
    <mergeCell ref="BG3736:BG3750"/>
    <mergeCell ref="BH3736:BH3750"/>
    <mergeCell ref="BC3751:BC3762"/>
    <mergeCell ref="BD3751:BD3762"/>
    <mergeCell ref="BE3751:BE3762"/>
    <mergeCell ref="BF3751:BF3762"/>
    <mergeCell ref="BG3751:BG3762"/>
    <mergeCell ref="BH3751:BH3762"/>
    <mergeCell ref="BC3763:BC3787"/>
    <mergeCell ref="BD3763:BD3787"/>
    <mergeCell ref="BE3763:BE3787"/>
    <mergeCell ref="BF3763:BF3787"/>
    <mergeCell ref="BG3763:BG3787"/>
    <mergeCell ref="BH3763:BH3787"/>
    <mergeCell ref="BC3788:BC3804"/>
    <mergeCell ref="BD3788:BD3804"/>
    <mergeCell ref="BE3788:BE3804"/>
    <mergeCell ref="BF3788:BF3804"/>
    <mergeCell ref="BG3788:BG3804"/>
    <mergeCell ref="BH3788:BH3804"/>
    <mergeCell ref="BC3805:BC3807"/>
    <mergeCell ref="BD3805:BD3807"/>
    <mergeCell ref="BE3805:BE3807"/>
    <mergeCell ref="BF3805:BF3807"/>
    <mergeCell ref="BG3805:BG3807"/>
    <mergeCell ref="BH3805:BH3807"/>
    <mergeCell ref="BC3808:BC3831"/>
    <mergeCell ref="BD3808:BD3831"/>
    <mergeCell ref="BE3808:BE3831"/>
    <mergeCell ref="BF3808:BF3831"/>
    <mergeCell ref="BG3808:BG3831"/>
    <mergeCell ref="BH3808:BH3831"/>
    <mergeCell ref="BC3832:BC3838"/>
    <mergeCell ref="BD3832:BD3838"/>
    <mergeCell ref="BE3832:BE3838"/>
    <mergeCell ref="BF3832:BF3838"/>
    <mergeCell ref="BG3832:BG3838"/>
    <mergeCell ref="BH3832:BH3838"/>
    <mergeCell ref="BC3839:BC3845"/>
    <mergeCell ref="BD3839:BD3845"/>
    <mergeCell ref="BE3839:BE3845"/>
    <mergeCell ref="BF3839:BF3845"/>
    <mergeCell ref="BG3839:BG3845"/>
    <mergeCell ref="BH3839:BH3845"/>
    <mergeCell ref="BC3846:BC3863"/>
    <mergeCell ref="BD3846:BD3863"/>
    <mergeCell ref="BE3846:BE3863"/>
    <mergeCell ref="BF3846:BF3863"/>
    <mergeCell ref="BG3846:BG3863"/>
    <mergeCell ref="BH3846:BH3863"/>
    <mergeCell ref="BC3864:BC3874"/>
    <mergeCell ref="BD3864:BD3874"/>
    <mergeCell ref="BE3864:BE3874"/>
    <mergeCell ref="BF3864:BF3874"/>
    <mergeCell ref="BG3864:BG3874"/>
    <mergeCell ref="BH3864:BH3874"/>
    <mergeCell ref="BC3875:BC3877"/>
    <mergeCell ref="BD3875:BD3877"/>
    <mergeCell ref="BE3875:BE3877"/>
    <mergeCell ref="BF3875:BF3877"/>
    <mergeCell ref="BG3875:BG3877"/>
    <mergeCell ref="BH3875:BH3877"/>
    <mergeCell ref="BC3878:BC3880"/>
    <mergeCell ref="BD3878:BD3880"/>
    <mergeCell ref="BE3878:BE3880"/>
    <mergeCell ref="BF3878:BF3880"/>
    <mergeCell ref="BG3878:BG3880"/>
    <mergeCell ref="BH3878:BH3880"/>
    <mergeCell ref="BC3881:BC3887"/>
    <mergeCell ref="BD3881:BD3887"/>
    <mergeCell ref="BE3881:BE3887"/>
    <mergeCell ref="BF3881:BF3887"/>
    <mergeCell ref="BG3881:BG3887"/>
    <mergeCell ref="BH3881:BH3887"/>
    <mergeCell ref="BC3888:BC3893"/>
    <mergeCell ref="BD3888:BD3893"/>
    <mergeCell ref="BE3888:BE3893"/>
    <mergeCell ref="BF3888:BF3893"/>
    <mergeCell ref="BG3888:BG3893"/>
    <mergeCell ref="BH3888:BH3893"/>
    <mergeCell ref="BC3894:BC3898"/>
    <mergeCell ref="BD3894:BD3898"/>
    <mergeCell ref="BE3894:BE3898"/>
    <mergeCell ref="BF3894:BF3898"/>
    <mergeCell ref="BG3894:BG3898"/>
    <mergeCell ref="BH3894:BH3898"/>
    <mergeCell ref="BC3899:BC3905"/>
    <mergeCell ref="BD3899:BD3905"/>
    <mergeCell ref="BE3899:BE3905"/>
    <mergeCell ref="BF3899:BF3905"/>
    <mergeCell ref="BG3899:BG3905"/>
    <mergeCell ref="BH3899:BH3905"/>
    <mergeCell ref="BC3906:BC3909"/>
    <mergeCell ref="BD3906:BD3909"/>
    <mergeCell ref="BE3906:BE3909"/>
    <mergeCell ref="BF3906:BF3909"/>
    <mergeCell ref="BG3906:BG3909"/>
    <mergeCell ref="BH3906:BH3909"/>
    <mergeCell ref="BC3910:BC3926"/>
    <mergeCell ref="BD3910:BD3926"/>
    <mergeCell ref="BE3910:BE3926"/>
    <mergeCell ref="BF3910:BF3926"/>
    <mergeCell ref="BG3910:BG3926"/>
    <mergeCell ref="BH3910:BH3926"/>
    <mergeCell ref="BC3927:BC3939"/>
    <mergeCell ref="BD3927:BD3939"/>
    <mergeCell ref="BE3927:BE3939"/>
    <mergeCell ref="BF3927:BF3939"/>
    <mergeCell ref="BG3927:BG3939"/>
    <mergeCell ref="BH3927:BH3939"/>
    <mergeCell ref="BC3940:BC3947"/>
    <mergeCell ref="BD3940:BD3947"/>
    <mergeCell ref="BE3940:BE3947"/>
    <mergeCell ref="BF3940:BF3947"/>
    <mergeCell ref="BG3940:BG3947"/>
    <mergeCell ref="BH3940:BH3947"/>
    <mergeCell ref="BC3948:BC3955"/>
    <mergeCell ref="BD3948:BD3955"/>
    <mergeCell ref="BE3948:BE3955"/>
    <mergeCell ref="BF3948:BF3955"/>
    <mergeCell ref="BG3948:BG3955"/>
    <mergeCell ref="BH3948:BH3955"/>
    <mergeCell ref="BC3956:BC3970"/>
    <mergeCell ref="BD3956:BD3970"/>
    <mergeCell ref="BE3956:BE3970"/>
    <mergeCell ref="BF3956:BF3970"/>
    <mergeCell ref="BG3956:BG3970"/>
    <mergeCell ref="BH3956:BH3970"/>
    <mergeCell ref="BC3971:BC3972"/>
    <mergeCell ref="BD3971:BD3972"/>
    <mergeCell ref="BE3971:BE3972"/>
    <mergeCell ref="BF3971:BF3972"/>
    <mergeCell ref="BG3971:BG3972"/>
    <mergeCell ref="BH3971:BH3972"/>
    <mergeCell ref="BC3973:BC3974"/>
    <mergeCell ref="BD3973:BD3974"/>
    <mergeCell ref="BE3973:BE3974"/>
    <mergeCell ref="BF3973:BF3974"/>
    <mergeCell ref="BG3973:BG3974"/>
    <mergeCell ref="BH3973:BH3974"/>
    <mergeCell ref="BC3976:BC3978"/>
    <mergeCell ref="BD3976:BD3978"/>
    <mergeCell ref="BE3976:BE3978"/>
    <mergeCell ref="BF3976:BF3978"/>
    <mergeCell ref="BG3976:BG3978"/>
    <mergeCell ref="BH3976:BH3978"/>
    <mergeCell ref="BC3979:BC3980"/>
    <mergeCell ref="BD3979:BD3980"/>
    <mergeCell ref="BE3979:BE3980"/>
    <mergeCell ref="BF3979:BF3980"/>
    <mergeCell ref="BG3979:BG3980"/>
    <mergeCell ref="BH3979:BH3980"/>
    <mergeCell ref="BC3981:BC3982"/>
    <mergeCell ref="BD3981:BD3982"/>
    <mergeCell ref="BE3981:BE3982"/>
    <mergeCell ref="BF3981:BF3982"/>
    <mergeCell ref="BG3981:BG3982"/>
    <mergeCell ref="BH3981:BH3982"/>
    <mergeCell ref="BC3983:BC3987"/>
    <mergeCell ref="BD3983:BD3987"/>
    <mergeCell ref="BE3983:BE3987"/>
    <mergeCell ref="BF3983:BF3987"/>
    <mergeCell ref="BG3983:BG3987"/>
    <mergeCell ref="BH3983:BH3987"/>
    <mergeCell ref="BC3988:BC3992"/>
    <mergeCell ref="BD3988:BD3992"/>
    <mergeCell ref="BE3988:BE3992"/>
    <mergeCell ref="BF3988:BF3992"/>
    <mergeCell ref="BG3988:BG3992"/>
    <mergeCell ref="BH3988:BH3992"/>
    <mergeCell ref="BC3993:BC3994"/>
    <mergeCell ref="BD3993:BD3994"/>
    <mergeCell ref="BE3993:BE3994"/>
    <mergeCell ref="BF3993:BF3994"/>
    <mergeCell ref="BG3993:BG3994"/>
    <mergeCell ref="BH3993:BH3994"/>
    <mergeCell ref="BC3995:BC3999"/>
    <mergeCell ref="BD3995:BD3999"/>
    <mergeCell ref="BE3995:BE3999"/>
    <mergeCell ref="BF3995:BF3999"/>
    <mergeCell ref="BG3995:BG3999"/>
    <mergeCell ref="BH3995:BH3999"/>
    <mergeCell ref="BC4000:BC4004"/>
    <mergeCell ref="BD4000:BD4004"/>
    <mergeCell ref="BE4000:BE4004"/>
    <mergeCell ref="BF4000:BF4004"/>
    <mergeCell ref="BG4000:BG4004"/>
    <mergeCell ref="BH4000:BH4004"/>
    <mergeCell ref="BC4005:BC4006"/>
    <mergeCell ref="BD4005:BD4006"/>
    <mergeCell ref="BE4005:BE4006"/>
    <mergeCell ref="BF4005:BF4006"/>
    <mergeCell ref="BG4005:BG4006"/>
    <mergeCell ref="BH4005:BH4006"/>
    <mergeCell ref="BC4007:BC4013"/>
    <mergeCell ref="BD4007:BD4013"/>
    <mergeCell ref="BE4007:BE4013"/>
    <mergeCell ref="BF4007:BF4013"/>
    <mergeCell ref="BG4007:BG4013"/>
    <mergeCell ref="BH4007:BH4013"/>
    <mergeCell ref="BC4014:BC4018"/>
    <mergeCell ref="BD4014:BD4018"/>
    <mergeCell ref="BE4014:BE4018"/>
    <mergeCell ref="BF4014:BF4018"/>
    <mergeCell ref="BG4014:BG4018"/>
    <mergeCell ref="BH4014:BH4018"/>
    <mergeCell ref="BC4019:BC4022"/>
    <mergeCell ref="BD4019:BD4022"/>
    <mergeCell ref="BE4019:BE4022"/>
    <mergeCell ref="BF4019:BF4022"/>
    <mergeCell ref="BG4019:BG4022"/>
    <mergeCell ref="BH4019:BH4022"/>
    <mergeCell ref="BC4023:BC4025"/>
    <mergeCell ref="BD4023:BD4025"/>
    <mergeCell ref="BE4023:BE4025"/>
    <mergeCell ref="BF4023:BF4025"/>
    <mergeCell ref="BG4023:BG4025"/>
    <mergeCell ref="BH4023:BH4025"/>
    <mergeCell ref="BC4026:BC4058"/>
    <mergeCell ref="BD4026:BD4058"/>
    <mergeCell ref="BE4026:BE4058"/>
    <mergeCell ref="BF4026:BF4058"/>
    <mergeCell ref="BG4026:BG4058"/>
    <mergeCell ref="BH4026:BH4058"/>
    <mergeCell ref="BC4059:BC4068"/>
    <mergeCell ref="BD4059:BD4068"/>
    <mergeCell ref="BE4059:BE4068"/>
    <mergeCell ref="BF4059:BF4068"/>
    <mergeCell ref="BG4059:BG4068"/>
    <mergeCell ref="BH4059:BH4068"/>
    <mergeCell ref="BC4069:BC4078"/>
    <mergeCell ref="BD4069:BD4078"/>
    <mergeCell ref="BE4069:BE4078"/>
    <mergeCell ref="BF4069:BF4078"/>
    <mergeCell ref="BG4069:BG4078"/>
    <mergeCell ref="BH4069:BH4078"/>
    <mergeCell ref="BC4081:BC4082"/>
    <mergeCell ref="BD4081:BD4082"/>
    <mergeCell ref="BE4081:BE4082"/>
    <mergeCell ref="BF4081:BF4082"/>
    <mergeCell ref="BG4081:BG4082"/>
    <mergeCell ref="BH4081:BH4082"/>
    <mergeCell ref="BC4083:BC4084"/>
    <mergeCell ref="BD4083:BD4084"/>
    <mergeCell ref="BE4083:BE4084"/>
    <mergeCell ref="BF4083:BF4084"/>
    <mergeCell ref="BG4083:BG4084"/>
    <mergeCell ref="BH4083:BH4084"/>
    <mergeCell ref="BC4085:BC4088"/>
    <mergeCell ref="BD4085:BD4088"/>
    <mergeCell ref="BE4085:BE4088"/>
    <mergeCell ref="BF4085:BF4088"/>
    <mergeCell ref="BG4085:BG4088"/>
    <mergeCell ref="BH4085:BH4088"/>
    <mergeCell ref="BC4089:BC4091"/>
    <mergeCell ref="BD4089:BD4091"/>
    <mergeCell ref="BE4089:BE4091"/>
    <mergeCell ref="BF4089:BF4091"/>
    <mergeCell ref="BG4089:BG4091"/>
    <mergeCell ref="BH4089:BH4091"/>
    <mergeCell ref="BC4092:BC4093"/>
    <mergeCell ref="BD4092:BD4093"/>
    <mergeCell ref="BE4092:BE4093"/>
    <mergeCell ref="BF4092:BF4093"/>
    <mergeCell ref="BG4092:BG4093"/>
    <mergeCell ref="BH4092:BH4093"/>
    <mergeCell ref="BC4095:BC4097"/>
    <mergeCell ref="BD4095:BD4097"/>
    <mergeCell ref="BE4095:BE4097"/>
    <mergeCell ref="BF4095:BF4097"/>
    <mergeCell ref="BG4095:BG4097"/>
    <mergeCell ref="BH4095:BH4097"/>
    <mergeCell ref="BC4098:BC4107"/>
    <mergeCell ref="BD4098:BD4107"/>
    <mergeCell ref="BE4098:BE4107"/>
    <mergeCell ref="BF4098:BF4107"/>
    <mergeCell ref="BG4098:BG4107"/>
    <mergeCell ref="BH4098:BH4107"/>
    <mergeCell ref="BC4108:BC4112"/>
    <mergeCell ref="BD4108:BD4112"/>
    <mergeCell ref="BE4108:BE4112"/>
    <mergeCell ref="BF4108:BF4112"/>
    <mergeCell ref="BG4108:BG4112"/>
    <mergeCell ref="BH4108:BH4112"/>
    <mergeCell ref="BC4113:BC4114"/>
    <mergeCell ref="BD4113:BD4114"/>
    <mergeCell ref="BE4113:BE4114"/>
    <mergeCell ref="BF4113:BF4114"/>
    <mergeCell ref="BG4113:BG4114"/>
    <mergeCell ref="BH4113:BH4114"/>
    <mergeCell ref="BC4115:BC4117"/>
    <mergeCell ref="BD4115:BD4117"/>
    <mergeCell ref="BE4115:BE4117"/>
    <mergeCell ref="BF4115:BF4117"/>
    <mergeCell ref="BG4115:BG4117"/>
    <mergeCell ref="BH4115:BH4117"/>
    <mergeCell ref="BC4118:BC4120"/>
    <mergeCell ref="BD4118:BD4120"/>
    <mergeCell ref="BE4118:BE4120"/>
    <mergeCell ref="BF4118:BF4120"/>
    <mergeCell ref="BG4118:BG4120"/>
    <mergeCell ref="BH4118:BH4120"/>
    <mergeCell ref="BC4121:BC4123"/>
    <mergeCell ref="BD4121:BD4123"/>
    <mergeCell ref="BE4121:BE4123"/>
    <mergeCell ref="BF4121:BF4123"/>
    <mergeCell ref="BG4121:BG4123"/>
    <mergeCell ref="BH4121:BH4123"/>
    <mergeCell ref="BC4124:BC4126"/>
    <mergeCell ref="BD4124:BD4126"/>
    <mergeCell ref="BE4124:BE4126"/>
    <mergeCell ref="BF4124:BF4126"/>
    <mergeCell ref="BG4124:BG4126"/>
    <mergeCell ref="BH4124:BH4126"/>
    <mergeCell ref="BC4127:BC4130"/>
    <mergeCell ref="BD4127:BD4130"/>
    <mergeCell ref="BE4127:BE4130"/>
    <mergeCell ref="BF4127:BF4130"/>
    <mergeCell ref="BG4127:BG4130"/>
    <mergeCell ref="BH4127:BH4130"/>
    <mergeCell ref="BC4132:BC4141"/>
    <mergeCell ref="BD4132:BD4141"/>
    <mergeCell ref="BE4132:BE4141"/>
    <mergeCell ref="BF4132:BF4141"/>
    <mergeCell ref="BG4132:BG4141"/>
    <mergeCell ref="BH4132:BH4141"/>
    <mergeCell ref="BC4142:BC4143"/>
    <mergeCell ref="BD4142:BD4143"/>
    <mergeCell ref="BE4142:BE4143"/>
    <mergeCell ref="BF4142:BF4143"/>
    <mergeCell ref="BG4142:BG4143"/>
    <mergeCell ref="BH4142:BH4143"/>
    <mergeCell ref="BC4144:BC4147"/>
    <mergeCell ref="BD4144:BD4147"/>
    <mergeCell ref="BE4144:BE4147"/>
    <mergeCell ref="BF4144:BF4147"/>
    <mergeCell ref="BG4144:BG4147"/>
    <mergeCell ref="BH4144:BH4147"/>
    <mergeCell ref="BC4148:BC4149"/>
    <mergeCell ref="BD4148:BD4149"/>
    <mergeCell ref="BE4148:BE4149"/>
    <mergeCell ref="BF4148:BF4149"/>
    <mergeCell ref="BG4148:BG4149"/>
    <mergeCell ref="BH4148:BH4149"/>
    <mergeCell ref="BC4152:BC4153"/>
    <mergeCell ref="BD4152:BD4153"/>
    <mergeCell ref="BE4152:BE4153"/>
    <mergeCell ref="BF4152:BF4153"/>
    <mergeCell ref="BG4152:BG4153"/>
    <mergeCell ref="BH4152:BH4153"/>
    <mergeCell ref="BC4154:BC4155"/>
    <mergeCell ref="BD4154:BD4155"/>
    <mergeCell ref="BE4154:BE4155"/>
    <mergeCell ref="BF4154:BF4155"/>
    <mergeCell ref="BG4154:BG4155"/>
    <mergeCell ref="BH4154:BH4155"/>
    <mergeCell ref="BC4156:BC4162"/>
    <mergeCell ref="BD4156:BD4162"/>
    <mergeCell ref="BE4156:BE4162"/>
    <mergeCell ref="BF4156:BF4162"/>
    <mergeCell ref="BG4156:BG4162"/>
    <mergeCell ref="BH4156:BH4162"/>
    <mergeCell ref="BC4163:BC4164"/>
    <mergeCell ref="BD4163:BD4164"/>
    <mergeCell ref="BE4163:BE4164"/>
    <mergeCell ref="BF4163:BF4164"/>
    <mergeCell ref="BG4163:BG4164"/>
    <mergeCell ref="BH4163:BH4164"/>
    <mergeCell ref="BC4165:BC4169"/>
    <mergeCell ref="BD4165:BD4169"/>
    <mergeCell ref="BE4165:BE4169"/>
    <mergeCell ref="BF4165:BF4169"/>
    <mergeCell ref="BG4165:BG4169"/>
    <mergeCell ref="BH4165:BH4169"/>
    <mergeCell ref="BC4170:BC4173"/>
    <mergeCell ref="BD4170:BD4173"/>
    <mergeCell ref="BE4170:BE4173"/>
    <mergeCell ref="BF4170:BF4173"/>
    <mergeCell ref="BG4170:BG4173"/>
    <mergeCell ref="BH4170:BH4173"/>
    <mergeCell ref="BC4175:BC4177"/>
    <mergeCell ref="BD4175:BD4177"/>
    <mergeCell ref="BE4175:BE4177"/>
    <mergeCell ref="BF4175:BF4177"/>
    <mergeCell ref="BG4175:BG4177"/>
    <mergeCell ref="BH4175:BH4177"/>
    <mergeCell ref="BC4178:BC4179"/>
    <mergeCell ref="BD4178:BD4179"/>
    <mergeCell ref="BE4178:BE4179"/>
    <mergeCell ref="BF4178:BF4179"/>
    <mergeCell ref="BG4178:BG4179"/>
    <mergeCell ref="BH4178:BH4179"/>
    <mergeCell ref="BC4180:BC4191"/>
    <mergeCell ref="BD4180:BD4191"/>
    <mergeCell ref="BE4180:BE4191"/>
    <mergeCell ref="BF4180:BF4191"/>
    <mergeCell ref="BG4180:BG4191"/>
    <mergeCell ref="BH4180:BH4191"/>
    <mergeCell ref="BC4192:BC4193"/>
    <mergeCell ref="BD4192:BD4193"/>
    <mergeCell ref="BE4192:BE4193"/>
    <mergeCell ref="BF4192:BF4193"/>
    <mergeCell ref="BG4192:BG4193"/>
    <mergeCell ref="BH4192:BH4193"/>
    <mergeCell ref="BC4195:BC4201"/>
    <mergeCell ref="BD4195:BD4201"/>
    <mergeCell ref="BE4195:BE4201"/>
    <mergeCell ref="BF4195:BF4201"/>
    <mergeCell ref="BG4195:BG4201"/>
    <mergeCell ref="BH4195:BH4201"/>
    <mergeCell ref="BC4202:BC4205"/>
    <mergeCell ref="BD4202:BD4205"/>
    <mergeCell ref="BE4202:BE4205"/>
    <mergeCell ref="BF4202:BF4205"/>
    <mergeCell ref="BG4202:BG4205"/>
    <mergeCell ref="BH4202:BH4205"/>
    <mergeCell ref="BC4206:BC4228"/>
    <mergeCell ref="BD4206:BD4228"/>
    <mergeCell ref="BE4206:BE4228"/>
    <mergeCell ref="BF4206:BF4228"/>
    <mergeCell ref="BG4206:BG4228"/>
    <mergeCell ref="BH4206:BH4228"/>
    <mergeCell ref="BC4230:BC4231"/>
    <mergeCell ref="BD4230:BD4231"/>
    <mergeCell ref="BE4230:BE4231"/>
    <mergeCell ref="BF4230:BF4231"/>
    <mergeCell ref="BG4230:BG4231"/>
    <mergeCell ref="BH4230:BH4231"/>
    <mergeCell ref="BC4233:BC4234"/>
    <mergeCell ref="BD4233:BD4234"/>
    <mergeCell ref="BE4233:BE4234"/>
    <mergeCell ref="BF4233:BF4234"/>
    <mergeCell ref="BG4233:BG4234"/>
    <mergeCell ref="BH4233:BH4234"/>
    <mergeCell ref="BC4235:BC4243"/>
    <mergeCell ref="BD4235:BD4243"/>
    <mergeCell ref="BE4235:BE4243"/>
    <mergeCell ref="BF4235:BF4243"/>
    <mergeCell ref="BG4235:BG4243"/>
    <mergeCell ref="BH4235:BH4243"/>
    <mergeCell ref="BC4244:BC4245"/>
    <mergeCell ref="BD4244:BD4245"/>
    <mergeCell ref="BE4244:BE4245"/>
    <mergeCell ref="BF4244:BF4245"/>
    <mergeCell ref="BG4244:BG4245"/>
    <mergeCell ref="BH4244:BH4245"/>
    <mergeCell ref="BC4247:BC4248"/>
    <mergeCell ref="BD4247:BD4248"/>
    <mergeCell ref="BE4247:BE4248"/>
    <mergeCell ref="BF4247:BF4248"/>
    <mergeCell ref="BG4247:BG4248"/>
    <mergeCell ref="BH4247:BH4248"/>
    <mergeCell ref="BC4249:BC4250"/>
    <mergeCell ref="BD4249:BD4250"/>
    <mergeCell ref="BE4249:BE4250"/>
    <mergeCell ref="BF4249:BF4250"/>
    <mergeCell ref="BG4249:BG4250"/>
    <mergeCell ref="BH4249:BH4250"/>
    <mergeCell ref="BC4251:BC4252"/>
    <mergeCell ref="BD4251:BD4252"/>
    <mergeCell ref="BE4251:BE4252"/>
    <mergeCell ref="BF4251:BF4252"/>
    <mergeCell ref="BG4251:BG4252"/>
    <mergeCell ref="BH4251:BH4252"/>
    <mergeCell ref="BC4253:BC4254"/>
    <mergeCell ref="BD4253:BD4254"/>
    <mergeCell ref="BE4253:BE4254"/>
    <mergeCell ref="BF4253:BF4254"/>
    <mergeCell ref="BG4253:BG4254"/>
    <mergeCell ref="BH4253:BH4254"/>
    <mergeCell ref="BC4255:BC4257"/>
    <mergeCell ref="BD4255:BD4257"/>
    <mergeCell ref="BE4255:BE4257"/>
    <mergeCell ref="BF4255:BF4257"/>
    <mergeCell ref="BG4255:BG4257"/>
    <mergeCell ref="BH4255:BH4257"/>
    <mergeCell ref="BC4258:BC4259"/>
    <mergeCell ref="BD4258:BD4259"/>
    <mergeCell ref="BE4258:BE4259"/>
    <mergeCell ref="BF4258:BF4259"/>
    <mergeCell ref="BG4258:BG4259"/>
    <mergeCell ref="BH4258:BH4259"/>
    <mergeCell ref="BC4260:BC4264"/>
    <mergeCell ref="BD4260:BD4264"/>
    <mergeCell ref="BE4260:BE4264"/>
    <mergeCell ref="BF4260:BF4264"/>
    <mergeCell ref="BG4260:BG4264"/>
    <mergeCell ref="BH4260:BH4264"/>
    <mergeCell ref="BC4265:BC4267"/>
    <mergeCell ref="BD4265:BD4267"/>
    <mergeCell ref="BE4265:BE4267"/>
    <mergeCell ref="BF4265:BF4267"/>
    <mergeCell ref="BG4265:BG4267"/>
    <mergeCell ref="BH4265:BH4267"/>
    <mergeCell ref="BC4268:BC4288"/>
    <mergeCell ref="BD4268:BD4288"/>
    <mergeCell ref="BE4268:BE4288"/>
    <mergeCell ref="BF4268:BF4288"/>
    <mergeCell ref="BG4268:BG4288"/>
    <mergeCell ref="BH4268:BH4288"/>
    <mergeCell ref="BC4289:BC4303"/>
    <mergeCell ref="BD4289:BD4303"/>
    <mergeCell ref="BE4289:BE4303"/>
    <mergeCell ref="BF4289:BF4303"/>
    <mergeCell ref="BG4289:BG4303"/>
    <mergeCell ref="BH4289:BH4303"/>
    <mergeCell ref="BC4304:BC4309"/>
    <mergeCell ref="BD4304:BD4309"/>
    <mergeCell ref="BE4304:BE4309"/>
    <mergeCell ref="BF4304:BF4309"/>
    <mergeCell ref="BG4304:BG4309"/>
    <mergeCell ref="BH4304:BH4309"/>
    <mergeCell ref="BC4310:BC4312"/>
    <mergeCell ref="BD4310:BD4312"/>
    <mergeCell ref="BE4310:BE4312"/>
    <mergeCell ref="BF4310:BF4312"/>
    <mergeCell ref="BG4310:BG4312"/>
    <mergeCell ref="BH4310:BH4312"/>
    <mergeCell ref="BC4313:BC4332"/>
    <mergeCell ref="BD4313:BD4332"/>
    <mergeCell ref="BE4313:BE4332"/>
    <mergeCell ref="BF4313:BF4332"/>
    <mergeCell ref="BG4313:BG4332"/>
    <mergeCell ref="BH4313:BH4332"/>
    <mergeCell ref="BC4333:BC4334"/>
    <mergeCell ref="BD4333:BD4334"/>
    <mergeCell ref="BE4333:BE4334"/>
    <mergeCell ref="BF4333:BF4334"/>
    <mergeCell ref="BG4333:BG4334"/>
    <mergeCell ref="BH4333:BH4334"/>
    <mergeCell ref="BC4335:BC4343"/>
    <mergeCell ref="BD4335:BD4343"/>
    <mergeCell ref="BE4335:BE4343"/>
    <mergeCell ref="BF4335:BF4343"/>
    <mergeCell ref="BG4335:BG4343"/>
    <mergeCell ref="BH4335:BH4343"/>
    <mergeCell ref="BC4344:BC4345"/>
    <mergeCell ref="BD4344:BD4345"/>
    <mergeCell ref="BE4344:BE4345"/>
    <mergeCell ref="BF4344:BF4345"/>
    <mergeCell ref="BG4344:BG4345"/>
    <mergeCell ref="BH4344:BH4345"/>
    <mergeCell ref="BC4346:BC4347"/>
    <mergeCell ref="BD4346:BD4347"/>
    <mergeCell ref="BE4346:BE4347"/>
    <mergeCell ref="BF4346:BF4347"/>
    <mergeCell ref="BG4346:BG4347"/>
    <mergeCell ref="BH4346:BH4347"/>
    <mergeCell ref="BC4348:BC4349"/>
    <mergeCell ref="BD4348:BD4349"/>
    <mergeCell ref="BE4348:BE4349"/>
    <mergeCell ref="BF4348:BF4349"/>
    <mergeCell ref="BG4348:BG4349"/>
    <mergeCell ref="BH4348:BH4349"/>
    <mergeCell ref="BC4350:BC4352"/>
    <mergeCell ref="BD4350:BD4352"/>
    <mergeCell ref="BE4350:BE4352"/>
    <mergeCell ref="BF4350:BF4352"/>
    <mergeCell ref="BG4350:BG4352"/>
    <mergeCell ref="BH4350:BH4352"/>
    <mergeCell ref="BC4353:BC4354"/>
    <mergeCell ref="BD4353:BD4354"/>
    <mergeCell ref="BE4353:BE4354"/>
    <mergeCell ref="BF4353:BF4354"/>
    <mergeCell ref="BG4353:BG4354"/>
    <mergeCell ref="BH4353:BH4354"/>
    <mergeCell ref="BC4355:BC4357"/>
    <mergeCell ref="BD4355:BD4357"/>
    <mergeCell ref="BE4355:BE4357"/>
    <mergeCell ref="BF4355:BF4357"/>
    <mergeCell ref="BG4355:BG4357"/>
    <mergeCell ref="BH4355:BH4357"/>
    <mergeCell ref="BC4358:BC4371"/>
    <mergeCell ref="BD4358:BD4371"/>
    <mergeCell ref="BE4358:BE4371"/>
    <mergeCell ref="BF4358:BF4371"/>
    <mergeCell ref="BG4358:BG4371"/>
    <mergeCell ref="BH4358:BH4371"/>
    <mergeCell ref="BC4372:BC4373"/>
    <mergeCell ref="BD4372:BD4373"/>
    <mergeCell ref="BE4372:BE4373"/>
    <mergeCell ref="BF4372:BF4373"/>
    <mergeCell ref="BG4372:BG4373"/>
    <mergeCell ref="BH4372:BH4373"/>
    <mergeCell ref="BC4374:BC4376"/>
    <mergeCell ref="BD4374:BD4376"/>
    <mergeCell ref="BE4374:BE4376"/>
    <mergeCell ref="BF4374:BF4376"/>
    <mergeCell ref="BG4374:BG4376"/>
    <mergeCell ref="BH4374:BH4376"/>
    <mergeCell ref="BC4377:BC4378"/>
    <mergeCell ref="BD4377:BD4378"/>
    <mergeCell ref="BE4377:BE4378"/>
    <mergeCell ref="BF4377:BF4378"/>
    <mergeCell ref="BG4377:BG4378"/>
    <mergeCell ref="BH4377:BH4378"/>
    <mergeCell ref="BC4379:BC4380"/>
    <mergeCell ref="BD4379:BD4380"/>
    <mergeCell ref="BE4379:BE4380"/>
    <mergeCell ref="BF4379:BF4380"/>
    <mergeCell ref="BG4379:BG4380"/>
    <mergeCell ref="BH4379:BH4380"/>
    <mergeCell ref="BC4382:BC4383"/>
    <mergeCell ref="BD4382:BD4383"/>
    <mergeCell ref="BE4382:BE4383"/>
    <mergeCell ref="BF4382:BF4383"/>
    <mergeCell ref="BG4382:BG4383"/>
    <mergeCell ref="BH4382:BH4383"/>
    <mergeCell ref="BC4384:BC4385"/>
    <mergeCell ref="BD4384:BD4385"/>
    <mergeCell ref="BE4384:BE4385"/>
    <mergeCell ref="BF4384:BF4385"/>
    <mergeCell ref="BG4384:BG4385"/>
    <mergeCell ref="BH4384:BH4385"/>
    <mergeCell ref="BC4387:BC4388"/>
    <mergeCell ref="BD4387:BD4388"/>
    <mergeCell ref="BE4387:BE4388"/>
    <mergeCell ref="BF4387:BF4388"/>
    <mergeCell ref="BG4387:BG4388"/>
    <mergeCell ref="BH4387:BH4388"/>
    <mergeCell ref="BC4389:BC4390"/>
    <mergeCell ref="BD4389:BD4390"/>
    <mergeCell ref="BE4389:BE4390"/>
    <mergeCell ref="BF4389:BF4390"/>
    <mergeCell ref="BG4389:BG4390"/>
    <mergeCell ref="BH4389:BH4390"/>
    <mergeCell ref="BC4391:BC4392"/>
    <mergeCell ref="BD4391:BD4392"/>
    <mergeCell ref="BE4391:BE4392"/>
    <mergeCell ref="BF4391:BF4392"/>
    <mergeCell ref="BG4391:BG4392"/>
    <mergeCell ref="BH4391:BH4392"/>
    <mergeCell ref="BC4393:BC4394"/>
    <mergeCell ref="BD4393:BD4394"/>
    <mergeCell ref="BE4393:BE4394"/>
    <mergeCell ref="BF4393:BF4394"/>
    <mergeCell ref="BG4393:BG4394"/>
    <mergeCell ref="BH4393:BH4394"/>
    <mergeCell ref="BC4395:BC4396"/>
    <mergeCell ref="BD4395:BD4396"/>
    <mergeCell ref="BE4395:BE4396"/>
    <mergeCell ref="BF4395:BF4396"/>
    <mergeCell ref="BG4395:BG4396"/>
    <mergeCell ref="BH4395:BH4396"/>
    <mergeCell ref="BC4397:BC4398"/>
    <mergeCell ref="BD4397:BD4398"/>
    <mergeCell ref="BE4397:BE4398"/>
    <mergeCell ref="BF4397:BF4398"/>
    <mergeCell ref="BG4397:BG4398"/>
    <mergeCell ref="BH4397:BH4398"/>
    <mergeCell ref="BC4399:BC4400"/>
    <mergeCell ref="BD4399:BD4400"/>
    <mergeCell ref="BE4399:BE4400"/>
    <mergeCell ref="BF4399:BF4400"/>
    <mergeCell ref="BG4399:BG4400"/>
    <mergeCell ref="BH4399:BH4400"/>
    <mergeCell ref="BC4401:BC4402"/>
    <mergeCell ref="BD4401:BD4402"/>
    <mergeCell ref="BE4401:BE4402"/>
    <mergeCell ref="BF4401:BF4402"/>
    <mergeCell ref="BG4401:BG4402"/>
    <mergeCell ref="BH4401:BH4402"/>
    <mergeCell ref="BC4405:BC4410"/>
    <mergeCell ref="BD4405:BD4410"/>
    <mergeCell ref="BE4405:BE4410"/>
    <mergeCell ref="BF4405:BF4410"/>
    <mergeCell ref="BG4405:BG4410"/>
    <mergeCell ref="BH4405:BH4410"/>
    <mergeCell ref="BC4411:BC4414"/>
    <mergeCell ref="BD4411:BD4414"/>
    <mergeCell ref="BE4411:BE4414"/>
    <mergeCell ref="BF4411:BF4414"/>
    <mergeCell ref="BG4411:BG4414"/>
    <mergeCell ref="BH4411:BH4414"/>
    <mergeCell ref="BC4415:BC4416"/>
    <mergeCell ref="BD4415:BD4416"/>
    <mergeCell ref="BE4415:BE4416"/>
    <mergeCell ref="BF4415:BF4416"/>
    <mergeCell ref="BG4415:BG4416"/>
    <mergeCell ref="BH4415:BH4416"/>
    <mergeCell ref="BC4418:BC4421"/>
    <mergeCell ref="BD4418:BD4421"/>
    <mergeCell ref="BE4418:BE4421"/>
    <mergeCell ref="BF4418:BF4421"/>
    <mergeCell ref="BG4418:BG4421"/>
    <mergeCell ref="BH4418:BH4421"/>
    <mergeCell ref="BC4422:BC4423"/>
    <mergeCell ref="BD4422:BD4423"/>
    <mergeCell ref="BE4422:BE4423"/>
    <mergeCell ref="BF4422:BF4423"/>
    <mergeCell ref="BG4422:BG4423"/>
    <mergeCell ref="BH4422:BH4423"/>
    <mergeCell ref="BC4424:BC4426"/>
    <mergeCell ref="BD4424:BD4426"/>
    <mergeCell ref="BE4424:BE4426"/>
    <mergeCell ref="BF4424:BF4426"/>
    <mergeCell ref="BG4424:BG4426"/>
    <mergeCell ref="BH4424:BH4426"/>
    <mergeCell ref="BC4427:BC4428"/>
    <mergeCell ref="BD4427:BD4428"/>
    <mergeCell ref="BE4427:BE4428"/>
    <mergeCell ref="BF4427:BF4428"/>
    <mergeCell ref="BG4427:BG4428"/>
    <mergeCell ref="BH4427:BH4428"/>
    <mergeCell ref="BC4429:BC4434"/>
    <mergeCell ref="BD4429:BD4434"/>
    <mergeCell ref="BE4429:BE4434"/>
    <mergeCell ref="BF4429:BF4434"/>
    <mergeCell ref="BG4429:BG4434"/>
    <mergeCell ref="BH4429:BH4434"/>
    <mergeCell ref="BC4435:BC4436"/>
    <mergeCell ref="BD4435:BD4436"/>
    <mergeCell ref="BE4435:BE4436"/>
    <mergeCell ref="BF4435:BF4436"/>
    <mergeCell ref="BG4435:BG4436"/>
    <mergeCell ref="BH4435:BH4436"/>
    <mergeCell ref="BC4437:BC4438"/>
    <mergeCell ref="BD4437:BD4438"/>
    <mergeCell ref="BE4437:BE4438"/>
    <mergeCell ref="BF4437:BF4438"/>
    <mergeCell ref="BG4437:BG4438"/>
    <mergeCell ref="BH4437:BH4438"/>
    <mergeCell ref="BC4439:BC4441"/>
    <mergeCell ref="BD4439:BD4441"/>
    <mergeCell ref="BE4439:BE4441"/>
    <mergeCell ref="BF4439:BF4441"/>
    <mergeCell ref="BG4439:BG4441"/>
    <mergeCell ref="BH4439:BH4441"/>
    <mergeCell ref="BC4443:BC4446"/>
    <mergeCell ref="BD4443:BD4446"/>
    <mergeCell ref="BE4443:BE4446"/>
    <mergeCell ref="BF4443:BF4446"/>
    <mergeCell ref="BG4443:BG4446"/>
    <mergeCell ref="BH4443:BH4446"/>
    <mergeCell ref="BC4447:BC4450"/>
    <mergeCell ref="BD4447:BD4450"/>
    <mergeCell ref="BE4447:BE4450"/>
    <mergeCell ref="BF4447:BF4450"/>
    <mergeCell ref="BG4447:BG4450"/>
    <mergeCell ref="BH4447:BH4450"/>
    <mergeCell ref="BC4451:BC4452"/>
    <mergeCell ref="BD4451:BD4452"/>
    <mergeCell ref="BE4451:BE4452"/>
    <mergeCell ref="BF4451:BF4452"/>
    <mergeCell ref="BG4451:BG4452"/>
    <mergeCell ref="BH4451:BH4452"/>
    <mergeCell ref="BC4453:BC4454"/>
    <mergeCell ref="BD4453:BD4454"/>
    <mergeCell ref="BE4453:BE4454"/>
    <mergeCell ref="BF4453:BF4454"/>
    <mergeCell ref="BG4453:BG4454"/>
    <mergeCell ref="BH4453:BH4454"/>
    <mergeCell ref="BC4455:BC4456"/>
    <mergeCell ref="BD4455:BD4456"/>
    <mergeCell ref="BE4455:BE4456"/>
    <mergeCell ref="BF4455:BF4456"/>
    <mergeCell ref="BG4455:BG4456"/>
    <mergeCell ref="BH4455:BH4456"/>
    <mergeCell ref="AV18:AV19"/>
    <mergeCell ref="AW18:AW19"/>
    <mergeCell ref="AX18:AX19"/>
    <mergeCell ref="AY18:AY19"/>
    <mergeCell ref="AZ18:AZ19"/>
    <mergeCell ref="BA18:BA19"/>
    <mergeCell ref="BI18:BI19"/>
    <mergeCell ref="AV21:AV22"/>
    <mergeCell ref="AW21:AW22"/>
    <mergeCell ref="AX21:AX22"/>
    <mergeCell ref="AY21:AY22"/>
    <mergeCell ref="AZ21:AZ22"/>
    <mergeCell ref="BA21:BA22"/>
    <mergeCell ref="BI21:BI22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40:AV41"/>
    <mergeCell ref="AW40:AW41"/>
    <mergeCell ref="AX40:AX41"/>
    <mergeCell ref="AY40:AY41"/>
    <mergeCell ref="AZ40:AZ41"/>
    <mergeCell ref="BA40:BA41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8:AV90"/>
    <mergeCell ref="AW88:AW90"/>
    <mergeCell ref="AX88:AX90"/>
    <mergeCell ref="AY88:AY90"/>
    <mergeCell ref="AZ88:AZ90"/>
    <mergeCell ref="BA88:BA90"/>
    <mergeCell ref="BI88:BI90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AV124:AV125"/>
    <mergeCell ref="AW124:AW125"/>
    <mergeCell ref="AX124:AX125"/>
    <mergeCell ref="AY124:AY125"/>
    <mergeCell ref="AZ124:AZ125"/>
    <mergeCell ref="BA124:BA125"/>
    <mergeCell ref="AV126:AV127"/>
    <mergeCell ref="AW126:AW127"/>
    <mergeCell ref="AX126:AX127"/>
    <mergeCell ref="AY126:AY127"/>
    <mergeCell ref="AZ126:AZ127"/>
    <mergeCell ref="BA126:BA127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BI130:BI131"/>
    <mergeCell ref="AV135:AV137"/>
    <mergeCell ref="AW135:AW137"/>
    <mergeCell ref="AX135:AX137"/>
    <mergeCell ref="AY135:AY137"/>
    <mergeCell ref="AZ135:AZ137"/>
    <mergeCell ref="BA135:BA137"/>
    <mergeCell ref="BI135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9:AV201"/>
    <mergeCell ref="AW199:AW201"/>
    <mergeCell ref="AX199:AX201"/>
    <mergeCell ref="AY199:AY201"/>
    <mergeCell ref="AZ199:AZ201"/>
    <mergeCell ref="BA199:BA201"/>
    <mergeCell ref="BI199:BI201"/>
    <mergeCell ref="AV207:AV208"/>
    <mergeCell ref="AW207:AW208"/>
    <mergeCell ref="AX207:AX208"/>
    <mergeCell ref="AY207:AY208"/>
    <mergeCell ref="AZ207:AZ208"/>
    <mergeCell ref="BA207:BA208"/>
    <mergeCell ref="BI207:BI208"/>
    <mergeCell ref="AV212:AV213"/>
    <mergeCell ref="AW212:AW213"/>
    <mergeCell ref="AX212:AX213"/>
    <mergeCell ref="AY212:AY213"/>
    <mergeCell ref="AZ212:AZ213"/>
    <mergeCell ref="BA212:BA213"/>
    <mergeCell ref="AV214:AV216"/>
    <mergeCell ref="AW214:AW216"/>
    <mergeCell ref="AX214:AX216"/>
    <mergeCell ref="AY214:AY216"/>
    <mergeCell ref="AZ214:AZ216"/>
    <mergeCell ref="BA214:BA216"/>
    <mergeCell ref="AV217:AV218"/>
    <mergeCell ref="AW217:AW218"/>
    <mergeCell ref="AX217:AX218"/>
    <mergeCell ref="AY217:AY218"/>
    <mergeCell ref="AZ217:AZ218"/>
    <mergeCell ref="BA217:BA218"/>
    <mergeCell ref="AV219:AV221"/>
    <mergeCell ref="AW219:AW221"/>
    <mergeCell ref="AX219:AX221"/>
    <mergeCell ref="AY219:AY221"/>
    <mergeCell ref="AZ219:AZ221"/>
    <mergeCell ref="BA219:BA221"/>
    <mergeCell ref="AV222:AV224"/>
    <mergeCell ref="AW222:AW224"/>
    <mergeCell ref="AX222:AX224"/>
    <mergeCell ref="AY222:AY224"/>
    <mergeCell ref="AZ222:AZ224"/>
    <mergeCell ref="BA222:BA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5"/>
    <mergeCell ref="AW233:AW235"/>
    <mergeCell ref="AX233:AX235"/>
    <mergeCell ref="AY233:AY235"/>
    <mergeCell ref="AZ233:AZ235"/>
    <mergeCell ref="BA233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7"/>
    <mergeCell ref="AW245:AW247"/>
    <mergeCell ref="AX245:AX247"/>
    <mergeCell ref="AY245:AY247"/>
    <mergeCell ref="AZ245:AZ247"/>
    <mergeCell ref="BA245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4"/>
    <mergeCell ref="AW252:AW254"/>
    <mergeCell ref="AX252:AX254"/>
    <mergeCell ref="AY252:AY254"/>
    <mergeCell ref="AZ252:AZ254"/>
    <mergeCell ref="BA252:BA254"/>
    <mergeCell ref="AV255:AV256"/>
    <mergeCell ref="AW255:AW256"/>
    <mergeCell ref="AX255:AX256"/>
    <mergeCell ref="AY255:AY256"/>
    <mergeCell ref="AZ255:AZ256"/>
    <mergeCell ref="BA255:BA256"/>
    <mergeCell ref="AV257:AV259"/>
    <mergeCell ref="AW257:AW259"/>
    <mergeCell ref="AX257:AX259"/>
    <mergeCell ref="AY257:AY259"/>
    <mergeCell ref="AZ257:AZ259"/>
    <mergeCell ref="BA257:BA259"/>
    <mergeCell ref="AV260:AV262"/>
    <mergeCell ref="AW260:AW262"/>
    <mergeCell ref="AX260:AX262"/>
    <mergeCell ref="AY260:AY262"/>
    <mergeCell ref="AZ260:AZ262"/>
    <mergeCell ref="BA260:BA262"/>
    <mergeCell ref="AV263:AV264"/>
    <mergeCell ref="AW263:AW264"/>
    <mergeCell ref="AX263:AX264"/>
    <mergeCell ref="AY263:AY264"/>
    <mergeCell ref="AZ263:AZ264"/>
    <mergeCell ref="BA263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7"/>
    <mergeCell ref="AW305:AW307"/>
    <mergeCell ref="AX305:AX307"/>
    <mergeCell ref="AY305:AY307"/>
    <mergeCell ref="AZ305:AZ307"/>
    <mergeCell ref="BA305:BA307"/>
    <mergeCell ref="AV308:AV310"/>
    <mergeCell ref="AW308:AW310"/>
    <mergeCell ref="AX308:AX310"/>
    <mergeCell ref="AY308:AY310"/>
    <mergeCell ref="AZ308:AZ310"/>
    <mergeCell ref="BA308:BA310"/>
    <mergeCell ref="AV311:AV312"/>
    <mergeCell ref="AW311:AW312"/>
    <mergeCell ref="AX311:AX312"/>
    <mergeCell ref="AY311:AY312"/>
    <mergeCell ref="AZ311:AZ312"/>
    <mergeCell ref="BA311:BA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AV325:AV327"/>
    <mergeCell ref="AW325:AW327"/>
    <mergeCell ref="AX325:AX327"/>
    <mergeCell ref="AY325:AY327"/>
    <mergeCell ref="AZ325:AZ327"/>
    <mergeCell ref="BA325:BA327"/>
    <mergeCell ref="AV328:AV330"/>
    <mergeCell ref="AW328:AW330"/>
    <mergeCell ref="AX328:AX330"/>
    <mergeCell ref="AY328:AY330"/>
    <mergeCell ref="AZ328:AZ330"/>
    <mergeCell ref="BA328:BA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9:AV431"/>
    <mergeCell ref="AW429:AW431"/>
    <mergeCell ref="AX429:AX431"/>
    <mergeCell ref="AY429:AY431"/>
    <mergeCell ref="AZ429:AZ431"/>
    <mergeCell ref="BA429:BA431"/>
    <mergeCell ref="BI429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50"/>
    <mergeCell ref="AW446:AW450"/>
    <mergeCell ref="AX446:AX450"/>
    <mergeCell ref="AY446:AY450"/>
    <mergeCell ref="AZ446:AZ450"/>
    <mergeCell ref="BA446:BA450"/>
    <mergeCell ref="BI446:BI450"/>
    <mergeCell ref="AV451:AV455"/>
    <mergeCell ref="AW451:AW455"/>
    <mergeCell ref="AX451:AX455"/>
    <mergeCell ref="AY451:AY455"/>
    <mergeCell ref="AZ451:AZ455"/>
    <mergeCell ref="BA451:BA455"/>
    <mergeCell ref="BI451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3"/>
    <mergeCell ref="AW469:AW473"/>
    <mergeCell ref="AX469:AX473"/>
    <mergeCell ref="AY469:AY473"/>
    <mergeCell ref="AZ469:AZ473"/>
    <mergeCell ref="BA469:BA473"/>
    <mergeCell ref="AV474:AV478"/>
    <mergeCell ref="AW474:AW478"/>
    <mergeCell ref="AX474:AX478"/>
    <mergeCell ref="AY474:AY478"/>
    <mergeCell ref="AZ474:AZ478"/>
    <mergeCell ref="BA474:BA478"/>
    <mergeCell ref="AV479:AV483"/>
    <mergeCell ref="AW479:AW483"/>
    <mergeCell ref="AX479:AX483"/>
    <mergeCell ref="AY479:AY483"/>
    <mergeCell ref="AZ479:AZ483"/>
    <mergeCell ref="BA479:BA483"/>
    <mergeCell ref="AV484:AV488"/>
    <mergeCell ref="AW484:AW488"/>
    <mergeCell ref="AX484:AX488"/>
    <mergeCell ref="AY484:AY488"/>
    <mergeCell ref="AZ484:AZ488"/>
    <mergeCell ref="BA484:BA488"/>
    <mergeCell ref="AV489:AV493"/>
    <mergeCell ref="AW489:AW493"/>
    <mergeCell ref="AX489:AX493"/>
    <mergeCell ref="AY489:AY493"/>
    <mergeCell ref="AZ489:AZ493"/>
    <mergeCell ref="BA489:BA493"/>
    <mergeCell ref="AV494:AV498"/>
    <mergeCell ref="AW494:AW498"/>
    <mergeCell ref="AX494:AX498"/>
    <mergeCell ref="AY494:AY498"/>
    <mergeCell ref="AZ494:AZ498"/>
    <mergeCell ref="BA494:BA498"/>
    <mergeCell ref="AV499:AV503"/>
    <mergeCell ref="AW499:AW503"/>
    <mergeCell ref="AX499:AX503"/>
    <mergeCell ref="AY499:AY503"/>
    <mergeCell ref="AZ499:AZ503"/>
    <mergeCell ref="BA499:BA503"/>
    <mergeCell ref="AV504:AV508"/>
    <mergeCell ref="AW504:AW508"/>
    <mergeCell ref="AX504:AX508"/>
    <mergeCell ref="AY504:AY508"/>
    <mergeCell ref="AZ504:AZ508"/>
    <mergeCell ref="BA504:BA508"/>
    <mergeCell ref="AV509:AV513"/>
    <mergeCell ref="AW509:AW513"/>
    <mergeCell ref="AX509:AX513"/>
    <mergeCell ref="AY509:AY513"/>
    <mergeCell ref="AZ509:AZ513"/>
    <mergeCell ref="BA509:BA513"/>
    <mergeCell ref="AV514:AV518"/>
    <mergeCell ref="AW514:AW518"/>
    <mergeCell ref="AX514:AX518"/>
    <mergeCell ref="AY514:AY518"/>
    <mergeCell ref="AZ514:AZ518"/>
    <mergeCell ref="BA514:BA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6"/>
    <mergeCell ref="AW522:AW526"/>
    <mergeCell ref="AX522:AX526"/>
    <mergeCell ref="AY522:AY526"/>
    <mergeCell ref="AZ522:AZ526"/>
    <mergeCell ref="BA522:BA526"/>
    <mergeCell ref="BI522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2"/>
    <mergeCell ref="AW531:AW532"/>
    <mergeCell ref="AX531:AX532"/>
    <mergeCell ref="AY531:AY532"/>
    <mergeCell ref="AZ531:AZ532"/>
    <mergeCell ref="BA531:BA532"/>
    <mergeCell ref="BI531:BI532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AV555:AV557"/>
    <mergeCell ref="AW555:AW557"/>
    <mergeCell ref="AX555:AX557"/>
    <mergeCell ref="AY555:AY557"/>
    <mergeCell ref="AZ555:AZ557"/>
    <mergeCell ref="BA555:BA557"/>
    <mergeCell ref="AV558:AV560"/>
    <mergeCell ref="AW558:AW560"/>
    <mergeCell ref="AX558:AX560"/>
    <mergeCell ref="AY558:AY560"/>
    <mergeCell ref="AZ558:AZ560"/>
    <mergeCell ref="BA558:BA560"/>
    <mergeCell ref="AV561:AV563"/>
    <mergeCell ref="AW561:AW563"/>
    <mergeCell ref="AX561:AX563"/>
    <mergeCell ref="AY561:AY563"/>
    <mergeCell ref="AZ561:AZ563"/>
    <mergeCell ref="BA561:BA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AV568:AV570"/>
    <mergeCell ref="AW568:AW570"/>
    <mergeCell ref="AX568:AX570"/>
    <mergeCell ref="AY568:AY570"/>
    <mergeCell ref="AZ568:AZ570"/>
    <mergeCell ref="BA568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7"/>
    <mergeCell ref="AW585:AW587"/>
    <mergeCell ref="AX585:AX587"/>
    <mergeCell ref="AY585:AY587"/>
    <mergeCell ref="AZ585:AZ587"/>
    <mergeCell ref="BA585:BA587"/>
    <mergeCell ref="AV588:AV589"/>
    <mergeCell ref="AW588:AW589"/>
    <mergeCell ref="AX588:AX589"/>
    <mergeCell ref="AY588:AY589"/>
    <mergeCell ref="AZ588:AZ589"/>
    <mergeCell ref="BA588:BA589"/>
    <mergeCell ref="AV596:AV599"/>
    <mergeCell ref="AW596:AW599"/>
    <mergeCell ref="AX596:AX599"/>
    <mergeCell ref="AY596:AY599"/>
    <mergeCell ref="AZ596:AZ599"/>
    <mergeCell ref="BA596:BA599"/>
    <mergeCell ref="AV600:AV602"/>
    <mergeCell ref="AW600:AW602"/>
    <mergeCell ref="AX600:AX602"/>
    <mergeCell ref="AY600:AY602"/>
    <mergeCell ref="AZ600:AZ602"/>
    <mergeCell ref="BA600:BA602"/>
    <mergeCell ref="AV603:AV606"/>
    <mergeCell ref="AW603:AW606"/>
    <mergeCell ref="AX603:AX606"/>
    <mergeCell ref="AY603:AY606"/>
    <mergeCell ref="AZ603:AZ606"/>
    <mergeCell ref="BA603:BA606"/>
    <mergeCell ref="AV607:AV609"/>
    <mergeCell ref="AW607:AW609"/>
    <mergeCell ref="AX607:AX609"/>
    <mergeCell ref="AY607:AY609"/>
    <mergeCell ref="AZ607:AZ609"/>
    <mergeCell ref="BA607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6"/>
    <mergeCell ref="AW614:AW616"/>
    <mergeCell ref="AX614:AX616"/>
    <mergeCell ref="AY614:AY616"/>
    <mergeCell ref="AZ614:AZ616"/>
    <mergeCell ref="BA614:BA616"/>
    <mergeCell ref="AV617:AV619"/>
    <mergeCell ref="AW617:AW619"/>
    <mergeCell ref="AX617:AX619"/>
    <mergeCell ref="AY617:AY619"/>
    <mergeCell ref="AZ617:AZ619"/>
    <mergeCell ref="BA617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9:AV630"/>
    <mergeCell ref="AW629:AW630"/>
    <mergeCell ref="AX629:AX630"/>
    <mergeCell ref="AY629:AY630"/>
    <mergeCell ref="AZ629:AZ630"/>
    <mergeCell ref="BA629:BA630"/>
    <mergeCell ref="BI629:BI630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3"/>
    <mergeCell ref="AW641:AW643"/>
    <mergeCell ref="AX641:AX643"/>
    <mergeCell ref="AY641:AY643"/>
    <mergeCell ref="AZ641:AZ643"/>
    <mergeCell ref="BA641:BA643"/>
    <mergeCell ref="AV644:AV646"/>
    <mergeCell ref="AW644:AW646"/>
    <mergeCell ref="AX644:AX646"/>
    <mergeCell ref="AY644:AY646"/>
    <mergeCell ref="AZ644:AZ646"/>
    <mergeCell ref="BA644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61:AV665"/>
    <mergeCell ref="AW661:AW665"/>
    <mergeCell ref="AX661:AX665"/>
    <mergeCell ref="AY661:AY665"/>
    <mergeCell ref="AZ661:AZ665"/>
    <mergeCell ref="BA661:BA665"/>
    <mergeCell ref="AV666:AV668"/>
    <mergeCell ref="AW666:AW668"/>
    <mergeCell ref="AX666:AX668"/>
    <mergeCell ref="AY666:AY668"/>
    <mergeCell ref="AZ666:AZ668"/>
    <mergeCell ref="BA666:BA668"/>
    <mergeCell ref="AV669:AV672"/>
    <mergeCell ref="AW669:AW672"/>
    <mergeCell ref="AX669:AX672"/>
    <mergeCell ref="AY669:AY672"/>
    <mergeCell ref="AZ669:AZ672"/>
    <mergeCell ref="BA669:BA672"/>
    <mergeCell ref="AV673:AV675"/>
    <mergeCell ref="AW673:AW675"/>
    <mergeCell ref="AX673:AX675"/>
    <mergeCell ref="AY673:AY675"/>
    <mergeCell ref="AZ673:AZ675"/>
    <mergeCell ref="BA673:BA675"/>
    <mergeCell ref="AV676:AV679"/>
    <mergeCell ref="AW676:AW679"/>
    <mergeCell ref="AX676:AX679"/>
    <mergeCell ref="AY676:AY679"/>
    <mergeCell ref="AZ676:AZ679"/>
    <mergeCell ref="BA676:BA679"/>
    <mergeCell ref="AV680:AV683"/>
    <mergeCell ref="AW680:AW683"/>
    <mergeCell ref="AX680:AX683"/>
    <mergeCell ref="AY680:AY683"/>
    <mergeCell ref="AZ680:AZ683"/>
    <mergeCell ref="BA680:BA683"/>
    <mergeCell ref="AV684:AV687"/>
    <mergeCell ref="AW684:AW687"/>
    <mergeCell ref="AX684:AX687"/>
    <mergeCell ref="AY684:AY687"/>
    <mergeCell ref="AZ684:AZ687"/>
    <mergeCell ref="BA684:BA687"/>
    <mergeCell ref="AV688:AV691"/>
    <mergeCell ref="AW688:AW691"/>
    <mergeCell ref="AX688:AX691"/>
    <mergeCell ref="AY688:AY691"/>
    <mergeCell ref="AZ688:AZ691"/>
    <mergeCell ref="BA688:BA691"/>
    <mergeCell ref="AV692:AV695"/>
    <mergeCell ref="AW692:AW695"/>
    <mergeCell ref="AX692:AX695"/>
    <mergeCell ref="AY692:AY695"/>
    <mergeCell ref="AZ692:AZ695"/>
    <mergeCell ref="BA692:BA695"/>
    <mergeCell ref="AV696:AV699"/>
    <mergeCell ref="AW696:AW699"/>
    <mergeCell ref="AX696:AX699"/>
    <mergeCell ref="AY696:AY699"/>
    <mergeCell ref="AZ696:AZ699"/>
    <mergeCell ref="BA696:BA699"/>
    <mergeCell ref="AV700:AV702"/>
    <mergeCell ref="AW700:AW702"/>
    <mergeCell ref="AX700:AX702"/>
    <mergeCell ref="AY700:AY702"/>
    <mergeCell ref="AZ700:AZ702"/>
    <mergeCell ref="BA700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42:AV743"/>
    <mergeCell ref="AW742:AW743"/>
    <mergeCell ref="AX742:AX743"/>
    <mergeCell ref="AY742:AY743"/>
    <mergeCell ref="AZ742:AZ743"/>
    <mergeCell ref="BA742:BA74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6:AV948"/>
    <mergeCell ref="AW946:AW948"/>
    <mergeCell ref="AX946:AX948"/>
    <mergeCell ref="AY946:AY948"/>
    <mergeCell ref="AZ946:AZ948"/>
    <mergeCell ref="BA946:BA948"/>
    <mergeCell ref="AV949:AV951"/>
    <mergeCell ref="AW949:AW951"/>
    <mergeCell ref="AX949:AX951"/>
    <mergeCell ref="AY949:AY951"/>
    <mergeCell ref="AZ949:AZ951"/>
    <mergeCell ref="BA949:BA951"/>
    <mergeCell ref="AV952:AV954"/>
    <mergeCell ref="AW952:AW954"/>
    <mergeCell ref="AX952:AX954"/>
    <mergeCell ref="AY952:AY954"/>
    <mergeCell ref="AZ952:AZ954"/>
    <mergeCell ref="BA952:BA954"/>
    <mergeCell ref="AV955:AV957"/>
    <mergeCell ref="AW955:AW957"/>
    <mergeCell ref="AX955:AX957"/>
    <mergeCell ref="AY955:AY957"/>
    <mergeCell ref="AZ955:AZ957"/>
    <mergeCell ref="BA955:BA957"/>
    <mergeCell ref="AV958:AV960"/>
    <mergeCell ref="AW958:AW960"/>
    <mergeCell ref="AX958:AX960"/>
    <mergeCell ref="AY958:AY960"/>
    <mergeCell ref="AZ958:AZ960"/>
    <mergeCell ref="BA958:BA960"/>
    <mergeCell ref="AV961:AV963"/>
    <mergeCell ref="AW961:AW963"/>
    <mergeCell ref="AX961:AX963"/>
    <mergeCell ref="AY961:AY963"/>
    <mergeCell ref="AZ961:AZ963"/>
    <mergeCell ref="BA961:BA963"/>
    <mergeCell ref="AV964:AV966"/>
    <mergeCell ref="AW964:AW966"/>
    <mergeCell ref="AX964:AX966"/>
    <mergeCell ref="AY964:AY966"/>
    <mergeCell ref="AZ964:AZ966"/>
    <mergeCell ref="BA964:BA966"/>
    <mergeCell ref="AV967:AV969"/>
    <mergeCell ref="AW967:AW969"/>
    <mergeCell ref="AX967:AX969"/>
    <mergeCell ref="AY967:AY969"/>
    <mergeCell ref="AZ967:AZ969"/>
    <mergeCell ref="BA967:BA969"/>
    <mergeCell ref="AV970:AV972"/>
    <mergeCell ref="AW970:AW972"/>
    <mergeCell ref="AX970:AX972"/>
    <mergeCell ref="AY970:AY972"/>
    <mergeCell ref="AZ970:AZ972"/>
    <mergeCell ref="BA970:BA972"/>
    <mergeCell ref="AV973:AV975"/>
    <mergeCell ref="AW973:AW975"/>
    <mergeCell ref="AX973:AX975"/>
    <mergeCell ref="AY973:AY975"/>
    <mergeCell ref="AZ973:AZ975"/>
    <mergeCell ref="BA973:BA975"/>
    <mergeCell ref="AV976:AV978"/>
    <mergeCell ref="AW976:AW978"/>
    <mergeCell ref="AX976:AX978"/>
    <mergeCell ref="AY976:AY978"/>
    <mergeCell ref="AZ976:AZ978"/>
    <mergeCell ref="BA976:BA978"/>
    <mergeCell ref="AV979:AV981"/>
    <mergeCell ref="AW979:AW981"/>
    <mergeCell ref="AX979:AX981"/>
    <mergeCell ref="AY979:AY981"/>
    <mergeCell ref="AZ979:AZ981"/>
    <mergeCell ref="BA979:BA981"/>
    <mergeCell ref="AV982:AV984"/>
    <mergeCell ref="AW982:AW984"/>
    <mergeCell ref="AX982:AX984"/>
    <mergeCell ref="AY982:AY984"/>
    <mergeCell ref="AZ982:AZ984"/>
    <mergeCell ref="BA982:BA984"/>
    <mergeCell ref="AV985:AV987"/>
    <mergeCell ref="AW985:AW987"/>
    <mergeCell ref="AX985:AX987"/>
    <mergeCell ref="AY985:AY987"/>
    <mergeCell ref="AZ985:AZ987"/>
    <mergeCell ref="BA985:BA987"/>
    <mergeCell ref="AV988:AV990"/>
    <mergeCell ref="AW988:AW990"/>
    <mergeCell ref="AX988:AX990"/>
    <mergeCell ref="AY988:AY990"/>
    <mergeCell ref="AZ988:AZ990"/>
    <mergeCell ref="BA988:BA990"/>
    <mergeCell ref="AV991:AV993"/>
    <mergeCell ref="AW991:AW993"/>
    <mergeCell ref="AX991:AX993"/>
    <mergeCell ref="AY991:AY993"/>
    <mergeCell ref="AZ991:AZ993"/>
    <mergeCell ref="BA991:BA993"/>
    <mergeCell ref="AV994:AV996"/>
    <mergeCell ref="AW994:AW996"/>
    <mergeCell ref="AX994:AX996"/>
    <mergeCell ref="AY994:AY996"/>
    <mergeCell ref="AZ994:AZ996"/>
    <mergeCell ref="BA994:BA996"/>
    <mergeCell ref="AV997:AV999"/>
    <mergeCell ref="AW997:AW999"/>
    <mergeCell ref="AX997:AX999"/>
    <mergeCell ref="AY997:AY999"/>
    <mergeCell ref="AZ997:AZ999"/>
    <mergeCell ref="BA997:BA999"/>
    <mergeCell ref="AV1000:AV1002"/>
    <mergeCell ref="AW1000:AW1002"/>
    <mergeCell ref="AX1000:AX1002"/>
    <mergeCell ref="AY1000:AY1002"/>
    <mergeCell ref="AZ1000:AZ1002"/>
    <mergeCell ref="BA1000:BA1002"/>
    <mergeCell ref="AV1003:AV1005"/>
    <mergeCell ref="AW1003:AW1005"/>
    <mergeCell ref="AX1003:AX1005"/>
    <mergeCell ref="AY1003:AY1005"/>
    <mergeCell ref="AZ1003:AZ1005"/>
    <mergeCell ref="BA1003:BA1005"/>
    <mergeCell ref="AV1006:AV1008"/>
    <mergeCell ref="AW1006:AW1008"/>
    <mergeCell ref="AX1006:AX1008"/>
    <mergeCell ref="AY1006:AY1008"/>
    <mergeCell ref="AZ1006:AZ1008"/>
    <mergeCell ref="BA1006:BA1008"/>
    <mergeCell ref="AV1009:AV1011"/>
    <mergeCell ref="AW1009:AW1011"/>
    <mergeCell ref="AX1009:AX1011"/>
    <mergeCell ref="AY1009:AY1011"/>
    <mergeCell ref="AZ1009:AZ1011"/>
    <mergeCell ref="BA1009:BA1011"/>
    <mergeCell ref="AV1012:AV1014"/>
    <mergeCell ref="AW1012:AW1014"/>
    <mergeCell ref="AX1012:AX1014"/>
    <mergeCell ref="AY1012:AY1014"/>
    <mergeCell ref="AZ1012:AZ1014"/>
    <mergeCell ref="BA1012:BA1014"/>
    <mergeCell ref="AV1015:AV1017"/>
    <mergeCell ref="AW1015:AW1017"/>
    <mergeCell ref="AX1015:AX1017"/>
    <mergeCell ref="AY1015:AY1017"/>
    <mergeCell ref="AZ1015:AZ1017"/>
    <mergeCell ref="BA1015:BA1017"/>
    <mergeCell ref="AV1018:AV1020"/>
    <mergeCell ref="AW1018:AW1020"/>
    <mergeCell ref="AX1018:AX1020"/>
    <mergeCell ref="AY1018:AY1020"/>
    <mergeCell ref="AZ1018:AZ1020"/>
    <mergeCell ref="BA1018:BA1020"/>
    <mergeCell ref="AV1021:AV1023"/>
    <mergeCell ref="AW1021:AW1023"/>
    <mergeCell ref="AX1021:AX1023"/>
    <mergeCell ref="AY1021:AY1023"/>
    <mergeCell ref="AZ1021:AZ1023"/>
    <mergeCell ref="BA1021:BA1023"/>
    <mergeCell ref="AV1024:AV1028"/>
    <mergeCell ref="AW1024:AW1028"/>
    <mergeCell ref="AX1024:AX1028"/>
    <mergeCell ref="AY1024:AY1028"/>
    <mergeCell ref="AZ1024:AZ1028"/>
    <mergeCell ref="BA1024:BA1028"/>
    <mergeCell ref="AV1029:AV1033"/>
    <mergeCell ref="AW1029:AW1033"/>
    <mergeCell ref="AX1029:AX1033"/>
    <mergeCell ref="AY1029:AY1033"/>
    <mergeCell ref="AZ1029:AZ1033"/>
    <mergeCell ref="BA1029:BA1033"/>
    <mergeCell ref="AV1034:AV1038"/>
    <mergeCell ref="AW1034:AW1038"/>
    <mergeCell ref="AX1034:AX1038"/>
    <mergeCell ref="AY1034:AY1038"/>
    <mergeCell ref="AZ1034:AZ1038"/>
    <mergeCell ref="BA1034:BA1038"/>
    <mergeCell ref="AV1039:AV1043"/>
    <mergeCell ref="AW1039:AW1043"/>
    <mergeCell ref="AX1039:AX1043"/>
    <mergeCell ref="AY1039:AY1043"/>
    <mergeCell ref="AZ1039:AZ1043"/>
    <mergeCell ref="BA1039:BA1043"/>
    <mergeCell ref="AV1044:AV1048"/>
    <mergeCell ref="AW1044:AW1048"/>
    <mergeCell ref="AX1044:AX1048"/>
    <mergeCell ref="AY1044:AY1048"/>
    <mergeCell ref="AZ1044:AZ1048"/>
    <mergeCell ref="BA1044:BA1048"/>
    <mergeCell ref="AV1049:AV1053"/>
    <mergeCell ref="AW1049:AW1053"/>
    <mergeCell ref="AX1049:AX1053"/>
    <mergeCell ref="AY1049:AY1053"/>
    <mergeCell ref="AZ1049:AZ1053"/>
    <mergeCell ref="BA1049:BA1053"/>
    <mergeCell ref="AV1054:AV1058"/>
    <mergeCell ref="AW1054:AW1058"/>
    <mergeCell ref="AX1054:AX1058"/>
    <mergeCell ref="AY1054:AY1058"/>
    <mergeCell ref="AZ1054:AZ1058"/>
    <mergeCell ref="BA1054:BA1058"/>
    <mergeCell ref="AV1059:AV1063"/>
    <mergeCell ref="AW1059:AW1063"/>
    <mergeCell ref="AX1059:AX1063"/>
    <mergeCell ref="AY1059:AY1063"/>
    <mergeCell ref="AZ1059:AZ1063"/>
    <mergeCell ref="BA1059:BA1063"/>
    <mergeCell ref="AV1064:AV1068"/>
    <mergeCell ref="AW1064:AW1068"/>
    <mergeCell ref="AX1064:AX1068"/>
    <mergeCell ref="AY1064:AY1068"/>
    <mergeCell ref="AZ1064:AZ1068"/>
    <mergeCell ref="BA1064:BA1068"/>
    <mergeCell ref="AV1069:AV1073"/>
    <mergeCell ref="AW1069:AW1073"/>
    <mergeCell ref="AX1069:AX1073"/>
    <mergeCell ref="AY1069:AY1073"/>
    <mergeCell ref="AZ1069:AZ1073"/>
    <mergeCell ref="BA1069:BA1073"/>
    <mergeCell ref="AV1074:AV1078"/>
    <mergeCell ref="AW1074:AW1078"/>
    <mergeCell ref="AX1074:AX1078"/>
    <mergeCell ref="AY1074:AY1078"/>
    <mergeCell ref="AZ1074:AZ1078"/>
    <mergeCell ref="BA1074:BA1078"/>
    <mergeCell ref="AV1079:AV1083"/>
    <mergeCell ref="AW1079:AW1083"/>
    <mergeCell ref="AX1079:AX1083"/>
    <mergeCell ref="AY1079:AY1083"/>
    <mergeCell ref="AZ1079:AZ1083"/>
    <mergeCell ref="BA1079:BA1083"/>
    <mergeCell ref="AV1084:AV1088"/>
    <mergeCell ref="AW1084:AW1088"/>
    <mergeCell ref="AX1084:AX1088"/>
    <mergeCell ref="AY1084:AY1088"/>
    <mergeCell ref="AZ1084:AZ1088"/>
    <mergeCell ref="BA1084:BA1088"/>
    <mergeCell ref="AV1089:AV1091"/>
    <mergeCell ref="AW1089:AW1091"/>
    <mergeCell ref="AX1089:AX1091"/>
    <mergeCell ref="AY1089:AY1091"/>
    <mergeCell ref="AZ1089:AZ1091"/>
    <mergeCell ref="BA1089:BA1091"/>
    <mergeCell ref="AV1092:AV1094"/>
    <mergeCell ref="AW1092:AW1094"/>
    <mergeCell ref="AX1092:AX1094"/>
    <mergeCell ref="AY1092:AY1094"/>
    <mergeCell ref="AZ1092:AZ1094"/>
    <mergeCell ref="BA1092:BA1094"/>
    <mergeCell ref="AV1095:AV1097"/>
    <mergeCell ref="AW1095:AW1097"/>
    <mergeCell ref="AX1095:AX1097"/>
    <mergeCell ref="AY1095:AY1097"/>
    <mergeCell ref="AZ1095:AZ1097"/>
    <mergeCell ref="BA1095:BA1097"/>
    <mergeCell ref="AV1098:AV1100"/>
    <mergeCell ref="AW1098:AW1100"/>
    <mergeCell ref="AX1098:AX1100"/>
    <mergeCell ref="AY1098:AY1100"/>
    <mergeCell ref="AZ1098:AZ1100"/>
    <mergeCell ref="BA1098:BA1100"/>
    <mergeCell ref="AV1101:AV1105"/>
    <mergeCell ref="AW1101:AW1105"/>
    <mergeCell ref="AX1101:AX1105"/>
    <mergeCell ref="AY1101:AY1105"/>
    <mergeCell ref="AZ1101:AZ1105"/>
    <mergeCell ref="BA1101:BA1105"/>
    <mergeCell ref="AV1106:AV1110"/>
    <mergeCell ref="AW1106:AW1110"/>
    <mergeCell ref="AX1106:AX1110"/>
    <mergeCell ref="AY1106:AY1110"/>
    <mergeCell ref="AZ1106:AZ1110"/>
    <mergeCell ref="BA1106:BA1110"/>
    <mergeCell ref="AV1111:AV1115"/>
    <mergeCell ref="AW1111:AW1115"/>
    <mergeCell ref="AX1111:AX1115"/>
    <mergeCell ref="AY1111:AY1115"/>
    <mergeCell ref="AZ1111:AZ1115"/>
    <mergeCell ref="BA1111:BA1115"/>
    <mergeCell ref="AV1116:AV1120"/>
    <mergeCell ref="AW1116:AW1120"/>
    <mergeCell ref="AX1116:AX1120"/>
    <mergeCell ref="AY1116:AY1120"/>
    <mergeCell ref="AZ1116:AZ1120"/>
    <mergeCell ref="BA1116:BA1120"/>
    <mergeCell ref="AV1121:AV1125"/>
    <mergeCell ref="AW1121:AW1125"/>
    <mergeCell ref="AX1121:AX1125"/>
    <mergeCell ref="AY1121:AY1125"/>
    <mergeCell ref="AZ1121:AZ1125"/>
    <mergeCell ref="BA1121:BA1125"/>
    <mergeCell ref="AV1126:AV1130"/>
    <mergeCell ref="AW1126:AW1130"/>
    <mergeCell ref="AX1126:AX1130"/>
    <mergeCell ref="AY1126:AY1130"/>
    <mergeCell ref="AZ1126:AZ1130"/>
    <mergeCell ref="BA1126:BA1130"/>
    <mergeCell ref="AV1131:AV1135"/>
    <mergeCell ref="AW1131:AW1135"/>
    <mergeCell ref="AX1131:AX1135"/>
    <mergeCell ref="AY1131:AY1135"/>
    <mergeCell ref="AZ1131:AZ1135"/>
    <mergeCell ref="BA1131:BA1135"/>
    <mergeCell ref="AV1136:AV1140"/>
    <mergeCell ref="AW1136:AW1140"/>
    <mergeCell ref="AX1136:AX1140"/>
    <mergeCell ref="AY1136:AY1140"/>
    <mergeCell ref="AZ1136:AZ1140"/>
    <mergeCell ref="BA1136:BA1140"/>
    <mergeCell ref="AV1141:AV1145"/>
    <mergeCell ref="AW1141:AW1145"/>
    <mergeCell ref="AX1141:AX1145"/>
    <mergeCell ref="AY1141:AY1145"/>
    <mergeCell ref="AZ1141:AZ1145"/>
    <mergeCell ref="BA1141:BA1145"/>
    <mergeCell ref="AV1146:AV1150"/>
    <mergeCell ref="AW1146:AW1150"/>
    <mergeCell ref="AX1146:AX1150"/>
    <mergeCell ref="AY1146:AY1150"/>
    <mergeCell ref="AZ1146:AZ1150"/>
    <mergeCell ref="BA1146:BA1150"/>
    <mergeCell ref="AV1151:AV1155"/>
    <mergeCell ref="AW1151:AW1155"/>
    <mergeCell ref="AX1151:AX1155"/>
    <mergeCell ref="AY1151:AY1155"/>
    <mergeCell ref="AZ1151:AZ1155"/>
    <mergeCell ref="BA1151:BA1155"/>
    <mergeCell ref="AV1156:AV1160"/>
    <mergeCell ref="AW1156:AW1160"/>
    <mergeCell ref="AX1156:AX1160"/>
    <mergeCell ref="AY1156:AY1160"/>
    <mergeCell ref="AZ1156:AZ1160"/>
    <mergeCell ref="BA1156:BA1160"/>
    <mergeCell ref="AV1161:AV1165"/>
    <mergeCell ref="AW1161:AW1165"/>
    <mergeCell ref="AX1161:AX1165"/>
    <mergeCell ref="AY1161:AY1165"/>
    <mergeCell ref="AZ1161:AZ1165"/>
    <mergeCell ref="BA1161:BA1165"/>
    <mergeCell ref="AV1166:AV1168"/>
    <mergeCell ref="AW1166:AW1168"/>
    <mergeCell ref="AX1166:AX1168"/>
    <mergeCell ref="AY1166:AY1168"/>
    <mergeCell ref="AZ1166:AZ1168"/>
    <mergeCell ref="BA1166:BA1168"/>
    <mergeCell ref="AV1169:AV1171"/>
    <mergeCell ref="AW1169:AW1171"/>
    <mergeCell ref="AX1169:AX1171"/>
    <mergeCell ref="AY1169:AY1171"/>
    <mergeCell ref="AZ1169:AZ1171"/>
    <mergeCell ref="BA1169:BA1171"/>
    <mergeCell ref="AV1172:AV1174"/>
    <mergeCell ref="AW1172:AW1174"/>
    <mergeCell ref="AX1172:AX1174"/>
    <mergeCell ref="AY1172:AY1174"/>
    <mergeCell ref="AZ1172:AZ1174"/>
    <mergeCell ref="BA1172:BA1174"/>
    <mergeCell ref="AV1175:AV1177"/>
    <mergeCell ref="AW1175:AW1177"/>
    <mergeCell ref="AX1175:AX1177"/>
    <mergeCell ref="AY1175:AY1177"/>
    <mergeCell ref="AZ1175:AZ1177"/>
    <mergeCell ref="BA1175:BA1177"/>
    <mergeCell ref="AV1237:AV1238"/>
    <mergeCell ref="AW1237:AW1238"/>
    <mergeCell ref="AX1237:AX1238"/>
    <mergeCell ref="AY1237:AY1238"/>
    <mergeCell ref="AZ1237:AZ1238"/>
    <mergeCell ref="BA1237:BA1238"/>
    <mergeCell ref="AV1244:AV1245"/>
    <mergeCell ref="AW1244:AW1245"/>
    <mergeCell ref="AX1244:AX1245"/>
    <mergeCell ref="AY1244:AY1245"/>
    <mergeCell ref="AZ1244:AZ1245"/>
    <mergeCell ref="BA1244:BA1245"/>
    <mergeCell ref="AV1256:AV1257"/>
    <mergeCell ref="AW1256:AW1257"/>
    <mergeCell ref="AX1256:AX1257"/>
    <mergeCell ref="AY1256:AY1257"/>
    <mergeCell ref="AZ1256:AZ1257"/>
    <mergeCell ref="BA1256:BA1257"/>
    <mergeCell ref="AV1258:AV1259"/>
    <mergeCell ref="AW1258:AW1259"/>
    <mergeCell ref="AX1258:AX1259"/>
    <mergeCell ref="AY1258:AY1259"/>
    <mergeCell ref="AZ1258:AZ1259"/>
    <mergeCell ref="BA1258:BA1259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86:AV1291"/>
    <mergeCell ref="AW1286:AW1291"/>
    <mergeCell ref="AX1286:AX1291"/>
    <mergeCell ref="AY1286:AY1291"/>
    <mergeCell ref="AZ1286:AZ1291"/>
    <mergeCell ref="BA1286:BA1291"/>
    <mergeCell ref="BI1286:BI1291"/>
    <mergeCell ref="AV1292:AV1295"/>
    <mergeCell ref="AW1292:AW1295"/>
    <mergeCell ref="AX1292:AX1295"/>
    <mergeCell ref="AY1292:AY1295"/>
    <mergeCell ref="AZ1292:AZ1295"/>
    <mergeCell ref="BA1292:BA1295"/>
    <mergeCell ref="BI1292:BI1295"/>
    <mergeCell ref="AV1297:AV1298"/>
    <mergeCell ref="AW1297:AW1298"/>
    <mergeCell ref="AX1297:AX1298"/>
    <mergeCell ref="AY1297:AY1298"/>
    <mergeCell ref="AZ1297:AZ1298"/>
    <mergeCell ref="BA1297:BA1298"/>
    <mergeCell ref="BI1297:BI1298"/>
    <mergeCell ref="AV1300:AV1301"/>
    <mergeCell ref="AW1300:AW1301"/>
    <mergeCell ref="AX1300:AX1301"/>
    <mergeCell ref="AY1300:AY1301"/>
    <mergeCell ref="AZ1300:AZ1301"/>
    <mergeCell ref="BA1300:BA1301"/>
    <mergeCell ref="BI1300:BI1301"/>
    <mergeCell ref="AV1302:AV1303"/>
    <mergeCell ref="AW1302:AW1303"/>
    <mergeCell ref="AX1302:AX1303"/>
    <mergeCell ref="AY1302:AY1303"/>
    <mergeCell ref="AZ1302:AZ1303"/>
    <mergeCell ref="BA1302:BA1303"/>
    <mergeCell ref="BI1302:BI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8"/>
    <mergeCell ref="AW1306:AW1308"/>
    <mergeCell ref="AX1306:AX1308"/>
    <mergeCell ref="AY1306:AY1308"/>
    <mergeCell ref="AZ1306:AZ1308"/>
    <mergeCell ref="BA1306:BA1308"/>
    <mergeCell ref="BI1306:BI1308"/>
    <mergeCell ref="AV1309:AV1311"/>
    <mergeCell ref="AW1309:AW1311"/>
    <mergeCell ref="AX1309:AX1311"/>
    <mergeCell ref="AY1309:AY1311"/>
    <mergeCell ref="AZ1309:AZ1311"/>
    <mergeCell ref="BA1309:BA1311"/>
    <mergeCell ref="BI1309:BI1311"/>
    <mergeCell ref="AV1312:AV1314"/>
    <mergeCell ref="AW1312:AW1314"/>
    <mergeCell ref="AX1312:AX1314"/>
    <mergeCell ref="AY1312:AY1314"/>
    <mergeCell ref="AZ1312:AZ1314"/>
    <mergeCell ref="BA1312:BA1314"/>
    <mergeCell ref="BI1312:BI1314"/>
    <mergeCell ref="AV1315:AV1317"/>
    <mergeCell ref="AW1315:AW1317"/>
    <mergeCell ref="AX1315:AX1317"/>
    <mergeCell ref="AY1315:AY1317"/>
    <mergeCell ref="AZ1315:AZ1317"/>
    <mergeCell ref="BA1315:BA1317"/>
    <mergeCell ref="BI1315:BI1317"/>
    <mergeCell ref="AV1318:AV1320"/>
    <mergeCell ref="AW1318:AW1320"/>
    <mergeCell ref="AX1318:AX1320"/>
    <mergeCell ref="AY1318:AY1320"/>
    <mergeCell ref="AZ1318:AZ1320"/>
    <mergeCell ref="BA1318:BA1320"/>
    <mergeCell ref="BI1318:BI1320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3:AV1325"/>
    <mergeCell ref="AW1323:AW1325"/>
    <mergeCell ref="AX1323:AX1325"/>
    <mergeCell ref="AY1323:AY1325"/>
    <mergeCell ref="AZ1323:AZ1325"/>
    <mergeCell ref="BA1323:BA1325"/>
    <mergeCell ref="BI1323:BI1325"/>
    <mergeCell ref="AV1326:AV1328"/>
    <mergeCell ref="AW1326:AW1328"/>
    <mergeCell ref="AX1326:AX1328"/>
    <mergeCell ref="AY1326:AY1328"/>
    <mergeCell ref="AZ1326:AZ1328"/>
    <mergeCell ref="BA1326:BA1328"/>
    <mergeCell ref="BI1326:BI1328"/>
    <mergeCell ref="AV1329:AV1331"/>
    <mergeCell ref="AW1329:AW1331"/>
    <mergeCell ref="AX1329:AX1331"/>
    <mergeCell ref="AY1329:AY1331"/>
    <mergeCell ref="AZ1329:AZ1331"/>
    <mergeCell ref="BA1329:BA1331"/>
    <mergeCell ref="BI1329:BI1331"/>
    <mergeCell ref="AV1332:AV1334"/>
    <mergeCell ref="AW1332:AW1334"/>
    <mergeCell ref="AX1332:AX1334"/>
    <mergeCell ref="AY1332:AY1334"/>
    <mergeCell ref="AZ1332:AZ1334"/>
    <mergeCell ref="BA1332:BA1334"/>
    <mergeCell ref="BI1332:BI1334"/>
    <mergeCell ref="AV1336:AV1337"/>
    <mergeCell ref="AW1336:AW1337"/>
    <mergeCell ref="AX1336:AX1337"/>
    <mergeCell ref="AY1336:AY1337"/>
    <mergeCell ref="AZ1336:AZ1337"/>
    <mergeCell ref="BA1336:BA1337"/>
    <mergeCell ref="BI1336:BI1337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5"/>
    <mergeCell ref="AW1343:AW1345"/>
    <mergeCell ref="AX1343:AX1345"/>
    <mergeCell ref="AY1343:AY1345"/>
    <mergeCell ref="AZ1343:AZ1345"/>
    <mergeCell ref="BA1343:BA1345"/>
    <mergeCell ref="BI1343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49:AV1351"/>
    <mergeCell ref="AW1349:AW1351"/>
    <mergeCell ref="AX1349:AX1351"/>
    <mergeCell ref="AY1349:AY1351"/>
    <mergeCell ref="AZ1349:AZ1351"/>
    <mergeCell ref="BA1349:BA1351"/>
    <mergeCell ref="AV1352:AV1353"/>
    <mergeCell ref="AW1352:AW1353"/>
    <mergeCell ref="AX1352:AX1353"/>
    <mergeCell ref="AY1352:AY1353"/>
    <mergeCell ref="AZ1352:AZ1353"/>
    <mergeCell ref="BA1352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59"/>
    <mergeCell ref="AW1358:AW1359"/>
    <mergeCell ref="AX1358:AX1359"/>
    <mergeCell ref="AY1358:AY1359"/>
    <mergeCell ref="AZ1358:AZ1359"/>
    <mergeCell ref="BA1358:BA1359"/>
    <mergeCell ref="AV1360:AV1364"/>
    <mergeCell ref="AW1360:AW1364"/>
    <mergeCell ref="AX1360:AX1364"/>
    <mergeCell ref="AY1360:AY1364"/>
    <mergeCell ref="AZ1360:AZ1364"/>
    <mergeCell ref="BA1360:BA1364"/>
    <mergeCell ref="BI1360:BI1364"/>
    <mergeCell ref="AV1365:AV1369"/>
    <mergeCell ref="AW1365:AW1369"/>
    <mergeCell ref="AX1365:AX1369"/>
    <mergeCell ref="AY1365:AY1369"/>
    <mergeCell ref="AZ1365:AZ1369"/>
    <mergeCell ref="BA1365:BA1369"/>
    <mergeCell ref="BI1365:BI1369"/>
    <mergeCell ref="AV1370:AV1373"/>
    <mergeCell ref="AW1370:AW1373"/>
    <mergeCell ref="AX1370:AX1373"/>
    <mergeCell ref="AY1370:AY1373"/>
    <mergeCell ref="AZ1370:AZ1373"/>
    <mergeCell ref="BA1370:BA1373"/>
    <mergeCell ref="BI1370:BI1373"/>
    <mergeCell ref="AV1374:AV1378"/>
    <mergeCell ref="AW1374:AW1378"/>
    <mergeCell ref="AX1374:AX1378"/>
    <mergeCell ref="AY1374:AY1378"/>
    <mergeCell ref="AZ1374:AZ1378"/>
    <mergeCell ref="BA1374:BA1378"/>
    <mergeCell ref="AV1379:AV1383"/>
    <mergeCell ref="AW1379:AW1383"/>
    <mergeCell ref="AX1379:AX1383"/>
    <mergeCell ref="AY1379:AY1383"/>
    <mergeCell ref="AZ1379:AZ1383"/>
    <mergeCell ref="BA1379:BA1383"/>
    <mergeCell ref="AV1384:AV1388"/>
    <mergeCell ref="AW1384:AW1388"/>
    <mergeCell ref="AX1384:AX1388"/>
    <mergeCell ref="AY1384:AY1388"/>
    <mergeCell ref="AZ1384:AZ1388"/>
    <mergeCell ref="BA1384:BA1388"/>
    <mergeCell ref="AV1389:AV1394"/>
    <mergeCell ref="AW1389:AW1394"/>
    <mergeCell ref="AX1389:AX1394"/>
    <mergeCell ref="AY1389:AY1394"/>
    <mergeCell ref="AZ1389:AZ1394"/>
    <mergeCell ref="BA1389:BA1394"/>
    <mergeCell ref="BI1389:BI1394"/>
    <mergeCell ref="AV1396:AV1397"/>
    <mergeCell ref="AW1396:AW1397"/>
    <mergeCell ref="AX1396:AX1397"/>
    <mergeCell ref="AY1396:AY1397"/>
    <mergeCell ref="AZ1396:AZ1397"/>
    <mergeCell ref="BA1396:BA1397"/>
    <mergeCell ref="BI1396:BI1397"/>
    <mergeCell ref="AV1398:AV1401"/>
    <mergeCell ref="AW1398:AW1401"/>
    <mergeCell ref="AX1398:AX1401"/>
    <mergeCell ref="AY1398:AY1401"/>
    <mergeCell ref="AZ1398:AZ1401"/>
    <mergeCell ref="BA1398:BA1401"/>
    <mergeCell ref="BI1398:BI1401"/>
    <mergeCell ref="AV1402:AV1404"/>
    <mergeCell ref="AW1402:AW1404"/>
    <mergeCell ref="AX1402:AX1404"/>
    <mergeCell ref="AY1402:AY1404"/>
    <mergeCell ref="AZ1402:AZ1404"/>
    <mergeCell ref="BA1402:BA1404"/>
    <mergeCell ref="BI1402:BI1404"/>
    <mergeCell ref="AV1405:AV1407"/>
    <mergeCell ref="AW1405:AW1407"/>
    <mergeCell ref="AX1405:AX1407"/>
    <mergeCell ref="AY1405:AY1407"/>
    <mergeCell ref="AZ1405:AZ1407"/>
    <mergeCell ref="BA1405:BA1407"/>
    <mergeCell ref="BI1405:BI1407"/>
    <mergeCell ref="AV1408:AV1410"/>
    <mergeCell ref="AW1408:AW1410"/>
    <mergeCell ref="AX1408:AX1410"/>
    <mergeCell ref="AY1408:AY1410"/>
    <mergeCell ref="AZ1408:AZ1410"/>
    <mergeCell ref="BA1408:BA1410"/>
    <mergeCell ref="BI1408:BI1410"/>
    <mergeCell ref="AV1411:AV1412"/>
    <mergeCell ref="AW1411:AW1412"/>
    <mergeCell ref="AX1411:AX1412"/>
    <mergeCell ref="AY1411:AY1412"/>
    <mergeCell ref="AZ1411:AZ1412"/>
    <mergeCell ref="BA1411:BA1412"/>
    <mergeCell ref="AV1413:AV1415"/>
    <mergeCell ref="AW1413:AW1415"/>
    <mergeCell ref="AX1413:AX1415"/>
    <mergeCell ref="AY1413:AY1415"/>
    <mergeCell ref="AZ1413:AZ1415"/>
    <mergeCell ref="BA1413:BA1415"/>
    <mergeCell ref="AV1417:AV1418"/>
    <mergeCell ref="AW1417:AW1418"/>
    <mergeCell ref="AX1417:AX1418"/>
    <mergeCell ref="AY1417:AY1418"/>
    <mergeCell ref="AZ1417:AZ1418"/>
    <mergeCell ref="BA1417:BA1418"/>
    <mergeCell ref="BI1417:BI1418"/>
    <mergeCell ref="AV1420:AV1422"/>
    <mergeCell ref="AW1420:AW1422"/>
    <mergeCell ref="AX1420:AX1422"/>
    <mergeCell ref="AY1420:AY1422"/>
    <mergeCell ref="AZ1420:AZ1422"/>
    <mergeCell ref="BA1420:BA1422"/>
    <mergeCell ref="AV1424:AV1426"/>
    <mergeCell ref="AW1424:AW1426"/>
    <mergeCell ref="AX1424:AX1426"/>
    <mergeCell ref="AY1424:AY1426"/>
    <mergeCell ref="AZ1424:AZ1426"/>
    <mergeCell ref="BA1424:BA1426"/>
    <mergeCell ref="AV1427:AV1429"/>
    <mergeCell ref="AW1427:AW1429"/>
    <mergeCell ref="AX1427:AX1429"/>
    <mergeCell ref="AY1427:AY1429"/>
    <mergeCell ref="AZ1427:AZ1429"/>
    <mergeCell ref="BA1427:BA1429"/>
    <mergeCell ref="AV1430:AV1432"/>
    <mergeCell ref="AW1430:AW1432"/>
    <mergeCell ref="AX1430:AX1432"/>
    <mergeCell ref="AY1430:AY1432"/>
    <mergeCell ref="AZ1430:AZ1432"/>
    <mergeCell ref="BA1430:BA1432"/>
    <mergeCell ref="AV1436:AV1438"/>
    <mergeCell ref="AW1436:AW1438"/>
    <mergeCell ref="AX1436:AX1438"/>
    <mergeCell ref="AY1436:AY1438"/>
    <mergeCell ref="AZ1436:AZ1438"/>
    <mergeCell ref="BA1436:BA1438"/>
    <mergeCell ref="AV1439:AV1441"/>
    <mergeCell ref="AW1439:AW1441"/>
    <mergeCell ref="AX1439:AX1441"/>
    <mergeCell ref="AY1439:AY1441"/>
    <mergeCell ref="AZ1439:AZ1441"/>
    <mergeCell ref="BA1439:BA1441"/>
    <mergeCell ref="AV1442:AV1444"/>
    <mergeCell ref="AW1442:AW1444"/>
    <mergeCell ref="AX1442:AX1444"/>
    <mergeCell ref="AY1442:AY1444"/>
    <mergeCell ref="AZ1442:AZ1444"/>
    <mergeCell ref="BA1442:BA1444"/>
    <mergeCell ref="AV1445:AV1447"/>
    <mergeCell ref="AW1445:AW1447"/>
    <mergeCell ref="AX1445:AX1447"/>
    <mergeCell ref="AY1445:AY1447"/>
    <mergeCell ref="AZ1445:AZ1447"/>
    <mergeCell ref="BA1445:BA1447"/>
    <mergeCell ref="AV1448:AV1451"/>
    <mergeCell ref="AW1448:AW1451"/>
    <mergeCell ref="AX1448:AX1451"/>
    <mergeCell ref="AY1448:AY1451"/>
    <mergeCell ref="AZ1448:AZ1451"/>
    <mergeCell ref="BA1448:BA1451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58:AV1459"/>
    <mergeCell ref="AW1458:AW1459"/>
    <mergeCell ref="AX1458:AX1459"/>
    <mergeCell ref="AY1458:AY1459"/>
    <mergeCell ref="AZ1458:AZ1459"/>
    <mergeCell ref="BA1458:BA1459"/>
    <mergeCell ref="AV1460:AV1461"/>
    <mergeCell ref="AW1460:AW1461"/>
    <mergeCell ref="AX1460:AX1461"/>
    <mergeCell ref="AY1460:AY1461"/>
    <mergeCell ref="AZ1460:AZ1461"/>
    <mergeCell ref="BA1460:BA1461"/>
    <mergeCell ref="AV1462:AV1463"/>
    <mergeCell ref="AW1462:AW1463"/>
    <mergeCell ref="AX1462:AX1463"/>
    <mergeCell ref="AY1462:AY1463"/>
    <mergeCell ref="AZ1462:AZ1463"/>
    <mergeCell ref="BA1462:BA1463"/>
    <mergeCell ref="AV1464:AV1465"/>
    <mergeCell ref="AW1464:AW1465"/>
    <mergeCell ref="AX1464:AX1465"/>
    <mergeCell ref="AY1464:AY1465"/>
    <mergeCell ref="AZ1464:AZ1465"/>
    <mergeCell ref="BA1464:BA1465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3:AV1475"/>
    <mergeCell ref="AW1473:AW1475"/>
    <mergeCell ref="AX1473:AX1475"/>
    <mergeCell ref="AY1473:AY1475"/>
    <mergeCell ref="AZ1473:AZ1475"/>
    <mergeCell ref="BA1473:BA1475"/>
    <mergeCell ref="AV1476:AV1478"/>
    <mergeCell ref="AW1476:AW1478"/>
    <mergeCell ref="AX1476:AX1478"/>
    <mergeCell ref="AY1476:AY1478"/>
    <mergeCell ref="AZ1476:AZ1478"/>
    <mergeCell ref="BA1476:BA1478"/>
    <mergeCell ref="AV1479:AV1482"/>
    <mergeCell ref="AW1479:AW1482"/>
    <mergeCell ref="AX1479:AX1482"/>
    <mergeCell ref="AY1479:AY1482"/>
    <mergeCell ref="AZ1479:AZ1482"/>
    <mergeCell ref="BA1479:BA1482"/>
    <mergeCell ref="AV1487:AV1489"/>
    <mergeCell ref="AW1487:AW1489"/>
    <mergeCell ref="AX1487:AX1489"/>
    <mergeCell ref="AY1487:AY1489"/>
    <mergeCell ref="AZ1487:AZ1489"/>
    <mergeCell ref="BA1487:BA1489"/>
    <mergeCell ref="AV1490:AV1492"/>
    <mergeCell ref="AW1490:AW1492"/>
    <mergeCell ref="AX1490:AX1492"/>
    <mergeCell ref="AY1490:AY1492"/>
    <mergeCell ref="AZ1490:AZ1492"/>
    <mergeCell ref="BA1490:BA1492"/>
    <mergeCell ref="AV1493:AV1495"/>
    <mergeCell ref="AW1493:AW1495"/>
    <mergeCell ref="AX1493:AX1495"/>
    <mergeCell ref="AY1493:AY1495"/>
    <mergeCell ref="AZ1493:AZ1495"/>
    <mergeCell ref="BA1493:BA1495"/>
    <mergeCell ref="AV1499:AV1502"/>
    <mergeCell ref="AW1499:AW1502"/>
    <mergeCell ref="AX1499:AX1502"/>
    <mergeCell ref="AY1499:AY1502"/>
    <mergeCell ref="AZ1499:AZ1502"/>
    <mergeCell ref="BA1499:BA1502"/>
    <mergeCell ref="BI1499:BI1502"/>
    <mergeCell ref="AV1503:AV1505"/>
    <mergeCell ref="AW1503:AW1505"/>
    <mergeCell ref="AX1503:AX1505"/>
    <mergeCell ref="AY1503:AY1505"/>
    <mergeCell ref="AZ1503:AZ1505"/>
    <mergeCell ref="BA1503:BA1505"/>
    <mergeCell ref="BI1503:BI1505"/>
    <mergeCell ref="AV1506:AV1509"/>
    <mergeCell ref="AW1506:AW1509"/>
    <mergeCell ref="AX1506:AX1509"/>
    <mergeCell ref="AY1506:AY1509"/>
    <mergeCell ref="AZ1506:AZ1509"/>
    <mergeCell ref="BA1506:BA1509"/>
    <mergeCell ref="BI1506:BI1509"/>
    <mergeCell ref="AV1510:AV1514"/>
    <mergeCell ref="AW1510:AW1514"/>
    <mergeCell ref="AX1510:AX1514"/>
    <mergeCell ref="AY1510:AY1514"/>
    <mergeCell ref="AZ1510:AZ1514"/>
    <mergeCell ref="BA1510:BA1514"/>
    <mergeCell ref="BI1510:BI1514"/>
    <mergeCell ref="AV1515:AV1519"/>
    <mergeCell ref="AW1515:AW1519"/>
    <mergeCell ref="AX1515:AX1519"/>
    <mergeCell ref="AY1515:AY1519"/>
    <mergeCell ref="AZ1515:AZ1519"/>
    <mergeCell ref="BA1515:BA1519"/>
    <mergeCell ref="BI1515:BI1519"/>
    <mergeCell ref="AV1520:AV1524"/>
    <mergeCell ref="AW1520:AW1524"/>
    <mergeCell ref="AX1520:AX1524"/>
    <mergeCell ref="AY1520:AY1524"/>
    <mergeCell ref="AZ1520:AZ1524"/>
    <mergeCell ref="BA1520:BA1524"/>
    <mergeCell ref="BI1520:BI1524"/>
    <mergeCell ref="AV1525:AV1527"/>
    <mergeCell ref="AW1525:AW1527"/>
    <mergeCell ref="AX1525:AX1527"/>
    <mergeCell ref="AY1525:AY1527"/>
    <mergeCell ref="AZ1525:AZ1527"/>
    <mergeCell ref="BA1525:BA1527"/>
    <mergeCell ref="BI1525:BI1527"/>
    <mergeCell ref="AV1571:AV1572"/>
    <mergeCell ref="AW1571:AW1572"/>
    <mergeCell ref="AX1571:AX1572"/>
    <mergeCell ref="AY1571:AY1572"/>
    <mergeCell ref="AZ1571:AZ1572"/>
    <mergeCell ref="BA1571:BA1572"/>
    <mergeCell ref="BI1571:BI1572"/>
    <mergeCell ref="AV1573:AV1574"/>
    <mergeCell ref="AW1573:AW1574"/>
    <mergeCell ref="AX1573:AX1574"/>
    <mergeCell ref="AY1573:AY1574"/>
    <mergeCell ref="AZ1573:AZ1574"/>
    <mergeCell ref="BA1573:BA1574"/>
    <mergeCell ref="BI1573:BI1574"/>
    <mergeCell ref="AV1577:AV1579"/>
    <mergeCell ref="AW1577:AW1579"/>
    <mergeCell ref="AX1577:AX1579"/>
    <mergeCell ref="AY1577:AY1579"/>
    <mergeCell ref="AZ1577:AZ1579"/>
    <mergeCell ref="BA1577:BA1579"/>
    <mergeCell ref="BI1577:BI1579"/>
    <mergeCell ref="AV1580:AV1582"/>
    <mergeCell ref="AW1580:AW1582"/>
    <mergeCell ref="AX1580:AX1582"/>
    <mergeCell ref="AY1580:AY1582"/>
    <mergeCell ref="AZ1580:AZ1582"/>
    <mergeCell ref="BA1580:BA1582"/>
    <mergeCell ref="BI1580:BI1582"/>
    <mergeCell ref="AV1583:AV1585"/>
    <mergeCell ref="AW1583:AW1585"/>
    <mergeCell ref="AX1583:AX1585"/>
    <mergeCell ref="AY1583:AY1585"/>
    <mergeCell ref="AZ1583:AZ1585"/>
    <mergeCell ref="BA1583:BA1585"/>
    <mergeCell ref="BI1583:BI1585"/>
    <mergeCell ref="AV1586:AV1587"/>
    <mergeCell ref="AW1586:AW1587"/>
    <mergeCell ref="AX1586:AX1587"/>
    <mergeCell ref="AY1586:AY1587"/>
    <mergeCell ref="AZ1586:AZ1587"/>
    <mergeCell ref="BA1586:BA1587"/>
    <mergeCell ref="BI1586:BI1587"/>
    <mergeCell ref="AV1588:AV1590"/>
    <mergeCell ref="AW1588:AW1590"/>
    <mergeCell ref="AX1588:AX1590"/>
    <mergeCell ref="AY1588:AY1590"/>
    <mergeCell ref="AZ1588:AZ1590"/>
    <mergeCell ref="BA1588:BA1590"/>
    <mergeCell ref="BI1588:BI1590"/>
    <mergeCell ref="AV1591:AV1593"/>
    <mergeCell ref="AW1591:AW1593"/>
    <mergeCell ref="AX1591:AX1593"/>
    <mergeCell ref="AY1591:AY1593"/>
    <mergeCell ref="AZ1591:AZ1593"/>
    <mergeCell ref="BA1591:BA1593"/>
    <mergeCell ref="BI1591:BI1593"/>
    <mergeCell ref="AV1594:AV1596"/>
    <mergeCell ref="AW1594:AW1596"/>
    <mergeCell ref="AX1594:AX1596"/>
    <mergeCell ref="AY1594:AY1596"/>
    <mergeCell ref="AZ1594:AZ1596"/>
    <mergeCell ref="BA1594:BA1596"/>
    <mergeCell ref="BI1594:BI1596"/>
    <mergeCell ref="AV1597:AV1598"/>
    <mergeCell ref="AW1597:AW1598"/>
    <mergeCell ref="AX1597:AX1598"/>
    <mergeCell ref="AY1597:AY1598"/>
    <mergeCell ref="AZ1597:AZ1598"/>
    <mergeCell ref="BA1597:BA1598"/>
    <mergeCell ref="BI1597:BI1598"/>
    <mergeCell ref="AV1599:AV1600"/>
    <mergeCell ref="AW1599:AW1600"/>
    <mergeCell ref="AX1599:AX1600"/>
    <mergeCell ref="AY1599:AY1600"/>
    <mergeCell ref="AZ1599:AZ1600"/>
    <mergeCell ref="BA1599:BA1600"/>
    <mergeCell ref="BI1599:BI1600"/>
    <mergeCell ref="AV1601:AV1603"/>
    <mergeCell ref="AW1601:AW1603"/>
    <mergeCell ref="AX1601:AX1603"/>
    <mergeCell ref="AY1601:AY1603"/>
    <mergeCell ref="AZ1601:AZ1603"/>
    <mergeCell ref="BA1601:BA1603"/>
    <mergeCell ref="BI1601:BI1603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7:AV1608"/>
    <mergeCell ref="AW1607:AW1608"/>
    <mergeCell ref="AX1607:AX1608"/>
    <mergeCell ref="AY1607:AY1608"/>
    <mergeCell ref="AZ1607:AZ1608"/>
    <mergeCell ref="BA1607:BA1608"/>
    <mergeCell ref="BI1607:BI1608"/>
    <mergeCell ref="AV1610:AV1611"/>
    <mergeCell ref="AW1610:AW1611"/>
    <mergeCell ref="AX1610:AX1611"/>
    <mergeCell ref="AY1610:AY1611"/>
    <mergeCell ref="AZ1610:AZ1611"/>
    <mergeCell ref="BA1610:BA1611"/>
    <mergeCell ref="BI1610:BI1611"/>
    <mergeCell ref="AV1615:AV1616"/>
    <mergeCell ref="AW1615:AW1616"/>
    <mergeCell ref="AX1615:AX1616"/>
    <mergeCell ref="AY1615:AY1616"/>
    <mergeCell ref="AZ1615:AZ1616"/>
    <mergeCell ref="BA1615:BA1616"/>
    <mergeCell ref="BI1615:BI1616"/>
    <mergeCell ref="AV1618:AV1619"/>
    <mergeCell ref="AW1618:AW1619"/>
    <mergeCell ref="AX1618:AX1619"/>
    <mergeCell ref="AY1618:AY1619"/>
    <mergeCell ref="AZ1618:AZ1619"/>
    <mergeCell ref="BA1618:BA1619"/>
    <mergeCell ref="AV1630:AV1632"/>
    <mergeCell ref="AW1630:AW1632"/>
    <mergeCell ref="AX1630:AX1632"/>
    <mergeCell ref="AY1630:AY1632"/>
    <mergeCell ref="AZ1630:AZ1632"/>
    <mergeCell ref="BA1630:BA1632"/>
    <mergeCell ref="BI1630:BI1632"/>
    <mergeCell ref="AV1633:AV1634"/>
    <mergeCell ref="AW1633:AW1634"/>
    <mergeCell ref="AX1633:AX1634"/>
    <mergeCell ref="AY1633:AY1634"/>
    <mergeCell ref="AZ1633:AZ1634"/>
    <mergeCell ref="BA1633:BA1634"/>
    <mergeCell ref="BI1633:BI1634"/>
    <mergeCell ref="AV1635:AV1637"/>
    <mergeCell ref="AW1635:AW1637"/>
    <mergeCell ref="AX1635:AX1637"/>
    <mergeCell ref="AY1635:AY1637"/>
    <mergeCell ref="AZ1635:AZ1637"/>
    <mergeCell ref="BA1635:BA1637"/>
    <mergeCell ref="BI1635:BI1637"/>
    <mergeCell ref="AV1638:AV1641"/>
    <mergeCell ref="AW1638:AW1641"/>
    <mergeCell ref="AX1638:AX1641"/>
    <mergeCell ref="AY1638:AY1641"/>
    <mergeCell ref="AZ1638:AZ1641"/>
    <mergeCell ref="BA1638:BA1641"/>
    <mergeCell ref="BI1638:BI1641"/>
    <mergeCell ref="AV1643:AV1648"/>
    <mergeCell ref="AW1643:AW1648"/>
    <mergeCell ref="AX1643:AX1648"/>
    <mergeCell ref="AY1643:AY1648"/>
    <mergeCell ref="AZ1643:AZ1648"/>
    <mergeCell ref="BA1643:BA1648"/>
    <mergeCell ref="AV1649:AV1655"/>
    <mergeCell ref="AW1649:AW1655"/>
    <mergeCell ref="AX1649:AX1655"/>
    <mergeCell ref="AY1649:AY1655"/>
    <mergeCell ref="AZ1649:AZ1655"/>
    <mergeCell ref="BA1649:BA1655"/>
    <mergeCell ref="AV1656:AV1660"/>
    <mergeCell ref="AW1656:AW1660"/>
    <mergeCell ref="AX1656:AX1660"/>
    <mergeCell ref="AY1656:AY1660"/>
    <mergeCell ref="AZ1656:AZ1660"/>
    <mergeCell ref="BA1656:BA1660"/>
    <mergeCell ref="AV1661:AV1667"/>
    <mergeCell ref="AW1661:AW1667"/>
    <mergeCell ref="AX1661:AX1667"/>
    <mergeCell ref="AY1661:AY1667"/>
    <mergeCell ref="AZ1661:AZ1667"/>
    <mergeCell ref="BA1661:BA1667"/>
    <mergeCell ref="AV1668:AV1673"/>
    <mergeCell ref="AW1668:AW1673"/>
    <mergeCell ref="AX1668:AX1673"/>
    <mergeCell ref="AY1668:AY1673"/>
    <mergeCell ref="AZ1668:AZ1673"/>
    <mergeCell ref="BA1668:BA1673"/>
    <mergeCell ref="AV1674:AV1679"/>
    <mergeCell ref="AW1674:AW1679"/>
    <mergeCell ref="AX1674:AX1679"/>
    <mergeCell ref="AY1674:AY1679"/>
    <mergeCell ref="AZ1674:AZ1679"/>
    <mergeCell ref="BA1674:BA1679"/>
    <mergeCell ref="AV1680:AV1684"/>
    <mergeCell ref="AW1680:AW1684"/>
    <mergeCell ref="AX1680:AX1684"/>
    <mergeCell ref="AY1680:AY1684"/>
    <mergeCell ref="AZ1680:AZ1684"/>
    <mergeCell ref="BA1680:BA1684"/>
    <mergeCell ref="AV1685:AV1690"/>
    <mergeCell ref="AW1685:AW1690"/>
    <mergeCell ref="AX1685:AX1690"/>
    <mergeCell ref="AY1685:AY1690"/>
    <mergeCell ref="AZ1685:AZ1690"/>
    <mergeCell ref="BA1685:BA1690"/>
    <mergeCell ref="AV1701:AV1703"/>
    <mergeCell ref="AW1701:AW1703"/>
    <mergeCell ref="AX1701:AX1703"/>
    <mergeCell ref="AY1701:AY1703"/>
    <mergeCell ref="AZ1701:AZ1703"/>
    <mergeCell ref="BA1701:BA1703"/>
    <mergeCell ref="AV1704:AV1706"/>
    <mergeCell ref="AW1704:AW1706"/>
    <mergeCell ref="AX1704:AX1706"/>
    <mergeCell ref="AY1704:AY1706"/>
    <mergeCell ref="AZ1704:AZ1706"/>
    <mergeCell ref="BA1704:BA1706"/>
    <mergeCell ref="AV1707:AV1709"/>
    <mergeCell ref="AW1707:AW1709"/>
    <mergeCell ref="AX1707:AX1709"/>
    <mergeCell ref="AY1707:AY1709"/>
    <mergeCell ref="AZ1707:AZ1709"/>
    <mergeCell ref="BA1707:BA1709"/>
    <mergeCell ref="AV1710:AV1711"/>
    <mergeCell ref="AW1710:AW1711"/>
    <mergeCell ref="AX1710:AX1711"/>
    <mergeCell ref="AY1710:AY1711"/>
    <mergeCell ref="AZ1710:AZ1711"/>
    <mergeCell ref="BA1710:BA1711"/>
    <mergeCell ref="AV1712:AV1713"/>
    <mergeCell ref="AW1712:AW1713"/>
    <mergeCell ref="AX1712:AX1713"/>
    <mergeCell ref="AY1712:AY1713"/>
    <mergeCell ref="AZ1712:AZ1713"/>
    <mergeCell ref="BA1712:BA1713"/>
    <mergeCell ref="AV1714:AV1715"/>
    <mergeCell ref="AW1714:AW1715"/>
    <mergeCell ref="AX1714:AX1715"/>
    <mergeCell ref="AY1714:AY1715"/>
    <mergeCell ref="AZ1714:AZ1715"/>
    <mergeCell ref="BA1714:BA1715"/>
    <mergeCell ref="AV1723:AV1726"/>
    <mergeCell ref="AW1723:AW1726"/>
    <mergeCell ref="AX1723:AX1726"/>
    <mergeCell ref="AY1723:AY1726"/>
    <mergeCell ref="AZ1723:AZ1726"/>
    <mergeCell ref="BA1723:BA1726"/>
    <mergeCell ref="BI1723:BI1726"/>
    <mergeCell ref="AV1727:AV1729"/>
    <mergeCell ref="AW1727:AW1729"/>
    <mergeCell ref="AX1727:AX1729"/>
    <mergeCell ref="AY1727:AY1729"/>
    <mergeCell ref="AZ1727:AZ1729"/>
    <mergeCell ref="BA1727:BA1729"/>
    <mergeCell ref="BI1727:BI1729"/>
    <mergeCell ref="AV1730:AV1732"/>
    <mergeCell ref="AW1730:AW1732"/>
    <mergeCell ref="AX1730:AX1732"/>
    <mergeCell ref="AY1730:AY1732"/>
    <mergeCell ref="AZ1730:AZ1732"/>
    <mergeCell ref="BA1730:BA1732"/>
    <mergeCell ref="BI1730:BI1732"/>
    <mergeCell ref="AV1733:AV1736"/>
    <mergeCell ref="AW1733:AW1736"/>
    <mergeCell ref="AX1733:AX1736"/>
    <mergeCell ref="AY1733:AY1736"/>
    <mergeCell ref="AZ1733:AZ1736"/>
    <mergeCell ref="BA1733:BA1736"/>
    <mergeCell ref="BI1733:BI1736"/>
    <mergeCell ref="AV1737:AV1740"/>
    <mergeCell ref="AW1737:AW1740"/>
    <mergeCell ref="AX1737:AX1740"/>
    <mergeCell ref="AY1737:AY1740"/>
    <mergeCell ref="AZ1737:AZ1740"/>
    <mergeCell ref="BA1737:BA1740"/>
    <mergeCell ref="BI1737:BI1740"/>
    <mergeCell ref="AV1741:AV1743"/>
    <mergeCell ref="AW1741:AW1743"/>
    <mergeCell ref="AX1741:AX1743"/>
    <mergeCell ref="AY1741:AY1743"/>
    <mergeCell ref="AZ1741:AZ1743"/>
    <mergeCell ref="BA1741:BA1743"/>
    <mergeCell ref="BI1741:BI1743"/>
    <mergeCell ref="AV1744:AV1747"/>
    <mergeCell ref="AW1744:AW1747"/>
    <mergeCell ref="AX1744:AX1747"/>
    <mergeCell ref="AY1744:AY1747"/>
    <mergeCell ref="AZ1744:AZ1747"/>
    <mergeCell ref="BA1744:BA1747"/>
    <mergeCell ref="BI1744:BI1747"/>
    <mergeCell ref="AV1748:AV1751"/>
    <mergeCell ref="AW1748:AW1751"/>
    <mergeCell ref="AX1748:AX1751"/>
    <mergeCell ref="AY1748:AY1751"/>
    <mergeCell ref="AZ1748:AZ1751"/>
    <mergeCell ref="BA1748:BA1751"/>
    <mergeCell ref="BI1748:BI1751"/>
    <mergeCell ref="AV1752:AV1755"/>
    <mergeCell ref="AW1752:AW1755"/>
    <mergeCell ref="AX1752:AX1755"/>
    <mergeCell ref="AY1752:AY1755"/>
    <mergeCell ref="AZ1752:AZ1755"/>
    <mergeCell ref="BA1752:BA1755"/>
    <mergeCell ref="BI1752:BI1755"/>
    <mergeCell ref="AV1756:AV1759"/>
    <mergeCell ref="AW1756:AW1759"/>
    <mergeCell ref="AX1756:AX1759"/>
    <mergeCell ref="AY1756:AY1759"/>
    <mergeCell ref="AZ1756:AZ1759"/>
    <mergeCell ref="BA1756:BA1759"/>
    <mergeCell ref="BI1756:BI1759"/>
    <mergeCell ref="AV1760:AV1763"/>
    <mergeCell ref="AW1760:AW1763"/>
    <mergeCell ref="AX1760:AX1763"/>
    <mergeCell ref="AY1760:AY1763"/>
    <mergeCell ref="AZ1760:AZ1763"/>
    <mergeCell ref="BA1760:BA1763"/>
    <mergeCell ref="BI1760:BI1763"/>
    <mergeCell ref="AV1764:AV1767"/>
    <mergeCell ref="AW1764:AW1767"/>
    <mergeCell ref="AX1764:AX1767"/>
    <mergeCell ref="AY1764:AY1767"/>
    <mergeCell ref="AZ1764:AZ1767"/>
    <mergeCell ref="BA1764:BA1767"/>
    <mergeCell ref="BI1764:BI1767"/>
    <mergeCell ref="AV1768:AV1771"/>
    <mergeCell ref="AW1768:AW1771"/>
    <mergeCell ref="AX1768:AX1771"/>
    <mergeCell ref="AY1768:AY1771"/>
    <mergeCell ref="AZ1768:AZ1771"/>
    <mergeCell ref="BA1768:BA1771"/>
    <mergeCell ref="BI1768:BI1771"/>
    <mergeCell ref="AV1772:AV1774"/>
    <mergeCell ref="AW1772:AW1774"/>
    <mergeCell ref="AX1772:AX1774"/>
    <mergeCell ref="AY1772:AY1774"/>
    <mergeCell ref="AZ1772:AZ1774"/>
    <mergeCell ref="BA1772:BA1774"/>
    <mergeCell ref="BI1772:BI1774"/>
    <mergeCell ref="AV1775:AV1777"/>
    <mergeCell ref="AW1775:AW1777"/>
    <mergeCell ref="AX1775:AX1777"/>
    <mergeCell ref="AY1775:AY1777"/>
    <mergeCell ref="AZ1775:AZ1777"/>
    <mergeCell ref="BA1775:BA1777"/>
    <mergeCell ref="BI1775:BI1777"/>
    <mergeCell ref="AV1778:AV1781"/>
    <mergeCell ref="AW1778:AW1781"/>
    <mergeCell ref="AX1778:AX1781"/>
    <mergeCell ref="AY1778:AY1781"/>
    <mergeCell ref="AZ1778:AZ1781"/>
    <mergeCell ref="BA1778:BA1781"/>
    <mergeCell ref="BI1778:BI1781"/>
    <mergeCell ref="AV1782:AV1784"/>
    <mergeCell ref="AW1782:AW1784"/>
    <mergeCell ref="AX1782:AX1784"/>
    <mergeCell ref="AY1782:AY1784"/>
    <mergeCell ref="AZ1782:AZ1784"/>
    <mergeCell ref="BA1782:BA1784"/>
    <mergeCell ref="BI1782:BI1784"/>
    <mergeCell ref="AV1785:AV1787"/>
    <mergeCell ref="AW1785:AW1787"/>
    <mergeCell ref="AX1785:AX1787"/>
    <mergeCell ref="AY1785:AY1787"/>
    <mergeCell ref="AZ1785:AZ1787"/>
    <mergeCell ref="BA1785:BA1787"/>
    <mergeCell ref="BI1785:BI1787"/>
    <mergeCell ref="AV1788:AV1791"/>
    <mergeCell ref="AW1788:AW1791"/>
    <mergeCell ref="AX1788:AX1791"/>
    <mergeCell ref="AY1788:AY1791"/>
    <mergeCell ref="AZ1788:AZ1791"/>
    <mergeCell ref="BA1788:BA1791"/>
    <mergeCell ref="BI1788:BI1791"/>
    <mergeCell ref="AV1792:AV1794"/>
    <mergeCell ref="AW1792:AW1794"/>
    <mergeCell ref="AX1792:AX1794"/>
    <mergeCell ref="AY1792:AY1794"/>
    <mergeCell ref="AZ1792:AZ1794"/>
    <mergeCell ref="BA1792:BA1794"/>
    <mergeCell ref="BI1792:BI1794"/>
    <mergeCell ref="AV1795:AV1797"/>
    <mergeCell ref="AW1795:AW1797"/>
    <mergeCell ref="AX1795:AX1797"/>
    <mergeCell ref="AY1795:AY1797"/>
    <mergeCell ref="AZ1795:AZ1797"/>
    <mergeCell ref="BA1795:BA1797"/>
    <mergeCell ref="BI1795:BI1797"/>
    <mergeCell ref="AV1798:AV1799"/>
    <mergeCell ref="AW1798:AW1799"/>
    <mergeCell ref="AX1798:AX1799"/>
    <mergeCell ref="AY1798:AY1799"/>
    <mergeCell ref="AZ1798:AZ1799"/>
    <mergeCell ref="BA1798:BA1799"/>
    <mergeCell ref="BI1798:BI1799"/>
    <mergeCell ref="AV1802:AV1804"/>
    <mergeCell ref="AW1802:AW1804"/>
    <mergeCell ref="AX1802:AX1804"/>
    <mergeCell ref="AY1802:AY1804"/>
    <mergeCell ref="AZ1802:AZ1804"/>
    <mergeCell ref="BA1802:BA1804"/>
    <mergeCell ref="BI1802:BI1804"/>
    <mergeCell ref="AV1805:AV1806"/>
    <mergeCell ref="AW1805:AW1806"/>
    <mergeCell ref="AX1805:AX1806"/>
    <mergeCell ref="AY1805:AY1806"/>
    <mergeCell ref="AZ1805:AZ1806"/>
    <mergeCell ref="BA1805:BA1806"/>
    <mergeCell ref="AV1807:AV1808"/>
    <mergeCell ref="AW1807:AW1808"/>
    <mergeCell ref="AX1807:AX1808"/>
    <mergeCell ref="AY1807:AY1808"/>
    <mergeCell ref="AZ1807:AZ1808"/>
    <mergeCell ref="BA1807:BA1808"/>
    <mergeCell ref="AV1809:AV1810"/>
    <mergeCell ref="AW1809:AW1810"/>
    <mergeCell ref="AX1809:AX1810"/>
    <mergeCell ref="AY1809:AY1810"/>
    <mergeCell ref="AZ1809:AZ1810"/>
    <mergeCell ref="BA1809:BA1810"/>
    <mergeCell ref="AV1839:AV1844"/>
    <mergeCell ref="AW1839:AW1844"/>
    <mergeCell ref="AX1839:AX1844"/>
    <mergeCell ref="AY1839:AY1844"/>
    <mergeCell ref="AZ1839:AZ1844"/>
    <mergeCell ref="BA1839:BA1844"/>
    <mergeCell ref="BI1839:BI1844"/>
    <mergeCell ref="AV1845:AV1848"/>
    <mergeCell ref="AW1845:AW1848"/>
    <mergeCell ref="AX1845:AX1848"/>
    <mergeCell ref="AY1845:AY1848"/>
    <mergeCell ref="AZ1845:AZ1848"/>
    <mergeCell ref="BA1845:BA1848"/>
    <mergeCell ref="BI1845:BI1848"/>
    <mergeCell ref="AV1849:AV1852"/>
    <mergeCell ref="AW1849:AW1852"/>
    <mergeCell ref="AX1849:AX1852"/>
    <mergeCell ref="AY1849:AY1852"/>
    <mergeCell ref="AZ1849:AZ1852"/>
    <mergeCell ref="BA1849:BA1852"/>
    <mergeCell ref="BI1849:BI1852"/>
    <mergeCell ref="AV1853:AV1858"/>
    <mergeCell ref="AW1853:AW1858"/>
    <mergeCell ref="AX1853:AX1858"/>
    <mergeCell ref="AY1853:AY1858"/>
    <mergeCell ref="AZ1853:AZ1858"/>
    <mergeCell ref="BA1853:BA1858"/>
    <mergeCell ref="AV1859:AV1861"/>
    <mergeCell ref="AW1859:AW1861"/>
    <mergeCell ref="AX1859:AX1861"/>
    <mergeCell ref="AY1859:AY1861"/>
    <mergeCell ref="AZ1859:AZ1861"/>
    <mergeCell ref="BA1859:BA1861"/>
    <mergeCell ref="AV1862:AV1864"/>
    <mergeCell ref="AW1862:AW1864"/>
    <mergeCell ref="AX1862:AX1864"/>
    <mergeCell ref="AY1862:AY1864"/>
    <mergeCell ref="AZ1862:AZ1864"/>
    <mergeCell ref="BA1862:BA1864"/>
    <mergeCell ref="AV1865:AV1867"/>
    <mergeCell ref="AW1865:AW1867"/>
    <mergeCell ref="AX1865:AX1867"/>
    <mergeCell ref="AY1865:AY1867"/>
    <mergeCell ref="AZ1865:AZ1867"/>
    <mergeCell ref="BA1865:BA1867"/>
    <mergeCell ref="AV1868:AV1870"/>
    <mergeCell ref="AW1868:AW1870"/>
    <mergeCell ref="AX1868:AX1870"/>
    <mergeCell ref="AY1868:AY1870"/>
    <mergeCell ref="AZ1868:AZ1870"/>
    <mergeCell ref="BA1868:BA1870"/>
    <mergeCell ref="AV1871:AV1873"/>
    <mergeCell ref="AW1871:AW1873"/>
    <mergeCell ref="AX1871:AX1873"/>
    <mergeCell ref="AY1871:AY1873"/>
    <mergeCell ref="AZ1871:AZ1873"/>
    <mergeCell ref="BA1871:BA1873"/>
    <mergeCell ref="AV1874:AV1876"/>
    <mergeCell ref="AW1874:AW1876"/>
    <mergeCell ref="AX1874:AX1876"/>
    <mergeCell ref="AY1874:AY1876"/>
    <mergeCell ref="AZ1874:AZ1876"/>
    <mergeCell ref="BA1874:BA1876"/>
    <mergeCell ref="AV1877:AV1879"/>
    <mergeCell ref="AW1877:AW1879"/>
    <mergeCell ref="AX1877:AX1879"/>
    <mergeCell ref="AY1877:AY1879"/>
    <mergeCell ref="AZ1877:AZ1879"/>
    <mergeCell ref="BA1877:BA1879"/>
    <mergeCell ref="AV1880:AV1882"/>
    <mergeCell ref="AW1880:AW1882"/>
    <mergeCell ref="AX1880:AX1882"/>
    <mergeCell ref="AY1880:AY1882"/>
    <mergeCell ref="AZ1880:AZ1882"/>
    <mergeCell ref="BA1880:BA1882"/>
    <mergeCell ref="AV1883:AV1885"/>
    <mergeCell ref="AW1883:AW1885"/>
    <mergeCell ref="AX1883:AX1885"/>
    <mergeCell ref="AY1883:AY1885"/>
    <mergeCell ref="AZ1883:AZ1885"/>
    <mergeCell ref="BA1883:BA1885"/>
    <mergeCell ref="AV1886:AV1888"/>
    <mergeCell ref="AW1886:AW1888"/>
    <mergeCell ref="AX1886:AX1888"/>
    <mergeCell ref="AY1886:AY1888"/>
    <mergeCell ref="AZ1886:AZ1888"/>
    <mergeCell ref="BA1886:BA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0:AV1902"/>
    <mergeCell ref="AW1900:AW1902"/>
    <mergeCell ref="AX1900:AX1902"/>
    <mergeCell ref="AY1900:AY1902"/>
    <mergeCell ref="AZ1900:AZ1902"/>
    <mergeCell ref="BA1900:BA1902"/>
    <mergeCell ref="BI1900:BI1902"/>
    <mergeCell ref="AV1903:AV1904"/>
    <mergeCell ref="AW1903:AW1904"/>
    <mergeCell ref="AX1903:AX1904"/>
    <mergeCell ref="AY1903:AY1904"/>
    <mergeCell ref="AZ1903:AZ1904"/>
    <mergeCell ref="BA1903:BA1904"/>
    <mergeCell ref="BI1903:BI1904"/>
    <mergeCell ref="AV1905:AV1907"/>
    <mergeCell ref="AW1905:AW1907"/>
    <mergeCell ref="AX1905:AX1907"/>
    <mergeCell ref="AY1905:AY1907"/>
    <mergeCell ref="AZ1905:AZ1907"/>
    <mergeCell ref="BA1905:BA1907"/>
    <mergeCell ref="BI1905:BI1907"/>
    <mergeCell ref="AV1908:AV1910"/>
    <mergeCell ref="AW1908:AW1910"/>
    <mergeCell ref="AX1908:AX1910"/>
    <mergeCell ref="AY1908:AY1910"/>
    <mergeCell ref="AZ1908:AZ1910"/>
    <mergeCell ref="BA1908:BA1910"/>
    <mergeCell ref="BI1908:BI1910"/>
    <mergeCell ref="AV1911:AV1913"/>
    <mergeCell ref="AW1911:AW1913"/>
    <mergeCell ref="AX1911:AX1913"/>
    <mergeCell ref="AY1911:AY1913"/>
    <mergeCell ref="AZ1911:AZ1913"/>
    <mergeCell ref="BA1911:BA1913"/>
    <mergeCell ref="BI1911:BI1913"/>
    <mergeCell ref="AV1914:AV1916"/>
    <mergeCell ref="AW1914:AW1916"/>
    <mergeCell ref="AX1914:AX1916"/>
    <mergeCell ref="AY1914:AY1916"/>
    <mergeCell ref="AZ1914:AZ1916"/>
    <mergeCell ref="BA1914:BA1916"/>
    <mergeCell ref="BI1914:BI1916"/>
    <mergeCell ref="AV1917:AV1919"/>
    <mergeCell ref="AW1917:AW1919"/>
    <mergeCell ref="AX1917:AX1919"/>
    <mergeCell ref="AY1917:AY1919"/>
    <mergeCell ref="AZ1917:AZ1919"/>
    <mergeCell ref="BA1917:BA1919"/>
    <mergeCell ref="BI1917:BI1919"/>
    <mergeCell ref="AV1920:AV1921"/>
    <mergeCell ref="AW1920:AW1921"/>
    <mergeCell ref="AX1920:AX1921"/>
    <mergeCell ref="AY1920:AY1921"/>
    <mergeCell ref="AZ1920:AZ1921"/>
    <mergeCell ref="BA1920:BA1921"/>
    <mergeCell ref="BI1920:BI1921"/>
    <mergeCell ref="AV1922:AV1924"/>
    <mergeCell ref="AW1922:AW1924"/>
    <mergeCell ref="AX1922:AX1924"/>
    <mergeCell ref="AY1922:AY1924"/>
    <mergeCell ref="AZ1922:AZ1924"/>
    <mergeCell ref="BA1922:BA1924"/>
    <mergeCell ref="BI1922:BI1924"/>
    <mergeCell ref="AV1925:AV1927"/>
    <mergeCell ref="AW1925:AW1927"/>
    <mergeCell ref="AX1925:AX1927"/>
    <mergeCell ref="AY1925:AY1927"/>
    <mergeCell ref="AZ1925:AZ1927"/>
    <mergeCell ref="BA1925:BA1927"/>
    <mergeCell ref="BI1925:BI1927"/>
    <mergeCell ref="AV1928:AV1930"/>
    <mergeCell ref="AW1928:AW1930"/>
    <mergeCell ref="AX1928:AX1930"/>
    <mergeCell ref="AY1928:AY1930"/>
    <mergeCell ref="AZ1928:AZ1930"/>
    <mergeCell ref="BA1928:BA1930"/>
    <mergeCell ref="BI1928:BI1930"/>
    <mergeCell ref="AV1934:AV1936"/>
    <mergeCell ref="AW1934:AW1936"/>
    <mergeCell ref="AX1934:AX1936"/>
    <mergeCell ref="AY1934:AY1936"/>
    <mergeCell ref="AZ1934:AZ1936"/>
    <mergeCell ref="BA1934:BA1936"/>
    <mergeCell ref="BI1934:BI1936"/>
    <mergeCell ref="AV1938:AV1940"/>
    <mergeCell ref="AW1938:AW1940"/>
    <mergeCell ref="AX1938:AX1940"/>
    <mergeCell ref="AY1938:AY1940"/>
    <mergeCell ref="AZ1938:AZ1940"/>
    <mergeCell ref="BA1938:BA1940"/>
    <mergeCell ref="BI1938:BI1940"/>
    <mergeCell ref="AV1941:AV1943"/>
    <mergeCell ref="AW1941:AW1943"/>
    <mergeCell ref="AX1941:AX1943"/>
    <mergeCell ref="AY1941:AY1943"/>
    <mergeCell ref="AZ1941:AZ1943"/>
    <mergeCell ref="BA1941:BA1943"/>
    <mergeCell ref="AV1944:AV1946"/>
    <mergeCell ref="AW1944:AW1946"/>
    <mergeCell ref="AX1944:AX1946"/>
    <mergeCell ref="AY1944:AY1946"/>
    <mergeCell ref="AZ1944:AZ1946"/>
    <mergeCell ref="BA1944:BA1946"/>
    <mergeCell ref="AV1947:AV1949"/>
    <mergeCell ref="AW1947:AW1949"/>
    <mergeCell ref="AX1947:AX1949"/>
    <mergeCell ref="AY1947:AY1949"/>
    <mergeCell ref="AZ1947:AZ1949"/>
    <mergeCell ref="BA1947:BA1949"/>
    <mergeCell ref="AV1950:AV1952"/>
    <mergeCell ref="AW1950:AW1952"/>
    <mergeCell ref="AX1950:AX1952"/>
    <mergeCell ref="AY1950:AY1952"/>
    <mergeCell ref="AZ1950:AZ1952"/>
    <mergeCell ref="BA1950:BA1952"/>
    <mergeCell ref="AV1953:AV1955"/>
    <mergeCell ref="AW1953:AW1955"/>
    <mergeCell ref="AX1953:AX1955"/>
    <mergeCell ref="AY1953:AY1955"/>
    <mergeCell ref="AZ1953:AZ1955"/>
    <mergeCell ref="BA1953:BA1955"/>
    <mergeCell ref="AV1956:AV1958"/>
    <mergeCell ref="AW1956:AW1958"/>
    <mergeCell ref="AX1956:AX1958"/>
    <mergeCell ref="AY1956:AY1958"/>
    <mergeCell ref="AZ1956:AZ1958"/>
    <mergeCell ref="BA1956:BA1958"/>
    <mergeCell ref="BI1956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3"/>
    <mergeCell ref="AW1962:AW1963"/>
    <mergeCell ref="AX1962:AX1963"/>
    <mergeCell ref="AY1962:AY1963"/>
    <mergeCell ref="AZ1962:AZ1963"/>
    <mergeCell ref="BA1962:BA1963"/>
    <mergeCell ref="BI1962:BI1963"/>
    <mergeCell ref="AV1964:AV1965"/>
    <mergeCell ref="AW1964:AW1965"/>
    <mergeCell ref="AX1964:AX1965"/>
    <mergeCell ref="AY1964:AY1965"/>
    <mergeCell ref="AZ1964:AZ1965"/>
    <mergeCell ref="BA1964:BA1965"/>
    <mergeCell ref="BI1964:BI1965"/>
    <mergeCell ref="AV1970:AV1971"/>
    <mergeCell ref="AW1970:AW1971"/>
    <mergeCell ref="AX1970:AX1971"/>
    <mergeCell ref="AY1970:AY1971"/>
    <mergeCell ref="AZ1970:AZ1971"/>
    <mergeCell ref="BA1970:BA1971"/>
    <mergeCell ref="BI1970:BI1971"/>
    <mergeCell ref="AV1972:AV1973"/>
    <mergeCell ref="AW1972:AW1973"/>
    <mergeCell ref="AX1972:AX1973"/>
    <mergeCell ref="AY1972:AY1973"/>
    <mergeCell ref="AZ1972:AZ1973"/>
    <mergeCell ref="BA1972:BA1973"/>
    <mergeCell ref="AV1974:AV1975"/>
    <mergeCell ref="AW1974:AW1975"/>
    <mergeCell ref="AX1974:AX1975"/>
    <mergeCell ref="AY1974:AY1975"/>
    <mergeCell ref="AZ1974:AZ1975"/>
    <mergeCell ref="BA1974:BA1975"/>
    <mergeCell ref="AV1976:AV1977"/>
    <mergeCell ref="AW1976:AW1977"/>
    <mergeCell ref="AX1976:AX1977"/>
    <mergeCell ref="AY1976:AY1977"/>
    <mergeCell ref="AZ1976:AZ1977"/>
    <mergeCell ref="BA1976:BA1977"/>
    <mergeCell ref="AV1978:AV1980"/>
    <mergeCell ref="AW1978:AW1980"/>
    <mergeCell ref="AX1978:AX1980"/>
    <mergeCell ref="AY1978:AY1980"/>
    <mergeCell ref="AZ1978:AZ1980"/>
    <mergeCell ref="BA1978:BA1980"/>
    <mergeCell ref="AV1981:AV1982"/>
    <mergeCell ref="AW1981:AW1982"/>
    <mergeCell ref="AX1981:AX1982"/>
    <mergeCell ref="AY1981:AY1982"/>
    <mergeCell ref="AZ1981:AZ1982"/>
    <mergeCell ref="BA1981:BA1982"/>
    <mergeCell ref="AV1983:AV1985"/>
    <mergeCell ref="AW1983:AW1985"/>
    <mergeCell ref="AX1983:AX1985"/>
    <mergeCell ref="AY1983:AY1985"/>
    <mergeCell ref="AZ1983:AZ1985"/>
    <mergeCell ref="BA1983:BA1985"/>
    <mergeCell ref="AV1986:AV1988"/>
    <mergeCell ref="AW1986:AW1988"/>
    <mergeCell ref="AX1986:AX1988"/>
    <mergeCell ref="AY1986:AY1988"/>
    <mergeCell ref="AZ1986:AZ1988"/>
    <mergeCell ref="BA1986:BA1988"/>
    <mergeCell ref="AV1989:AV1991"/>
    <mergeCell ref="AW1989:AW1991"/>
    <mergeCell ref="AX1989:AX1991"/>
    <mergeCell ref="AY1989:AY1991"/>
    <mergeCell ref="AZ1989:AZ1991"/>
    <mergeCell ref="BA1989:BA1991"/>
    <mergeCell ref="AV1992:AV1993"/>
    <mergeCell ref="AW1992:AW1993"/>
    <mergeCell ref="AX1992:AX1993"/>
    <mergeCell ref="AY1992:AY1993"/>
    <mergeCell ref="AZ1992:AZ1993"/>
    <mergeCell ref="BA1992:BA1993"/>
    <mergeCell ref="AV1994:AV1995"/>
    <mergeCell ref="AW1994:AW1995"/>
    <mergeCell ref="AX1994:AX1995"/>
    <mergeCell ref="AY1994:AY1995"/>
    <mergeCell ref="AZ1994:AZ1995"/>
    <mergeCell ref="BA1994:BA1995"/>
    <mergeCell ref="AV1996:AV1997"/>
    <mergeCell ref="AW1996:AW1997"/>
    <mergeCell ref="AX1996:AX1997"/>
    <mergeCell ref="AY1996:AY1997"/>
    <mergeCell ref="AZ1996:AZ1997"/>
    <mergeCell ref="BA1996:BA1997"/>
    <mergeCell ref="AV1998:AV1999"/>
    <mergeCell ref="AW1998:AW1999"/>
    <mergeCell ref="AX1998:AX1999"/>
    <mergeCell ref="AY1998:AY1999"/>
    <mergeCell ref="AZ1998:AZ1999"/>
    <mergeCell ref="BA1998:BA1999"/>
    <mergeCell ref="AV2000:AV2001"/>
    <mergeCell ref="AW2000:AW2001"/>
    <mergeCell ref="AX2000:AX2001"/>
    <mergeCell ref="AY2000:AY2001"/>
    <mergeCell ref="AZ2000:AZ2001"/>
    <mergeCell ref="BA2000:BA2001"/>
    <mergeCell ref="AV2002:AV2004"/>
    <mergeCell ref="AW2002:AW2004"/>
    <mergeCell ref="AX2002:AX2004"/>
    <mergeCell ref="AY2002:AY2004"/>
    <mergeCell ref="AZ2002:AZ2004"/>
    <mergeCell ref="BA2002:BA2004"/>
    <mergeCell ref="AV2005:AV2007"/>
    <mergeCell ref="AW2005:AW2007"/>
    <mergeCell ref="AX2005:AX2007"/>
    <mergeCell ref="AY2005:AY2007"/>
    <mergeCell ref="AZ2005:AZ2007"/>
    <mergeCell ref="BA2005:BA2007"/>
    <mergeCell ref="AV2009:AV2010"/>
    <mergeCell ref="AW2009:AW2010"/>
    <mergeCell ref="AX2009:AX2010"/>
    <mergeCell ref="AY2009:AY2010"/>
    <mergeCell ref="AZ2009:AZ2010"/>
    <mergeCell ref="BA2009:BA2010"/>
    <mergeCell ref="BI2009:BI2010"/>
    <mergeCell ref="AV2011:AV2012"/>
    <mergeCell ref="AW2011:AW2012"/>
    <mergeCell ref="AX2011:AX2012"/>
    <mergeCell ref="AY2011:AY2012"/>
    <mergeCell ref="AZ2011:AZ2012"/>
    <mergeCell ref="BA2011:BA2012"/>
    <mergeCell ref="BI2011:BI2012"/>
    <mergeCell ref="AV2013:AV2014"/>
    <mergeCell ref="AW2013:AW2014"/>
    <mergeCell ref="AX2013:AX2014"/>
    <mergeCell ref="AY2013:AY2014"/>
    <mergeCell ref="AZ2013:AZ2014"/>
    <mergeCell ref="BA2013:BA2014"/>
    <mergeCell ref="BI2013:BI2014"/>
    <mergeCell ref="AV2015:AV2016"/>
    <mergeCell ref="AW2015:AW2016"/>
    <mergeCell ref="AX2015:AX2016"/>
    <mergeCell ref="AY2015:AY2016"/>
    <mergeCell ref="AZ2015:AZ2016"/>
    <mergeCell ref="BA2015:BA2016"/>
    <mergeCell ref="BI2015:BI2016"/>
    <mergeCell ref="AV2068:AV2069"/>
    <mergeCell ref="AW2068:AW2069"/>
    <mergeCell ref="AX2068:AX2069"/>
    <mergeCell ref="AY2068:AY2069"/>
    <mergeCell ref="AZ2068:AZ2069"/>
    <mergeCell ref="BA2068:BA2069"/>
    <mergeCell ref="AV2070:AV2071"/>
    <mergeCell ref="AW2070:AW2071"/>
    <mergeCell ref="AX2070:AX2071"/>
    <mergeCell ref="AY2070:AY2071"/>
    <mergeCell ref="AZ2070:AZ2071"/>
    <mergeCell ref="BA2070:BA2071"/>
    <mergeCell ref="AV2072:AV2077"/>
    <mergeCell ref="AW2072:AW2077"/>
    <mergeCell ref="AX2072:AX2077"/>
    <mergeCell ref="AY2072:AY2077"/>
    <mergeCell ref="AZ2072:AZ2077"/>
    <mergeCell ref="BA2072:BA2077"/>
    <mergeCell ref="BI2072:BI2077"/>
    <mergeCell ref="AV2078:AV2082"/>
    <mergeCell ref="AW2078:AW2082"/>
    <mergeCell ref="AX2078:AX2082"/>
    <mergeCell ref="AY2078:AY2082"/>
    <mergeCell ref="AZ2078:AZ2082"/>
    <mergeCell ref="BA2078:BA2082"/>
    <mergeCell ref="BI2078:BI2082"/>
    <mergeCell ref="AV2083:AV2088"/>
    <mergeCell ref="AW2083:AW2088"/>
    <mergeCell ref="AX2083:AX2088"/>
    <mergeCell ref="AY2083:AY2088"/>
    <mergeCell ref="AZ2083:AZ2088"/>
    <mergeCell ref="BA2083:BA2088"/>
    <mergeCell ref="AV2089:AV2091"/>
    <mergeCell ref="AW2089:AW2091"/>
    <mergeCell ref="AX2089:AX2091"/>
    <mergeCell ref="AY2089:AY2091"/>
    <mergeCell ref="AZ2089:AZ2091"/>
    <mergeCell ref="BA2089:BA2091"/>
    <mergeCell ref="BI2089:BI2091"/>
    <mergeCell ref="AV2092:AV2094"/>
    <mergeCell ref="AW2092:AW2094"/>
    <mergeCell ref="AX2092:AX2094"/>
    <mergeCell ref="AY2092:AY2094"/>
    <mergeCell ref="AZ2092:AZ2094"/>
    <mergeCell ref="BA2092:BA2094"/>
    <mergeCell ref="BI2092:BI2094"/>
    <mergeCell ref="AV2095:AV2097"/>
    <mergeCell ref="AW2095:AW2097"/>
    <mergeCell ref="AX2095:AX2097"/>
    <mergeCell ref="AY2095:AY2097"/>
    <mergeCell ref="AZ2095:AZ2097"/>
    <mergeCell ref="BA2095:BA2097"/>
    <mergeCell ref="BI2095:BI2097"/>
    <mergeCell ref="AV2098:AV2100"/>
    <mergeCell ref="AW2098:AW2100"/>
    <mergeCell ref="AX2098:AX2100"/>
    <mergeCell ref="AY2098:AY2100"/>
    <mergeCell ref="AZ2098:AZ2100"/>
    <mergeCell ref="BA2098:BA2100"/>
    <mergeCell ref="BI2098:BI2100"/>
    <mergeCell ref="AV2101:AV2103"/>
    <mergeCell ref="AW2101:AW2103"/>
    <mergeCell ref="AX2101:AX2103"/>
    <mergeCell ref="AY2101:AY2103"/>
    <mergeCell ref="AZ2101:AZ2103"/>
    <mergeCell ref="BA2101:BA2103"/>
    <mergeCell ref="BI2101:BI2103"/>
    <mergeCell ref="AV2104:AV2106"/>
    <mergeCell ref="AW2104:AW2106"/>
    <mergeCell ref="AX2104:AX2106"/>
    <mergeCell ref="AY2104:AY2106"/>
    <mergeCell ref="AZ2104:AZ2106"/>
    <mergeCell ref="BA2104:BA2106"/>
    <mergeCell ref="BI2104:BI2106"/>
    <mergeCell ref="AV2107:AV2110"/>
    <mergeCell ref="AW2107:AW2110"/>
    <mergeCell ref="AX2107:AX2110"/>
    <mergeCell ref="AY2107:AY2110"/>
    <mergeCell ref="AZ2107:AZ2110"/>
    <mergeCell ref="BA2107:BA2110"/>
    <mergeCell ref="BI2107:BI2110"/>
    <mergeCell ref="AV2111:AV2114"/>
    <mergeCell ref="AW2111:AW2114"/>
    <mergeCell ref="AX2111:AX2114"/>
    <mergeCell ref="AY2111:AY2114"/>
    <mergeCell ref="AZ2111:AZ2114"/>
    <mergeCell ref="BA2111:BA2114"/>
    <mergeCell ref="BI2111:BI2114"/>
    <mergeCell ref="AV2115:AV2118"/>
    <mergeCell ref="AW2115:AW2118"/>
    <mergeCell ref="AX2115:AX2118"/>
    <mergeCell ref="AY2115:AY2118"/>
    <mergeCell ref="AZ2115:AZ2118"/>
    <mergeCell ref="BA2115:BA2118"/>
    <mergeCell ref="BI2115:BI2118"/>
    <mergeCell ref="AV2119:AV2122"/>
    <mergeCell ref="AW2119:AW2122"/>
    <mergeCell ref="AX2119:AX2122"/>
    <mergeCell ref="AY2119:AY2122"/>
    <mergeCell ref="AZ2119:AZ2122"/>
    <mergeCell ref="BA2119:BA2122"/>
    <mergeCell ref="BI2119:BI2122"/>
    <mergeCell ref="AV2123:AV2126"/>
    <mergeCell ref="AW2123:AW2126"/>
    <mergeCell ref="AX2123:AX2126"/>
    <mergeCell ref="AY2123:AY2126"/>
    <mergeCell ref="AZ2123:AZ2126"/>
    <mergeCell ref="BA2123:BA2126"/>
    <mergeCell ref="BI2123:BI2126"/>
    <mergeCell ref="AV2127:AV2130"/>
    <mergeCell ref="AW2127:AW2130"/>
    <mergeCell ref="AX2127:AX2130"/>
    <mergeCell ref="AY2127:AY2130"/>
    <mergeCell ref="AZ2127:AZ2130"/>
    <mergeCell ref="BA2127:BA2130"/>
    <mergeCell ref="BI2127:BI2130"/>
    <mergeCell ref="AV2131:AV2133"/>
    <mergeCell ref="AW2131:AW2133"/>
    <mergeCell ref="AX2131:AX2133"/>
    <mergeCell ref="AY2131:AY2133"/>
    <mergeCell ref="AZ2131:AZ2133"/>
    <mergeCell ref="BA2131:BA2133"/>
    <mergeCell ref="BI2131:BI2133"/>
    <mergeCell ref="AV2134:AV2137"/>
    <mergeCell ref="AW2134:AW2137"/>
    <mergeCell ref="AX2134:AX2137"/>
    <mergeCell ref="AY2134:AY2137"/>
    <mergeCell ref="AZ2134:AZ2137"/>
    <mergeCell ref="BA2134:BA2137"/>
    <mergeCell ref="AV2138:AV2141"/>
    <mergeCell ref="AW2138:AW2141"/>
    <mergeCell ref="AX2138:AX2141"/>
    <mergeCell ref="AY2138:AY2141"/>
    <mergeCell ref="AZ2138:AZ2141"/>
    <mergeCell ref="BA2138:BA2141"/>
    <mergeCell ref="AV2142:AV2145"/>
    <mergeCell ref="AW2142:AW2145"/>
    <mergeCell ref="AX2142:AX2145"/>
    <mergeCell ref="AY2142:AY2145"/>
    <mergeCell ref="AZ2142:AZ2145"/>
    <mergeCell ref="BA2142:BA2145"/>
    <mergeCell ref="AV2146:AV2149"/>
    <mergeCell ref="AW2146:AW2149"/>
    <mergeCell ref="AX2146:AX2149"/>
    <mergeCell ref="AY2146:AY2149"/>
    <mergeCell ref="AZ2146:AZ2149"/>
    <mergeCell ref="BA2146:BA2149"/>
    <mergeCell ref="AV2150:AV2153"/>
    <mergeCell ref="AW2150:AW2153"/>
    <mergeCell ref="AX2150:AX2153"/>
    <mergeCell ref="AY2150:AY2153"/>
    <mergeCell ref="AZ2150:AZ2153"/>
    <mergeCell ref="BA2150:BA2153"/>
    <mergeCell ref="AV2154:AV2157"/>
    <mergeCell ref="AW2154:AW2157"/>
    <mergeCell ref="AX2154:AX2157"/>
    <mergeCell ref="AY2154:AY2157"/>
    <mergeCell ref="AZ2154:AZ2157"/>
    <mergeCell ref="BA2154:BA2157"/>
    <mergeCell ref="AV2158:AV2161"/>
    <mergeCell ref="AW2158:AW2161"/>
    <mergeCell ref="AX2158:AX2161"/>
    <mergeCell ref="AY2158:AY2161"/>
    <mergeCell ref="AZ2158:AZ2161"/>
    <mergeCell ref="BA2158:BA2161"/>
    <mergeCell ref="AV2162:AV2165"/>
    <mergeCell ref="AW2162:AW2165"/>
    <mergeCell ref="AX2162:AX2165"/>
    <mergeCell ref="AY2162:AY2165"/>
    <mergeCell ref="AZ2162:AZ2165"/>
    <mergeCell ref="BA2162:BA2165"/>
    <mergeCell ref="AV2166:AV2169"/>
    <mergeCell ref="AW2166:AW2169"/>
    <mergeCell ref="AX2166:AX2169"/>
    <mergeCell ref="AY2166:AY2169"/>
    <mergeCell ref="AZ2166:AZ2169"/>
    <mergeCell ref="BA2166:BA2169"/>
    <mergeCell ref="AV2182:AV2183"/>
    <mergeCell ref="AW2182:AW2183"/>
    <mergeCell ref="AX2182:AX2183"/>
    <mergeCell ref="AY2182:AY2183"/>
    <mergeCell ref="AZ2182:AZ2183"/>
    <mergeCell ref="BA2182:BA2183"/>
    <mergeCell ref="BI2182:BI2183"/>
    <mergeCell ref="AV2184:AV2185"/>
    <mergeCell ref="AW2184:AW2185"/>
    <mergeCell ref="AX2184:AX2185"/>
    <mergeCell ref="AY2184:AY2185"/>
    <mergeCell ref="AZ2184:AZ2185"/>
    <mergeCell ref="BA2184:BA2185"/>
    <mergeCell ref="BI2184:BI2185"/>
    <mergeCell ref="AV2186:AV2188"/>
    <mergeCell ref="AW2186:AW2188"/>
    <mergeCell ref="AX2186:AX2188"/>
    <mergeCell ref="AY2186:AY2188"/>
    <mergeCell ref="AZ2186:AZ2188"/>
    <mergeCell ref="BA2186:BA2188"/>
    <mergeCell ref="BI2186:BI2188"/>
    <mergeCell ref="AV2189:AV2190"/>
    <mergeCell ref="AW2189:AW2190"/>
    <mergeCell ref="AX2189:AX2190"/>
    <mergeCell ref="AY2189:AY2190"/>
    <mergeCell ref="AZ2189:AZ2190"/>
    <mergeCell ref="BA2189:BA2190"/>
    <mergeCell ref="BI2189:BI2190"/>
    <mergeCell ref="AV2191:AV2192"/>
    <mergeCell ref="AW2191:AW2192"/>
    <mergeCell ref="AX2191:AX2192"/>
    <mergeCell ref="AY2191:AY2192"/>
    <mergeCell ref="AZ2191:AZ2192"/>
    <mergeCell ref="BA2191:BA2192"/>
    <mergeCell ref="BI2191:BI2192"/>
    <mergeCell ref="AV2193:AV2195"/>
    <mergeCell ref="AW2193:AW2195"/>
    <mergeCell ref="AX2193:AX2195"/>
    <mergeCell ref="AY2193:AY2195"/>
    <mergeCell ref="AZ2193:AZ2195"/>
    <mergeCell ref="BA2193:BA2195"/>
    <mergeCell ref="AV2196:AV2198"/>
    <mergeCell ref="AW2196:AW2198"/>
    <mergeCell ref="AX2196:AX2198"/>
    <mergeCell ref="AY2196:AY2198"/>
    <mergeCell ref="AZ2196:AZ2198"/>
    <mergeCell ref="BA2196:BA2198"/>
    <mergeCell ref="AV2199:AV2201"/>
    <mergeCell ref="AW2199:AW2201"/>
    <mergeCell ref="AX2199:AX2201"/>
    <mergeCell ref="AY2199:AY2201"/>
    <mergeCell ref="AZ2199:AZ2201"/>
    <mergeCell ref="BA2199:BA2201"/>
    <mergeCell ref="AV2202:AV2204"/>
    <mergeCell ref="AW2202:AW2204"/>
    <mergeCell ref="AX2202:AX2204"/>
    <mergeCell ref="AY2202:AY2204"/>
    <mergeCell ref="AZ2202:AZ2204"/>
    <mergeCell ref="BA2202:BA2204"/>
    <mergeCell ref="AV2205:AV2207"/>
    <mergeCell ref="AW2205:AW2207"/>
    <mergeCell ref="AX2205:AX2207"/>
    <mergeCell ref="AY2205:AY2207"/>
    <mergeCell ref="AZ2205:AZ2207"/>
    <mergeCell ref="BA2205:BA2207"/>
    <mergeCell ref="AV2208:AV2210"/>
    <mergeCell ref="AW2208:AW2210"/>
    <mergeCell ref="AX2208:AX2210"/>
    <mergeCell ref="AY2208:AY2210"/>
    <mergeCell ref="AZ2208:AZ2210"/>
    <mergeCell ref="BA2208:BA2210"/>
    <mergeCell ref="AV2211:AV2213"/>
    <mergeCell ref="AW2211:AW2213"/>
    <mergeCell ref="AX2211:AX2213"/>
    <mergeCell ref="AY2211:AY2213"/>
    <mergeCell ref="AZ2211:AZ2213"/>
    <mergeCell ref="BA2211:BA2213"/>
    <mergeCell ref="AV2214:AV2215"/>
    <mergeCell ref="AW2214:AW2215"/>
    <mergeCell ref="AX2214:AX2215"/>
    <mergeCell ref="AY2214:AY2215"/>
    <mergeCell ref="AZ2214:AZ2215"/>
    <mergeCell ref="BA2214:BA2215"/>
    <mergeCell ref="AV2216:AV2218"/>
    <mergeCell ref="AW2216:AW2218"/>
    <mergeCell ref="AX2216:AX2218"/>
    <mergeCell ref="AY2216:AY2218"/>
    <mergeCell ref="AZ2216:AZ2218"/>
    <mergeCell ref="BA2216:BA2218"/>
    <mergeCell ref="AV2219:AV2221"/>
    <mergeCell ref="AW2219:AW2221"/>
    <mergeCell ref="AX2219:AX2221"/>
    <mergeCell ref="AY2219:AY2221"/>
    <mergeCell ref="AZ2219:AZ2221"/>
    <mergeCell ref="BA2219:BA2221"/>
    <mergeCell ref="AV2222:AV2224"/>
    <mergeCell ref="AW2222:AW2224"/>
    <mergeCell ref="AX2222:AX2224"/>
    <mergeCell ref="AY2222:AY2224"/>
    <mergeCell ref="AZ2222:AZ2224"/>
    <mergeCell ref="BA2222:BA2224"/>
    <mergeCell ref="AV2225:AV2227"/>
    <mergeCell ref="AW2225:AW2227"/>
    <mergeCell ref="AX2225:AX2227"/>
    <mergeCell ref="AY2225:AY2227"/>
    <mergeCell ref="AZ2225:AZ2227"/>
    <mergeCell ref="BA2225:BA2227"/>
    <mergeCell ref="AV2228:AV2230"/>
    <mergeCell ref="AW2228:AW2230"/>
    <mergeCell ref="AX2228:AX2230"/>
    <mergeCell ref="AY2228:AY2230"/>
    <mergeCell ref="AZ2228:AZ2230"/>
    <mergeCell ref="BA2228:BA2230"/>
    <mergeCell ref="AV2231:AV2233"/>
    <mergeCell ref="AW2231:AW2233"/>
    <mergeCell ref="AX2231:AX2233"/>
    <mergeCell ref="AY2231:AY2233"/>
    <mergeCell ref="AZ2231:AZ2233"/>
    <mergeCell ref="BA2231:BA2233"/>
    <mergeCell ref="AV2234:AV2236"/>
    <mergeCell ref="AW2234:AW2236"/>
    <mergeCell ref="AX2234:AX2236"/>
    <mergeCell ref="AY2234:AY2236"/>
    <mergeCell ref="AZ2234:AZ2236"/>
    <mergeCell ref="BA2234:BA2236"/>
    <mergeCell ref="AV2237:AV2239"/>
    <mergeCell ref="AW2237:AW2239"/>
    <mergeCell ref="AX2237:AX2239"/>
    <mergeCell ref="AY2237:AY2239"/>
    <mergeCell ref="AZ2237:AZ2239"/>
    <mergeCell ref="BA2237:BA2239"/>
    <mergeCell ref="AV2240:AV2242"/>
    <mergeCell ref="AW2240:AW2242"/>
    <mergeCell ref="AX2240:AX2242"/>
    <mergeCell ref="AY2240:AY2242"/>
    <mergeCell ref="AZ2240:AZ2242"/>
    <mergeCell ref="BA2240:BA2242"/>
    <mergeCell ref="AV2243:AV2246"/>
    <mergeCell ref="AW2243:AW2246"/>
    <mergeCell ref="AX2243:AX2246"/>
    <mergeCell ref="AY2243:AY2246"/>
    <mergeCell ref="AZ2243:AZ2246"/>
    <mergeCell ref="BA2243:BA2246"/>
    <mergeCell ref="BI2243:BI2246"/>
    <mergeCell ref="AV2247:AV2250"/>
    <mergeCell ref="AW2247:AW2250"/>
    <mergeCell ref="AX2247:AX2250"/>
    <mergeCell ref="AY2247:AY2250"/>
    <mergeCell ref="AZ2247:AZ2250"/>
    <mergeCell ref="BA2247:BA2250"/>
    <mergeCell ref="BI2247:BI2250"/>
    <mergeCell ref="AV2251:AV2254"/>
    <mergeCell ref="AW2251:AW2254"/>
    <mergeCell ref="AX2251:AX2254"/>
    <mergeCell ref="AY2251:AY2254"/>
    <mergeCell ref="AZ2251:AZ2254"/>
    <mergeCell ref="BA2251:BA2254"/>
    <mergeCell ref="BI2251:BI2254"/>
    <mergeCell ref="AV2255:AV2258"/>
    <mergeCell ref="AW2255:AW2258"/>
    <mergeCell ref="AX2255:AX2258"/>
    <mergeCell ref="AY2255:AY2258"/>
    <mergeCell ref="AZ2255:AZ2258"/>
    <mergeCell ref="BA2255:BA2258"/>
    <mergeCell ref="BI2255:BI2258"/>
    <mergeCell ref="AV2259:AV2261"/>
    <mergeCell ref="AW2259:AW2261"/>
    <mergeCell ref="AX2259:AX2261"/>
    <mergeCell ref="AY2259:AY2261"/>
    <mergeCell ref="AZ2259:AZ2261"/>
    <mergeCell ref="BA2259:BA2261"/>
    <mergeCell ref="BI2259:BI2261"/>
    <mergeCell ref="AV2262:AV2265"/>
    <mergeCell ref="AW2262:AW2265"/>
    <mergeCell ref="AX2262:AX2265"/>
    <mergeCell ref="AY2262:AY2265"/>
    <mergeCell ref="AZ2262:AZ2265"/>
    <mergeCell ref="BA2262:BA2265"/>
    <mergeCell ref="BI2262:BI2265"/>
    <mergeCell ref="AV2276:AV2278"/>
    <mergeCell ref="AW2276:AW2278"/>
    <mergeCell ref="AX2276:AX2278"/>
    <mergeCell ref="AY2276:AY2278"/>
    <mergeCell ref="AZ2276:AZ2278"/>
    <mergeCell ref="BA2276:BA2278"/>
    <mergeCell ref="BI2276:BI2278"/>
    <mergeCell ref="AV2279:AV2280"/>
    <mergeCell ref="AW2279:AW2280"/>
    <mergeCell ref="AX2279:AX2280"/>
    <mergeCell ref="AY2279:AY2280"/>
    <mergeCell ref="AZ2279:AZ2280"/>
    <mergeCell ref="BA2279:BA2280"/>
    <mergeCell ref="BI2279:BI2280"/>
    <mergeCell ref="AV2282:AV2284"/>
    <mergeCell ref="AW2282:AW2284"/>
    <mergeCell ref="AX2282:AX2284"/>
    <mergeCell ref="AY2282:AY2284"/>
    <mergeCell ref="AZ2282:AZ2284"/>
    <mergeCell ref="BA2282:BA2284"/>
    <mergeCell ref="BI2282:BI2284"/>
    <mergeCell ref="AV2285:AV2286"/>
    <mergeCell ref="AW2285:AW2286"/>
    <mergeCell ref="AX2285:AX2286"/>
    <mergeCell ref="AY2285:AY2286"/>
    <mergeCell ref="AZ2285:AZ2286"/>
    <mergeCell ref="BA2285:BA2286"/>
    <mergeCell ref="BI2285:BI2286"/>
    <mergeCell ref="AV2287:AV2289"/>
    <mergeCell ref="AW2287:AW2289"/>
    <mergeCell ref="AX2287:AX2289"/>
    <mergeCell ref="AY2287:AY2289"/>
    <mergeCell ref="AZ2287:AZ2289"/>
    <mergeCell ref="BA2287:BA2289"/>
    <mergeCell ref="BI2287:BI2289"/>
    <mergeCell ref="AV2290:AV2292"/>
    <mergeCell ref="AW2290:AW2292"/>
    <mergeCell ref="AX2290:AX2292"/>
    <mergeCell ref="AY2290:AY2292"/>
    <mergeCell ref="AZ2290:AZ2292"/>
    <mergeCell ref="BA2290:BA2292"/>
    <mergeCell ref="BI2290:BI2292"/>
    <mergeCell ref="AV2293:AV2295"/>
    <mergeCell ref="AW2293:AW2295"/>
    <mergeCell ref="AX2293:AX2295"/>
    <mergeCell ref="AY2293:AY2295"/>
    <mergeCell ref="AZ2293:AZ2295"/>
    <mergeCell ref="BA2293:BA2295"/>
    <mergeCell ref="BI2293:BI2295"/>
    <mergeCell ref="AV2296:AV2298"/>
    <mergeCell ref="AW2296:AW2298"/>
    <mergeCell ref="AX2296:AX2298"/>
    <mergeCell ref="AY2296:AY2298"/>
    <mergeCell ref="AZ2296:AZ2298"/>
    <mergeCell ref="BA2296:BA2298"/>
    <mergeCell ref="BI2296:BI2298"/>
    <mergeCell ref="AV2299:AV2301"/>
    <mergeCell ref="AW2299:AW2301"/>
    <mergeCell ref="AX2299:AX2301"/>
    <mergeCell ref="AY2299:AY2301"/>
    <mergeCell ref="AZ2299:AZ2301"/>
    <mergeCell ref="BA2299:BA2301"/>
    <mergeCell ref="BI2299:BI2301"/>
    <mergeCell ref="AV2302:AV2304"/>
    <mergeCell ref="AW2302:AW2304"/>
    <mergeCell ref="AX2302:AX2304"/>
    <mergeCell ref="AY2302:AY2304"/>
    <mergeCell ref="AZ2302:AZ2304"/>
    <mergeCell ref="BA2302:BA2304"/>
    <mergeCell ref="BI2302:BI2304"/>
    <mergeCell ref="AV2305:AV2307"/>
    <mergeCell ref="AW2305:AW2307"/>
    <mergeCell ref="AX2305:AX2307"/>
    <mergeCell ref="AY2305:AY2307"/>
    <mergeCell ref="AZ2305:AZ2307"/>
    <mergeCell ref="BA2305:BA2307"/>
    <mergeCell ref="AV2308:AV2309"/>
    <mergeCell ref="AW2308:AW2309"/>
    <mergeCell ref="AX2308:AX2309"/>
    <mergeCell ref="AY2308:AY2309"/>
    <mergeCell ref="AZ2308:AZ2309"/>
    <mergeCell ref="BA2308:BA2309"/>
    <mergeCell ref="AV2310:AV2311"/>
    <mergeCell ref="AW2310:AW2311"/>
    <mergeCell ref="AX2310:AX2311"/>
    <mergeCell ref="AY2310:AY2311"/>
    <mergeCell ref="AZ2310:AZ2311"/>
    <mergeCell ref="BA2310:BA2311"/>
    <mergeCell ref="AV2312:AV2313"/>
    <mergeCell ref="AW2312:AW2313"/>
    <mergeCell ref="AX2312:AX2313"/>
    <mergeCell ref="AY2312:AY2313"/>
    <mergeCell ref="AZ2312:AZ2313"/>
    <mergeCell ref="BA2312:BA2313"/>
    <mergeCell ref="AV2314:AV2315"/>
    <mergeCell ref="AW2314:AW2315"/>
    <mergeCell ref="AX2314:AX2315"/>
    <mergeCell ref="AY2314:AY2315"/>
    <mergeCell ref="AZ2314:AZ2315"/>
    <mergeCell ref="BA2314:BA2315"/>
    <mergeCell ref="AV2316:AV2317"/>
    <mergeCell ref="AW2316:AW2317"/>
    <mergeCell ref="AX2316:AX2317"/>
    <mergeCell ref="AY2316:AY2317"/>
    <mergeCell ref="AZ2316:AZ2317"/>
    <mergeCell ref="BA2316:BA2317"/>
    <mergeCell ref="AV2318:AV2319"/>
    <mergeCell ref="AW2318:AW2319"/>
    <mergeCell ref="AX2318:AX2319"/>
    <mergeCell ref="AY2318:AY2319"/>
    <mergeCell ref="AZ2318:AZ2319"/>
    <mergeCell ref="BA2318:BA2319"/>
    <mergeCell ref="AV2320:AV2321"/>
    <mergeCell ref="AW2320:AW2321"/>
    <mergeCell ref="AX2320:AX2321"/>
    <mergeCell ref="AY2320:AY2321"/>
    <mergeCell ref="AZ2320:AZ2321"/>
    <mergeCell ref="BA2320:BA2321"/>
    <mergeCell ref="AV2322:AV2323"/>
    <mergeCell ref="AW2322:AW2323"/>
    <mergeCell ref="AX2322:AX2323"/>
    <mergeCell ref="AY2322:AY2323"/>
    <mergeCell ref="AZ2322:AZ2323"/>
    <mergeCell ref="BA2322:BA2323"/>
    <mergeCell ref="AV2324:AV2325"/>
    <mergeCell ref="AW2324:AW2325"/>
    <mergeCell ref="AX2324:AX2325"/>
    <mergeCell ref="AY2324:AY2325"/>
    <mergeCell ref="AZ2324:AZ2325"/>
    <mergeCell ref="BA2324:BA2325"/>
    <mergeCell ref="AV2326:AV2327"/>
    <mergeCell ref="AW2326:AW2327"/>
    <mergeCell ref="AX2326:AX2327"/>
    <mergeCell ref="AY2326:AY2327"/>
    <mergeCell ref="AZ2326:AZ2327"/>
    <mergeCell ref="BA2326:BA2327"/>
    <mergeCell ref="AV2328:AV2329"/>
    <mergeCell ref="AW2328:AW2329"/>
    <mergeCell ref="AX2328:AX2329"/>
    <mergeCell ref="AY2328:AY2329"/>
    <mergeCell ref="AZ2328:AZ2329"/>
    <mergeCell ref="BA2328:BA2329"/>
    <mergeCell ref="AV2330:AV2331"/>
    <mergeCell ref="AW2330:AW2331"/>
    <mergeCell ref="AX2330:AX2331"/>
    <mergeCell ref="AY2330:AY2331"/>
    <mergeCell ref="AZ2330:AZ2331"/>
    <mergeCell ref="BA2330:BA2331"/>
    <mergeCell ref="AV2332:AV2333"/>
    <mergeCell ref="AW2332:AW2333"/>
    <mergeCell ref="AX2332:AX2333"/>
    <mergeCell ref="AY2332:AY2333"/>
    <mergeCell ref="AZ2332:AZ2333"/>
    <mergeCell ref="BA2332:BA2333"/>
    <mergeCell ref="AV2337:AV2339"/>
    <mergeCell ref="AW2337:AW2339"/>
    <mergeCell ref="AX2337:AX2339"/>
    <mergeCell ref="AY2337:AY2339"/>
    <mergeCell ref="AZ2337:AZ2339"/>
    <mergeCell ref="BA2337:BA2339"/>
    <mergeCell ref="BI2337:BI2339"/>
    <mergeCell ref="AV2340:AV2342"/>
    <mergeCell ref="AW2340:AW2342"/>
    <mergeCell ref="AX2340:AX2342"/>
    <mergeCell ref="AY2340:AY2342"/>
    <mergeCell ref="AZ2340:AZ2342"/>
    <mergeCell ref="BA2340:BA2342"/>
    <mergeCell ref="BI2340:BI2342"/>
    <mergeCell ref="AV2343:AV2345"/>
    <mergeCell ref="AW2343:AW2345"/>
    <mergeCell ref="AX2343:AX2345"/>
    <mergeCell ref="AY2343:AY2345"/>
    <mergeCell ref="AZ2343:AZ2345"/>
    <mergeCell ref="BA2343:BA2345"/>
    <mergeCell ref="BI2343:BI2345"/>
    <mergeCell ref="AV2346:AV2348"/>
    <mergeCell ref="AW2346:AW2348"/>
    <mergeCell ref="AX2346:AX2348"/>
    <mergeCell ref="AY2346:AY2348"/>
    <mergeCell ref="AZ2346:AZ2348"/>
    <mergeCell ref="BA2346:BA2348"/>
    <mergeCell ref="BI2346:BI2348"/>
    <mergeCell ref="AV2349:AV2351"/>
    <mergeCell ref="AW2349:AW2351"/>
    <mergeCell ref="AX2349:AX2351"/>
    <mergeCell ref="AY2349:AY2351"/>
    <mergeCell ref="AZ2349:AZ2351"/>
    <mergeCell ref="BA2349:BA2351"/>
    <mergeCell ref="BI2349:BI2351"/>
    <mergeCell ref="AV2352:AV2353"/>
    <mergeCell ref="AW2352:AW2353"/>
    <mergeCell ref="AX2352:AX2353"/>
    <mergeCell ref="AY2352:AY2353"/>
    <mergeCell ref="AZ2352:AZ2353"/>
    <mergeCell ref="BA2352:BA2353"/>
    <mergeCell ref="AV2354:AV2355"/>
    <mergeCell ref="AW2354:AW2355"/>
    <mergeCell ref="AX2354:AX2355"/>
    <mergeCell ref="AY2354:AY2355"/>
    <mergeCell ref="AZ2354:AZ2355"/>
    <mergeCell ref="BA2354:BA2355"/>
    <mergeCell ref="AV2356:AV2357"/>
    <mergeCell ref="AW2356:AW2357"/>
    <mergeCell ref="AX2356:AX2357"/>
    <mergeCell ref="AY2356:AY2357"/>
    <mergeCell ref="AZ2356:AZ2357"/>
    <mergeCell ref="BA2356:BA2357"/>
    <mergeCell ref="AV2358:AV2359"/>
    <mergeCell ref="AW2358:AW2359"/>
    <mergeCell ref="AX2358:AX2359"/>
    <mergeCell ref="AY2358:AY2359"/>
    <mergeCell ref="AZ2358:AZ2359"/>
    <mergeCell ref="BA2358:BA2359"/>
    <mergeCell ref="AV2360:AV2362"/>
    <mergeCell ref="AW2360:AW2362"/>
    <mergeCell ref="AX2360:AX2362"/>
    <mergeCell ref="AY2360:AY2362"/>
    <mergeCell ref="AZ2360:AZ2362"/>
    <mergeCell ref="BA2360:BA2362"/>
    <mergeCell ref="AV2363:AV2365"/>
    <mergeCell ref="AW2363:AW2365"/>
    <mergeCell ref="AX2363:AX2365"/>
    <mergeCell ref="AY2363:AY2365"/>
    <mergeCell ref="AZ2363:AZ2365"/>
    <mergeCell ref="BA2363:BA2365"/>
    <mergeCell ref="AV2366:AV2368"/>
    <mergeCell ref="AW2366:AW2368"/>
    <mergeCell ref="AX2366:AX2368"/>
    <mergeCell ref="AY2366:AY2368"/>
    <mergeCell ref="AZ2366:AZ2368"/>
    <mergeCell ref="BA2366:BA2368"/>
    <mergeCell ref="AV2369:AV2371"/>
    <mergeCell ref="AW2369:AW2371"/>
    <mergeCell ref="AX2369:AX2371"/>
    <mergeCell ref="AY2369:AY2371"/>
    <mergeCell ref="AZ2369:AZ2371"/>
    <mergeCell ref="BA2369:BA2371"/>
    <mergeCell ref="AV2372:AV2374"/>
    <mergeCell ref="AW2372:AW2374"/>
    <mergeCell ref="AX2372:AX2374"/>
    <mergeCell ref="AY2372:AY2374"/>
    <mergeCell ref="AZ2372:AZ2374"/>
    <mergeCell ref="BA2372:BA2374"/>
    <mergeCell ref="AV2375:AV2377"/>
    <mergeCell ref="AW2375:AW2377"/>
    <mergeCell ref="AX2375:AX2377"/>
    <mergeCell ref="AY2375:AY2377"/>
    <mergeCell ref="AZ2375:AZ2377"/>
    <mergeCell ref="BA2375:BA2377"/>
    <mergeCell ref="AV2378:AV2380"/>
    <mergeCell ref="AW2378:AW2380"/>
    <mergeCell ref="AX2378:AX2380"/>
    <mergeCell ref="AY2378:AY2380"/>
    <mergeCell ref="AZ2378:AZ2380"/>
    <mergeCell ref="BA2378:BA2380"/>
    <mergeCell ref="AV2391:AV2396"/>
    <mergeCell ref="AW2391:AW2396"/>
    <mergeCell ref="AX2391:AX2396"/>
    <mergeCell ref="AY2391:AY2396"/>
    <mergeCell ref="AZ2391:AZ2396"/>
    <mergeCell ref="BA2391:BA2396"/>
    <mergeCell ref="AV2404:AV2406"/>
    <mergeCell ref="AW2404:AW2406"/>
    <mergeCell ref="AX2404:AX2406"/>
    <mergeCell ref="AY2404:AY2406"/>
    <mergeCell ref="AZ2404:AZ2406"/>
    <mergeCell ref="BA2404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16:AV2418"/>
    <mergeCell ref="AW2416:AW2418"/>
    <mergeCell ref="AX2416:AX2418"/>
    <mergeCell ref="AY2416:AY2418"/>
    <mergeCell ref="AZ2416:AZ2418"/>
    <mergeCell ref="BA2416:BA2418"/>
    <mergeCell ref="AV2419:AV2421"/>
    <mergeCell ref="AW2419:AW2421"/>
    <mergeCell ref="AX2419:AX2421"/>
    <mergeCell ref="AY2419:AY2421"/>
    <mergeCell ref="AZ2419:AZ2421"/>
    <mergeCell ref="BA2419:BA2421"/>
    <mergeCell ref="AV2422:AV2424"/>
    <mergeCell ref="AW2422:AW2424"/>
    <mergeCell ref="AX2422:AX2424"/>
    <mergeCell ref="AY2422:AY2424"/>
    <mergeCell ref="AZ2422:AZ2424"/>
    <mergeCell ref="BA2422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431:AV2433"/>
    <mergeCell ref="AW2431:AW2433"/>
    <mergeCell ref="AX2431:AX2433"/>
    <mergeCell ref="AY2431:AY2433"/>
    <mergeCell ref="AZ2431:AZ2433"/>
    <mergeCell ref="BA2431:BA2433"/>
    <mergeCell ref="AV2434:AV2436"/>
    <mergeCell ref="AW2434:AW2436"/>
    <mergeCell ref="AX2434:AX2436"/>
    <mergeCell ref="AY2434:AY2436"/>
    <mergeCell ref="AZ2434:AZ2436"/>
    <mergeCell ref="BA2434:BA2436"/>
    <mergeCell ref="AV2437:AV2439"/>
    <mergeCell ref="AW2437:AW2439"/>
    <mergeCell ref="AX2437:AX2439"/>
    <mergeCell ref="AY2437:AY2439"/>
    <mergeCell ref="AZ2437:AZ2439"/>
    <mergeCell ref="BA2437:BA2439"/>
    <mergeCell ref="AV2440:AV2442"/>
    <mergeCell ref="AW2440:AW2442"/>
    <mergeCell ref="AX2440:AX2442"/>
    <mergeCell ref="AY2440:AY2442"/>
    <mergeCell ref="AZ2440:AZ2442"/>
    <mergeCell ref="BA2440:BA2442"/>
    <mergeCell ref="AV2443:AV2445"/>
    <mergeCell ref="AW2443:AW2445"/>
    <mergeCell ref="AX2443:AX2445"/>
    <mergeCell ref="AY2443:AY2445"/>
    <mergeCell ref="AZ2443:AZ2445"/>
    <mergeCell ref="BA2443:BA2445"/>
    <mergeCell ref="AV2446:AV2448"/>
    <mergeCell ref="AW2446:AW2448"/>
    <mergeCell ref="AX2446:AX2448"/>
    <mergeCell ref="AY2446:AY2448"/>
    <mergeCell ref="AZ2446:AZ2448"/>
    <mergeCell ref="BA2446:BA2448"/>
    <mergeCell ref="AV2449:AV2451"/>
    <mergeCell ref="AW2449:AW2451"/>
    <mergeCell ref="AX2449:AX2451"/>
    <mergeCell ref="AY2449:AY2451"/>
    <mergeCell ref="AZ2449:AZ2451"/>
    <mergeCell ref="BA2449:BA2451"/>
    <mergeCell ref="AV2452:AV2454"/>
    <mergeCell ref="AW2452:AW2454"/>
    <mergeCell ref="AX2452:AX2454"/>
    <mergeCell ref="AY2452:AY2454"/>
    <mergeCell ref="AZ2452:AZ2454"/>
    <mergeCell ref="BA2452:BA2454"/>
    <mergeCell ref="AV2455:AV2457"/>
    <mergeCell ref="AW2455:AW2457"/>
    <mergeCell ref="AX2455:AX2457"/>
    <mergeCell ref="AY2455:AY2457"/>
    <mergeCell ref="AZ2455:AZ2457"/>
    <mergeCell ref="BA2455:BA2457"/>
    <mergeCell ref="AV2458:AV2460"/>
    <mergeCell ref="AW2458:AW2460"/>
    <mergeCell ref="AX2458:AX2460"/>
    <mergeCell ref="AY2458:AY2460"/>
    <mergeCell ref="AZ2458:AZ2460"/>
    <mergeCell ref="BA2458:BA2460"/>
    <mergeCell ref="AV2461:AV2463"/>
    <mergeCell ref="AW2461:AW2463"/>
    <mergeCell ref="AX2461:AX2463"/>
    <mergeCell ref="AY2461:AY2463"/>
    <mergeCell ref="AZ2461:AZ2463"/>
    <mergeCell ref="BA2461:BA2463"/>
    <mergeCell ref="AV2464:AV2466"/>
    <mergeCell ref="AW2464:AW2466"/>
    <mergeCell ref="AX2464:AX2466"/>
    <mergeCell ref="AY2464:AY2466"/>
    <mergeCell ref="AZ2464:AZ2466"/>
    <mergeCell ref="BA2464:BA2466"/>
    <mergeCell ref="AV2467:AV2469"/>
    <mergeCell ref="AW2467:AW2469"/>
    <mergeCell ref="AX2467:AX2469"/>
    <mergeCell ref="AY2467:AY2469"/>
    <mergeCell ref="AZ2467:AZ2469"/>
    <mergeCell ref="BA2467:BA2469"/>
    <mergeCell ref="AV2470:AV2472"/>
    <mergeCell ref="AW2470:AW2472"/>
    <mergeCell ref="AX2470:AX2472"/>
    <mergeCell ref="AY2470:AY2472"/>
    <mergeCell ref="AZ2470:AZ2472"/>
    <mergeCell ref="BA2470:BA2472"/>
    <mergeCell ref="AV2473:AV2476"/>
    <mergeCell ref="AW2473:AW2476"/>
    <mergeCell ref="AX2473:AX2476"/>
    <mergeCell ref="AY2473:AY2476"/>
    <mergeCell ref="AZ2473:AZ2476"/>
    <mergeCell ref="BA2473:BA2476"/>
    <mergeCell ref="AV2477:AV2480"/>
    <mergeCell ref="AW2477:AW2480"/>
    <mergeCell ref="AX2477:AX2480"/>
    <mergeCell ref="AY2477:AY2480"/>
    <mergeCell ref="AZ2477:AZ2480"/>
    <mergeCell ref="BA2477:BA2480"/>
    <mergeCell ref="AV2481:AV2484"/>
    <mergeCell ref="AW2481:AW2484"/>
    <mergeCell ref="AX2481:AX2484"/>
    <mergeCell ref="AY2481:AY2484"/>
    <mergeCell ref="AZ2481:AZ2484"/>
    <mergeCell ref="BA2481:BA2484"/>
    <mergeCell ref="AV2485:AV2488"/>
    <mergeCell ref="AW2485:AW2488"/>
    <mergeCell ref="AX2485:AX2488"/>
    <mergeCell ref="AY2485:AY2488"/>
    <mergeCell ref="AZ2485:AZ2488"/>
    <mergeCell ref="BA2485:BA2488"/>
    <mergeCell ref="AV2516:AV2517"/>
    <mergeCell ref="AW2516:AW2517"/>
    <mergeCell ref="AX2516:AX2517"/>
    <mergeCell ref="AY2516:AY2517"/>
    <mergeCell ref="AZ2516:AZ2517"/>
    <mergeCell ref="BA2516:BA2517"/>
    <mergeCell ref="AV2518:AV2519"/>
    <mergeCell ref="AW2518:AW2519"/>
    <mergeCell ref="AX2518:AX2519"/>
    <mergeCell ref="AY2518:AY2519"/>
    <mergeCell ref="AZ2518:AZ2519"/>
    <mergeCell ref="BA2518:BA2519"/>
    <mergeCell ref="AV2520:AV2521"/>
    <mergeCell ref="AW2520:AW2521"/>
    <mergeCell ref="AX2520:AX2521"/>
    <mergeCell ref="AY2520:AY2521"/>
    <mergeCell ref="AZ2520:AZ2521"/>
    <mergeCell ref="BA2520:BA2521"/>
    <mergeCell ref="AV2598:AV2599"/>
    <mergeCell ref="AW2598:AW2599"/>
    <mergeCell ref="AX2598:AX2599"/>
    <mergeCell ref="AY2598:AY2599"/>
    <mergeCell ref="AZ2598:AZ2599"/>
    <mergeCell ref="BA2598:BA2599"/>
    <mergeCell ref="AV2600:AV2601"/>
    <mergeCell ref="AW2600:AW2601"/>
    <mergeCell ref="AX2600:AX2601"/>
    <mergeCell ref="AY2600:AY2601"/>
    <mergeCell ref="AZ2600:AZ2601"/>
    <mergeCell ref="BA2600:BA2601"/>
    <mergeCell ref="AV2724:AV2725"/>
    <mergeCell ref="AW2724:AW2725"/>
    <mergeCell ref="AX2724:AX2725"/>
    <mergeCell ref="AY2724:AY2725"/>
    <mergeCell ref="AZ2724:AZ2725"/>
    <mergeCell ref="BA2724:BA2725"/>
    <mergeCell ref="AV2775:AV2776"/>
    <mergeCell ref="AW2775:AW2776"/>
    <mergeCell ref="AX2775:AX2776"/>
    <mergeCell ref="AY2775:AY2776"/>
    <mergeCell ref="AZ2775:AZ2776"/>
    <mergeCell ref="BA2775:BA2776"/>
    <mergeCell ref="AV2789:AV2790"/>
    <mergeCell ref="AW2789:AW2790"/>
    <mergeCell ref="AX2789:AX2790"/>
    <mergeCell ref="AY2789:AY2790"/>
    <mergeCell ref="AZ2789:AZ2790"/>
    <mergeCell ref="BA2789:BA2790"/>
    <mergeCell ref="AV2834:AV2835"/>
    <mergeCell ref="AW2834:AW2835"/>
    <mergeCell ref="AX2834:AX2835"/>
    <mergeCell ref="AY2834:AY2835"/>
    <mergeCell ref="AZ2834:AZ2835"/>
    <mergeCell ref="BA2834:BA2835"/>
    <mergeCell ref="AV2900:AV2901"/>
    <mergeCell ref="AW2900:AW2901"/>
    <mergeCell ref="AX2900:AX2901"/>
    <mergeCell ref="AY2900:AY2901"/>
    <mergeCell ref="AZ2900:AZ2901"/>
    <mergeCell ref="BA2900:BA2901"/>
    <mergeCell ref="AV2947:AV2949"/>
    <mergeCell ref="AW2947:AW2949"/>
    <mergeCell ref="AX2947:AX2949"/>
    <mergeCell ref="AY2947:AY2949"/>
    <mergeCell ref="AZ2947:AZ2949"/>
    <mergeCell ref="BA2947:BA2949"/>
    <mergeCell ref="AV2950:AV2952"/>
    <mergeCell ref="AW2950:AW2952"/>
    <mergeCell ref="AX2950:AX2952"/>
    <mergeCell ref="AY2950:AY2952"/>
    <mergeCell ref="AZ2950:AZ2952"/>
    <mergeCell ref="BA2950:BA2952"/>
    <mergeCell ref="AV2953:AV2955"/>
    <mergeCell ref="AW2953:AW2955"/>
    <mergeCell ref="AX2953:AX2955"/>
    <mergeCell ref="AY2953:AY2955"/>
    <mergeCell ref="AZ2953:AZ2955"/>
    <mergeCell ref="BA2953:BA2955"/>
    <mergeCell ref="AV2958:AV2960"/>
    <mergeCell ref="AW2958:AW2960"/>
    <mergeCell ref="AX2958:AX2960"/>
    <mergeCell ref="AY2958:AY2960"/>
    <mergeCell ref="AZ2958:AZ2960"/>
    <mergeCell ref="BA2958:BA2960"/>
    <mergeCell ref="AV2963:AV2964"/>
    <mergeCell ref="AW2963:AW2964"/>
    <mergeCell ref="AX2963:AX2964"/>
    <mergeCell ref="AY2963:AY2964"/>
    <mergeCell ref="AZ2963:AZ2964"/>
    <mergeCell ref="BA2963:BA2964"/>
    <mergeCell ref="AV2965:AV2968"/>
    <mergeCell ref="AW2965:AW2968"/>
    <mergeCell ref="AX2965:AX2968"/>
    <mergeCell ref="AY2965:AY2968"/>
    <mergeCell ref="AZ2965:AZ2968"/>
    <mergeCell ref="BA2965:BA2968"/>
    <mergeCell ref="AV2969:AV2972"/>
    <mergeCell ref="AW2969:AW2972"/>
    <mergeCell ref="AX2969:AX2972"/>
    <mergeCell ref="AY2969:AY2972"/>
    <mergeCell ref="AZ2969:AZ2972"/>
    <mergeCell ref="BA2969:BA2972"/>
    <mergeCell ref="AV2973:AV2976"/>
    <mergeCell ref="AW2973:AW2976"/>
    <mergeCell ref="AX2973:AX2976"/>
    <mergeCell ref="AY2973:AY2976"/>
    <mergeCell ref="AZ2973:AZ2976"/>
    <mergeCell ref="BA2973:BA2976"/>
    <mergeCell ref="AV2977:AV2981"/>
    <mergeCell ref="AW2977:AW2981"/>
    <mergeCell ref="AX2977:AX2981"/>
    <mergeCell ref="AY2977:AY2981"/>
    <mergeCell ref="AZ2977:AZ2981"/>
    <mergeCell ref="BA2977:BA2981"/>
    <mergeCell ref="BI2977:BI2981"/>
    <mergeCell ref="AV2982:AV2987"/>
    <mergeCell ref="AW2982:AW2987"/>
    <mergeCell ref="AX2982:AX2987"/>
    <mergeCell ref="AY2982:AY2987"/>
    <mergeCell ref="AZ2982:AZ2987"/>
    <mergeCell ref="BA2982:BA2987"/>
    <mergeCell ref="BI2982:BI2987"/>
    <mergeCell ref="AV2988:AV2991"/>
    <mergeCell ref="AW2988:AW2991"/>
    <mergeCell ref="AX2988:AX2991"/>
    <mergeCell ref="AY2988:AY2991"/>
    <mergeCell ref="AZ2988:AZ2991"/>
    <mergeCell ref="BA2988:BA2991"/>
    <mergeCell ref="BI2988:BI2991"/>
    <mergeCell ref="AV2992:AV2995"/>
    <mergeCell ref="AW2992:AW2995"/>
    <mergeCell ref="AX2992:AX2995"/>
    <mergeCell ref="AY2992:AY2995"/>
    <mergeCell ref="AZ2992:AZ2995"/>
    <mergeCell ref="BA2992:BA2995"/>
    <mergeCell ref="BI2992:BI2995"/>
    <mergeCell ref="AV2996:AV3000"/>
    <mergeCell ref="AW2996:AW3000"/>
    <mergeCell ref="AX2996:AX3000"/>
    <mergeCell ref="AY2996:AY3000"/>
    <mergeCell ref="AZ2996:AZ3000"/>
    <mergeCell ref="BA2996:BA3000"/>
    <mergeCell ref="BI2996:BI3000"/>
    <mergeCell ref="AV3001:AV3004"/>
    <mergeCell ref="AW3001:AW3004"/>
    <mergeCell ref="AX3001:AX3004"/>
    <mergeCell ref="AY3001:AY3004"/>
    <mergeCell ref="AZ3001:AZ3004"/>
    <mergeCell ref="BA3001:BA3004"/>
    <mergeCell ref="BI3001:BI3004"/>
    <mergeCell ref="AV3005:AV3008"/>
    <mergeCell ref="AW3005:AW3008"/>
    <mergeCell ref="AX3005:AX3008"/>
    <mergeCell ref="AY3005:AY3008"/>
    <mergeCell ref="AZ3005:AZ3008"/>
    <mergeCell ref="BA3005:BA3008"/>
    <mergeCell ref="BI3005:BI3008"/>
    <mergeCell ref="AV3009:AV3012"/>
    <mergeCell ref="AW3009:AW3012"/>
    <mergeCell ref="AX3009:AX3012"/>
    <mergeCell ref="AY3009:AY3012"/>
    <mergeCell ref="AZ3009:AZ3012"/>
    <mergeCell ref="BA3009:BA3012"/>
    <mergeCell ref="BI3009:BI3012"/>
    <mergeCell ref="AV3013:AV3017"/>
    <mergeCell ref="AW3013:AW3017"/>
    <mergeCell ref="AX3013:AX3017"/>
    <mergeCell ref="AY3013:AY3017"/>
    <mergeCell ref="AZ3013:AZ3017"/>
    <mergeCell ref="BA3013:BA3017"/>
    <mergeCell ref="BI3013:BI3017"/>
    <mergeCell ref="AV3018:AV3020"/>
    <mergeCell ref="AW3018:AW3020"/>
    <mergeCell ref="AX3018:AX3020"/>
    <mergeCell ref="AY3018:AY3020"/>
    <mergeCell ref="AZ3018:AZ3020"/>
    <mergeCell ref="BA3018:BA3020"/>
    <mergeCell ref="BI3018:BI3020"/>
    <mergeCell ref="AV3021:AV3024"/>
    <mergeCell ref="AW3021:AW3024"/>
    <mergeCell ref="AX3021:AX3024"/>
    <mergeCell ref="AY3021:AY3024"/>
    <mergeCell ref="AZ3021:AZ3024"/>
    <mergeCell ref="BA3021:BA3024"/>
    <mergeCell ref="BI3021:BI3024"/>
    <mergeCell ref="AV3026:AV3031"/>
    <mergeCell ref="AW3026:AW3031"/>
    <mergeCell ref="AX3026:AX3031"/>
    <mergeCell ref="AY3026:AY3031"/>
    <mergeCell ref="AZ3026:AZ3031"/>
    <mergeCell ref="BA3026:BA3031"/>
    <mergeCell ref="BI3026:BI3031"/>
    <mergeCell ref="AV3032:AV3036"/>
    <mergeCell ref="AW3032:AW3036"/>
    <mergeCell ref="AX3032:AX3036"/>
    <mergeCell ref="AY3032:AY3036"/>
    <mergeCell ref="AZ3032:AZ3036"/>
    <mergeCell ref="BA3032:BA3036"/>
    <mergeCell ref="BI3032:BI3036"/>
    <mergeCell ref="AV3037:AV3041"/>
    <mergeCell ref="AW3037:AW3041"/>
    <mergeCell ref="AX3037:AX3041"/>
    <mergeCell ref="AY3037:AY3041"/>
    <mergeCell ref="AZ3037:AZ3041"/>
    <mergeCell ref="BA3037:BA3041"/>
    <mergeCell ref="BI3037:BI3041"/>
    <mergeCell ref="AV3042:AV3045"/>
    <mergeCell ref="AW3042:AW3045"/>
    <mergeCell ref="AX3042:AX3045"/>
    <mergeCell ref="AY3042:AY3045"/>
    <mergeCell ref="AZ3042:AZ3045"/>
    <mergeCell ref="BA3042:BA3045"/>
    <mergeCell ref="BI3042:BI3045"/>
    <mergeCell ref="AV3046:AV3047"/>
    <mergeCell ref="AW3046:AW3047"/>
    <mergeCell ref="AX3046:AX3047"/>
    <mergeCell ref="AY3046:AY3047"/>
    <mergeCell ref="AZ3046:AZ3047"/>
    <mergeCell ref="BA3046:BA3047"/>
    <mergeCell ref="BI3046:BI3047"/>
    <mergeCell ref="AV3048:AV3050"/>
    <mergeCell ref="AW3048:AW3050"/>
    <mergeCell ref="AX3048:AX3050"/>
    <mergeCell ref="AY3048:AY3050"/>
    <mergeCell ref="AZ3048:AZ3050"/>
    <mergeCell ref="BA3048:BA3050"/>
    <mergeCell ref="BI3048:BI3050"/>
    <mergeCell ref="AV3051:AV3054"/>
    <mergeCell ref="AW3051:AW3054"/>
    <mergeCell ref="AX3051:AX3054"/>
    <mergeCell ref="AY3051:AY3054"/>
    <mergeCell ref="AZ3051:AZ3054"/>
    <mergeCell ref="BA3051:BA3054"/>
    <mergeCell ref="BI3051:BI3054"/>
    <mergeCell ref="AV3055:AV3059"/>
    <mergeCell ref="AW3055:AW3059"/>
    <mergeCell ref="AX3055:AX3059"/>
    <mergeCell ref="AY3055:AY3059"/>
    <mergeCell ref="AZ3055:AZ3059"/>
    <mergeCell ref="BA3055:BA3059"/>
    <mergeCell ref="BI3055:BI3059"/>
    <mergeCell ref="AV3060:AV3063"/>
    <mergeCell ref="AW3060:AW3063"/>
    <mergeCell ref="AX3060:AX3063"/>
    <mergeCell ref="AY3060:AY3063"/>
    <mergeCell ref="AZ3060:AZ3063"/>
    <mergeCell ref="BA3060:BA3063"/>
    <mergeCell ref="BI3060:BI3063"/>
    <mergeCell ref="AV3064:AV3067"/>
    <mergeCell ref="AW3064:AW3067"/>
    <mergeCell ref="AX3064:AX3067"/>
    <mergeCell ref="AY3064:AY3067"/>
    <mergeCell ref="AZ3064:AZ3067"/>
    <mergeCell ref="BA3064:BA3067"/>
    <mergeCell ref="BI3064:BI3067"/>
    <mergeCell ref="AV3068:AV3072"/>
    <mergeCell ref="AW3068:AW3072"/>
    <mergeCell ref="AX3068:AX3072"/>
    <mergeCell ref="AY3068:AY3072"/>
    <mergeCell ref="AZ3068:AZ3072"/>
    <mergeCell ref="BA3068:BA3072"/>
    <mergeCell ref="BI3068:BI3072"/>
    <mergeCell ref="AV3073:AV3076"/>
    <mergeCell ref="AW3073:AW3076"/>
    <mergeCell ref="AX3073:AX3076"/>
    <mergeCell ref="AY3073:AY3076"/>
    <mergeCell ref="AZ3073:AZ3076"/>
    <mergeCell ref="BA3073:BA3076"/>
    <mergeCell ref="BI3073:BI3076"/>
    <mergeCell ref="AV3077:AV3079"/>
    <mergeCell ref="AW3077:AW3079"/>
    <mergeCell ref="AX3077:AX3079"/>
    <mergeCell ref="AY3077:AY3079"/>
    <mergeCell ref="AZ3077:AZ3079"/>
    <mergeCell ref="BA3077:BA3079"/>
    <mergeCell ref="BI3077:BI3079"/>
    <mergeCell ref="AV3080:AV3084"/>
    <mergeCell ref="AW3080:AW3084"/>
    <mergeCell ref="AX3080:AX3084"/>
    <mergeCell ref="AY3080:AY3084"/>
    <mergeCell ref="AZ3080:AZ3084"/>
    <mergeCell ref="BA3080:BA3084"/>
    <mergeCell ref="BI3080:BI3084"/>
    <mergeCell ref="AV3085:AV3090"/>
    <mergeCell ref="AW3085:AW3090"/>
    <mergeCell ref="AX3085:AX3090"/>
    <mergeCell ref="AY3085:AY3090"/>
    <mergeCell ref="AZ3085:AZ3090"/>
    <mergeCell ref="BA3085:BA3090"/>
    <mergeCell ref="BI3085:BI3090"/>
    <mergeCell ref="AV3091:AV3096"/>
    <mergeCell ref="AW3091:AW3096"/>
    <mergeCell ref="AX3091:AX3096"/>
    <mergeCell ref="AY3091:AY3096"/>
    <mergeCell ref="AZ3091:AZ3096"/>
    <mergeCell ref="BA3091:BA3096"/>
    <mergeCell ref="BI3091:BI3096"/>
    <mergeCell ref="AV3097:AV3102"/>
    <mergeCell ref="AW3097:AW3102"/>
    <mergeCell ref="AX3097:AX3102"/>
    <mergeCell ref="AY3097:AY3102"/>
    <mergeCell ref="AZ3097:AZ3102"/>
    <mergeCell ref="BA3097:BA3102"/>
    <mergeCell ref="BI3097:BI3102"/>
    <mergeCell ref="AV3103:AV3108"/>
    <mergeCell ref="AW3103:AW3108"/>
    <mergeCell ref="AX3103:AX3108"/>
    <mergeCell ref="AY3103:AY3108"/>
    <mergeCell ref="AZ3103:AZ3108"/>
    <mergeCell ref="BA3103:BA3108"/>
    <mergeCell ref="BI3103:BI3108"/>
    <mergeCell ref="AV3109:AV3114"/>
    <mergeCell ref="AW3109:AW3114"/>
    <mergeCell ref="AX3109:AX3114"/>
    <mergeCell ref="AY3109:AY3114"/>
    <mergeCell ref="AZ3109:AZ3114"/>
    <mergeCell ref="BA3109:BA3114"/>
    <mergeCell ref="BI3109:BI3114"/>
    <mergeCell ref="AV3115:AV3117"/>
    <mergeCell ref="AW3115:AW3117"/>
    <mergeCell ref="AX3115:AX3117"/>
    <mergeCell ref="AY3115:AY3117"/>
    <mergeCell ref="AZ3115:AZ3117"/>
    <mergeCell ref="BA3115:BA3117"/>
    <mergeCell ref="BI3115:BI3117"/>
    <mergeCell ref="AV3118:AV3122"/>
    <mergeCell ref="AW3118:AW3122"/>
    <mergeCell ref="AX3118:AX3122"/>
    <mergeCell ref="AY3118:AY3122"/>
    <mergeCell ref="AZ3118:AZ3122"/>
    <mergeCell ref="BA3118:BA3122"/>
    <mergeCell ref="BI3118:BI3122"/>
    <mergeCell ref="AV3123:AV3128"/>
    <mergeCell ref="AW3123:AW3128"/>
    <mergeCell ref="AX3123:AX3128"/>
    <mergeCell ref="AY3123:AY3128"/>
    <mergeCell ref="AZ3123:AZ3128"/>
    <mergeCell ref="BA3123:BA3128"/>
    <mergeCell ref="BI3123:BI3128"/>
    <mergeCell ref="AV3129:AV3134"/>
    <mergeCell ref="AW3129:AW3134"/>
    <mergeCell ref="AX3129:AX3134"/>
    <mergeCell ref="AY3129:AY3134"/>
    <mergeCell ref="AZ3129:AZ3134"/>
    <mergeCell ref="BA3129:BA3134"/>
    <mergeCell ref="BI3129:BI3134"/>
    <mergeCell ref="AV3135:AV3140"/>
    <mergeCell ref="AW3135:AW3140"/>
    <mergeCell ref="AX3135:AX3140"/>
    <mergeCell ref="AY3135:AY3140"/>
    <mergeCell ref="AZ3135:AZ3140"/>
    <mergeCell ref="BA3135:BA3140"/>
    <mergeCell ref="BI3135:BI3140"/>
    <mergeCell ref="AV3141:AV3145"/>
    <mergeCell ref="AW3141:AW3145"/>
    <mergeCell ref="AX3141:AX3145"/>
    <mergeCell ref="AY3141:AY3145"/>
    <mergeCell ref="AZ3141:AZ3145"/>
    <mergeCell ref="BA3141:BA3145"/>
    <mergeCell ref="BI3141:BI3145"/>
    <mergeCell ref="AV3146:AV3149"/>
    <mergeCell ref="AW3146:AW3149"/>
    <mergeCell ref="AX3146:AX3149"/>
    <mergeCell ref="AY3146:AY3149"/>
    <mergeCell ref="AZ3146:AZ3149"/>
    <mergeCell ref="BA3146:BA3149"/>
    <mergeCell ref="BI3146:BI3149"/>
    <mergeCell ref="AV3150:AV3153"/>
    <mergeCell ref="AW3150:AW3153"/>
    <mergeCell ref="AX3150:AX3153"/>
    <mergeCell ref="AY3150:AY3153"/>
    <mergeCell ref="AZ3150:AZ3153"/>
    <mergeCell ref="BA3150:BA3153"/>
    <mergeCell ref="BI3150:BI3153"/>
    <mergeCell ref="AV3154:AV3159"/>
    <mergeCell ref="AW3154:AW3159"/>
    <mergeCell ref="AX3154:AX3159"/>
    <mergeCell ref="AY3154:AY3159"/>
    <mergeCell ref="AZ3154:AZ3159"/>
    <mergeCell ref="BA3154:BA3159"/>
    <mergeCell ref="BI3154:BI3159"/>
    <mergeCell ref="AV3160:AV3165"/>
    <mergeCell ref="AW3160:AW3165"/>
    <mergeCell ref="AX3160:AX3165"/>
    <mergeCell ref="AY3160:AY3165"/>
    <mergeCell ref="AZ3160:AZ3165"/>
    <mergeCell ref="BA3160:BA3165"/>
    <mergeCell ref="BI3160:BI3165"/>
    <mergeCell ref="AV3166:AV3171"/>
    <mergeCell ref="AW3166:AW3171"/>
    <mergeCell ref="AX3166:AX3171"/>
    <mergeCell ref="AY3166:AY3171"/>
    <mergeCell ref="AZ3166:AZ3171"/>
    <mergeCell ref="BA3166:BA3171"/>
    <mergeCell ref="BI3166:BI3171"/>
    <mergeCell ref="AV3172:AV3177"/>
    <mergeCell ref="AW3172:AW3177"/>
    <mergeCell ref="AX3172:AX3177"/>
    <mergeCell ref="AY3172:AY3177"/>
    <mergeCell ref="AZ3172:AZ3177"/>
    <mergeCell ref="BA3172:BA3177"/>
    <mergeCell ref="BI3172:BI3177"/>
    <mergeCell ref="AV3178:AV3181"/>
    <mergeCell ref="AW3178:AW3181"/>
    <mergeCell ref="AX3178:AX3181"/>
    <mergeCell ref="AY3178:AY3181"/>
    <mergeCell ref="AZ3178:AZ3181"/>
    <mergeCell ref="BA3178:BA3181"/>
    <mergeCell ref="BI3178:BI3181"/>
    <mergeCell ref="AV3182:AV3185"/>
    <mergeCell ref="AW3182:AW3185"/>
    <mergeCell ref="AX3182:AX3185"/>
    <mergeCell ref="AY3182:AY3185"/>
    <mergeCell ref="AZ3182:AZ3185"/>
    <mergeCell ref="BA3182:BA3185"/>
    <mergeCell ref="BI3182:BI3185"/>
    <mergeCell ref="AV3186:AV3191"/>
    <mergeCell ref="AW3186:AW3191"/>
    <mergeCell ref="AX3186:AX3191"/>
    <mergeCell ref="AY3186:AY3191"/>
    <mergeCell ref="AZ3186:AZ3191"/>
    <mergeCell ref="BA3186:BA3191"/>
    <mergeCell ref="BI3186:BI3191"/>
    <mergeCell ref="AV3192:AV3194"/>
    <mergeCell ref="AW3192:AW3194"/>
    <mergeCell ref="AX3192:AX3194"/>
    <mergeCell ref="AY3192:AY3194"/>
    <mergeCell ref="AZ3192:AZ3194"/>
    <mergeCell ref="BA3192:BA3194"/>
    <mergeCell ref="BI3192:BI3194"/>
    <mergeCell ref="AV3195:AV3198"/>
    <mergeCell ref="AW3195:AW3198"/>
    <mergeCell ref="AX3195:AX3198"/>
    <mergeCell ref="AY3195:AY3198"/>
    <mergeCell ref="AZ3195:AZ3198"/>
    <mergeCell ref="BA3195:BA3198"/>
    <mergeCell ref="BI3195:BI3198"/>
    <mergeCell ref="AV3199:AV3202"/>
    <mergeCell ref="AW3199:AW3202"/>
    <mergeCell ref="AX3199:AX3202"/>
    <mergeCell ref="AY3199:AY3202"/>
    <mergeCell ref="AZ3199:AZ3202"/>
    <mergeCell ref="BA3199:BA3202"/>
    <mergeCell ref="BI3199:BI3202"/>
    <mergeCell ref="AV3203:AV3206"/>
    <mergeCell ref="AW3203:AW3206"/>
    <mergeCell ref="AX3203:AX3206"/>
    <mergeCell ref="AY3203:AY3206"/>
    <mergeCell ref="AZ3203:AZ3206"/>
    <mergeCell ref="BA3203:BA3206"/>
    <mergeCell ref="BI3203:BI3206"/>
    <mergeCell ref="AV3207:AV3209"/>
    <mergeCell ref="AW3207:AW3209"/>
    <mergeCell ref="AX3207:AX3209"/>
    <mergeCell ref="AY3207:AY3209"/>
    <mergeCell ref="AZ3207:AZ3209"/>
    <mergeCell ref="BA3207:BA3209"/>
    <mergeCell ref="BI3207:BI3209"/>
    <mergeCell ref="AV3210:AV3213"/>
    <mergeCell ref="AW3210:AW3213"/>
    <mergeCell ref="AX3210:AX3213"/>
    <mergeCell ref="AY3210:AY3213"/>
    <mergeCell ref="AZ3210:AZ3213"/>
    <mergeCell ref="BA3210:BA3213"/>
    <mergeCell ref="BI3210:BI3213"/>
    <mergeCell ref="AV3214:AV3216"/>
    <mergeCell ref="AW3214:AW3216"/>
    <mergeCell ref="AX3214:AX3216"/>
    <mergeCell ref="AY3214:AY3216"/>
    <mergeCell ref="AZ3214:AZ3216"/>
    <mergeCell ref="BA3214:BA3216"/>
    <mergeCell ref="BI3214:BI3216"/>
    <mergeCell ref="AV3217:AV3220"/>
    <mergeCell ref="AW3217:AW3220"/>
    <mergeCell ref="AX3217:AX3220"/>
    <mergeCell ref="AY3217:AY3220"/>
    <mergeCell ref="AZ3217:AZ3220"/>
    <mergeCell ref="BA3217:BA3220"/>
    <mergeCell ref="BI3217:BI3220"/>
    <mergeCell ref="AV3221:AV3224"/>
    <mergeCell ref="AW3221:AW3224"/>
    <mergeCell ref="AX3221:AX3224"/>
    <mergeCell ref="AY3221:AY3224"/>
    <mergeCell ref="AZ3221:AZ3224"/>
    <mergeCell ref="BA3221:BA3224"/>
    <mergeCell ref="BI3221:BI3224"/>
    <mergeCell ref="AV3225:AV3228"/>
    <mergeCell ref="AW3225:AW3228"/>
    <mergeCell ref="AX3225:AX3228"/>
    <mergeCell ref="AY3225:AY3228"/>
    <mergeCell ref="AZ3225:AZ3228"/>
    <mergeCell ref="BA3225:BA3228"/>
    <mergeCell ref="BI3225:BI3228"/>
    <mergeCell ref="AV3229:AV3232"/>
    <mergeCell ref="AW3229:AW3232"/>
    <mergeCell ref="AX3229:AX3232"/>
    <mergeCell ref="AY3229:AY3232"/>
    <mergeCell ref="AZ3229:AZ3232"/>
    <mergeCell ref="BA3229:BA3232"/>
    <mergeCell ref="BI3229:BI3232"/>
    <mergeCell ref="AV3233:AV3236"/>
    <mergeCell ref="AW3233:AW3236"/>
    <mergeCell ref="AX3233:AX3236"/>
    <mergeCell ref="AY3233:AY3236"/>
    <mergeCell ref="AZ3233:AZ3236"/>
    <mergeCell ref="BA3233:BA3236"/>
    <mergeCell ref="BI3233:BI3236"/>
    <mergeCell ref="AV3237:AV3240"/>
    <mergeCell ref="AW3237:AW3240"/>
    <mergeCell ref="AX3237:AX3240"/>
    <mergeCell ref="AY3237:AY3240"/>
    <mergeCell ref="AZ3237:AZ3240"/>
    <mergeCell ref="BA3237:BA3240"/>
    <mergeCell ref="BI3237:BI3240"/>
    <mergeCell ref="AV3241:AV3243"/>
    <mergeCell ref="AW3241:AW3243"/>
    <mergeCell ref="AX3241:AX3243"/>
    <mergeCell ref="AY3241:AY3243"/>
    <mergeCell ref="AZ3241:AZ3243"/>
    <mergeCell ref="BA3241:BA3243"/>
    <mergeCell ref="BI3241:BI3243"/>
    <mergeCell ref="AV3244:AV3247"/>
    <mergeCell ref="AW3244:AW3247"/>
    <mergeCell ref="AX3244:AX3247"/>
    <mergeCell ref="AY3244:AY3247"/>
    <mergeCell ref="AZ3244:AZ3247"/>
    <mergeCell ref="BA3244:BA3247"/>
    <mergeCell ref="BI3244:BI3247"/>
    <mergeCell ref="AV3248:AV3251"/>
    <mergeCell ref="AW3248:AW3251"/>
    <mergeCell ref="AX3248:AX3251"/>
    <mergeCell ref="AY3248:AY3251"/>
    <mergeCell ref="AZ3248:AZ3251"/>
    <mergeCell ref="BA3248:BA3251"/>
    <mergeCell ref="BI3248:BI3251"/>
    <mergeCell ref="AV3252:AV3255"/>
    <mergeCell ref="AW3252:AW3255"/>
    <mergeCell ref="AX3252:AX3255"/>
    <mergeCell ref="AY3252:AY3255"/>
    <mergeCell ref="AZ3252:AZ3255"/>
    <mergeCell ref="BA3252:BA3255"/>
    <mergeCell ref="BI3252:BI3255"/>
    <mergeCell ref="AV3256:AV3259"/>
    <mergeCell ref="AW3256:AW3259"/>
    <mergeCell ref="AX3256:AX3259"/>
    <mergeCell ref="AY3256:AY3259"/>
    <mergeCell ref="AZ3256:AZ3259"/>
    <mergeCell ref="BA3256:BA3259"/>
    <mergeCell ref="BI3256:BI3259"/>
    <mergeCell ref="AV3260:AV3262"/>
    <mergeCell ref="AW3260:AW3262"/>
    <mergeCell ref="AX3260:AX3262"/>
    <mergeCell ref="AY3260:AY3262"/>
    <mergeCell ref="AZ3260:AZ3262"/>
    <mergeCell ref="BA3260:BA3262"/>
    <mergeCell ref="BI3260:BI3262"/>
    <mergeCell ref="AV3263:AV3266"/>
    <mergeCell ref="AW3263:AW3266"/>
    <mergeCell ref="AX3263:AX3266"/>
    <mergeCell ref="AY3263:AY3266"/>
    <mergeCell ref="AZ3263:AZ3266"/>
    <mergeCell ref="BA3263:BA3266"/>
    <mergeCell ref="BI3263:BI3266"/>
    <mergeCell ref="AV3267:AV3270"/>
    <mergeCell ref="AW3267:AW3270"/>
    <mergeCell ref="AX3267:AX3270"/>
    <mergeCell ref="AY3267:AY3270"/>
    <mergeCell ref="AZ3267:AZ3270"/>
    <mergeCell ref="BA3267:BA3270"/>
    <mergeCell ref="BI3267:BI3270"/>
    <mergeCell ref="AV3271:AV3274"/>
    <mergeCell ref="AW3271:AW3274"/>
    <mergeCell ref="AX3271:AX3274"/>
    <mergeCell ref="AY3271:AY3274"/>
    <mergeCell ref="AZ3271:AZ3274"/>
    <mergeCell ref="BA3271:BA3274"/>
    <mergeCell ref="BI3271:BI3274"/>
    <mergeCell ref="AV3275:AV3278"/>
    <mergeCell ref="AW3275:AW3278"/>
    <mergeCell ref="AX3275:AX3278"/>
    <mergeCell ref="AY3275:AY3278"/>
    <mergeCell ref="AZ3275:AZ3278"/>
    <mergeCell ref="BA3275:BA3278"/>
    <mergeCell ref="BI3275:BI3278"/>
    <mergeCell ref="AV3279:AV3282"/>
    <mergeCell ref="AW3279:AW3282"/>
    <mergeCell ref="AX3279:AX3282"/>
    <mergeCell ref="AY3279:AY3282"/>
    <mergeCell ref="AZ3279:AZ3282"/>
    <mergeCell ref="BA3279:BA3282"/>
    <mergeCell ref="BI3279:BI3282"/>
    <mergeCell ref="AV3283:AV3285"/>
    <mergeCell ref="AW3283:AW3285"/>
    <mergeCell ref="AX3283:AX3285"/>
    <mergeCell ref="AY3283:AY3285"/>
    <mergeCell ref="AZ3283:AZ3285"/>
    <mergeCell ref="BA3283:BA3285"/>
    <mergeCell ref="AV3286:AV3289"/>
    <mergeCell ref="AW3286:AW3289"/>
    <mergeCell ref="AX3286:AX3289"/>
    <mergeCell ref="AY3286:AY3289"/>
    <mergeCell ref="AZ3286:AZ3289"/>
    <mergeCell ref="BA3286:BA3289"/>
    <mergeCell ref="AV3290:AV3293"/>
    <mergeCell ref="AW3290:AW3293"/>
    <mergeCell ref="AX3290:AX3293"/>
    <mergeCell ref="AY3290:AY3293"/>
    <mergeCell ref="AZ3290:AZ3293"/>
    <mergeCell ref="BA3290:BA3293"/>
    <mergeCell ref="AV3294:AV3296"/>
    <mergeCell ref="AW3294:AW3296"/>
    <mergeCell ref="AX3294:AX3296"/>
    <mergeCell ref="AY3294:AY3296"/>
    <mergeCell ref="AZ3294:AZ3296"/>
    <mergeCell ref="BA3294:BA3296"/>
    <mergeCell ref="AV3297:AV3299"/>
    <mergeCell ref="AW3297:AW3299"/>
    <mergeCell ref="AX3297:AX3299"/>
    <mergeCell ref="AY3297:AY3299"/>
    <mergeCell ref="AZ3297:AZ3299"/>
    <mergeCell ref="BA3297:BA3299"/>
    <mergeCell ref="AV3300:AV3302"/>
    <mergeCell ref="AW3300:AW3302"/>
    <mergeCell ref="AX3300:AX3302"/>
    <mergeCell ref="AY3300:AY3302"/>
    <mergeCell ref="AZ3300:AZ3302"/>
    <mergeCell ref="BA3300:BA3302"/>
    <mergeCell ref="AV3303:AV3306"/>
    <mergeCell ref="AW3303:AW3306"/>
    <mergeCell ref="AX3303:AX3306"/>
    <mergeCell ref="AY3303:AY3306"/>
    <mergeCell ref="AZ3303:AZ3306"/>
    <mergeCell ref="BA3303:BA3306"/>
    <mergeCell ref="AV3307:AV3310"/>
    <mergeCell ref="AW3307:AW3310"/>
    <mergeCell ref="AX3307:AX3310"/>
    <mergeCell ref="AY3307:AY3310"/>
    <mergeCell ref="AZ3307:AZ3310"/>
    <mergeCell ref="BA3307:BA3310"/>
    <mergeCell ref="AV3311:AV3313"/>
    <mergeCell ref="AW3311:AW3313"/>
    <mergeCell ref="AX3311:AX3313"/>
    <mergeCell ref="AY3311:AY3313"/>
    <mergeCell ref="AZ3311:AZ3313"/>
    <mergeCell ref="BA3311:BA3313"/>
    <mergeCell ref="AV3314:AV3317"/>
    <mergeCell ref="AW3314:AW3317"/>
    <mergeCell ref="AX3314:AX3317"/>
    <mergeCell ref="AY3314:AY3317"/>
    <mergeCell ref="AZ3314:AZ3317"/>
    <mergeCell ref="BA3314:BA3317"/>
    <mergeCell ref="AV3318:AV3320"/>
    <mergeCell ref="AW3318:AW3320"/>
    <mergeCell ref="AX3318:AX3320"/>
    <mergeCell ref="AY3318:AY3320"/>
    <mergeCell ref="AZ3318:AZ3320"/>
    <mergeCell ref="BA3318:BA3320"/>
    <mergeCell ref="BI3318:BI3320"/>
    <mergeCell ref="AV3321:AV3324"/>
    <mergeCell ref="AW3321:AW3324"/>
    <mergeCell ref="AX3321:AX3324"/>
    <mergeCell ref="AY3321:AY3324"/>
    <mergeCell ref="AZ3321:AZ3324"/>
    <mergeCell ref="BA3321:BA3324"/>
    <mergeCell ref="BI3321:BI332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327:AV3329"/>
    <mergeCell ref="AW3327:AW3329"/>
    <mergeCell ref="AX3327:AX3329"/>
    <mergeCell ref="AY3327:AY3329"/>
    <mergeCell ref="AZ3327:AZ3329"/>
    <mergeCell ref="BA3327:BA3329"/>
    <mergeCell ref="BI3327:BI3329"/>
    <mergeCell ref="AV3330:AV3333"/>
    <mergeCell ref="AW3330:AW3333"/>
    <mergeCell ref="AX3330:AX3333"/>
    <mergeCell ref="AY3330:AY3333"/>
    <mergeCell ref="AZ3330:AZ3333"/>
    <mergeCell ref="BA3330:BA3333"/>
    <mergeCell ref="BI3330:BI3333"/>
    <mergeCell ref="AV3334:AV3336"/>
    <mergeCell ref="AW3334:AW3336"/>
    <mergeCell ref="AX3334:AX3336"/>
    <mergeCell ref="AY3334:AY3336"/>
    <mergeCell ref="AZ3334:AZ3336"/>
    <mergeCell ref="BA3334:BA3336"/>
    <mergeCell ref="BI3334:BI3336"/>
    <mergeCell ref="AV3337:AV3339"/>
    <mergeCell ref="AW3337:AW3339"/>
    <mergeCell ref="AX3337:AX3339"/>
    <mergeCell ref="AY3337:AY3339"/>
    <mergeCell ref="AZ3337:AZ3339"/>
    <mergeCell ref="BA3337:BA3339"/>
    <mergeCell ref="BI3337:BI3339"/>
    <mergeCell ref="AV3340:AV3342"/>
    <mergeCell ref="AW3340:AW3342"/>
    <mergeCell ref="AX3340:AX3342"/>
    <mergeCell ref="AY3340:AY3342"/>
    <mergeCell ref="AZ3340:AZ3342"/>
    <mergeCell ref="BA3340:BA3342"/>
    <mergeCell ref="BI3340:BI3342"/>
    <mergeCell ref="AV3343:AV3347"/>
    <mergeCell ref="AW3343:AW3347"/>
    <mergeCell ref="AX3343:AX3347"/>
    <mergeCell ref="AY3343:AY3347"/>
    <mergeCell ref="AZ3343:AZ3347"/>
    <mergeCell ref="BA3343:BA3347"/>
    <mergeCell ref="BI3343:BI3347"/>
    <mergeCell ref="AV3348:AV3352"/>
    <mergeCell ref="AW3348:AW3352"/>
    <mergeCell ref="AX3348:AX3352"/>
    <mergeCell ref="AY3348:AY3352"/>
    <mergeCell ref="AZ3348:AZ3352"/>
    <mergeCell ref="BA3348:BA3352"/>
    <mergeCell ref="BI3348:BI3352"/>
    <mergeCell ref="AV3353:AV3357"/>
    <mergeCell ref="AW3353:AW3357"/>
    <mergeCell ref="AX3353:AX3357"/>
    <mergeCell ref="AY3353:AY3357"/>
    <mergeCell ref="AZ3353:AZ3357"/>
    <mergeCell ref="BA3353:BA3357"/>
    <mergeCell ref="BI3353:BI3357"/>
    <mergeCell ref="AV3358:AV3363"/>
    <mergeCell ref="AW3358:AW3363"/>
    <mergeCell ref="AX3358:AX3363"/>
    <mergeCell ref="AY3358:AY3363"/>
    <mergeCell ref="AZ3358:AZ3363"/>
    <mergeCell ref="BA3358:BA3363"/>
    <mergeCell ref="BI3358:BI3363"/>
    <mergeCell ref="AV3364:AV3367"/>
    <mergeCell ref="AW3364:AW3367"/>
    <mergeCell ref="AX3364:AX3367"/>
    <mergeCell ref="AY3364:AY3367"/>
    <mergeCell ref="AZ3364:AZ3367"/>
    <mergeCell ref="BA3364:BA3367"/>
    <mergeCell ref="BI3364:BI3367"/>
    <mergeCell ref="AV3368:AV3373"/>
    <mergeCell ref="AW3368:AW3373"/>
    <mergeCell ref="AX3368:AX3373"/>
    <mergeCell ref="AY3368:AY3373"/>
    <mergeCell ref="AZ3368:AZ3373"/>
    <mergeCell ref="BA3368:BA3373"/>
    <mergeCell ref="BI3368:BI3373"/>
    <mergeCell ref="AV3374:AV3378"/>
    <mergeCell ref="AW3374:AW3378"/>
    <mergeCell ref="AX3374:AX3378"/>
    <mergeCell ref="AY3374:AY3378"/>
    <mergeCell ref="AZ3374:AZ3378"/>
    <mergeCell ref="BA3374:BA3378"/>
    <mergeCell ref="BI3374:BI3378"/>
    <mergeCell ref="AV3379:AV3383"/>
    <mergeCell ref="AW3379:AW3383"/>
    <mergeCell ref="AX3379:AX3383"/>
    <mergeCell ref="AY3379:AY3383"/>
    <mergeCell ref="AZ3379:AZ3383"/>
    <mergeCell ref="BA3379:BA3383"/>
    <mergeCell ref="BI3379:BI3383"/>
    <mergeCell ref="AV3384:AV3388"/>
    <mergeCell ref="AW3384:AW3388"/>
    <mergeCell ref="AX3384:AX3388"/>
    <mergeCell ref="AY3384:AY3388"/>
    <mergeCell ref="AZ3384:AZ3388"/>
    <mergeCell ref="BA3384:BA3388"/>
    <mergeCell ref="BI3384:BI3388"/>
    <mergeCell ref="AV3389:AV3392"/>
    <mergeCell ref="AW3389:AW3392"/>
    <mergeCell ref="AX3389:AX3392"/>
    <mergeCell ref="AY3389:AY3392"/>
    <mergeCell ref="AZ3389:AZ3392"/>
    <mergeCell ref="BA3389:BA3392"/>
    <mergeCell ref="BI3389:BI3392"/>
    <mergeCell ref="AV3393:AV3397"/>
    <mergeCell ref="AW3393:AW3397"/>
    <mergeCell ref="AX3393:AX3397"/>
    <mergeCell ref="AY3393:AY3397"/>
    <mergeCell ref="AZ3393:AZ3397"/>
    <mergeCell ref="BA3393:BA3397"/>
    <mergeCell ref="BI3393:BI3397"/>
    <mergeCell ref="AV3398:AV3402"/>
    <mergeCell ref="AW3398:AW3402"/>
    <mergeCell ref="AX3398:AX3402"/>
    <mergeCell ref="AY3398:AY3402"/>
    <mergeCell ref="AZ3398:AZ3402"/>
    <mergeCell ref="BA3398:BA3402"/>
    <mergeCell ref="BI3398:BI3402"/>
    <mergeCell ref="AV3403:AV3406"/>
    <mergeCell ref="AW3403:AW3406"/>
    <mergeCell ref="AX3403:AX3406"/>
    <mergeCell ref="AY3403:AY3406"/>
    <mergeCell ref="AZ3403:AZ3406"/>
    <mergeCell ref="BA3403:BA3406"/>
    <mergeCell ref="BI3403:BI3406"/>
    <mergeCell ref="AV3407:AV3408"/>
    <mergeCell ref="AW3407:AW3408"/>
    <mergeCell ref="AX3407:AX3408"/>
    <mergeCell ref="AY3407:AY3408"/>
    <mergeCell ref="AZ3407:AZ3408"/>
    <mergeCell ref="BA3407:BA3408"/>
    <mergeCell ref="BI3407:BI3408"/>
    <mergeCell ref="AV3409:AV3411"/>
    <mergeCell ref="AW3409:AW3411"/>
    <mergeCell ref="AX3409:AX3411"/>
    <mergeCell ref="AY3409:AY3411"/>
    <mergeCell ref="AZ3409:AZ3411"/>
    <mergeCell ref="BA3409:BA3411"/>
    <mergeCell ref="BI3409:BI3411"/>
    <mergeCell ref="AV3413:AV3414"/>
    <mergeCell ref="AW3413:AW3414"/>
    <mergeCell ref="AX3413:AX3414"/>
    <mergeCell ref="AY3413:AY3414"/>
    <mergeCell ref="AZ3413:AZ3414"/>
    <mergeCell ref="BA3413:BA3414"/>
    <mergeCell ref="BI3413:BI3414"/>
    <mergeCell ref="AV3415:AV3416"/>
    <mergeCell ref="AW3415:AW3416"/>
    <mergeCell ref="AX3415:AX3416"/>
    <mergeCell ref="AY3415:AY3416"/>
    <mergeCell ref="AZ3415:AZ3416"/>
    <mergeCell ref="BA3415:BA3416"/>
    <mergeCell ref="BI3415:BI3416"/>
    <mergeCell ref="AV3417:AV3419"/>
    <mergeCell ref="AW3417:AW3419"/>
    <mergeCell ref="AX3417:AX3419"/>
    <mergeCell ref="AY3417:AY3419"/>
    <mergeCell ref="AZ3417:AZ3419"/>
    <mergeCell ref="BA3417:BA3419"/>
    <mergeCell ref="BI3417:BI3419"/>
    <mergeCell ref="AV3420:AV3421"/>
    <mergeCell ref="AW3420:AW3421"/>
    <mergeCell ref="AX3420:AX3421"/>
    <mergeCell ref="AY3420:AY3421"/>
    <mergeCell ref="AZ3420:AZ3421"/>
    <mergeCell ref="BA3420:BA3421"/>
    <mergeCell ref="BI3420:BI3421"/>
    <mergeCell ref="AV3422:AV3423"/>
    <mergeCell ref="AW3422:AW3423"/>
    <mergeCell ref="AX3422:AX3423"/>
    <mergeCell ref="AY3422:AY3423"/>
    <mergeCell ref="AZ3422:AZ3423"/>
    <mergeCell ref="BA3422:BA3423"/>
    <mergeCell ref="AV3424:AV3425"/>
    <mergeCell ref="AW3424:AW3425"/>
    <mergeCell ref="AX3424:AX3425"/>
    <mergeCell ref="AY3424:AY3425"/>
    <mergeCell ref="AZ3424:AZ3425"/>
    <mergeCell ref="BA3424:BA3425"/>
    <mergeCell ref="AV3426:AV3427"/>
    <mergeCell ref="AW3426:AW3427"/>
    <mergeCell ref="AX3426:AX3427"/>
    <mergeCell ref="AY3426:AY3427"/>
    <mergeCell ref="AZ3426:AZ3427"/>
    <mergeCell ref="BA3426:BA3427"/>
    <mergeCell ref="AV3428:AV3429"/>
    <mergeCell ref="AW3428:AW3429"/>
    <mergeCell ref="AX3428:AX3429"/>
    <mergeCell ref="AY3428:AY3429"/>
    <mergeCell ref="AZ3428:AZ3429"/>
    <mergeCell ref="BA3428:BA3429"/>
    <mergeCell ref="AV3430:AV3431"/>
    <mergeCell ref="AW3430:AW3431"/>
    <mergeCell ref="AX3430:AX3431"/>
    <mergeCell ref="AY3430:AY3431"/>
    <mergeCell ref="AZ3430:AZ3431"/>
    <mergeCell ref="BA3430:BA3431"/>
    <mergeCell ref="AV3432:AV3433"/>
    <mergeCell ref="AW3432:AW3433"/>
    <mergeCell ref="AX3432:AX3433"/>
    <mergeCell ref="AY3432:AY3433"/>
    <mergeCell ref="AZ3432:AZ3433"/>
    <mergeCell ref="BA3432:BA3433"/>
    <mergeCell ref="AV3434:AV3435"/>
    <mergeCell ref="AW3434:AW3435"/>
    <mergeCell ref="AX3434:AX3435"/>
    <mergeCell ref="AY3434:AY3435"/>
    <mergeCell ref="AZ3434:AZ3435"/>
    <mergeCell ref="BA3434:BA3435"/>
    <mergeCell ref="AV3436:AV3437"/>
    <mergeCell ref="AW3436:AW3437"/>
    <mergeCell ref="AX3436:AX3437"/>
    <mergeCell ref="AY3436:AY3437"/>
    <mergeCell ref="AZ3436:AZ3437"/>
    <mergeCell ref="BA3436:BA3437"/>
    <mergeCell ref="AV3440:AV3443"/>
    <mergeCell ref="AW3440:AW3443"/>
    <mergeCell ref="AX3440:AX3443"/>
    <mergeCell ref="AY3440:AY3443"/>
    <mergeCell ref="AZ3440:AZ3443"/>
    <mergeCell ref="BA3440:BA3443"/>
    <mergeCell ref="AV3444:AV3447"/>
    <mergeCell ref="AW3444:AW3447"/>
    <mergeCell ref="AX3444:AX3447"/>
    <mergeCell ref="AY3444:AY3447"/>
    <mergeCell ref="AZ3444:AZ3447"/>
    <mergeCell ref="BA3444:BA3447"/>
    <mergeCell ref="AV3449:AV3451"/>
    <mergeCell ref="AW3449:AW3451"/>
    <mergeCell ref="AX3449:AX3451"/>
    <mergeCell ref="AY3449:AY3451"/>
    <mergeCell ref="AZ3449:AZ3451"/>
    <mergeCell ref="BA3449:BA3451"/>
    <mergeCell ref="BI3449:BI3451"/>
    <mergeCell ref="AV3452:AV3454"/>
    <mergeCell ref="AW3452:AW3454"/>
    <mergeCell ref="AX3452:AX3454"/>
    <mergeCell ref="AY3452:AY3454"/>
    <mergeCell ref="AZ3452:AZ3454"/>
    <mergeCell ref="BA3452:BA3454"/>
    <mergeCell ref="BI3452:BI3454"/>
    <mergeCell ref="AV3455:AV3457"/>
    <mergeCell ref="AW3455:AW3457"/>
    <mergeCell ref="AX3455:AX3457"/>
    <mergeCell ref="AY3455:AY3457"/>
    <mergeCell ref="AZ3455:AZ3457"/>
    <mergeCell ref="BA3455:BA3457"/>
    <mergeCell ref="BI3455:BI3457"/>
    <mergeCell ref="AV3458:AV3460"/>
    <mergeCell ref="AW3458:AW3460"/>
    <mergeCell ref="AX3458:AX3460"/>
    <mergeCell ref="AY3458:AY3460"/>
    <mergeCell ref="AZ3458:AZ3460"/>
    <mergeCell ref="BA3458:BA3460"/>
    <mergeCell ref="BI3458:BI3460"/>
    <mergeCell ref="AV3461:AV3463"/>
    <mergeCell ref="AW3461:AW3463"/>
    <mergeCell ref="AX3461:AX3463"/>
    <mergeCell ref="AY3461:AY3463"/>
    <mergeCell ref="AZ3461:AZ3463"/>
    <mergeCell ref="BA3461:BA3463"/>
    <mergeCell ref="BI3461:BI3463"/>
    <mergeCell ref="AV3464:AV3467"/>
    <mergeCell ref="AW3464:AW3467"/>
    <mergeCell ref="AX3464:AX3467"/>
    <mergeCell ref="AY3464:AY3467"/>
    <mergeCell ref="AZ3464:AZ3467"/>
    <mergeCell ref="BA3464:BA3467"/>
    <mergeCell ref="BI3464:BI3467"/>
    <mergeCell ref="AV3468:AV3471"/>
    <mergeCell ref="AW3468:AW3471"/>
    <mergeCell ref="AX3468:AX3471"/>
    <mergeCell ref="AY3468:AY3471"/>
    <mergeCell ref="AZ3468:AZ3471"/>
    <mergeCell ref="BA3468:BA3471"/>
    <mergeCell ref="BI3468:BI3471"/>
    <mergeCell ref="AV3472:AV3475"/>
    <mergeCell ref="AW3472:AW3475"/>
    <mergeCell ref="AX3472:AX3475"/>
    <mergeCell ref="AY3472:AY3475"/>
    <mergeCell ref="AZ3472:AZ3475"/>
    <mergeCell ref="BA3472:BA3475"/>
    <mergeCell ref="BI3472:BI3475"/>
    <mergeCell ref="AV3476:AV3479"/>
    <mergeCell ref="AW3476:AW3479"/>
    <mergeCell ref="AX3476:AX3479"/>
    <mergeCell ref="AY3476:AY3479"/>
    <mergeCell ref="AZ3476:AZ3479"/>
    <mergeCell ref="BA3476:BA3479"/>
    <mergeCell ref="BI3476:BI3479"/>
    <mergeCell ref="AV3480:AV3483"/>
    <mergeCell ref="AW3480:AW3483"/>
    <mergeCell ref="AX3480:AX3483"/>
    <mergeCell ref="AY3480:AY3483"/>
    <mergeCell ref="AZ3480:AZ3483"/>
    <mergeCell ref="BA3480:BA3483"/>
    <mergeCell ref="BI3480:BI3483"/>
    <mergeCell ref="AV3484:AV3486"/>
    <mergeCell ref="AW3484:AW3486"/>
    <mergeCell ref="AX3484:AX3486"/>
    <mergeCell ref="AY3484:AY3486"/>
    <mergeCell ref="AZ3484:AZ3486"/>
    <mergeCell ref="BA3484:BA3486"/>
    <mergeCell ref="BI3484:BI3486"/>
    <mergeCell ref="AV3487:AV3490"/>
    <mergeCell ref="AW3487:AW3490"/>
    <mergeCell ref="AX3487:AX3490"/>
    <mergeCell ref="AY3487:AY3490"/>
    <mergeCell ref="AZ3487:AZ3490"/>
    <mergeCell ref="BA3487:BA3490"/>
    <mergeCell ref="BI3487:BI3490"/>
    <mergeCell ref="AV3491:AV3493"/>
    <mergeCell ref="AW3491:AW3493"/>
    <mergeCell ref="AX3491:AX3493"/>
    <mergeCell ref="AY3491:AY3493"/>
    <mergeCell ref="AZ3491:AZ3493"/>
    <mergeCell ref="BA3491:BA3493"/>
    <mergeCell ref="BI3491:BI3493"/>
    <mergeCell ref="AV3494:AV3495"/>
    <mergeCell ref="AW3494:AW3495"/>
    <mergeCell ref="AX3494:AX3495"/>
    <mergeCell ref="AY3494:AY3495"/>
    <mergeCell ref="AZ3494:AZ3495"/>
    <mergeCell ref="BA3494:BA3495"/>
    <mergeCell ref="BI3494:BI3495"/>
    <mergeCell ref="AV3496:AV3499"/>
    <mergeCell ref="AW3496:AW3499"/>
    <mergeCell ref="AX3496:AX3499"/>
    <mergeCell ref="AY3496:AY3499"/>
    <mergeCell ref="AZ3496:AZ3499"/>
    <mergeCell ref="BA3496:BA3499"/>
    <mergeCell ref="BI3496:BI3499"/>
    <mergeCell ref="AV3500:AV3503"/>
    <mergeCell ref="AW3500:AW3503"/>
    <mergeCell ref="AX3500:AX3503"/>
    <mergeCell ref="AY3500:AY3503"/>
    <mergeCell ref="AZ3500:AZ3503"/>
    <mergeCell ref="BA3500:BA3503"/>
    <mergeCell ref="BI3500:BI3503"/>
    <mergeCell ref="AV3504:AV3512"/>
    <mergeCell ref="AW3504:AW3512"/>
    <mergeCell ref="AX3504:AX3512"/>
    <mergeCell ref="AY3504:AY3512"/>
    <mergeCell ref="AZ3504:AZ3512"/>
    <mergeCell ref="BA3504:BA3512"/>
    <mergeCell ref="BI3504:BI3512"/>
    <mergeCell ref="AV3513:AV3521"/>
    <mergeCell ref="AW3513:AW3521"/>
    <mergeCell ref="AX3513:AX3521"/>
    <mergeCell ref="AY3513:AY3521"/>
    <mergeCell ref="AZ3513:AZ3521"/>
    <mergeCell ref="BA3513:BA3521"/>
    <mergeCell ref="BI3513:BI3521"/>
    <mergeCell ref="AV3522:AV3529"/>
    <mergeCell ref="AW3522:AW3529"/>
    <mergeCell ref="AX3522:AX3529"/>
    <mergeCell ref="AY3522:AY3529"/>
    <mergeCell ref="AZ3522:AZ3529"/>
    <mergeCell ref="BA3522:BA3529"/>
    <mergeCell ref="BI3522:BI3529"/>
    <mergeCell ref="AV3530:AV3535"/>
    <mergeCell ref="AW3530:AW3535"/>
    <mergeCell ref="AX3530:AX3535"/>
    <mergeCell ref="AY3530:AY3535"/>
    <mergeCell ref="AZ3530:AZ3535"/>
    <mergeCell ref="BA3530:BA3535"/>
    <mergeCell ref="BI3530:BI3535"/>
    <mergeCell ref="AV3536:AV3540"/>
    <mergeCell ref="AW3536:AW3540"/>
    <mergeCell ref="AX3536:AX3540"/>
    <mergeCell ref="AY3536:AY3540"/>
    <mergeCell ref="AZ3536:AZ3540"/>
    <mergeCell ref="BA3536:BA3540"/>
    <mergeCell ref="BI3536:BI3540"/>
    <mergeCell ref="AV3541:AV3545"/>
    <mergeCell ref="AW3541:AW3545"/>
    <mergeCell ref="AX3541:AX3545"/>
    <mergeCell ref="AY3541:AY3545"/>
    <mergeCell ref="AZ3541:AZ3545"/>
    <mergeCell ref="BA3541:BA3545"/>
    <mergeCell ref="BI3541:BI3545"/>
    <mergeCell ref="AV3546:AV3550"/>
    <mergeCell ref="AW3546:AW3550"/>
    <mergeCell ref="AX3546:AX3550"/>
    <mergeCell ref="AY3546:AY3550"/>
    <mergeCell ref="AZ3546:AZ3550"/>
    <mergeCell ref="BA3546:BA3550"/>
    <mergeCell ref="BI3546:BI3550"/>
    <mergeCell ref="AV3551:AV3555"/>
    <mergeCell ref="AW3551:AW3555"/>
    <mergeCell ref="AX3551:AX3555"/>
    <mergeCell ref="AY3551:AY3555"/>
    <mergeCell ref="AZ3551:AZ3555"/>
    <mergeCell ref="BA3551:BA3555"/>
    <mergeCell ref="BI3551:BI3555"/>
    <mergeCell ref="AV3556:AV3558"/>
    <mergeCell ref="AW3556:AW3558"/>
    <mergeCell ref="AX3556:AX3558"/>
    <mergeCell ref="AY3556:AY3558"/>
    <mergeCell ref="AZ3556:AZ3558"/>
    <mergeCell ref="BA3556:BA3558"/>
    <mergeCell ref="BI3556:BI3558"/>
    <mergeCell ref="AV3559:AV3561"/>
    <mergeCell ref="AW3559:AW3561"/>
    <mergeCell ref="AX3559:AX3561"/>
    <mergeCell ref="AY3559:AY3561"/>
    <mergeCell ref="AZ3559:AZ3561"/>
    <mergeCell ref="BA3559:BA3561"/>
    <mergeCell ref="BI3559:BI3561"/>
    <mergeCell ref="AV3562:AV3563"/>
    <mergeCell ref="AW3562:AW3563"/>
    <mergeCell ref="AX3562:AX3563"/>
    <mergeCell ref="AY3562:AY3563"/>
    <mergeCell ref="AZ3562:AZ3563"/>
    <mergeCell ref="BA3562:BA3563"/>
    <mergeCell ref="BI3562:BI3563"/>
    <mergeCell ref="AV3564:AV3568"/>
    <mergeCell ref="AW3564:AW3568"/>
    <mergeCell ref="AX3564:AX3568"/>
    <mergeCell ref="AY3564:AY3568"/>
    <mergeCell ref="AZ3564:AZ3568"/>
    <mergeCell ref="BA3564:BA3568"/>
    <mergeCell ref="BI3564:BI3568"/>
    <mergeCell ref="AV3569:AV3572"/>
    <mergeCell ref="AW3569:AW3572"/>
    <mergeCell ref="AX3569:AX3572"/>
    <mergeCell ref="AY3569:AY3572"/>
    <mergeCell ref="AZ3569:AZ3572"/>
    <mergeCell ref="BA3569:BA3572"/>
    <mergeCell ref="BI3569:BI3572"/>
    <mergeCell ref="AV3573:AV3577"/>
    <mergeCell ref="AW3573:AW3577"/>
    <mergeCell ref="AX3573:AX3577"/>
    <mergeCell ref="AY3573:AY3577"/>
    <mergeCell ref="AZ3573:AZ3577"/>
    <mergeCell ref="BA3573:BA3577"/>
    <mergeCell ref="BI3573:BI3577"/>
    <mergeCell ref="AV3578:AV3582"/>
    <mergeCell ref="AW3578:AW3582"/>
    <mergeCell ref="AX3578:AX3582"/>
    <mergeCell ref="AY3578:AY3582"/>
    <mergeCell ref="AZ3578:AZ3582"/>
    <mergeCell ref="BA3578:BA3582"/>
    <mergeCell ref="BI3578:BI3582"/>
    <mergeCell ref="AV3584:AV3585"/>
    <mergeCell ref="AW3584:AW3585"/>
    <mergeCell ref="AX3584:AX3585"/>
    <mergeCell ref="AY3584:AY3585"/>
    <mergeCell ref="AZ3584:AZ3585"/>
    <mergeCell ref="BA3584:BA3585"/>
    <mergeCell ref="BI3584:BI3585"/>
    <mergeCell ref="AV3587:AV3588"/>
    <mergeCell ref="AW3587:AW3588"/>
    <mergeCell ref="AX3587:AX3588"/>
    <mergeCell ref="AY3587:AY3588"/>
    <mergeCell ref="AZ3587:AZ3588"/>
    <mergeCell ref="BA3587:BA3588"/>
    <mergeCell ref="BI3587:BI3588"/>
    <mergeCell ref="AV3589:AV3590"/>
    <mergeCell ref="AW3589:AW3590"/>
    <mergeCell ref="AX3589:AX3590"/>
    <mergeCell ref="AY3589:AY3590"/>
    <mergeCell ref="AZ3589:AZ3590"/>
    <mergeCell ref="BA3589:BA3590"/>
    <mergeCell ref="BI3589:BI3590"/>
    <mergeCell ref="AV3591:AV3593"/>
    <mergeCell ref="AW3591:AW3593"/>
    <mergeCell ref="AX3591:AX3593"/>
    <mergeCell ref="AY3591:AY3593"/>
    <mergeCell ref="AZ3591:AZ3593"/>
    <mergeCell ref="BA3591:BA3593"/>
    <mergeCell ref="BI3591:BI3593"/>
    <mergeCell ref="AV3594:AV3597"/>
    <mergeCell ref="AW3594:AW3597"/>
    <mergeCell ref="AX3594:AX3597"/>
    <mergeCell ref="AY3594:AY3597"/>
    <mergeCell ref="AZ3594:AZ3597"/>
    <mergeCell ref="BA3594:BA3597"/>
    <mergeCell ref="AV3598:AV3601"/>
    <mergeCell ref="AW3598:AW3601"/>
    <mergeCell ref="AX3598:AX3601"/>
    <mergeCell ref="AY3598:AY3601"/>
    <mergeCell ref="AZ3598:AZ3601"/>
    <mergeCell ref="BA3598:BA3601"/>
    <mergeCell ref="AV3602:AV3605"/>
    <mergeCell ref="AW3602:AW3605"/>
    <mergeCell ref="AX3602:AX3605"/>
    <mergeCell ref="AY3602:AY3605"/>
    <mergeCell ref="AZ3602:AZ3605"/>
    <mergeCell ref="BA3602:BA3605"/>
    <mergeCell ref="AV3606:AV3609"/>
    <mergeCell ref="AW3606:AW3609"/>
    <mergeCell ref="AX3606:AX3609"/>
    <mergeCell ref="AY3606:AY3609"/>
    <mergeCell ref="AZ3606:AZ3609"/>
    <mergeCell ref="BA3606:BA3609"/>
    <mergeCell ref="AV3610:AV3614"/>
    <mergeCell ref="AW3610:AW3614"/>
    <mergeCell ref="AX3610:AX3614"/>
    <mergeCell ref="AY3610:AY3614"/>
    <mergeCell ref="AZ3610:AZ3614"/>
    <mergeCell ref="BA3610:BA3614"/>
    <mergeCell ref="BI3610:BI3614"/>
    <mergeCell ref="AV3615:AV3617"/>
    <mergeCell ref="AW3615:AW3617"/>
    <mergeCell ref="AX3615:AX3617"/>
    <mergeCell ref="AY3615:AY3617"/>
    <mergeCell ref="AZ3615:AZ3617"/>
    <mergeCell ref="BA3615:BA3617"/>
    <mergeCell ref="BI3615:BI3617"/>
    <mergeCell ref="AV3618:AV3620"/>
    <mergeCell ref="AW3618:AW3620"/>
    <mergeCell ref="AX3618:AX3620"/>
    <mergeCell ref="AY3618:AY3620"/>
    <mergeCell ref="AZ3618:AZ3620"/>
    <mergeCell ref="BA3618:BA3620"/>
    <mergeCell ref="BI3618:BI3620"/>
    <mergeCell ref="AV3621:AV3625"/>
    <mergeCell ref="AW3621:AW3625"/>
    <mergeCell ref="AX3621:AX3625"/>
    <mergeCell ref="AY3621:AY3625"/>
    <mergeCell ref="AZ3621:AZ3625"/>
    <mergeCell ref="BA3621:BA3625"/>
    <mergeCell ref="BI3621:BI3625"/>
    <mergeCell ref="AV3626:AV3630"/>
    <mergeCell ref="AW3626:AW3630"/>
    <mergeCell ref="AX3626:AX3630"/>
    <mergeCell ref="AY3626:AY3630"/>
    <mergeCell ref="AZ3626:AZ3630"/>
    <mergeCell ref="BA3626:BA3630"/>
    <mergeCell ref="BI3626:BI3630"/>
    <mergeCell ref="AV3631:AV3633"/>
    <mergeCell ref="AW3631:AW3633"/>
    <mergeCell ref="AX3631:AX3633"/>
    <mergeCell ref="AY3631:AY3633"/>
    <mergeCell ref="AZ3631:AZ3633"/>
    <mergeCell ref="BA3631:BA3633"/>
    <mergeCell ref="BI3631:BI3633"/>
    <mergeCell ref="AV3634:AV3638"/>
    <mergeCell ref="AW3634:AW3638"/>
    <mergeCell ref="AX3634:AX3638"/>
    <mergeCell ref="AY3634:AY3638"/>
    <mergeCell ref="AZ3634:AZ3638"/>
    <mergeCell ref="BA3634:BA3638"/>
    <mergeCell ref="BI3634:BI3638"/>
    <mergeCell ref="AV3639:AV3641"/>
    <mergeCell ref="AW3639:AW3641"/>
    <mergeCell ref="AX3639:AX3641"/>
    <mergeCell ref="AY3639:AY3641"/>
    <mergeCell ref="AZ3639:AZ3641"/>
    <mergeCell ref="BA3639:BA3641"/>
    <mergeCell ref="BI3639:BI3641"/>
    <mergeCell ref="AV3642:AV3644"/>
    <mergeCell ref="AW3642:AW3644"/>
    <mergeCell ref="AX3642:AX3644"/>
    <mergeCell ref="AY3642:AY3644"/>
    <mergeCell ref="AZ3642:AZ3644"/>
    <mergeCell ref="BA3642:BA3644"/>
    <mergeCell ref="BI3642:BI3644"/>
    <mergeCell ref="AV3645:AV3647"/>
    <mergeCell ref="AW3645:AW3647"/>
    <mergeCell ref="AX3645:AX3647"/>
    <mergeCell ref="AY3645:AY3647"/>
    <mergeCell ref="AZ3645:AZ3647"/>
    <mergeCell ref="BA3645:BA3647"/>
    <mergeCell ref="BI3645:BI3647"/>
    <mergeCell ref="AV3648:AV3651"/>
    <mergeCell ref="AW3648:AW3651"/>
    <mergeCell ref="AX3648:AX3651"/>
    <mergeCell ref="AY3648:AY3651"/>
    <mergeCell ref="AZ3648:AZ3651"/>
    <mergeCell ref="BA3648:BA3651"/>
    <mergeCell ref="BI3648:BI3651"/>
    <mergeCell ref="AV3652:AV3653"/>
    <mergeCell ref="AW3652:AW3653"/>
    <mergeCell ref="AX3652:AX3653"/>
    <mergeCell ref="AY3652:AY3653"/>
    <mergeCell ref="AZ3652:AZ3653"/>
    <mergeCell ref="BA3652:BA3653"/>
    <mergeCell ref="BI3652:BI3653"/>
    <mergeCell ref="AV3654:AV3658"/>
    <mergeCell ref="AW3654:AW3658"/>
    <mergeCell ref="AX3654:AX3658"/>
    <mergeCell ref="AY3654:AY3658"/>
    <mergeCell ref="AZ3654:AZ3658"/>
    <mergeCell ref="BA3654:BA3658"/>
    <mergeCell ref="BI3654:BI3658"/>
    <mergeCell ref="AV3659:AV3663"/>
    <mergeCell ref="AW3659:AW3663"/>
    <mergeCell ref="AX3659:AX3663"/>
    <mergeCell ref="AY3659:AY3663"/>
    <mergeCell ref="AZ3659:AZ3663"/>
    <mergeCell ref="BA3659:BA3663"/>
    <mergeCell ref="BI3659:BI3663"/>
    <mergeCell ref="AV3664:AV3668"/>
    <mergeCell ref="AW3664:AW3668"/>
    <mergeCell ref="AX3664:AX3668"/>
    <mergeCell ref="AY3664:AY3668"/>
    <mergeCell ref="AZ3664:AZ3668"/>
    <mergeCell ref="BA3664:BA3668"/>
    <mergeCell ref="BI3664:BI3668"/>
    <mergeCell ref="AV3669:AV3673"/>
    <mergeCell ref="AW3669:AW3673"/>
    <mergeCell ref="AX3669:AX3673"/>
    <mergeCell ref="AY3669:AY3673"/>
    <mergeCell ref="AZ3669:AZ3673"/>
    <mergeCell ref="BA3669:BA3673"/>
    <mergeCell ref="BI3669:BI3673"/>
    <mergeCell ref="AV3674:AV3678"/>
    <mergeCell ref="AW3674:AW3678"/>
    <mergeCell ref="AX3674:AX3678"/>
    <mergeCell ref="AY3674:AY3678"/>
    <mergeCell ref="AZ3674:AZ3678"/>
    <mergeCell ref="BA3674:BA3678"/>
    <mergeCell ref="BI3674:BI3678"/>
    <mergeCell ref="AV3679:AV3683"/>
    <mergeCell ref="AW3679:AW3683"/>
    <mergeCell ref="AX3679:AX3683"/>
    <mergeCell ref="AY3679:AY3683"/>
    <mergeCell ref="AZ3679:AZ3683"/>
    <mergeCell ref="BA3679:BA3683"/>
    <mergeCell ref="BI3679:BI3683"/>
    <mergeCell ref="AV3684:AV3687"/>
    <mergeCell ref="AW3684:AW3687"/>
    <mergeCell ref="AX3684:AX3687"/>
    <mergeCell ref="AY3684:AY3687"/>
    <mergeCell ref="AZ3684:AZ3687"/>
    <mergeCell ref="BA3684:BA3687"/>
    <mergeCell ref="BI3684:BI3687"/>
    <mergeCell ref="AV3688:AV3692"/>
    <mergeCell ref="AW3688:AW3692"/>
    <mergeCell ref="AX3688:AX3692"/>
    <mergeCell ref="AY3688:AY3692"/>
    <mergeCell ref="AZ3688:AZ3692"/>
    <mergeCell ref="BA3688:BA3692"/>
    <mergeCell ref="BI3688:BI3692"/>
    <mergeCell ref="AV3693:AV3694"/>
    <mergeCell ref="AW3693:AW3694"/>
    <mergeCell ref="AX3693:AX3694"/>
    <mergeCell ref="AY3693:AY3694"/>
    <mergeCell ref="AZ3693:AZ3694"/>
    <mergeCell ref="BA3693:BA3694"/>
    <mergeCell ref="BI3693:BI3694"/>
    <mergeCell ref="AV3695:AV3698"/>
    <mergeCell ref="AW3695:AW3698"/>
    <mergeCell ref="AX3695:AX3698"/>
    <mergeCell ref="AY3695:AY3698"/>
    <mergeCell ref="AZ3695:AZ3698"/>
    <mergeCell ref="BA3695:BA3698"/>
    <mergeCell ref="BI3695:BI3698"/>
    <mergeCell ref="AV3699:AV3701"/>
    <mergeCell ref="AW3699:AW3701"/>
    <mergeCell ref="AX3699:AX3701"/>
    <mergeCell ref="AY3699:AY3701"/>
    <mergeCell ref="AZ3699:AZ3701"/>
    <mergeCell ref="BA3699:BA3701"/>
    <mergeCell ref="BI3699:BI3701"/>
    <mergeCell ref="AV3702:AV3705"/>
    <mergeCell ref="AW3702:AW3705"/>
    <mergeCell ref="AX3702:AX3705"/>
    <mergeCell ref="AY3702:AY3705"/>
    <mergeCell ref="AZ3702:AZ3705"/>
    <mergeCell ref="BA3702:BA3705"/>
    <mergeCell ref="BI3702:BI3705"/>
    <mergeCell ref="AV3706:AV3710"/>
    <mergeCell ref="AW3706:AW3710"/>
    <mergeCell ref="AX3706:AX3710"/>
    <mergeCell ref="AY3706:AY3710"/>
    <mergeCell ref="AZ3706:AZ3710"/>
    <mergeCell ref="BA3706:BA3710"/>
    <mergeCell ref="BI3706:BI3710"/>
    <mergeCell ref="AV3711:AV3715"/>
    <mergeCell ref="AW3711:AW3715"/>
    <mergeCell ref="AX3711:AX3715"/>
    <mergeCell ref="AY3711:AY3715"/>
    <mergeCell ref="AZ3711:AZ3715"/>
    <mergeCell ref="BA3711:BA3715"/>
    <mergeCell ref="BI3711:BI3715"/>
    <mergeCell ref="AV3716:AV3720"/>
    <mergeCell ref="AW3716:AW3720"/>
    <mergeCell ref="AX3716:AX3720"/>
    <mergeCell ref="AY3716:AY3720"/>
    <mergeCell ref="AZ3716:AZ3720"/>
    <mergeCell ref="BA3716:BA3720"/>
    <mergeCell ref="BI3716:BI3720"/>
    <mergeCell ref="AV3721:AV3725"/>
    <mergeCell ref="AW3721:AW3725"/>
    <mergeCell ref="AX3721:AX3725"/>
    <mergeCell ref="AY3721:AY3725"/>
    <mergeCell ref="AZ3721:AZ3725"/>
    <mergeCell ref="BA3721:BA3725"/>
    <mergeCell ref="BI3721:BI3725"/>
    <mergeCell ref="AV3726:AV3730"/>
    <mergeCell ref="AW3726:AW3730"/>
    <mergeCell ref="AX3726:AX3730"/>
    <mergeCell ref="AY3726:AY3730"/>
    <mergeCell ref="AZ3726:AZ3730"/>
    <mergeCell ref="BA3726:BA3730"/>
    <mergeCell ref="BI3726:BI3730"/>
    <mergeCell ref="AV3731:AV3735"/>
    <mergeCell ref="AW3731:AW3735"/>
    <mergeCell ref="AX3731:AX3735"/>
    <mergeCell ref="AY3731:AY3735"/>
    <mergeCell ref="AZ3731:AZ3735"/>
    <mergeCell ref="BA3731:BA3735"/>
    <mergeCell ref="BI3731:BI3735"/>
    <mergeCell ref="AV3736:AV3738"/>
    <mergeCell ref="AW3736:AW3738"/>
    <mergeCell ref="AX3736:AX3738"/>
    <mergeCell ref="AY3736:AY3738"/>
    <mergeCell ref="AZ3736:AZ3738"/>
    <mergeCell ref="BA3736:BA3738"/>
    <mergeCell ref="AV3739:AV3741"/>
    <mergeCell ref="AW3739:AW3741"/>
    <mergeCell ref="AX3739:AX3741"/>
    <mergeCell ref="AY3739:AY3741"/>
    <mergeCell ref="AZ3739:AZ3741"/>
    <mergeCell ref="BA3739:BA3741"/>
    <mergeCell ref="AV3742:AV3744"/>
    <mergeCell ref="AW3742:AW3744"/>
    <mergeCell ref="AX3742:AX3744"/>
    <mergeCell ref="AY3742:AY3744"/>
    <mergeCell ref="AZ3742:AZ3744"/>
    <mergeCell ref="BA3742:BA3744"/>
    <mergeCell ref="AV3745:AV3747"/>
    <mergeCell ref="AW3745:AW3747"/>
    <mergeCell ref="AX3745:AX3747"/>
    <mergeCell ref="AY3745:AY3747"/>
    <mergeCell ref="AZ3745:AZ3747"/>
    <mergeCell ref="BA3745:BA3747"/>
    <mergeCell ref="AV3748:AV3750"/>
    <mergeCell ref="AW3748:AW3750"/>
    <mergeCell ref="AX3748:AX3750"/>
    <mergeCell ref="AY3748:AY3750"/>
    <mergeCell ref="AZ3748:AZ3750"/>
    <mergeCell ref="BA3748:BA3750"/>
    <mergeCell ref="AV3751:AV3754"/>
    <mergeCell ref="AW3751:AW3754"/>
    <mergeCell ref="AX3751:AX3754"/>
    <mergeCell ref="AY3751:AY3754"/>
    <mergeCell ref="AZ3751:AZ3754"/>
    <mergeCell ref="BA3751:BA3754"/>
    <mergeCell ref="AV3755:AV3758"/>
    <mergeCell ref="AW3755:AW3758"/>
    <mergeCell ref="AX3755:AX3758"/>
    <mergeCell ref="AY3755:AY3758"/>
    <mergeCell ref="AZ3755:AZ3758"/>
    <mergeCell ref="BA3755:BA3758"/>
    <mergeCell ref="AV3759:AV3762"/>
    <mergeCell ref="AW3759:AW3762"/>
    <mergeCell ref="AX3759:AX3762"/>
    <mergeCell ref="AY3759:AY3762"/>
    <mergeCell ref="AZ3759:AZ3762"/>
    <mergeCell ref="BA3759:BA3762"/>
    <mergeCell ref="AV3763:AV3764"/>
    <mergeCell ref="AW3763:AW3764"/>
    <mergeCell ref="AX3763:AX3764"/>
    <mergeCell ref="AY3763:AY3764"/>
    <mergeCell ref="AZ3763:AZ3764"/>
    <mergeCell ref="BA3763:BA3764"/>
    <mergeCell ref="BI3763:BI3764"/>
    <mergeCell ref="AV3765:AV3766"/>
    <mergeCell ref="AW3765:AW3766"/>
    <mergeCell ref="AX3765:AX3766"/>
    <mergeCell ref="AY3765:AY3766"/>
    <mergeCell ref="AZ3765:AZ3766"/>
    <mergeCell ref="BA3765:BA3766"/>
    <mergeCell ref="BI3765:BI3766"/>
    <mergeCell ref="AV3767:AV3768"/>
    <mergeCell ref="AW3767:AW3768"/>
    <mergeCell ref="AX3767:AX3768"/>
    <mergeCell ref="AY3767:AY3768"/>
    <mergeCell ref="AZ3767:AZ3768"/>
    <mergeCell ref="BA3767:BA3768"/>
    <mergeCell ref="BI3767:BI3768"/>
    <mergeCell ref="AV3769:AV3770"/>
    <mergeCell ref="AW3769:AW3770"/>
    <mergeCell ref="AX3769:AX3770"/>
    <mergeCell ref="AY3769:AY3770"/>
    <mergeCell ref="AZ3769:AZ3770"/>
    <mergeCell ref="BA3769:BA3770"/>
    <mergeCell ref="BI3769:BI3770"/>
    <mergeCell ref="AV3771:AV3772"/>
    <mergeCell ref="AW3771:AW3772"/>
    <mergeCell ref="AX3771:AX3772"/>
    <mergeCell ref="AY3771:AY3772"/>
    <mergeCell ref="AZ3771:AZ3772"/>
    <mergeCell ref="BA3771:BA3772"/>
    <mergeCell ref="BI3771:BI3772"/>
    <mergeCell ref="AV3774:AV3775"/>
    <mergeCell ref="AW3774:AW3775"/>
    <mergeCell ref="AX3774:AX3775"/>
    <mergeCell ref="AY3774:AY3775"/>
    <mergeCell ref="AZ3774:AZ3775"/>
    <mergeCell ref="BA3774:BA3775"/>
    <mergeCell ref="BI3774:BI3775"/>
    <mergeCell ref="AV3776:AV3777"/>
    <mergeCell ref="AW3776:AW3777"/>
    <mergeCell ref="AX3776:AX3777"/>
    <mergeCell ref="AY3776:AY3777"/>
    <mergeCell ref="AZ3776:AZ3777"/>
    <mergeCell ref="BA3776:BA3777"/>
    <mergeCell ref="BI3776:BI3777"/>
    <mergeCell ref="AV3778:AV3779"/>
    <mergeCell ref="AW3778:AW3779"/>
    <mergeCell ref="AX3778:AX3779"/>
    <mergeCell ref="AY3778:AY3779"/>
    <mergeCell ref="AZ3778:AZ3779"/>
    <mergeCell ref="BA3778:BA3779"/>
    <mergeCell ref="BI3778:BI3779"/>
    <mergeCell ref="AV3780:AV3781"/>
    <mergeCell ref="AW3780:AW3781"/>
    <mergeCell ref="AX3780:AX3781"/>
    <mergeCell ref="AY3780:AY3781"/>
    <mergeCell ref="AZ3780:AZ3781"/>
    <mergeCell ref="BA3780:BA3781"/>
    <mergeCell ref="BI3780:BI3781"/>
    <mergeCell ref="AV3782:AV3783"/>
    <mergeCell ref="AW3782:AW3783"/>
    <mergeCell ref="AX3782:AX3783"/>
    <mergeCell ref="AY3782:AY3783"/>
    <mergeCell ref="AZ3782:AZ3783"/>
    <mergeCell ref="BA3782:BA3783"/>
    <mergeCell ref="BI3782:BI3783"/>
    <mergeCell ref="AV3784:AV3785"/>
    <mergeCell ref="AW3784:AW3785"/>
    <mergeCell ref="AX3784:AX3785"/>
    <mergeCell ref="AY3784:AY3785"/>
    <mergeCell ref="AZ3784:AZ3785"/>
    <mergeCell ref="BA3784:BA3785"/>
    <mergeCell ref="BI3784:BI3785"/>
    <mergeCell ref="AV3786:AV3787"/>
    <mergeCell ref="AW3786:AW3787"/>
    <mergeCell ref="AX3786:AX3787"/>
    <mergeCell ref="AY3786:AY3787"/>
    <mergeCell ref="AZ3786:AZ3787"/>
    <mergeCell ref="BA3786:BA3787"/>
    <mergeCell ref="BI3786:BI3787"/>
    <mergeCell ref="AV3788:AV3791"/>
    <mergeCell ref="AW3788:AW3791"/>
    <mergeCell ref="AX3788:AX3791"/>
    <mergeCell ref="AY3788:AY3791"/>
    <mergeCell ref="AZ3788:AZ3791"/>
    <mergeCell ref="BA3788:BA3791"/>
    <mergeCell ref="BI3788:BI3791"/>
    <mergeCell ref="AV3792:AV3794"/>
    <mergeCell ref="AW3792:AW3794"/>
    <mergeCell ref="AX3792:AX3794"/>
    <mergeCell ref="AY3792:AY3794"/>
    <mergeCell ref="AZ3792:AZ3794"/>
    <mergeCell ref="BA3792:BA3794"/>
    <mergeCell ref="BI3792:BI3794"/>
    <mergeCell ref="AV3795:AV3798"/>
    <mergeCell ref="AW3795:AW3798"/>
    <mergeCell ref="AX3795:AX3798"/>
    <mergeCell ref="AY3795:AY3798"/>
    <mergeCell ref="AZ3795:AZ3798"/>
    <mergeCell ref="BA3795:BA3798"/>
    <mergeCell ref="BI3795:BI3798"/>
    <mergeCell ref="AV3799:AV3800"/>
    <mergeCell ref="AW3799:AW3800"/>
    <mergeCell ref="AX3799:AX3800"/>
    <mergeCell ref="AY3799:AY3800"/>
    <mergeCell ref="AZ3799:AZ3800"/>
    <mergeCell ref="BA3799:BA3800"/>
    <mergeCell ref="BI3799:BI3800"/>
    <mergeCell ref="AV3801:AV3804"/>
    <mergeCell ref="AW3801:AW3804"/>
    <mergeCell ref="AX3801:AX3804"/>
    <mergeCell ref="AY3801:AY3804"/>
    <mergeCell ref="AZ3801:AZ3804"/>
    <mergeCell ref="BA3801:BA3804"/>
    <mergeCell ref="BI3801:BI3804"/>
    <mergeCell ref="AV3805:AV3806"/>
    <mergeCell ref="AW3805:AW3806"/>
    <mergeCell ref="AX3805:AX3806"/>
    <mergeCell ref="AY3805:AY3806"/>
    <mergeCell ref="AZ3805:AZ3806"/>
    <mergeCell ref="BA3805:BA3806"/>
    <mergeCell ref="BI3805:BI3806"/>
    <mergeCell ref="AV3808:AV3811"/>
    <mergeCell ref="AW3808:AW3811"/>
    <mergeCell ref="AX3808:AX3811"/>
    <mergeCell ref="AY3808:AY3811"/>
    <mergeCell ref="AZ3808:AZ3811"/>
    <mergeCell ref="BA3808:BA3811"/>
    <mergeCell ref="AV3812:AV3817"/>
    <mergeCell ref="AW3812:AW3817"/>
    <mergeCell ref="AX3812:AX3817"/>
    <mergeCell ref="AY3812:AY3817"/>
    <mergeCell ref="AZ3812:AZ3817"/>
    <mergeCell ref="BA3812:BA3817"/>
    <mergeCell ref="AV3818:AV3821"/>
    <mergeCell ref="AW3818:AW3821"/>
    <mergeCell ref="AX3818:AX3821"/>
    <mergeCell ref="AY3818:AY3821"/>
    <mergeCell ref="AZ3818:AZ3821"/>
    <mergeCell ref="BA3818:BA3821"/>
    <mergeCell ref="AV3822:AV3825"/>
    <mergeCell ref="AW3822:AW3825"/>
    <mergeCell ref="AX3822:AX3825"/>
    <mergeCell ref="AY3822:AY3825"/>
    <mergeCell ref="AZ3822:AZ3825"/>
    <mergeCell ref="BA3822:BA3825"/>
    <mergeCell ref="AV3826:AV3831"/>
    <mergeCell ref="AW3826:AW3831"/>
    <mergeCell ref="AX3826:AX3831"/>
    <mergeCell ref="AY3826:AY3831"/>
    <mergeCell ref="AZ3826:AZ3831"/>
    <mergeCell ref="BA3826:BA3831"/>
    <mergeCell ref="AV3849:AV3850"/>
    <mergeCell ref="AW3849:AW3850"/>
    <mergeCell ref="AX3849:AX3850"/>
    <mergeCell ref="AY3849:AY3850"/>
    <mergeCell ref="AZ3849:AZ3850"/>
    <mergeCell ref="BA3849:BA3850"/>
    <mergeCell ref="BI3849:BI3850"/>
    <mergeCell ref="AV3853:AV3854"/>
    <mergeCell ref="AW3853:AW3854"/>
    <mergeCell ref="AX3853:AX3854"/>
    <mergeCell ref="AY3853:AY3854"/>
    <mergeCell ref="AZ3853:AZ3854"/>
    <mergeCell ref="BA3853:BA3854"/>
    <mergeCell ref="BI3853:BI3854"/>
    <mergeCell ref="AV3867:AV3868"/>
    <mergeCell ref="AW3867:AW3868"/>
    <mergeCell ref="AX3867:AX3868"/>
    <mergeCell ref="AY3867:AY3868"/>
    <mergeCell ref="AZ3867:AZ3868"/>
    <mergeCell ref="BA3867:BA3868"/>
    <mergeCell ref="BI3867:BI3868"/>
    <mergeCell ref="AV3873:AV3874"/>
    <mergeCell ref="AW3873:AW3874"/>
    <mergeCell ref="AX3873:AX3874"/>
    <mergeCell ref="AY3873:AY3874"/>
    <mergeCell ref="AZ3873:AZ3874"/>
    <mergeCell ref="BA3873:BA3874"/>
    <mergeCell ref="BI3873:BI3874"/>
    <mergeCell ref="AV3910:AV3912"/>
    <mergeCell ref="AW3910:AW3912"/>
    <mergeCell ref="AX3910:AX3912"/>
    <mergeCell ref="AY3910:AY3912"/>
    <mergeCell ref="AZ3910:AZ3912"/>
    <mergeCell ref="BA3910:BA3912"/>
    <mergeCell ref="AV3913:AV3914"/>
    <mergeCell ref="AW3913:AW3914"/>
    <mergeCell ref="AX3913:AX3914"/>
    <mergeCell ref="AY3913:AY3914"/>
    <mergeCell ref="AZ3913:AZ3914"/>
    <mergeCell ref="BA3913:BA3914"/>
    <mergeCell ref="AV3915:AV3917"/>
    <mergeCell ref="AW3915:AW3917"/>
    <mergeCell ref="AX3915:AX3917"/>
    <mergeCell ref="AY3915:AY3917"/>
    <mergeCell ref="AZ3915:AZ3917"/>
    <mergeCell ref="BA3915:BA3917"/>
    <mergeCell ref="AV3918:AV3920"/>
    <mergeCell ref="AW3918:AW3920"/>
    <mergeCell ref="AX3918:AX3920"/>
    <mergeCell ref="AY3918:AY3920"/>
    <mergeCell ref="AZ3918:AZ3920"/>
    <mergeCell ref="BA3918:BA3920"/>
    <mergeCell ref="AV3921:AV3923"/>
    <mergeCell ref="AW3921:AW3923"/>
    <mergeCell ref="AX3921:AX3923"/>
    <mergeCell ref="AY3921:AY3923"/>
    <mergeCell ref="AZ3921:AZ3923"/>
    <mergeCell ref="BA3921:BA3923"/>
    <mergeCell ref="AV3924:AV3926"/>
    <mergeCell ref="AW3924:AW3926"/>
    <mergeCell ref="AX3924:AX3926"/>
    <mergeCell ref="AY3924:AY3926"/>
    <mergeCell ref="AZ3924:AZ3926"/>
    <mergeCell ref="BA3924:BA3926"/>
    <mergeCell ref="AV3927:AV3930"/>
    <mergeCell ref="AW3927:AW3930"/>
    <mergeCell ref="AX3927:AX3930"/>
    <mergeCell ref="AY3927:AY3930"/>
    <mergeCell ref="AZ3927:AZ3930"/>
    <mergeCell ref="BA3927:BA3930"/>
    <mergeCell ref="BI3927:BI3930"/>
    <mergeCell ref="AV3931:AV3933"/>
    <mergeCell ref="AW3931:AW3933"/>
    <mergeCell ref="AX3931:AX3933"/>
    <mergeCell ref="AY3931:AY3933"/>
    <mergeCell ref="AZ3931:AZ3933"/>
    <mergeCell ref="BA3931:BA3933"/>
    <mergeCell ref="BI3931:BI3933"/>
    <mergeCell ref="AV3934:AV3936"/>
    <mergeCell ref="AW3934:AW3936"/>
    <mergeCell ref="AX3934:AX3936"/>
    <mergeCell ref="AY3934:AY3936"/>
    <mergeCell ref="AZ3934:AZ3936"/>
    <mergeCell ref="BA3934:BA3936"/>
    <mergeCell ref="BI3934:BI3936"/>
    <mergeCell ref="AV3937:AV3939"/>
    <mergeCell ref="AW3937:AW3939"/>
    <mergeCell ref="AX3937:AX3939"/>
    <mergeCell ref="AY3937:AY3939"/>
    <mergeCell ref="AZ3937:AZ3939"/>
    <mergeCell ref="BA3937:BA3939"/>
    <mergeCell ref="BI3937:BI3939"/>
    <mergeCell ref="AV3940:AV3941"/>
    <mergeCell ref="AW3940:AW3941"/>
    <mergeCell ref="AX3940:AX3941"/>
    <mergeCell ref="AY3940:AY3941"/>
    <mergeCell ref="AZ3940:AZ3941"/>
    <mergeCell ref="BA3940:BA3941"/>
    <mergeCell ref="BI3940:BI3941"/>
    <mergeCell ref="AV3942:AV3943"/>
    <mergeCell ref="AW3942:AW3943"/>
    <mergeCell ref="AX3942:AX3943"/>
    <mergeCell ref="AY3942:AY3943"/>
    <mergeCell ref="AZ3942:AZ3943"/>
    <mergeCell ref="BA3942:BA3943"/>
    <mergeCell ref="BI3942:BI3943"/>
    <mergeCell ref="AV3944:AV3945"/>
    <mergeCell ref="AW3944:AW3945"/>
    <mergeCell ref="AX3944:AX3945"/>
    <mergeCell ref="AY3944:AY3945"/>
    <mergeCell ref="AZ3944:AZ3945"/>
    <mergeCell ref="BA3944:BA3945"/>
    <mergeCell ref="BI3944:BI3945"/>
    <mergeCell ref="AV3946:AV3947"/>
    <mergeCell ref="AW3946:AW3947"/>
    <mergeCell ref="AX3946:AX3947"/>
    <mergeCell ref="AY3946:AY3947"/>
    <mergeCell ref="AZ3946:AZ3947"/>
    <mergeCell ref="BA3946:BA3947"/>
    <mergeCell ref="BI3946:BI3947"/>
    <mergeCell ref="AV3948:AV3949"/>
    <mergeCell ref="AW3948:AW3949"/>
    <mergeCell ref="AX3948:AX3949"/>
    <mergeCell ref="AY3948:AY3949"/>
    <mergeCell ref="AZ3948:AZ3949"/>
    <mergeCell ref="BA3948:BA3949"/>
    <mergeCell ref="BI3948:BI3949"/>
    <mergeCell ref="AV3950:AV3952"/>
    <mergeCell ref="AW3950:AW3952"/>
    <mergeCell ref="AX3950:AX3952"/>
    <mergeCell ref="AY3950:AY3952"/>
    <mergeCell ref="AZ3950:AZ3952"/>
    <mergeCell ref="BA3950:BA3952"/>
    <mergeCell ref="BI3950:BI3952"/>
    <mergeCell ref="AV3954:AV3955"/>
    <mergeCell ref="AW3954:AW3955"/>
    <mergeCell ref="AX3954:AX3955"/>
    <mergeCell ref="AY3954:AY3955"/>
    <mergeCell ref="AZ3954:AZ3955"/>
    <mergeCell ref="BA3954:BA3955"/>
    <mergeCell ref="BI3954:BI3955"/>
    <mergeCell ref="AV3956:AV3957"/>
    <mergeCell ref="AW3956:AW3957"/>
    <mergeCell ref="AX3956:AX3957"/>
    <mergeCell ref="AY3956:AY3957"/>
    <mergeCell ref="AZ3956:AZ3957"/>
    <mergeCell ref="BA3956:BA3957"/>
    <mergeCell ref="BI3956:BI3957"/>
    <mergeCell ref="AV3959:AV3964"/>
    <mergeCell ref="AW3959:AW3964"/>
    <mergeCell ref="AX3959:AX3964"/>
    <mergeCell ref="AY3959:AY3964"/>
    <mergeCell ref="AZ3959:AZ3964"/>
    <mergeCell ref="BA3959:BA3964"/>
    <mergeCell ref="BI3959:BI3964"/>
    <mergeCell ref="AV3965:AV3966"/>
    <mergeCell ref="AW3965:AW3966"/>
    <mergeCell ref="AX3965:AX3966"/>
    <mergeCell ref="AY3965:AY3966"/>
    <mergeCell ref="AZ3965:AZ3966"/>
    <mergeCell ref="BA3965:BA3966"/>
    <mergeCell ref="BI3965:BI3966"/>
    <mergeCell ref="AV3967:AV3968"/>
    <mergeCell ref="AW3967:AW3968"/>
    <mergeCell ref="AX3967:AX3968"/>
    <mergeCell ref="AY3967:AY3968"/>
    <mergeCell ref="AZ3967:AZ3968"/>
    <mergeCell ref="BA3967:BA3968"/>
    <mergeCell ref="BI3967:BI3968"/>
    <mergeCell ref="AV3969:AV3970"/>
    <mergeCell ref="AW3969:AW3970"/>
    <mergeCell ref="AX3969:AX3970"/>
    <mergeCell ref="AY3969:AY3970"/>
    <mergeCell ref="AZ3969:AZ3970"/>
    <mergeCell ref="BA3969:BA3970"/>
    <mergeCell ref="BI3969:BI3970"/>
    <mergeCell ref="AV3971:AV3972"/>
    <mergeCell ref="AW3971:AW3972"/>
    <mergeCell ref="AX3971:AX3972"/>
    <mergeCell ref="AY3971:AY3972"/>
    <mergeCell ref="AZ3971:AZ3972"/>
    <mergeCell ref="BA3971:BA3972"/>
    <mergeCell ref="BI3971:BI3972"/>
    <mergeCell ref="AV3973:AV3974"/>
    <mergeCell ref="AW3973:AW3974"/>
    <mergeCell ref="AX3973:AX3974"/>
    <mergeCell ref="AY3973:AY3974"/>
    <mergeCell ref="AZ3973:AZ3974"/>
    <mergeCell ref="BA3973:BA3974"/>
    <mergeCell ref="BI3973:BI3974"/>
    <mergeCell ref="AV3976:AV3978"/>
    <mergeCell ref="AW3976:AW3978"/>
    <mergeCell ref="AX3976:AX3978"/>
    <mergeCell ref="AY3976:AY3978"/>
    <mergeCell ref="AZ3976:AZ3978"/>
    <mergeCell ref="BA3976:BA3978"/>
    <mergeCell ref="AV3979:AV3980"/>
    <mergeCell ref="AW3979:AW3980"/>
    <mergeCell ref="AX3979:AX3980"/>
    <mergeCell ref="AY3979:AY3980"/>
    <mergeCell ref="AZ3979:AZ3980"/>
    <mergeCell ref="BA3979:BA3980"/>
    <mergeCell ref="AV3981:AV3982"/>
    <mergeCell ref="AW3981:AW3982"/>
    <mergeCell ref="AX3981:AX3982"/>
    <mergeCell ref="AY3981:AY3982"/>
    <mergeCell ref="AZ3981:AZ3982"/>
    <mergeCell ref="BA3981:BA3982"/>
    <mergeCell ref="AV3983:AV3984"/>
    <mergeCell ref="AW3983:AW3984"/>
    <mergeCell ref="AX3983:AX3984"/>
    <mergeCell ref="AY3983:AY3984"/>
    <mergeCell ref="AZ3983:AZ3984"/>
    <mergeCell ref="BA3983:BA3984"/>
    <mergeCell ref="BI3983:BI3984"/>
    <mergeCell ref="AV3988:AV3989"/>
    <mergeCell ref="AW3988:AW3989"/>
    <mergeCell ref="AX3988:AX3989"/>
    <mergeCell ref="AY3988:AY3989"/>
    <mergeCell ref="AZ3988:AZ3989"/>
    <mergeCell ref="BA3988:BA3989"/>
    <mergeCell ref="BI3988:BI3989"/>
    <mergeCell ref="AV3990:AV3992"/>
    <mergeCell ref="AW3990:AW3992"/>
    <mergeCell ref="AX3990:AX3992"/>
    <mergeCell ref="AY3990:AY3992"/>
    <mergeCell ref="AZ3990:AZ3992"/>
    <mergeCell ref="BA3990:BA3992"/>
    <mergeCell ref="BI3990:BI3992"/>
    <mergeCell ref="AV3996:AV3998"/>
    <mergeCell ref="AW3996:AW3998"/>
    <mergeCell ref="AX3996:AX3998"/>
    <mergeCell ref="AY3996:AY3998"/>
    <mergeCell ref="AZ3996:AZ3998"/>
    <mergeCell ref="BA3996:BA3998"/>
    <mergeCell ref="BI3996:BI3998"/>
    <mergeCell ref="AV4000:AV4002"/>
    <mergeCell ref="AW4000:AW4002"/>
    <mergeCell ref="AX4000:AX4002"/>
    <mergeCell ref="AY4000:AY4002"/>
    <mergeCell ref="AZ4000:AZ4002"/>
    <mergeCell ref="BA4000:BA4002"/>
    <mergeCell ref="BI4000:BI4002"/>
    <mergeCell ref="AV4003:AV4004"/>
    <mergeCell ref="AW4003:AW4004"/>
    <mergeCell ref="AX4003:AX4004"/>
    <mergeCell ref="AY4003:AY4004"/>
    <mergeCell ref="AZ4003:AZ4004"/>
    <mergeCell ref="BA4003:BA4004"/>
    <mergeCell ref="BI4003:BI4004"/>
    <mergeCell ref="AV4007:AV4008"/>
    <mergeCell ref="AW4007:AW4008"/>
    <mergeCell ref="AX4007:AX4008"/>
    <mergeCell ref="AY4007:AY4008"/>
    <mergeCell ref="AZ4007:AZ4008"/>
    <mergeCell ref="BA4007:BA4008"/>
    <mergeCell ref="AV4010:AV4011"/>
    <mergeCell ref="AW4010:AW4011"/>
    <mergeCell ref="AX4010:AX4011"/>
    <mergeCell ref="AY4010:AY4011"/>
    <mergeCell ref="AZ4010:AZ4011"/>
    <mergeCell ref="BA4010:BA4011"/>
    <mergeCell ref="AV4012:AV4013"/>
    <mergeCell ref="AW4012:AW4013"/>
    <mergeCell ref="AX4012:AX4013"/>
    <mergeCell ref="AY4012:AY4013"/>
    <mergeCell ref="AZ4012:AZ4013"/>
    <mergeCell ref="BA4012:BA4013"/>
    <mergeCell ref="AV4014:AV4016"/>
    <mergeCell ref="AW4014:AW4016"/>
    <mergeCell ref="AX4014:AX4016"/>
    <mergeCell ref="AY4014:AY4016"/>
    <mergeCell ref="AZ4014:AZ4016"/>
    <mergeCell ref="BA4014:BA4016"/>
    <mergeCell ref="AV4017:AV4018"/>
    <mergeCell ref="AW4017:AW4018"/>
    <mergeCell ref="AX4017:AX4018"/>
    <mergeCell ref="AY4017:AY4018"/>
    <mergeCell ref="AZ4017:AZ4018"/>
    <mergeCell ref="BA4017:BA4018"/>
    <mergeCell ref="AV4020:AV4021"/>
    <mergeCell ref="AW4020:AW4021"/>
    <mergeCell ref="AX4020:AX4021"/>
    <mergeCell ref="AY4020:AY4021"/>
    <mergeCell ref="AZ4020:AZ4021"/>
    <mergeCell ref="BA4020:BA4021"/>
    <mergeCell ref="BI4020:BI4021"/>
    <mergeCell ref="AV4026:AV4030"/>
    <mergeCell ref="AW4026:AW4030"/>
    <mergeCell ref="AX4026:AX4030"/>
    <mergeCell ref="AY4026:AY4030"/>
    <mergeCell ref="AZ4026:AZ4030"/>
    <mergeCell ref="BA4026:BA4030"/>
    <mergeCell ref="BI4026:BI4030"/>
    <mergeCell ref="AV4031:AV4038"/>
    <mergeCell ref="AW4031:AW4038"/>
    <mergeCell ref="AX4031:AX4038"/>
    <mergeCell ref="AY4031:AY4038"/>
    <mergeCell ref="AZ4031:AZ4038"/>
    <mergeCell ref="BA4031:BA4038"/>
    <mergeCell ref="BI4031:BI4038"/>
    <mergeCell ref="AV4039:AV4042"/>
    <mergeCell ref="AW4039:AW4042"/>
    <mergeCell ref="AX4039:AX4042"/>
    <mergeCell ref="AY4039:AY4042"/>
    <mergeCell ref="AZ4039:AZ4042"/>
    <mergeCell ref="BA4039:BA4042"/>
    <mergeCell ref="BI4039:BI4042"/>
    <mergeCell ref="AV4043:AV4050"/>
    <mergeCell ref="AW4043:AW4050"/>
    <mergeCell ref="AX4043:AX4050"/>
    <mergeCell ref="AY4043:AY4050"/>
    <mergeCell ref="AZ4043:AZ4050"/>
    <mergeCell ref="BA4043:BA4050"/>
    <mergeCell ref="BI4043:BI4050"/>
    <mergeCell ref="AV4051:AV4058"/>
    <mergeCell ref="AW4051:AW4058"/>
    <mergeCell ref="AX4051:AX4058"/>
    <mergeCell ref="AY4051:AY4058"/>
    <mergeCell ref="AZ4051:AZ4058"/>
    <mergeCell ref="BA4051:BA4058"/>
    <mergeCell ref="BI4051:BI4058"/>
    <mergeCell ref="AV4059:AV4063"/>
    <mergeCell ref="AW4059:AW4063"/>
    <mergeCell ref="AX4059:AX4063"/>
    <mergeCell ref="AY4059:AY4063"/>
    <mergeCell ref="AZ4059:AZ4063"/>
    <mergeCell ref="BA4059:BA4063"/>
    <mergeCell ref="AV4064:AV4068"/>
    <mergeCell ref="AW4064:AW4068"/>
    <mergeCell ref="AX4064:AX4068"/>
    <mergeCell ref="AY4064:AY4068"/>
    <mergeCell ref="AZ4064:AZ4068"/>
    <mergeCell ref="BA4064:BA4068"/>
    <mergeCell ref="AV4069:AV4073"/>
    <mergeCell ref="AW4069:AW4073"/>
    <mergeCell ref="AX4069:AX4073"/>
    <mergeCell ref="AY4069:AY4073"/>
    <mergeCell ref="AZ4069:AZ4073"/>
    <mergeCell ref="BA4069:BA4073"/>
    <mergeCell ref="AV4074:AV4078"/>
    <mergeCell ref="AW4074:AW4078"/>
    <mergeCell ref="AX4074:AX4078"/>
    <mergeCell ref="AY4074:AY4078"/>
    <mergeCell ref="AZ4074:AZ4078"/>
    <mergeCell ref="BA4074:BA4078"/>
    <mergeCell ref="AV4098:AV4100"/>
    <mergeCell ref="AW4098:AW4100"/>
    <mergeCell ref="AX4098:AX4100"/>
    <mergeCell ref="AY4098:AY4100"/>
    <mergeCell ref="AZ4098:AZ4100"/>
    <mergeCell ref="BA4098:BA4100"/>
    <mergeCell ref="BI4098:BI4100"/>
    <mergeCell ref="AV4101:AV4103"/>
    <mergeCell ref="AW4101:AW4103"/>
    <mergeCell ref="AX4101:AX4103"/>
    <mergeCell ref="AY4101:AY4103"/>
    <mergeCell ref="AZ4101:AZ4103"/>
    <mergeCell ref="BA4101:BA4103"/>
    <mergeCell ref="BI4101:BI4103"/>
    <mergeCell ref="AV4104:AV4105"/>
    <mergeCell ref="AW4104:AW4105"/>
    <mergeCell ref="AX4104:AX4105"/>
    <mergeCell ref="AY4104:AY4105"/>
    <mergeCell ref="AZ4104:AZ4105"/>
    <mergeCell ref="BA4104:BA4105"/>
    <mergeCell ref="BI4104:BI4105"/>
    <mergeCell ref="AV4106:AV4107"/>
    <mergeCell ref="AW4106:AW4107"/>
    <mergeCell ref="AX4106:AX4107"/>
    <mergeCell ref="AY4106:AY4107"/>
    <mergeCell ref="AZ4106:AZ4107"/>
    <mergeCell ref="BA4106:BA4107"/>
    <mergeCell ref="BI4106:BI4107"/>
    <mergeCell ref="AV4108:AV4109"/>
    <mergeCell ref="AW4108:AW4109"/>
    <mergeCell ref="AX4108:AX4109"/>
    <mergeCell ref="AY4108:AY4109"/>
    <mergeCell ref="AZ4108:AZ4109"/>
    <mergeCell ref="BA4108:BA4109"/>
    <mergeCell ref="BI4108:BI4109"/>
    <mergeCell ref="AV4110:AV4111"/>
    <mergeCell ref="AW4110:AW4111"/>
    <mergeCell ref="AX4110:AX4111"/>
    <mergeCell ref="AY4110:AY4111"/>
    <mergeCell ref="AZ4110:AZ4111"/>
    <mergeCell ref="BA4110:BA4111"/>
    <mergeCell ref="BI4110:BI4111"/>
    <mergeCell ref="AV4113:AV4114"/>
    <mergeCell ref="AW4113:AW4114"/>
    <mergeCell ref="AX4113:AX4114"/>
    <mergeCell ref="AY4113:AY4114"/>
    <mergeCell ref="AZ4113:AZ4114"/>
    <mergeCell ref="BA4113:BA4114"/>
    <mergeCell ref="BI4113:BI4114"/>
    <mergeCell ref="AV4115:AV4117"/>
    <mergeCell ref="AW4115:AW4117"/>
    <mergeCell ref="AX4115:AX4117"/>
    <mergeCell ref="AY4115:AY4117"/>
    <mergeCell ref="AZ4115:AZ4117"/>
    <mergeCell ref="BA4115:BA4117"/>
    <mergeCell ref="AV4121:AV4123"/>
    <mergeCell ref="AW4121:AW4123"/>
    <mergeCell ref="AX4121:AX4123"/>
    <mergeCell ref="AY4121:AY4123"/>
    <mergeCell ref="AZ4121:AZ4123"/>
    <mergeCell ref="BA4121:BA4123"/>
    <mergeCell ref="AV4124:AV4126"/>
    <mergeCell ref="AW4124:AW4126"/>
    <mergeCell ref="AX4124:AX4126"/>
    <mergeCell ref="AY4124:AY4126"/>
    <mergeCell ref="AZ4124:AZ4126"/>
    <mergeCell ref="BA4124:BA4126"/>
    <mergeCell ref="AV4127:AV4128"/>
    <mergeCell ref="AW4127:AW4128"/>
    <mergeCell ref="AX4127:AX4128"/>
    <mergeCell ref="AY4127:AY4128"/>
    <mergeCell ref="AZ4127:AZ4128"/>
    <mergeCell ref="BA4127:BA4128"/>
    <mergeCell ref="AV4129:AV4130"/>
    <mergeCell ref="AW4129:AW4130"/>
    <mergeCell ref="AX4129:AX4130"/>
    <mergeCell ref="AY4129:AY4130"/>
    <mergeCell ref="AZ4129:AZ4130"/>
    <mergeCell ref="BA4129:BA4130"/>
    <mergeCell ref="AV4132:AV4134"/>
    <mergeCell ref="AW4132:AW4134"/>
    <mergeCell ref="AX4132:AX4134"/>
    <mergeCell ref="AY4132:AY4134"/>
    <mergeCell ref="AZ4132:AZ4134"/>
    <mergeCell ref="BA4132:BA4134"/>
    <mergeCell ref="BI4132:BI4134"/>
    <mergeCell ref="AV4135:AV4137"/>
    <mergeCell ref="AW4135:AW4137"/>
    <mergeCell ref="AX4135:AX4137"/>
    <mergeCell ref="AY4135:AY4137"/>
    <mergeCell ref="AZ4135:AZ4137"/>
    <mergeCell ref="BA4135:BA4137"/>
    <mergeCell ref="BI4135:BI4137"/>
    <mergeCell ref="AV4138:AV4139"/>
    <mergeCell ref="AW4138:AW4139"/>
    <mergeCell ref="AX4138:AX4139"/>
    <mergeCell ref="AY4138:AY4139"/>
    <mergeCell ref="AZ4138:AZ4139"/>
    <mergeCell ref="BA4138:BA4139"/>
    <mergeCell ref="BI4138:BI4139"/>
    <mergeCell ref="AV4140:AV4141"/>
    <mergeCell ref="AW4140:AW4141"/>
    <mergeCell ref="AX4140:AX4141"/>
    <mergeCell ref="AY4140:AY4141"/>
    <mergeCell ref="AZ4140:AZ4141"/>
    <mergeCell ref="BA4140:BA4141"/>
    <mergeCell ref="BI4140:BI4141"/>
    <mergeCell ref="AV4144:AV4145"/>
    <mergeCell ref="AW4144:AW4145"/>
    <mergeCell ref="AX4144:AX4145"/>
    <mergeCell ref="AY4144:AY4145"/>
    <mergeCell ref="AZ4144:AZ4145"/>
    <mergeCell ref="BA4144:BA4145"/>
    <mergeCell ref="AV4152:AV4153"/>
    <mergeCell ref="AW4152:AW4153"/>
    <mergeCell ref="AX4152:AX4153"/>
    <mergeCell ref="AY4152:AY4153"/>
    <mergeCell ref="AZ4152:AZ4153"/>
    <mergeCell ref="BA4152:BA4153"/>
    <mergeCell ref="BI4152:BI4153"/>
    <mergeCell ref="AV4154:AV4155"/>
    <mergeCell ref="AW4154:AW4155"/>
    <mergeCell ref="AX4154:AX4155"/>
    <mergeCell ref="AY4154:AY4155"/>
    <mergeCell ref="AZ4154:AZ4155"/>
    <mergeCell ref="BA4154:BA4155"/>
    <mergeCell ref="AV4159:AV4160"/>
    <mergeCell ref="AW4159:AW4160"/>
    <mergeCell ref="AX4159:AX4160"/>
    <mergeCell ref="AY4159:AY4160"/>
    <mergeCell ref="AZ4159:AZ4160"/>
    <mergeCell ref="BA4159:BA4160"/>
    <mergeCell ref="AV4161:AV4162"/>
    <mergeCell ref="AW4161:AW4162"/>
    <mergeCell ref="AX4161:AX4162"/>
    <mergeCell ref="AY4161:AY4162"/>
    <mergeCell ref="AZ4161:AZ4162"/>
    <mergeCell ref="BA4161:BA4162"/>
    <mergeCell ref="AV4178:AV4179"/>
    <mergeCell ref="AW4178:AW4179"/>
    <mergeCell ref="AX4178:AX4179"/>
    <mergeCell ref="AY4178:AY4179"/>
    <mergeCell ref="AZ4178:AZ4179"/>
    <mergeCell ref="BA4178:BA4179"/>
    <mergeCell ref="AV4182:AV4183"/>
    <mergeCell ref="AW4182:AW4183"/>
    <mergeCell ref="AX4182:AX4183"/>
    <mergeCell ref="AY4182:AY4183"/>
    <mergeCell ref="AZ4182:AZ4183"/>
    <mergeCell ref="BA4182:BA4183"/>
    <mergeCell ref="AV4184:AV4186"/>
    <mergeCell ref="AW4184:AW4186"/>
    <mergeCell ref="AX4184:AX4186"/>
    <mergeCell ref="AY4184:AY4186"/>
    <mergeCell ref="AZ4184:AZ4186"/>
    <mergeCell ref="BA4184:BA4186"/>
    <mergeCell ref="AV4187:AV4189"/>
    <mergeCell ref="AW4187:AW4189"/>
    <mergeCell ref="AX4187:AX4189"/>
    <mergeCell ref="AY4187:AY4189"/>
    <mergeCell ref="AZ4187:AZ4189"/>
    <mergeCell ref="BA4187:BA4189"/>
    <mergeCell ref="AV4190:AV4191"/>
    <mergeCell ref="AW4190:AW4191"/>
    <mergeCell ref="AX4190:AX4191"/>
    <mergeCell ref="AY4190:AY4191"/>
    <mergeCell ref="AZ4190:AZ4191"/>
    <mergeCell ref="BA4190:BA4191"/>
    <mergeCell ref="AV4195:AV4197"/>
    <mergeCell ref="AW4195:AW4197"/>
    <mergeCell ref="AX4195:AX4197"/>
    <mergeCell ref="AY4195:AY4197"/>
    <mergeCell ref="AZ4195:AZ4197"/>
    <mergeCell ref="BA4195:BA4197"/>
    <mergeCell ref="BI4195:BI4197"/>
    <mergeCell ref="AV4198:AV4201"/>
    <mergeCell ref="AW4198:AW4201"/>
    <mergeCell ref="AX4198:AX4201"/>
    <mergeCell ref="AY4198:AY4201"/>
    <mergeCell ref="AZ4198:AZ4201"/>
    <mergeCell ref="BA4198:BA4201"/>
    <mergeCell ref="BI4198:BI4201"/>
    <mergeCell ref="AV4202:AV4205"/>
    <mergeCell ref="AW4202:AW4205"/>
    <mergeCell ref="AX4202:AX4205"/>
    <mergeCell ref="AY4202:AY4205"/>
    <mergeCell ref="AZ4202:AZ4205"/>
    <mergeCell ref="BA4202:BA4205"/>
    <mergeCell ref="BI4202:BI4205"/>
    <mergeCell ref="AV4206:AV4208"/>
    <mergeCell ref="AW4206:AW4208"/>
    <mergeCell ref="AX4206:AX4208"/>
    <mergeCell ref="AY4206:AY4208"/>
    <mergeCell ref="AZ4206:AZ4208"/>
    <mergeCell ref="BA4206:BA4208"/>
    <mergeCell ref="BI4206:BI4208"/>
    <mergeCell ref="AV4209:AV4211"/>
    <mergeCell ref="AW4209:AW4211"/>
    <mergeCell ref="AX4209:AX4211"/>
    <mergeCell ref="AY4209:AY4211"/>
    <mergeCell ref="AZ4209:AZ4211"/>
    <mergeCell ref="BA4209:BA4211"/>
    <mergeCell ref="BI4209:BI4211"/>
    <mergeCell ref="AV4212:AV4214"/>
    <mergeCell ref="AW4212:AW4214"/>
    <mergeCell ref="AX4212:AX4214"/>
    <mergeCell ref="AY4212:AY4214"/>
    <mergeCell ref="AZ4212:AZ4214"/>
    <mergeCell ref="BA4212:BA4214"/>
    <mergeCell ref="BI4212:BI4214"/>
    <mergeCell ref="AV4216:AV4218"/>
    <mergeCell ref="AW4216:AW4218"/>
    <mergeCell ref="AX4216:AX4218"/>
    <mergeCell ref="AY4216:AY4218"/>
    <mergeCell ref="AZ4216:AZ4218"/>
    <mergeCell ref="BA4216:BA4218"/>
    <mergeCell ref="BI4216:BI4218"/>
    <mergeCell ref="AV4219:AV4221"/>
    <mergeCell ref="AW4219:AW4221"/>
    <mergeCell ref="AX4219:AX4221"/>
    <mergeCell ref="AY4219:AY4221"/>
    <mergeCell ref="AZ4219:AZ4221"/>
    <mergeCell ref="BA4219:BA4221"/>
    <mergeCell ref="BI4219:BI4221"/>
    <mergeCell ref="AV4222:AV4224"/>
    <mergeCell ref="AW4222:AW4224"/>
    <mergeCell ref="AX4222:AX4224"/>
    <mergeCell ref="AY4222:AY4224"/>
    <mergeCell ref="AZ4222:AZ4224"/>
    <mergeCell ref="BA4222:BA4224"/>
    <mergeCell ref="BI4222:BI4224"/>
    <mergeCell ref="AV4226:AV4228"/>
    <mergeCell ref="AW4226:AW4228"/>
    <mergeCell ref="AX4226:AX4228"/>
    <mergeCell ref="AY4226:AY4228"/>
    <mergeCell ref="AZ4226:AZ4228"/>
    <mergeCell ref="BA4226:BA4228"/>
    <mergeCell ref="BI4226:BI4228"/>
    <mergeCell ref="AV4233:AV4234"/>
    <mergeCell ref="AW4233:AW4234"/>
    <mergeCell ref="AX4233:AX4234"/>
    <mergeCell ref="AY4233:AY4234"/>
    <mergeCell ref="AZ4233:AZ4234"/>
    <mergeCell ref="BA4233:BA4234"/>
    <mergeCell ref="AV4235:AV4237"/>
    <mergeCell ref="AW4235:AW4237"/>
    <mergeCell ref="AX4235:AX4237"/>
    <mergeCell ref="AY4235:AY4237"/>
    <mergeCell ref="AZ4235:AZ4237"/>
    <mergeCell ref="BA4235:BA4237"/>
    <mergeCell ref="AV4238:AV4240"/>
    <mergeCell ref="AW4238:AW4240"/>
    <mergeCell ref="AX4238:AX4240"/>
    <mergeCell ref="AY4238:AY4240"/>
    <mergeCell ref="AZ4238:AZ4240"/>
    <mergeCell ref="BA4238:BA4240"/>
    <mergeCell ref="AV4241:AV4243"/>
    <mergeCell ref="AW4241:AW4243"/>
    <mergeCell ref="AX4241:AX4243"/>
    <mergeCell ref="AY4241:AY4243"/>
    <mergeCell ref="AZ4241:AZ4243"/>
    <mergeCell ref="BA4241:BA4243"/>
    <mergeCell ref="AV4244:AV4245"/>
    <mergeCell ref="AW4244:AW4245"/>
    <mergeCell ref="AX4244:AX4245"/>
    <mergeCell ref="AY4244:AY4245"/>
    <mergeCell ref="AZ4244:AZ4245"/>
    <mergeCell ref="BA4244:BA4245"/>
    <mergeCell ref="AV4247:AV4248"/>
    <mergeCell ref="AW4247:AW4248"/>
    <mergeCell ref="AX4247:AX4248"/>
    <mergeCell ref="AY4247:AY4248"/>
    <mergeCell ref="AZ4247:AZ4248"/>
    <mergeCell ref="BA4247:BA4248"/>
    <mergeCell ref="AV4249:AV4250"/>
    <mergeCell ref="AW4249:AW4250"/>
    <mergeCell ref="AX4249:AX4250"/>
    <mergeCell ref="AY4249:AY4250"/>
    <mergeCell ref="AZ4249:AZ4250"/>
    <mergeCell ref="BA4249:BA4250"/>
    <mergeCell ref="AV4251:AV4252"/>
    <mergeCell ref="AW4251:AW4252"/>
    <mergeCell ref="AX4251:AX4252"/>
    <mergeCell ref="AY4251:AY4252"/>
    <mergeCell ref="AZ4251:AZ4252"/>
    <mergeCell ref="BA4251:BA4252"/>
    <mergeCell ref="AV4253:AV4254"/>
    <mergeCell ref="AW4253:AW4254"/>
    <mergeCell ref="AX4253:AX4254"/>
    <mergeCell ref="AY4253:AY4254"/>
    <mergeCell ref="AZ4253:AZ4254"/>
    <mergeCell ref="BA4253:BA4254"/>
    <mergeCell ref="AV4255:AV4257"/>
    <mergeCell ref="AW4255:AW4257"/>
    <mergeCell ref="AX4255:AX4257"/>
    <mergeCell ref="AY4255:AY4257"/>
    <mergeCell ref="AZ4255:AZ4257"/>
    <mergeCell ref="BA4255:BA4257"/>
    <mergeCell ref="AV4258:AV4259"/>
    <mergeCell ref="AW4258:AW4259"/>
    <mergeCell ref="AX4258:AX4259"/>
    <mergeCell ref="AY4258:AY4259"/>
    <mergeCell ref="AZ4258:AZ4259"/>
    <mergeCell ref="BA4258:BA4259"/>
    <mergeCell ref="AV4260:AV4262"/>
    <mergeCell ref="AW4260:AW4262"/>
    <mergeCell ref="AX4260:AX4262"/>
    <mergeCell ref="AY4260:AY4262"/>
    <mergeCell ref="AZ4260:AZ4262"/>
    <mergeCell ref="BA4260:BA4262"/>
    <mergeCell ref="AV4263:AV4264"/>
    <mergeCell ref="AW4263:AW4264"/>
    <mergeCell ref="AX4263:AX4264"/>
    <mergeCell ref="AY4263:AY4264"/>
    <mergeCell ref="AZ4263:AZ4264"/>
    <mergeCell ref="BA4263:BA4264"/>
    <mergeCell ref="AV4265:AV4267"/>
    <mergeCell ref="AW4265:AW4267"/>
    <mergeCell ref="AX4265:AX4267"/>
    <mergeCell ref="AY4265:AY4267"/>
    <mergeCell ref="AZ4265:AZ4267"/>
    <mergeCell ref="BA4265:BA4267"/>
    <mergeCell ref="AV4268:AV4270"/>
    <mergeCell ref="AW4268:AW4270"/>
    <mergeCell ref="AX4268:AX4270"/>
    <mergeCell ref="AY4268:AY4270"/>
    <mergeCell ref="AZ4268:AZ4270"/>
    <mergeCell ref="BA4268:BA4270"/>
    <mergeCell ref="AV4271:AV4273"/>
    <mergeCell ref="AW4271:AW4273"/>
    <mergeCell ref="AX4271:AX4273"/>
    <mergeCell ref="AY4271:AY4273"/>
    <mergeCell ref="AZ4271:AZ4273"/>
    <mergeCell ref="BA4271:BA4273"/>
    <mergeCell ref="AV4274:AV4276"/>
    <mergeCell ref="AW4274:AW4276"/>
    <mergeCell ref="AX4274:AX4276"/>
    <mergeCell ref="AY4274:AY4276"/>
    <mergeCell ref="AZ4274:AZ4276"/>
    <mergeCell ref="BA4274:BA4276"/>
    <mergeCell ref="AV4277:AV4279"/>
    <mergeCell ref="AW4277:AW4279"/>
    <mergeCell ref="AX4277:AX4279"/>
    <mergeCell ref="AY4277:AY4279"/>
    <mergeCell ref="AZ4277:AZ4279"/>
    <mergeCell ref="BA4277:BA4279"/>
    <mergeCell ref="AV4280:AV4282"/>
    <mergeCell ref="AW4280:AW4282"/>
    <mergeCell ref="AX4280:AX4282"/>
    <mergeCell ref="AY4280:AY4282"/>
    <mergeCell ref="AZ4280:AZ4282"/>
    <mergeCell ref="BA4280:BA4282"/>
    <mergeCell ref="AV4283:AV4285"/>
    <mergeCell ref="AW4283:AW4285"/>
    <mergeCell ref="AX4283:AX4285"/>
    <mergeCell ref="AY4283:AY4285"/>
    <mergeCell ref="AZ4283:AZ4285"/>
    <mergeCell ref="BA4283:BA4285"/>
    <mergeCell ref="AV4286:AV4288"/>
    <mergeCell ref="AW4286:AW4288"/>
    <mergeCell ref="AX4286:AX4288"/>
    <mergeCell ref="AY4286:AY4288"/>
    <mergeCell ref="AZ4286:AZ4288"/>
    <mergeCell ref="BA4286:BA4288"/>
    <mergeCell ref="AV4289:AV4291"/>
    <mergeCell ref="AW4289:AW4291"/>
    <mergeCell ref="AX4289:AX4291"/>
    <mergeCell ref="AY4289:AY4291"/>
    <mergeCell ref="AZ4289:AZ4291"/>
    <mergeCell ref="BA4289:BA4291"/>
    <mergeCell ref="AV4292:AV4294"/>
    <mergeCell ref="AW4292:AW4294"/>
    <mergeCell ref="AX4292:AX4294"/>
    <mergeCell ref="AY4292:AY4294"/>
    <mergeCell ref="AZ4292:AZ4294"/>
    <mergeCell ref="BA4292:BA4294"/>
    <mergeCell ref="AV4295:AV4297"/>
    <mergeCell ref="AW4295:AW4297"/>
    <mergeCell ref="AX4295:AX4297"/>
    <mergeCell ref="AY4295:AY4297"/>
    <mergeCell ref="AZ4295:AZ4297"/>
    <mergeCell ref="BA4295:BA4297"/>
    <mergeCell ref="AV4298:AV4300"/>
    <mergeCell ref="AW4298:AW4300"/>
    <mergeCell ref="AX4298:AX4300"/>
    <mergeCell ref="AY4298:AY4300"/>
    <mergeCell ref="AZ4298:AZ4300"/>
    <mergeCell ref="BA4298:BA4300"/>
    <mergeCell ref="AV4301:AV4303"/>
    <mergeCell ref="AW4301:AW4303"/>
    <mergeCell ref="AX4301:AX4303"/>
    <mergeCell ref="AY4301:AY4303"/>
    <mergeCell ref="AZ4301:AZ4303"/>
    <mergeCell ref="BA4301:BA4303"/>
    <mergeCell ref="AV4304:AV4305"/>
    <mergeCell ref="AW4304:AW4305"/>
    <mergeCell ref="AX4304:AX4305"/>
    <mergeCell ref="AY4304:AY4305"/>
    <mergeCell ref="AZ4304:AZ4305"/>
    <mergeCell ref="BA4304:BA4305"/>
    <mergeCell ref="AV4306:AV4307"/>
    <mergeCell ref="AW4306:AW4307"/>
    <mergeCell ref="AX4306:AX4307"/>
    <mergeCell ref="AY4306:AY4307"/>
    <mergeCell ref="AZ4306:AZ4307"/>
    <mergeCell ref="BA4306:BA4307"/>
    <mergeCell ref="AV4308:AV4309"/>
    <mergeCell ref="AW4308:AW4309"/>
    <mergeCell ref="AX4308:AX4309"/>
    <mergeCell ref="AY4308:AY4309"/>
    <mergeCell ref="AZ4308:AZ4309"/>
    <mergeCell ref="BA4308:BA4309"/>
    <mergeCell ref="AV4310:AV4312"/>
    <mergeCell ref="AW4310:AW4312"/>
    <mergeCell ref="AX4310:AX4312"/>
    <mergeCell ref="AY4310:AY4312"/>
    <mergeCell ref="AZ4310:AZ4312"/>
    <mergeCell ref="BA4310:BA4312"/>
    <mergeCell ref="AV4313:AV4315"/>
    <mergeCell ref="AW4313:AW4315"/>
    <mergeCell ref="AX4313:AX4315"/>
    <mergeCell ref="AY4313:AY4315"/>
    <mergeCell ref="AZ4313:AZ4315"/>
    <mergeCell ref="BA4313:BA4315"/>
    <mergeCell ref="BI4313:BI4315"/>
    <mergeCell ref="AV4316:AV4318"/>
    <mergeCell ref="AW4316:AW4318"/>
    <mergeCell ref="AX4316:AX4318"/>
    <mergeCell ref="AY4316:AY4318"/>
    <mergeCell ref="AZ4316:AZ4318"/>
    <mergeCell ref="BA4316:BA4318"/>
    <mergeCell ref="BI4316:BI4318"/>
    <mergeCell ref="AV4319:AV4320"/>
    <mergeCell ref="AW4319:AW4320"/>
    <mergeCell ref="AX4319:AX4320"/>
    <mergeCell ref="AY4319:AY4320"/>
    <mergeCell ref="AZ4319:AZ4320"/>
    <mergeCell ref="BA4319:BA4320"/>
    <mergeCell ref="BI4319:BI4320"/>
    <mergeCell ref="AV4321:AV4323"/>
    <mergeCell ref="AW4321:AW4323"/>
    <mergeCell ref="AX4321:AX4323"/>
    <mergeCell ref="AY4321:AY4323"/>
    <mergeCell ref="AZ4321:AZ4323"/>
    <mergeCell ref="BA4321:BA4323"/>
    <mergeCell ref="BI4321:BI4323"/>
    <mergeCell ref="AV4324:AV4326"/>
    <mergeCell ref="AW4324:AW4326"/>
    <mergeCell ref="AX4324:AX4326"/>
    <mergeCell ref="AY4324:AY4326"/>
    <mergeCell ref="AZ4324:AZ4326"/>
    <mergeCell ref="BA4324:BA4326"/>
    <mergeCell ref="BI4324:BI4326"/>
    <mergeCell ref="AV4327:AV4329"/>
    <mergeCell ref="AW4327:AW4329"/>
    <mergeCell ref="AX4327:AX4329"/>
    <mergeCell ref="AY4327:AY4329"/>
    <mergeCell ref="AZ4327:AZ4329"/>
    <mergeCell ref="BA4327:BA4329"/>
    <mergeCell ref="BI4327:BI4329"/>
    <mergeCell ref="AV4330:AV4332"/>
    <mergeCell ref="AW4330:AW4332"/>
    <mergeCell ref="AX4330:AX4332"/>
    <mergeCell ref="AY4330:AY4332"/>
    <mergeCell ref="AZ4330:AZ4332"/>
    <mergeCell ref="BA4330:BA4332"/>
    <mergeCell ref="BI4330:BI4332"/>
    <mergeCell ref="AV4333:AV4334"/>
    <mergeCell ref="AW4333:AW4334"/>
    <mergeCell ref="AX4333:AX4334"/>
    <mergeCell ref="AY4333:AY4334"/>
    <mergeCell ref="AZ4333:AZ4334"/>
    <mergeCell ref="BA4333:BA4334"/>
    <mergeCell ref="AV4335:AV4337"/>
    <mergeCell ref="AW4335:AW4337"/>
    <mergeCell ref="AX4335:AX4337"/>
    <mergeCell ref="AY4335:AY4337"/>
    <mergeCell ref="AZ4335:AZ4337"/>
    <mergeCell ref="BA4335:BA4337"/>
    <mergeCell ref="AV4338:AV4340"/>
    <mergeCell ref="AW4338:AW4340"/>
    <mergeCell ref="AX4338:AX4340"/>
    <mergeCell ref="AY4338:AY4340"/>
    <mergeCell ref="AZ4338:AZ4340"/>
    <mergeCell ref="BA4338:BA4340"/>
    <mergeCell ref="AV4341:AV4343"/>
    <mergeCell ref="AW4341:AW4343"/>
    <mergeCell ref="AX4341:AX4343"/>
    <mergeCell ref="AY4341:AY4343"/>
    <mergeCell ref="AZ4341:AZ4343"/>
    <mergeCell ref="BA4341:BA4343"/>
    <mergeCell ref="AV4344:AV4345"/>
    <mergeCell ref="AW4344:AW4345"/>
    <mergeCell ref="AX4344:AX4345"/>
    <mergeCell ref="AY4344:AY4345"/>
    <mergeCell ref="AZ4344:AZ4345"/>
    <mergeCell ref="BA4344:BA4345"/>
    <mergeCell ref="AV4346:AV4347"/>
    <mergeCell ref="AW4346:AW4347"/>
    <mergeCell ref="AX4346:AX4347"/>
    <mergeCell ref="AY4346:AY4347"/>
    <mergeCell ref="AZ4346:AZ4347"/>
    <mergeCell ref="BA4346:BA4347"/>
    <mergeCell ref="AV4348:AV4349"/>
    <mergeCell ref="AW4348:AW4349"/>
    <mergeCell ref="AX4348:AX4349"/>
    <mergeCell ref="AY4348:AY4349"/>
    <mergeCell ref="AZ4348:AZ4349"/>
    <mergeCell ref="BA4348:BA4349"/>
    <mergeCell ref="AV4350:AV4352"/>
    <mergeCell ref="AW4350:AW4352"/>
    <mergeCell ref="AX4350:AX4352"/>
    <mergeCell ref="AY4350:AY4352"/>
    <mergeCell ref="AZ4350:AZ4352"/>
    <mergeCell ref="BA4350:BA4352"/>
    <mergeCell ref="AV4353:AV4354"/>
    <mergeCell ref="AW4353:AW4354"/>
    <mergeCell ref="AX4353:AX4354"/>
    <mergeCell ref="AY4353:AY4354"/>
    <mergeCell ref="AZ4353:AZ4354"/>
    <mergeCell ref="BA4353:BA4354"/>
    <mergeCell ref="AV4355:AV4357"/>
    <mergeCell ref="AW4355:AW4357"/>
    <mergeCell ref="AX4355:AX4357"/>
    <mergeCell ref="AY4355:AY4357"/>
    <mergeCell ref="AZ4355:AZ4357"/>
    <mergeCell ref="BA4355:BA4357"/>
    <mergeCell ref="AV4358:AV4359"/>
    <mergeCell ref="AW4358:AW4359"/>
    <mergeCell ref="AX4358:AX4359"/>
    <mergeCell ref="AY4358:AY4359"/>
    <mergeCell ref="AZ4358:AZ4359"/>
    <mergeCell ref="BA4358:BA4359"/>
    <mergeCell ref="AV4360:AV4361"/>
    <mergeCell ref="AW4360:AW4361"/>
    <mergeCell ref="AX4360:AX4361"/>
    <mergeCell ref="AY4360:AY4361"/>
    <mergeCell ref="AZ4360:AZ4361"/>
    <mergeCell ref="BA4360:BA4361"/>
    <mergeCell ref="AV4362:AV4363"/>
    <mergeCell ref="AW4362:AW4363"/>
    <mergeCell ref="AX4362:AX4363"/>
    <mergeCell ref="AY4362:AY4363"/>
    <mergeCell ref="AZ4362:AZ4363"/>
    <mergeCell ref="BA4362:BA4363"/>
    <mergeCell ref="AV4364:AV4365"/>
    <mergeCell ref="AW4364:AW4365"/>
    <mergeCell ref="AX4364:AX4365"/>
    <mergeCell ref="AY4364:AY4365"/>
    <mergeCell ref="AZ4364:AZ4365"/>
    <mergeCell ref="BA4364:BA4365"/>
    <mergeCell ref="AV4366:AV4367"/>
    <mergeCell ref="AW4366:AW4367"/>
    <mergeCell ref="AX4366:AX4367"/>
    <mergeCell ref="AY4366:AY4367"/>
    <mergeCell ref="AZ4366:AZ4367"/>
    <mergeCell ref="BA4366:BA4367"/>
    <mergeCell ref="AV4368:AV4369"/>
    <mergeCell ref="AW4368:AW4369"/>
    <mergeCell ref="AX4368:AX4369"/>
    <mergeCell ref="AY4368:AY4369"/>
    <mergeCell ref="AZ4368:AZ4369"/>
    <mergeCell ref="BA4368:BA4369"/>
    <mergeCell ref="AV4370:AV4371"/>
    <mergeCell ref="AW4370:AW4371"/>
    <mergeCell ref="AX4370:AX4371"/>
    <mergeCell ref="AY4370:AY4371"/>
    <mergeCell ref="AZ4370:AZ4371"/>
    <mergeCell ref="BA4370:BA4371"/>
    <mergeCell ref="AV4372:AV4373"/>
    <mergeCell ref="AW4372:AW4373"/>
    <mergeCell ref="AX4372:AX4373"/>
    <mergeCell ref="AY4372:AY4373"/>
    <mergeCell ref="AZ4372:AZ4373"/>
    <mergeCell ref="BA4372:BA4373"/>
    <mergeCell ref="AV4374:AV4376"/>
    <mergeCell ref="AW4374:AW4376"/>
    <mergeCell ref="AX4374:AX4376"/>
    <mergeCell ref="AY4374:AY4376"/>
    <mergeCell ref="AZ4374:AZ4376"/>
    <mergeCell ref="BA4374:BA4376"/>
    <mergeCell ref="AV4377:AV4378"/>
    <mergeCell ref="AW4377:AW4378"/>
    <mergeCell ref="AX4377:AX4378"/>
    <mergeCell ref="AY4377:AY4378"/>
    <mergeCell ref="AZ4377:AZ4378"/>
    <mergeCell ref="BA4377:BA4378"/>
    <mergeCell ref="BI4377:BI4378"/>
    <mergeCell ref="AV4379:AV4380"/>
    <mergeCell ref="AW4379:AW4380"/>
    <mergeCell ref="AX4379:AX4380"/>
    <mergeCell ref="AY4379:AY4380"/>
    <mergeCell ref="AZ4379:AZ4380"/>
    <mergeCell ref="BA4379:BA4380"/>
    <mergeCell ref="AV4382:AV4383"/>
    <mergeCell ref="AW4382:AW4383"/>
    <mergeCell ref="AX4382:AX4383"/>
    <mergeCell ref="AY4382:AY4383"/>
    <mergeCell ref="AZ4382:AZ4383"/>
    <mergeCell ref="BA4382:BA4383"/>
    <mergeCell ref="BI4382:BI4383"/>
    <mergeCell ref="AV4384:AV4385"/>
    <mergeCell ref="AW4384:AW4385"/>
    <mergeCell ref="AX4384:AX4385"/>
    <mergeCell ref="AY4384:AY4385"/>
    <mergeCell ref="AZ4384:AZ4385"/>
    <mergeCell ref="BA4384:BA4385"/>
    <mergeCell ref="AV4387:AV4388"/>
    <mergeCell ref="AW4387:AW4388"/>
    <mergeCell ref="AX4387:AX4388"/>
    <mergeCell ref="AY4387:AY4388"/>
    <mergeCell ref="AZ4387:AZ4388"/>
    <mergeCell ref="BA4387:BA4388"/>
    <mergeCell ref="AV4389:AV4390"/>
    <mergeCell ref="AW4389:AW4390"/>
    <mergeCell ref="AX4389:AX4390"/>
    <mergeCell ref="AY4389:AY4390"/>
    <mergeCell ref="AZ4389:AZ4390"/>
    <mergeCell ref="BA4389:BA4390"/>
    <mergeCell ref="AV4391:AV4392"/>
    <mergeCell ref="AW4391:AW4392"/>
    <mergeCell ref="AX4391:AX4392"/>
    <mergeCell ref="AY4391:AY4392"/>
    <mergeCell ref="AZ4391:AZ4392"/>
    <mergeCell ref="BA4391:BA4392"/>
    <mergeCell ref="AV4393:AV4394"/>
    <mergeCell ref="AW4393:AW4394"/>
    <mergeCell ref="AX4393:AX4394"/>
    <mergeCell ref="AY4393:AY4394"/>
    <mergeCell ref="AZ4393:AZ4394"/>
    <mergeCell ref="BA4393:BA4394"/>
    <mergeCell ref="AV4395:AV4396"/>
    <mergeCell ref="AW4395:AW4396"/>
    <mergeCell ref="AX4395:AX4396"/>
    <mergeCell ref="AY4395:AY4396"/>
    <mergeCell ref="AZ4395:AZ4396"/>
    <mergeCell ref="BA4395:BA4396"/>
    <mergeCell ref="AV4397:AV4398"/>
    <mergeCell ref="AW4397:AW4398"/>
    <mergeCell ref="AX4397:AX4398"/>
    <mergeCell ref="AY4397:AY4398"/>
    <mergeCell ref="AZ4397:AZ4398"/>
    <mergeCell ref="BA4397:BA4398"/>
    <mergeCell ref="AV4399:AV4400"/>
    <mergeCell ref="AW4399:AW4400"/>
    <mergeCell ref="AX4399:AX4400"/>
    <mergeCell ref="AY4399:AY4400"/>
    <mergeCell ref="AZ4399:AZ4400"/>
    <mergeCell ref="BA4399:BA4400"/>
    <mergeCell ref="AV4401:AV4402"/>
    <mergeCell ref="AW4401:AW4402"/>
    <mergeCell ref="AX4401:AX4402"/>
    <mergeCell ref="AY4401:AY4402"/>
    <mergeCell ref="AZ4401:AZ4402"/>
    <mergeCell ref="BA4401:BA4402"/>
    <mergeCell ref="AV4405:AV4406"/>
    <mergeCell ref="AW4405:AW4406"/>
    <mergeCell ref="AX4405:AX4406"/>
    <mergeCell ref="AY4405:AY4406"/>
    <mergeCell ref="AZ4405:AZ4406"/>
    <mergeCell ref="BA4405:BA4406"/>
    <mergeCell ref="AV4407:AV4408"/>
    <mergeCell ref="AW4407:AW4408"/>
    <mergeCell ref="AX4407:AX4408"/>
    <mergeCell ref="AY4407:AY4408"/>
    <mergeCell ref="AZ4407:AZ4408"/>
    <mergeCell ref="BA4407:BA4408"/>
    <mergeCell ref="AV4409:AV4410"/>
    <mergeCell ref="AW4409:AW4410"/>
    <mergeCell ref="AX4409:AX4410"/>
    <mergeCell ref="AY4409:AY4410"/>
    <mergeCell ref="AZ4409:AZ4410"/>
    <mergeCell ref="BA4409:BA4410"/>
    <mergeCell ref="AV4411:AV4412"/>
    <mergeCell ref="AW4411:AW4412"/>
    <mergeCell ref="AX4411:AX4412"/>
    <mergeCell ref="AY4411:AY4412"/>
    <mergeCell ref="AZ4411:AZ4412"/>
    <mergeCell ref="BA4411:BA4412"/>
    <mergeCell ref="AV4413:AV4414"/>
    <mergeCell ref="AW4413:AW4414"/>
    <mergeCell ref="AX4413:AX4414"/>
    <mergeCell ref="AY4413:AY4414"/>
    <mergeCell ref="AZ4413:AZ4414"/>
    <mergeCell ref="BA4413:BA4414"/>
    <mergeCell ref="AV4415:AV4416"/>
    <mergeCell ref="AW4415:AW4416"/>
    <mergeCell ref="AX4415:AX4416"/>
    <mergeCell ref="AY4415:AY4416"/>
    <mergeCell ref="AZ4415:AZ4416"/>
    <mergeCell ref="BA4415:BA4416"/>
    <mergeCell ref="AV4418:AV4419"/>
    <mergeCell ref="AW4418:AW4419"/>
    <mergeCell ref="AX4418:AX4419"/>
    <mergeCell ref="AY4418:AY4419"/>
    <mergeCell ref="AZ4418:AZ4419"/>
    <mergeCell ref="BA4418:BA4419"/>
    <mergeCell ref="AV4420:AV4421"/>
    <mergeCell ref="AW4420:AW4421"/>
    <mergeCell ref="AX4420:AX4421"/>
    <mergeCell ref="AY4420:AY4421"/>
    <mergeCell ref="AZ4420:AZ4421"/>
    <mergeCell ref="BA4420:BA4421"/>
    <mergeCell ref="AV4422:AV4423"/>
    <mergeCell ref="AW4422:AW4423"/>
    <mergeCell ref="AX4422:AX4423"/>
    <mergeCell ref="AY4422:AY4423"/>
    <mergeCell ref="AZ4422:AZ4423"/>
    <mergeCell ref="BA4422:BA4423"/>
    <mergeCell ref="AV4424:AV4426"/>
    <mergeCell ref="AW4424:AW4426"/>
    <mergeCell ref="AX4424:AX4426"/>
    <mergeCell ref="AY4424:AY4426"/>
    <mergeCell ref="AZ4424:AZ4426"/>
    <mergeCell ref="BA4424:BA4426"/>
    <mergeCell ref="AV4427:AV4428"/>
    <mergeCell ref="AW4427:AW4428"/>
    <mergeCell ref="AX4427:AX4428"/>
    <mergeCell ref="AY4427:AY4428"/>
    <mergeCell ref="AZ4427:AZ4428"/>
    <mergeCell ref="BA4427:BA4428"/>
    <mergeCell ref="AV4429:AV4431"/>
    <mergeCell ref="AW4429:AW4431"/>
    <mergeCell ref="AX4429:AX4431"/>
    <mergeCell ref="AY4429:AY4431"/>
    <mergeCell ref="AZ4429:AZ4431"/>
    <mergeCell ref="BA4429:BA4431"/>
    <mergeCell ref="AV4432:AV4434"/>
    <mergeCell ref="AW4432:AW4434"/>
    <mergeCell ref="AX4432:AX4434"/>
    <mergeCell ref="AY4432:AY4434"/>
    <mergeCell ref="AZ4432:AZ4434"/>
    <mergeCell ref="BA4432:BA4434"/>
    <mergeCell ref="AV4435:AV4436"/>
    <mergeCell ref="AW4435:AW4436"/>
    <mergeCell ref="AX4435:AX4436"/>
    <mergeCell ref="AY4435:AY4436"/>
    <mergeCell ref="AZ4435:AZ4436"/>
    <mergeCell ref="BA4435:BA4436"/>
    <mergeCell ref="AV4437:AV4438"/>
    <mergeCell ref="AW4437:AW4438"/>
    <mergeCell ref="AX4437:AX4438"/>
    <mergeCell ref="AY4437:AY4438"/>
    <mergeCell ref="AZ4437:AZ4438"/>
    <mergeCell ref="BA4437:BA4438"/>
    <mergeCell ref="AV4439:AV4441"/>
    <mergeCell ref="AW4439:AW4441"/>
    <mergeCell ref="AX4439:AX4441"/>
    <mergeCell ref="AY4439:AY4441"/>
    <mergeCell ref="AZ4439:AZ4441"/>
    <mergeCell ref="BA4439:BA4441"/>
    <mergeCell ref="AV4443:AV4444"/>
    <mergeCell ref="AW4443:AW4444"/>
    <mergeCell ref="AX4443:AX4444"/>
    <mergeCell ref="AY4443:AY4444"/>
    <mergeCell ref="AZ4443:AZ4444"/>
    <mergeCell ref="BA4443:BA4444"/>
    <mergeCell ref="AV4445:AV4446"/>
    <mergeCell ref="AW4445:AW4446"/>
    <mergeCell ref="AX4445:AX4446"/>
    <mergeCell ref="AY4445:AY4446"/>
    <mergeCell ref="AZ4445:AZ4446"/>
    <mergeCell ref="BA4445:BA4446"/>
    <mergeCell ref="AV4447:AV4448"/>
    <mergeCell ref="AW4447:AW4448"/>
    <mergeCell ref="AX4447:AX4448"/>
    <mergeCell ref="AY4447:AY4448"/>
    <mergeCell ref="AZ4447:AZ4448"/>
    <mergeCell ref="BA4447:BA4448"/>
    <mergeCell ref="AV4449:AV4450"/>
    <mergeCell ref="AW4449:AW4450"/>
    <mergeCell ref="AX4449:AX4450"/>
    <mergeCell ref="AY4449:AY4450"/>
    <mergeCell ref="AZ4449:AZ4450"/>
    <mergeCell ref="BA4449:BA4450"/>
    <mergeCell ref="AV4451:AV4452"/>
    <mergeCell ref="AW4451:AW4452"/>
    <mergeCell ref="AX4451:AX4452"/>
    <mergeCell ref="AY4451:AY4452"/>
    <mergeCell ref="AZ4451:AZ4452"/>
    <mergeCell ref="BA4451:BA4452"/>
    <mergeCell ref="AV4453:AV4454"/>
    <mergeCell ref="AW4453:AW4454"/>
    <mergeCell ref="AX4453:AX4454"/>
    <mergeCell ref="AY4453:AY4454"/>
    <mergeCell ref="AZ4453:AZ4454"/>
    <mergeCell ref="BA4453:BA4454"/>
    <mergeCell ref="AV4455:AV4456"/>
    <mergeCell ref="AW4455:AW4456"/>
    <mergeCell ref="AX4455:AX4456"/>
    <mergeCell ref="AY4455:AY4456"/>
    <mergeCell ref="AZ4455:AZ4456"/>
    <mergeCell ref="BA4455:BA4456"/>
    <mergeCell ref="BB2789:BB2790"/>
    <mergeCell ref="BB3504:BB3505"/>
    <mergeCell ref="BB3506:BB3507"/>
    <mergeCell ref="BB3508:BB3509"/>
    <mergeCell ref="BB3510:BB3511"/>
    <mergeCell ref="BB3513:BB3514"/>
    <mergeCell ref="BB3515:BB3516"/>
    <mergeCell ref="BB3517:BB3518"/>
    <mergeCell ref="BB3519:BB3520"/>
    <mergeCell ref="BB3522:BB3523"/>
    <mergeCell ref="BB3524:BB3525"/>
    <mergeCell ref="BB3526:BB3527"/>
    <mergeCell ref="BB3528:BB3529"/>
    <mergeCell ref="BB3530:BB3531"/>
    <mergeCell ref="BB3532:BB3533"/>
    <mergeCell ref="BB3927:BB3928"/>
    <mergeCell ref="BB3934:BB3935"/>
    <mergeCell ref="BB3937:BB3938"/>
    <mergeCell ref="BB3976:BB397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1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13366</v>
      </c>
      <c r="D2" s="0" t="s">
        <v>13367</v>
      </c>
      <c r="E2" s="0" t="s">
        <v>13368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13369</v>
      </c>
      <c r="J4" s="1" t="s">
        <v>13370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13371</v>
      </c>
      <c r="P4" s="1" t="s">
        <v>13372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13373</v>
      </c>
      <c r="F5" s="1" t="s">
        <v>13374</v>
      </c>
      <c r="G5" s="1" t="s">
        <v>13373</v>
      </c>
      <c r="H5" s="1" t="s">
        <v>13374</v>
      </c>
      <c r="I5" s="1" t="s">
        <v>13369</v>
      </c>
      <c r="J5" s="1" t="s">
        <v>13370</v>
      </c>
      <c r="K5" s="1" t="s">
        <v>13375</v>
      </c>
      <c r="L5" s="1" t="s">
        <v>13376</v>
      </c>
      <c r="M5" s="1" t="s">
        <v>13375</v>
      </c>
      <c r="N5" s="1" t="s">
        <v>13376</v>
      </c>
      <c r="O5" s="1" t="s">
        <v>13371</v>
      </c>
      <c r="P5" s="1" t="s">
        <v>13372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412</v>
      </c>
      <c r="F6" s="8">
        <v>20052.98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212</v>
      </c>
      <c r="L6" s="8">
        <v>9586.2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232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65</v>
      </c>
      <c r="L7" s="8">
        <v>3828.51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506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63</v>
      </c>
      <c r="L8" s="8">
        <v>2716.95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89</v>
      </c>
      <c r="D9" s="2" t="s">
        <v>691</v>
      </c>
      <c r="E9" s="4" t="s">
        <v>100</v>
      </c>
      <c r="F9" s="8" t="s">
        <v>100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42</v>
      </c>
      <c r="L9" s="8">
        <v>2301.59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89</v>
      </c>
      <c r="D10" s="2" t="s">
        <v>783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30</v>
      </c>
      <c r="L10" s="8">
        <v>1619.73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803</v>
      </c>
      <c r="D11" s="2" t="s">
        <v>804</v>
      </c>
      <c r="E11" s="4">
        <v>255</v>
      </c>
      <c r="F11" s="8">
        <v>19819.08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217</v>
      </c>
      <c r="L11" s="8">
        <v>16062.96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803</v>
      </c>
      <c r="D12" s="2" t="s">
        <v>1475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32</v>
      </c>
      <c r="L12" s="8">
        <v>3233.58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803</v>
      </c>
      <c r="D13" s="2" t="s">
        <v>1532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6</v>
      </c>
      <c r="L13" s="8">
        <v>522.54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1638</v>
      </c>
      <c r="D14" s="2" t="s">
        <v>1639</v>
      </c>
      <c r="E14" s="4">
        <v>47</v>
      </c>
      <c r="F14" s="8">
        <v>2624.06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31</v>
      </c>
      <c r="L14" s="8">
        <v>1668.73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1638</v>
      </c>
      <c r="D15" s="2" t="s">
        <v>1759</v>
      </c>
      <c r="E15" s="4" t="s">
        <v>100</v>
      </c>
      <c r="F15" s="8" t="s">
        <v>100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16</v>
      </c>
      <c r="L15" s="8">
        <v>955.33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1842</v>
      </c>
      <c r="D16" s="2" t="s">
        <v>1843</v>
      </c>
      <c r="E16" s="4">
        <v>78</v>
      </c>
      <c r="F16" s="8">
        <v>1547.86</v>
      </c>
      <c r="G16" s="4"/>
      <c r="H16" s="8"/>
      <c r="I16" s="7"/>
      <c r="J16" s="7"/>
      <c r="K16" s="4">
        <v>78</v>
      </c>
      <c r="L16" s="8">
        <v>1547.86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1857</v>
      </c>
      <c r="D17" s="2" t="s">
        <v>1858</v>
      </c>
      <c r="E17" s="4">
        <v>15</v>
      </c>
      <c r="F17" s="8">
        <v>103.95</v>
      </c>
      <c r="G17" s="4"/>
      <c r="H17" s="8"/>
      <c r="I17" s="7"/>
      <c r="J17" s="7"/>
      <c r="K17" s="4">
        <v>15</v>
      </c>
      <c r="L17" s="8">
        <v>103.95</v>
      </c>
      <c r="M17" s="4"/>
      <c r="N17" s="8"/>
      <c r="O17" s="7"/>
      <c r="P17" s="7"/>
    </row>
    <row r="18">
      <c r="A18" s="2" t="s">
        <v>87</v>
      </c>
      <c r="B18" s="2" t="s">
        <v>1867</v>
      </c>
      <c r="C18" s="2" t="s">
        <v>803</v>
      </c>
      <c r="D18" s="2" t="s">
        <v>1868</v>
      </c>
      <c r="E18" s="4">
        <v>238</v>
      </c>
      <c r="F18" s="8">
        <v>20104.97</v>
      </c>
      <c r="G18" s="4" t="s">
        <v>100</v>
      </c>
      <c r="H18" s="8" t="s">
        <v>100</v>
      </c>
      <c r="I18" s="7" t="s">
        <v>100</v>
      </c>
      <c r="J18" s="7" t="s">
        <v>100</v>
      </c>
      <c r="K18" s="4">
        <v>131</v>
      </c>
      <c r="L18" s="8">
        <v>13539.11</v>
      </c>
      <c r="M18" s="4"/>
      <c r="N18" s="8"/>
      <c r="O18" s="7"/>
      <c r="P18" s="7"/>
    </row>
    <row r="19">
      <c r="A19" s="2" t="s">
        <v>87</v>
      </c>
      <c r="B19" s="2" t="s">
        <v>1867</v>
      </c>
      <c r="C19" s="2" t="s">
        <v>803</v>
      </c>
      <c r="D19" s="2" t="s">
        <v>1475</v>
      </c>
      <c r="E19" s="4" t="s">
        <v>100</v>
      </c>
      <c r="F19" s="8" t="s">
        <v>100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107</v>
      </c>
      <c r="L19" s="8">
        <v>6565.86</v>
      </c>
      <c r="M19" s="4"/>
      <c r="N19" s="8"/>
      <c r="O19" s="7"/>
      <c r="P19" s="7"/>
    </row>
    <row r="20">
      <c r="A20" s="2" t="s">
        <v>87</v>
      </c>
      <c r="B20" s="2" t="s">
        <v>1867</v>
      </c>
      <c r="C20" s="2" t="s">
        <v>89</v>
      </c>
      <c r="D20" s="2" t="s">
        <v>1475</v>
      </c>
      <c r="E20" s="4">
        <v>10</v>
      </c>
      <c r="F20" s="8">
        <v>623.71</v>
      </c>
      <c r="G20" s="4"/>
      <c r="H20" s="8"/>
      <c r="I20" s="7"/>
      <c r="J20" s="7"/>
      <c r="K20" s="4">
        <v>10</v>
      </c>
      <c r="L20" s="8">
        <v>623.71</v>
      </c>
      <c r="M20" s="4"/>
      <c r="N20" s="8"/>
      <c r="O20" s="7"/>
      <c r="P20" s="7"/>
    </row>
    <row r="21">
      <c r="A21" s="2" t="s">
        <v>87</v>
      </c>
      <c r="B21" s="2" t="s">
        <v>2213</v>
      </c>
      <c r="C21" s="2" t="s">
        <v>89</v>
      </c>
      <c r="D21" s="2" t="s">
        <v>691</v>
      </c>
      <c r="E21" s="4">
        <v>61</v>
      </c>
      <c r="F21" s="8">
        <v>2106.49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60</v>
      </c>
      <c r="L21" s="8">
        <v>2084.72</v>
      </c>
      <c r="M21" s="4"/>
      <c r="N21" s="8"/>
      <c r="O21" s="7"/>
      <c r="P21" s="7"/>
    </row>
    <row r="22">
      <c r="A22" s="2" t="s">
        <v>87</v>
      </c>
      <c r="B22" s="2" t="s">
        <v>2213</v>
      </c>
      <c r="C22" s="2" t="s">
        <v>89</v>
      </c>
      <c r="D22" s="2" t="s">
        <v>232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</v>
      </c>
      <c r="L22" s="8">
        <v>21.77</v>
      </c>
      <c r="M22" s="4"/>
      <c r="N22" s="8"/>
      <c r="O22" s="7"/>
      <c r="P22" s="7"/>
    </row>
    <row r="23">
      <c r="A23" s="2" t="s">
        <v>87</v>
      </c>
      <c r="B23" s="2" t="s">
        <v>2213</v>
      </c>
      <c r="C23" s="2" t="s">
        <v>803</v>
      </c>
      <c r="D23" s="2" t="s">
        <v>804</v>
      </c>
      <c r="E23" s="4">
        <v>33</v>
      </c>
      <c r="F23" s="8">
        <v>1475.23</v>
      </c>
      <c r="G23" s="4"/>
      <c r="H23" s="8"/>
      <c r="I23" s="7"/>
      <c r="J23" s="7"/>
      <c r="K23" s="4">
        <v>33</v>
      </c>
      <c r="L23" s="8">
        <v>1475.23</v>
      </c>
      <c r="M23" s="4"/>
      <c r="N23" s="8"/>
      <c r="O23" s="7"/>
      <c r="P23" s="7"/>
    </row>
    <row r="24">
      <c r="A24" s="2" t="s">
        <v>87</v>
      </c>
      <c r="B24" s="2" t="s">
        <v>2331</v>
      </c>
      <c r="C24" s="2" t="s">
        <v>89</v>
      </c>
      <c r="D24" s="2" t="s">
        <v>2332</v>
      </c>
      <c r="E24" s="4">
        <v>9</v>
      </c>
      <c r="F24" s="8">
        <v>600.6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9</v>
      </c>
      <c r="L24" s="8">
        <v>600.6</v>
      </c>
      <c r="M24" s="4"/>
      <c r="N24" s="8"/>
      <c r="O24" s="7"/>
      <c r="P24" s="7"/>
    </row>
    <row r="25">
      <c r="A25" s="2" t="s">
        <v>87</v>
      </c>
      <c r="B25" s="2" t="s">
        <v>2331</v>
      </c>
      <c r="C25" s="2" t="s">
        <v>89</v>
      </c>
      <c r="D25" s="2" t="s">
        <v>90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2331</v>
      </c>
      <c r="C26" s="2" t="s">
        <v>1842</v>
      </c>
      <c r="D26" s="2" t="s">
        <v>1843</v>
      </c>
      <c r="E26" s="4">
        <v>19</v>
      </c>
      <c r="F26" s="8">
        <v>505.97</v>
      </c>
      <c r="G26" s="4"/>
      <c r="H26" s="8"/>
      <c r="I26" s="7"/>
      <c r="J26" s="7"/>
      <c r="K26" s="4">
        <v>19</v>
      </c>
      <c r="L26" s="8">
        <v>505.97</v>
      </c>
      <c r="M26" s="4"/>
      <c r="N26" s="8"/>
      <c r="O26" s="7"/>
      <c r="P26" s="7"/>
    </row>
    <row r="27">
      <c r="A27" s="2" t="s">
        <v>87</v>
      </c>
      <c r="B27" s="2" t="s">
        <v>2331</v>
      </c>
      <c r="C27" s="2" t="s">
        <v>1857</v>
      </c>
      <c r="D27" s="2" t="s">
        <v>2427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2331</v>
      </c>
      <c r="C28" s="2" t="s">
        <v>803</v>
      </c>
      <c r="D28" s="2" t="s">
        <v>804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2331</v>
      </c>
      <c r="C29" s="2" t="s">
        <v>803</v>
      </c>
      <c r="D29" s="2" t="s">
        <v>1532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2331</v>
      </c>
      <c r="C30" s="2" t="s">
        <v>1638</v>
      </c>
      <c r="D30" s="2" t="s">
        <v>1639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2331</v>
      </c>
      <c r="C31" s="2" t="s">
        <v>2503</v>
      </c>
      <c r="D31" s="2" t="s">
        <v>2504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2512</v>
      </c>
      <c r="C32" s="2" t="s">
        <v>89</v>
      </c>
      <c r="D32" s="2" t="s">
        <v>232</v>
      </c>
      <c r="E32" s="4">
        <v>2</v>
      </c>
      <c r="F32" s="8">
        <v>119.05</v>
      </c>
      <c r="G32" s="4"/>
      <c r="H32" s="8"/>
      <c r="I32" s="7"/>
      <c r="J32" s="7"/>
      <c r="K32" s="4">
        <v>2</v>
      </c>
      <c r="L32" s="8">
        <v>119.05</v>
      </c>
      <c r="M32" s="4"/>
      <c r="N32" s="8"/>
      <c r="O32" s="7"/>
      <c r="P32" s="7"/>
    </row>
    <row r="33">
      <c r="A33" s="2" t="s">
        <v>87</v>
      </c>
      <c r="B33" s="2" t="s">
        <v>2524</v>
      </c>
      <c r="C33" s="2" t="s">
        <v>803</v>
      </c>
      <c r="D33" s="2" t="s">
        <v>1532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2541</v>
      </c>
      <c r="C34" s="2" t="s">
        <v>803</v>
      </c>
      <c r="D34" s="2" t="s">
        <v>804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2541</v>
      </c>
      <c r="C35" s="2" t="s">
        <v>1638</v>
      </c>
      <c r="D35" s="2" t="s">
        <v>1639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2557</v>
      </c>
      <c r="C36" s="2" t="s">
        <v>803</v>
      </c>
      <c r="D36" s="2" t="s">
        <v>804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2567</v>
      </c>
      <c r="C37" s="2" t="s">
        <v>803</v>
      </c>
      <c r="D37" s="2" t="s">
        <v>804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2567</v>
      </c>
      <c r="C38" s="2" t="s">
        <v>89</v>
      </c>
      <c r="D38" s="2" t="s">
        <v>2577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2567</v>
      </c>
      <c r="C39" s="2" t="s">
        <v>2598</v>
      </c>
      <c r="D39" s="2" t="s">
        <v>2599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2567</v>
      </c>
      <c r="C40" s="2" t="s">
        <v>2605</v>
      </c>
      <c r="D40" s="2" t="s">
        <v>2606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2611</v>
      </c>
      <c r="C41" s="2" t="s">
        <v>1857</v>
      </c>
      <c r="D41" s="2" t="s">
        <v>2427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2611</v>
      </c>
      <c r="C42" s="2" t="s">
        <v>803</v>
      </c>
      <c r="D42" s="2" t="s">
        <v>804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2611</v>
      </c>
      <c r="C43" s="2" t="s">
        <v>89</v>
      </c>
      <c r="D43" s="2" t="s">
        <v>2577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2611</v>
      </c>
      <c r="C44" s="2" t="s">
        <v>1638</v>
      </c>
      <c r="D44" s="2" t="s">
        <v>1639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2611</v>
      </c>
      <c r="C45" s="2" t="s">
        <v>1638</v>
      </c>
      <c r="D45" s="2" t="s">
        <v>1759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2611</v>
      </c>
      <c r="C46" s="2" t="s">
        <v>2503</v>
      </c>
      <c r="D46" s="2" t="s">
        <v>2504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2850</v>
      </c>
      <c r="C47" s="2" t="s">
        <v>1857</v>
      </c>
      <c r="D47" s="2" t="s">
        <v>2427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2850</v>
      </c>
      <c r="C48" s="2" t="s">
        <v>803</v>
      </c>
      <c r="D48" s="2" t="s">
        <v>1532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2850</v>
      </c>
      <c r="C49" s="2" t="s">
        <v>89</v>
      </c>
      <c r="D49" s="2" t="s">
        <v>2577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2850</v>
      </c>
      <c r="C50" s="2" t="s">
        <v>1638</v>
      </c>
      <c r="D50" s="2" t="s">
        <v>1639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2850</v>
      </c>
      <c r="C51" s="2" t="s">
        <v>2503</v>
      </c>
      <c r="D51" s="2" t="s">
        <v>2504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3178</v>
      </c>
      <c r="C52" s="2" t="s">
        <v>803</v>
      </c>
      <c r="D52" s="2" t="s">
        <v>804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3178</v>
      </c>
      <c r="C53" s="2" t="s">
        <v>89</v>
      </c>
      <c r="D53" s="2" t="s">
        <v>2577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3325</v>
      </c>
      <c r="C54" s="2" t="s">
        <v>1857</v>
      </c>
      <c r="D54" s="2" t="s">
        <v>3326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3325</v>
      </c>
      <c r="C55" s="2" t="s">
        <v>1857</v>
      </c>
      <c r="D55" s="2" t="s">
        <v>2427</v>
      </c>
      <c r="E55" s="4" t="s">
        <v>100</v>
      </c>
      <c r="F55" s="8" t="s">
        <v>100</v>
      </c>
      <c r="G55" s="4" t="s">
        <v>100</v>
      </c>
      <c r="H55" s="8" t="s">
        <v>100</v>
      </c>
      <c r="I55" s="7" t="s">
        <v>100</v>
      </c>
      <c r="J55" s="7" t="s">
        <v>100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3325</v>
      </c>
      <c r="C56" s="2" t="s">
        <v>803</v>
      </c>
      <c r="D56" s="2" t="s">
        <v>804</v>
      </c>
      <c r="E56" s="4" t="s">
        <v>100</v>
      </c>
      <c r="F56" s="8" t="s">
        <v>100</v>
      </c>
      <c r="G56" s="4" t="s">
        <v>100</v>
      </c>
      <c r="H56" s="8" t="s">
        <v>100</v>
      </c>
      <c r="I56" s="7" t="s">
        <v>100</v>
      </c>
      <c r="J56" s="7" t="s">
        <v>100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3325</v>
      </c>
      <c r="C57" s="2" t="s">
        <v>803</v>
      </c>
      <c r="D57" s="2" t="s">
        <v>1532</v>
      </c>
      <c r="E57" s="4" t="s">
        <v>100</v>
      </c>
      <c r="F57" s="8" t="s">
        <v>100</v>
      </c>
      <c r="G57" s="4" t="s">
        <v>100</v>
      </c>
      <c r="H57" s="8" t="s">
        <v>100</v>
      </c>
      <c r="I57" s="7" t="s">
        <v>100</v>
      </c>
      <c r="J57" s="7" t="s">
        <v>100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3325</v>
      </c>
      <c r="C58" s="2" t="s">
        <v>1638</v>
      </c>
      <c r="D58" s="2" t="s">
        <v>1639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3325</v>
      </c>
      <c r="C59" s="2" t="s">
        <v>1638</v>
      </c>
      <c r="D59" s="2" t="s">
        <v>1759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3325</v>
      </c>
      <c r="C60" s="2" t="s">
        <v>2503</v>
      </c>
      <c r="D60" s="2" t="s">
        <v>2504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3413</v>
      </c>
      <c r="C61" s="2" t="s">
        <v>803</v>
      </c>
      <c r="D61" s="2" t="s">
        <v>1532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3413</v>
      </c>
      <c r="C62" s="2" t="s">
        <v>1638</v>
      </c>
      <c r="D62" s="2" t="s">
        <v>1639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3413</v>
      </c>
      <c r="C63" s="2" t="s">
        <v>3836</v>
      </c>
      <c r="D63" s="2" t="s">
        <v>506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3864</v>
      </c>
      <c r="B64" s="2" t="s">
        <v>88</v>
      </c>
      <c r="C64" s="2" t="s">
        <v>3865</v>
      </c>
      <c r="D64" s="2" t="s">
        <v>3866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3872</v>
      </c>
      <c r="B65" s="2" t="s">
        <v>2850</v>
      </c>
      <c r="C65" s="2" t="s">
        <v>3873</v>
      </c>
      <c r="D65" s="2" t="s">
        <v>3874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/>
      <c r="L65" s="8"/>
      <c r="M65" s="4"/>
      <c r="N65" s="8"/>
      <c r="O65" s="7"/>
      <c r="P65" s="7"/>
    </row>
    <row r="66">
      <c r="A66" s="2" t="s">
        <v>3872</v>
      </c>
      <c r="B66" s="2" t="s">
        <v>2850</v>
      </c>
      <c r="C66" s="2" t="s">
        <v>3873</v>
      </c>
      <c r="D66" s="2" t="s">
        <v>3882</v>
      </c>
      <c r="E66" s="4" t="s">
        <v>100</v>
      </c>
      <c r="F66" s="8" t="s">
        <v>100</v>
      </c>
      <c r="G66" s="4" t="s">
        <v>100</v>
      </c>
      <c r="H66" s="8" t="s">
        <v>100</v>
      </c>
      <c r="I66" s="7" t="s">
        <v>100</v>
      </c>
      <c r="J66" s="7" t="s">
        <v>100</v>
      </c>
      <c r="K66" s="4"/>
      <c r="L66" s="8"/>
      <c r="M66" s="4"/>
      <c r="N66" s="8"/>
      <c r="O66" s="7"/>
      <c r="P66" s="7"/>
    </row>
    <row r="67">
      <c r="A67" s="2" t="s">
        <v>3872</v>
      </c>
      <c r="B67" s="2" t="s">
        <v>2850</v>
      </c>
      <c r="C67" s="2" t="s">
        <v>3895</v>
      </c>
      <c r="D67" s="2" t="s">
        <v>3896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3872</v>
      </c>
      <c r="B68" s="2" t="s">
        <v>2850</v>
      </c>
      <c r="C68" s="2" t="s">
        <v>3919</v>
      </c>
      <c r="D68" s="2" t="s">
        <v>3920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3872</v>
      </c>
      <c r="B69" s="2" t="s">
        <v>2850</v>
      </c>
      <c r="C69" s="2" t="s">
        <v>3926</v>
      </c>
      <c r="D69" s="2" t="s">
        <v>3927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3872</v>
      </c>
      <c r="B70" s="2" t="s">
        <v>3934</v>
      </c>
      <c r="C70" s="2" t="s">
        <v>3895</v>
      </c>
      <c r="D70" s="2" t="s">
        <v>3896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3872</v>
      </c>
      <c r="B71" s="2" t="s">
        <v>88</v>
      </c>
      <c r="C71" s="2" t="s">
        <v>3941</v>
      </c>
      <c r="D71" s="2" t="s">
        <v>3942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3872</v>
      </c>
      <c r="B72" s="2" t="s">
        <v>88</v>
      </c>
      <c r="C72" s="2" t="s">
        <v>3873</v>
      </c>
      <c r="D72" s="2" t="s">
        <v>3874</v>
      </c>
      <c r="E72" s="4" t="s">
        <v>100</v>
      </c>
      <c r="F72" s="8" t="s">
        <v>100</v>
      </c>
      <c r="G72" s="4" t="s">
        <v>100</v>
      </c>
      <c r="H72" s="8" t="s">
        <v>100</v>
      </c>
      <c r="I72" s="7" t="s">
        <v>100</v>
      </c>
      <c r="J72" s="7" t="s">
        <v>100</v>
      </c>
      <c r="K72" s="4"/>
      <c r="L72" s="8"/>
      <c r="M72" s="4"/>
      <c r="N72" s="8"/>
      <c r="O72" s="7"/>
      <c r="P72" s="7"/>
    </row>
    <row r="73">
      <c r="A73" s="2" t="s">
        <v>3872</v>
      </c>
      <c r="B73" s="2" t="s">
        <v>88</v>
      </c>
      <c r="C73" s="2" t="s">
        <v>3873</v>
      </c>
      <c r="D73" s="2" t="s">
        <v>3927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/>
      <c r="L73" s="8"/>
      <c r="M73" s="4"/>
      <c r="N73" s="8"/>
      <c r="O73" s="7"/>
      <c r="P73" s="7"/>
    </row>
    <row r="74">
      <c r="A74" s="2" t="s">
        <v>3872</v>
      </c>
      <c r="B74" s="2" t="s">
        <v>88</v>
      </c>
      <c r="C74" s="2" t="s">
        <v>3873</v>
      </c>
      <c r="D74" s="2" t="s">
        <v>3882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/>
      <c r="L74" s="8"/>
      <c r="M74" s="4"/>
      <c r="N74" s="8"/>
      <c r="O74" s="7"/>
      <c r="P74" s="7"/>
    </row>
    <row r="75">
      <c r="A75" s="2" t="s">
        <v>3872</v>
      </c>
      <c r="B75" s="2" t="s">
        <v>88</v>
      </c>
      <c r="C75" s="2" t="s">
        <v>3895</v>
      </c>
      <c r="D75" s="2" t="s">
        <v>3896</v>
      </c>
      <c r="E75" s="4" t="s">
        <v>100</v>
      </c>
      <c r="F75" s="8" t="s">
        <v>100</v>
      </c>
      <c r="G75" s="4" t="s">
        <v>100</v>
      </c>
      <c r="H75" s="8" t="s">
        <v>100</v>
      </c>
      <c r="I75" s="7" t="s">
        <v>100</v>
      </c>
      <c r="J75" s="7" t="s">
        <v>100</v>
      </c>
      <c r="K75" s="4"/>
      <c r="L75" s="8"/>
      <c r="M75" s="4"/>
      <c r="N75" s="8"/>
      <c r="O75" s="7"/>
      <c r="P75" s="7"/>
    </row>
    <row r="76">
      <c r="A76" s="2" t="s">
        <v>3872</v>
      </c>
      <c r="B76" s="2" t="s">
        <v>88</v>
      </c>
      <c r="C76" s="2" t="s">
        <v>3895</v>
      </c>
      <c r="D76" s="2" t="s">
        <v>3927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/>
      <c r="L76" s="8"/>
      <c r="M76" s="4"/>
      <c r="N76" s="8"/>
      <c r="O76" s="7"/>
      <c r="P76" s="7"/>
    </row>
    <row r="77">
      <c r="A77" s="2" t="s">
        <v>3872</v>
      </c>
      <c r="B77" s="2" t="s">
        <v>88</v>
      </c>
      <c r="C77" s="2" t="s">
        <v>3895</v>
      </c>
      <c r="D77" s="2" t="s">
        <v>3882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3872</v>
      </c>
      <c r="B78" s="2" t="s">
        <v>88</v>
      </c>
      <c r="C78" s="2" t="s">
        <v>4190</v>
      </c>
      <c r="D78" s="2" t="s">
        <v>4191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3872</v>
      </c>
      <c r="B79" s="2" t="s">
        <v>88</v>
      </c>
      <c r="C79" s="2" t="s">
        <v>3919</v>
      </c>
      <c r="D79" s="2" t="s">
        <v>3920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/>
      <c r="L79" s="8"/>
      <c r="M79" s="4"/>
      <c r="N79" s="8"/>
      <c r="O79" s="7"/>
      <c r="P79" s="7"/>
    </row>
    <row r="80">
      <c r="A80" s="2" t="s">
        <v>3872</v>
      </c>
      <c r="B80" s="2" t="s">
        <v>88</v>
      </c>
      <c r="C80" s="2" t="s">
        <v>3919</v>
      </c>
      <c r="D80" s="2" t="s">
        <v>4231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/>
      <c r="L80" s="8"/>
      <c r="M80" s="4"/>
      <c r="N80" s="8"/>
      <c r="O80" s="7"/>
      <c r="P80" s="7"/>
    </row>
    <row r="81">
      <c r="A81" s="2" t="s">
        <v>3872</v>
      </c>
      <c r="B81" s="2" t="s">
        <v>88</v>
      </c>
      <c r="C81" s="2" t="s">
        <v>4246</v>
      </c>
      <c r="D81" s="2" t="s">
        <v>4247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3872</v>
      </c>
      <c r="B82" s="2" t="s">
        <v>88</v>
      </c>
      <c r="C82" s="2" t="s">
        <v>3926</v>
      </c>
      <c r="D82" s="2" t="s">
        <v>3927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/>
      <c r="L82" s="8"/>
      <c r="M82" s="4"/>
      <c r="N82" s="8"/>
      <c r="O82" s="7"/>
      <c r="P82" s="7"/>
    </row>
    <row r="83">
      <c r="A83" s="2" t="s">
        <v>3872</v>
      </c>
      <c r="B83" s="2" t="s">
        <v>88</v>
      </c>
      <c r="C83" s="2" t="s">
        <v>3926</v>
      </c>
      <c r="D83" s="2" t="s">
        <v>3882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3872</v>
      </c>
      <c r="B84" s="2" t="s">
        <v>3178</v>
      </c>
      <c r="C84" s="2" t="s">
        <v>3873</v>
      </c>
      <c r="D84" s="2" t="s">
        <v>3942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3872</v>
      </c>
      <c r="B85" s="2" t="s">
        <v>3178</v>
      </c>
      <c r="C85" s="2" t="s">
        <v>3873</v>
      </c>
      <c r="D85" s="2" t="s">
        <v>3874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/>
      <c r="L85" s="8"/>
      <c r="M85" s="4"/>
      <c r="N85" s="8"/>
      <c r="O85" s="7"/>
      <c r="P85" s="7"/>
    </row>
    <row r="86">
      <c r="A86" s="2" t="s">
        <v>3872</v>
      </c>
      <c r="B86" s="2" t="s">
        <v>3178</v>
      </c>
      <c r="C86" s="2" t="s">
        <v>3919</v>
      </c>
      <c r="D86" s="2" t="s">
        <v>3920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/>
      <c r="L86" s="8"/>
      <c r="M86" s="4"/>
      <c r="N86" s="8"/>
      <c r="O86" s="7"/>
      <c r="P86" s="7"/>
    </row>
    <row r="87">
      <c r="A87" s="2" t="s">
        <v>3872</v>
      </c>
      <c r="B87" s="2" t="s">
        <v>3178</v>
      </c>
      <c r="C87" s="2" t="s">
        <v>3919</v>
      </c>
      <c r="D87" s="2" t="s">
        <v>4231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/>
      <c r="L87" s="8"/>
      <c r="M87" s="4"/>
      <c r="N87" s="8"/>
      <c r="O87" s="7"/>
      <c r="P87" s="7"/>
    </row>
    <row r="88">
      <c r="A88" s="2" t="s">
        <v>3872</v>
      </c>
      <c r="B88" s="2" t="s">
        <v>3178</v>
      </c>
      <c r="C88" s="2" t="s">
        <v>4329</v>
      </c>
      <c r="D88" s="2" t="s">
        <v>4330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3872</v>
      </c>
      <c r="B89" s="2" t="s">
        <v>4347</v>
      </c>
      <c r="C89" s="2" t="s">
        <v>3873</v>
      </c>
      <c r="D89" s="2" t="s">
        <v>3927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3872</v>
      </c>
      <c r="B90" s="2" t="s">
        <v>4347</v>
      </c>
      <c r="C90" s="2" t="s">
        <v>3873</v>
      </c>
      <c r="D90" s="2" t="s">
        <v>3882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/>
      <c r="L90" s="8"/>
      <c r="M90" s="4"/>
      <c r="N90" s="8"/>
      <c r="O90" s="7"/>
      <c r="P90" s="7"/>
    </row>
    <row r="91">
      <c r="A91" s="2" t="s">
        <v>3872</v>
      </c>
      <c r="B91" s="2" t="s">
        <v>4347</v>
      </c>
      <c r="C91" s="2" t="s">
        <v>3895</v>
      </c>
      <c r="D91" s="2" t="s">
        <v>3927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3872</v>
      </c>
      <c r="B92" s="2" t="s">
        <v>4347</v>
      </c>
      <c r="C92" s="2" t="s">
        <v>3919</v>
      </c>
      <c r="D92" s="2" t="s">
        <v>3920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3872</v>
      </c>
      <c r="B93" s="2" t="s">
        <v>4347</v>
      </c>
      <c r="C93" s="2" t="s">
        <v>3926</v>
      </c>
      <c r="D93" s="2" t="s">
        <v>3927</v>
      </c>
      <c r="E93" s="4" t="s">
        <v>100</v>
      </c>
      <c r="F93" s="8" t="s">
        <v>100</v>
      </c>
      <c r="G93" s="4" t="s">
        <v>100</v>
      </c>
      <c r="H93" s="8" t="s">
        <v>100</v>
      </c>
      <c r="I93" s="7" t="s">
        <v>100</v>
      </c>
      <c r="J93" s="7" t="s">
        <v>100</v>
      </c>
      <c r="K93" s="4"/>
      <c r="L93" s="8"/>
      <c r="M93" s="4"/>
      <c r="N93" s="8"/>
      <c r="O93" s="7"/>
      <c r="P93" s="7"/>
    </row>
    <row r="94">
      <c r="A94" s="2" t="s">
        <v>3872</v>
      </c>
      <c r="B94" s="2" t="s">
        <v>4347</v>
      </c>
      <c r="C94" s="2" t="s">
        <v>3926</v>
      </c>
      <c r="D94" s="2" t="s">
        <v>3882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4434</v>
      </c>
      <c r="B95" s="2" t="s">
        <v>88</v>
      </c>
      <c r="C95" s="2" t="s">
        <v>4435</v>
      </c>
      <c r="D95" s="2" t="s">
        <v>4436</v>
      </c>
      <c r="E95" s="4">
        <v>146</v>
      </c>
      <c r="F95" s="8">
        <v>3184.33</v>
      </c>
      <c r="G95" s="4"/>
      <c r="H95" s="8"/>
      <c r="I95" s="7"/>
      <c r="J95" s="7"/>
      <c r="K95" s="4">
        <v>146</v>
      </c>
      <c r="L95" s="8">
        <v>3184.33</v>
      </c>
      <c r="M95" s="4"/>
      <c r="N95" s="8"/>
      <c r="O95" s="7"/>
      <c r="P95" s="7"/>
    </row>
    <row r="96">
      <c r="A96" s="2" t="s">
        <v>4434</v>
      </c>
      <c r="B96" s="2" t="s">
        <v>88</v>
      </c>
      <c r="C96" s="2" t="s">
        <v>4473</v>
      </c>
      <c r="D96" s="2" t="s">
        <v>4474</v>
      </c>
      <c r="E96" s="4">
        <v>121</v>
      </c>
      <c r="F96" s="8">
        <v>2723.84</v>
      </c>
      <c r="G96" s="4"/>
      <c r="H96" s="8"/>
      <c r="I96" s="7"/>
      <c r="J96" s="7"/>
      <c r="K96" s="4">
        <v>121</v>
      </c>
      <c r="L96" s="8">
        <v>2723.84</v>
      </c>
      <c r="M96" s="4"/>
      <c r="N96" s="8"/>
      <c r="O96" s="7"/>
      <c r="P96" s="7"/>
    </row>
    <row r="97">
      <c r="A97" s="2" t="s">
        <v>4434</v>
      </c>
      <c r="B97" s="2" t="s">
        <v>88</v>
      </c>
      <c r="C97" s="2" t="s">
        <v>803</v>
      </c>
      <c r="D97" s="2" t="s">
        <v>4586</v>
      </c>
      <c r="E97" s="4">
        <v>13</v>
      </c>
      <c r="F97" s="8">
        <v>545.87</v>
      </c>
      <c r="G97" s="4"/>
      <c r="H97" s="8"/>
      <c r="I97" s="7"/>
      <c r="J97" s="7"/>
      <c r="K97" s="4">
        <v>13</v>
      </c>
      <c r="L97" s="8">
        <v>545.87</v>
      </c>
      <c r="M97" s="4"/>
      <c r="N97" s="8"/>
      <c r="O97" s="7"/>
      <c r="P97" s="7"/>
    </row>
    <row r="98">
      <c r="A98" s="2" t="s">
        <v>4434</v>
      </c>
      <c r="B98" s="2" t="s">
        <v>88</v>
      </c>
      <c r="C98" s="2" t="s">
        <v>4626</v>
      </c>
      <c r="D98" s="2" t="s">
        <v>4627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4434</v>
      </c>
      <c r="B99" s="2" t="s">
        <v>4637</v>
      </c>
      <c r="C99" s="2" t="s">
        <v>4435</v>
      </c>
      <c r="D99" s="2" t="s">
        <v>4638</v>
      </c>
      <c r="E99" s="4">
        <v>170</v>
      </c>
      <c r="F99" s="8">
        <v>5387.77</v>
      </c>
      <c r="G99" s="4" t="s">
        <v>100</v>
      </c>
      <c r="H99" s="8" t="s">
        <v>100</v>
      </c>
      <c r="I99" s="7" t="s">
        <v>100</v>
      </c>
      <c r="J99" s="7" t="s">
        <v>100</v>
      </c>
      <c r="K99" s="4">
        <v>49</v>
      </c>
      <c r="L99" s="8">
        <v>2876.44</v>
      </c>
      <c r="M99" s="4"/>
      <c r="N99" s="8"/>
      <c r="O99" s="7"/>
      <c r="P99" s="7"/>
    </row>
    <row r="100">
      <c r="A100" s="2" t="s">
        <v>4434</v>
      </c>
      <c r="B100" s="2" t="s">
        <v>4637</v>
      </c>
      <c r="C100" s="2" t="s">
        <v>4435</v>
      </c>
      <c r="D100" s="2" t="s">
        <v>4436</v>
      </c>
      <c r="E100" s="4" t="s">
        <v>100</v>
      </c>
      <c r="F100" s="8" t="s">
        <v>100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121</v>
      </c>
      <c r="L100" s="8">
        <v>2511.33</v>
      </c>
      <c r="M100" s="4"/>
      <c r="N100" s="8"/>
      <c r="O100" s="7"/>
      <c r="P100" s="7"/>
    </row>
    <row r="101">
      <c r="A101" s="2" t="s">
        <v>4434</v>
      </c>
      <c r="B101" s="2" t="s">
        <v>4637</v>
      </c>
      <c r="C101" s="2" t="s">
        <v>803</v>
      </c>
      <c r="D101" s="2" t="s">
        <v>4586</v>
      </c>
      <c r="E101" s="4">
        <v>12</v>
      </c>
      <c r="F101" s="8">
        <v>402.99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6</v>
      </c>
      <c r="L101" s="8">
        <v>245.55</v>
      </c>
      <c r="M101" s="4"/>
      <c r="N101" s="8"/>
      <c r="O101" s="7"/>
      <c r="P101" s="7"/>
    </row>
    <row r="102">
      <c r="A102" s="2" t="s">
        <v>4434</v>
      </c>
      <c r="B102" s="2" t="s">
        <v>4637</v>
      </c>
      <c r="C102" s="2" t="s">
        <v>803</v>
      </c>
      <c r="D102" s="2" t="s">
        <v>4828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6</v>
      </c>
      <c r="L102" s="8">
        <v>157.44</v>
      </c>
      <c r="M102" s="4"/>
      <c r="N102" s="8"/>
      <c r="O102" s="7"/>
      <c r="P102" s="7"/>
    </row>
    <row r="103">
      <c r="A103" s="2" t="s">
        <v>4434</v>
      </c>
      <c r="B103" s="2" t="s">
        <v>4637</v>
      </c>
      <c r="C103" s="2" t="s">
        <v>4473</v>
      </c>
      <c r="D103" s="2" t="s">
        <v>4474</v>
      </c>
      <c r="E103" s="4">
        <v>4</v>
      </c>
      <c r="F103" s="8">
        <v>163.26</v>
      </c>
      <c r="G103" s="4"/>
      <c r="H103" s="8"/>
      <c r="I103" s="7"/>
      <c r="J103" s="7"/>
      <c r="K103" s="4">
        <v>4</v>
      </c>
      <c r="L103" s="8">
        <v>163.26</v>
      </c>
      <c r="M103" s="4"/>
      <c r="N103" s="8"/>
      <c r="O103" s="7"/>
      <c r="P103" s="7"/>
    </row>
    <row r="104">
      <c r="A104" s="2" t="s">
        <v>4434</v>
      </c>
      <c r="B104" s="2" t="s">
        <v>4637</v>
      </c>
      <c r="C104" s="2" t="s">
        <v>2503</v>
      </c>
      <c r="D104" s="2" t="s">
        <v>4627</v>
      </c>
      <c r="E104" s="4">
        <v>9</v>
      </c>
      <c r="F104" s="8">
        <v>102.06</v>
      </c>
      <c r="G104" s="4"/>
      <c r="H104" s="8"/>
      <c r="I104" s="7"/>
      <c r="J104" s="7"/>
      <c r="K104" s="4">
        <v>9</v>
      </c>
      <c r="L104" s="8">
        <v>102.06</v>
      </c>
      <c r="M104" s="4"/>
      <c r="N104" s="8"/>
      <c r="O104" s="7"/>
      <c r="P104" s="7"/>
    </row>
    <row r="105">
      <c r="A105" s="2" t="s">
        <v>4434</v>
      </c>
      <c r="B105" s="2" t="s">
        <v>4861</v>
      </c>
      <c r="C105" s="2" t="s">
        <v>803</v>
      </c>
      <c r="D105" s="2" t="s">
        <v>4862</v>
      </c>
      <c r="E105" s="4">
        <v>2</v>
      </c>
      <c r="F105" s="8">
        <v>161.6</v>
      </c>
      <c r="G105" s="4"/>
      <c r="H105" s="8"/>
      <c r="I105" s="7"/>
      <c r="J105" s="7"/>
      <c r="K105" s="4">
        <v>2</v>
      </c>
      <c r="L105" s="8">
        <v>161.6</v>
      </c>
      <c r="M105" s="4"/>
      <c r="N105" s="8"/>
      <c r="O105" s="7"/>
      <c r="P105" s="7"/>
    </row>
    <row r="106">
      <c r="A106" s="2" t="s">
        <v>4434</v>
      </c>
      <c r="B106" s="2" t="s">
        <v>4861</v>
      </c>
      <c r="C106" s="2" t="s">
        <v>1842</v>
      </c>
      <c r="D106" s="2" t="s">
        <v>4474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4434</v>
      </c>
      <c r="B107" s="2" t="s">
        <v>3934</v>
      </c>
      <c r="C107" s="2" t="s">
        <v>803</v>
      </c>
      <c r="D107" s="2" t="s">
        <v>1532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4434</v>
      </c>
      <c r="B108" s="2" t="s">
        <v>3934</v>
      </c>
      <c r="C108" s="2" t="s">
        <v>4435</v>
      </c>
      <c r="D108" s="2" t="s">
        <v>4436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4434</v>
      </c>
      <c r="B109" s="2" t="s">
        <v>1867</v>
      </c>
      <c r="C109" s="2" t="s">
        <v>803</v>
      </c>
      <c r="D109" s="2" t="s">
        <v>804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4434</v>
      </c>
      <c r="B110" s="2" t="s">
        <v>3178</v>
      </c>
      <c r="C110" s="2" t="s">
        <v>803</v>
      </c>
      <c r="D110" s="2" t="s">
        <v>804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/>
      <c r="L110" s="8"/>
      <c r="M110" s="4"/>
      <c r="N110" s="8"/>
      <c r="O110" s="7"/>
      <c r="P110" s="7"/>
    </row>
    <row r="111">
      <c r="A111" s="2" t="s">
        <v>4434</v>
      </c>
      <c r="B111" s="2" t="s">
        <v>3178</v>
      </c>
      <c r="C111" s="2" t="s">
        <v>803</v>
      </c>
      <c r="D111" s="2" t="s">
        <v>4586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/>
      <c r="L111" s="8"/>
      <c r="M111" s="4"/>
      <c r="N111" s="8"/>
      <c r="O111" s="7"/>
      <c r="P111" s="7"/>
    </row>
    <row r="112">
      <c r="A112" s="2" t="s">
        <v>4434</v>
      </c>
      <c r="B112" s="2" t="s">
        <v>3178</v>
      </c>
      <c r="C112" s="2" t="s">
        <v>1638</v>
      </c>
      <c r="D112" s="2" t="s">
        <v>1759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4434</v>
      </c>
      <c r="B113" s="2" t="s">
        <v>3178</v>
      </c>
      <c r="C113" s="2" t="s">
        <v>2503</v>
      </c>
      <c r="D113" s="2" t="s">
        <v>4627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4434</v>
      </c>
      <c r="B114" s="2" t="s">
        <v>4995</v>
      </c>
      <c r="C114" s="2" t="s">
        <v>4473</v>
      </c>
      <c r="D114" s="2" t="s">
        <v>4474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4434</v>
      </c>
      <c r="B115" s="2" t="s">
        <v>4995</v>
      </c>
      <c r="C115" s="2" t="s">
        <v>803</v>
      </c>
      <c r="D115" s="2" t="s">
        <v>4586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4434</v>
      </c>
      <c r="B116" s="2" t="s">
        <v>4995</v>
      </c>
      <c r="C116" s="2" t="s">
        <v>4435</v>
      </c>
      <c r="D116" s="2" t="s">
        <v>4436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4434</v>
      </c>
      <c r="B117" s="2" t="s">
        <v>4995</v>
      </c>
      <c r="C117" s="2" t="s">
        <v>1842</v>
      </c>
      <c r="D117" s="2" t="s">
        <v>1843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4434</v>
      </c>
      <c r="B118" s="2" t="s">
        <v>5036</v>
      </c>
      <c r="C118" s="2" t="s">
        <v>803</v>
      </c>
      <c r="D118" s="2" t="s">
        <v>4586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5053</v>
      </c>
      <c r="B119" s="2" t="s">
        <v>88</v>
      </c>
      <c r="C119" s="2" t="s">
        <v>5054</v>
      </c>
      <c r="D119" s="2" t="s">
        <v>5055</v>
      </c>
      <c r="E119" s="4">
        <v>241</v>
      </c>
      <c r="F119" s="8">
        <v>3906.13</v>
      </c>
      <c r="G119" s="4"/>
      <c r="H119" s="8"/>
      <c r="I119" s="7"/>
      <c r="J119" s="7"/>
      <c r="K119" s="4">
        <v>241</v>
      </c>
      <c r="L119" s="8">
        <v>3906.13</v>
      </c>
      <c r="M119" s="4"/>
      <c r="N119" s="8"/>
      <c r="O119" s="7"/>
      <c r="P119" s="7"/>
    </row>
    <row r="120">
      <c r="A120" s="2" t="s">
        <v>5053</v>
      </c>
      <c r="B120" s="2" t="s">
        <v>88</v>
      </c>
      <c r="C120" s="2" t="s">
        <v>5316</v>
      </c>
      <c r="D120" s="2" t="s">
        <v>5317</v>
      </c>
      <c r="E120" s="4">
        <v>58</v>
      </c>
      <c r="F120" s="8">
        <v>1067.01</v>
      </c>
      <c r="G120" s="4"/>
      <c r="H120" s="8"/>
      <c r="I120" s="7"/>
      <c r="J120" s="7"/>
      <c r="K120" s="4">
        <v>58</v>
      </c>
      <c r="L120" s="8">
        <v>1067.01</v>
      </c>
      <c r="M120" s="4"/>
      <c r="N120" s="8"/>
      <c r="O120" s="7"/>
      <c r="P120" s="7"/>
    </row>
    <row r="121">
      <c r="A121" s="2" t="s">
        <v>5053</v>
      </c>
      <c r="B121" s="2" t="s">
        <v>88</v>
      </c>
      <c r="C121" s="2" t="s">
        <v>5498</v>
      </c>
      <c r="D121" s="2" t="s">
        <v>5499</v>
      </c>
      <c r="E121" s="4">
        <v>2</v>
      </c>
      <c r="F121" s="8">
        <v>42</v>
      </c>
      <c r="G121" s="4"/>
      <c r="H121" s="8"/>
      <c r="I121" s="7"/>
      <c r="J121" s="7"/>
      <c r="K121" s="4">
        <v>2</v>
      </c>
      <c r="L121" s="8">
        <v>42</v>
      </c>
      <c r="M121" s="4"/>
      <c r="N121" s="8"/>
      <c r="O121" s="7"/>
      <c r="P121" s="7"/>
    </row>
    <row r="122">
      <c r="A122" s="2" t="s">
        <v>5053</v>
      </c>
      <c r="B122" s="2" t="s">
        <v>88</v>
      </c>
      <c r="C122" s="2" t="s">
        <v>5507</v>
      </c>
      <c r="D122" s="2" t="s">
        <v>5508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5053</v>
      </c>
      <c r="B123" s="2" t="s">
        <v>1867</v>
      </c>
      <c r="C123" s="2" t="s">
        <v>5054</v>
      </c>
      <c r="D123" s="2" t="s">
        <v>5055</v>
      </c>
      <c r="E123" s="4">
        <v>23</v>
      </c>
      <c r="F123" s="8">
        <v>301.65</v>
      </c>
      <c r="G123" s="4"/>
      <c r="H123" s="8"/>
      <c r="I123" s="7"/>
      <c r="J123" s="7"/>
      <c r="K123" s="4">
        <v>23</v>
      </c>
      <c r="L123" s="8">
        <v>301.65</v>
      </c>
      <c r="M123" s="4"/>
      <c r="N123" s="8"/>
      <c r="O123" s="7"/>
      <c r="P123" s="7"/>
    </row>
    <row r="124">
      <c r="A124" s="2" t="s">
        <v>5053</v>
      </c>
      <c r="B124" s="2" t="s">
        <v>3178</v>
      </c>
      <c r="C124" s="2" t="s">
        <v>5316</v>
      </c>
      <c r="D124" s="2" t="s">
        <v>5317</v>
      </c>
      <c r="E124" s="4">
        <v>11</v>
      </c>
      <c r="F124" s="8">
        <v>262.74</v>
      </c>
      <c r="G124" s="4"/>
      <c r="H124" s="8"/>
      <c r="I124" s="7"/>
      <c r="J124" s="7"/>
      <c r="K124" s="4">
        <v>11</v>
      </c>
      <c r="L124" s="8">
        <v>262.74</v>
      </c>
      <c r="M124" s="4"/>
      <c r="N124" s="8"/>
      <c r="O124" s="7"/>
      <c r="P124" s="7"/>
    </row>
    <row r="125">
      <c r="A125" s="2" t="s">
        <v>5053</v>
      </c>
      <c r="B125" s="2" t="s">
        <v>5036</v>
      </c>
      <c r="C125" s="2" t="s">
        <v>5054</v>
      </c>
      <c r="D125" s="2" t="s">
        <v>5055</v>
      </c>
      <c r="E125" s="4">
        <v>6</v>
      </c>
      <c r="F125" s="8">
        <v>124.74</v>
      </c>
      <c r="G125" s="4"/>
      <c r="H125" s="8"/>
      <c r="I125" s="7"/>
      <c r="J125" s="7"/>
      <c r="K125" s="4">
        <v>6</v>
      </c>
      <c r="L125" s="8">
        <v>124.74</v>
      </c>
      <c r="M125" s="4"/>
      <c r="N125" s="8"/>
      <c r="O125" s="7"/>
      <c r="P125" s="7"/>
    </row>
    <row r="126">
      <c r="A126" s="2" t="s">
        <v>5053</v>
      </c>
      <c r="B126" s="2" t="s">
        <v>2331</v>
      </c>
      <c r="C126" s="2" t="s">
        <v>5054</v>
      </c>
      <c r="D126" s="2" t="s">
        <v>5055</v>
      </c>
      <c r="E126" s="4">
        <v>4</v>
      </c>
      <c r="F126" s="8">
        <v>90.8</v>
      </c>
      <c r="G126" s="4"/>
      <c r="H126" s="8"/>
      <c r="I126" s="7"/>
      <c r="J126" s="7"/>
      <c r="K126" s="4">
        <v>4</v>
      </c>
      <c r="L126" s="8">
        <v>90.8</v>
      </c>
      <c r="M126" s="4"/>
      <c r="N126" s="8"/>
      <c r="O126" s="7"/>
      <c r="P126" s="7"/>
    </row>
    <row r="127">
      <c r="A127" s="2" t="s">
        <v>5053</v>
      </c>
      <c r="B127" s="2" t="s">
        <v>3934</v>
      </c>
      <c r="C127" s="2" t="s">
        <v>5054</v>
      </c>
      <c r="D127" s="2" t="s">
        <v>5055</v>
      </c>
      <c r="E127" s="4">
        <v>4</v>
      </c>
      <c r="F127" s="8">
        <v>57.72</v>
      </c>
      <c r="G127" s="4"/>
      <c r="H127" s="8"/>
      <c r="I127" s="7"/>
      <c r="J127" s="7"/>
      <c r="K127" s="4">
        <v>4</v>
      </c>
      <c r="L127" s="8">
        <v>57.72</v>
      </c>
      <c r="M127" s="4"/>
      <c r="N127" s="8"/>
      <c r="O127" s="7"/>
      <c r="P127" s="7"/>
    </row>
    <row r="128">
      <c r="A128" s="2" t="s">
        <v>5053</v>
      </c>
      <c r="B128" s="2" t="s">
        <v>3934</v>
      </c>
      <c r="C128" s="2" t="s">
        <v>5507</v>
      </c>
      <c r="D128" s="2" t="s">
        <v>5508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5053</v>
      </c>
      <c r="B129" s="2" t="s">
        <v>2213</v>
      </c>
      <c r="C129" s="2" t="s">
        <v>5054</v>
      </c>
      <c r="D129" s="2" t="s">
        <v>5055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5053</v>
      </c>
      <c r="B130" s="2" t="s">
        <v>5702</v>
      </c>
      <c r="C130" s="2" t="s">
        <v>5316</v>
      </c>
      <c r="D130" s="2" t="s">
        <v>5317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5053</v>
      </c>
      <c r="B131" s="2" t="s">
        <v>2850</v>
      </c>
      <c r="C131" s="2" t="s">
        <v>5316</v>
      </c>
      <c r="D131" s="2" t="s">
        <v>5317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5053</v>
      </c>
      <c r="B132" s="2" t="s">
        <v>2850</v>
      </c>
      <c r="C132" s="2" t="s">
        <v>5054</v>
      </c>
      <c r="D132" s="2" t="s">
        <v>5055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5764</v>
      </c>
      <c r="B133" s="2" t="s">
        <v>5702</v>
      </c>
      <c r="C133" s="2" t="s">
        <v>5765</v>
      </c>
      <c r="D133" s="2" t="s">
        <v>5766</v>
      </c>
      <c r="E133" s="4">
        <v>570</v>
      </c>
      <c r="F133" s="8">
        <v>37499.18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>
        <v>416</v>
      </c>
      <c r="L133" s="8">
        <v>31463.7</v>
      </c>
      <c r="M133" s="4"/>
      <c r="N133" s="8"/>
      <c r="O133" s="7"/>
      <c r="P133" s="7"/>
    </row>
    <row r="134">
      <c r="A134" s="2" t="s">
        <v>5764</v>
      </c>
      <c r="B134" s="2" t="s">
        <v>5702</v>
      </c>
      <c r="C134" s="2" t="s">
        <v>5765</v>
      </c>
      <c r="D134" s="2" t="s">
        <v>6018</v>
      </c>
      <c r="E134" s="4" t="s">
        <v>100</v>
      </c>
      <c r="F134" s="8" t="s">
        <v>100</v>
      </c>
      <c r="G134" s="4" t="s">
        <v>100</v>
      </c>
      <c r="H134" s="8" t="s">
        <v>100</v>
      </c>
      <c r="I134" s="7" t="s">
        <v>100</v>
      </c>
      <c r="J134" s="7" t="s">
        <v>100</v>
      </c>
      <c r="K134" s="4">
        <v>154</v>
      </c>
      <c r="L134" s="8">
        <v>6035.48</v>
      </c>
      <c r="M134" s="4"/>
      <c r="N134" s="8"/>
      <c r="O134" s="7"/>
      <c r="P134" s="7"/>
    </row>
    <row r="135">
      <c r="A135" s="2" t="s">
        <v>5764</v>
      </c>
      <c r="B135" s="2" t="s">
        <v>5702</v>
      </c>
      <c r="C135" s="2" t="s">
        <v>6111</v>
      </c>
      <c r="D135" s="2" t="s">
        <v>6112</v>
      </c>
      <c r="E135" s="4">
        <v>183</v>
      </c>
      <c r="F135" s="8">
        <v>11270.77</v>
      </c>
      <c r="G135" s="4"/>
      <c r="H135" s="8"/>
      <c r="I135" s="7"/>
      <c r="J135" s="7"/>
      <c r="K135" s="4">
        <v>183</v>
      </c>
      <c r="L135" s="8">
        <v>11270.77</v>
      </c>
      <c r="M135" s="4"/>
      <c r="N135" s="8"/>
      <c r="O135" s="7"/>
      <c r="P135" s="7"/>
    </row>
    <row r="136">
      <c r="A136" s="2" t="s">
        <v>5764</v>
      </c>
      <c r="B136" s="2" t="s">
        <v>5702</v>
      </c>
      <c r="C136" s="2" t="s">
        <v>4473</v>
      </c>
      <c r="D136" s="2" t="s">
        <v>5768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5764</v>
      </c>
      <c r="B137" s="2" t="s">
        <v>88</v>
      </c>
      <c r="C137" s="2" t="s">
        <v>4473</v>
      </c>
      <c r="D137" s="2" t="s">
        <v>5768</v>
      </c>
      <c r="E137" s="4">
        <v>1431</v>
      </c>
      <c r="F137" s="8">
        <v>26579.73</v>
      </c>
      <c r="G137" s="4"/>
      <c r="H137" s="8"/>
      <c r="I137" s="7"/>
      <c r="J137" s="7"/>
      <c r="K137" s="4">
        <v>1431</v>
      </c>
      <c r="L137" s="8">
        <v>26579.73</v>
      </c>
      <c r="M137" s="4"/>
      <c r="N137" s="8"/>
      <c r="O137" s="7"/>
      <c r="P137" s="7"/>
    </row>
    <row r="138">
      <c r="A138" s="2" t="s">
        <v>5764</v>
      </c>
      <c r="B138" s="2" t="s">
        <v>88</v>
      </c>
      <c r="C138" s="2" t="s">
        <v>803</v>
      </c>
      <c r="D138" s="2" t="s">
        <v>1532</v>
      </c>
      <c r="E138" s="4">
        <v>80</v>
      </c>
      <c r="F138" s="8">
        <v>3715.94</v>
      </c>
      <c r="G138" s="4" t="s">
        <v>100</v>
      </c>
      <c r="H138" s="8" t="s">
        <v>100</v>
      </c>
      <c r="I138" s="7" t="s">
        <v>100</v>
      </c>
      <c r="J138" s="7" t="s">
        <v>100</v>
      </c>
      <c r="K138" s="4">
        <v>79</v>
      </c>
      <c r="L138" s="8">
        <v>3671.52</v>
      </c>
      <c r="M138" s="4"/>
      <c r="N138" s="8"/>
      <c r="O138" s="7"/>
      <c r="P138" s="7"/>
    </row>
    <row r="139">
      <c r="A139" s="2" t="s">
        <v>5764</v>
      </c>
      <c r="B139" s="2" t="s">
        <v>88</v>
      </c>
      <c r="C139" s="2" t="s">
        <v>803</v>
      </c>
      <c r="D139" s="2" t="s">
        <v>804</v>
      </c>
      <c r="E139" s="4" t="s">
        <v>100</v>
      </c>
      <c r="F139" s="8" t="s">
        <v>100</v>
      </c>
      <c r="G139" s="4" t="s">
        <v>100</v>
      </c>
      <c r="H139" s="8" t="s">
        <v>100</v>
      </c>
      <c r="I139" s="7" t="s">
        <v>100</v>
      </c>
      <c r="J139" s="7" t="s">
        <v>100</v>
      </c>
      <c r="K139" s="4">
        <v>1</v>
      </c>
      <c r="L139" s="8">
        <v>44.42</v>
      </c>
      <c r="M139" s="4"/>
      <c r="N139" s="8"/>
      <c r="O139" s="7"/>
      <c r="P139" s="7"/>
    </row>
    <row r="140">
      <c r="A140" s="2" t="s">
        <v>5764</v>
      </c>
      <c r="B140" s="2" t="s">
        <v>88</v>
      </c>
      <c r="C140" s="2" t="s">
        <v>1842</v>
      </c>
      <c r="D140" s="2" t="s">
        <v>6020</v>
      </c>
      <c r="E140" s="4">
        <v>41</v>
      </c>
      <c r="F140" s="8">
        <v>701.5</v>
      </c>
      <c r="G140" s="4" t="s">
        <v>100</v>
      </c>
      <c r="H140" s="8" t="s">
        <v>100</v>
      </c>
      <c r="I140" s="7" t="s">
        <v>100</v>
      </c>
      <c r="J140" s="7" t="s">
        <v>100</v>
      </c>
      <c r="K140" s="4">
        <v>25</v>
      </c>
      <c r="L140" s="8">
        <v>474.91</v>
      </c>
      <c r="M140" s="4"/>
      <c r="N140" s="8"/>
      <c r="O140" s="7"/>
      <c r="P140" s="7"/>
    </row>
    <row r="141">
      <c r="A141" s="2" t="s">
        <v>5764</v>
      </c>
      <c r="B141" s="2" t="s">
        <v>88</v>
      </c>
      <c r="C141" s="2" t="s">
        <v>1842</v>
      </c>
      <c r="D141" s="2" t="s">
        <v>1843</v>
      </c>
      <c r="E141" s="4" t="s">
        <v>100</v>
      </c>
      <c r="F141" s="8" t="s">
        <v>100</v>
      </c>
      <c r="G141" s="4" t="s">
        <v>100</v>
      </c>
      <c r="H141" s="8" t="s">
        <v>100</v>
      </c>
      <c r="I141" s="7" t="s">
        <v>100</v>
      </c>
      <c r="J141" s="7" t="s">
        <v>100</v>
      </c>
      <c r="K141" s="4">
        <v>16</v>
      </c>
      <c r="L141" s="8">
        <v>226.59</v>
      </c>
      <c r="M141" s="4"/>
      <c r="N141" s="8"/>
      <c r="O141" s="7"/>
      <c r="P141" s="7"/>
    </row>
    <row r="142">
      <c r="A142" s="2" t="s">
        <v>5764</v>
      </c>
      <c r="B142" s="2" t="s">
        <v>88</v>
      </c>
      <c r="C142" s="2" t="s">
        <v>2503</v>
      </c>
      <c r="D142" s="2" t="s">
        <v>2504</v>
      </c>
      <c r="E142" s="4">
        <v>19</v>
      </c>
      <c r="F142" s="8">
        <v>211.79</v>
      </c>
      <c r="G142" s="4"/>
      <c r="H142" s="8"/>
      <c r="I142" s="7"/>
      <c r="J142" s="7"/>
      <c r="K142" s="4">
        <v>19</v>
      </c>
      <c r="L142" s="8">
        <v>211.79</v>
      </c>
      <c r="M142" s="4"/>
      <c r="N142" s="8"/>
      <c r="O142" s="7"/>
      <c r="P142" s="7"/>
    </row>
    <row r="143">
      <c r="A143" s="2" t="s">
        <v>5764</v>
      </c>
      <c r="B143" s="2" t="s">
        <v>88</v>
      </c>
      <c r="C143" s="2" t="s">
        <v>1638</v>
      </c>
      <c r="D143" s="2" t="s">
        <v>1639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5764</v>
      </c>
      <c r="B144" s="2" t="s">
        <v>6753</v>
      </c>
      <c r="C144" s="2" t="s">
        <v>6111</v>
      </c>
      <c r="D144" s="2" t="s">
        <v>6112</v>
      </c>
      <c r="E144" s="4">
        <v>113</v>
      </c>
      <c r="F144" s="8">
        <v>7677.13</v>
      </c>
      <c r="G144" s="4"/>
      <c r="H144" s="8"/>
      <c r="I144" s="7"/>
      <c r="J144" s="7"/>
      <c r="K144" s="4">
        <v>113</v>
      </c>
      <c r="L144" s="8">
        <v>7677.13</v>
      </c>
      <c r="M144" s="4"/>
      <c r="N144" s="8"/>
      <c r="O144" s="7"/>
      <c r="P144" s="7"/>
    </row>
    <row r="145">
      <c r="A145" s="2" t="s">
        <v>5764</v>
      </c>
      <c r="B145" s="2" t="s">
        <v>6753</v>
      </c>
      <c r="C145" s="2" t="s">
        <v>5765</v>
      </c>
      <c r="D145" s="2" t="s">
        <v>5766</v>
      </c>
      <c r="E145" s="4">
        <v>68</v>
      </c>
      <c r="F145" s="8">
        <v>3889.06</v>
      </c>
      <c r="G145" s="4" t="s">
        <v>100</v>
      </c>
      <c r="H145" s="8" t="s">
        <v>100</v>
      </c>
      <c r="I145" s="7" t="s">
        <v>100</v>
      </c>
      <c r="J145" s="7" t="s">
        <v>100</v>
      </c>
      <c r="K145" s="4">
        <v>43</v>
      </c>
      <c r="L145" s="8">
        <v>2975.9</v>
      </c>
      <c r="M145" s="4"/>
      <c r="N145" s="8"/>
      <c r="O145" s="7"/>
      <c r="P145" s="7"/>
    </row>
    <row r="146">
      <c r="A146" s="2" t="s">
        <v>5764</v>
      </c>
      <c r="B146" s="2" t="s">
        <v>6753</v>
      </c>
      <c r="C146" s="2" t="s">
        <v>5765</v>
      </c>
      <c r="D146" s="2" t="s">
        <v>6018</v>
      </c>
      <c r="E146" s="4" t="s">
        <v>100</v>
      </c>
      <c r="F146" s="8" t="s">
        <v>100</v>
      </c>
      <c r="G146" s="4" t="s">
        <v>100</v>
      </c>
      <c r="H146" s="8" t="s">
        <v>100</v>
      </c>
      <c r="I146" s="7" t="s">
        <v>100</v>
      </c>
      <c r="J146" s="7" t="s">
        <v>100</v>
      </c>
      <c r="K146" s="4">
        <v>25</v>
      </c>
      <c r="L146" s="8">
        <v>913.16</v>
      </c>
      <c r="M146" s="4"/>
      <c r="N146" s="8"/>
      <c r="O146" s="7"/>
      <c r="P146" s="7"/>
    </row>
    <row r="147">
      <c r="A147" s="2" t="s">
        <v>5764</v>
      </c>
      <c r="B147" s="2" t="s">
        <v>3934</v>
      </c>
      <c r="C147" s="2" t="s">
        <v>4473</v>
      </c>
      <c r="D147" s="2" t="s">
        <v>5768</v>
      </c>
      <c r="E147" s="4">
        <v>674</v>
      </c>
      <c r="F147" s="8">
        <v>9633.3</v>
      </c>
      <c r="G147" s="4"/>
      <c r="H147" s="8"/>
      <c r="I147" s="7"/>
      <c r="J147" s="7"/>
      <c r="K147" s="4">
        <v>674</v>
      </c>
      <c r="L147" s="8">
        <v>9633.3</v>
      </c>
      <c r="M147" s="4"/>
      <c r="N147" s="8"/>
      <c r="O147" s="7"/>
      <c r="P147" s="7"/>
    </row>
    <row r="148">
      <c r="A148" s="2" t="s">
        <v>5764</v>
      </c>
      <c r="B148" s="2" t="s">
        <v>3934</v>
      </c>
      <c r="C148" s="2" t="s">
        <v>803</v>
      </c>
      <c r="D148" s="2" t="s">
        <v>1532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5764</v>
      </c>
      <c r="B149" s="2" t="s">
        <v>3934</v>
      </c>
      <c r="C149" s="2" t="s">
        <v>1638</v>
      </c>
      <c r="D149" s="2" t="s">
        <v>1639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5764</v>
      </c>
      <c r="B150" s="2" t="s">
        <v>2331</v>
      </c>
      <c r="C150" s="2" t="s">
        <v>5765</v>
      </c>
      <c r="D150" s="2" t="s">
        <v>5766</v>
      </c>
      <c r="E150" s="4">
        <v>52</v>
      </c>
      <c r="F150" s="8">
        <v>4889.3</v>
      </c>
      <c r="G150" s="4" t="s">
        <v>100</v>
      </c>
      <c r="H150" s="8" t="s">
        <v>100</v>
      </c>
      <c r="I150" s="7" t="s">
        <v>100</v>
      </c>
      <c r="J150" s="7" t="s">
        <v>100</v>
      </c>
      <c r="K150" s="4">
        <v>46</v>
      </c>
      <c r="L150" s="8">
        <v>4616</v>
      </c>
      <c r="M150" s="4"/>
      <c r="N150" s="8"/>
      <c r="O150" s="7"/>
      <c r="P150" s="7"/>
    </row>
    <row r="151">
      <c r="A151" s="2" t="s">
        <v>5764</v>
      </c>
      <c r="B151" s="2" t="s">
        <v>2331</v>
      </c>
      <c r="C151" s="2" t="s">
        <v>5765</v>
      </c>
      <c r="D151" s="2" t="s">
        <v>6018</v>
      </c>
      <c r="E151" s="4" t="s">
        <v>100</v>
      </c>
      <c r="F151" s="8" t="s">
        <v>100</v>
      </c>
      <c r="G151" s="4" t="s">
        <v>100</v>
      </c>
      <c r="H151" s="8" t="s">
        <v>100</v>
      </c>
      <c r="I151" s="7" t="s">
        <v>100</v>
      </c>
      <c r="J151" s="7" t="s">
        <v>100</v>
      </c>
      <c r="K151" s="4">
        <v>6</v>
      </c>
      <c r="L151" s="8">
        <v>273.3</v>
      </c>
      <c r="M151" s="4"/>
      <c r="N151" s="8"/>
      <c r="O151" s="7"/>
      <c r="P151" s="7"/>
    </row>
    <row r="152">
      <c r="A152" s="2" t="s">
        <v>5764</v>
      </c>
      <c r="B152" s="2" t="s">
        <v>2331</v>
      </c>
      <c r="C152" s="2" t="s">
        <v>4473</v>
      </c>
      <c r="D152" s="2" t="s">
        <v>5768</v>
      </c>
      <c r="E152" s="4">
        <v>29</v>
      </c>
      <c r="F152" s="8">
        <v>825.54</v>
      </c>
      <c r="G152" s="4"/>
      <c r="H152" s="8"/>
      <c r="I152" s="7"/>
      <c r="J152" s="7"/>
      <c r="K152" s="4">
        <v>29</v>
      </c>
      <c r="L152" s="8">
        <v>825.54</v>
      </c>
      <c r="M152" s="4"/>
      <c r="N152" s="8"/>
      <c r="O152" s="7"/>
      <c r="P152" s="7"/>
    </row>
    <row r="153">
      <c r="A153" s="2" t="s">
        <v>5764</v>
      </c>
      <c r="B153" s="2" t="s">
        <v>2331</v>
      </c>
      <c r="C153" s="2" t="s">
        <v>803</v>
      </c>
      <c r="D153" s="2" t="s">
        <v>1532</v>
      </c>
      <c r="E153" s="4">
        <v>10</v>
      </c>
      <c r="F153" s="8">
        <v>395.4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>
        <v>10</v>
      </c>
      <c r="L153" s="8">
        <v>395.4</v>
      </c>
      <c r="M153" s="4"/>
      <c r="N153" s="8"/>
      <c r="O153" s="7"/>
      <c r="P153" s="7"/>
    </row>
    <row r="154">
      <c r="A154" s="2" t="s">
        <v>5764</v>
      </c>
      <c r="B154" s="2" t="s">
        <v>2331</v>
      </c>
      <c r="C154" s="2" t="s">
        <v>803</v>
      </c>
      <c r="D154" s="2" t="s">
        <v>804</v>
      </c>
      <c r="E154" s="4" t="s">
        <v>100</v>
      </c>
      <c r="F154" s="8" t="s">
        <v>100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/>
      <c r="L154" s="8"/>
      <c r="M154" s="4"/>
      <c r="N154" s="8"/>
      <c r="O154" s="7"/>
      <c r="P154" s="7"/>
    </row>
    <row r="155">
      <c r="A155" s="2" t="s">
        <v>5764</v>
      </c>
      <c r="B155" s="2" t="s">
        <v>2331</v>
      </c>
      <c r="C155" s="2" t="s">
        <v>89</v>
      </c>
      <c r="D155" s="2" t="s">
        <v>506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5764</v>
      </c>
      <c r="B156" s="2" t="s">
        <v>2331</v>
      </c>
      <c r="C156" s="2" t="s">
        <v>1842</v>
      </c>
      <c r="D156" s="2" t="s">
        <v>6020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5764</v>
      </c>
      <c r="B157" s="2" t="s">
        <v>1867</v>
      </c>
      <c r="C157" s="2" t="s">
        <v>803</v>
      </c>
      <c r="D157" s="2" t="s">
        <v>1532</v>
      </c>
      <c r="E157" s="4">
        <v>113</v>
      </c>
      <c r="F157" s="8">
        <v>2189.12</v>
      </c>
      <c r="G157" s="4"/>
      <c r="H157" s="8"/>
      <c r="I157" s="7"/>
      <c r="J157" s="7"/>
      <c r="K157" s="4">
        <v>113</v>
      </c>
      <c r="L157" s="8">
        <v>2189.12</v>
      </c>
      <c r="M157" s="4"/>
      <c r="N157" s="8"/>
      <c r="O157" s="7"/>
      <c r="P157" s="7"/>
    </row>
    <row r="158">
      <c r="A158" s="2" t="s">
        <v>5764</v>
      </c>
      <c r="B158" s="2" t="s">
        <v>2541</v>
      </c>
      <c r="C158" s="2" t="s">
        <v>4473</v>
      </c>
      <c r="D158" s="2" t="s">
        <v>5768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5764</v>
      </c>
      <c r="B159" s="2" t="s">
        <v>2850</v>
      </c>
      <c r="C159" s="2" t="s">
        <v>4473</v>
      </c>
      <c r="D159" s="2" t="s">
        <v>5768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5764</v>
      </c>
      <c r="B160" s="2" t="s">
        <v>2850</v>
      </c>
      <c r="C160" s="2" t="s">
        <v>4626</v>
      </c>
      <c r="D160" s="2" t="s">
        <v>7485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5764</v>
      </c>
      <c r="B161" s="2" t="s">
        <v>2850</v>
      </c>
      <c r="C161" s="2" t="s">
        <v>1842</v>
      </c>
      <c r="D161" s="2" t="s">
        <v>6020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5764</v>
      </c>
      <c r="B162" s="2" t="s">
        <v>4995</v>
      </c>
      <c r="C162" s="2" t="s">
        <v>6111</v>
      </c>
      <c r="D162" s="2" t="s">
        <v>6112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5764</v>
      </c>
      <c r="B163" s="2" t="s">
        <v>4995</v>
      </c>
      <c r="C163" s="2" t="s">
        <v>5765</v>
      </c>
      <c r="D163" s="2" t="s">
        <v>6018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5764</v>
      </c>
      <c r="B164" s="2" t="s">
        <v>3413</v>
      </c>
      <c r="C164" s="2" t="s">
        <v>4473</v>
      </c>
      <c r="D164" s="2" t="s">
        <v>5768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5764</v>
      </c>
      <c r="B165" s="2" t="s">
        <v>3413</v>
      </c>
      <c r="C165" s="2" t="s">
        <v>803</v>
      </c>
      <c r="D165" s="2" t="s">
        <v>1532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5764</v>
      </c>
      <c r="B166" s="2" t="s">
        <v>4861</v>
      </c>
      <c r="C166" s="2" t="s">
        <v>4473</v>
      </c>
      <c r="D166" s="2" t="s">
        <v>5768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5764</v>
      </c>
      <c r="B167" s="2" t="s">
        <v>4861</v>
      </c>
      <c r="C167" s="2" t="s">
        <v>5765</v>
      </c>
      <c r="D167" s="2" t="s">
        <v>5766</v>
      </c>
      <c r="E167" s="4" t="s">
        <v>100</v>
      </c>
      <c r="F167" s="8" t="s">
        <v>100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/>
      <c r="L167" s="8"/>
      <c r="M167" s="4"/>
      <c r="N167" s="8"/>
      <c r="O167" s="7"/>
      <c r="P167" s="7"/>
    </row>
    <row r="168">
      <c r="A168" s="2" t="s">
        <v>5764</v>
      </c>
      <c r="B168" s="2" t="s">
        <v>4861</v>
      </c>
      <c r="C168" s="2" t="s">
        <v>5765</v>
      </c>
      <c r="D168" s="2" t="s">
        <v>6018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/>
      <c r="L168" s="8"/>
      <c r="M168" s="4"/>
      <c r="N168" s="8"/>
      <c r="O168" s="7"/>
      <c r="P168" s="7"/>
    </row>
    <row r="169">
      <c r="A169" s="2" t="s">
        <v>7711</v>
      </c>
      <c r="B169" s="2" t="s">
        <v>2213</v>
      </c>
      <c r="C169" s="2" t="s">
        <v>7712</v>
      </c>
      <c r="D169" s="2" t="s">
        <v>7713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7711</v>
      </c>
      <c r="B170" s="2" t="s">
        <v>2213</v>
      </c>
      <c r="C170" s="2" t="s">
        <v>7730</v>
      </c>
      <c r="D170" s="2" t="s">
        <v>7731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7711</v>
      </c>
      <c r="B171" s="2" t="s">
        <v>2213</v>
      </c>
      <c r="C171" s="2" t="s">
        <v>7755</v>
      </c>
      <c r="D171" s="2" t="s">
        <v>7756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7711</v>
      </c>
      <c r="B172" s="2" t="s">
        <v>2213</v>
      </c>
      <c r="C172" s="2" t="s">
        <v>7762</v>
      </c>
      <c r="D172" s="2" t="s">
        <v>7763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7711</v>
      </c>
      <c r="B173" s="2" t="s">
        <v>2850</v>
      </c>
      <c r="C173" s="2" t="s">
        <v>7712</v>
      </c>
      <c r="D173" s="2" t="s">
        <v>7776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/>
      <c r="L173" s="8"/>
      <c r="M173" s="4"/>
      <c r="N173" s="8"/>
      <c r="O173" s="7"/>
      <c r="P173" s="7"/>
    </row>
    <row r="174">
      <c r="A174" s="2" t="s">
        <v>7711</v>
      </c>
      <c r="B174" s="2" t="s">
        <v>2850</v>
      </c>
      <c r="C174" s="2" t="s">
        <v>7712</v>
      </c>
      <c r="D174" s="2" t="s">
        <v>7713</v>
      </c>
      <c r="E174" s="4" t="s">
        <v>100</v>
      </c>
      <c r="F174" s="8" t="s">
        <v>100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/>
      <c r="L174" s="8"/>
      <c r="M174" s="4"/>
      <c r="N174" s="8"/>
      <c r="O174" s="7"/>
      <c r="P174" s="7"/>
    </row>
    <row r="175">
      <c r="A175" s="2" t="s">
        <v>7711</v>
      </c>
      <c r="B175" s="2" t="s">
        <v>2850</v>
      </c>
      <c r="C175" s="2" t="s">
        <v>7730</v>
      </c>
      <c r="D175" s="2" t="s">
        <v>7731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/>
      <c r="L175" s="8"/>
      <c r="M175" s="4"/>
      <c r="N175" s="8"/>
      <c r="O175" s="7"/>
      <c r="P175" s="7"/>
    </row>
    <row r="176">
      <c r="A176" s="2" t="s">
        <v>7711</v>
      </c>
      <c r="B176" s="2" t="s">
        <v>2850</v>
      </c>
      <c r="C176" s="2" t="s">
        <v>7730</v>
      </c>
      <c r="D176" s="2" t="s">
        <v>7901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/>
      <c r="L176" s="8"/>
      <c r="M176" s="4"/>
      <c r="N176" s="8"/>
      <c r="O176" s="7"/>
      <c r="P176" s="7"/>
    </row>
    <row r="177">
      <c r="A177" s="2" t="s">
        <v>7711</v>
      </c>
      <c r="B177" s="2" t="s">
        <v>2850</v>
      </c>
      <c r="C177" s="2" t="s">
        <v>7906</v>
      </c>
      <c r="D177" s="2" t="s">
        <v>7907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7711</v>
      </c>
      <c r="B178" s="2" t="s">
        <v>2850</v>
      </c>
      <c r="C178" s="2" t="s">
        <v>7755</v>
      </c>
      <c r="D178" s="2" t="s">
        <v>7756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7711</v>
      </c>
      <c r="B179" s="2" t="s">
        <v>2850</v>
      </c>
      <c r="C179" s="2" t="s">
        <v>7755</v>
      </c>
      <c r="D179" s="2" t="s">
        <v>7954</v>
      </c>
      <c r="E179" s="4" t="s">
        <v>100</v>
      </c>
      <c r="F179" s="8" t="s">
        <v>100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/>
      <c r="L179" s="8"/>
      <c r="M179" s="4"/>
      <c r="N179" s="8"/>
      <c r="O179" s="7"/>
      <c r="P179" s="7"/>
    </row>
    <row r="180">
      <c r="A180" s="2" t="s">
        <v>7711</v>
      </c>
      <c r="B180" s="2" t="s">
        <v>2850</v>
      </c>
      <c r="C180" s="2" t="s">
        <v>7963</v>
      </c>
      <c r="D180" s="2" t="s">
        <v>7964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7711</v>
      </c>
      <c r="B181" s="2" t="s">
        <v>2850</v>
      </c>
      <c r="C181" s="2" t="s">
        <v>7973</v>
      </c>
      <c r="D181" s="2" t="s">
        <v>7776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7711</v>
      </c>
      <c r="B182" s="2" t="s">
        <v>2850</v>
      </c>
      <c r="C182" s="2" t="s">
        <v>7762</v>
      </c>
      <c r="D182" s="2" t="s">
        <v>7763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7711</v>
      </c>
      <c r="B183" s="2" t="s">
        <v>2850</v>
      </c>
      <c r="C183" s="2" t="s">
        <v>8024</v>
      </c>
      <c r="D183" s="2" t="s">
        <v>8025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7711</v>
      </c>
      <c r="B184" s="2" t="s">
        <v>2850</v>
      </c>
      <c r="C184" s="2" t="s">
        <v>8043</v>
      </c>
      <c r="D184" s="2" t="s">
        <v>8044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7711</v>
      </c>
      <c r="B185" s="2" t="s">
        <v>2850</v>
      </c>
      <c r="C185" s="2" t="s">
        <v>8050</v>
      </c>
      <c r="D185" s="2" t="s">
        <v>8051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7711</v>
      </c>
      <c r="B186" s="2" t="s">
        <v>2850</v>
      </c>
      <c r="C186" s="2" t="s">
        <v>8066</v>
      </c>
      <c r="D186" s="2" t="s">
        <v>8067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7711</v>
      </c>
      <c r="B187" s="2" t="s">
        <v>2850</v>
      </c>
      <c r="C187" s="2" t="s">
        <v>8073</v>
      </c>
      <c r="D187" s="2" t="s">
        <v>8074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/>
      <c r="L187" s="8"/>
      <c r="M187" s="4"/>
      <c r="N187" s="8"/>
      <c r="O187" s="7"/>
      <c r="P187" s="7"/>
    </row>
    <row r="188">
      <c r="A188" s="2" t="s">
        <v>7711</v>
      </c>
      <c r="B188" s="2" t="s">
        <v>2850</v>
      </c>
      <c r="C188" s="2" t="s">
        <v>8073</v>
      </c>
      <c r="D188" s="2" t="s">
        <v>8109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/>
      <c r="L188" s="8"/>
      <c r="M188" s="4"/>
      <c r="N188" s="8"/>
      <c r="O188" s="7"/>
      <c r="P188" s="7"/>
    </row>
    <row r="189">
      <c r="A189" s="2" t="s">
        <v>7711</v>
      </c>
      <c r="B189" s="2" t="s">
        <v>2850</v>
      </c>
      <c r="C189" s="2" t="s">
        <v>8073</v>
      </c>
      <c r="D189" s="2" t="s">
        <v>7907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/>
      <c r="L189" s="8"/>
      <c r="M189" s="4"/>
      <c r="N189" s="8"/>
      <c r="O189" s="7"/>
      <c r="P189" s="7"/>
    </row>
    <row r="190">
      <c r="A190" s="2" t="s">
        <v>7711</v>
      </c>
      <c r="B190" s="2" t="s">
        <v>88</v>
      </c>
      <c r="C190" s="2" t="s">
        <v>7712</v>
      </c>
      <c r="D190" s="2" t="s">
        <v>7776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/>
      <c r="L190" s="8"/>
      <c r="M190" s="4"/>
      <c r="N190" s="8"/>
      <c r="O190" s="7"/>
      <c r="P190" s="7"/>
    </row>
    <row r="191">
      <c r="A191" s="2" t="s">
        <v>7711</v>
      </c>
      <c r="B191" s="2" t="s">
        <v>88</v>
      </c>
      <c r="C191" s="2" t="s">
        <v>7712</v>
      </c>
      <c r="D191" s="2" t="s">
        <v>7713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/>
      <c r="L191" s="8"/>
      <c r="M191" s="4"/>
      <c r="N191" s="8"/>
      <c r="O191" s="7"/>
      <c r="P191" s="7"/>
    </row>
    <row r="192">
      <c r="A192" s="2" t="s">
        <v>7711</v>
      </c>
      <c r="B192" s="2" t="s">
        <v>88</v>
      </c>
      <c r="C192" s="2" t="s">
        <v>7730</v>
      </c>
      <c r="D192" s="2" t="s">
        <v>7731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/>
      <c r="L192" s="8"/>
      <c r="M192" s="4"/>
      <c r="N192" s="8"/>
      <c r="O192" s="7"/>
      <c r="P192" s="7"/>
    </row>
    <row r="193">
      <c r="A193" s="2" t="s">
        <v>7711</v>
      </c>
      <c r="B193" s="2" t="s">
        <v>88</v>
      </c>
      <c r="C193" s="2" t="s">
        <v>7730</v>
      </c>
      <c r="D193" s="2" t="s">
        <v>7901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/>
      <c r="L193" s="8"/>
      <c r="M193" s="4"/>
      <c r="N193" s="8"/>
      <c r="O193" s="7"/>
      <c r="P193" s="7"/>
    </row>
    <row r="194">
      <c r="A194" s="2" t="s">
        <v>7711</v>
      </c>
      <c r="B194" s="2" t="s">
        <v>88</v>
      </c>
      <c r="C194" s="2" t="s">
        <v>8410</v>
      </c>
      <c r="D194" s="2" t="s">
        <v>8411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7711</v>
      </c>
      <c r="B195" s="2" t="s">
        <v>88</v>
      </c>
      <c r="C195" s="2" t="s">
        <v>7906</v>
      </c>
      <c r="D195" s="2" t="s">
        <v>7907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7711</v>
      </c>
      <c r="B196" s="2" t="s">
        <v>88</v>
      </c>
      <c r="C196" s="2" t="s">
        <v>7755</v>
      </c>
      <c r="D196" s="2" t="s">
        <v>8474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7711</v>
      </c>
      <c r="B197" s="2" t="s">
        <v>88</v>
      </c>
      <c r="C197" s="2" t="s">
        <v>7755</v>
      </c>
      <c r="D197" s="2" t="s">
        <v>7756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/>
      <c r="L197" s="8"/>
      <c r="M197" s="4"/>
      <c r="N197" s="8"/>
      <c r="O197" s="7"/>
      <c r="P197" s="7"/>
    </row>
    <row r="198">
      <c r="A198" s="2" t="s">
        <v>7711</v>
      </c>
      <c r="B198" s="2" t="s">
        <v>88</v>
      </c>
      <c r="C198" s="2" t="s">
        <v>7755</v>
      </c>
      <c r="D198" s="2" t="s">
        <v>7954</v>
      </c>
      <c r="E198" s="4" t="s">
        <v>100</v>
      </c>
      <c r="F198" s="8" t="s">
        <v>100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/>
      <c r="L198" s="8"/>
      <c r="M198" s="4"/>
      <c r="N198" s="8"/>
      <c r="O198" s="7"/>
      <c r="P198" s="7"/>
    </row>
    <row r="199">
      <c r="A199" s="2" t="s">
        <v>7711</v>
      </c>
      <c r="B199" s="2" t="s">
        <v>88</v>
      </c>
      <c r="C199" s="2" t="s">
        <v>7963</v>
      </c>
      <c r="D199" s="2" t="s">
        <v>7964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7711</v>
      </c>
      <c r="B200" s="2" t="s">
        <v>88</v>
      </c>
      <c r="C200" s="2" t="s">
        <v>8602</v>
      </c>
      <c r="D200" s="2" t="s">
        <v>8603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7711</v>
      </c>
      <c r="B201" s="2" t="s">
        <v>88</v>
      </c>
      <c r="C201" s="2" t="s">
        <v>8615</v>
      </c>
      <c r="D201" s="2" t="s">
        <v>8616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7711</v>
      </c>
      <c r="B202" s="2" t="s">
        <v>88</v>
      </c>
      <c r="C202" s="2" t="s">
        <v>7762</v>
      </c>
      <c r="D202" s="2" t="s">
        <v>7763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7711</v>
      </c>
      <c r="B203" s="2" t="s">
        <v>88</v>
      </c>
      <c r="C203" s="2" t="s">
        <v>7762</v>
      </c>
      <c r="D203" s="2" t="s">
        <v>8687</v>
      </c>
      <c r="E203" s="4" t="s">
        <v>100</v>
      </c>
      <c r="F203" s="8" t="s">
        <v>100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/>
      <c r="L203" s="8"/>
      <c r="M203" s="4"/>
      <c r="N203" s="8"/>
      <c r="O203" s="7"/>
      <c r="P203" s="7"/>
    </row>
    <row r="204">
      <c r="A204" s="2" t="s">
        <v>7711</v>
      </c>
      <c r="B204" s="2" t="s">
        <v>88</v>
      </c>
      <c r="C204" s="2" t="s">
        <v>8024</v>
      </c>
      <c r="D204" s="2" t="s">
        <v>8025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7711</v>
      </c>
      <c r="B205" s="2" t="s">
        <v>88</v>
      </c>
      <c r="C205" s="2" t="s">
        <v>8707</v>
      </c>
      <c r="D205" s="2" t="s">
        <v>8708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7711</v>
      </c>
      <c r="B206" s="2" t="s">
        <v>88</v>
      </c>
      <c r="C206" s="2" t="s">
        <v>8043</v>
      </c>
      <c r="D206" s="2" t="s">
        <v>8044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7711</v>
      </c>
      <c r="B207" s="2" t="s">
        <v>88</v>
      </c>
      <c r="C207" s="2" t="s">
        <v>8050</v>
      </c>
      <c r="D207" s="2" t="s">
        <v>8739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7711</v>
      </c>
      <c r="B208" s="2" t="s">
        <v>88</v>
      </c>
      <c r="C208" s="2" t="s">
        <v>8050</v>
      </c>
      <c r="D208" s="2" t="s">
        <v>8051</v>
      </c>
      <c r="E208" s="4" t="s">
        <v>100</v>
      </c>
      <c r="F208" s="8" t="s">
        <v>100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/>
      <c r="L208" s="8"/>
      <c r="M208" s="4"/>
      <c r="N208" s="8"/>
      <c r="O208" s="7"/>
      <c r="P208" s="7"/>
    </row>
    <row r="209">
      <c r="A209" s="2" t="s">
        <v>7711</v>
      </c>
      <c r="B209" s="2" t="s">
        <v>88</v>
      </c>
      <c r="C209" s="2" t="s">
        <v>8050</v>
      </c>
      <c r="D209" s="2" t="s">
        <v>8829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/>
      <c r="L209" s="8"/>
      <c r="M209" s="4"/>
      <c r="N209" s="8"/>
      <c r="O209" s="7"/>
      <c r="P209" s="7"/>
    </row>
    <row r="210">
      <c r="A210" s="2" t="s">
        <v>7711</v>
      </c>
      <c r="B210" s="2" t="s">
        <v>88</v>
      </c>
      <c r="C210" s="2" t="s">
        <v>8073</v>
      </c>
      <c r="D210" s="2" t="s">
        <v>8074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/>
      <c r="L210" s="8"/>
      <c r="M210" s="4"/>
      <c r="N210" s="8"/>
      <c r="O210" s="7"/>
      <c r="P210" s="7"/>
    </row>
    <row r="211">
      <c r="A211" s="2" t="s">
        <v>7711</v>
      </c>
      <c r="B211" s="2" t="s">
        <v>88</v>
      </c>
      <c r="C211" s="2" t="s">
        <v>8073</v>
      </c>
      <c r="D211" s="2" t="s">
        <v>8109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7711</v>
      </c>
      <c r="B212" s="2" t="s">
        <v>88</v>
      </c>
      <c r="C212" s="2" t="s">
        <v>8073</v>
      </c>
      <c r="D212" s="2" t="s">
        <v>7907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7711</v>
      </c>
      <c r="B213" s="2" t="s">
        <v>88</v>
      </c>
      <c r="C213" s="2" t="s">
        <v>8878</v>
      </c>
      <c r="D213" s="2" t="s">
        <v>8879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/>
      <c r="L213" s="8"/>
      <c r="M213" s="4"/>
      <c r="N213" s="8"/>
      <c r="O213" s="7"/>
      <c r="P213" s="7"/>
    </row>
    <row r="214">
      <c r="A214" s="2" t="s">
        <v>7711</v>
      </c>
      <c r="B214" s="2" t="s">
        <v>88</v>
      </c>
      <c r="C214" s="2" t="s">
        <v>8878</v>
      </c>
      <c r="D214" s="2" t="s">
        <v>8893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7711</v>
      </c>
      <c r="B215" s="2" t="s">
        <v>3178</v>
      </c>
      <c r="C215" s="2" t="s">
        <v>7712</v>
      </c>
      <c r="D215" s="2" t="s">
        <v>7713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7711</v>
      </c>
      <c r="B216" s="2" t="s">
        <v>3178</v>
      </c>
      <c r="C216" s="2" t="s">
        <v>7730</v>
      </c>
      <c r="D216" s="2" t="s">
        <v>7731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7711</v>
      </c>
      <c r="B217" s="2" t="s">
        <v>3178</v>
      </c>
      <c r="C217" s="2" t="s">
        <v>8410</v>
      </c>
      <c r="D217" s="2" t="s">
        <v>8411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7711</v>
      </c>
      <c r="B218" s="2" t="s">
        <v>3178</v>
      </c>
      <c r="C218" s="2" t="s">
        <v>8932</v>
      </c>
      <c r="D218" s="2" t="s">
        <v>8933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7711</v>
      </c>
      <c r="B219" s="2" t="s">
        <v>3178</v>
      </c>
      <c r="C219" s="2" t="s">
        <v>7963</v>
      </c>
      <c r="D219" s="2" t="s">
        <v>7964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7711</v>
      </c>
      <c r="B220" s="2" t="s">
        <v>3178</v>
      </c>
      <c r="C220" s="2" t="s">
        <v>7762</v>
      </c>
      <c r="D220" s="2" t="s">
        <v>7763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7711</v>
      </c>
      <c r="B221" s="2" t="s">
        <v>3178</v>
      </c>
      <c r="C221" s="2" t="s">
        <v>8024</v>
      </c>
      <c r="D221" s="2" t="s">
        <v>8025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7711</v>
      </c>
      <c r="B222" s="2" t="s">
        <v>3178</v>
      </c>
      <c r="C222" s="2" t="s">
        <v>8975</v>
      </c>
      <c r="D222" s="2" t="s">
        <v>8976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7711</v>
      </c>
      <c r="B223" s="2" t="s">
        <v>3178</v>
      </c>
      <c r="C223" s="2" t="s">
        <v>8066</v>
      </c>
      <c r="D223" s="2" t="s">
        <v>8067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7711</v>
      </c>
      <c r="B224" s="2" t="s">
        <v>3178</v>
      </c>
      <c r="C224" s="2" t="s">
        <v>8073</v>
      </c>
      <c r="D224" s="2" t="s">
        <v>8074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/>
      <c r="L224" s="8"/>
      <c r="M224" s="4"/>
      <c r="N224" s="8"/>
      <c r="O224" s="7"/>
      <c r="P224" s="7"/>
    </row>
    <row r="225">
      <c r="A225" s="2" t="s">
        <v>7711</v>
      </c>
      <c r="B225" s="2" t="s">
        <v>3178</v>
      </c>
      <c r="C225" s="2" t="s">
        <v>8073</v>
      </c>
      <c r="D225" s="2" t="s">
        <v>8109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/>
      <c r="L225" s="8"/>
      <c r="M225" s="4"/>
      <c r="N225" s="8"/>
      <c r="O225" s="7"/>
      <c r="P225" s="7"/>
    </row>
    <row r="226">
      <c r="A226" s="2" t="s">
        <v>7711</v>
      </c>
      <c r="B226" s="2" t="s">
        <v>3178</v>
      </c>
      <c r="C226" s="2" t="s">
        <v>8073</v>
      </c>
      <c r="D226" s="2" t="s">
        <v>7907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/>
      <c r="L226" s="8"/>
      <c r="M226" s="4"/>
      <c r="N226" s="8"/>
      <c r="O226" s="7"/>
      <c r="P226" s="7"/>
    </row>
    <row r="227">
      <c r="A227" s="2" t="s">
        <v>7711</v>
      </c>
      <c r="B227" s="2" t="s">
        <v>4347</v>
      </c>
      <c r="C227" s="2" t="s">
        <v>7712</v>
      </c>
      <c r="D227" s="2" t="s">
        <v>7776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/>
      <c r="L227" s="8"/>
      <c r="M227" s="4"/>
      <c r="N227" s="8"/>
      <c r="O227" s="7"/>
      <c r="P227" s="7"/>
    </row>
    <row r="228">
      <c r="A228" s="2" t="s">
        <v>7711</v>
      </c>
      <c r="B228" s="2" t="s">
        <v>4347</v>
      </c>
      <c r="C228" s="2" t="s">
        <v>7712</v>
      </c>
      <c r="D228" s="2" t="s">
        <v>7713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/>
      <c r="L228" s="8"/>
      <c r="M228" s="4"/>
      <c r="N228" s="8"/>
      <c r="O228" s="7"/>
      <c r="P228" s="7"/>
    </row>
    <row r="229">
      <c r="A229" s="2" t="s">
        <v>7711</v>
      </c>
      <c r="B229" s="2" t="s">
        <v>4347</v>
      </c>
      <c r="C229" s="2" t="s">
        <v>7730</v>
      </c>
      <c r="D229" s="2" t="s">
        <v>7731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7711</v>
      </c>
      <c r="B230" s="2" t="s">
        <v>4347</v>
      </c>
      <c r="C230" s="2" t="s">
        <v>8410</v>
      </c>
      <c r="D230" s="2" t="s">
        <v>8411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7711</v>
      </c>
      <c r="B231" s="2" t="s">
        <v>4347</v>
      </c>
      <c r="C231" s="2" t="s">
        <v>7755</v>
      </c>
      <c r="D231" s="2" t="s">
        <v>7756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7711</v>
      </c>
      <c r="B232" s="2" t="s">
        <v>4347</v>
      </c>
      <c r="C232" s="2" t="s">
        <v>7963</v>
      </c>
      <c r="D232" s="2" t="s">
        <v>7964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7711</v>
      </c>
      <c r="B233" s="2" t="s">
        <v>4347</v>
      </c>
      <c r="C233" s="2" t="s">
        <v>7762</v>
      </c>
      <c r="D233" s="2" t="s">
        <v>7763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7711</v>
      </c>
      <c r="B234" s="2" t="s">
        <v>4347</v>
      </c>
      <c r="C234" s="2" t="s">
        <v>8024</v>
      </c>
      <c r="D234" s="2" t="s">
        <v>8025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7711</v>
      </c>
      <c r="B235" s="2" t="s">
        <v>4347</v>
      </c>
      <c r="C235" s="2" t="s">
        <v>8043</v>
      </c>
      <c r="D235" s="2" t="s">
        <v>8044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7711</v>
      </c>
      <c r="B236" s="2" t="s">
        <v>4347</v>
      </c>
      <c r="C236" s="2" t="s">
        <v>8050</v>
      </c>
      <c r="D236" s="2" t="s">
        <v>8051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7711</v>
      </c>
      <c r="B237" s="2" t="s">
        <v>4347</v>
      </c>
      <c r="C237" s="2" t="s">
        <v>8066</v>
      </c>
      <c r="D237" s="2" t="s">
        <v>8067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7711</v>
      </c>
      <c r="B238" s="2" t="s">
        <v>4347</v>
      </c>
      <c r="C238" s="2" t="s">
        <v>8073</v>
      </c>
      <c r="D238" s="2" t="s">
        <v>8074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/>
      <c r="L238" s="8"/>
      <c r="M238" s="4"/>
      <c r="N238" s="8"/>
      <c r="O238" s="7"/>
      <c r="P238" s="7"/>
    </row>
    <row r="239">
      <c r="A239" s="2" t="s">
        <v>7711</v>
      </c>
      <c r="B239" s="2" t="s">
        <v>4347</v>
      </c>
      <c r="C239" s="2" t="s">
        <v>8073</v>
      </c>
      <c r="D239" s="2" t="s">
        <v>8109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/>
      <c r="L239" s="8"/>
      <c r="M239" s="4"/>
      <c r="N239" s="8"/>
      <c r="O239" s="7"/>
      <c r="P239" s="7"/>
    </row>
    <row r="240">
      <c r="A240" s="2" t="s">
        <v>7711</v>
      </c>
      <c r="B240" s="2" t="s">
        <v>4347</v>
      </c>
      <c r="C240" s="2" t="s">
        <v>8073</v>
      </c>
      <c r="D240" s="2" t="s">
        <v>7907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/>
      <c r="L240" s="8"/>
      <c r="M240" s="4"/>
      <c r="N240" s="8"/>
      <c r="O240" s="7"/>
      <c r="P240" s="7"/>
    </row>
    <row r="241">
      <c r="A241" s="2" t="s">
        <v>7711</v>
      </c>
      <c r="B241" s="2" t="s">
        <v>4347</v>
      </c>
      <c r="C241" s="2" t="s">
        <v>8878</v>
      </c>
      <c r="D241" s="2" t="s">
        <v>8893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9189</v>
      </c>
      <c r="B242" s="2" t="s">
        <v>2213</v>
      </c>
      <c r="C242" s="2" t="s">
        <v>9190</v>
      </c>
      <c r="D242" s="2" t="s">
        <v>9191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9189</v>
      </c>
      <c r="B243" s="2" t="s">
        <v>2213</v>
      </c>
      <c r="C243" s="2" t="s">
        <v>9196</v>
      </c>
      <c r="D243" s="2" t="s">
        <v>9197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9189</v>
      </c>
      <c r="B244" s="2" t="s">
        <v>2213</v>
      </c>
      <c r="C244" s="2" t="s">
        <v>9203</v>
      </c>
      <c r="D244" s="2" t="s">
        <v>9204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9189</v>
      </c>
      <c r="B245" s="2" t="s">
        <v>2567</v>
      </c>
      <c r="C245" s="2" t="s">
        <v>9315</v>
      </c>
      <c r="D245" s="2" t="s">
        <v>9316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9189</v>
      </c>
      <c r="B246" s="2" t="s">
        <v>2567</v>
      </c>
      <c r="C246" s="2" t="s">
        <v>9203</v>
      </c>
      <c r="D246" s="2" t="s">
        <v>9204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9189</v>
      </c>
      <c r="B247" s="2" t="s">
        <v>2850</v>
      </c>
      <c r="C247" s="2" t="s">
        <v>9315</v>
      </c>
      <c r="D247" s="2" t="s">
        <v>9316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9189</v>
      </c>
      <c r="B248" s="2" t="s">
        <v>2850</v>
      </c>
      <c r="C248" s="2" t="s">
        <v>9190</v>
      </c>
      <c r="D248" s="2" t="s">
        <v>9191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9189</v>
      </c>
      <c r="B249" s="2" t="s">
        <v>2850</v>
      </c>
      <c r="C249" s="2" t="s">
        <v>9386</v>
      </c>
      <c r="D249" s="2" t="s">
        <v>9387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9189</v>
      </c>
      <c r="B250" s="2" t="s">
        <v>2850</v>
      </c>
      <c r="C250" s="2" t="s">
        <v>9392</v>
      </c>
      <c r="D250" s="2" t="s">
        <v>9393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9189</v>
      </c>
      <c r="B251" s="2" t="s">
        <v>2850</v>
      </c>
      <c r="C251" s="2" t="s">
        <v>9196</v>
      </c>
      <c r="D251" s="2" t="s">
        <v>9197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9189</v>
      </c>
      <c r="B252" s="2" t="s">
        <v>2850</v>
      </c>
      <c r="C252" s="2" t="s">
        <v>9203</v>
      </c>
      <c r="D252" s="2" t="s">
        <v>9204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9189</v>
      </c>
      <c r="B253" s="2" t="s">
        <v>4347</v>
      </c>
      <c r="C253" s="2" t="s">
        <v>9190</v>
      </c>
      <c r="D253" s="2" t="s">
        <v>9191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9189</v>
      </c>
      <c r="B254" s="2" t="s">
        <v>4347</v>
      </c>
      <c r="C254" s="2" t="s">
        <v>9203</v>
      </c>
      <c r="D254" s="2" t="s">
        <v>9204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9557</v>
      </c>
      <c r="B255" s="2" t="s">
        <v>9558</v>
      </c>
      <c r="C255" s="2" t="s">
        <v>9559</v>
      </c>
      <c r="D255" s="2" t="s">
        <v>9560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9596</v>
      </c>
      <c r="B256" s="2" t="s">
        <v>9558</v>
      </c>
      <c r="C256" s="2" t="s">
        <v>9597</v>
      </c>
      <c r="D256" s="2" t="s">
        <v>9598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9668</v>
      </c>
      <c r="B257" s="2" t="s">
        <v>4861</v>
      </c>
      <c r="C257" s="2" t="s">
        <v>9669</v>
      </c>
      <c r="D257" s="2" t="s">
        <v>9670</v>
      </c>
      <c r="E257" s="4">
        <v>1116</v>
      </c>
      <c r="F257" s="8">
        <v>23123.46</v>
      </c>
      <c r="G257" s="4"/>
      <c r="H257" s="8"/>
      <c r="I257" s="7"/>
      <c r="J257" s="7"/>
      <c r="K257" s="4">
        <v>1116</v>
      </c>
      <c r="L257" s="8">
        <v>23123.46</v>
      </c>
      <c r="M257" s="4"/>
      <c r="N257" s="8"/>
      <c r="O257" s="7"/>
      <c r="P257" s="7"/>
    </row>
    <row r="258">
      <c r="A258" s="2" t="s">
        <v>9668</v>
      </c>
      <c r="B258" s="2" t="s">
        <v>5702</v>
      </c>
      <c r="C258" s="2" t="s">
        <v>9669</v>
      </c>
      <c r="D258" s="2" t="s">
        <v>9670</v>
      </c>
      <c r="E258" s="4">
        <v>331</v>
      </c>
      <c r="F258" s="8">
        <v>10526.7</v>
      </c>
      <c r="G258" s="4"/>
      <c r="H258" s="8"/>
      <c r="I258" s="7"/>
      <c r="J258" s="7"/>
      <c r="K258" s="4">
        <v>331</v>
      </c>
      <c r="L258" s="8">
        <v>10526.7</v>
      </c>
      <c r="M258" s="4"/>
      <c r="N258" s="8"/>
      <c r="O258" s="7"/>
      <c r="P258" s="7"/>
    </row>
    <row r="259">
      <c r="A259" s="2" t="s">
        <v>9668</v>
      </c>
      <c r="B259" s="2" t="s">
        <v>88</v>
      </c>
      <c r="C259" s="2" t="s">
        <v>9669</v>
      </c>
      <c r="D259" s="2" t="s">
        <v>9670</v>
      </c>
      <c r="E259" s="4">
        <v>211</v>
      </c>
      <c r="F259" s="8">
        <v>6478.59</v>
      </c>
      <c r="G259" s="4"/>
      <c r="H259" s="8"/>
      <c r="I259" s="7"/>
      <c r="J259" s="7"/>
      <c r="K259" s="4">
        <v>211</v>
      </c>
      <c r="L259" s="8">
        <v>6478.59</v>
      </c>
      <c r="M259" s="4"/>
      <c r="N259" s="8"/>
      <c r="O259" s="7"/>
      <c r="P259" s="7"/>
    </row>
    <row r="260">
      <c r="A260" s="2" t="s">
        <v>9668</v>
      </c>
      <c r="B260" s="2" t="s">
        <v>88</v>
      </c>
      <c r="C260" s="2" t="s">
        <v>4626</v>
      </c>
      <c r="D260" s="2" t="s">
        <v>7485</v>
      </c>
      <c r="E260" s="4">
        <v>4</v>
      </c>
      <c r="F260" s="8">
        <v>94.72</v>
      </c>
      <c r="G260" s="4"/>
      <c r="H260" s="8"/>
      <c r="I260" s="7"/>
      <c r="J260" s="7"/>
      <c r="K260" s="4">
        <v>4</v>
      </c>
      <c r="L260" s="8">
        <v>94.72</v>
      </c>
      <c r="M260" s="4"/>
      <c r="N260" s="8"/>
      <c r="O260" s="7"/>
      <c r="P260" s="7"/>
    </row>
    <row r="261">
      <c r="A261" s="2" t="s">
        <v>9668</v>
      </c>
      <c r="B261" s="2" t="s">
        <v>3934</v>
      </c>
      <c r="C261" s="2" t="s">
        <v>9669</v>
      </c>
      <c r="D261" s="2" t="s">
        <v>9670</v>
      </c>
      <c r="E261" s="4">
        <v>388</v>
      </c>
      <c r="F261" s="8">
        <v>5885.3</v>
      </c>
      <c r="G261" s="4"/>
      <c r="H261" s="8"/>
      <c r="I261" s="7"/>
      <c r="J261" s="7"/>
      <c r="K261" s="4">
        <v>388</v>
      </c>
      <c r="L261" s="8">
        <v>5885.3</v>
      </c>
      <c r="M261" s="4"/>
      <c r="N261" s="8"/>
      <c r="O261" s="7"/>
      <c r="P261" s="7"/>
    </row>
    <row r="262">
      <c r="A262" s="2" t="s">
        <v>9668</v>
      </c>
      <c r="B262" s="2" t="s">
        <v>2331</v>
      </c>
      <c r="C262" s="2" t="s">
        <v>9669</v>
      </c>
      <c r="D262" s="2" t="s">
        <v>9670</v>
      </c>
      <c r="E262" s="4">
        <v>150</v>
      </c>
      <c r="F262" s="8">
        <v>5090.31</v>
      </c>
      <c r="G262" s="4"/>
      <c r="H262" s="8"/>
      <c r="I262" s="7"/>
      <c r="J262" s="7"/>
      <c r="K262" s="4">
        <v>150</v>
      </c>
      <c r="L262" s="8">
        <v>5090.31</v>
      </c>
      <c r="M262" s="4"/>
      <c r="N262" s="8"/>
      <c r="O262" s="7"/>
      <c r="P262" s="7"/>
    </row>
    <row r="263">
      <c r="A263" s="2" t="s">
        <v>9668</v>
      </c>
      <c r="B263" s="2" t="s">
        <v>1867</v>
      </c>
      <c r="C263" s="2" t="s">
        <v>9669</v>
      </c>
      <c r="D263" s="2" t="s">
        <v>9670</v>
      </c>
      <c r="E263" s="4">
        <v>134</v>
      </c>
      <c r="F263" s="8">
        <v>2712.5</v>
      </c>
      <c r="G263" s="4"/>
      <c r="H263" s="8"/>
      <c r="I263" s="7"/>
      <c r="J263" s="7"/>
      <c r="K263" s="4">
        <v>134</v>
      </c>
      <c r="L263" s="8">
        <v>2712.5</v>
      </c>
      <c r="M263" s="4"/>
      <c r="N263" s="8"/>
      <c r="O263" s="7"/>
      <c r="P263" s="7"/>
    </row>
    <row r="264">
      <c r="A264" s="2" t="s">
        <v>9668</v>
      </c>
      <c r="B264" s="2" t="s">
        <v>1867</v>
      </c>
      <c r="C264" s="2" t="s">
        <v>4626</v>
      </c>
      <c r="D264" s="2" t="s">
        <v>7485</v>
      </c>
      <c r="E264" s="4">
        <v>2</v>
      </c>
      <c r="F264" s="8">
        <v>10.4</v>
      </c>
      <c r="G264" s="4"/>
      <c r="H264" s="8"/>
      <c r="I264" s="7"/>
      <c r="J264" s="7"/>
      <c r="K264" s="4">
        <v>2</v>
      </c>
      <c r="L264" s="8">
        <v>10.4</v>
      </c>
      <c r="M264" s="4"/>
      <c r="N264" s="8"/>
      <c r="O264" s="7"/>
      <c r="P264" s="7"/>
    </row>
    <row r="265">
      <c r="A265" s="2" t="s">
        <v>9668</v>
      </c>
      <c r="B265" s="2" t="s">
        <v>4637</v>
      </c>
      <c r="C265" s="2" t="s">
        <v>9669</v>
      </c>
      <c r="D265" s="2" t="s">
        <v>9670</v>
      </c>
      <c r="E265" s="4">
        <v>10</v>
      </c>
      <c r="F265" s="8">
        <v>181.78</v>
      </c>
      <c r="G265" s="4"/>
      <c r="H265" s="8"/>
      <c r="I265" s="7"/>
      <c r="J265" s="7"/>
      <c r="K265" s="4">
        <v>10</v>
      </c>
      <c r="L265" s="8">
        <v>181.78</v>
      </c>
      <c r="M265" s="4"/>
      <c r="N265" s="8"/>
      <c r="O265" s="7"/>
      <c r="P265" s="7"/>
    </row>
    <row r="266">
      <c r="A266" s="2" t="s">
        <v>9668</v>
      </c>
      <c r="B266" s="2" t="s">
        <v>11541</v>
      </c>
      <c r="C266" s="2" t="s">
        <v>9669</v>
      </c>
      <c r="D266" s="2" t="s">
        <v>9670</v>
      </c>
      <c r="E266" s="4">
        <v>6</v>
      </c>
      <c r="F266" s="8">
        <v>126</v>
      </c>
      <c r="G266" s="4"/>
      <c r="H266" s="8"/>
      <c r="I266" s="7"/>
      <c r="J266" s="7"/>
      <c r="K266" s="4">
        <v>6</v>
      </c>
      <c r="L266" s="8">
        <v>126</v>
      </c>
      <c r="M266" s="4"/>
      <c r="N266" s="8"/>
      <c r="O266" s="7"/>
      <c r="P266" s="7"/>
    </row>
    <row r="267">
      <c r="A267" s="2" t="s">
        <v>9668</v>
      </c>
      <c r="B267" s="2" t="s">
        <v>3413</v>
      </c>
      <c r="C267" s="2" t="s">
        <v>9669</v>
      </c>
      <c r="D267" s="2" t="s">
        <v>9670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11586</v>
      </c>
      <c r="B268" s="2" t="s">
        <v>88</v>
      </c>
      <c r="C268" s="2" t="s">
        <v>11587</v>
      </c>
      <c r="D268" s="2" t="s">
        <v>5508</v>
      </c>
      <c r="E268" s="4">
        <v>104</v>
      </c>
      <c r="F268" s="8">
        <v>2736.78</v>
      </c>
      <c r="G268" s="4"/>
      <c r="H268" s="8"/>
      <c r="I268" s="7"/>
      <c r="J268" s="7"/>
      <c r="K268" s="4">
        <v>104</v>
      </c>
      <c r="L268" s="8">
        <v>2736.78</v>
      </c>
      <c r="M268" s="4"/>
      <c r="N268" s="8"/>
      <c r="O268" s="7"/>
      <c r="P268" s="7"/>
    </row>
    <row r="269">
      <c r="A269" s="2" t="s">
        <v>11586</v>
      </c>
      <c r="B269" s="2" t="s">
        <v>3178</v>
      </c>
      <c r="C269" s="2" t="s">
        <v>11587</v>
      </c>
      <c r="D269" s="2" t="s">
        <v>5508</v>
      </c>
      <c r="E269" s="4">
        <v>55</v>
      </c>
      <c r="F269" s="8">
        <v>1973.92</v>
      </c>
      <c r="G269" s="4"/>
      <c r="H269" s="8"/>
      <c r="I269" s="7"/>
      <c r="J269" s="7"/>
      <c r="K269" s="4">
        <v>55</v>
      </c>
      <c r="L269" s="8">
        <v>1973.92</v>
      </c>
      <c r="M269" s="4"/>
      <c r="N269" s="8"/>
      <c r="O269" s="7"/>
      <c r="P269" s="7"/>
    </row>
    <row r="270">
      <c r="A270" s="2" t="s">
        <v>11586</v>
      </c>
      <c r="B270" s="2" t="s">
        <v>1867</v>
      </c>
      <c r="C270" s="2" t="s">
        <v>11587</v>
      </c>
      <c r="D270" s="2" t="s">
        <v>5508</v>
      </c>
      <c r="E270" s="4">
        <v>36</v>
      </c>
      <c r="F270" s="8">
        <v>685.8</v>
      </c>
      <c r="G270" s="4"/>
      <c r="H270" s="8"/>
      <c r="I270" s="7"/>
      <c r="J270" s="7"/>
      <c r="K270" s="4">
        <v>36</v>
      </c>
      <c r="L270" s="8">
        <v>685.8</v>
      </c>
      <c r="M270" s="4"/>
      <c r="N270" s="8"/>
      <c r="O270" s="7"/>
      <c r="P270" s="7"/>
    </row>
    <row r="271">
      <c r="A271" s="2" t="s">
        <v>11586</v>
      </c>
      <c r="B271" s="2" t="s">
        <v>2213</v>
      </c>
      <c r="C271" s="2" t="s">
        <v>11587</v>
      </c>
      <c r="D271" s="2" t="s">
        <v>5508</v>
      </c>
      <c r="E271" s="4">
        <v>20</v>
      </c>
      <c r="F271" s="8">
        <v>566.04</v>
      </c>
      <c r="G271" s="4"/>
      <c r="H271" s="8"/>
      <c r="I271" s="7"/>
      <c r="J271" s="7"/>
      <c r="K271" s="4">
        <v>20</v>
      </c>
      <c r="L271" s="8">
        <v>566.04</v>
      </c>
      <c r="M271" s="4"/>
      <c r="N271" s="8"/>
      <c r="O271" s="7"/>
      <c r="P271" s="7"/>
    </row>
    <row r="272">
      <c r="A272" s="2" t="s">
        <v>11586</v>
      </c>
      <c r="B272" s="2" t="s">
        <v>5702</v>
      </c>
      <c r="C272" s="2" t="s">
        <v>11587</v>
      </c>
      <c r="D272" s="2" t="s">
        <v>5508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11586</v>
      </c>
      <c r="B273" s="2" t="s">
        <v>2541</v>
      </c>
      <c r="C273" s="2" t="s">
        <v>11587</v>
      </c>
      <c r="D273" s="2" t="s">
        <v>5508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11586</v>
      </c>
      <c r="B274" s="2" t="s">
        <v>3413</v>
      </c>
      <c r="C274" s="2" t="s">
        <v>11587</v>
      </c>
      <c r="D274" s="2" t="s">
        <v>5508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11863</v>
      </c>
      <c r="B275" s="2" t="s">
        <v>88</v>
      </c>
      <c r="C275" s="2" t="s">
        <v>2605</v>
      </c>
      <c r="D275" s="2" t="s">
        <v>2606</v>
      </c>
      <c r="E275" s="4">
        <v>548</v>
      </c>
      <c r="F275" s="8">
        <v>9666.76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376</v>
      </c>
      <c r="L275" s="8">
        <v>6824.72</v>
      </c>
      <c r="M275" s="4"/>
      <c r="N275" s="8"/>
      <c r="O275" s="7"/>
      <c r="P275" s="7"/>
    </row>
    <row r="276">
      <c r="A276" s="2" t="s">
        <v>11863</v>
      </c>
      <c r="B276" s="2" t="s">
        <v>88</v>
      </c>
      <c r="C276" s="2" t="s">
        <v>2605</v>
      </c>
      <c r="D276" s="2" t="s">
        <v>12050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87</v>
      </c>
      <c r="L276" s="8">
        <v>1428.41</v>
      </c>
      <c r="M276" s="4"/>
      <c r="N276" s="8"/>
      <c r="O276" s="7"/>
      <c r="P276" s="7"/>
    </row>
    <row r="277">
      <c r="A277" s="2" t="s">
        <v>11863</v>
      </c>
      <c r="B277" s="2" t="s">
        <v>88</v>
      </c>
      <c r="C277" s="2" t="s">
        <v>2605</v>
      </c>
      <c r="D277" s="2" t="s">
        <v>12056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49</v>
      </c>
      <c r="L277" s="8">
        <v>697.34</v>
      </c>
      <c r="M277" s="4"/>
      <c r="N277" s="8"/>
      <c r="O277" s="7"/>
      <c r="P277" s="7"/>
    </row>
    <row r="278">
      <c r="A278" s="2" t="s">
        <v>11863</v>
      </c>
      <c r="B278" s="2" t="s">
        <v>88</v>
      </c>
      <c r="C278" s="2" t="s">
        <v>2605</v>
      </c>
      <c r="D278" s="2" t="s">
        <v>12180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27</v>
      </c>
      <c r="L278" s="8">
        <v>467.46</v>
      </c>
      <c r="M278" s="4"/>
      <c r="N278" s="8"/>
      <c r="O278" s="7"/>
      <c r="P278" s="7"/>
    </row>
    <row r="279">
      <c r="A279" s="2" t="s">
        <v>11863</v>
      </c>
      <c r="B279" s="2" t="s">
        <v>88</v>
      </c>
      <c r="C279" s="2" t="s">
        <v>2605</v>
      </c>
      <c r="D279" s="2" t="s">
        <v>12210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8</v>
      </c>
      <c r="L279" s="8">
        <v>220.48</v>
      </c>
      <c r="M279" s="4"/>
      <c r="N279" s="8"/>
      <c r="O279" s="7"/>
      <c r="P279" s="7"/>
    </row>
    <row r="280">
      <c r="A280" s="2" t="s">
        <v>11863</v>
      </c>
      <c r="B280" s="2" t="s">
        <v>88</v>
      </c>
      <c r="C280" s="2" t="s">
        <v>2605</v>
      </c>
      <c r="D280" s="2" t="s">
        <v>12340</v>
      </c>
      <c r="E280" s="4" t="s">
        <v>100</v>
      </c>
      <c r="F280" s="8" t="s">
        <v>100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>
        <v>1</v>
      </c>
      <c r="L280" s="8">
        <v>28.35</v>
      </c>
      <c r="M280" s="4"/>
      <c r="N280" s="8"/>
      <c r="O280" s="7"/>
      <c r="P280" s="7"/>
    </row>
    <row r="281">
      <c r="A281" s="2" t="s">
        <v>11863</v>
      </c>
      <c r="B281" s="2" t="s">
        <v>88</v>
      </c>
      <c r="C281" s="2" t="s">
        <v>2598</v>
      </c>
      <c r="D281" s="2" t="s">
        <v>2599</v>
      </c>
      <c r="E281" s="4">
        <v>47</v>
      </c>
      <c r="F281" s="8">
        <v>553.75</v>
      </c>
      <c r="G281" s="4"/>
      <c r="H281" s="8"/>
      <c r="I281" s="7"/>
      <c r="J281" s="7"/>
      <c r="K281" s="4">
        <v>47</v>
      </c>
      <c r="L281" s="8">
        <v>553.75</v>
      </c>
      <c r="M281" s="4"/>
      <c r="N281" s="8"/>
      <c r="O281" s="7"/>
      <c r="P281" s="7"/>
    </row>
    <row r="282">
      <c r="A282" s="2" t="s">
        <v>11863</v>
      </c>
      <c r="B282" s="2" t="s">
        <v>12412</v>
      </c>
      <c r="C282" s="2" t="s">
        <v>2605</v>
      </c>
      <c r="D282" s="2" t="s">
        <v>2606</v>
      </c>
      <c r="E282" s="4">
        <v>242</v>
      </c>
      <c r="F282" s="8">
        <v>3901.77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>
        <v>242</v>
      </c>
      <c r="L282" s="8">
        <v>3901.77</v>
      </c>
      <c r="M282" s="4"/>
      <c r="N282" s="8"/>
      <c r="O282" s="7"/>
      <c r="P282" s="7"/>
    </row>
    <row r="283">
      <c r="A283" s="2" t="s">
        <v>11863</v>
      </c>
      <c r="B283" s="2" t="s">
        <v>12412</v>
      </c>
      <c r="C283" s="2" t="s">
        <v>2605</v>
      </c>
      <c r="D283" s="2" t="s">
        <v>12340</v>
      </c>
      <c r="E283" s="4" t="s">
        <v>100</v>
      </c>
      <c r="F283" s="8" t="s">
        <v>100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/>
      <c r="L283" s="8"/>
      <c r="M283" s="4"/>
      <c r="N283" s="8"/>
      <c r="O283" s="7"/>
      <c r="P283" s="7"/>
    </row>
    <row r="284">
      <c r="A284" s="2" t="s">
        <v>11863</v>
      </c>
      <c r="B284" s="2" t="s">
        <v>2213</v>
      </c>
      <c r="C284" s="2" t="s">
        <v>2605</v>
      </c>
      <c r="D284" s="2" t="s">
        <v>12340</v>
      </c>
      <c r="E284" s="4">
        <v>13</v>
      </c>
      <c r="F284" s="8">
        <v>252.78</v>
      </c>
      <c r="G284" s="4"/>
      <c r="H284" s="8"/>
      <c r="I284" s="7"/>
      <c r="J284" s="7"/>
      <c r="K284" s="4">
        <v>13</v>
      </c>
      <c r="L284" s="8">
        <v>252.78</v>
      </c>
      <c r="M284" s="4"/>
      <c r="N284" s="8"/>
      <c r="O284" s="7"/>
      <c r="P284" s="7"/>
    </row>
    <row r="285">
      <c r="A285" s="2" t="s">
        <v>11863</v>
      </c>
      <c r="B285" s="2" t="s">
        <v>2213</v>
      </c>
      <c r="C285" s="2" t="s">
        <v>12562</v>
      </c>
      <c r="D285" s="2" t="s">
        <v>12562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11863</v>
      </c>
      <c r="B286" s="2" t="s">
        <v>12594</v>
      </c>
      <c r="C286" s="2" t="s">
        <v>2605</v>
      </c>
      <c r="D286" s="2" t="s">
        <v>2606</v>
      </c>
      <c r="E286" s="4">
        <v>17</v>
      </c>
      <c r="F286" s="8">
        <v>251.77</v>
      </c>
      <c r="G286" s="4"/>
      <c r="H286" s="8"/>
      <c r="I286" s="7"/>
      <c r="J286" s="7"/>
      <c r="K286" s="4">
        <v>17</v>
      </c>
      <c r="L286" s="8">
        <v>251.77</v>
      </c>
      <c r="M286" s="4"/>
      <c r="N286" s="8"/>
      <c r="O286" s="7"/>
      <c r="P286" s="7"/>
    </row>
    <row r="287">
      <c r="A287" s="2" t="s">
        <v>11863</v>
      </c>
      <c r="B287" s="2" t="s">
        <v>3934</v>
      </c>
      <c r="C287" s="2" t="s">
        <v>2605</v>
      </c>
      <c r="D287" s="2" t="s">
        <v>2606</v>
      </c>
      <c r="E287" s="4">
        <v>10</v>
      </c>
      <c r="F287" s="8">
        <v>154.35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10</v>
      </c>
      <c r="L287" s="8">
        <v>154.35</v>
      </c>
      <c r="M287" s="4"/>
      <c r="N287" s="8"/>
      <c r="O287" s="7"/>
      <c r="P287" s="7"/>
    </row>
    <row r="288">
      <c r="A288" s="2" t="s">
        <v>11863</v>
      </c>
      <c r="B288" s="2" t="s">
        <v>3934</v>
      </c>
      <c r="C288" s="2" t="s">
        <v>2605</v>
      </c>
      <c r="D288" s="2" t="s">
        <v>12340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/>
      <c r="L288" s="8"/>
      <c r="M288" s="4"/>
      <c r="N288" s="8"/>
      <c r="O288" s="7"/>
      <c r="P288" s="7"/>
    </row>
    <row r="289">
      <c r="A289" s="2" t="s">
        <v>11863</v>
      </c>
      <c r="B289" s="2" t="s">
        <v>3934</v>
      </c>
      <c r="C289" s="2" t="s">
        <v>12649</v>
      </c>
      <c r="D289" s="2" t="s">
        <v>12650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/>
      <c r="L289" s="8"/>
      <c r="M289" s="4"/>
      <c r="N289" s="8"/>
      <c r="O289" s="7"/>
      <c r="P289" s="7"/>
    </row>
    <row r="290">
      <c r="A290" s="2" t="s">
        <v>11863</v>
      </c>
      <c r="B290" s="2" t="s">
        <v>3934</v>
      </c>
      <c r="C290" s="2" t="s">
        <v>12649</v>
      </c>
      <c r="D290" s="2" t="s">
        <v>12678</v>
      </c>
      <c r="E290" s="4" t="s">
        <v>100</v>
      </c>
      <c r="F290" s="8" t="s">
        <v>100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/>
      <c r="L290" s="8"/>
      <c r="M290" s="4"/>
      <c r="N290" s="8"/>
      <c r="O290" s="7"/>
      <c r="P290" s="7"/>
    </row>
    <row r="291">
      <c r="A291" s="2" t="s">
        <v>11863</v>
      </c>
      <c r="B291" s="2" t="s">
        <v>2850</v>
      </c>
      <c r="C291" s="2" t="s">
        <v>2605</v>
      </c>
      <c r="D291" s="2" t="s">
        <v>2606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12738</v>
      </c>
      <c r="B292" s="2" t="s">
        <v>3934</v>
      </c>
      <c r="C292" s="2" t="s">
        <v>803</v>
      </c>
      <c r="D292" s="2" t="s">
        <v>1475</v>
      </c>
      <c r="E292" s="4">
        <v>290</v>
      </c>
      <c r="F292" s="8">
        <v>10384.33</v>
      </c>
      <c r="G292" s="4" t="s">
        <v>100</v>
      </c>
      <c r="H292" s="8" t="s">
        <v>100</v>
      </c>
      <c r="I292" s="7" t="s">
        <v>100</v>
      </c>
      <c r="J292" s="7" t="s">
        <v>100</v>
      </c>
      <c r="K292" s="4">
        <v>204</v>
      </c>
      <c r="L292" s="8">
        <v>7069.28</v>
      </c>
      <c r="M292" s="4"/>
      <c r="N292" s="8"/>
      <c r="O292" s="7"/>
      <c r="P292" s="7"/>
    </row>
    <row r="293">
      <c r="A293" s="2" t="s">
        <v>12738</v>
      </c>
      <c r="B293" s="2" t="s">
        <v>3934</v>
      </c>
      <c r="C293" s="2" t="s">
        <v>803</v>
      </c>
      <c r="D293" s="2" t="s">
        <v>804</v>
      </c>
      <c r="E293" s="4" t="s">
        <v>100</v>
      </c>
      <c r="F293" s="8" t="s">
        <v>100</v>
      </c>
      <c r="G293" s="4" t="s">
        <v>100</v>
      </c>
      <c r="H293" s="8" t="s">
        <v>100</v>
      </c>
      <c r="I293" s="7" t="s">
        <v>100</v>
      </c>
      <c r="J293" s="7" t="s">
        <v>100</v>
      </c>
      <c r="K293" s="4">
        <v>86</v>
      </c>
      <c r="L293" s="8">
        <v>3315.05</v>
      </c>
      <c r="M293" s="4"/>
      <c r="N293" s="8"/>
      <c r="O293" s="7"/>
      <c r="P293" s="7"/>
    </row>
    <row r="294">
      <c r="A294" s="2" t="s">
        <v>12738</v>
      </c>
      <c r="B294" s="2" t="s">
        <v>3934</v>
      </c>
      <c r="C294" s="2" t="s">
        <v>803</v>
      </c>
      <c r="D294" s="2" t="s">
        <v>1532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/>
      <c r="L294" s="8"/>
      <c r="M294" s="4"/>
      <c r="N294" s="8"/>
      <c r="O294" s="7"/>
      <c r="P294" s="7"/>
    </row>
    <row r="295">
      <c r="A295" s="2" t="s">
        <v>12738</v>
      </c>
      <c r="B295" s="2" t="s">
        <v>3934</v>
      </c>
      <c r="C295" s="2" t="s">
        <v>1638</v>
      </c>
      <c r="D295" s="2" t="s">
        <v>1759</v>
      </c>
      <c r="E295" s="4">
        <v>10</v>
      </c>
      <c r="F295" s="8">
        <v>310.96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>
        <v>10</v>
      </c>
      <c r="L295" s="8">
        <v>310.96</v>
      </c>
      <c r="M295" s="4"/>
      <c r="N295" s="8"/>
      <c r="O295" s="7"/>
      <c r="P295" s="7"/>
    </row>
    <row r="296">
      <c r="A296" s="2" t="s">
        <v>12738</v>
      </c>
      <c r="B296" s="2" t="s">
        <v>3934</v>
      </c>
      <c r="C296" s="2" t="s">
        <v>1638</v>
      </c>
      <c r="D296" s="2" t="s">
        <v>1639</v>
      </c>
      <c r="E296" s="4" t="s">
        <v>100</v>
      </c>
      <c r="F296" s="8" t="s">
        <v>100</v>
      </c>
      <c r="G296" s="4" t="s">
        <v>100</v>
      </c>
      <c r="H296" s="8" t="s">
        <v>100</v>
      </c>
      <c r="I296" s="7" t="s">
        <v>100</v>
      </c>
      <c r="J296" s="7" t="s">
        <v>100</v>
      </c>
      <c r="K296" s="4"/>
      <c r="L296" s="8"/>
      <c r="M296" s="4"/>
      <c r="N296" s="8"/>
      <c r="O296" s="7"/>
      <c r="P296" s="7"/>
    </row>
    <row r="297">
      <c r="A297" s="2" t="s">
        <v>12738</v>
      </c>
      <c r="B297" s="2" t="s">
        <v>3934</v>
      </c>
      <c r="C297" s="2" t="s">
        <v>89</v>
      </c>
      <c r="D297" s="2" t="s">
        <v>2577</v>
      </c>
      <c r="E297" s="4">
        <v>1</v>
      </c>
      <c r="F297" s="8">
        <v>35.73</v>
      </c>
      <c r="G297" s="4"/>
      <c r="H297" s="8"/>
      <c r="I297" s="7"/>
      <c r="J297" s="7"/>
      <c r="K297" s="4">
        <v>1</v>
      </c>
      <c r="L297" s="8">
        <v>35.73</v>
      </c>
      <c r="M297" s="4"/>
      <c r="N297" s="8"/>
      <c r="O297" s="7"/>
      <c r="P297" s="7"/>
    </row>
    <row r="298">
      <c r="A298" s="2" t="s">
        <v>12738</v>
      </c>
      <c r="B298" s="2" t="s">
        <v>13159</v>
      </c>
      <c r="C298" s="2" t="s">
        <v>89</v>
      </c>
      <c r="D298" s="2" t="s">
        <v>90</v>
      </c>
      <c r="E298" s="4">
        <v>14</v>
      </c>
      <c r="F298" s="8">
        <v>644.49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>
        <v>7</v>
      </c>
      <c r="L298" s="8">
        <v>357.21</v>
      </c>
      <c r="M298" s="4"/>
      <c r="N298" s="8"/>
      <c r="O298" s="7"/>
      <c r="P298" s="7"/>
    </row>
    <row r="299">
      <c r="A299" s="2" t="s">
        <v>12738</v>
      </c>
      <c r="B299" s="2" t="s">
        <v>13159</v>
      </c>
      <c r="C299" s="2" t="s">
        <v>89</v>
      </c>
      <c r="D299" s="2" t="s">
        <v>2577</v>
      </c>
      <c r="E299" s="4" t="s">
        <v>100</v>
      </c>
      <c r="F299" s="8" t="s">
        <v>100</v>
      </c>
      <c r="G299" s="4" t="s">
        <v>100</v>
      </c>
      <c r="H299" s="8" t="s">
        <v>100</v>
      </c>
      <c r="I299" s="7" t="s">
        <v>100</v>
      </c>
      <c r="J299" s="7" t="s">
        <v>100</v>
      </c>
      <c r="K299" s="4">
        <v>7</v>
      </c>
      <c r="L299" s="8">
        <v>287.28</v>
      </c>
      <c r="M299" s="4"/>
      <c r="N299" s="8"/>
      <c r="O299" s="7"/>
      <c r="P299" s="7"/>
    </row>
    <row r="300">
      <c r="A300" s="2" t="s">
        <v>12738</v>
      </c>
      <c r="B300" s="2" t="s">
        <v>13159</v>
      </c>
      <c r="C300" s="2" t="s">
        <v>803</v>
      </c>
      <c r="D300" s="2" t="s">
        <v>804</v>
      </c>
      <c r="E300" s="4">
        <v>7</v>
      </c>
      <c r="F300" s="8">
        <v>282.24</v>
      </c>
      <c r="G300" s="4"/>
      <c r="H300" s="8"/>
      <c r="I300" s="7"/>
      <c r="J300" s="7"/>
      <c r="K300" s="4">
        <v>7</v>
      </c>
      <c r="L300" s="8">
        <v>282.24</v>
      </c>
      <c r="M300" s="4"/>
      <c r="N300" s="8"/>
      <c r="O300" s="7"/>
      <c r="P300" s="7"/>
    </row>
    <row r="301">
      <c r="A301" s="2" t="s">
        <v>12738</v>
      </c>
      <c r="B301" s="2" t="s">
        <v>13159</v>
      </c>
      <c r="C301" s="2" t="s">
        <v>1638</v>
      </c>
      <c r="D301" s="2" t="s">
        <v>1639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/>
      <c r="L301" s="8"/>
      <c r="M301" s="4"/>
      <c r="N301" s="8"/>
      <c r="O301" s="7"/>
      <c r="P301" s="7"/>
    </row>
    <row r="302">
      <c r="A302" s="2" t="s">
        <v>12738</v>
      </c>
      <c r="B302" s="2" t="s">
        <v>13159</v>
      </c>
      <c r="C302" s="2" t="s">
        <v>1638</v>
      </c>
      <c r="D302" s="2" t="s">
        <v>1759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/>
      <c r="L302" s="8"/>
      <c r="M302" s="4"/>
      <c r="N302" s="8"/>
      <c r="O302" s="7"/>
      <c r="P302" s="7"/>
    </row>
    <row r="303">
      <c r="A303" s="2" t="s">
        <v>12738</v>
      </c>
      <c r="B303" s="2" t="s">
        <v>11541</v>
      </c>
      <c r="C303" s="2" t="s">
        <v>803</v>
      </c>
      <c r="D303" s="2" t="s">
        <v>804</v>
      </c>
      <c r="E303" s="4">
        <v>26</v>
      </c>
      <c r="F303" s="8">
        <v>818.74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26</v>
      </c>
      <c r="L303" s="8">
        <v>818.74</v>
      </c>
      <c r="M303" s="4"/>
      <c r="N303" s="8"/>
      <c r="O303" s="7"/>
      <c r="P303" s="7"/>
    </row>
    <row r="304">
      <c r="A304" s="2" t="s">
        <v>12738</v>
      </c>
      <c r="B304" s="2" t="s">
        <v>11541</v>
      </c>
      <c r="C304" s="2" t="s">
        <v>803</v>
      </c>
      <c r="D304" s="2" t="s">
        <v>1532</v>
      </c>
      <c r="E304" s="4" t="s">
        <v>100</v>
      </c>
      <c r="F304" s="8" t="s">
        <v>100</v>
      </c>
      <c r="G304" s="4" t="s">
        <v>100</v>
      </c>
      <c r="H304" s="8" t="s">
        <v>100</v>
      </c>
      <c r="I304" s="7" t="s">
        <v>100</v>
      </c>
      <c r="J304" s="7" t="s">
        <v>100</v>
      </c>
      <c r="K304" s="4"/>
      <c r="L304" s="8"/>
      <c r="M304" s="4"/>
      <c r="N304" s="8"/>
      <c r="O304" s="7"/>
      <c r="P304" s="7"/>
    </row>
    <row r="305">
      <c r="A305" s="2" t="s">
        <v>12738</v>
      </c>
      <c r="B305" s="2" t="s">
        <v>11541</v>
      </c>
      <c r="C305" s="2" t="s">
        <v>1638</v>
      </c>
      <c r="D305" s="2" t="s">
        <v>1639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12738</v>
      </c>
      <c r="B306" s="2" t="s">
        <v>5036</v>
      </c>
      <c r="C306" s="2" t="s">
        <v>89</v>
      </c>
      <c r="D306" s="2" t="s">
        <v>90</v>
      </c>
      <c r="E306" s="4">
        <v>5</v>
      </c>
      <c r="F306" s="8">
        <v>283.5</v>
      </c>
      <c r="G306" s="4" t="s">
        <v>100</v>
      </c>
      <c r="H306" s="8" t="s">
        <v>100</v>
      </c>
      <c r="I306" s="7" t="s">
        <v>100</v>
      </c>
      <c r="J306" s="7" t="s">
        <v>100</v>
      </c>
      <c r="K306" s="4">
        <v>5</v>
      </c>
      <c r="L306" s="8">
        <v>283.5</v>
      </c>
      <c r="M306" s="4"/>
      <c r="N306" s="8"/>
      <c r="O306" s="7"/>
      <c r="P306" s="7"/>
    </row>
    <row r="307">
      <c r="A307" s="2" t="s">
        <v>12738</v>
      </c>
      <c r="B307" s="2" t="s">
        <v>5036</v>
      </c>
      <c r="C307" s="2" t="s">
        <v>89</v>
      </c>
      <c r="D307" s="2" t="s">
        <v>506</v>
      </c>
      <c r="E307" s="4" t="s">
        <v>100</v>
      </c>
      <c r="F307" s="8" t="s">
        <v>100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/>
      <c r="L307" s="8"/>
      <c r="M307" s="4"/>
      <c r="N307" s="8"/>
      <c r="O307" s="7"/>
      <c r="P307" s="7"/>
    </row>
    <row r="308">
      <c r="A308" s="2" t="s">
        <v>12738</v>
      </c>
      <c r="B308" s="2" t="s">
        <v>5036</v>
      </c>
      <c r="C308" s="2" t="s">
        <v>803</v>
      </c>
      <c r="D308" s="2" t="s">
        <v>804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/>
      <c r="L308" s="8"/>
      <c r="M308" s="4"/>
      <c r="N308" s="8"/>
      <c r="O308" s="7"/>
      <c r="P308" s="7"/>
    </row>
    <row r="309">
      <c r="A309" s="2" t="s">
        <v>12738</v>
      </c>
      <c r="B309" s="2" t="s">
        <v>5036</v>
      </c>
      <c r="C309" s="2" t="s">
        <v>803</v>
      </c>
      <c r="D309" s="2" t="s">
        <v>1532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/>
      <c r="L309" s="8"/>
      <c r="M309" s="4"/>
      <c r="N309" s="8"/>
      <c r="O309" s="7"/>
      <c r="P309" s="7"/>
    </row>
    <row r="310">
      <c r="A310" s="2" t="s">
        <v>12738</v>
      </c>
      <c r="B310" s="2" t="s">
        <v>5036</v>
      </c>
      <c r="C310" s="2" t="s">
        <v>1638</v>
      </c>
      <c r="D310" s="2" t="s">
        <v>1639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/>
      <c r="L310" s="8"/>
      <c r="M310" s="4"/>
      <c r="N310" s="8"/>
      <c r="O310" s="7"/>
      <c r="P310" s="7"/>
    </row>
    <row r="311">
      <c r="A311" s="2" t="s">
        <v>12738</v>
      </c>
      <c r="B311" s="2" t="s">
        <v>5036</v>
      </c>
      <c r="C311" s="2" t="s">
        <v>1638</v>
      </c>
      <c r="D311" s="2" t="s">
        <v>1759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/>
      <c r="L311" s="8"/>
      <c r="M311" s="4"/>
      <c r="N311" s="8"/>
      <c r="O311" s="7"/>
      <c r="P311" s="7"/>
    </row>
    <row r="312">
      <c r="A312" s="2" t="s">
        <v>12738</v>
      </c>
      <c r="B312" s="2" t="s">
        <v>12594</v>
      </c>
      <c r="C312" s="2" t="s">
        <v>803</v>
      </c>
      <c r="D312" s="2" t="s">
        <v>804</v>
      </c>
      <c r="E312" s="4">
        <v>4</v>
      </c>
      <c r="F312" s="8">
        <v>147</v>
      </c>
      <c r="G312" s="4" t="s">
        <v>100</v>
      </c>
      <c r="H312" s="8" t="s">
        <v>100</v>
      </c>
      <c r="I312" s="7" t="s">
        <v>100</v>
      </c>
      <c r="J312" s="7" t="s">
        <v>100</v>
      </c>
      <c r="K312" s="4">
        <v>4</v>
      </c>
      <c r="L312" s="8">
        <v>147</v>
      </c>
      <c r="M312" s="4"/>
      <c r="N312" s="8"/>
      <c r="O312" s="7"/>
      <c r="P312" s="7"/>
    </row>
    <row r="313">
      <c r="A313" s="2" t="s">
        <v>12738</v>
      </c>
      <c r="B313" s="2" t="s">
        <v>12594</v>
      </c>
      <c r="C313" s="2" t="s">
        <v>803</v>
      </c>
      <c r="D313" s="2" t="s">
        <v>1532</v>
      </c>
      <c r="E313" s="4" t="s">
        <v>100</v>
      </c>
      <c r="F313" s="8" t="s">
        <v>100</v>
      </c>
      <c r="G313" s="4" t="s">
        <v>100</v>
      </c>
      <c r="H313" s="8" t="s">
        <v>100</v>
      </c>
      <c r="I313" s="7" t="s">
        <v>100</v>
      </c>
      <c r="J313" s="7" t="s">
        <v>100</v>
      </c>
      <c r="K313" s="4"/>
      <c r="L313" s="8"/>
      <c r="M313" s="4"/>
      <c r="N313" s="8"/>
      <c r="O313" s="7"/>
      <c r="P313" s="7"/>
    </row>
    <row r="314">
      <c r="A314" s="2" t="s">
        <v>12738</v>
      </c>
      <c r="B314" s="2" t="s">
        <v>12594</v>
      </c>
      <c r="C314" s="2" t="s">
        <v>1638</v>
      </c>
      <c r="D314" s="2" t="s">
        <v>1639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8:E19"/>
    <mergeCell ref="F18:F19"/>
    <mergeCell ref="G18:G19"/>
    <mergeCell ref="H18:H19"/>
    <mergeCell ref="I18:I19"/>
    <mergeCell ref="J18:J19"/>
    <mergeCell ref="E21:E22"/>
    <mergeCell ref="F21:F22"/>
    <mergeCell ref="G21:G22"/>
    <mergeCell ref="H21:H22"/>
    <mergeCell ref="I21:I22"/>
    <mergeCell ref="J21:J22"/>
    <mergeCell ref="E24:E25"/>
    <mergeCell ref="F24:F25"/>
    <mergeCell ref="G24:G25"/>
    <mergeCell ref="H24:H25"/>
    <mergeCell ref="I24:I25"/>
    <mergeCell ref="J24:J25"/>
    <mergeCell ref="E28:E29"/>
    <mergeCell ref="F28:F29"/>
    <mergeCell ref="G28:G29"/>
    <mergeCell ref="H28:H29"/>
    <mergeCell ref="I28:I29"/>
    <mergeCell ref="J28:J29"/>
    <mergeCell ref="E44:E45"/>
    <mergeCell ref="F44:F45"/>
    <mergeCell ref="G44:G45"/>
    <mergeCell ref="H44:H45"/>
    <mergeCell ref="I44:I45"/>
    <mergeCell ref="J44:J45"/>
    <mergeCell ref="E54:E55"/>
    <mergeCell ref="F54:F55"/>
    <mergeCell ref="G54:G55"/>
    <mergeCell ref="H54:H55"/>
    <mergeCell ref="I54:I55"/>
    <mergeCell ref="J54:J55"/>
    <mergeCell ref="E56:E57"/>
    <mergeCell ref="F56:F57"/>
    <mergeCell ref="G56:G57"/>
    <mergeCell ref="H56:H57"/>
    <mergeCell ref="I56:I57"/>
    <mergeCell ref="J56:J57"/>
    <mergeCell ref="E58:E59"/>
    <mergeCell ref="F58:F59"/>
    <mergeCell ref="G58:G59"/>
    <mergeCell ref="H58:H59"/>
    <mergeCell ref="I58:I59"/>
    <mergeCell ref="J58:J59"/>
    <mergeCell ref="E65:E66"/>
    <mergeCell ref="F65:F66"/>
    <mergeCell ref="G65:G66"/>
    <mergeCell ref="H65:H66"/>
    <mergeCell ref="I65:I66"/>
    <mergeCell ref="J65:J66"/>
    <mergeCell ref="E72:E74"/>
    <mergeCell ref="F72:F74"/>
    <mergeCell ref="G72:G74"/>
    <mergeCell ref="H72:H74"/>
    <mergeCell ref="I72:I74"/>
    <mergeCell ref="J72:J74"/>
    <mergeCell ref="E75:E77"/>
    <mergeCell ref="F75:F77"/>
    <mergeCell ref="G75:G77"/>
    <mergeCell ref="H75:H77"/>
    <mergeCell ref="I75:I77"/>
    <mergeCell ref="J75:J77"/>
    <mergeCell ref="E79:E80"/>
    <mergeCell ref="F79:F80"/>
    <mergeCell ref="G79:G80"/>
    <mergeCell ref="H79:H80"/>
    <mergeCell ref="I79:I80"/>
    <mergeCell ref="J79:J80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86:E87"/>
    <mergeCell ref="F86:F87"/>
    <mergeCell ref="G86:G87"/>
    <mergeCell ref="H86:H87"/>
    <mergeCell ref="I86:I87"/>
    <mergeCell ref="J86:J87"/>
    <mergeCell ref="E89:E90"/>
    <mergeCell ref="F89:F90"/>
    <mergeCell ref="G89:G90"/>
    <mergeCell ref="H89:H90"/>
    <mergeCell ref="I89:I90"/>
    <mergeCell ref="J89:J90"/>
    <mergeCell ref="E93:E94"/>
    <mergeCell ref="F93:F94"/>
    <mergeCell ref="G93:G94"/>
    <mergeCell ref="H93:H94"/>
    <mergeCell ref="I93:I94"/>
    <mergeCell ref="J93:J94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10:E111"/>
    <mergeCell ref="F110:F111"/>
    <mergeCell ref="G110:G111"/>
    <mergeCell ref="H110:H111"/>
    <mergeCell ref="I110:I111"/>
    <mergeCell ref="J110:J111"/>
    <mergeCell ref="E133:E134"/>
    <mergeCell ref="F133:F134"/>
    <mergeCell ref="G133:G134"/>
    <mergeCell ref="H133:H134"/>
    <mergeCell ref="I133:I134"/>
    <mergeCell ref="J133:J134"/>
    <mergeCell ref="E138:E139"/>
    <mergeCell ref="F138:F139"/>
    <mergeCell ref="G138:G139"/>
    <mergeCell ref="H138:H139"/>
    <mergeCell ref="I138:I139"/>
    <mergeCell ref="J138:J139"/>
    <mergeCell ref="E140:E141"/>
    <mergeCell ref="F140:F141"/>
    <mergeCell ref="G140:G141"/>
    <mergeCell ref="H140:H141"/>
    <mergeCell ref="I140:I141"/>
    <mergeCell ref="J140:J141"/>
    <mergeCell ref="E145:E146"/>
    <mergeCell ref="F145:F146"/>
    <mergeCell ref="G145:G146"/>
    <mergeCell ref="H145:H146"/>
    <mergeCell ref="I145:I146"/>
    <mergeCell ref="J145:J146"/>
    <mergeCell ref="E150:E151"/>
    <mergeCell ref="F150:F151"/>
    <mergeCell ref="G150:G151"/>
    <mergeCell ref="H150:H151"/>
    <mergeCell ref="I150:I151"/>
    <mergeCell ref="J150:J151"/>
    <mergeCell ref="E153:E154"/>
    <mergeCell ref="F153:F154"/>
    <mergeCell ref="G153:G154"/>
    <mergeCell ref="H153:H154"/>
    <mergeCell ref="I153:I154"/>
    <mergeCell ref="J153:J154"/>
    <mergeCell ref="E167:E168"/>
    <mergeCell ref="F167:F168"/>
    <mergeCell ref="G167:G168"/>
    <mergeCell ref="H167:H168"/>
    <mergeCell ref="I167:I168"/>
    <mergeCell ref="J167:J168"/>
    <mergeCell ref="E173:E174"/>
    <mergeCell ref="F173:F174"/>
    <mergeCell ref="G173:G174"/>
    <mergeCell ref="H173:H174"/>
    <mergeCell ref="I173:I174"/>
    <mergeCell ref="J173:J174"/>
    <mergeCell ref="E175:E176"/>
    <mergeCell ref="F175:F176"/>
    <mergeCell ref="G175:G176"/>
    <mergeCell ref="H175:H176"/>
    <mergeCell ref="I175:I176"/>
    <mergeCell ref="J175:J176"/>
    <mergeCell ref="E178:E179"/>
    <mergeCell ref="F178:F179"/>
    <mergeCell ref="G178:G179"/>
    <mergeCell ref="H178:H179"/>
    <mergeCell ref="I178:I179"/>
    <mergeCell ref="J178:J179"/>
    <mergeCell ref="E187:E189"/>
    <mergeCell ref="F187:F189"/>
    <mergeCell ref="G187:G189"/>
    <mergeCell ref="H187:H189"/>
    <mergeCell ref="I187:I189"/>
    <mergeCell ref="J187:J189"/>
    <mergeCell ref="E190:E191"/>
    <mergeCell ref="F190:F191"/>
    <mergeCell ref="G190:G191"/>
    <mergeCell ref="H190:H191"/>
    <mergeCell ref="I190:I191"/>
    <mergeCell ref="J190:J191"/>
    <mergeCell ref="E192:E193"/>
    <mergeCell ref="F192:F193"/>
    <mergeCell ref="G192:G193"/>
    <mergeCell ref="H192:H193"/>
    <mergeCell ref="I192:I193"/>
    <mergeCell ref="J192:J193"/>
    <mergeCell ref="E196:E198"/>
    <mergeCell ref="F196:F198"/>
    <mergeCell ref="G196:G198"/>
    <mergeCell ref="H196:H198"/>
    <mergeCell ref="I196:I198"/>
    <mergeCell ref="J196:J198"/>
    <mergeCell ref="E202:E203"/>
    <mergeCell ref="F202:F203"/>
    <mergeCell ref="G202:G203"/>
    <mergeCell ref="H202:H203"/>
    <mergeCell ref="I202:I203"/>
    <mergeCell ref="J202:J203"/>
    <mergeCell ref="E207:E209"/>
    <mergeCell ref="F207:F209"/>
    <mergeCell ref="G207:G209"/>
    <mergeCell ref="H207:H209"/>
    <mergeCell ref="I207:I209"/>
    <mergeCell ref="J207:J209"/>
    <mergeCell ref="E210:E212"/>
    <mergeCell ref="F210:F212"/>
    <mergeCell ref="G210:G212"/>
    <mergeCell ref="H210:H212"/>
    <mergeCell ref="I210:I212"/>
    <mergeCell ref="J210:J212"/>
    <mergeCell ref="E213:E214"/>
    <mergeCell ref="F213:F214"/>
    <mergeCell ref="G213:G214"/>
    <mergeCell ref="H213:H214"/>
    <mergeCell ref="I213:I214"/>
    <mergeCell ref="J213:J214"/>
    <mergeCell ref="E224:E226"/>
    <mergeCell ref="F224:F226"/>
    <mergeCell ref="G224:G226"/>
    <mergeCell ref="H224:H226"/>
    <mergeCell ref="I224:I226"/>
    <mergeCell ref="J224:J226"/>
    <mergeCell ref="E227:E228"/>
    <mergeCell ref="F227:F228"/>
    <mergeCell ref="G227:G228"/>
    <mergeCell ref="H227:H228"/>
    <mergeCell ref="I227:I228"/>
    <mergeCell ref="J227:J228"/>
    <mergeCell ref="E238:E240"/>
    <mergeCell ref="F238:F240"/>
    <mergeCell ref="G238:G240"/>
    <mergeCell ref="H238:H240"/>
    <mergeCell ref="I238:I240"/>
    <mergeCell ref="J238:J240"/>
    <mergeCell ref="E275:E280"/>
    <mergeCell ref="F275:F280"/>
    <mergeCell ref="G275:G280"/>
    <mergeCell ref="H275:H280"/>
    <mergeCell ref="I275:I280"/>
    <mergeCell ref="J275:J280"/>
    <mergeCell ref="E282:E283"/>
    <mergeCell ref="F282:F283"/>
    <mergeCell ref="G282:G283"/>
    <mergeCell ref="H282:H283"/>
    <mergeCell ref="I282:I283"/>
    <mergeCell ref="J282:J283"/>
    <mergeCell ref="E287:E288"/>
    <mergeCell ref="F287:F288"/>
    <mergeCell ref="G287:G288"/>
    <mergeCell ref="H287:H288"/>
    <mergeCell ref="I287:I288"/>
    <mergeCell ref="J287:J288"/>
    <mergeCell ref="E289:E290"/>
    <mergeCell ref="F289:F290"/>
    <mergeCell ref="G289:G290"/>
    <mergeCell ref="H289:H290"/>
    <mergeCell ref="I289:I290"/>
    <mergeCell ref="J289:J290"/>
    <mergeCell ref="E292:E294"/>
    <mergeCell ref="F292:F294"/>
    <mergeCell ref="G292:G294"/>
    <mergeCell ref="H292:H294"/>
    <mergeCell ref="I292:I294"/>
    <mergeCell ref="J292:J294"/>
    <mergeCell ref="E295:E296"/>
    <mergeCell ref="F295:F296"/>
    <mergeCell ref="G295:G296"/>
    <mergeCell ref="H295:H296"/>
    <mergeCell ref="I295:I296"/>
    <mergeCell ref="J295:J296"/>
    <mergeCell ref="E298:E299"/>
    <mergeCell ref="F298:F299"/>
    <mergeCell ref="G298:G299"/>
    <mergeCell ref="H298:H299"/>
    <mergeCell ref="I298:I299"/>
    <mergeCell ref="J298:J299"/>
    <mergeCell ref="E301:E302"/>
    <mergeCell ref="F301:F302"/>
    <mergeCell ref="G301:G302"/>
    <mergeCell ref="H301:H302"/>
    <mergeCell ref="I301:I302"/>
    <mergeCell ref="J301:J302"/>
    <mergeCell ref="E303:E304"/>
    <mergeCell ref="F303:F304"/>
    <mergeCell ref="G303:G304"/>
    <mergeCell ref="H303:H304"/>
    <mergeCell ref="I303:I304"/>
    <mergeCell ref="J303:J304"/>
    <mergeCell ref="E306:E307"/>
    <mergeCell ref="F306:F307"/>
    <mergeCell ref="G306:G307"/>
    <mergeCell ref="H306:H307"/>
    <mergeCell ref="I306:I307"/>
    <mergeCell ref="J306:J307"/>
    <mergeCell ref="E308:E309"/>
    <mergeCell ref="F308:F309"/>
    <mergeCell ref="G308:G309"/>
    <mergeCell ref="H308:H309"/>
    <mergeCell ref="I308:I309"/>
    <mergeCell ref="J308:J309"/>
    <mergeCell ref="E310:E311"/>
    <mergeCell ref="F310:F311"/>
    <mergeCell ref="G310:G311"/>
    <mergeCell ref="H310:H311"/>
    <mergeCell ref="I310:I311"/>
    <mergeCell ref="J310:J311"/>
    <mergeCell ref="E312:E313"/>
    <mergeCell ref="F312:F313"/>
    <mergeCell ref="G312:G313"/>
    <mergeCell ref="H312:H313"/>
    <mergeCell ref="I312:I313"/>
    <mergeCell ref="J312:J31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13366</v>
      </c>
      <c r="D2" s="0" t="s">
        <v>13367</v>
      </c>
      <c r="E2" s="0" t="s">
        <v>13368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13369</v>
      </c>
      <c r="I4" s="1" t="s">
        <v>13370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13371</v>
      </c>
      <c r="O4" s="1" t="s">
        <v>13372</v>
      </c>
    </row>
    <row r="5">
      <c r="A5" s="1" t="s">
        <v>52</v>
      </c>
      <c r="B5" s="1" t="s">
        <v>54</v>
      </c>
      <c r="C5" s="1" t="s">
        <v>55</v>
      </c>
      <c r="D5" s="1" t="s">
        <v>13373</v>
      </c>
      <c r="E5" s="1" t="s">
        <v>13374</v>
      </c>
      <c r="F5" s="1" t="s">
        <v>13373</v>
      </c>
      <c r="G5" s="1" t="s">
        <v>13374</v>
      </c>
      <c r="H5" s="1" t="s">
        <v>13369</v>
      </c>
      <c r="I5" s="1" t="s">
        <v>13370</v>
      </c>
      <c r="J5" s="1" t="s">
        <v>13375</v>
      </c>
      <c r="K5" s="1" t="s">
        <v>13376</v>
      </c>
      <c r="L5" s="1" t="s">
        <v>13375</v>
      </c>
      <c r="M5" s="1" t="s">
        <v>13376</v>
      </c>
      <c r="N5" s="1" t="s">
        <v>13371</v>
      </c>
      <c r="O5" s="1" t="s">
        <v>13372</v>
      </c>
    </row>
    <row r="6">
      <c r="A6" s="2" t="s">
        <v>87</v>
      </c>
      <c r="B6" s="2" t="s">
        <v>803</v>
      </c>
      <c r="C6" s="2" t="s">
        <v>804</v>
      </c>
      <c r="D6" s="4">
        <v>526</v>
      </c>
      <c r="E6" s="8">
        <v>41399.28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250</v>
      </c>
      <c r="K6" s="8">
        <v>17538.19</v>
      </c>
      <c r="L6" s="4"/>
      <c r="M6" s="8"/>
      <c r="N6" s="7"/>
      <c r="O6" s="7"/>
    </row>
    <row r="7">
      <c r="A7" s="2" t="s">
        <v>87</v>
      </c>
      <c r="B7" s="2" t="s">
        <v>803</v>
      </c>
      <c r="C7" s="2" t="s">
        <v>1868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131</v>
      </c>
      <c r="K7" s="8">
        <v>13539.11</v>
      </c>
      <c r="L7" s="4"/>
      <c r="M7" s="8"/>
      <c r="N7" s="7"/>
      <c r="O7" s="7"/>
    </row>
    <row r="8">
      <c r="A8" s="2" t="s">
        <v>87</v>
      </c>
      <c r="B8" s="2" t="s">
        <v>803</v>
      </c>
      <c r="C8" s="2" t="s">
        <v>1475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139</v>
      </c>
      <c r="K8" s="8">
        <v>9799.44</v>
      </c>
      <c r="L8" s="4"/>
      <c r="M8" s="8"/>
      <c r="N8" s="7"/>
      <c r="O8" s="7"/>
    </row>
    <row r="9">
      <c r="A9" s="2" t="s">
        <v>87</v>
      </c>
      <c r="B9" s="2" t="s">
        <v>803</v>
      </c>
      <c r="C9" s="2" t="s">
        <v>1532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6</v>
      </c>
      <c r="K9" s="8">
        <v>522.54</v>
      </c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90</v>
      </c>
      <c r="D10" s="4">
        <v>494</v>
      </c>
      <c r="E10" s="8">
        <v>23502.83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212</v>
      </c>
      <c r="K10" s="8">
        <v>9586.2</v>
      </c>
      <c r="L10" s="4"/>
      <c r="M10" s="8"/>
      <c r="N10" s="7"/>
      <c r="O10" s="7"/>
    </row>
    <row r="11">
      <c r="A11" s="2" t="s">
        <v>87</v>
      </c>
      <c r="B11" s="2" t="s">
        <v>89</v>
      </c>
      <c r="C11" s="2" t="s">
        <v>691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102</v>
      </c>
      <c r="K11" s="8">
        <v>4386.31</v>
      </c>
      <c r="L11" s="4"/>
      <c r="M11" s="8"/>
      <c r="N11" s="7"/>
      <c r="O11" s="7"/>
    </row>
    <row r="12">
      <c r="A12" s="2" t="s">
        <v>87</v>
      </c>
      <c r="B12" s="2" t="s">
        <v>89</v>
      </c>
      <c r="C12" s="2" t="s">
        <v>232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68</v>
      </c>
      <c r="K12" s="8">
        <v>3969.33</v>
      </c>
      <c r="L12" s="4"/>
      <c r="M12" s="8"/>
      <c r="N12" s="7"/>
      <c r="O12" s="7"/>
    </row>
    <row r="13">
      <c r="A13" s="2" t="s">
        <v>87</v>
      </c>
      <c r="B13" s="2" t="s">
        <v>89</v>
      </c>
      <c r="C13" s="2" t="s">
        <v>506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63</v>
      </c>
      <c r="K13" s="8">
        <v>2716.95</v>
      </c>
      <c r="L13" s="4"/>
      <c r="M13" s="8"/>
      <c r="N13" s="7"/>
      <c r="O13" s="7"/>
    </row>
    <row r="14">
      <c r="A14" s="2" t="s">
        <v>87</v>
      </c>
      <c r="B14" s="2" t="s">
        <v>89</v>
      </c>
      <c r="C14" s="2" t="s">
        <v>783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30</v>
      </c>
      <c r="K14" s="8">
        <v>1619.73</v>
      </c>
      <c r="L14" s="4"/>
      <c r="M14" s="8"/>
      <c r="N14" s="7"/>
      <c r="O14" s="7"/>
    </row>
    <row r="15">
      <c r="A15" s="2" t="s">
        <v>87</v>
      </c>
      <c r="B15" s="2" t="s">
        <v>89</v>
      </c>
      <c r="C15" s="2" t="s">
        <v>1475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10</v>
      </c>
      <c r="K15" s="8">
        <v>623.71</v>
      </c>
      <c r="L15" s="4"/>
      <c r="M15" s="8"/>
      <c r="N15" s="7"/>
      <c r="O15" s="7"/>
    </row>
    <row r="16">
      <c r="A16" s="2" t="s">
        <v>87</v>
      </c>
      <c r="B16" s="2" t="s">
        <v>89</v>
      </c>
      <c r="C16" s="2" t="s">
        <v>2332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</v>
      </c>
      <c r="K16" s="8">
        <v>600.6</v>
      </c>
      <c r="L16" s="4"/>
      <c r="M16" s="8"/>
      <c r="N16" s="7"/>
      <c r="O16" s="7"/>
    </row>
    <row r="17">
      <c r="A17" s="2" t="s">
        <v>87</v>
      </c>
      <c r="B17" s="2" t="s">
        <v>89</v>
      </c>
      <c r="C17" s="2" t="s">
        <v>2577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1638</v>
      </c>
      <c r="C18" s="2" t="s">
        <v>1639</v>
      </c>
      <c r="D18" s="4">
        <v>47</v>
      </c>
      <c r="E18" s="8">
        <v>2624.06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31</v>
      </c>
      <c r="K18" s="8">
        <v>1668.73</v>
      </c>
      <c r="L18" s="4"/>
      <c r="M18" s="8"/>
      <c r="N18" s="7"/>
      <c r="O18" s="7"/>
    </row>
    <row r="19">
      <c r="A19" s="2" t="s">
        <v>87</v>
      </c>
      <c r="B19" s="2" t="s">
        <v>1638</v>
      </c>
      <c r="C19" s="2" t="s">
        <v>1759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16</v>
      </c>
      <c r="K19" s="8">
        <v>955.33</v>
      </c>
      <c r="L19" s="4"/>
      <c r="M19" s="8"/>
      <c r="N19" s="7"/>
      <c r="O19" s="7"/>
    </row>
    <row r="20">
      <c r="A20" s="2" t="s">
        <v>87</v>
      </c>
      <c r="B20" s="2" t="s">
        <v>1842</v>
      </c>
      <c r="C20" s="2" t="s">
        <v>1843</v>
      </c>
      <c r="D20" s="4">
        <v>97</v>
      </c>
      <c r="E20" s="8">
        <v>2053.83</v>
      </c>
      <c r="F20" s="4"/>
      <c r="G20" s="8"/>
      <c r="H20" s="7"/>
      <c r="I20" s="7"/>
      <c r="J20" s="4">
        <v>97</v>
      </c>
      <c r="K20" s="8">
        <v>2053.83</v>
      </c>
      <c r="L20" s="4"/>
      <c r="M20" s="8"/>
      <c r="N20" s="7"/>
      <c r="O20" s="7"/>
    </row>
    <row r="21">
      <c r="A21" s="2" t="s">
        <v>87</v>
      </c>
      <c r="B21" s="2" t="s">
        <v>1857</v>
      </c>
      <c r="C21" s="2" t="s">
        <v>1858</v>
      </c>
      <c r="D21" s="4">
        <v>15</v>
      </c>
      <c r="E21" s="8">
        <v>103.95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15</v>
      </c>
      <c r="K21" s="8">
        <v>103.95</v>
      </c>
      <c r="L21" s="4"/>
      <c r="M21" s="8"/>
      <c r="N21" s="7"/>
      <c r="O21" s="7"/>
    </row>
    <row r="22">
      <c r="A22" s="2" t="s">
        <v>87</v>
      </c>
      <c r="B22" s="2" t="s">
        <v>1857</v>
      </c>
      <c r="C22" s="2" t="s">
        <v>3326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1857</v>
      </c>
      <c r="C23" s="2" t="s">
        <v>2427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2503</v>
      </c>
      <c r="C24" s="2" t="s">
        <v>2504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3836</v>
      </c>
      <c r="C25" s="2" t="s">
        <v>506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2598</v>
      </c>
      <c r="C26" s="2" t="s">
        <v>2599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2605</v>
      </c>
      <c r="C27" s="2" t="s">
        <v>2606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3864</v>
      </c>
      <c r="B28" s="2" t="s">
        <v>3865</v>
      </c>
      <c r="C28" s="2" t="s">
        <v>3866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3872</v>
      </c>
      <c r="B29" s="2" t="s">
        <v>3941</v>
      </c>
      <c r="C29" s="2" t="s">
        <v>3942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3872</v>
      </c>
      <c r="B30" s="2" t="s">
        <v>3873</v>
      </c>
      <c r="C30" s="2" t="s">
        <v>3942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/>
      <c r="K30" s="8"/>
      <c r="L30" s="4"/>
      <c r="M30" s="8"/>
      <c r="N30" s="7"/>
      <c r="O30" s="7"/>
    </row>
    <row r="31">
      <c r="A31" s="2" t="s">
        <v>3872</v>
      </c>
      <c r="B31" s="2" t="s">
        <v>3873</v>
      </c>
      <c r="C31" s="2" t="s">
        <v>3874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/>
      <c r="K31" s="8"/>
      <c r="L31" s="4"/>
      <c r="M31" s="8"/>
      <c r="N31" s="7"/>
      <c r="O31" s="7"/>
    </row>
    <row r="32">
      <c r="A32" s="2" t="s">
        <v>3872</v>
      </c>
      <c r="B32" s="2" t="s">
        <v>3873</v>
      </c>
      <c r="C32" s="2" t="s">
        <v>3927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/>
      <c r="K32" s="8"/>
      <c r="L32" s="4"/>
      <c r="M32" s="8"/>
      <c r="N32" s="7"/>
      <c r="O32" s="7"/>
    </row>
    <row r="33">
      <c r="A33" s="2" t="s">
        <v>3872</v>
      </c>
      <c r="B33" s="2" t="s">
        <v>3873</v>
      </c>
      <c r="C33" s="2" t="s">
        <v>3882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3872</v>
      </c>
      <c r="B34" s="2" t="s">
        <v>3895</v>
      </c>
      <c r="C34" s="2" t="s">
        <v>3896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/>
      <c r="K34" s="8"/>
      <c r="L34" s="4"/>
      <c r="M34" s="8"/>
      <c r="N34" s="7"/>
      <c r="O34" s="7"/>
    </row>
    <row r="35">
      <c r="A35" s="2" t="s">
        <v>3872</v>
      </c>
      <c r="B35" s="2" t="s">
        <v>3895</v>
      </c>
      <c r="C35" s="2" t="s">
        <v>3927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/>
      <c r="K35" s="8"/>
      <c r="L35" s="4"/>
      <c r="M35" s="8"/>
      <c r="N35" s="7"/>
      <c r="O35" s="7"/>
    </row>
    <row r="36">
      <c r="A36" s="2" t="s">
        <v>3872</v>
      </c>
      <c r="B36" s="2" t="s">
        <v>3895</v>
      </c>
      <c r="C36" s="2" t="s">
        <v>3882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/>
      <c r="K36" s="8"/>
      <c r="L36" s="4"/>
      <c r="M36" s="8"/>
      <c r="N36" s="7"/>
      <c r="O36" s="7"/>
    </row>
    <row r="37">
      <c r="A37" s="2" t="s">
        <v>3872</v>
      </c>
      <c r="B37" s="2" t="s">
        <v>4190</v>
      </c>
      <c r="C37" s="2" t="s">
        <v>4191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3872</v>
      </c>
      <c r="B38" s="2" t="s">
        <v>3919</v>
      </c>
      <c r="C38" s="2" t="s">
        <v>3920</v>
      </c>
      <c r="D38" s="4" t="s">
        <v>100</v>
      </c>
      <c r="E38" s="8" t="s">
        <v>100</v>
      </c>
      <c r="F38" s="4" t="s">
        <v>100</v>
      </c>
      <c r="G38" s="8" t="s">
        <v>100</v>
      </c>
      <c r="H38" s="7" t="s">
        <v>100</v>
      </c>
      <c r="I38" s="7" t="s">
        <v>100</v>
      </c>
      <c r="J38" s="4"/>
      <c r="K38" s="8"/>
      <c r="L38" s="4"/>
      <c r="M38" s="8"/>
      <c r="N38" s="7"/>
      <c r="O38" s="7"/>
    </row>
    <row r="39">
      <c r="A39" s="2" t="s">
        <v>3872</v>
      </c>
      <c r="B39" s="2" t="s">
        <v>3919</v>
      </c>
      <c r="C39" s="2" t="s">
        <v>4231</v>
      </c>
      <c r="D39" s="4" t="s">
        <v>100</v>
      </c>
      <c r="E39" s="8" t="s">
        <v>100</v>
      </c>
      <c r="F39" s="4" t="s">
        <v>100</v>
      </c>
      <c r="G39" s="8" t="s">
        <v>100</v>
      </c>
      <c r="H39" s="7" t="s">
        <v>100</v>
      </c>
      <c r="I39" s="7" t="s">
        <v>100</v>
      </c>
      <c r="J39" s="4"/>
      <c r="K39" s="8"/>
      <c r="L39" s="4"/>
      <c r="M39" s="8"/>
      <c r="N39" s="7"/>
      <c r="O39" s="7"/>
    </row>
    <row r="40">
      <c r="A40" s="2" t="s">
        <v>3872</v>
      </c>
      <c r="B40" s="2" t="s">
        <v>4246</v>
      </c>
      <c r="C40" s="2" t="s">
        <v>4247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3872</v>
      </c>
      <c r="B41" s="2" t="s">
        <v>3926</v>
      </c>
      <c r="C41" s="2" t="s">
        <v>3927</v>
      </c>
      <c r="D41" s="4" t="s">
        <v>100</v>
      </c>
      <c r="E41" s="8" t="s">
        <v>100</v>
      </c>
      <c r="F41" s="4" t="s">
        <v>100</v>
      </c>
      <c r="G41" s="8" t="s">
        <v>100</v>
      </c>
      <c r="H41" s="7" t="s">
        <v>100</v>
      </c>
      <c r="I41" s="7" t="s">
        <v>100</v>
      </c>
      <c r="J41" s="4"/>
      <c r="K41" s="8"/>
      <c r="L41" s="4"/>
      <c r="M41" s="8"/>
      <c r="N41" s="7"/>
      <c r="O41" s="7"/>
    </row>
    <row r="42">
      <c r="A42" s="2" t="s">
        <v>3872</v>
      </c>
      <c r="B42" s="2" t="s">
        <v>3926</v>
      </c>
      <c r="C42" s="2" t="s">
        <v>3882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/>
      <c r="K42" s="8"/>
      <c r="L42" s="4"/>
      <c r="M42" s="8"/>
      <c r="N42" s="7"/>
      <c r="O42" s="7"/>
    </row>
    <row r="43">
      <c r="A43" s="2" t="s">
        <v>3872</v>
      </c>
      <c r="B43" s="2" t="s">
        <v>4329</v>
      </c>
      <c r="C43" s="2" t="s">
        <v>4330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4434</v>
      </c>
      <c r="B44" s="2" t="s">
        <v>4435</v>
      </c>
      <c r="C44" s="2" t="s">
        <v>4436</v>
      </c>
      <c r="D44" s="4">
        <v>316</v>
      </c>
      <c r="E44" s="8">
        <v>8572.1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267</v>
      </c>
      <c r="K44" s="8">
        <v>5695.66</v>
      </c>
      <c r="L44" s="4"/>
      <c r="M44" s="8"/>
      <c r="N44" s="7"/>
      <c r="O44" s="7"/>
    </row>
    <row r="45">
      <c r="A45" s="2" t="s">
        <v>4434</v>
      </c>
      <c r="B45" s="2" t="s">
        <v>4435</v>
      </c>
      <c r="C45" s="2" t="s">
        <v>4638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49</v>
      </c>
      <c r="K45" s="8">
        <v>2876.44</v>
      </c>
      <c r="L45" s="4"/>
      <c r="M45" s="8"/>
      <c r="N45" s="7"/>
      <c r="O45" s="7"/>
    </row>
    <row r="46">
      <c r="A46" s="2" t="s">
        <v>4434</v>
      </c>
      <c r="B46" s="2" t="s">
        <v>4473</v>
      </c>
      <c r="C46" s="2" t="s">
        <v>4474</v>
      </c>
      <c r="D46" s="4">
        <v>125</v>
      </c>
      <c r="E46" s="8">
        <v>2887.1</v>
      </c>
      <c r="F46" s="4"/>
      <c r="G46" s="8"/>
      <c r="H46" s="7"/>
      <c r="I46" s="7"/>
      <c r="J46" s="4">
        <v>125</v>
      </c>
      <c r="K46" s="8">
        <v>2887.1</v>
      </c>
      <c r="L46" s="4"/>
      <c r="M46" s="8"/>
      <c r="N46" s="7"/>
      <c r="O46" s="7"/>
    </row>
    <row r="47">
      <c r="A47" s="2" t="s">
        <v>4434</v>
      </c>
      <c r="B47" s="2" t="s">
        <v>803</v>
      </c>
      <c r="C47" s="2" t="s">
        <v>4586</v>
      </c>
      <c r="D47" s="4">
        <v>27</v>
      </c>
      <c r="E47" s="8">
        <v>1110.46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19</v>
      </c>
      <c r="K47" s="8">
        <v>791.42</v>
      </c>
      <c r="L47" s="4"/>
      <c r="M47" s="8"/>
      <c r="N47" s="7"/>
      <c r="O47" s="7"/>
    </row>
    <row r="48">
      <c r="A48" s="2" t="s">
        <v>4434</v>
      </c>
      <c r="B48" s="2" t="s">
        <v>803</v>
      </c>
      <c r="C48" s="2" t="s">
        <v>4862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2</v>
      </c>
      <c r="K48" s="8">
        <v>161.6</v>
      </c>
      <c r="L48" s="4"/>
      <c r="M48" s="8"/>
      <c r="N48" s="7"/>
      <c r="O48" s="7"/>
    </row>
    <row r="49">
      <c r="A49" s="2" t="s">
        <v>4434</v>
      </c>
      <c r="B49" s="2" t="s">
        <v>803</v>
      </c>
      <c r="C49" s="2" t="s">
        <v>4828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>
        <v>6</v>
      </c>
      <c r="K49" s="8">
        <v>157.44</v>
      </c>
      <c r="L49" s="4"/>
      <c r="M49" s="8"/>
      <c r="N49" s="7"/>
      <c r="O49" s="7"/>
    </row>
    <row r="50">
      <c r="A50" s="2" t="s">
        <v>4434</v>
      </c>
      <c r="B50" s="2" t="s">
        <v>803</v>
      </c>
      <c r="C50" s="2" t="s">
        <v>804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4434</v>
      </c>
      <c r="B51" s="2" t="s">
        <v>803</v>
      </c>
      <c r="C51" s="2" t="s">
        <v>1532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4434</v>
      </c>
      <c r="B52" s="2" t="s">
        <v>2503</v>
      </c>
      <c r="C52" s="2" t="s">
        <v>4627</v>
      </c>
      <c r="D52" s="4">
        <v>9</v>
      </c>
      <c r="E52" s="8">
        <v>102.06</v>
      </c>
      <c r="F52" s="4"/>
      <c r="G52" s="8"/>
      <c r="H52" s="7"/>
      <c r="I52" s="7"/>
      <c r="J52" s="4">
        <v>9</v>
      </c>
      <c r="K52" s="8">
        <v>102.06</v>
      </c>
      <c r="L52" s="4"/>
      <c r="M52" s="8"/>
      <c r="N52" s="7"/>
      <c r="O52" s="7"/>
    </row>
    <row r="53">
      <c r="A53" s="2" t="s">
        <v>4434</v>
      </c>
      <c r="B53" s="2" t="s">
        <v>1638</v>
      </c>
      <c r="C53" s="2" t="s">
        <v>1759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4434</v>
      </c>
      <c r="B54" s="2" t="s">
        <v>4626</v>
      </c>
      <c r="C54" s="2" t="s">
        <v>4627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4434</v>
      </c>
      <c r="B55" s="2" t="s">
        <v>1842</v>
      </c>
      <c r="C55" s="2" t="s">
        <v>4474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4434</v>
      </c>
      <c r="B56" s="2" t="s">
        <v>1842</v>
      </c>
      <c r="C56" s="2" t="s">
        <v>1843</v>
      </c>
      <c r="D56" s="4" t="s">
        <v>100</v>
      </c>
      <c r="E56" s="8" t="s">
        <v>100</v>
      </c>
      <c r="F56" s="4" t="s">
        <v>100</v>
      </c>
      <c r="G56" s="8" t="s">
        <v>100</v>
      </c>
      <c r="H56" s="7" t="s">
        <v>100</v>
      </c>
      <c r="I56" s="7" t="s">
        <v>100</v>
      </c>
      <c r="J56" s="4"/>
      <c r="K56" s="8"/>
      <c r="L56" s="4"/>
      <c r="M56" s="8"/>
      <c r="N56" s="7"/>
      <c r="O56" s="7"/>
    </row>
    <row r="57">
      <c r="A57" s="2" t="s">
        <v>5053</v>
      </c>
      <c r="B57" s="2" t="s">
        <v>5054</v>
      </c>
      <c r="C57" s="2" t="s">
        <v>5055</v>
      </c>
      <c r="D57" s="4">
        <v>278</v>
      </c>
      <c r="E57" s="8">
        <v>4481.04</v>
      </c>
      <c r="F57" s="4"/>
      <c r="G57" s="8"/>
      <c r="H57" s="7"/>
      <c r="I57" s="7"/>
      <c r="J57" s="4">
        <v>278</v>
      </c>
      <c r="K57" s="8">
        <v>4481.04</v>
      </c>
      <c r="L57" s="4"/>
      <c r="M57" s="8"/>
      <c r="N57" s="7"/>
      <c r="O57" s="7"/>
    </row>
    <row r="58">
      <c r="A58" s="2" t="s">
        <v>5053</v>
      </c>
      <c r="B58" s="2" t="s">
        <v>5316</v>
      </c>
      <c r="C58" s="2" t="s">
        <v>5317</v>
      </c>
      <c r="D58" s="4">
        <v>69</v>
      </c>
      <c r="E58" s="8">
        <v>1329.75</v>
      </c>
      <c r="F58" s="4"/>
      <c r="G58" s="8"/>
      <c r="H58" s="7"/>
      <c r="I58" s="7"/>
      <c r="J58" s="4">
        <v>69</v>
      </c>
      <c r="K58" s="8">
        <v>1329.75</v>
      </c>
      <c r="L58" s="4"/>
      <c r="M58" s="8"/>
      <c r="N58" s="7"/>
      <c r="O58" s="7"/>
    </row>
    <row r="59">
      <c r="A59" s="2" t="s">
        <v>5053</v>
      </c>
      <c r="B59" s="2" t="s">
        <v>5498</v>
      </c>
      <c r="C59" s="2" t="s">
        <v>5499</v>
      </c>
      <c r="D59" s="4">
        <v>2</v>
      </c>
      <c r="E59" s="8">
        <v>42</v>
      </c>
      <c r="F59" s="4"/>
      <c r="G59" s="8"/>
      <c r="H59" s="7"/>
      <c r="I59" s="7"/>
      <c r="J59" s="4">
        <v>2</v>
      </c>
      <c r="K59" s="8">
        <v>42</v>
      </c>
      <c r="L59" s="4"/>
      <c r="M59" s="8"/>
      <c r="N59" s="7"/>
      <c r="O59" s="7"/>
    </row>
    <row r="60">
      <c r="A60" s="2" t="s">
        <v>5053</v>
      </c>
      <c r="B60" s="2" t="s">
        <v>5507</v>
      </c>
      <c r="C60" s="2" t="s">
        <v>5508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5764</v>
      </c>
      <c r="B61" s="2" t="s">
        <v>5765</v>
      </c>
      <c r="C61" s="2" t="s">
        <v>5766</v>
      </c>
      <c r="D61" s="4">
        <v>690</v>
      </c>
      <c r="E61" s="8">
        <v>46277.54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505</v>
      </c>
      <c r="K61" s="8">
        <v>39055.6</v>
      </c>
      <c r="L61" s="4"/>
      <c r="M61" s="8"/>
      <c r="N61" s="7"/>
      <c r="O61" s="7"/>
    </row>
    <row r="62">
      <c r="A62" s="2" t="s">
        <v>5764</v>
      </c>
      <c r="B62" s="2" t="s">
        <v>5765</v>
      </c>
      <c r="C62" s="2" t="s">
        <v>6018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185</v>
      </c>
      <c r="K62" s="8">
        <v>7221.94</v>
      </c>
      <c r="L62" s="4"/>
      <c r="M62" s="8"/>
      <c r="N62" s="7"/>
      <c r="O62" s="7"/>
    </row>
    <row r="63">
      <c r="A63" s="2" t="s">
        <v>5764</v>
      </c>
      <c r="B63" s="2" t="s">
        <v>4473</v>
      </c>
      <c r="C63" s="2" t="s">
        <v>5768</v>
      </c>
      <c r="D63" s="4">
        <v>2134</v>
      </c>
      <c r="E63" s="8">
        <v>37038.57</v>
      </c>
      <c r="F63" s="4"/>
      <c r="G63" s="8"/>
      <c r="H63" s="7"/>
      <c r="I63" s="7"/>
      <c r="J63" s="4">
        <v>2134</v>
      </c>
      <c r="K63" s="8">
        <v>37038.57</v>
      </c>
      <c r="L63" s="4"/>
      <c r="M63" s="8"/>
      <c r="N63" s="7"/>
      <c r="O63" s="7"/>
    </row>
    <row r="64">
      <c r="A64" s="2" t="s">
        <v>5764</v>
      </c>
      <c r="B64" s="2" t="s">
        <v>6111</v>
      </c>
      <c r="C64" s="2" t="s">
        <v>6112</v>
      </c>
      <c r="D64" s="4">
        <v>296</v>
      </c>
      <c r="E64" s="8">
        <v>18947.9</v>
      </c>
      <c r="F64" s="4"/>
      <c r="G64" s="8"/>
      <c r="H64" s="7"/>
      <c r="I64" s="7"/>
      <c r="J64" s="4">
        <v>296</v>
      </c>
      <c r="K64" s="8">
        <v>18947.9</v>
      </c>
      <c r="L64" s="4"/>
      <c r="M64" s="8"/>
      <c r="N64" s="7"/>
      <c r="O64" s="7"/>
    </row>
    <row r="65">
      <c r="A65" s="2" t="s">
        <v>5764</v>
      </c>
      <c r="B65" s="2" t="s">
        <v>803</v>
      </c>
      <c r="C65" s="2" t="s">
        <v>1532</v>
      </c>
      <c r="D65" s="4">
        <v>203</v>
      </c>
      <c r="E65" s="8">
        <v>6300.46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202</v>
      </c>
      <c r="K65" s="8">
        <v>6256.04</v>
      </c>
      <c r="L65" s="4"/>
      <c r="M65" s="8"/>
      <c r="N65" s="7"/>
      <c r="O65" s="7"/>
    </row>
    <row r="66">
      <c r="A66" s="2" t="s">
        <v>5764</v>
      </c>
      <c r="B66" s="2" t="s">
        <v>803</v>
      </c>
      <c r="C66" s="2" t="s">
        <v>804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</v>
      </c>
      <c r="K66" s="8">
        <v>44.42</v>
      </c>
      <c r="L66" s="4"/>
      <c r="M66" s="8"/>
      <c r="N66" s="7"/>
      <c r="O66" s="7"/>
    </row>
    <row r="67">
      <c r="A67" s="2" t="s">
        <v>5764</v>
      </c>
      <c r="B67" s="2" t="s">
        <v>1842</v>
      </c>
      <c r="C67" s="2" t="s">
        <v>6020</v>
      </c>
      <c r="D67" s="4">
        <v>41</v>
      </c>
      <c r="E67" s="8">
        <v>701.5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25</v>
      </c>
      <c r="K67" s="8">
        <v>474.91</v>
      </c>
      <c r="L67" s="4"/>
      <c r="M67" s="8"/>
      <c r="N67" s="7"/>
      <c r="O67" s="7"/>
    </row>
    <row r="68">
      <c r="A68" s="2" t="s">
        <v>5764</v>
      </c>
      <c r="B68" s="2" t="s">
        <v>1842</v>
      </c>
      <c r="C68" s="2" t="s">
        <v>1843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16</v>
      </c>
      <c r="K68" s="8">
        <v>226.59</v>
      </c>
      <c r="L68" s="4"/>
      <c r="M68" s="8"/>
      <c r="N68" s="7"/>
      <c r="O68" s="7"/>
    </row>
    <row r="69">
      <c r="A69" s="2" t="s">
        <v>5764</v>
      </c>
      <c r="B69" s="2" t="s">
        <v>2503</v>
      </c>
      <c r="C69" s="2" t="s">
        <v>2504</v>
      </c>
      <c r="D69" s="4">
        <v>19</v>
      </c>
      <c r="E69" s="8">
        <v>211.79</v>
      </c>
      <c r="F69" s="4"/>
      <c r="G69" s="8"/>
      <c r="H69" s="7"/>
      <c r="I69" s="7"/>
      <c r="J69" s="4">
        <v>19</v>
      </c>
      <c r="K69" s="8">
        <v>211.79</v>
      </c>
      <c r="L69" s="4"/>
      <c r="M69" s="8"/>
      <c r="N69" s="7"/>
      <c r="O69" s="7"/>
    </row>
    <row r="70">
      <c r="A70" s="2" t="s">
        <v>5764</v>
      </c>
      <c r="B70" s="2" t="s">
        <v>89</v>
      </c>
      <c r="C70" s="2" t="s">
        <v>506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5764</v>
      </c>
      <c r="B71" s="2" t="s">
        <v>1638</v>
      </c>
      <c r="C71" s="2" t="s">
        <v>1639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5764</v>
      </c>
      <c r="B72" s="2" t="s">
        <v>4626</v>
      </c>
      <c r="C72" s="2" t="s">
        <v>7485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7711</v>
      </c>
      <c r="B73" s="2" t="s">
        <v>7712</v>
      </c>
      <c r="C73" s="2" t="s">
        <v>7776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7711</v>
      </c>
      <c r="B74" s="2" t="s">
        <v>7712</v>
      </c>
      <c r="C74" s="2" t="s">
        <v>7713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/>
      <c r="K74" s="8"/>
      <c r="L74" s="4"/>
      <c r="M74" s="8"/>
      <c r="N74" s="7"/>
      <c r="O74" s="7"/>
    </row>
    <row r="75">
      <c r="A75" s="2" t="s">
        <v>7711</v>
      </c>
      <c r="B75" s="2" t="s">
        <v>7730</v>
      </c>
      <c r="C75" s="2" t="s">
        <v>7731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7711</v>
      </c>
      <c r="B76" s="2" t="s">
        <v>7730</v>
      </c>
      <c r="C76" s="2" t="s">
        <v>7901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/>
      <c r="K76" s="8"/>
      <c r="L76" s="4"/>
      <c r="M76" s="8"/>
      <c r="N76" s="7"/>
      <c r="O76" s="7"/>
    </row>
    <row r="77">
      <c r="A77" s="2" t="s">
        <v>7711</v>
      </c>
      <c r="B77" s="2" t="s">
        <v>8410</v>
      </c>
      <c r="C77" s="2" t="s">
        <v>8411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7711</v>
      </c>
      <c r="B78" s="2" t="s">
        <v>7906</v>
      </c>
      <c r="C78" s="2" t="s">
        <v>7907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7711</v>
      </c>
      <c r="B79" s="2" t="s">
        <v>8932</v>
      </c>
      <c r="C79" s="2" t="s">
        <v>8933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7711</v>
      </c>
      <c r="B80" s="2" t="s">
        <v>7755</v>
      </c>
      <c r="C80" s="2" t="s">
        <v>8474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/>
      <c r="K80" s="8"/>
      <c r="L80" s="4"/>
      <c r="M80" s="8"/>
      <c r="N80" s="7"/>
      <c r="O80" s="7"/>
    </row>
    <row r="81">
      <c r="A81" s="2" t="s">
        <v>7711</v>
      </c>
      <c r="B81" s="2" t="s">
        <v>7755</v>
      </c>
      <c r="C81" s="2" t="s">
        <v>7756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/>
      <c r="K81" s="8"/>
      <c r="L81" s="4"/>
      <c r="M81" s="8"/>
      <c r="N81" s="7"/>
      <c r="O81" s="7"/>
    </row>
    <row r="82">
      <c r="A82" s="2" t="s">
        <v>7711</v>
      </c>
      <c r="B82" s="2" t="s">
        <v>7755</v>
      </c>
      <c r="C82" s="2" t="s">
        <v>7954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7711</v>
      </c>
      <c r="B83" s="2" t="s">
        <v>7963</v>
      </c>
      <c r="C83" s="2" t="s">
        <v>7964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7711</v>
      </c>
      <c r="B84" s="2" t="s">
        <v>8602</v>
      </c>
      <c r="C84" s="2" t="s">
        <v>8603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7711</v>
      </c>
      <c r="B85" s="2" t="s">
        <v>8615</v>
      </c>
      <c r="C85" s="2" t="s">
        <v>8616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7711</v>
      </c>
      <c r="B86" s="2" t="s">
        <v>7973</v>
      </c>
      <c r="C86" s="2" t="s">
        <v>7776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7711</v>
      </c>
      <c r="B87" s="2" t="s">
        <v>7762</v>
      </c>
      <c r="C87" s="2" t="s">
        <v>7763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/>
      <c r="K87" s="8"/>
      <c r="L87" s="4"/>
      <c r="M87" s="8"/>
      <c r="N87" s="7"/>
      <c r="O87" s="7"/>
    </row>
    <row r="88">
      <c r="A88" s="2" t="s">
        <v>7711</v>
      </c>
      <c r="B88" s="2" t="s">
        <v>7762</v>
      </c>
      <c r="C88" s="2" t="s">
        <v>8687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/>
      <c r="K88" s="8"/>
      <c r="L88" s="4"/>
      <c r="M88" s="8"/>
      <c r="N88" s="7"/>
      <c r="O88" s="7"/>
    </row>
    <row r="89">
      <c r="A89" s="2" t="s">
        <v>7711</v>
      </c>
      <c r="B89" s="2" t="s">
        <v>8024</v>
      </c>
      <c r="C89" s="2" t="s">
        <v>8025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7711</v>
      </c>
      <c r="B90" s="2" t="s">
        <v>8975</v>
      </c>
      <c r="C90" s="2" t="s">
        <v>8976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7711</v>
      </c>
      <c r="B91" s="2" t="s">
        <v>8707</v>
      </c>
      <c r="C91" s="2" t="s">
        <v>8708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7711</v>
      </c>
      <c r="B92" s="2" t="s">
        <v>8043</v>
      </c>
      <c r="C92" s="2" t="s">
        <v>8044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7711</v>
      </c>
      <c r="B93" s="2" t="s">
        <v>8050</v>
      </c>
      <c r="C93" s="2" t="s">
        <v>8739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/>
      <c r="K93" s="8"/>
      <c r="L93" s="4"/>
      <c r="M93" s="8"/>
      <c r="N93" s="7"/>
      <c r="O93" s="7"/>
    </row>
    <row r="94">
      <c r="A94" s="2" t="s">
        <v>7711</v>
      </c>
      <c r="B94" s="2" t="s">
        <v>8050</v>
      </c>
      <c r="C94" s="2" t="s">
        <v>8051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/>
      <c r="K94" s="8"/>
      <c r="L94" s="4"/>
      <c r="M94" s="8"/>
      <c r="N94" s="7"/>
      <c r="O94" s="7"/>
    </row>
    <row r="95">
      <c r="A95" s="2" t="s">
        <v>7711</v>
      </c>
      <c r="B95" s="2" t="s">
        <v>8050</v>
      </c>
      <c r="C95" s="2" t="s">
        <v>8829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/>
      <c r="K95" s="8"/>
      <c r="L95" s="4"/>
      <c r="M95" s="8"/>
      <c r="N95" s="7"/>
      <c r="O95" s="7"/>
    </row>
    <row r="96">
      <c r="A96" s="2" t="s">
        <v>7711</v>
      </c>
      <c r="B96" s="2" t="s">
        <v>8066</v>
      </c>
      <c r="C96" s="2" t="s">
        <v>8067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7711</v>
      </c>
      <c r="B97" s="2" t="s">
        <v>8073</v>
      </c>
      <c r="C97" s="2" t="s">
        <v>8074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/>
      <c r="K97" s="8"/>
      <c r="L97" s="4"/>
      <c r="M97" s="8"/>
      <c r="N97" s="7"/>
      <c r="O97" s="7"/>
    </row>
    <row r="98">
      <c r="A98" s="2" t="s">
        <v>7711</v>
      </c>
      <c r="B98" s="2" t="s">
        <v>8073</v>
      </c>
      <c r="C98" s="2" t="s">
        <v>8109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7711</v>
      </c>
      <c r="B99" s="2" t="s">
        <v>8073</v>
      </c>
      <c r="C99" s="2" t="s">
        <v>7907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/>
      <c r="K99" s="8"/>
      <c r="L99" s="4"/>
      <c r="M99" s="8"/>
      <c r="N99" s="7"/>
      <c r="O99" s="7"/>
    </row>
    <row r="100">
      <c r="A100" s="2" t="s">
        <v>7711</v>
      </c>
      <c r="B100" s="2" t="s">
        <v>8878</v>
      </c>
      <c r="C100" s="2" t="s">
        <v>8879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/>
      <c r="K100" s="8"/>
      <c r="L100" s="4"/>
      <c r="M100" s="8"/>
      <c r="N100" s="7"/>
      <c r="O100" s="7"/>
    </row>
    <row r="101">
      <c r="A101" s="2" t="s">
        <v>7711</v>
      </c>
      <c r="B101" s="2" t="s">
        <v>8878</v>
      </c>
      <c r="C101" s="2" t="s">
        <v>8893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/>
      <c r="K101" s="8"/>
      <c r="L101" s="4"/>
      <c r="M101" s="8"/>
      <c r="N101" s="7"/>
      <c r="O101" s="7"/>
    </row>
    <row r="102">
      <c r="A102" s="2" t="s">
        <v>9189</v>
      </c>
      <c r="B102" s="2" t="s">
        <v>9315</v>
      </c>
      <c r="C102" s="2" t="s">
        <v>9316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9189</v>
      </c>
      <c r="B103" s="2" t="s">
        <v>9190</v>
      </c>
      <c r="C103" s="2" t="s">
        <v>9191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9189</v>
      </c>
      <c r="B104" s="2" t="s">
        <v>9386</v>
      </c>
      <c r="C104" s="2" t="s">
        <v>9387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9189</v>
      </c>
      <c r="B105" s="2" t="s">
        <v>9392</v>
      </c>
      <c r="C105" s="2" t="s">
        <v>9393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9189</v>
      </c>
      <c r="B106" s="2" t="s">
        <v>9196</v>
      </c>
      <c r="C106" s="2" t="s">
        <v>9197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9189</v>
      </c>
      <c r="B107" s="2" t="s">
        <v>9203</v>
      </c>
      <c r="C107" s="2" t="s">
        <v>9204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9557</v>
      </c>
      <c r="B108" s="2" t="s">
        <v>9559</v>
      </c>
      <c r="C108" s="2" t="s">
        <v>9560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9596</v>
      </c>
      <c r="B109" s="2" t="s">
        <v>9597</v>
      </c>
      <c r="C109" s="2" t="s">
        <v>9598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9668</v>
      </c>
      <c r="B110" s="2" t="s">
        <v>9669</v>
      </c>
      <c r="C110" s="2" t="s">
        <v>9670</v>
      </c>
      <c r="D110" s="4">
        <v>2346</v>
      </c>
      <c r="E110" s="8">
        <v>54124.64</v>
      </c>
      <c r="F110" s="4"/>
      <c r="G110" s="8"/>
      <c r="H110" s="7"/>
      <c r="I110" s="7"/>
      <c r="J110" s="4">
        <v>2346</v>
      </c>
      <c r="K110" s="8">
        <v>54124.64</v>
      </c>
      <c r="L110" s="4"/>
      <c r="M110" s="8"/>
      <c r="N110" s="7"/>
      <c r="O110" s="7"/>
    </row>
    <row r="111">
      <c r="A111" s="2" t="s">
        <v>9668</v>
      </c>
      <c r="B111" s="2" t="s">
        <v>4626</v>
      </c>
      <c r="C111" s="2" t="s">
        <v>7485</v>
      </c>
      <c r="D111" s="4">
        <v>6</v>
      </c>
      <c r="E111" s="8">
        <v>105.12</v>
      </c>
      <c r="F111" s="4"/>
      <c r="G111" s="8"/>
      <c r="H111" s="7"/>
      <c r="I111" s="7"/>
      <c r="J111" s="4">
        <v>6</v>
      </c>
      <c r="K111" s="8">
        <v>105.12</v>
      </c>
      <c r="L111" s="4"/>
      <c r="M111" s="8"/>
      <c r="N111" s="7"/>
      <c r="O111" s="7"/>
    </row>
    <row r="112">
      <c r="A112" s="2" t="s">
        <v>11586</v>
      </c>
      <c r="B112" s="2" t="s">
        <v>11587</v>
      </c>
      <c r="C112" s="2" t="s">
        <v>5508</v>
      </c>
      <c r="D112" s="4">
        <v>215</v>
      </c>
      <c r="E112" s="8">
        <v>5962.54</v>
      </c>
      <c r="F112" s="4"/>
      <c r="G112" s="8"/>
      <c r="H112" s="7"/>
      <c r="I112" s="7"/>
      <c r="J112" s="4">
        <v>215</v>
      </c>
      <c r="K112" s="8">
        <v>5962.54</v>
      </c>
      <c r="L112" s="4"/>
      <c r="M112" s="8"/>
      <c r="N112" s="7"/>
      <c r="O112" s="7"/>
    </row>
    <row r="113">
      <c r="A113" s="2" t="s">
        <v>11863</v>
      </c>
      <c r="B113" s="2" t="s">
        <v>2605</v>
      </c>
      <c r="C113" s="2" t="s">
        <v>2606</v>
      </c>
      <c r="D113" s="4">
        <v>830</v>
      </c>
      <c r="E113" s="8">
        <v>14227.43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645</v>
      </c>
      <c r="K113" s="8">
        <v>11132.61</v>
      </c>
      <c r="L113" s="4"/>
      <c r="M113" s="8"/>
      <c r="N113" s="7"/>
      <c r="O113" s="7"/>
    </row>
    <row r="114">
      <c r="A114" s="2" t="s">
        <v>11863</v>
      </c>
      <c r="B114" s="2" t="s">
        <v>2605</v>
      </c>
      <c r="C114" s="2" t="s">
        <v>12050</v>
      </c>
      <c r="D114" s="4" t="s">
        <v>100</v>
      </c>
      <c r="E114" s="8" t="s">
        <v>100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87</v>
      </c>
      <c r="K114" s="8">
        <v>1428.41</v>
      </c>
      <c r="L114" s="4"/>
      <c r="M114" s="8"/>
      <c r="N114" s="7"/>
      <c r="O114" s="7"/>
    </row>
    <row r="115">
      <c r="A115" s="2" t="s">
        <v>11863</v>
      </c>
      <c r="B115" s="2" t="s">
        <v>2605</v>
      </c>
      <c r="C115" s="2" t="s">
        <v>12056</v>
      </c>
      <c r="D115" s="4" t="s">
        <v>100</v>
      </c>
      <c r="E115" s="8" t="s">
        <v>100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49</v>
      </c>
      <c r="K115" s="8">
        <v>697.34</v>
      </c>
      <c r="L115" s="4"/>
      <c r="M115" s="8"/>
      <c r="N115" s="7"/>
      <c r="O115" s="7"/>
    </row>
    <row r="116">
      <c r="A116" s="2" t="s">
        <v>11863</v>
      </c>
      <c r="B116" s="2" t="s">
        <v>2605</v>
      </c>
      <c r="C116" s="2" t="s">
        <v>12180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27</v>
      </c>
      <c r="K116" s="8">
        <v>467.46</v>
      </c>
      <c r="L116" s="4"/>
      <c r="M116" s="8"/>
      <c r="N116" s="7"/>
      <c r="O116" s="7"/>
    </row>
    <row r="117">
      <c r="A117" s="2" t="s">
        <v>11863</v>
      </c>
      <c r="B117" s="2" t="s">
        <v>2605</v>
      </c>
      <c r="C117" s="2" t="s">
        <v>12340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14</v>
      </c>
      <c r="K117" s="8">
        <v>281.13</v>
      </c>
      <c r="L117" s="4"/>
      <c r="M117" s="8"/>
      <c r="N117" s="7"/>
      <c r="O117" s="7"/>
    </row>
    <row r="118">
      <c r="A118" s="2" t="s">
        <v>11863</v>
      </c>
      <c r="B118" s="2" t="s">
        <v>2605</v>
      </c>
      <c r="C118" s="2" t="s">
        <v>12210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8</v>
      </c>
      <c r="K118" s="8">
        <v>220.48</v>
      </c>
      <c r="L118" s="4"/>
      <c r="M118" s="8"/>
      <c r="N118" s="7"/>
      <c r="O118" s="7"/>
    </row>
    <row r="119">
      <c r="A119" s="2" t="s">
        <v>11863</v>
      </c>
      <c r="B119" s="2" t="s">
        <v>2598</v>
      </c>
      <c r="C119" s="2" t="s">
        <v>2599</v>
      </c>
      <c r="D119" s="4">
        <v>47</v>
      </c>
      <c r="E119" s="8">
        <v>553.75</v>
      </c>
      <c r="F119" s="4"/>
      <c r="G119" s="8"/>
      <c r="H119" s="7"/>
      <c r="I119" s="7"/>
      <c r="J119" s="4">
        <v>47</v>
      </c>
      <c r="K119" s="8">
        <v>553.75</v>
      </c>
      <c r="L119" s="4"/>
      <c r="M119" s="8"/>
      <c r="N119" s="7"/>
      <c r="O119" s="7"/>
    </row>
    <row r="120">
      <c r="A120" s="2" t="s">
        <v>11863</v>
      </c>
      <c r="B120" s="2" t="s">
        <v>12649</v>
      </c>
      <c r="C120" s="2" t="s">
        <v>12650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/>
      <c r="K120" s="8"/>
      <c r="L120" s="4"/>
      <c r="M120" s="8"/>
      <c r="N120" s="7"/>
      <c r="O120" s="7"/>
    </row>
    <row r="121">
      <c r="A121" s="2" t="s">
        <v>11863</v>
      </c>
      <c r="B121" s="2" t="s">
        <v>12649</v>
      </c>
      <c r="C121" s="2" t="s">
        <v>12678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/>
      <c r="K121" s="8"/>
      <c r="L121" s="4"/>
      <c r="M121" s="8"/>
      <c r="N121" s="7"/>
      <c r="O121" s="7"/>
    </row>
    <row r="122">
      <c r="A122" s="2" t="s">
        <v>11863</v>
      </c>
      <c r="B122" s="2" t="s">
        <v>12562</v>
      </c>
      <c r="C122" s="2" t="s">
        <v>12562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12738</v>
      </c>
      <c r="B123" s="2" t="s">
        <v>803</v>
      </c>
      <c r="C123" s="2" t="s">
        <v>1475</v>
      </c>
      <c r="D123" s="4">
        <v>327</v>
      </c>
      <c r="E123" s="8">
        <v>11632.31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204</v>
      </c>
      <c r="K123" s="8">
        <v>7069.28</v>
      </c>
      <c r="L123" s="4"/>
      <c r="M123" s="8"/>
      <c r="N123" s="7"/>
      <c r="O123" s="7"/>
    </row>
    <row r="124">
      <c r="A124" s="2" t="s">
        <v>12738</v>
      </c>
      <c r="B124" s="2" t="s">
        <v>803</v>
      </c>
      <c r="C124" s="2" t="s">
        <v>804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123</v>
      </c>
      <c r="K124" s="8">
        <v>4563.03</v>
      </c>
      <c r="L124" s="4"/>
      <c r="M124" s="8"/>
      <c r="N124" s="7"/>
      <c r="O124" s="7"/>
    </row>
    <row r="125">
      <c r="A125" s="2" t="s">
        <v>12738</v>
      </c>
      <c r="B125" s="2" t="s">
        <v>803</v>
      </c>
      <c r="C125" s="2" t="s">
        <v>1532</v>
      </c>
      <c r="D125" s="4" t="s">
        <v>100</v>
      </c>
      <c r="E125" s="8" t="s">
        <v>100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/>
      <c r="K125" s="8"/>
      <c r="L125" s="4"/>
      <c r="M125" s="8"/>
      <c r="N125" s="7"/>
      <c r="O125" s="7"/>
    </row>
    <row r="126">
      <c r="A126" s="2" t="s">
        <v>12738</v>
      </c>
      <c r="B126" s="2" t="s">
        <v>89</v>
      </c>
      <c r="C126" s="2" t="s">
        <v>90</v>
      </c>
      <c r="D126" s="4">
        <v>20</v>
      </c>
      <c r="E126" s="8">
        <v>963.72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12</v>
      </c>
      <c r="K126" s="8">
        <v>640.71</v>
      </c>
      <c r="L126" s="4"/>
      <c r="M126" s="8"/>
      <c r="N126" s="7"/>
      <c r="O126" s="7"/>
    </row>
    <row r="127">
      <c r="A127" s="2" t="s">
        <v>12738</v>
      </c>
      <c r="B127" s="2" t="s">
        <v>89</v>
      </c>
      <c r="C127" s="2" t="s">
        <v>2577</v>
      </c>
      <c r="D127" s="4" t="s">
        <v>100</v>
      </c>
      <c r="E127" s="8" t="s">
        <v>100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8</v>
      </c>
      <c r="K127" s="8">
        <v>323.01</v>
      </c>
      <c r="L127" s="4"/>
      <c r="M127" s="8"/>
      <c r="N127" s="7"/>
      <c r="O127" s="7"/>
    </row>
    <row r="128">
      <c r="A128" s="2" t="s">
        <v>12738</v>
      </c>
      <c r="B128" s="2" t="s">
        <v>89</v>
      </c>
      <c r="C128" s="2" t="s">
        <v>506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/>
      <c r="K128" s="8"/>
      <c r="L128" s="4"/>
      <c r="M128" s="8"/>
      <c r="N128" s="7"/>
      <c r="O128" s="7"/>
    </row>
    <row r="129">
      <c r="A129" s="2" t="s">
        <v>12738</v>
      </c>
      <c r="B129" s="2" t="s">
        <v>1638</v>
      </c>
      <c r="C129" s="2" t="s">
        <v>1759</v>
      </c>
      <c r="D129" s="4">
        <v>10</v>
      </c>
      <c r="E129" s="8">
        <v>310.96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10</v>
      </c>
      <c r="K129" s="8">
        <v>310.96</v>
      </c>
      <c r="L129" s="4"/>
      <c r="M129" s="8"/>
      <c r="N129" s="7"/>
      <c r="O129" s="7"/>
    </row>
    <row r="130">
      <c r="A130" s="2" t="s">
        <v>12738</v>
      </c>
      <c r="B130" s="2" t="s">
        <v>1638</v>
      </c>
      <c r="C130" s="2" t="s">
        <v>1639</v>
      </c>
      <c r="D130" s="4" t="s">
        <v>100</v>
      </c>
      <c r="E130" s="8" t="s">
        <v>100</v>
      </c>
      <c r="F130" s="4" t="s">
        <v>100</v>
      </c>
      <c r="G130" s="8" t="s">
        <v>100</v>
      </c>
      <c r="H130" s="7" t="s">
        <v>100</v>
      </c>
      <c r="I130" s="7" t="s">
        <v>100</v>
      </c>
      <c r="J130" s="4"/>
      <c r="K130" s="8"/>
      <c r="L130" s="4"/>
      <c r="M130" s="8"/>
      <c r="N130" s="7"/>
      <c r="O13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30:D33"/>
    <mergeCell ref="E30:E33"/>
    <mergeCell ref="F30:F33"/>
    <mergeCell ref="G30:G33"/>
    <mergeCell ref="H30:H33"/>
    <mergeCell ref="I30:I33"/>
    <mergeCell ref="D34:D36"/>
    <mergeCell ref="E34:E36"/>
    <mergeCell ref="F34:F36"/>
    <mergeCell ref="G34:G36"/>
    <mergeCell ref="H34:H36"/>
    <mergeCell ref="I34:I36"/>
    <mergeCell ref="D38:D39"/>
    <mergeCell ref="E38:E39"/>
    <mergeCell ref="F38:F39"/>
    <mergeCell ref="G38:G39"/>
    <mergeCell ref="H38:H39"/>
    <mergeCell ref="I38:I39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7:D51"/>
    <mergeCell ref="E47:E51"/>
    <mergeCell ref="F47:F51"/>
    <mergeCell ref="G47:G51"/>
    <mergeCell ref="H47:H51"/>
    <mergeCell ref="I47:I51"/>
    <mergeCell ref="D55:D56"/>
    <mergeCell ref="E55:E56"/>
    <mergeCell ref="F55:F56"/>
    <mergeCell ref="G55:G56"/>
    <mergeCell ref="H55:H56"/>
    <mergeCell ref="I55:I56"/>
    <mergeCell ref="D61:D62"/>
    <mergeCell ref="E61:E62"/>
    <mergeCell ref="F61:F62"/>
    <mergeCell ref="G61:G62"/>
    <mergeCell ref="H61:H62"/>
    <mergeCell ref="I61:I62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3:D74"/>
    <mergeCell ref="E73:E74"/>
    <mergeCell ref="F73:F74"/>
    <mergeCell ref="G73:G74"/>
    <mergeCell ref="H73:H74"/>
    <mergeCell ref="I73:I74"/>
    <mergeCell ref="D75:D76"/>
    <mergeCell ref="E75:E76"/>
    <mergeCell ref="F75:F76"/>
    <mergeCell ref="G75:G76"/>
    <mergeCell ref="H75:H76"/>
    <mergeCell ref="I75:I76"/>
    <mergeCell ref="D80:D82"/>
    <mergeCell ref="E80:E82"/>
    <mergeCell ref="F80:F82"/>
    <mergeCell ref="G80:G82"/>
    <mergeCell ref="H80:H82"/>
    <mergeCell ref="I80:I82"/>
    <mergeCell ref="D87:D88"/>
    <mergeCell ref="E87:E88"/>
    <mergeCell ref="F87:F88"/>
    <mergeCell ref="G87:G88"/>
    <mergeCell ref="H87:H88"/>
    <mergeCell ref="I87:I88"/>
    <mergeCell ref="D93:D95"/>
    <mergeCell ref="E93:E95"/>
    <mergeCell ref="F93:F95"/>
    <mergeCell ref="G93:G95"/>
    <mergeCell ref="H93:H95"/>
    <mergeCell ref="I93:I95"/>
    <mergeCell ref="D97:D99"/>
    <mergeCell ref="E97:E99"/>
    <mergeCell ref="F97:F99"/>
    <mergeCell ref="G97:G99"/>
    <mergeCell ref="H97:H99"/>
    <mergeCell ref="I97:I99"/>
    <mergeCell ref="D100:D101"/>
    <mergeCell ref="E100:E101"/>
    <mergeCell ref="F100:F101"/>
    <mergeCell ref="G100:G101"/>
    <mergeCell ref="H100:H101"/>
    <mergeCell ref="I100:I101"/>
    <mergeCell ref="D113:D118"/>
    <mergeCell ref="E113:E118"/>
    <mergeCell ref="F113:F118"/>
    <mergeCell ref="G113:G118"/>
    <mergeCell ref="H113:H118"/>
    <mergeCell ref="I113:I118"/>
    <mergeCell ref="D120:D121"/>
    <mergeCell ref="E120:E121"/>
    <mergeCell ref="F120:F121"/>
    <mergeCell ref="G120:G121"/>
    <mergeCell ref="H120:H121"/>
    <mergeCell ref="I120:I121"/>
    <mergeCell ref="D123:D125"/>
    <mergeCell ref="E123:E125"/>
    <mergeCell ref="F123:F125"/>
    <mergeCell ref="G123:G125"/>
    <mergeCell ref="H123:H125"/>
    <mergeCell ref="I123:I125"/>
    <mergeCell ref="D126:D128"/>
    <mergeCell ref="E126:E128"/>
    <mergeCell ref="F126:F128"/>
    <mergeCell ref="G126:G128"/>
    <mergeCell ref="H126:H128"/>
    <mergeCell ref="I126:I128"/>
    <mergeCell ref="D129:D130"/>
    <mergeCell ref="E129:E130"/>
    <mergeCell ref="F129:F130"/>
    <mergeCell ref="G129:G130"/>
    <mergeCell ref="H129:H130"/>
    <mergeCell ref="I129:I130"/>
  </mergeCells>
  <headerFooter/>
</worksheet>
</file>